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C:\CODEMGE\ITABIRA\03-CONSERVA\"/>
    </mc:Choice>
  </mc:AlternateContent>
  <xr:revisionPtr revIDLastSave="0" documentId="13_ncr:1_{F7FECE9F-C810-46AC-BF01-3112278D8D0C}" xr6:coauthVersionLast="47" xr6:coauthVersionMax="47" xr10:uidLastSave="{00000000-0000-0000-0000-000000000000}"/>
  <bookViews>
    <workbookView xWindow="-120" yWindow="-120" windowWidth="20730" windowHeight="11160" tabRatio="936" firstSheet="3" activeTab="4" xr2:uid="{00000000-000D-0000-FFFF-FFFF00000000}"/>
  </bookViews>
  <sheets>
    <sheet name="Quadro 5 Cronograma PER" sheetId="16513" state="hidden" r:id="rId1"/>
    <sheet name="Quadro 6 - Investimentos" sheetId="16511" state="hidden" r:id="rId2"/>
    <sheet name="Quadro 8. - Custos Operacionais" sheetId="16507" state="hidden" r:id="rId3"/>
    <sheet name="Monitoração" sheetId="16504" r:id="rId4"/>
    <sheet name="Conserva - Resumo" sheetId="16514" r:id="rId5"/>
    <sheet name="Conservação" sheetId="16516" r:id="rId6"/>
    <sheet name="Quantidades Padrão" sheetId="16517" r:id="rId7"/>
    <sheet name="Sinalização Vertica Padrão" sheetId="16518" r:id="rId8"/>
    <sheet name="Disp. Prot. Seg. Padrão" sheetId="16519" r:id="rId9"/>
    <sheet name="OAEs e Passarelas Padrão" sheetId="16520" r:id="rId10"/>
    <sheet name="Drenagem e OAC Padrão" sheetId="16521" r:id="rId11"/>
    <sheet name="Terrapl. Estrut. Contenção" sheetId="16522" r:id="rId12"/>
    <sheet name="Iluminação Padrão" sheetId="16524" r:id="rId13"/>
    <sheet name="Faixa de Domínio Padrão" sheetId="16523" r:id="rId14"/>
    <sheet name="PAV. CONCRETO" sheetId="16532" r:id="rId15"/>
    <sheet name="Despesas com Pessoal" sheetId="16461" state="hidden" r:id="rId16"/>
    <sheet name="Funções" sheetId="16459" state="hidden" r:id="rId17"/>
    <sheet name="Despesas Diversas" sheetId="16502" state="hidden" r:id="rId18"/>
    <sheet name="Transporte Valores" sheetId="16533" state="hidden" r:id="rId19"/>
    <sheet name="Transporte de Pessoal" sheetId="16534" state="hidden" r:id="rId20"/>
    <sheet name="SALARIOSS" sheetId="16528" state="hidden" r:id="rId21"/>
    <sheet name="MEM. Encargos Sociais" sheetId="16525" state="hidden" r:id="rId22"/>
    <sheet name="Crono Pessoal" sheetId="16460" state="hidden" r:id="rId23"/>
    <sheet name="Crono FF" sheetId="16501" state="hidden" r:id="rId24"/>
    <sheet name="Obras - Operação" sheetId="16508" state="hidden" r:id="rId25"/>
    <sheet name="Sistemas-Manutenção" sheetId="16457" state="hidden" r:id="rId26"/>
    <sheet name="Sistemas" sheetId="16506" state="hidden" r:id="rId27"/>
    <sheet name="Sistemas - Cotações" sheetId="16458" state="hidden" r:id="rId28"/>
    <sheet name="LOCAÇÕES E TERCEIRIZAÇÕES" sheetId="16509" state="hidden" r:id="rId29"/>
    <sheet name="DER MG" sheetId="16479" r:id="rId30"/>
    <sheet name="BDI" sheetId="16527" r:id="rId31"/>
    <sheet name="Custos Ambientais - Obras" sheetId="16529" state="hidden" r:id="rId32"/>
    <sheet name="Custos Ambientais - Operação" sheetId="16530" state="hidden" r:id="rId33"/>
    <sheet name="Reassentamentos" sheetId="16535" state="hidden" r:id="rId34"/>
    <sheet name="Reconstituição Meio Ambiente" sheetId="16537" state="hidden" r:id="rId35"/>
  </sheets>
  <definedNames>
    <definedName name="__123Graph_ASIDECO" hidden="1">#REF!</definedName>
    <definedName name="__123Graph_BSIDECO" hidden="1">#REF!</definedName>
    <definedName name="__123Graph_CSIDECO" hidden="1">#REF!</definedName>
    <definedName name="__123Graph_XSIDECO" hidden="1">#REF!</definedName>
    <definedName name="_2__123Graph_BGrßfico_10C" hidden="1">#REF!</definedName>
    <definedName name="_xlnm._FilterDatabase" localSheetId="29" hidden="1">'DER MG'!$C$4:$I$111</definedName>
    <definedName name="_xlnm._FilterDatabase" localSheetId="15" hidden="1">'Despesas com Pessoal'!$E$8:$E$183</definedName>
    <definedName name="_xlnm._FilterDatabase" localSheetId="16" hidden="1">Funções!$D$8:$K$155</definedName>
    <definedName name="_xlnm._FilterDatabase" localSheetId="20" hidden="1">SALARIOSS!$D$5:$I$5</definedName>
    <definedName name="_xlnm._FilterDatabase" localSheetId="25" hidden="1">'Sistemas-Manutenção'!$D$6:$D$115</definedName>
    <definedName name="_xlnm._FilterDatabase" hidden="1">#REF!</definedName>
    <definedName name="_JAN0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RC" localSheetId="24">#REF!</definedName>
    <definedName name="_Sort" hidden="1">#REF!</definedName>
    <definedName name="_x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a" localSheetId="24">#REF!</definedName>
    <definedName name="A">'Sistemas-Manutenção'!$F$122</definedName>
    <definedName name="AAA_DOCTOPS" hidden="1">"AAA_SET"</definedName>
    <definedName name="AAA_duser" hidden="1">"OFF"</definedName>
    <definedName name="aaaaaaaaaaaaaaaaaaaaaaaaaa" hidden="1">#REF!</definedName>
    <definedName name="AAB_Addin5" hidden="1">"AAB_Description for addin 5,Description for addin 5,Description for addin 5,Description for addin 5,Description for addin 5,Description for addin 5"</definedName>
    <definedName name="anscount" hidden="1">1</definedName>
    <definedName name="_xlnm.Extract" localSheetId="15">'Despesas com Pessoal'!$E$203</definedName>
    <definedName name="_xlnm.Extract" localSheetId="25">'Sistemas-Manutenção'!$D$127</definedName>
    <definedName name="_xlnm.Print_Area" localSheetId="5">Conservação!$F$1:$N$72</definedName>
    <definedName name="_xlnm.Print_Area" localSheetId="22">'Crono Pessoal'!$E$4:$J$185</definedName>
    <definedName name="_xlnm.Print_Area" localSheetId="13">'Faixa de Domínio Padrão'!$D$1:$O$17</definedName>
    <definedName name="_xlnm.Print_Area" localSheetId="16">Funções!$D$4:$K$156</definedName>
    <definedName name="_xlnm.Print_Area" localSheetId="12">'Iluminação Padrão'!$A$1:$AH$40</definedName>
    <definedName name="_xlnm.Print_Area" localSheetId="9">'OAEs e Passarelas Padrão'!$D$1:$J$51</definedName>
    <definedName name="_xlnm.Print_Area" localSheetId="2">'Quadro 8. - Custos Operacionais'!$A$6:$AF$37</definedName>
    <definedName name="_xlnm.Print_Area" localSheetId="6">'Quantidades Padrão'!$D$4:$J$103</definedName>
    <definedName name="_xlnm.Print_Area" localSheetId="7">'Sinalização Vertica Padrão'!$A$1:$AD$39</definedName>
    <definedName name="_xlnm.Print_Area" localSheetId="26">Sistemas!$F$5:$AO$123</definedName>
    <definedName name="_xlnm.Print_Area" localSheetId="11">'Terrapl. Estrut. Contenção'!$A$1:$AM$37</definedName>
    <definedName name="AS2DocOpenMode" hidden="1">"AS2DocumentEdit"</definedName>
    <definedName name="AS2ReportLS" hidden="1">1</definedName>
    <definedName name="AS2SyncStepLS" hidden="1">0</definedName>
    <definedName name="AS2VersionLS" hidden="1">300</definedName>
    <definedName name="b" hidden="1">{"'Índice'!$A$1:$K$49"}</definedName>
    <definedName name="BDI" localSheetId="24">#REF!</definedName>
    <definedName name="BDI" localSheetId="2">#REF!</definedName>
    <definedName name="BDI" localSheetId="26">#REF!</definedName>
    <definedName name="BDI_M">BDI!$L$34</definedName>
    <definedName name="BDI_S">BDI!$L$33</definedName>
    <definedName name="BDIM" localSheetId="2">#REF!</definedName>
    <definedName name="BDIM" localSheetId="26">#REF!</definedName>
    <definedName name="BG_Del" hidden="1">15</definedName>
    <definedName name="BG_Ins" hidden="1">4</definedName>
    <definedName name="BG_Mod" hidden="1">6</definedName>
    <definedName name="BLPH1" hidden="1">#REF!</definedName>
    <definedName name="BLPH10" hidden="1">#REF!</definedName>
    <definedName name="BLPH11" hidden="1">#REF!</definedName>
    <definedName name="BLPH12" hidden="1">#REF!</definedName>
    <definedName name="BLPH13" hidden="1">#REF!</definedName>
    <definedName name="BLPH14" hidden="1">#REF!</definedName>
    <definedName name="BLPH2" hidden="1">#REF!</definedName>
    <definedName name="BLPH3" hidden="1">#REF!</definedName>
    <definedName name="BLPH4" hidden="1">#REF!</definedName>
    <definedName name="BLPH5" hidden="1">#REF!</definedName>
    <definedName name="BLPH6" hidden="1">#REF!</definedName>
    <definedName name="BLPH7" hidden="1">#REF!</definedName>
    <definedName name="BLPH8" hidden="1">#REF!</definedName>
    <definedName name="BLPH9" hidden="1">#REF!</definedName>
    <definedName name="Change" hidden="1">#N/A</definedName>
    <definedName name="Change2" hidden="1">#N/A</definedName>
    <definedName name="Change3" hidden="1">#N/A</definedName>
    <definedName name="Change4" hidden="1">#N/A</definedName>
    <definedName name="ChangeRange" hidden="1">#N/A</definedName>
    <definedName name="ChangeRange2" hidden="1">#N/A</definedName>
    <definedName name="CNT" localSheetId="2">#REF!</definedName>
    <definedName name="D">'Sistemas-Manutenção'!$F$123</definedName>
    <definedName name="dfdfdfd" hidden="1">#N/A</definedName>
    <definedName name="DMT_BG" localSheetId="24">#REF!</definedName>
    <definedName name="DMT_BG" localSheetId="26">#REF!</definedName>
    <definedName name="DMT_MB" localSheetId="24">#REF!</definedName>
    <definedName name="DMT_MB" localSheetId="2">#REF!</definedName>
    <definedName name="DMT_MB" localSheetId="26">#REF!</definedName>
    <definedName name="DMT_MD" localSheetId="24">#REF!</definedName>
    <definedName name="DMT_MD" localSheetId="2">#REF!</definedName>
    <definedName name="DMT_MD" localSheetId="26">#REF!</definedName>
    <definedName name="DMT_MJ" localSheetId="24">#REF!</definedName>
    <definedName name="DMT_MJ" localSheetId="26">#REF!</definedName>
    <definedName name="doi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EEq_trecho">OFFSET(#REF!,0,0,COUNTA(#REF!),1)</definedName>
    <definedName name="ENC" localSheetId="24">#REF!</definedName>
    <definedName name="Enc" localSheetId="2">#REF!</definedName>
    <definedName name="Enc" localSheetId="26">#REF!</definedName>
    <definedName name="ev.Calculation" hidden="1">-4135</definedName>
    <definedName name="ev.Initialized" hidden="1">FALSE</definedName>
    <definedName name="FDD_0_0" hidden="1">"A30681"</definedName>
    <definedName name="FDD_0_1" hidden="1">"A31047"</definedName>
    <definedName name="FDD_0_10" hidden="1">"A34334"</definedName>
    <definedName name="FDD_0_11" hidden="1">"A34699"</definedName>
    <definedName name="FDD_0_12" hidden="1">"A35064"</definedName>
    <definedName name="FDD_0_13" hidden="1">"A35430"</definedName>
    <definedName name="FDD_0_14" hidden="1">"A35795"</definedName>
    <definedName name="FDD_0_2" hidden="1">"A31412"</definedName>
    <definedName name="FDD_0_3" hidden="1">"A31777"</definedName>
    <definedName name="FDD_0_4" hidden="1">"A32142"</definedName>
    <definedName name="FDD_0_5" hidden="1">"A32508"</definedName>
    <definedName name="FDD_0_6" hidden="1">"A32873"</definedName>
    <definedName name="FDD_0_7" hidden="1">"A33238"</definedName>
    <definedName name="FDD_0_8" hidden="1">"A33603"</definedName>
    <definedName name="FDD_0_9" hidden="1">"A33969"</definedName>
    <definedName name="FDD_1_0" hidden="1">"U25569"</definedName>
    <definedName name="FDD_10_0" hidden="1">"A25569"</definedName>
    <definedName name="FDD_100_0" hidden="1">"A25569"</definedName>
    <definedName name="FDD_101_0" hidden="1">"A25569"</definedName>
    <definedName name="FDD_102_0" hidden="1">"A25569"</definedName>
    <definedName name="FDD_103_0" hidden="1">"A25569"</definedName>
    <definedName name="FDD_104_0" hidden="1">"A25569"</definedName>
    <definedName name="FDD_105_0" hidden="1">"A25569"</definedName>
    <definedName name="FDD_106_0" hidden="1">"A25569"</definedName>
    <definedName name="FDD_107_0" hidden="1">"A25569"</definedName>
    <definedName name="FDD_108_0" hidden="1">"A25569"</definedName>
    <definedName name="FDD_109_0" hidden="1">"A25569"</definedName>
    <definedName name="FDD_11_0" hidden="1">"A25569"</definedName>
    <definedName name="FDD_110_0" hidden="1">"A25569"</definedName>
    <definedName name="FDD_111_0" hidden="1">"A25569"</definedName>
    <definedName name="FDD_112_0" hidden="1">"A25569"</definedName>
    <definedName name="FDD_113_0" hidden="1">"A25569"</definedName>
    <definedName name="FDD_114_0" hidden="1">"A25569"</definedName>
    <definedName name="FDD_115_0" hidden="1">"A25569"</definedName>
    <definedName name="FDD_116_0" hidden="1">"A25569"</definedName>
    <definedName name="FDD_117_0" hidden="1">"A30681"</definedName>
    <definedName name="FDD_117_1" hidden="1">"A31047"</definedName>
    <definedName name="FDD_117_10" hidden="1">"A34334"</definedName>
    <definedName name="FDD_117_11" hidden="1">"A34699"</definedName>
    <definedName name="FDD_117_12" hidden="1">"A35064"</definedName>
    <definedName name="FDD_117_13" hidden="1">"A35430"</definedName>
    <definedName name="FDD_117_14" hidden="1">"A35795"</definedName>
    <definedName name="FDD_117_2" hidden="1">"A31412"</definedName>
    <definedName name="FDD_117_3" hidden="1">"A31777"</definedName>
    <definedName name="FDD_117_4" hidden="1">"A32142"</definedName>
    <definedName name="FDD_117_5" hidden="1">"A32508"</definedName>
    <definedName name="FDD_117_6" hidden="1">"A32873"</definedName>
    <definedName name="FDD_117_7" hidden="1">"A33238"</definedName>
    <definedName name="FDD_117_8" hidden="1">"A33603"</definedName>
    <definedName name="FDD_117_9" hidden="1">"A33969"</definedName>
    <definedName name="FDD_118_0" hidden="1">"A30681"</definedName>
    <definedName name="FDD_118_1" hidden="1">"A31047"</definedName>
    <definedName name="FDD_118_10" hidden="1">"A34334"</definedName>
    <definedName name="FDD_118_11" hidden="1">"A34699"</definedName>
    <definedName name="FDD_118_12" hidden="1">"A35064"</definedName>
    <definedName name="FDD_118_13" hidden="1">"A35430"</definedName>
    <definedName name="FDD_118_14" hidden="1">"A35795"</definedName>
    <definedName name="FDD_118_2" hidden="1">"A31412"</definedName>
    <definedName name="FDD_118_3" hidden="1">"A31777"</definedName>
    <definedName name="FDD_118_4" hidden="1">"A32142"</definedName>
    <definedName name="FDD_118_5" hidden="1">"A32508"</definedName>
    <definedName name="FDD_118_6" hidden="1">"A32873"</definedName>
    <definedName name="FDD_118_7" hidden="1">"A33238"</definedName>
    <definedName name="FDD_118_8" hidden="1">"A33603"</definedName>
    <definedName name="FDD_118_9" hidden="1">"A33969"</definedName>
    <definedName name="FDD_119_0" hidden="1">"A30681"</definedName>
    <definedName name="FDD_119_1" hidden="1">"A31047"</definedName>
    <definedName name="FDD_119_10" hidden="1">"A34334"</definedName>
    <definedName name="FDD_119_11" hidden="1">"A34699"</definedName>
    <definedName name="FDD_119_12" hidden="1">"A35064"</definedName>
    <definedName name="FDD_119_13" hidden="1">"A35430"</definedName>
    <definedName name="FDD_119_14" hidden="1">"A35795"</definedName>
    <definedName name="FDD_119_2" hidden="1">"A31412"</definedName>
    <definedName name="FDD_119_3" hidden="1">"A31777"</definedName>
    <definedName name="FDD_119_4" hidden="1">"A32142"</definedName>
    <definedName name="FDD_119_5" hidden="1">"A32508"</definedName>
    <definedName name="FDD_119_6" hidden="1">"A32873"</definedName>
    <definedName name="FDD_119_7" hidden="1">"A33238"</definedName>
    <definedName name="FDD_119_8" hidden="1">"A33603"</definedName>
    <definedName name="FDD_119_9" hidden="1">"A33969"</definedName>
    <definedName name="FDD_12_0" hidden="1">"A25569"</definedName>
    <definedName name="FDD_120_0" hidden="1">"A30681"</definedName>
    <definedName name="FDD_120_1" hidden="1">"A31047"</definedName>
    <definedName name="FDD_120_10" hidden="1">"A34334"</definedName>
    <definedName name="FDD_120_11" hidden="1">"A34699"</definedName>
    <definedName name="FDD_120_12" hidden="1">"A35064"</definedName>
    <definedName name="FDD_120_13" hidden="1">"A35430"</definedName>
    <definedName name="FDD_120_14" hidden="1">"A35795"</definedName>
    <definedName name="FDD_120_2" hidden="1">"A31412"</definedName>
    <definedName name="FDD_120_3" hidden="1">"A31777"</definedName>
    <definedName name="FDD_120_4" hidden="1">"A32142"</definedName>
    <definedName name="FDD_120_5" hidden="1">"A32508"</definedName>
    <definedName name="FDD_120_6" hidden="1">"A32873"</definedName>
    <definedName name="FDD_120_7" hidden="1">"A33238"</definedName>
    <definedName name="FDD_120_8" hidden="1">"A33603"</definedName>
    <definedName name="FDD_120_9" hidden="1">"A33969"</definedName>
    <definedName name="FDD_121_0" hidden="1">"A30681"</definedName>
    <definedName name="FDD_121_1" hidden="1">"A31047"</definedName>
    <definedName name="FDD_121_10" hidden="1">"A34334"</definedName>
    <definedName name="FDD_121_11" hidden="1">"A34699"</definedName>
    <definedName name="FDD_121_12" hidden="1">"A35064"</definedName>
    <definedName name="FDD_121_13" hidden="1">"A35430"</definedName>
    <definedName name="FDD_121_14" hidden="1">"A35795"</definedName>
    <definedName name="FDD_121_2" hidden="1">"A31412"</definedName>
    <definedName name="FDD_121_3" hidden="1">"A31777"</definedName>
    <definedName name="FDD_121_4" hidden="1">"A32142"</definedName>
    <definedName name="FDD_121_5" hidden="1">"A32508"</definedName>
    <definedName name="FDD_121_6" hidden="1">"A32873"</definedName>
    <definedName name="FDD_121_7" hidden="1">"A33238"</definedName>
    <definedName name="FDD_121_8" hidden="1">"A33603"</definedName>
    <definedName name="FDD_121_9" hidden="1">"A33969"</definedName>
    <definedName name="FDD_122_0" hidden="1">"A30681"</definedName>
    <definedName name="FDD_122_1" hidden="1">"A31047"</definedName>
    <definedName name="FDD_122_10" hidden="1">"A34334"</definedName>
    <definedName name="FDD_122_11" hidden="1">"A34699"</definedName>
    <definedName name="FDD_122_12" hidden="1">"A35064"</definedName>
    <definedName name="FDD_122_13" hidden="1">"A35430"</definedName>
    <definedName name="FDD_122_14" hidden="1">"A35795"</definedName>
    <definedName name="FDD_122_2" hidden="1">"A31412"</definedName>
    <definedName name="FDD_122_3" hidden="1">"A31777"</definedName>
    <definedName name="FDD_122_4" hidden="1">"A32142"</definedName>
    <definedName name="FDD_122_5" hidden="1">"A32508"</definedName>
    <definedName name="FDD_122_6" hidden="1">"A32873"</definedName>
    <definedName name="FDD_122_7" hidden="1">"A33238"</definedName>
    <definedName name="FDD_122_8" hidden="1">"A33603"</definedName>
    <definedName name="FDD_122_9" hidden="1">"A33969"</definedName>
    <definedName name="FDD_123_0" hidden="1">"A30681"</definedName>
    <definedName name="FDD_123_1" hidden="1">"A31047"</definedName>
    <definedName name="FDD_123_10" hidden="1">"A34334"</definedName>
    <definedName name="FDD_123_11" hidden="1">"A34699"</definedName>
    <definedName name="FDD_123_12" hidden="1">"A35064"</definedName>
    <definedName name="FDD_123_13" hidden="1">"A35430"</definedName>
    <definedName name="FDD_123_14" hidden="1">"A35795"</definedName>
    <definedName name="FDD_123_2" hidden="1">"A31412"</definedName>
    <definedName name="FDD_123_3" hidden="1">"A31777"</definedName>
    <definedName name="FDD_123_4" hidden="1">"A32142"</definedName>
    <definedName name="FDD_123_5" hidden="1">"A32508"</definedName>
    <definedName name="FDD_123_6" hidden="1">"A32873"</definedName>
    <definedName name="FDD_123_7" hidden="1">"A33238"</definedName>
    <definedName name="FDD_123_8" hidden="1">"A33603"</definedName>
    <definedName name="FDD_123_9" hidden="1">"A33969"</definedName>
    <definedName name="FDD_124_0" hidden="1">"A30681"</definedName>
    <definedName name="FDD_124_1" hidden="1">"A31047"</definedName>
    <definedName name="FDD_124_10" hidden="1">"A34334"</definedName>
    <definedName name="FDD_124_11" hidden="1">"A34699"</definedName>
    <definedName name="FDD_124_12" hidden="1">"A35064"</definedName>
    <definedName name="FDD_124_13" hidden="1">"A35430"</definedName>
    <definedName name="FDD_124_14" hidden="1">"A35795"</definedName>
    <definedName name="FDD_124_2" hidden="1">"A31412"</definedName>
    <definedName name="FDD_124_3" hidden="1">"A31777"</definedName>
    <definedName name="FDD_124_4" hidden="1">"A32142"</definedName>
    <definedName name="FDD_124_5" hidden="1">"A32508"</definedName>
    <definedName name="FDD_124_6" hidden="1">"A32873"</definedName>
    <definedName name="FDD_124_7" hidden="1">"A33238"</definedName>
    <definedName name="FDD_124_8" hidden="1">"A33603"</definedName>
    <definedName name="FDD_124_9" hidden="1">"A33969"</definedName>
    <definedName name="FDD_125_0" hidden="1">"A30681"</definedName>
    <definedName name="FDD_125_1" hidden="1">"A31047"</definedName>
    <definedName name="FDD_125_10" hidden="1">"A34334"</definedName>
    <definedName name="FDD_125_11" hidden="1">"A34699"</definedName>
    <definedName name="FDD_125_12" hidden="1">"A35064"</definedName>
    <definedName name="FDD_125_13" hidden="1">"A35430"</definedName>
    <definedName name="FDD_125_14" hidden="1">"A35795"</definedName>
    <definedName name="FDD_125_2" hidden="1">"A31412"</definedName>
    <definedName name="FDD_125_3" hidden="1">"A31777"</definedName>
    <definedName name="FDD_125_4" hidden="1">"A32142"</definedName>
    <definedName name="FDD_125_5" hidden="1">"A32508"</definedName>
    <definedName name="FDD_125_6" hidden="1">"A32873"</definedName>
    <definedName name="FDD_125_7" hidden="1">"A33238"</definedName>
    <definedName name="FDD_125_8" hidden="1">"A33603"</definedName>
    <definedName name="FDD_125_9" hidden="1">"A33969"</definedName>
    <definedName name="FDD_126_0" hidden="1">"A30681"</definedName>
    <definedName name="FDD_126_1" hidden="1">"A31047"</definedName>
    <definedName name="FDD_126_10" hidden="1">"A34334"</definedName>
    <definedName name="FDD_126_11" hidden="1">"A34699"</definedName>
    <definedName name="FDD_126_12" hidden="1">"A35064"</definedName>
    <definedName name="FDD_126_13" hidden="1">"A35430"</definedName>
    <definedName name="FDD_126_14" hidden="1">"A35795"</definedName>
    <definedName name="FDD_126_2" hidden="1">"A31412"</definedName>
    <definedName name="FDD_126_3" hidden="1">"A31777"</definedName>
    <definedName name="FDD_126_4" hidden="1">"A32142"</definedName>
    <definedName name="FDD_126_5" hidden="1">"A32508"</definedName>
    <definedName name="FDD_126_6" hidden="1">"A32873"</definedName>
    <definedName name="FDD_126_7" hidden="1">"A33238"</definedName>
    <definedName name="FDD_126_8" hidden="1">"A33603"</definedName>
    <definedName name="FDD_126_9" hidden="1">"A33969"</definedName>
    <definedName name="FDD_127_0" hidden="1">"A30681"</definedName>
    <definedName name="FDD_127_1" hidden="1">"A31047"</definedName>
    <definedName name="FDD_127_10" hidden="1">"A34334"</definedName>
    <definedName name="FDD_127_11" hidden="1">"A34699"</definedName>
    <definedName name="FDD_127_12" hidden="1">"A35064"</definedName>
    <definedName name="FDD_127_13" hidden="1">"A35430"</definedName>
    <definedName name="FDD_127_14" hidden="1">"A35795"</definedName>
    <definedName name="FDD_127_2" hidden="1">"A31412"</definedName>
    <definedName name="FDD_127_3" hidden="1">"A31777"</definedName>
    <definedName name="FDD_127_4" hidden="1">"A32142"</definedName>
    <definedName name="FDD_127_5" hidden="1">"A32508"</definedName>
    <definedName name="FDD_127_6" hidden="1">"A32873"</definedName>
    <definedName name="FDD_127_7" hidden="1">"A33238"</definedName>
    <definedName name="FDD_127_8" hidden="1">"A33603"</definedName>
    <definedName name="FDD_127_9" hidden="1">"A33969"</definedName>
    <definedName name="FDD_128_0" hidden="1">"A30681"</definedName>
    <definedName name="FDD_128_1" hidden="1">"A31047"</definedName>
    <definedName name="FDD_128_10" hidden="1">"A34334"</definedName>
    <definedName name="FDD_128_11" hidden="1">"A34699"</definedName>
    <definedName name="FDD_128_12" hidden="1">"A35064"</definedName>
    <definedName name="FDD_128_13" hidden="1">"A35430"</definedName>
    <definedName name="FDD_128_14" hidden="1">"A35795"</definedName>
    <definedName name="FDD_128_2" hidden="1">"A31412"</definedName>
    <definedName name="FDD_128_3" hidden="1">"A31777"</definedName>
    <definedName name="FDD_128_4" hidden="1">"A32142"</definedName>
    <definedName name="FDD_128_5" hidden="1">"A32508"</definedName>
    <definedName name="FDD_128_6" hidden="1">"A32873"</definedName>
    <definedName name="FDD_128_7" hidden="1">"A33238"</definedName>
    <definedName name="FDD_128_8" hidden="1">"A33603"</definedName>
    <definedName name="FDD_128_9" hidden="1">"A33969"</definedName>
    <definedName name="FDD_129_0" hidden="1">"A30681"</definedName>
    <definedName name="FDD_129_1" hidden="1">"A31047"</definedName>
    <definedName name="FDD_129_10" hidden="1">"A34334"</definedName>
    <definedName name="FDD_129_11" hidden="1">"A34699"</definedName>
    <definedName name="FDD_129_12" hidden="1">"A35064"</definedName>
    <definedName name="FDD_129_13" hidden="1">"A35430"</definedName>
    <definedName name="FDD_129_14" hidden="1">"A35795"</definedName>
    <definedName name="FDD_129_2" hidden="1">"A31412"</definedName>
    <definedName name="FDD_129_3" hidden="1">"A31777"</definedName>
    <definedName name="FDD_129_4" hidden="1">"A32142"</definedName>
    <definedName name="FDD_129_5" hidden="1">"A32508"</definedName>
    <definedName name="FDD_129_6" hidden="1">"A32873"</definedName>
    <definedName name="FDD_129_7" hidden="1">"A33238"</definedName>
    <definedName name="FDD_129_8" hidden="1">"A33603"</definedName>
    <definedName name="FDD_129_9" hidden="1">"A33969"</definedName>
    <definedName name="FDD_13_0" hidden="1">"A25569"</definedName>
    <definedName name="FDD_130_0" hidden="1">"A30681"</definedName>
    <definedName name="FDD_130_1" hidden="1">"A31047"</definedName>
    <definedName name="FDD_130_10" hidden="1">"A34334"</definedName>
    <definedName name="FDD_130_11" hidden="1">"A34699"</definedName>
    <definedName name="FDD_130_12" hidden="1">"A35064"</definedName>
    <definedName name="FDD_130_13" hidden="1">"A35430"</definedName>
    <definedName name="FDD_130_14" hidden="1">"A35795"</definedName>
    <definedName name="FDD_130_2" hidden="1">"A31412"</definedName>
    <definedName name="FDD_130_3" hidden="1">"A31777"</definedName>
    <definedName name="FDD_130_4" hidden="1">"A32142"</definedName>
    <definedName name="FDD_130_5" hidden="1">"A32508"</definedName>
    <definedName name="FDD_130_6" hidden="1">"A32873"</definedName>
    <definedName name="FDD_130_7" hidden="1">"A33238"</definedName>
    <definedName name="FDD_130_8" hidden="1">"A33603"</definedName>
    <definedName name="FDD_130_9" hidden="1">"A33969"</definedName>
    <definedName name="FDD_131_0" hidden="1">"A30681"</definedName>
    <definedName name="FDD_131_1" hidden="1">"A31047"</definedName>
    <definedName name="FDD_131_10" hidden="1">"A34334"</definedName>
    <definedName name="FDD_131_11" hidden="1">"A34699"</definedName>
    <definedName name="FDD_131_12" hidden="1">"A35064"</definedName>
    <definedName name="FDD_131_13" hidden="1">"A35430"</definedName>
    <definedName name="FDD_131_14" hidden="1">"A35795"</definedName>
    <definedName name="FDD_131_2" hidden="1">"A31412"</definedName>
    <definedName name="FDD_131_3" hidden="1">"A31777"</definedName>
    <definedName name="FDD_131_4" hidden="1">"A32142"</definedName>
    <definedName name="FDD_131_5" hidden="1">"A32508"</definedName>
    <definedName name="FDD_131_6" hidden="1">"A32873"</definedName>
    <definedName name="FDD_131_7" hidden="1">"A33238"</definedName>
    <definedName name="FDD_131_8" hidden="1">"A33603"</definedName>
    <definedName name="FDD_131_9" hidden="1">"A33969"</definedName>
    <definedName name="FDD_132_0" hidden="1">"U30681"</definedName>
    <definedName name="FDD_132_1" hidden="1">"U31047"</definedName>
    <definedName name="FDD_132_10" hidden="1">"U34334"</definedName>
    <definedName name="FDD_132_11" hidden="1">"U34699"</definedName>
    <definedName name="FDD_132_12" hidden="1">"U35064"</definedName>
    <definedName name="FDD_132_13" hidden="1">"U35430"</definedName>
    <definedName name="FDD_132_14" hidden="1">"U35795"</definedName>
    <definedName name="FDD_132_2" hidden="1">"U31412"</definedName>
    <definedName name="FDD_132_3" hidden="1">"U31777"</definedName>
    <definedName name="FDD_132_4" hidden="1">"U32142"</definedName>
    <definedName name="FDD_132_5" hidden="1">"U32508"</definedName>
    <definedName name="FDD_132_6" hidden="1">"U32873"</definedName>
    <definedName name="FDD_132_7" hidden="1">"U33238"</definedName>
    <definedName name="FDD_132_8" hidden="1">"U33603"</definedName>
    <definedName name="FDD_132_9" hidden="1">"U33969"</definedName>
    <definedName name="FDD_133_0" hidden="1">"A30681"</definedName>
    <definedName name="FDD_133_1" hidden="1">"A31047"</definedName>
    <definedName name="FDD_133_10" hidden="1">"A34334"</definedName>
    <definedName name="FDD_133_11" hidden="1">"A34699"</definedName>
    <definedName name="FDD_133_12" hidden="1">"A35064"</definedName>
    <definedName name="FDD_133_13" hidden="1">"A35430"</definedName>
    <definedName name="FDD_133_14" hidden="1">"A35795"</definedName>
    <definedName name="FDD_133_2" hidden="1">"A31412"</definedName>
    <definedName name="FDD_133_3" hidden="1">"A31777"</definedName>
    <definedName name="FDD_133_4" hidden="1">"A32142"</definedName>
    <definedName name="FDD_133_5" hidden="1">"A32508"</definedName>
    <definedName name="FDD_133_6" hidden="1">"A32873"</definedName>
    <definedName name="FDD_133_7" hidden="1">"A33238"</definedName>
    <definedName name="FDD_133_8" hidden="1">"A33603"</definedName>
    <definedName name="FDD_133_9" hidden="1">"A33969"</definedName>
    <definedName name="FDD_134_0" hidden="1">"A30681"</definedName>
    <definedName name="FDD_134_1" hidden="1">"A31047"</definedName>
    <definedName name="FDD_134_10" hidden="1">"A34334"</definedName>
    <definedName name="FDD_134_11" hidden="1">"A34699"</definedName>
    <definedName name="FDD_134_12" hidden="1">"A35064"</definedName>
    <definedName name="FDD_134_13" hidden="1">"A35430"</definedName>
    <definedName name="FDD_134_14" hidden="1">"A35795"</definedName>
    <definedName name="FDD_134_2" hidden="1">"A31412"</definedName>
    <definedName name="FDD_134_3" hidden="1">"A31777"</definedName>
    <definedName name="FDD_134_4" hidden="1">"A32142"</definedName>
    <definedName name="FDD_134_5" hidden="1">"A32508"</definedName>
    <definedName name="FDD_134_6" hidden="1">"A32873"</definedName>
    <definedName name="FDD_134_7" hidden="1">"A33238"</definedName>
    <definedName name="FDD_134_8" hidden="1">"A33603"</definedName>
    <definedName name="FDD_134_9" hidden="1">"A33969"</definedName>
    <definedName name="FDD_135_0" hidden="1">"A30681"</definedName>
    <definedName name="FDD_135_1" hidden="1">"A31047"</definedName>
    <definedName name="FDD_135_10" hidden="1">"A34334"</definedName>
    <definedName name="FDD_135_11" hidden="1">"A34699"</definedName>
    <definedName name="FDD_135_12" hidden="1">"A35064"</definedName>
    <definedName name="FDD_135_13" hidden="1">"A35430"</definedName>
    <definedName name="FDD_135_14" hidden="1">"A35795"</definedName>
    <definedName name="FDD_135_2" hidden="1">"A31412"</definedName>
    <definedName name="FDD_135_3" hidden="1">"A31777"</definedName>
    <definedName name="FDD_135_4" hidden="1">"A32142"</definedName>
    <definedName name="FDD_135_5" hidden="1">"A32508"</definedName>
    <definedName name="FDD_135_6" hidden="1">"A32873"</definedName>
    <definedName name="FDD_135_7" hidden="1">"A33238"</definedName>
    <definedName name="FDD_135_8" hidden="1">"A33603"</definedName>
    <definedName name="FDD_135_9" hidden="1">"A33969"</definedName>
    <definedName name="FDD_136_0" hidden="1">"A30681"</definedName>
    <definedName name="FDD_136_1" hidden="1">"A31047"</definedName>
    <definedName name="FDD_136_10" hidden="1">"A34334"</definedName>
    <definedName name="FDD_136_11" hidden="1">"A34699"</definedName>
    <definedName name="FDD_136_12" hidden="1">"A35064"</definedName>
    <definedName name="FDD_136_13" hidden="1">"A35430"</definedName>
    <definedName name="FDD_136_14" hidden="1">"A35795"</definedName>
    <definedName name="FDD_136_2" hidden="1">"A31412"</definedName>
    <definedName name="FDD_136_3" hidden="1">"A31777"</definedName>
    <definedName name="FDD_136_4" hidden="1">"A32142"</definedName>
    <definedName name="FDD_136_5" hidden="1">"A32508"</definedName>
    <definedName name="FDD_136_6" hidden="1">"A32873"</definedName>
    <definedName name="FDD_136_7" hidden="1">"A33238"</definedName>
    <definedName name="FDD_136_8" hidden="1">"A33603"</definedName>
    <definedName name="FDD_136_9" hidden="1">"A33969"</definedName>
    <definedName name="FDD_137_0" hidden="1">"A30681"</definedName>
    <definedName name="FDD_137_1" hidden="1">"A31047"</definedName>
    <definedName name="FDD_137_10" hidden="1">"A34334"</definedName>
    <definedName name="FDD_137_11" hidden="1">"A34699"</definedName>
    <definedName name="FDD_137_12" hidden="1">"A35064"</definedName>
    <definedName name="FDD_137_13" hidden="1">"A35430"</definedName>
    <definedName name="FDD_137_14" hidden="1">"A35795"</definedName>
    <definedName name="FDD_137_2" hidden="1">"A31412"</definedName>
    <definedName name="FDD_137_3" hidden="1">"A31777"</definedName>
    <definedName name="FDD_137_4" hidden="1">"A32142"</definedName>
    <definedName name="FDD_137_5" hidden="1">"A32508"</definedName>
    <definedName name="FDD_137_6" hidden="1">"A32873"</definedName>
    <definedName name="FDD_137_7" hidden="1">"A33238"</definedName>
    <definedName name="FDD_137_8" hidden="1">"A33603"</definedName>
    <definedName name="FDD_137_9" hidden="1">"A33969"</definedName>
    <definedName name="FDD_138_0" hidden="1">"A30681"</definedName>
    <definedName name="FDD_138_1" hidden="1">"A31047"</definedName>
    <definedName name="FDD_138_10" hidden="1">"A34334"</definedName>
    <definedName name="FDD_138_11" hidden="1">"A34699"</definedName>
    <definedName name="FDD_138_12" hidden="1">"A35064"</definedName>
    <definedName name="FDD_138_13" hidden="1">"A35430"</definedName>
    <definedName name="FDD_138_14" hidden="1">"A35795"</definedName>
    <definedName name="FDD_138_2" hidden="1">"A31412"</definedName>
    <definedName name="FDD_138_3" hidden="1">"A31777"</definedName>
    <definedName name="FDD_138_4" hidden="1">"A32142"</definedName>
    <definedName name="FDD_138_5" hidden="1">"A32508"</definedName>
    <definedName name="FDD_138_6" hidden="1">"A32873"</definedName>
    <definedName name="FDD_138_7" hidden="1">"A33238"</definedName>
    <definedName name="FDD_138_8" hidden="1">"A33603"</definedName>
    <definedName name="FDD_138_9" hidden="1">"A33969"</definedName>
    <definedName name="FDD_139_0" hidden="1">"A30681"</definedName>
    <definedName name="FDD_139_1" hidden="1">"A31047"</definedName>
    <definedName name="FDD_139_10" hidden="1">"U34334"</definedName>
    <definedName name="FDD_139_11" hidden="1">"U34699"</definedName>
    <definedName name="FDD_139_12" hidden="1">"U35064"</definedName>
    <definedName name="FDD_139_13" hidden="1">"U35430"</definedName>
    <definedName name="FDD_139_14" hidden="1">"U35795"</definedName>
    <definedName name="FDD_139_2" hidden="1">"A31412"</definedName>
    <definedName name="FDD_139_3" hidden="1">"U31777"</definedName>
    <definedName name="FDD_139_4" hidden="1">"U32142"</definedName>
    <definedName name="FDD_139_5" hidden="1">"U32508"</definedName>
    <definedName name="FDD_139_6" hidden="1">"U32873"</definedName>
    <definedName name="FDD_139_7" hidden="1">"U33238"</definedName>
    <definedName name="FDD_139_8" hidden="1">"U33603"</definedName>
    <definedName name="FDD_139_9" hidden="1">"U33969"</definedName>
    <definedName name="FDD_14_0" hidden="1">"A25569"</definedName>
    <definedName name="FDD_140_0" hidden="1">"A25569"</definedName>
    <definedName name="FDD_141_0" hidden="1">"A30681"</definedName>
    <definedName name="FDD_141_1" hidden="1">"A31047"</definedName>
    <definedName name="FDD_141_10" hidden="1">"A34334"</definedName>
    <definedName name="FDD_141_11" hidden="1">"A34699"</definedName>
    <definedName name="FDD_141_12" hidden="1">"A35064"</definedName>
    <definedName name="FDD_141_13" hidden="1">"A35430"</definedName>
    <definedName name="FDD_141_14" hidden="1">"A35795"</definedName>
    <definedName name="FDD_141_2" hidden="1">"A31412"</definedName>
    <definedName name="FDD_141_3" hidden="1">"A31777"</definedName>
    <definedName name="FDD_141_4" hidden="1">"A32142"</definedName>
    <definedName name="FDD_141_5" hidden="1">"A32508"</definedName>
    <definedName name="FDD_141_6" hidden="1">"A32873"</definedName>
    <definedName name="FDD_141_7" hidden="1">"A33238"</definedName>
    <definedName name="FDD_141_8" hidden="1">"A33603"</definedName>
    <definedName name="FDD_141_9" hidden="1">"A33969"</definedName>
    <definedName name="FDD_142_0" hidden="1">"A30681"</definedName>
    <definedName name="FDD_142_1" hidden="1">"A31047"</definedName>
    <definedName name="FDD_142_10" hidden="1">"A34334"</definedName>
    <definedName name="FDD_142_11" hidden="1">"A34699"</definedName>
    <definedName name="FDD_142_12" hidden="1">"A35064"</definedName>
    <definedName name="FDD_142_13" hidden="1">"A35430"</definedName>
    <definedName name="FDD_142_14" hidden="1">"A35795"</definedName>
    <definedName name="FDD_142_2" hidden="1">"A31412"</definedName>
    <definedName name="FDD_142_3" hidden="1">"A31777"</definedName>
    <definedName name="FDD_142_4" hidden="1">"A32142"</definedName>
    <definedName name="FDD_142_5" hidden="1">"A32508"</definedName>
    <definedName name="FDD_142_6" hidden="1">"A32873"</definedName>
    <definedName name="FDD_142_7" hidden="1">"A33238"</definedName>
    <definedName name="FDD_142_8" hidden="1">"A33603"</definedName>
    <definedName name="FDD_142_9" hidden="1">"A33969"</definedName>
    <definedName name="FDD_143_0" hidden="1">"A30681"</definedName>
    <definedName name="FDD_143_1" hidden="1">"A31047"</definedName>
    <definedName name="FDD_143_10" hidden="1">"A34334"</definedName>
    <definedName name="FDD_143_11" hidden="1">"A34699"</definedName>
    <definedName name="FDD_143_12" hidden="1">"A35064"</definedName>
    <definedName name="FDD_143_13" hidden="1">"A35430"</definedName>
    <definedName name="FDD_143_14" hidden="1">"A35795"</definedName>
    <definedName name="FDD_143_2" hidden="1">"A31412"</definedName>
    <definedName name="FDD_143_3" hidden="1">"A31777"</definedName>
    <definedName name="FDD_143_4" hidden="1">"A32142"</definedName>
    <definedName name="FDD_143_5" hidden="1">"A32508"</definedName>
    <definedName name="FDD_143_6" hidden="1">"A32873"</definedName>
    <definedName name="FDD_143_7" hidden="1">"A33238"</definedName>
    <definedName name="FDD_143_8" hidden="1">"A33603"</definedName>
    <definedName name="FDD_143_9" hidden="1">"A33969"</definedName>
    <definedName name="FDD_144_0" hidden="1">"A30681"</definedName>
    <definedName name="FDD_144_1" hidden="1">"A31047"</definedName>
    <definedName name="FDD_144_10" hidden="1">"A34334"</definedName>
    <definedName name="FDD_144_11" hidden="1">"A34699"</definedName>
    <definedName name="FDD_144_12" hidden="1">"A35064"</definedName>
    <definedName name="FDD_144_13" hidden="1">"A35430"</definedName>
    <definedName name="FDD_144_14" hidden="1">"A35795"</definedName>
    <definedName name="FDD_144_2" hidden="1">"A31412"</definedName>
    <definedName name="FDD_144_3" hidden="1">"A31777"</definedName>
    <definedName name="FDD_144_4" hidden="1">"A32142"</definedName>
    <definedName name="FDD_144_5" hidden="1">"A32508"</definedName>
    <definedName name="FDD_144_6" hidden="1">"A32873"</definedName>
    <definedName name="FDD_144_7" hidden="1">"A33238"</definedName>
    <definedName name="FDD_144_8" hidden="1">"A33603"</definedName>
    <definedName name="FDD_144_9" hidden="1">"A33969"</definedName>
    <definedName name="FDD_145_0" hidden="1">"A30681"</definedName>
    <definedName name="FDD_145_1" hidden="1">"A31047"</definedName>
    <definedName name="FDD_145_10" hidden="1">"A34334"</definedName>
    <definedName name="FDD_145_11" hidden="1">"A34699"</definedName>
    <definedName name="FDD_145_12" hidden="1">"A35064"</definedName>
    <definedName name="FDD_145_13" hidden="1">"A35430"</definedName>
    <definedName name="FDD_145_14" hidden="1">"A35795"</definedName>
    <definedName name="FDD_145_2" hidden="1">"A31412"</definedName>
    <definedName name="FDD_145_3" hidden="1">"A31777"</definedName>
    <definedName name="FDD_145_4" hidden="1">"A32142"</definedName>
    <definedName name="FDD_145_5" hidden="1">"A32508"</definedName>
    <definedName name="FDD_145_6" hidden="1">"A32873"</definedName>
    <definedName name="FDD_145_7" hidden="1">"A33238"</definedName>
    <definedName name="FDD_145_8" hidden="1">"A33603"</definedName>
    <definedName name="FDD_145_9" hidden="1">"A33969"</definedName>
    <definedName name="FDD_146_0" hidden="1">"A30681"</definedName>
    <definedName name="FDD_146_1" hidden="1">"A31047"</definedName>
    <definedName name="FDD_146_10" hidden="1">"A34334"</definedName>
    <definedName name="FDD_146_11" hidden="1">"A34699"</definedName>
    <definedName name="FDD_146_12" hidden="1">"A35064"</definedName>
    <definedName name="FDD_146_13" hidden="1">"A35430"</definedName>
    <definedName name="FDD_146_14" hidden="1">"A35795"</definedName>
    <definedName name="FDD_146_2" hidden="1">"A31412"</definedName>
    <definedName name="FDD_146_3" hidden="1">"A31777"</definedName>
    <definedName name="FDD_146_4" hidden="1">"A32142"</definedName>
    <definedName name="FDD_146_5" hidden="1">"A32508"</definedName>
    <definedName name="FDD_146_6" hidden="1">"A32873"</definedName>
    <definedName name="FDD_146_7" hidden="1">"A33238"</definedName>
    <definedName name="FDD_146_8" hidden="1">"A33603"</definedName>
    <definedName name="FDD_146_9" hidden="1">"A33969"</definedName>
    <definedName name="FDD_147_0" hidden="1">"U30681"</definedName>
    <definedName name="FDD_147_1" hidden="1">"U31047"</definedName>
    <definedName name="FDD_147_10" hidden="1">"U34334"</definedName>
    <definedName name="FDD_147_11" hidden="1">"U34699"</definedName>
    <definedName name="FDD_147_12" hidden="1">"U35064"</definedName>
    <definedName name="FDD_147_13" hidden="1">"U35430"</definedName>
    <definedName name="FDD_147_14" hidden="1">"U35795"</definedName>
    <definedName name="FDD_147_2" hidden="1">"U31412"</definedName>
    <definedName name="FDD_147_3" hidden="1">"U31777"</definedName>
    <definedName name="FDD_147_4" hidden="1">"U32142"</definedName>
    <definedName name="FDD_147_5" hidden="1">"U32508"</definedName>
    <definedName name="FDD_147_6" hidden="1">"U32873"</definedName>
    <definedName name="FDD_147_7" hidden="1">"U33238"</definedName>
    <definedName name="FDD_147_8" hidden="1">"U33603"</definedName>
    <definedName name="FDD_147_9" hidden="1">"U33969"</definedName>
    <definedName name="FDD_148_0" hidden="1">"A30681"</definedName>
    <definedName name="FDD_148_1" hidden="1">"A31047"</definedName>
    <definedName name="FDD_148_10" hidden="1">"A34334"</definedName>
    <definedName name="FDD_148_11" hidden="1">"A34699"</definedName>
    <definedName name="FDD_148_12" hidden="1">"A35064"</definedName>
    <definedName name="FDD_148_13" hidden="1">"A35430"</definedName>
    <definedName name="FDD_148_14" hidden="1">"A35795"</definedName>
    <definedName name="FDD_148_2" hidden="1">"A31412"</definedName>
    <definedName name="FDD_148_3" hidden="1">"A31777"</definedName>
    <definedName name="FDD_148_4" hidden="1">"A32142"</definedName>
    <definedName name="FDD_148_5" hidden="1">"A32508"</definedName>
    <definedName name="FDD_148_6" hidden="1">"A32873"</definedName>
    <definedName name="FDD_148_7" hidden="1">"A33238"</definedName>
    <definedName name="FDD_148_8" hidden="1">"A33603"</definedName>
    <definedName name="FDD_148_9" hidden="1">"A33969"</definedName>
    <definedName name="FDD_149_0" hidden="1">"U30681"</definedName>
    <definedName name="FDD_149_1" hidden="1">"U31047"</definedName>
    <definedName name="FDD_149_10" hidden="1">"U34334"</definedName>
    <definedName name="FDD_149_11" hidden="1">"U34699"</definedName>
    <definedName name="FDD_149_12" hidden="1">"U35064"</definedName>
    <definedName name="FDD_149_13" hidden="1">"U35430"</definedName>
    <definedName name="FDD_149_14" hidden="1">"A35795"</definedName>
    <definedName name="FDD_149_2" hidden="1">"U31412"</definedName>
    <definedName name="FDD_149_3" hidden="1">"U31777"</definedName>
    <definedName name="FDD_149_4" hidden="1">"U32142"</definedName>
    <definedName name="FDD_149_5" hidden="1">"U32508"</definedName>
    <definedName name="FDD_149_6" hidden="1">"U32873"</definedName>
    <definedName name="FDD_149_7" hidden="1">"U33238"</definedName>
    <definedName name="FDD_149_8" hidden="1">"U33603"</definedName>
    <definedName name="FDD_149_9" hidden="1">"U33969"</definedName>
    <definedName name="FDD_15_0" hidden="1">"A25569"</definedName>
    <definedName name="FDD_151_0" hidden="1">"A30681"</definedName>
    <definedName name="FDD_151_1" hidden="1">"A31047"</definedName>
    <definedName name="FDD_151_10" hidden="1">"A34334"</definedName>
    <definedName name="FDD_151_11" hidden="1">"A34699"</definedName>
    <definedName name="FDD_151_12" hidden="1">"A35064"</definedName>
    <definedName name="FDD_151_13" hidden="1">"A35430"</definedName>
    <definedName name="FDD_151_14" hidden="1">"A35795"</definedName>
    <definedName name="FDD_151_2" hidden="1">"A31412"</definedName>
    <definedName name="FDD_151_3" hidden="1">"A31777"</definedName>
    <definedName name="FDD_151_4" hidden="1">"A32142"</definedName>
    <definedName name="FDD_151_5" hidden="1">"A32508"</definedName>
    <definedName name="FDD_151_6" hidden="1">"A32873"</definedName>
    <definedName name="FDD_151_7" hidden="1">"A33238"</definedName>
    <definedName name="FDD_151_8" hidden="1">"A33603"</definedName>
    <definedName name="FDD_151_9" hidden="1">"A33969"</definedName>
    <definedName name="FDD_152_0" hidden="1">"A30681"</definedName>
    <definedName name="FDD_152_1" hidden="1">"A31047"</definedName>
    <definedName name="FDD_152_10" hidden="1">"A34334"</definedName>
    <definedName name="FDD_152_11" hidden="1">"A34699"</definedName>
    <definedName name="FDD_152_12" hidden="1">"A35064"</definedName>
    <definedName name="FDD_152_13" hidden="1">"A35430"</definedName>
    <definedName name="FDD_152_14" hidden="1">"A35795"</definedName>
    <definedName name="FDD_152_15" hidden="1">"E36160"</definedName>
    <definedName name="FDD_152_2" hidden="1">"A31412"</definedName>
    <definedName name="FDD_152_3" hidden="1">"A31777"</definedName>
    <definedName name="FDD_152_4" hidden="1">"A32142"</definedName>
    <definedName name="FDD_152_5" hidden="1">"A32508"</definedName>
    <definedName name="FDD_152_6" hidden="1">"A32873"</definedName>
    <definedName name="FDD_152_7" hidden="1">"A33238"</definedName>
    <definedName name="FDD_152_8" hidden="1">"A33603"</definedName>
    <definedName name="FDD_152_9" hidden="1">"A33969"</definedName>
    <definedName name="FDD_153_0" hidden="1">"A30681"</definedName>
    <definedName name="FDD_153_1" hidden="1">"A31047"</definedName>
    <definedName name="FDD_153_10" hidden="1">"A34334"</definedName>
    <definedName name="FDD_153_11" hidden="1">"A34699"</definedName>
    <definedName name="FDD_153_12" hidden="1">"A35064"</definedName>
    <definedName name="FDD_153_13" hidden="1">"A35430"</definedName>
    <definedName name="FDD_153_14" hidden="1">"A35795"</definedName>
    <definedName name="FDD_153_2" hidden="1">"A31412"</definedName>
    <definedName name="FDD_153_3" hidden="1">"A31777"</definedName>
    <definedName name="FDD_153_4" hidden="1">"A32142"</definedName>
    <definedName name="FDD_153_5" hidden="1">"A32508"</definedName>
    <definedName name="FDD_153_6" hidden="1">"A32873"</definedName>
    <definedName name="FDD_153_7" hidden="1">"A33238"</definedName>
    <definedName name="FDD_153_8" hidden="1">"A33603"</definedName>
    <definedName name="FDD_153_9" hidden="1">"A33969"</definedName>
    <definedName name="FDD_154_0" hidden="1">"A30681"</definedName>
    <definedName name="FDD_154_1" hidden="1">"A31047"</definedName>
    <definedName name="FDD_154_10" hidden="1">"A34334"</definedName>
    <definedName name="FDD_154_11" hidden="1">"A34699"</definedName>
    <definedName name="FDD_154_12" hidden="1">"A35064"</definedName>
    <definedName name="FDD_154_13" hidden="1">"A35430"</definedName>
    <definedName name="FDD_154_14" hidden="1">"A35795"</definedName>
    <definedName name="FDD_154_2" hidden="1">"A31412"</definedName>
    <definedName name="FDD_154_3" hidden="1">"A31777"</definedName>
    <definedName name="FDD_154_4" hidden="1">"A32142"</definedName>
    <definedName name="FDD_154_5" hidden="1">"A32508"</definedName>
    <definedName name="FDD_154_6" hidden="1">"A32873"</definedName>
    <definedName name="FDD_154_7" hidden="1">"A33238"</definedName>
    <definedName name="FDD_154_8" hidden="1">"A33603"</definedName>
    <definedName name="FDD_154_9" hidden="1">"A33969"</definedName>
    <definedName name="FDD_155_0" hidden="1">"A25569"</definedName>
    <definedName name="FDD_156_0" hidden="1">"A30681"</definedName>
    <definedName name="FDD_156_1" hidden="1">"A31047"</definedName>
    <definedName name="FDD_156_10" hidden="1">"A34334"</definedName>
    <definedName name="FDD_156_11" hidden="1">"A34699"</definedName>
    <definedName name="FDD_156_12" hidden="1">"A35064"</definedName>
    <definedName name="FDD_156_13" hidden="1">"A35430"</definedName>
    <definedName name="FDD_156_14" hidden="1">"A35795"</definedName>
    <definedName name="FDD_156_15" hidden="1">"E36160"</definedName>
    <definedName name="FDD_156_2" hidden="1">"A31412"</definedName>
    <definedName name="FDD_156_3" hidden="1">"A31777"</definedName>
    <definedName name="FDD_156_4" hidden="1">"A32142"</definedName>
    <definedName name="FDD_156_5" hidden="1">"A32508"</definedName>
    <definedName name="FDD_156_6" hidden="1">"A32873"</definedName>
    <definedName name="FDD_156_7" hidden="1">"A33238"</definedName>
    <definedName name="FDD_156_8" hidden="1">"A33603"</definedName>
    <definedName name="FDD_156_9" hidden="1">"A33969"</definedName>
    <definedName name="FDD_157_0" hidden="1">"A30681"</definedName>
    <definedName name="FDD_157_1" hidden="1">"A31047"</definedName>
    <definedName name="FDD_157_10" hidden="1">"A34334"</definedName>
    <definedName name="FDD_157_11" hidden="1">"A34699"</definedName>
    <definedName name="FDD_157_12" hidden="1">"A35064"</definedName>
    <definedName name="FDD_157_13" hidden="1">"A35430"</definedName>
    <definedName name="FDD_157_14" hidden="1">"A35795"</definedName>
    <definedName name="FDD_157_2" hidden="1">"A31412"</definedName>
    <definedName name="FDD_157_3" hidden="1">"A31777"</definedName>
    <definedName name="FDD_157_4" hidden="1">"A32142"</definedName>
    <definedName name="FDD_157_5" hidden="1">"A32508"</definedName>
    <definedName name="FDD_157_6" hidden="1">"A32873"</definedName>
    <definedName name="FDD_157_7" hidden="1">"A33238"</definedName>
    <definedName name="FDD_157_8" hidden="1">"A33603"</definedName>
    <definedName name="FDD_157_9" hidden="1">"A33969"</definedName>
    <definedName name="FDD_158_0" hidden="1">"A30681"</definedName>
    <definedName name="FDD_158_1" hidden="1">"A31047"</definedName>
    <definedName name="FDD_158_10" hidden="1">"A34334"</definedName>
    <definedName name="FDD_158_11" hidden="1">"A34699"</definedName>
    <definedName name="FDD_158_12" hidden="1">"A35064"</definedName>
    <definedName name="FDD_158_13" hidden="1">"A35430"</definedName>
    <definedName name="FDD_158_14" hidden="1">"A35795"</definedName>
    <definedName name="FDD_158_15" hidden="1">"E36160"</definedName>
    <definedName name="FDD_158_2" hidden="1">"A31412"</definedName>
    <definedName name="FDD_158_3" hidden="1">"A31777"</definedName>
    <definedName name="FDD_158_4" hidden="1">"A32142"</definedName>
    <definedName name="FDD_158_5" hidden="1">"A32508"</definedName>
    <definedName name="FDD_158_6" hidden="1">"A32873"</definedName>
    <definedName name="FDD_158_7" hidden="1">"A33238"</definedName>
    <definedName name="FDD_158_8" hidden="1">"A33603"</definedName>
    <definedName name="FDD_158_9" hidden="1">"A33969"</definedName>
    <definedName name="FDD_159_0" hidden="1">"A30681"</definedName>
    <definedName name="FDD_159_1" hidden="1">"A31047"</definedName>
    <definedName name="FDD_159_10" hidden="1">"A34334"</definedName>
    <definedName name="FDD_159_11" hidden="1">"A34699"</definedName>
    <definedName name="FDD_159_12" hidden="1">"A35064"</definedName>
    <definedName name="FDD_159_13" hidden="1">"A35430"</definedName>
    <definedName name="FDD_159_14" hidden="1">"A35795"</definedName>
    <definedName name="FDD_159_2" hidden="1">"A31412"</definedName>
    <definedName name="FDD_159_3" hidden="1">"A31777"</definedName>
    <definedName name="FDD_159_4" hidden="1">"A32142"</definedName>
    <definedName name="FDD_159_5" hidden="1">"A32508"</definedName>
    <definedName name="FDD_159_6" hidden="1">"A32873"</definedName>
    <definedName name="FDD_159_7" hidden="1">"A33238"</definedName>
    <definedName name="FDD_159_8" hidden="1">"A33603"</definedName>
    <definedName name="FDD_159_9" hidden="1">"A33969"</definedName>
    <definedName name="FDD_16_0" hidden="1">"A25569"</definedName>
    <definedName name="FDD_160_0" hidden="1">"A30681"</definedName>
    <definedName name="FDD_160_1" hidden="1">"A31047"</definedName>
    <definedName name="FDD_160_10" hidden="1">"A34334"</definedName>
    <definedName name="FDD_160_11" hidden="1">"A34699"</definedName>
    <definedName name="FDD_160_12" hidden="1">"A35064"</definedName>
    <definedName name="FDD_160_13" hidden="1">"A35430"</definedName>
    <definedName name="FDD_160_14" hidden="1">"A35795"</definedName>
    <definedName name="FDD_160_15" hidden="1">"E36160"</definedName>
    <definedName name="FDD_160_2" hidden="1">"A31412"</definedName>
    <definedName name="FDD_160_3" hidden="1">"A31777"</definedName>
    <definedName name="FDD_160_4" hidden="1">"A32142"</definedName>
    <definedName name="FDD_160_5" hidden="1">"A32508"</definedName>
    <definedName name="FDD_160_6" hidden="1">"A32873"</definedName>
    <definedName name="FDD_160_7" hidden="1">"A33238"</definedName>
    <definedName name="FDD_160_8" hidden="1">"A33603"</definedName>
    <definedName name="FDD_160_9" hidden="1">"A33969"</definedName>
    <definedName name="FDD_161_0" hidden="1">"A30681"</definedName>
    <definedName name="FDD_161_1" hidden="1">"A31047"</definedName>
    <definedName name="FDD_161_10" hidden="1">"A34334"</definedName>
    <definedName name="FDD_161_11" hidden="1">"A34699"</definedName>
    <definedName name="FDD_161_12" hidden="1">"A35064"</definedName>
    <definedName name="FDD_161_13" hidden="1">"A35430"</definedName>
    <definedName name="FDD_161_14" hidden="1">"A35795"</definedName>
    <definedName name="FDD_161_2" hidden="1">"A31412"</definedName>
    <definedName name="FDD_161_3" hidden="1">"A31777"</definedName>
    <definedName name="FDD_161_4" hidden="1">"A32142"</definedName>
    <definedName name="FDD_161_5" hidden="1">"A32508"</definedName>
    <definedName name="FDD_161_6" hidden="1">"A32873"</definedName>
    <definedName name="FDD_161_7" hidden="1">"A33238"</definedName>
    <definedName name="FDD_161_8" hidden="1">"A33603"</definedName>
    <definedName name="FDD_161_9" hidden="1">"A33969"</definedName>
    <definedName name="FDD_162_0" hidden="1">"A30681"</definedName>
    <definedName name="FDD_162_1" hidden="1">"A31047"</definedName>
    <definedName name="FDD_162_10" hidden="1">"A34334"</definedName>
    <definedName name="FDD_162_11" hidden="1">"A34699"</definedName>
    <definedName name="FDD_162_12" hidden="1">"A35064"</definedName>
    <definedName name="FDD_162_13" hidden="1">"A35430"</definedName>
    <definedName name="FDD_162_14" hidden="1">"A35795"</definedName>
    <definedName name="FDD_162_2" hidden="1">"A31412"</definedName>
    <definedName name="FDD_162_3" hidden="1">"A31777"</definedName>
    <definedName name="FDD_162_4" hidden="1">"A32142"</definedName>
    <definedName name="FDD_162_5" hidden="1">"A32508"</definedName>
    <definedName name="FDD_162_6" hidden="1">"A32873"</definedName>
    <definedName name="FDD_162_7" hidden="1">"A33238"</definedName>
    <definedName name="FDD_162_8" hidden="1">"A33603"</definedName>
    <definedName name="FDD_162_9" hidden="1">"A33969"</definedName>
    <definedName name="FDD_163_0" hidden="1">"A30681"</definedName>
    <definedName name="FDD_163_1" hidden="1">"A31047"</definedName>
    <definedName name="FDD_163_10" hidden="1">"A34334"</definedName>
    <definedName name="FDD_163_11" hidden="1">"A34699"</definedName>
    <definedName name="FDD_163_12" hidden="1">"A35064"</definedName>
    <definedName name="FDD_163_13" hidden="1">"A35430"</definedName>
    <definedName name="FDD_163_14" hidden="1">"A35795"</definedName>
    <definedName name="FDD_163_2" hidden="1">"A31412"</definedName>
    <definedName name="FDD_163_3" hidden="1">"A31777"</definedName>
    <definedName name="FDD_163_4" hidden="1">"A32142"</definedName>
    <definedName name="FDD_163_5" hidden="1">"A32508"</definedName>
    <definedName name="FDD_163_6" hidden="1">"A32873"</definedName>
    <definedName name="FDD_163_7" hidden="1">"A33238"</definedName>
    <definedName name="FDD_163_8" hidden="1">"A33603"</definedName>
    <definedName name="FDD_163_9" hidden="1">"A33969"</definedName>
    <definedName name="FDD_164_0" hidden="1">"A25569"</definedName>
    <definedName name="FDD_165_0" hidden="1">"A30681"</definedName>
    <definedName name="FDD_165_1" hidden="1">"A31047"</definedName>
    <definedName name="FDD_165_10" hidden="1">"A34334"</definedName>
    <definedName name="FDD_165_11" hidden="1">"A34699"</definedName>
    <definedName name="FDD_165_12" hidden="1">"A35064"</definedName>
    <definedName name="FDD_165_13" hidden="1">"A35430"</definedName>
    <definedName name="FDD_165_14" hidden="1">"A35795"</definedName>
    <definedName name="FDD_165_2" hidden="1">"A31412"</definedName>
    <definedName name="FDD_165_3" hidden="1">"A31777"</definedName>
    <definedName name="FDD_165_4" hidden="1">"A32142"</definedName>
    <definedName name="FDD_165_5" hidden="1">"A32508"</definedName>
    <definedName name="FDD_165_6" hidden="1">"A32873"</definedName>
    <definedName name="FDD_165_7" hidden="1">"A33238"</definedName>
    <definedName name="FDD_165_8" hidden="1">"A33603"</definedName>
    <definedName name="FDD_165_9" hidden="1">"A33969"</definedName>
    <definedName name="FDD_166_0" hidden="1">"A30681"</definedName>
    <definedName name="FDD_166_1" hidden="1">"A31047"</definedName>
    <definedName name="FDD_166_10" hidden="1">"A34334"</definedName>
    <definedName name="FDD_166_11" hidden="1">"A34699"</definedName>
    <definedName name="FDD_166_12" hidden="1">"A35064"</definedName>
    <definedName name="FDD_166_13" hidden="1">"A35430"</definedName>
    <definedName name="FDD_166_14" hidden="1">"A35795"</definedName>
    <definedName name="FDD_166_2" hidden="1">"A31412"</definedName>
    <definedName name="FDD_166_3" hidden="1">"A31777"</definedName>
    <definedName name="FDD_166_4" hidden="1">"A32142"</definedName>
    <definedName name="FDD_166_5" hidden="1">"A32508"</definedName>
    <definedName name="FDD_166_6" hidden="1">"A32873"</definedName>
    <definedName name="FDD_166_7" hidden="1">"A33238"</definedName>
    <definedName name="FDD_166_8" hidden="1">"A33603"</definedName>
    <definedName name="FDD_166_9" hidden="1">"A33969"</definedName>
    <definedName name="FDD_167_0" hidden="1">"A30681"</definedName>
    <definedName name="FDD_167_1" hidden="1">"A31047"</definedName>
    <definedName name="FDD_167_10" hidden="1">"A34334"</definedName>
    <definedName name="FDD_167_11" hidden="1">"A34699"</definedName>
    <definedName name="FDD_167_12" hidden="1">"A35064"</definedName>
    <definedName name="FDD_167_13" hidden="1">"A35430"</definedName>
    <definedName name="FDD_167_14" hidden="1">"A35795"</definedName>
    <definedName name="FDD_167_2" hidden="1">"A31412"</definedName>
    <definedName name="FDD_167_3" hidden="1">"A31777"</definedName>
    <definedName name="FDD_167_4" hidden="1">"A32142"</definedName>
    <definedName name="FDD_167_5" hidden="1">"A32508"</definedName>
    <definedName name="FDD_167_6" hidden="1">"A32873"</definedName>
    <definedName name="FDD_167_7" hidden="1">"A33238"</definedName>
    <definedName name="FDD_167_8" hidden="1">"A33603"</definedName>
    <definedName name="FDD_167_9" hidden="1">"A33969"</definedName>
    <definedName name="FDD_168_0" hidden="1">"E36160"</definedName>
    <definedName name="FDD_168_1" hidden="1">"E36525"</definedName>
    <definedName name="FDD_168_2" hidden="1">"E36891"</definedName>
    <definedName name="FDD_169_0" hidden="1">"A30681"</definedName>
    <definedName name="FDD_169_1" hidden="1">"A31047"</definedName>
    <definedName name="FDD_169_10" hidden="1">"A34334"</definedName>
    <definedName name="FDD_169_11" hidden="1">"A34699"</definedName>
    <definedName name="FDD_169_12" hidden="1">"A35064"</definedName>
    <definedName name="FDD_169_13" hidden="1">"A35430"</definedName>
    <definedName name="FDD_169_14" hidden="1">"A35795"</definedName>
    <definedName name="FDD_169_2" hidden="1">"A31412"</definedName>
    <definedName name="FDD_169_3" hidden="1">"A31777"</definedName>
    <definedName name="FDD_169_4" hidden="1">"A32142"</definedName>
    <definedName name="FDD_169_5" hidden="1">"A32508"</definedName>
    <definedName name="FDD_169_6" hidden="1">"A32873"</definedName>
    <definedName name="FDD_169_7" hidden="1">"A33238"</definedName>
    <definedName name="FDD_169_8" hidden="1">"A33603"</definedName>
    <definedName name="FDD_169_9" hidden="1">"A33969"</definedName>
    <definedName name="FDD_17_0" hidden="1">"A25569"</definedName>
    <definedName name="FDD_170_0" hidden="1">"A30681"</definedName>
    <definedName name="FDD_170_1" hidden="1">"A31047"</definedName>
    <definedName name="FDD_170_10" hidden="1">"A34334"</definedName>
    <definedName name="FDD_170_11" hidden="1">"A34699"</definedName>
    <definedName name="FDD_170_12" hidden="1">"A35064"</definedName>
    <definedName name="FDD_170_13" hidden="1">"A35430"</definedName>
    <definedName name="FDD_170_14" hidden="1">"A35795"</definedName>
    <definedName name="FDD_170_2" hidden="1">"A31412"</definedName>
    <definedName name="FDD_170_3" hidden="1">"A31777"</definedName>
    <definedName name="FDD_170_4" hidden="1">"A32142"</definedName>
    <definedName name="FDD_170_5" hidden="1">"A32508"</definedName>
    <definedName name="FDD_170_6" hidden="1">"A32873"</definedName>
    <definedName name="FDD_170_7" hidden="1">"A33238"</definedName>
    <definedName name="FDD_170_8" hidden="1">"A33603"</definedName>
    <definedName name="FDD_170_9" hidden="1">"A33969"</definedName>
    <definedName name="FDD_171_0" hidden="1">"A30681"</definedName>
    <definedName name="FDD_171_1" hidden="1">"A31047"</definedName>
    <definedName name="FDD_171_10" hidden="1">"A34334"</definedName>
    <definedName name="FDD_171_11" hidden="1">"A34699"</definedName>
    <definedName name="FDD_171_12" hidden="1">"A35064"</definedName>
    <definedName name="FDD_171_13" hidden="1">"A35430"</definedName>
    <definedName name="FDD_171_14" hidden="1">"A35795"</definedName>
    <definedName name="FDD_171_2" hidden="1">"A31412"</definedName>
    <definedName name="FDD_171_3" hidden="1">"A31777"</definedName>
    <definedName name="FDD_171_4" hidden="1">"A32142"</definedName>
    <definedName name="FDD_171_5" hidden="1">"A32508"</definedName>
    <definedName name="FDD_171_6" hidden="1">"A32873"</definedName>
    <definedName name="FDD_171_7" hidden="1">"A33238"</definedName>
    <definedName name="FDD_171_8" hidden="1">"A33603"</definedName>
    <definedName name="FDD_171_9" hidden="1">"A33969"</definedName>
    <definedName name="FDD_172_0" hidden="1">"A30681"</definedName>
    <definedName name="FDD_172_1" hidden="1">"A31047"</definedName>
    <definedName name="FDD_172_10" hidden="1">"A34334"</definedName>
    <definedName name="FDD_172_11" hidden="1">"A34699"</definedName>
    <definedName name="FDD_172_12" hidden="1">"A35064"</definedName>
    <definedName name="FDD_172_13" hidden="1">"A35430"</definedName>
    <definedName name="FDD_172_14" hidden="1">"A35795"</definedName>
    <definedName name="FDD_172_2" hidden="1">"A31412"</definedName>
    <definedName name="FDD_172_3" hidden="1">"A31777"</definedName>
    <definedName name="FDD_172_4" hidden="1">"A32142"</definedName>
    <definedName name="FDD_172_5" hidden="1">"A32508"</definedName>
    <definedName name="FDD_172_6" hidden="1">"A32873"</definedName>
    <definedName name="FDD_172_7" hidden="1">"A33238"</definedName>
    <definedName name="FDD_172_8" hidden="1">"A33603"</definedName>
    <definedName name="FDD_172_9" hidden="1">"A33969"</definedName>
    <definedName name="FDD_173_0" hidden="1">"A30681"</definedName>
    <definedName name="FDD_173_1" hidden="1">"A31047"</definedName>
    <definedName name="FDD_173_10" hidden="1">"A34334"</definedName>
    <definedName name="FDD_173_11" hidden="1">"A34699"</definedName>
    <definedName name="FDD_173_12" hidden="1">"A35064"</definedName>
    <definedName name="FDD_173_13" hidden="1">"A35430"</definedName>
    <definedName name="FDD_173_14" hidden="1">"A35795"</definedName>
    <definedName name="FDD_173_2" hidden="1">"A31412"</definedName>
    <definedName name="FDD_173_3" hidden="1">"A31777"</definedName>
    <definedName name="FDD_173_4" hidden="1">"A32142"</definedName>
    <definedName name="FDD_173_5" hidden="1">"A32508"</definedName>
    <definedName name="FDD_173_6" hidden="1">"A32873"</definedName>
    <definedName name="FDD_173_7" hidden="1">"A33238"</definedName>
    <definedName name="FDD_173_8" hidden="1">"A33603"</definedName>
    <definedName name="FDD_173_9" hidden="1">"A33969"</definedName>
    <definedName name="FDD_174_0" hidden="1">"A30681"</definedName>
    <definedName name="FDD_174_1" hidden="1">"A31047"</definedName>
    <definedName name="FDD_174_10" hidden="1">"A34334"</definedName>
    <definedName name="FDD_174_11" hidden="1">"A34699"</definedName>
    <definedName name="FDD_174_12" hidden="1">"A35064"</definedName>
    <definedName name="FDD_174_13" hidden="1">"A35430"</definedName>
    <definedName name="FDD_174_14" hidden="1">"A35795"</definedName>
    <definedName name="FDD_174_2" hidden="1">"A31412"</definedName>
    <definedName name="FDD_174_3" hidden="1">"A31777"</definedName>
    <definedName name="FDD_174_4" hidden="1">"A32142"</definedName>
    <definedName name="FDD_174_5" hidden="1">"A32508"</definedName>
    <definedName name="FDD_174_6" hidden="1">"A32873"</definedName>
    <definedName name="FDD_174_7" hidden="1">"A33238"</definedName>
    <definedName name="FDD_174_8" hidden="1">"A33603"</definedName>
    <definedName name="FDD_174_9" hidden="1">"A33969"</definedName>
    <definedName name="FDD_175_0" hidden="1">"E36160"</definedName>
    <definedName name="FDD_175_1" hidden="1">"E36525"</definedName>
    <definedName name="FDD_175_2" hidden="1">"E36891"</definedName>
    <definedName name="FDD_176_0" hidden="1">"E36160"</definedName>
    <definedName name="FDD_176_1" hidden="1">"E36525"</definedName>
    <definedName name="FDD_176_2" hidden="1">"E36891"</definedName>
    <definedName name="FDD_177_0" hidden="1">"E36160"</definedName>
    <definedName name="FDD_177_1" hidden="1">"E36525"</definedName>
    <definedName name="FDD_177_2" hidden="1">"E36891"</definedName>
    <definedName name="FDD_178_0" hidden="1">"E36160"</definedName>
    <definedName name="FDD_178_1" hidden="1">"E36525"</definedName>
    <definedName name="FDD_178_2" hidden="1">"E36891"</definedName>
    <definedName name="FDD_179_0" hidden="1">"E36160"</definedName>
    <definedName name="FDD_179_1" hidden="1">"E36525"</definedName>
    <definedName name="FDD_179_2" hidden="1">"E36891"</definedName>
    <definedName name="FDD_18_0" hidden="1">"A25569"</definedName>
    <definedName name="FDD_180_0" hidden="1">"E36160"</definedName>
    <definedName name="FDD_180_1" hidden="1">"E36525"</definedName>
    <definedName name="FDD_180_2" hidden="1">"E36891"</definedName>
    <definedName name="FDD_181_0" hidden="1">"E36160"</definedName>
    <definedName name="FDD_181_1" hidden="1">"E36525"</definedName>
    <definedName name="FDD_181_2" hidden="1">"E36891"</definedName>
    <definedName name="FDD_182_0" hidden="1">"E36160"</definedName>
    <definedName name="FDD_182_1" hidden="1">"E36525"</definedName>
    <definedName name="FDD_182_2" hidden="1">"E36891"</definedName>
    <definedName name="FDD_183_0" hidden="1">"E36160"</definedName>
    <definedName name="FDD_183_1" hidden="1">"E36525"</definedName>
    <definedName name="FDD_183_2" hidden="1">"E36891"</definedName>
    <definedName name="FDD_184_0" hidden="1">"E36160"</definedName>
    <definedName name="FDD_184_1" hidden="1">"E36525"</definedName>
    <definedName name="FDD_184_2" hidden="1">"E36891"</definedName>
    <definedName name="FDD_185_0" hidden="1">"E36160"</definedName>
    <definedName name="FDD_185_1" hidden="1">"E36525"</definedName>
    <definedName name="FDD_185_2" hidden="1">"E36891"</definedName>
    <definedName name="FDD_186_0" hidden="1">"E36160"</definedName>
    <definedName name="FDD_186_1" hidden="1">"E36525"</definedName>
    <definedName name="FDD_186_2" hidden="1">"E36891"</definedName>
    <definedName name="FDD_187_0" hidden="1">"E36160"</definedName>
    <definedName name="FDD_187_1" hidden="1">"E36525"</definedName>
    <definedName name="FDD_187_2" hidden="1">"E36891"</definedName>
    <definedName name="FDD_188_0" hidden="1">"A30681"</definedName>
    <definedName name="FDD_188_1" hidden="1">"A31047"</definedName>
    <definedName name="FDD_188_10" hidden="1">"A34334"</definedName>
    <definedName name="FDD_188_11" hidden="1">"A34699"</definedName>
    <definedName name="FDD_188_12" hidden="1">"A35064"</definedName>
    <definedName name="FDD_188_13" hidden="1">"A35430"</definedName>
    <definedName name="FDD_188_14" hidden="1">"A35795"</definedName>
    <definedName name="FDD_188_2" hidden="1">"A31412"</definedName>
    <definedName name="FDD_188_3" hidden="1">"A31777"</definedName>
    <definedName name="FDD_188_4" hidden="1">"A32142"</definedName>
    <definedName name="FDD_188_5" hidden="1">"A32508"</definedName>
    <definedName name="FDD_188_6" hidden="1">"A32873"</definedName>
    <definedName name="FDD_188_7" hidden="1">"A33238"</definedName>
    <definedName name="FDD_188_8" hidden="1">"A33603"</definedName>
    <definedName name="FDD_188_9" hidden="1">"A33969"</definedName>
    <definedName name="FDD_189_0" hidden="1">"A30681"</definedName>
    <definedName name="FDD_189_1" hidden="1">"A31047"</definedName>
    <definedName name="FDD_189_10" hidden="1">"A34334"</definedName>
    <definedName name="FDD_189_11" hidden="1">"A34699"</definedName>
    <definedName name="FDD_189_12" hidden="1">"A35064"</definedName>
    <definedName name="FDD_189_13" hidden="1">"A35430"</definedName>
    <definedName name="FDD_189_14" hidden="1">"A35795"</definedName>
    <definedName name="FDD_189_2" hidden="1">"A31412"</definedName>
    <definedName name="FDD_189_3" hidden="1">"A31777"</definedName>
    <definedName name="FDD_189_4" hidden="1">"A32142"</definedName>
    <definedName name="FDD_189_5" hidden="1">"A32508"</definedName>
    <definedName name="FDD_189_6" hidden="1">"A32873"</definedName>
    <definedName name="FDD_189_7" hidden="1">"A33238"</definedName>
    <definedName name="FDD_189_8" hidden="1">"A33603"</definedName>
    <definedName name="FDD_189_9" hidden="1">"A33969"</definedName>
    <definedName name="FDD_19_0" hidden="1">"A25569"</definedName>
    <definedName name="FDD_190_0" hidden="1">"A30681"</definedName>
    <definedName name="FDD_190_1" hidden="1">"A31047"</definedName>
    <definedName name="FDD_190_10" hidden="1">"A34334"</definedName>
    <definedName name="FDD_190_11" hidden="1">"A34699"</definedName>
    <definedName name="FDD_190_12" hidden="1">"A35064"</definedName>
    <definedName name="FDD_190_13" hidden="1">"A35430"</definedName>
    <definedName name="FDD_190_14" hidden="1">"A35795"</definedName>
    <definedName name="FDD_190_2" hidden="1">"A31412"</definedName>
    <definedName name="FDD_190_3" hidden="1">"A31777"</definedName>
    <definedName name="FDD_190_4" hidden="1">"A32142"</definedName>
    <definedName name="FDD_190_5" hidden="1">"A32508"</definedName>
    <definedName name="FDD_190_6" hidden="1">"A32873"</definedName>
    <definedName name="FDD_190_7" hidden="1">"A33238"</definedName>
    <definedName name="FDD_190_8" hidden="1">"A33603"</definedName>
    <definedName name="FDD_190_9" hidden="1">"A33969"</definedName>
    <definedName name="FDD_191_0" hidden="1">"A30681"</definedName>
    <definedName name="FDD_191_1" hidden="1">"A31047"</definedName>
    <definedName name="FDD_191_10" hidden="1">"A34334"</definedName>
    <definedName name="FDD_191_11" hidden="1">"A34699"</definedName>
    <definedName name="FDD_191_12" hidden="1">"A35064"</definedName>
    <definedName name="FDD_191_13" hidden="1">"A35430"</definedName>
    <definedName name="FDD_191_14" hidden="1">"A35795"</definedName>
    <definedName name="FDD_191_2" hidden="1">"A31412"</definedName>
    <definedName name="FDD_191_3" hidden="1">"A31777"</definedName>
    <definedName name="FDD_191_4" hidden="1">"A32142"</definedName>
    <definedName name="FDD_191_5" hidden="1">"A32508"</definedName>
    <definedName name="FDD_191_6" hidden="1">"A32873"</definedName>
    <definedName name="FDD_191_7" hidden="1">"A33238"</definedName>
    <definedName name="FDD_191_8" hidden="1">"A33603"</definedName>
    <definedName name="FDD_191_9" hidden="1">"A33969"</definedName>
    <definedName name="FDD_192_0" hidden="1">"E36160"</definedName>
    <definedName name="FDD_192_1" hidden="1">"E36525"</definedName>
    <definedName name="FDD_192_2" hidden="1">"E36891"</definedName>
    <definedName name="FDD_193_0" hidden="1">"A30681"</definedName>
    <definedName name="FDD_193_1" hidden="1">"A31047"</definedName>
    <definedName name="FDD_193_10" hidden="1">"A34334"</definedName>
    <definedName name="FDD_193_11" hidden="1">"A34699"</definedName>
    <definedName name="FDD_193_12" hidden="1">"A35064"</definedName>
    <definedName name="FDD_193_13" hidden="1">"A35430"</definedName>
    <definedName name="FDD_193_14" hidden="1">"A35795"</definedName>
    <definedName name="FDD_193_2" hidden="1">"A31412"</definedName>
    <definedName name="FDD_193_3" hidden="1">"A31777"</definedName>
    <definedName name="FDD_193_4" hidden="1">"A32142"</definedName>
    <definedName name="FDD_193_5" hidden="1">"A32508"</definedName>
    <definedName name="FDD_193_6" hidden="1">"A32873"</definedName>
    <definedName name="FDD_193_7" hidden="1">"A33238"</definedName>
    <definedName name="FDD_193_8" hidden="1">"A33603"</definedName>
    <definedName name="FDD_193_9" hidden="1">"A33969"</definedName>
    <definedName name="FDD_194_0" hidden="1">"A30681"</definedName>
    <definedName name="FDD_194_1" hidden="1">"A31047"</definedName>
    <definedName name="FDD_194_10" hidden="1">"A34334"</definedName>
    <definedName name="FDD_194_11" hidden="1">"A34699"</definedName>
    <definedName name="FDD_194_12" hidden="1">"A35064"</definedName>
    <definedName name="FDD_194_13" hidden="1">"A35430"</definedName>
    <definedName name="FDD_194_14" hidden="1">"A35795"</definedName>
    <definedName name="FDD_194_2" hidden="1">"A31412"</definedName>
    <definedName name="FDD_194_3" hidden="1">"A31777"</definedName>
    <definedName name="FDD_194_4" hidden="1">"A32142"</definedName>
    <definedName name="FDD_194_5" hidden="1">"A32508"</definedName>
    <definedName name="FDD_194_6" hidden="1">"A32873"</definedName>
    <definedName name="FDD_194_7" hidden="1">"A33238"</definedName>
    <definedName name="FDD_194_8" hidden="1">"A33603"</definedName>
    <definedName name="FDD_194_9" hidden="1">"A33969"</definedName>
    <definedName name="FDD_195_0" hidden="1">"A30681"</definedName>
    <definedName name="FDD_195_1" hidden="1">"A31047"</definedName>
    <definedName name="FDD_195_10" hidden="1">"A34334"</definedName>
    <definedName name="FDD_195_11" hidden="1">"A34699"</definedName>
    <definedName name="FDD_195_12" hidden="1">"A35064"</definedName>
    <definedName name="FDD_195_13" hidden="1">"A35430"</definedName>
    <definedName name="FDD_195_14" hidden="1">"A35795"</definedName>
    <definedName name="FDD_195_2" hidden="1">"A31412"</definedName>
    <definedName name="FDD_195_3" hidden="1">"A31777"</definedName>
    <definedName name="FDD_195_4" hidden="1">"A32142"</definedName>
    <definedName name="FDD_195_5" hidden="1">"A32508"</definedName>
    <definedName name="FDD_195_6" hidden="1">"A32873"</definedName>
    <definedName name="FDD_195_7" hidden="1">"A33238"</definedName>
    <definedName name="FDD_195_8" hidden="1">"A33603"</definedName>
    <definedName name="FDD_195_9" hidden="1">"A33969"</definedName>
    <definedName name="FDD_196_0" hidden="1">"E36160"</definedName>
    <definedName name="FDD_196_1" hidden="1">"E36525"</definedName>
    <definedName name="FDD_196_2" hidden="1">"E36891"</definedName>
    <definedName name="FDD_197_0" hidden="1">"A30681"</definedName>
    <definedName name="FDD_197_1" hidden="1">"A31047"</definedName>
    <definedName name="FDD_197_10" hidden="1">"A34334"</definedName>
    <definedName name="FDD_197_11" hidden="1">"A34699"</definedName>
    <definedName name="FDD_197_12" hidden="1">"A35064"</definedName>
    <definedName name="FDD_197_13" hidden="1">"A35430"</definedName>
    <definedName name="FDD_197_14" hidden="1">"A35795"</definedName>
    <definedName name="FDD_197_2" hidden="1">"A31412"</definedName>
    <definedName name="FDD_197_3" hidden="1">"A31777"</definedName>
    <definedName name="FDD_197_4" hidden="1">"A32142"</definedName>
    <definedName name="FDD_197_5" hidden="1">"A32508"</definedName>
    <definedName name="FDD_197_6" hidden="1">"A32873"</definedName>
    <definedName name="FDD_197_7" hidden="1">"A33238"</definedName>
    <definedName name="FDD_197_8" hidden="1">"A33603"</definedName>
    <definedName name="FDD_197_9" hidden="1">"A33969"</definedName>
    <definedName name="FDD_198_0" hidden="1">"A30681"</definedName>
    <definedName name="FDD_198_1" hidden="1">"A31047"</definedName>
    <definedName name="FDD_198_10" hidden="1">"U34334"</definedName>
    <definedName name="FDD_198_11" hidden="1">"U34699"</definedName>
    <definedName name="FDD_198_12" hidden="1">"U35064"</definedName>
    <definedName name="FDD_198_13" hidden="1">"U35430"</definedName>
    <definedName name="FDD_198_14" hidden="1">"U35795"</definedName>
    <definedName name="FDD_198_2" hidden="1">"A31412"</definedName>
    <definedName name="FDD_198_3" hidden="1">"U31777"</definedName>
    <definedName name="FDD_198_4" hidden="1">"U32142"</definedName>
    <definedName name="FDD_198_5" hidden="1">"U32508"</definedName>
    <definedName name="FDD_198_6" hidden="1">"U32873"</definedName>
    <definedName name="FDD_198_7" hidden="1">"U33238"</definedName>
    <definedName name="FDD_198_8" hidden="1">"U33603"</definedName>
    <definedName name="FDD_198_9" hidden="1">"U33969"</definedName>
    <definedName name="FDD_199_0" hidden="1">"E36160"</definedName>
    <definedName name="FDD_199_1" hidden="1">"E36525"</definedName>
    <definedName name="FDD_199_2" hidden="1">"E36891"</definedName>
    <definedName name="FDD_2_0" hidden="1">"A25569"</definedName>
    <definedName name="FDD_20_0" hidden="1">"A25569"</definedName>
    <definedName name="FDD_200_0" hidden="1">"E36160"</definedName>
    <definedName name="FDD_200_1" hidden="1">"E36525"</definedName>
    <definedName name="FDD_200_2" hidden="1">"E36891"</definedName>
    <definedName name="FDD_201_0" hidden="1">"A30681"</definedName>
    <definedName name="FDD_201_1" hidden="1">"A31047"</definedName>
    <definedName name="FDD_201_10" hidden="1">"A34334"</definedName>
    <definedName name="FDD_201_11" hidden="1">"A34699"</definedName>
    <definedName name="FDD_201_12" hidden="1">"A35064"</definedName>
    <definedName name="FDD_201_13" hidden="1">"A35430"</definedName>
    <definedName name="FDD_201_14" hidden="1">"A35795"</definedName>
    <definedName name="FDD_201_2" hidden="1">"A31412"</definedName>
    <definedName name="FDD_201_3" hidden="1">"A31777"</definedName>
    <definedName name="FDD_201_4" hidden="1">"A32142"</definedName>
    <definedName name="FDD_201_5" hidden="1">"A32508"</definedName>
    <definedName name="FDD_201_6" hidden="1">"A32873"</definedName>
    <definedName name="FDD_201_7" hidden="1">"A33238"</definedName>
    <definedName name="FDD_201_8" hidden="1">"A33603"</definedName>
    <definedName name="FDD_201_9" hidden="1">"A33969"</definedName>
    <definedName name="FDD_202_0" hidden="1">"A30681"</definedName>
    <definedName name="FDD_202_1" hidden="1">"A31047"</definedName>
    <definedName name="FDD_202_10" hidden="1">"A34334"</definedName>
    <definedName name="FDD_202_11" hidden="1">"A34699"</definedName>
    <definedName name="FDD_202_12" hidden="1">"A35064"</definedName>
    <definedName name="FDD_202_13" hidden="1">"A35430"</definedName>
    <definedName name="FDD_202_14" hidden="1">"A35795"</definedName>
    <definedName name="FDD_202_2" hidden="1">"A31412"</definedName>
    <definedName name="FDD_202_3" hidden="1">"A31777"</definedName>
    <definedName name="FDD_202_4" hidden="1">"A32142"</definedName>
    <definedName name="FDD_202_5" hidden="1">"A32508"</definedName>
    <definedName name="FDD_202_6" hidden="1">"A32873"</definedName>
    <definedName name="FDD_202_7" hidden="1">"A33238"</definedName>
    <definedName name="FDD_202_8" hidden="1">"A33603"</definedName>
    <definedName name="FDD_202_9" hidden="1">"A33969"</definedName>
    <definedName name="FDD_203_0" hidden="1">"E36160"</definedName>
    <definedName name="FDD_203_1" hidden="1">"E36525"</definedName>
    <definedName name="FDD_203_2" hidden="1">"E36891"</definedName>
    <definedName name="FDD_204_0" hidden="1">"A25569"</definedName>
    <definedName name="FDD_205_0" hidden="1">"A25569"</definedName>
    <definedName name="FDD_206_0" hidden="1">"A25569"</definedName>
    <definedName name="FDD_207_0" hidden="1">"A25569"</definedName>
    <definedName name="FDD_208_0" hidden="1">"E36160"</definedName>
    <definedName name="FDD_208_1" hidden="1">"E36525"</definedName>
    <definedName name="FDD_208_2" hidden="1">"E36891"</definedName>
    <definedName name="FDD_209_0" hidden="1">"A25569"</definedName>
    <definedName name="FDD_21_0" hidden="1">"A25569"</definedName>
    <definedName name="FDD_210_0" hidden="1">"A25569"</definedName>
    <definedName name="FDD_211_0" hidden="1">"A25569"</definedName>
    <definedName name="FDD_212_0" hidden="1">"A25569"</definedName>
    <definedName name="FDD_213_0" hidden="1">"E36160"</definedName>
    <definedName name="FDD_213_1" hidden="1">"E36525"</definedName>
    <definedName name="FDD_213_2" hidden="1">"E36891"</definedName>
    <definedName name="FDD_214_0" hidden="1">"A25569"</definedName>
    <definedName name="FDD_215_0" hidden="1">"A25569"</definedName>
    <definedName name="FDD_216_0" hidden="1">"A25569"</definedName>
    <definedName name="FDD_217_0" hidden="1">"A25569"</definedName>
    <definedName name="FDD_218_0" hidden="1">"E36160"</definedName>
    <definedName name="FDD_218_1" hidden="1">"E36525"</definedName>
    <definedName name="FDD_218_2" hidden="1">"E36891"</definedName>
    <definedName name="FDD_219_0" hidden="1">"U25569"</definedName>
    <definedName name="FDD_22_0" hidden="1">"A25569"</definedName>
    <definedName name="FDD_220_0" hidden="1">"U25569"</definedName>
    <definedName name="FDD_221_0" hidden="1">"U25569"</definedName>
    <definedName name="FDD_222_0" hidden="1">"U25569"</definedName>
    <definedName name="FDD_223_0" hidden="1">"E36160"</definedName>
    <definedName name="FDD_223_1" hidden="1">"E36525"</definedName>
    <definedName name="FDD_223_2" hidden="1">"E36891"</definedName>
    <definedName name="FDD_224_0" hidden="1">"A25569"</definedName>
    <definedName name="FDD_225_0" hidden="1">"A25569"</definedName>
    <definedName name="FDD_226_0" hidden="1">"A25569"</definedName>
    <definedName name="FDD_227_0" hidden="1">"A25569"</definedName>
    <definedName name="FDD_228_0" hidden="1">"E36160"</definedName>
    <definedName name="FDD_228_1" hidden="1">"E36525"</definedName>
    <definedName name="FDD_228_2" hidden="1">"E36891"</definedName>
    <definedName name="FDD_229_0" hidden="1">"A25569"</definedName>
    <definedName name="FDD_23_0" hidden="1">"A25569"</definedName>
    <definedName name="FDD_230_0" hidden="1">"A25569"</definedName>
    <definedName name="FDD_231_0" hidden="1">"A25569"</definedName>
    <definedName name="FDD_232_0" hidden="1">"A25569"</definedName>
    <definedName name="FDD_233_0" hidden="1">"A25569"</definedName>
    <definedName name="FDD_234_0" hidden="1">"A25569"</definedName>
    <definedName name="FDD_235_0" hidden="1">"A25569"</definedName>
    <definedName name="FDD_236_0" hidden="1">"A25569"</definedName>
    <definedName name="FDD_237_0" hidden="1">"A25569"</definedName>
    <definedName name="FDD_238_0" hidden="1">"A30681"</definedName>
    <definedName name="FDD_238_1" hidden="1">"A31047"</definedName>
    <definedName name="FDD_238_10" hidden="1">"A34334"</definedName>
    <definedName name="FDD_238_11" hidden="1">"A34699"</definedName>
    <definedName name="FDD_238_12" hidden="1">"A35064"</definedName>
    <definedName name="FDD_238_13" hidden="1">"A35430"</definedName>
    <definedName name="FDD_238_14" hidden="1">"A35795"</definedName>
    <definedName name="FDD_238_2" hidden="1">"A31412"</definedName>
    <definedName name="FDD_238_3" hidden="1">"A31777"</definedName>
    <definedName name="FDD_238_4" hidden="1">"A32142"</definedName>
    <definedName name="FDD_238_5" hidden="1">"A32508"</definedName>
    <definedName name="FDD_238_6" hidden="1">"A32873"</definedName>
    <definedName name="FDD_238_7" hidden="1">"A33238"</definedName>
    <definedName name="FDD_238_8" hidden="1">"A33603"</definedName>
    <definedName name="FDD_238_9" hidden="1">"A33969"</definedName>
    <definedName name="FDD_24_0" hidden="1">"A25569"</definedName>
    <definedName name="FDD_243_0" hidden="1">"E36160"</definedName>
    <definedName name="FDD_243_1" hidden="1">"E36525"</definedName>
    <definedName name="FDD_243_2" hidden="1">"E36891"</definedName>
    <definedName name="FDD_244_0" hidden="1">"A25569"</definedName>
    <definedName name="FDD_245_0" hidden="1">"A25569"</definedName>
    <definedName name="FDD_246_0" hidden="1">"A25569"</definedName>
    <definedName name="FDD_247_0" hidden="1">"A25569"</definedName>
    <definedName name="FDD_248_0" hidden="1">"E36160"</definedName>
    <definedName name="FDD_248_1" hidden="1">"E36525"</definedName>
    <definedName name="FDD_248_2" hidden="1">"E36891"</definedName>
    <definedName name="FDD_249_0" hidden="1">"A25569"</definedName>
    <definedName name="FDD_25_0" hidden="1">"A25569"</definedName>
    <definedName name="FDD_250_0" hidden="1">"A25569"</definedName>
    <definedName name="FDD_251_0" hidden="1">"A25569"</definedName>
    <definedName name="FDD_252_0" hidden="1">"A25569"</definedName>
    <definedName name="FDD_253_0" hidden="1">"E36160"</definedName>
    <definedName name="FDD_253_1" hidden="1">"E36525"</definedName>
    <definedName name="FDD_253_2" hidden="1">"E36891"</definedName>
    <definedName name="FDD_254_0" hidden="1">"E36160"</definedName>
    <definedName name="FDD_254_1" hidden="1">"E36525"</definedName>
    <definedName name="FDD_254_2" hidden="1">"E36891"</definedName>
    <definedName name="FDD_255_0" hidden="1">"E36160"</definedName>
    <definedName name="FDD_255_1" hidden="1">"E36525"</definedName>
    <definedName name="FDD_255_2" hidden="1">"E36891"</definedName>
    <definedName name="FDD_256_0" hidden="1">"U36160"</definedName>
    <definedName name="FDD_256_1" hidden="1">"U36525"</definedName>
    <definedName name="FDD_256_2" hidden="1">"U36891"</definedName>
    <definedName name="FDD_257_0" hidden="1">"E36160"</definedName>
    <definedName name="FDD_257_1" hidden="1">"E36525"</definedName>
    <definedName name="FDD_257_2" hidden="1">"E36891"</definedName>
    <definedName name="FDD_258_0" hidden="1">"E36160"</definedName>
    <definedName name="FDD_258_1" hidden="1">"E36525"</definedName>
    <definedName name="FDD_258_2" hidden="1">"E36891"</definedName>
    <definedName name="FDD_259_0" hidden="1">"E36160"</definedName>
    <definedName name="FDD_259_1" hidden="1">"E36525"</definedName>
    <definedName name="FDD_259_2" hidden="1">"E36891"</definedName>
    <definedName name="FDD_26_0" hidden="1">"A25569"</definedName>
    <definedName name="FDD_260_0" hidden="1">"E36160"</definedName>
    <definedName name="FDD_260_1" hidden="1">"E36525"</definedName>
    <definedName name="FDD_260_2" hidden="1">"E36891"</definedName>
    <definedName name="FDD_261_0" hidden="1">"E36160"</definedName>
    <definedName name="FDD_261_1" hidden="1">"E36525"</definedName>
    <definedName name="FDD_261_2" hidden="1">"E36891"</definedName>
    <definedName name="FDD_264_0" hidden="1">"E36160"</definedName>
    <definedName name="FDD_264_1" hidden="1">"E36525"</definedName>
    <definedName name="FDD_264_2" hidden="1">"E36891"</definedName>
    <definedName name="FDD_265_0" hidden="1">"A25569"</definedName>
    <definedName name="FDD_266_0" hidden="1">"A25569"</definedName>
    <definedName name="FDD_267_0" hidden="1">"A25569"</definedName>
    <definedName name="FDD_268_0" hidden="1">"A25569"</definedName>
    <definedName name="FDD_269_0" hidden="1">"E36160"</definedName>
    <definedName name="FDD_269_1" hidden="1">"E36525"</definedName>
    <definedName name="FDD_269_2" hidden="1">"E36891"</definedName>
    <definedName name="FDD_27_0" hidden="1">"A25569"</definedName>
    <definedName name="FDD_270_0" hidden="1">"A25569"</definedName>
    <definedName name="FDD_271_0" hidden="1">"A25569"</definedName>
    <definedName name="FDD_272_0" hidden="1">"A25569"</definedName>
    <definedName name="FDD_273_0" hidden="1">"A25569"</definedName>
    <definedName name="FDD_274_0" hidden="1">"E36160"</definedName>
    <definedName name="FDD_274_1" hidden="1">"E36525"</definedName>
    <definedName name="FDD_274_2" hidden="1">"E36891"</definedName>
    <definedName name="FDD_275_0" hidden="1">"A25569"</definedName>
    <definedName name="FDD_276_0" hidden="1">"A25569"</definedName>
    <definedName name="FDD_277_0" hidden="1">"A25569"</definedName>
    <definedName name="FDD_278_0" hidden="1">"A25569"</definedName>
    <definedName name="FDD_279_0" hidden="1">"E36160"</definedName>
    <definedName name="FDD_279_1" hidden="1">"E36525"</definedName>
    <definedName name="FDD_279_2" hidden="1">"E36891"</definedName>
    <definedName name="FDD_28_0" hidden="1">"A25569"</definedName>
    <definedName name="FDD_280_0" hidden="1">"E36160"</definedName>
    <definedName name="FDD_280_1" hidden="1">"E36525"</definedName>
    <definedName name="FDD_280_2" hidden="1">"E36891"</definedName>
    <definedName name="FDD_281_0" hidden="1">"E36160"</definedName>
    <definedName name="FDD_281_1" hidden="1">"E36525"</definedName>
    <definedName name="FDD_281_2" hidden="1">"E36891"</definedName>
    <definedName name="FDD_282_0" hidden="1">"E36160"</definedName>
    <definedName name="FDD_282_1" hidden="1">"E36525"</definedName>
    <definedName name="FDD_282_2" hidden="1">"E36891"</definedName>
    <definedName name="FDD_283_0" hidden="1">"E36160"</definedName>
    <definedName name="FDD_283_1" hidden="1">"E36525"</definedName>
    <definedName name="FDD_283_2" hidden="1">"E36891"</definedName>
    <definedName name="FDD_284_0" hidden="1">"A30681"</definedName>
    <definedName name="FDD_284_1" hidden="1">"A31047"</definedName>
    <definedName name="FDD_284_10" hidden="1">"A34334"</definedName>
    <definedName name="FDD_284_11" hidden="1">"A34699"</definedName>
    <definedName name="FDD_284_12" hidden="1">"A35064"</definedName>
    <definedName name="FDD_284_13" hidden="1">"A35430"</definedName>
    <definedName name="FDD_284_14" hidden="1">"A35795"</definedName>
    <definedName name="FDD_284_2" hidden="1">"A31412"</definedName>
    <definedName name="FDD_284_3" hidden="1">"A31777"</definedName>
    <definedName name="FDD_284_4" hidden="1">"A32142"</definedName>
    <definedName name="FDD_284_5" hidden="1">"A32508"</definedName>
    <definedName name="FDD_284_6" hidden="1">"A32873"</definedName>
    <definedName name="FDD_284_7" hidden="1">"A33238"</definedName>
    <definedName name="FDD_284_8" hidden="1">"A33603"</definedName>
    <definedName name="FDD_284_9" hidden="1">"A33969"</definedName>
    <definedName name="FDD_285_0" hidden="1">"A35795"</definedName>
    <definedName name="FDD_285_1" hidden="1">"E36160"</definedName>
    <definedName name="FDD_285_10" hidden="1">"E39447"</definedName>
    <definedName name="FDD_285_11" hidden="1">"E39813"</definedName>
    <definedName name="FDD_285_12" hidden="1">"E40178"</definedName>
    <definedName name="FDD_285_13" hidden="1">"E40543"</definedName>
    <definedName name="FDD_285_14" hidden="1">"E40908"</definedName>
    <definedName name="FDD_285_15" hidden="1">"E41274"</definedName>
    <definedName name="FDD_285_16" hidden="1">"E41639"</definedName>
    <definedName name="FDD_285_17" hidden="1">"E42004"</definedName>
    <definedName name="FDD_285_18" hidden="1">"E42369"</definedName>
    <definedName name="FDD_285_19" hidden="1">"E42735"</definedName>
    <definedName name="FDD_285_2" hidden="1">"E36525"</definedName>
    <definedName name="FDD_285_20" hidden="1">"E43100"</definedName>
    <definedName name="FDD_285_21" hidden="1">"E43465"</definedName>
    <definedName name="FDD_285_22" hidden="1">"E43830"</definedName>
    <definedName name="FDD_285_23" hidden="1">"E44196"</definedName>
    <definedName name="FDD_285_24" hidden="1">"E44561"</definedName>
    <definedName name="FDD_285_25" hidden="1">"E44926"</definedName>
    <definedName name="FDD_285_3" hidden="1">"E36891"</definedName>
    <definedName name="FDD_285_4" hidden="1">"E37256"</definedName>
    <definedName name="FDD_285_5" hidden="1">"E37621"</definedName>
    <definedName name="FDD_285_6" hidden="1">"E37986"</definedName>
    <definedName name="FDD_285_7" hidden="1">"E38352"</definedName>
    <definedName name="FDD_285_8" hidden="1">"E38717"</definedName>
    <definedName name="FDD_285_9" hidden="1">"E39082"</definedName>
    <definedName name="FDD_286_0" hidden="1">"E36160"</definedName>
    <definedName name="FDD_286_1" hidden="1">"E36525"</definedName>
    <definedName name="FDD_286_10" hidden="1">"E39813"</definedName>
    <definedName name="FDD_286_11" hidden="1">"E40178"</definedName>
    <definedName name="FDD_286_12" hidden="1">"E40543"</definedName>
    <definedName name="FDD_286_13" hidden="1">"E40908"</definedName>
    <definedName name="FDD_286_14" hidden="1">"E41274"</definedName>
    <definedName name="FDD_286_15" hidden="1">"E41639"</definedName>
    <definedName name="FDD_286_16" hidden="1">"E42004"</definedName>
    <definedName name="FDD_286_17" hidden="1">"E42369"</definedName>
    <definedName name="FDD_286_18" hidden="1">"E42735"</definedName>
    <definedName name="FDD_286_19" hidden="1">"E43100"</definedName>
    <definedName name="FDD_286_2" hidden="1">"E36891"</definedName>
    <definedName name="FDD_286_20" hidden="1">"E43465"</definedName>
    <definedName name="FDD_286_21" hidden="1">"E43830"</definedName>
    <definedName name="FDD_286_22" hidden="1">"E44196"</definedName>
    <definedName name="FDD_286_23" hidden="1">"E44561"</definedName>
    <definedName name="FDD_286_24" hidden="1">"E44926"</definedName>
    <definedName name="FDD_286_3" hidden="1">"E37256"</definedName>
    <definedName name="FDD_286_4" hidden="1">"E37621"</definedName>
    <definedName name="FDD_286_5" hidden="1">"E37986"</definedName>
    <definedName name="FDD_286_6" hidden="1">"E38352"</definedName>
    <definedName name="FDD_286_7" hidden="1">"E38717"</definedName>
    <definedName name="FDD_286_8" hidden="1">"E39082"</definedName>
    <definedName name="FDD_286_9" hidden="1">"E39447"</definedName>
    <definedName name="FDD_287_0" hidden="1">"A25569"</definedName>
    <definedName name="FDD_288_0" hidden="1">"A25569"</definedName>
    <definedName name="FDD_289_0" hidden="1">"A36890"</definedName>
    <definedName name="FDD_29_0" hidden="1">"A25569"</definedName>
    <definedName name="FDD_290_0" hidden="1">"A36890"</definedName>
    <definedName name="FDD_291_0" hidden="1">"A25569"</definedName>
    <definedName name="FDD_295_0" hidden="1">"U25569"</definedName>
    <definedName name="FDD_296_0" hidden="1">"A25569"</definedName>
    <definedName name="FDD_297_0" hidden="1">"A25569"</definedName>
    <definedName name="FDD_298_0" hidden="1">"A25569"</definedName>
    <definedName name="FDD_299_0" hidden="1">"A25569"</definedName>
    <definedName name="FDD_3_0" hidden="1">"A25569"</definedName>
    <definedName name="FDD_30_0" hidden="1">"A25569"</definedName>
    <definedName name="FDD_300_0" hidden="1">"U25569"</definedName>
    <definedName name="FDD_301_0" hidden="1">"U35795"</definedName>
    <definedName name="FDD_301_1" hidden="1">"U36160"</definedName>
    <definedName name="FDD_301_2" hidden="1">"U36525"</definedName>
    <definedName name="FDD_302_0" hidden="1">"U35795"</definedName>
    <definedName name="FDD_302_1" hidden="1">"U36160"</definedName>
    <definedName name="FDD_302_2" hidden="1">"U36525"</definedName>
    <definedName name="FDD_303_0" hidden="1">"U35795"</definedName>
    <definedName name="FDD_303_1" hidden="1">"U36160"</definedName>
    <definedName name="FDD_303_2" hidden="1">"U36525"</definedName>
    <definedName name="FDD_304_0" hidden="1">"U35795"</definedName>
    <definedName name="FDD_304_1" hidden="1">"U36160"</definedName>
    <definedName name="FDD_304_2" hidden="1">"U36525"</definedName>
    <definedName name="FDD_305_0" hidden="1">"A30681"</definedName>
    <definedName name="FDD_305_1" hidden="1">"A31047"</definedName>
    <definedName name="FDD_305_10" hidden="1">"U34334"</definedName>
    <definedName name="FDD_305_11" hidden="1">"U34699"</definedName>
    <definedName name="FDD_305_12" hidden="1">"U35064"</definedName>
    <definedName name="FDD_305_13" hidden="1">"U35430"</definedName>
    <definedName name="FDD_305_14" hidden="1">"U35795"</definedName>
    <definedName name="FDD_305_2" hidden="1">"A31412"</definedName>
    <definedName name="FDD_305_3" hidden="1">"U31777"</definedName>
    <definedName name="FDD_305_4" hidden="1">"U32142"</definedName>
    <definedName name="FDD_305_5" hidden="1">"U32508"</definedName>
    <definedName name="FDD_305_6" hidden="1">"U32873"</definedName>
    <definedName name="FDD_305_7" hidden="1">"U33238"</definedName>
    <definedName name="FDD_305_8" hidden="1">"U33603"</definedName>
    <definedName name="FDD_305_9" hidden="1">"U33969"</definedName>
    <definedName name="FDD_306_0" hidden="1">"U35795"</definedName>
    <definedName name="FDD_306_1" hidden="1">"E36160"</definedName>
    <definedName name="FDD_306_2" hidden="1">"U36525"</definedName>
    <definedName name="FDD_307_0" hidden="1">"A35795"</definedName>
    <definedName name="FDD_307_1" hidden="1">"U36160"</definedName>
    <definedName name="FDD_307_2" hidden="1">"U36525"</definedName>
    <definedName name="FDD_31_0" hidden="1">"A25569"</definedName>
    <definedName name="FDD_32_0" hidden="1">"A25569"</definedName>
    <definedName name="FDD_33_0" hidden="1">"A25569"</definedName>
    <definedName name="FDD_34_0" hidden="1">"A25569"</definedName>
    <definedName name="FDD_35_0" hidden="1">"A25569"</definedName>
    <definedName name="FDD_36_0" hidden="1">"A25569"</definedName>
    <definedName name="FDD_37_0" hidden="1">"A25569"</definedName>
    <definedName name="FDD_38_0" hidden="1">"A25569"</definedName>
    <definedName name="FDD_39_0" hidden="1">"A25569"</definedName>
    <definedName name="FDD_4_0" hidden="1">"A25569"</definedName>
    <definedName name="FDD_40_0" hidden="1">"A25569"</definedName>
    <definedName name="FDD_41_0" hidden="1">"U25569"</definedName>
    <definedName name="FDD_42_0" hidden="1">"U25569"</definedName>
    <definedName name="FDD_43_0" hidden="1">"A25569"</definedName>
    <definedName name="FDD_44_0" hidden="1">"A30681"</definedName>
    <definedName name="FDD_44_1" hidden="1">"A31047"</definedName>
    <definedName name="FDD_44_10" hidden="1">"A34334"</definedName>
    <definedName name="FDD_44_11" hidden="1">"A34699"</definedName>
    <definedName name="FDD_44_12" hidden="1">"A35064"</definedName>
    <definedName name="FDD_44_13" hidden="1">"A35430"</definedName>
    <definedName name="FDD_44_14" hidden="1">"A35795"</definedName>
    <definedName name="FDD_44_2" hidden="1">"A31412"</definedName>
    <definedName name="FDD_44_3" hidden="1">"A31777"</definedName>
    <definedName name="FDD_44_4" hidden="1">"A32142"</definedName>
    <definedName name="FDD_44_5" hidden="1">"A32508"</definedName>
    <definedName name="FDD_44_6" hidden="1">"A32873"</definedName>
    <definedName name="FDD_44_7" hidden="1">"A33238"</definedName>
    <definedName name="FDD_44_8" hidden="1">"A33603"</definedName>
    <definedName name="FDD_44_9" hidden="1">"A33969"</definedName>
    <definedName name="FDD_45_0" hidden="1">"A30681"</definedName>
    <definedName name="FDD_45_1" hidden="1">"A31047"</definedName>
    <definedName name="FDD_45_10" hidden="1">"A34334"</definedName>
    <definedName name="FDD_45_11" hidden="1">"A34699"</definedName>
    <definedName name="FDD_45_12" hidden="1">"A35064"</definedName>
    <definedName name="FDD_45_13" hidden="1">"A35430"</definedName>
    <definedName name="FDD_45_14" hidden="1">"A35795"</definedName>
    <definedName name="FDD_45_2" hidden="1">"A31412"</definedName>
    <definedName name="FDD_45_3" hidden="1">"A31777"</definedName>
    <definedName name="FDD_45_4" hidden="1">"A32142"</definedName>
    <definedName name="FDD_45_5" hidden="1">"A32508"</definedName>
    <definedName name="FDD_45_6" hidden="1">"A32873"</definedName>
    <definedName name="FDD_45_7" hidden="1">"A33238"</definedName>
    <definedName name="FDD_45_8" hidden="1">"A33603"</definedName>
    <definedName name="FDD_45_9" hidden="1">"A33969"</definedName>
    <definedName name="FDD_46_0" hidden="1">"A30681"</definedName>
    <definedName name="FDD_46_1" hidden="1">"A31047"</definedName>
    <definedName name="FDD_46_10" hidden="1">"A34334"</definedName>
    <definedName name="FDD_46_11" hidden="1">"A34699"</definedName>
    <definedName name="FDD_46_12" hidden="1">"A35064"</definedName>
    <definedName name="FDD_46_13" hidden="1">"A35430"</definedName>
    <definedName name="FDD_46_14" hidden="1">"A35795"</definedName>
    <definedName name="FDD_46_2" hidden="1">"A31412"</definedName>
    <definedName name="FDD_46_3" hidden="1">"A31777"</definedName>
    <definedName name="FDD_46_4" hidden="1">"A32142"</definedName>
    <definedName name="FDD_46_5" hidden="1">"A32508"</definedName>
    <definedName name="FDD_46_6" hidden="1">"A32873"</definedName>
    <definedName name="FDD_46_7" hidden="1">"A33238"</definedName>
    <definedName name="FDD_46_8" hidden="1">"A33603"</definedName>
    <definedName name="FDD_46_9" hidden="1">"A33969"</definedName>
    <definedName name="FDD_47_0" hidden="1">"A30681"</definedName>
    <definedName name="FDD_47_1" hidden="1">"A31047"</definedName>
    <definedName name="FDD_47_10" hidden="1">"A34334"</definedName>
    <definedName name="FDD_47_11" hidden="1">"A34699"</definedName>
    <definedName name="FDD_47_12" hidden="1">"A35064"</definedName>
    <definedName name="FDD_47_13" hidden="1">"A35430"</definedName>
    <definedName name="FDD_47_14" hidden="1">"A35795"</definedName>
    <definedName name="FDD_47_2" hidden="1">"A31412"</definedName>
    <definedName name="FDD_47_3" hidden="1">"A31777"</definedName>
    <definedName name="FDD_47_4" hidden="1">"A32142"</definedName>
    <definedName name="FDD_47_5" hidden="1">"A32508"</definedName>
    <definedName name="FDD_47_6" hidden="1">"A32873"</definedName>
    <definedName name="FDD_47_7" hidden="1">"A33238"</definedName>
    <definedName name="FDD_47_8" hidden="1">"A33603"</definedName>
    <definedName name="FDD_47_9" hidden="1">"A33969"</definedName>
    <definedName name="FDD_48_0" hidden="1">"A30681"</definedName>
    <definedName name="FDD_48_1" hidden="1">"A31047"</definedName>
    <definedName name="FDD_48_10" hidden="1">"A34334"</definedName>
    <definedName name="FDD_48_11" hidden="1">"A34699"</definedName>
    <definedName name="FDD_48_12" hidden="1">"A35064"</definedName>
    <definedName name="FDD_48_13" hidden="1">"A35430"</definedName>
    <definedName name="FDD_48_14" hidden="1">"A35795"</definedName>
    <definedName name="FDD_48_2" hidden="1">"A31412"</definedName>
    <definedName name="FDD_48_3" hidden="1">"A31777"</definedName>
    <definedName name="FDD_48_4" hidden="1">"A32142"</definedName>
    <definedName name="FDD_48_5" hidden="1">"A32508"</definedName>
    <definedName name="FDD_48_6" hidden="1">"A32873"</definedName>
    <definedName name="FDD_48_7" hidden="1">"A33238"</definedName>
    <definedName name="FDD_48_8" hidden="1">"A33603"</definedName>
    <definedName name="FDD_48_9" hidden="1">"A33969"</definedName>
    <definedName name="FDD_49_0" hidden="1">"A30681"</definedName>
    <definedName name="FDD_49_1" hidden="1">"A31047"</definedName>
    <definedName name="FDD_49_10" hidden="1">"A34334"</definedName>
    <definedName name="FDD_49_11" hidden="1">"A34699"</definedName>
    <definedName name="FDD_49_12" hidden="1">"A35064"</definedName>
    <definedName name="FDD_49_13" hidden="1">"A35430"</definedName>
    <definedName name="FDD_49_14" hidden="1">"A35795"</definedName>
    <definedName name="FDD_49_2" hidden="1">"A31412"</definedName>
    <definedName name="FDD_49_3" hidden="1">"A31777"</definedName>
    <definedName name="FDD_49_4" hidden="1">"A32142"</definedName>
    <definedName name="FDD_49_5" hidden="1">"A32508"</definedName>
    <definedName name="FDD_49_6" hidden="1">"A32873"</definedName>
    <definedName name="FDD_49_7" hidden="1">"A33238"</definedName>
    <definedName name="FDD_49_8" hidden="1">"A33603"</definedName>
    <definedName name="FDD_49_9" hidden="1">"A33969"</definedName>
    <definedName name="FDD_5_0" hidden="1">"A25569"</definedName>
    <definedName name="FDD_50_0" hidden="1">"A30681"</definedName>
    <definedName name="FDD_50_1" hidden="1">"A31047"</definedName>
    <definedName name="FDD_50_10" hidden="1">"A34334"</definedName>
    <definedName name="FDD_50_11" hidden="1">"A34699"</definedName>
    <definedName name="FDD_50_12" hidden="1">"A35064"</definedName>
    <definedName name="FDD_50_13" hidden="1">"A35430"</definedName>
    <definedName name="FDD_50_14" hidden="1">"A35795"</definedName>
    <definedName name="FDD_50_2" hidden="1">"A31412"</definedName>
    <definedName name="FDD_50_3" hidden="1">"A31777"</definedName>
    <definedName name="FDD_50_4" hidden="1">"A32142"</definedName>
    <definedName name="FDD_50_5" hidden="1">"A32508"</definedName>
    <definedName name="FDD_50_6" hidden="1">"A32873"</definedName>
    <definedName name="FDD_50_7" hidden="1">"A33238"</definedName>
    <definedName name="FDD_50_8" hidden="1">"A33603"</definedName>
    <definedName name="FDD_50_9" hidden="1">"A33969"</definedName>
    <definedName name="FDD_51_0" hidden="1">"A30681"</definedName>
    <definedName name="FDD_51_1" hidden="1">"A31047"</definedName>
    <definedName name="FDD_51_10" hidden="1">"A34334"</definedName>
    <definedName name="FDD_51_11" hidden="1">"A34699"</definedName>
    <definedName name="FDD_51_12" hidden="1">"A35064"</definedName>
    <definedName name="FDD_51_13" hidden="1">"A35430"</definedName>
    <definedName name="FDD_51_14" hidden="1">"A35795"</definedName>
    <definedName name="FDD_51_2" hidden="1">"A31412"</definedName>
    <definedName name="FDD_51_3" hidden="1">"A31777"</definedName>
    <definedName name="FDD_51_4" hidden="1">"A32142"</definedName>
    <definedName name="FDD_51_5" hidden="1">"A32508"</definedName>
    <definedName name="FDD_51_6" hidden="1">"A32873"</definedName>
    <definedName name="FDD_51_7" hidden="1">"A33238"</definedName>
    <definedName name="FDD_51_8" hidden="1">"A33603"</definedName>
    <definedName name="FDD_51_9" hidden="1">"A33969"</definedName>
    <definedName name="FDD_52_0" hidden="1">"A30681"</definedName>
    <definedName name="FDD_52_1" hidden="1">"A31047"</definedName>
    <definedName name="FDD_52_10" hidden="1">"A34334"</definedName>
    <definedName name="FDD_52_11" hidden="1">"A34699"</definedName>
    <definedName name="FDD_52_12" hidden="1">"A35064"</definedName>
    <definedName name="FDD_52_13" hidden="1">"A35430"</definedName>
    <definedName name="FDD_52_14" hidden="1">"A35795"</definedName>
    <definedName name="FDD_52_2" hidden="1">"A31412"</definedName>
    <definedName name="FDD_52_3" hidden="1">"A31777"</definedName>
    <definedName name="FDD_52_4" hidden="1">"A32142"</definedName>
    <definedName name="FDD_52_5" hidden="1">"A32508"</definedName>
    <definedName name="FDD_52_6" hidden="1">"A32873"</definedName>
    <definedName name="FDD_52_7" hidden="1">"A33238"</definedName>
    <definedName name="FDD_52_8" hidden="1">"A33603"</definedName>
    <definedName name="FDD_52_9" hidden="1">"A33969"</definedName>
    <definedName name="FDD_53_0" hidden="1">"U30681"</definedName>
    <definedName name="FDD_53_1" hidden="1">"A31047"</definedName>
    <definedName name="FDD_53_10" hidden="1">"A34334"</definedName>
    <definedName name="FDD_53_11" hidden="1">"A34699"</definedName>
    <definedName name="FDD_53_12" hidden="1">"A35064"</definedName>
    <definedName name="FDD_53_13" hidden="1">"A35430"</definedName>
    <definedName name="FDD_53_14" hidden="1">"A35795"</definedName>
    <definedName name="FDD_53_2" hidden="1">"A31412"</definedName>
    <definedName name="FDD_53_3" hidden="1">"A31777"</definedName>
    <definedName name="FDD_53_4" hidden="1">"A32142"</definedName>
    <definedName name="FDD_53_5" hidden="1">"A32508"</definedName>
    <definedName name="FDD_53_6" hidden="1">"A32873"</definedName>
    <definedName name="FDD_53_7" hidden="1">"A33238"</definedName>
    <definedName name="FDD_53_8" hidden="1">"A33603"</definedName>
    <definedName name="FDD_53_9" hidden="1">"A33969"</definedName>
    <definedName name="FDD_54_0" hidden="1">"A30681"</definedName>
    <definedName name="FDD_54_1" hidden="1">"A31047"</definedName>
    <definedName name="FDD_54_10" hidden="1">"A34334"</definedName>
    <definedName name="FDD_54_11" hidden="1">"A34699"</definedName>
    <definedName name="FDD_54_12" hidden="1">"A35064"</definedName>
    <definedName name="FDD_54_13" hidden="1">"A35430"</definedName>
    <definedName name="FDD_54_14" hidden="1">"A35795"</definedName>
    <definedName name="FDD_54_2" hidden="1">"A31412"</definedName>
    <definedName name="FDD_54_3" hidden="1">"A31777"</definedName>
    <definedName name="FDD_54_4" hidden="1">"A32142"</definedName>
    <definedName name="FDD_54_5" hidden="1">"A32508"</definedName>
    <definedName name="FDD_54_6" hidden="1">"A32873"</definedName>
    <definedName name="FDD_54_7" hidden="1">"A33238"</definedName>
    <definedName name="FDD_54_8" hidden="1">"A33603"</definedName>
    <definedName name="FDD_54_9" hidden="1">"A33969"</definedName>
    <definedName name="FDD_55_0" hidden="1">"A30681"</definedName>
    <definedName name="FDD_55_1" hidden="1">"A31047"</definedName>
    <definedName name="FDD_55_10" hidden="1">"A34334"</definedName>
    <definedName name="FDD_55_11" hidden="1">"A34699"</definedName>
    <definedName name="FDD_55_12" hidden="1">"A35064"</definedName>
    <definedName name="FDD_55_13" hidden="1">"A35430"</definedName>
    <definedName name="FDD_55_14" hidden="1">"A35795"</definedName>
    <definedName name="FDD_55_2" hidden="1">"A31412"</definedName>
    <definedName name="FDD_55_3" hidden="1">"A31777"</definedName>
    <definedName name="FDD_55_4" hidden="1">"A32142"</definedName>
    <definedName name="FDD_55_5" hidden="1">"A32508"</definedName>
    <definedName name="FDD_55_6" hidden="1">"A32873"</definedName>
    <definedName name="FDD_55_7" hidden="1">"A33238"</definedName>
    <definedName name="FDD_55_8" hidden="1">"A33603"</definedName>
    <definedName name="FDD_55_9" hidden="1">"A33969"</definedName>
    <definedName name="FDD_56_0" hidden="1">"A30681"</definedName>
    <definedName name="FDD_56_1" hidden="1">"A31047"</definedName>
    <definedName name="FDD_56_10" hidden="1">"A34334"</definedName>
    <definedName name="FDD_56_11" hidden="1">"A34699"</definedName>
    <definedName name="FDD_56_12" hidden="1">"A35064"</definedName>
    <definedName name="FDD_56_13" hidden="1">"A35430"</definedName>
    <definedName name="FDD_56_14" hidden="1">"A35795"</definedName>
    <definedName name="FDD_56_2" hidden="1">"A31412"</definedName>
    <definedName name="FDD_56_3" hidden="1">"A31777"</definedName>
    <definedName name="FDD_56_4" hidden="1">"A32142"</definedName>
    <definedName name="FDD_56_5" hidden="1">"A32508"</definedName>
    <definedName name="FDD_56_6" hidden="1">"A32873"</definedName>
    <definedName name="FDD_56_7" hidden="1">"A33238"</definedName>
    <definedName name="FDD_56_8" hidden="1">"A33603"</definedName>
    <definedName name="FDD_56_9" hidden="1">"A33969"</definedName>
    <definedName name="FDD_57_0" hidden="1">"A30681"</definedName>
    <definedName name="FDD_57_1" hidden="1">"A31047"</definedName>
    <definedName name="FDD_57_10" hidden="1">"A34334"</definedName>
    <definedName name="FDD_57_11" hidden="1">"A34699"</definedName>
    <definedName name="FDD_57_12" hidden="1">"A35064"</definedName>
    <definedName name="FDD_57_13" hidden="1">"A35430"</definedName>
    <definedName name="FDD_57_14" hidden="1">"A35795"</definedName>
    <definedName name="FDD_57_2" hidden="1">"A31412"</definedName>
    <definedName name="FDD_57_3" hidden="1">"A31777"</definedName>
    <definedName name="FDD_57_4" hidden="1">"A32142"</definedName>
    <definedName name="FDD_57_5" hidden="1">"A32508"</definedName>
    <definedName name="FDD_57_6" hidden="1">"A32873"</definedName>
    <definedName name="FDD_57_7" hidden="1">"A33238"</definedName>
    <definedName name="FDD_57_8" hidden="1">"A33603"</definedName>
    <definedName name="FDD_57_9" hidden="1">"A33969"</definedName>
    <definedName name="FDD_58_0" hidden="1">"A30681"</definedName>
    <definedName name="FDD_58_1" hidden="1">"A31047"</definedName>
    <definedName name="FDD_58_10" hidden="1">"A34334"</definedName>
    <definedName name="FDD_58_11" hidden="1">"A34699"</definedName>
    <definedName name="FDD_58_12" hidden="1">"A35064"</definedName>
    <definedName name="FDD_58_13" hidden="1">"A35430"</definedName>
    <definedName name="FDD_58_14" hidden="1">"A35795"</definedName>
    <definedName name="FDD_58_2" hidden="1">"A31412"</definedName>
    <definedName name="FDD_58_3" hidden="1">"A31777"</definedName>
    <definedName name="FDD_58_4" hidden="1">"A32142"</definedName>
    <definedName name="FDD_58_5" hidden="1">"A32508"</definedName>
    <definedName name="FDD_58_6" hidden="1">"A32873"</definedName>
    <definedName name="FDD_58_7" hidden="1">"A33238"</definedName>
    <definedName name="FDD_58_8" hidden="1">"A33603"</definedName>
    <definedName name="FDD_58_9" hidden="1">"A33969"</definedName>
    <definedName name="FDD_59_0" hidden="1">"A30681"</definedName>
    <definedName name="FDD_59_1" hidden="1">"A31047"</definedName>
    <definedName name="FDD_59_10" hidden="1">"A34334"</definedName>
    <definedName name="FDD_59_11" hidden="1">"A34699"</definedName>
    <definedName name="FDD_59_12" hidden="1">"A35064"</definedName>
    <definedName name="FDD_59_13" hidden="1">"A35430"</definedName>
    <definedName name="FDD_59_14" hidden="1">"A35795"</definedName>
    <definedName name="FDD_59_2" hidden="1">"A31412"</definedName>
    <definedName name="FDD_59_3" hidden="1">"A31777"</definedName>
    <definedName name="FDD_59_4" hidden="1">"A32142"</definedName>
    <definedName name="FDD_59_5" hidden="1">"A32508"</definedName>
    <definedName name="FDD_59_6" hidden="1">"A32873"</definedName>
    <definedName name="FDD_59_7" hidden="1">"A33238"</definedName>
    <definedName name="FDD_59_8" hidden="1">"A33603"</definedName>
    <definedName name="FDD_59_9" hidden="1">"A33969"</definedName>
    <definedName name="FDD_6_0" hidden="1">"A25569"</definedName>
    <definedName name="FDD_60_0" hidden="1">"A30681"</definedName>
    <definedName name="FDD_60_1" hidden="1">"A31047"</definedName>
    <definedName name="FDD_60_10" hidden="1">"A34334"</definedName>
    <definedName name="FDD_60_11" hidden="1">"A34699"</definedName>
    <definedName name="FDD_60_12" hidden="1">"A35064"</definedName>
    <definedName name="FDD_60_13" hidden="1">"A35430"</definedName>
    <definedName name="FDD_60_14" hidden="1">"A35795"</definedName>
    <definedName name="FDD_60_2" hidden="1">"A31412"</definedName>
    <definedName name="FDD_60_3" hidden="1">"A31777"</definedName>
    <definedName name="FDD_60_4" hidden="1">"A32142"</definedName>
    <definedName name="FDD_60_5" hidden="1">"A32508"</definedName>
    <definedName name="FDD_60_6" hidden="1">"A32873"</definedName>
    <definedName name="FDD_60_7" hidden="1">"A33238"</definedName>
    <definedName name="FDD_60_8" hidden="1">"A33603"</definedName>
    <definedName name="FDD_60_9" hidden="1">"A33969"</definedName>
    <definedName name="FDD_61_0" hidden="1">"A30681"</definedName>
    <definedName name="FDD_61_1" hidden="1">"A31047"</definedName>
    <definedName name="FDD_61_10" hidden="1">"A34334"</definedName>
    <definedName name="FDD_61_11" hidden="1">"A34699"</definedName>
    <definedName name="FDD_61_12" hidden="1">"A35064"</definedName>
    <definedName name="FDD_61_13" hidden="1">"A35430"</definedName>
    <definedName name="FDD_61_14" hidden="1">"A35795"</definedName>
    <definedName name="FDD_61_2" hidden="1">"A31412"</definedName>
    <definedName name="FDD_61_3" hidden="1">"A31777"</definedName>
    <definedName name="FDD_61_4" hidden="1">"A32142"</definedName>
    <definedName name="FDD_61_5" hidden="1">"A32508"</definedName>
    <definedName name="FDD_61_6" hidden="1">"A32873"</definedName>
    <definedName name="FDD_61_7" hidden="1">"A33238"</definedName>
    <definedName name="FDD_61_8" hidden="1">"A33603"</definedName>
    <definedName name="FDD_61_9" hidden="1">"A33969"</definedName>
    <definedName name="FDD_62_0" hidden="1">"A30681"</definedName>
    <definedName name="FDD_62_1" hidden="1">"A31047"</definedName>
    <definedName name="FDD_62_10" hidden="1">"A34334"</definedName>
    <definedName name="FDD_62_11" hidden="1">"A34699"</definedName>
    <definedName name="FDD_62_12" hidden="1">"A35064"</definedName>
    <definedName name="FDD_62_13" hidden="1">"A35430"</definedName>
    <definedName name="FDD_62_14" hidden="1">"A35795"</definedName>
    <definedName name="FDD_62_2" hidden="1">"A31412"</definedName>
    <definedName name="FDD_62_3" hidden="1">"A31777"</definedName>
    <definedName name="FDD_62_4" hidden="1">"A32142"</definedName>
    <definedName name="FDD_62_5" hidden="1">"A32508"</definedName>
    <definedName name="FDD_62_6" hidden="1">"A32873"</definedName>
    <definedName name="FDD_62_7" hidden="1">"A33238"</definedName>
    <definedName name="FDD_62_8" hidden="1">"A33603"</definedName>
    <definedName name="FDD_62_9" hidden="1">"A33969"</definedName>
    <definedName name="FDD_63_0" hidden="1">"A30681"</definedName>
    <definedName name="FDD_63_1" hidden="1">"A31047"</definedName>
    <definedName name="FDD_63_10" hidden="1">"A34334"</definedName>
    <definedName name="FDD_63_11" hidden="1">"A34699"</definedName>
    <definedName name="FDD_63_12" hidden="1">"A35064"</definedName>
    <definedName name="FDD_63_13" hidden="1">"A35430"</definedName>
    <definedName name="FDD_63_14" hidden="1">"A35795"</definedName>
    <definedName name="FDD_63_2" hidden="1">"A31412"</definedName>
    <definedName name="FDD_63_3" hidden="1">"A31777"</definedName>
    <definedName name="FDD_63_4" hidden="1">"A32142"</definedName>
    <definedName name="FDD_63_5" hidden="1">"A32508"</definedName>
    <definedName name="FDD_63_6" hidden="1">"A32873"</definedName>
    <definedName name="FDD_63_7" hidden="1">"A33238"</definedName>
    <definedName name="FDD_63_8" hidden="1">"A33603"</definedName>
    <definedName name="FDD_63_9" hidden="1">"A33969"</definedName>
    <definedName name="FDD_64_0" hidden="1">"A30681"</definedName>
    <definedName name="FDD_64_1" hidden="1">"A31047"</definedName>
    <definedName name="FDD_64_10" hidden="1">"A34334"</definedName>
    <definedName name="FDD_64_11" hidden="1">"A34699"</definedName>
    <definedName name="FDD_64_12" hidden="1">"A35064"</definedName>
    <definedName name="FDD_64_13" hidden="1">"A35430"</definedName>
    <definedName name="FDD_64_14" hidden="1">"A35795"</definedName>
    <definedName name="FDD_64_2" hidden="1">"A31412"</definedName>
    <definedName name="FDD_64_3" hidden="1">"A31777"</definedName>
    <definedName name="FDD_64_4" hidden="1">"A32142"</definedName>
    <definedName name="FDD_64_5" hidden="1">"A32508"</definedName>
    <definedName name="FDD_64_6" hidden="1">"A32873"</definedName>
    <definedName name="FDD_64_7" hidden="1">"A33238"</definedName>
    <definedName name="FDD_64_8" hidden="1">"A33603"</definedName>
    <definedName name="FDD_64_9" hidden="1">"A33969"</definedName>
    <definedName name="FDD_65_0" hidden="1">"A30681"</definedName>
    <definedName name="FDD_65_1" hidden="1">"A31047"</definedName>
    <definedName name="FDD_65_10" hidden="1">"A34334"</definedName>
    <definedName name="FDD_65_11" hidden="1">"A34699"</definedName>
    <definedName name="FDD_65_12" hidden="1">"A35064"</definedName>
    <definedName name="FDD_65_13" hidden="1">"A35430"</definedName>
    <definedName name="FDD_65_14" hidden="1">"A35795"</definedName>
    <definedName name="FDD_65_2" hidden="1">"A31412"</definedName>
    <definedName name="FDD_65_3" hidden="1">"A31777"</definedName>
    <definedName name="FDD_65_4" hidden="1">"A32142"</definedName>
    <definedName name="FDD_65_5" hidden="1">"A32508"</definedName>
    <definedName name="FDD_65_6" hidden="1">"A32873"</definedName>
    <definedName name="FDD_65_7" hidden="1">"A33238"</definedName>
    <definedName name="FDD_65_8" hidden="1">"A33603"</definedName>
    <definedName name="FDD_65_9" hidden="1">"A33969"</definedName>
    <definedName name="FDD_66_0" hidden="1">"A30681"</definedName>
    <definedName name="FDD_66_1" hidden="1">"A31047"</definedName>
    <definedName name="FDD_66_10" hidden="1">"A34334"</definedName>
    <definedName name="FDD_66_11" hidden="1">"A34699"</definedName>
    <definedName name="FDD_66_12" hidden="1">"A35064"</definedName>
    <definedName name="FDD_66_13" hidden="1">"A35430"</definedName>
    <definedName name="FDD_66_14" hidden="1">"A35795"</definedName>
    <definedName name="FDD_66_2" hidden="1">"A31412"</definedName>
    <definedName name="FDD_66_3" hidden="1">"A31777"</definedName>
    <definedName name="FDD_66_4" hidden="1">"A32142"</definedName>
    <definedName name="FDD_66_5" hidden="1">"A32508"</definedName>
    <definedName name="FDD_66_6" hidden="1">"A32873"</definedName>
    <definedName name="FDD_66_7" hidden="1">"A33238"</definedName>
    <definedName name="FDD_66_8" hidden="1">"A33603"</definedName>
    <definedName name="FDD_66_9" hidden="1">"A33969"</definedName>
    <definedName name="FDD_67_0" hidden="1">"A30681"</definedName>
    <definedName name="FDD_67_1" hidden="1">"A31047"</definedName>
    <definedName name="FDD_67_10" hidden="1">"A34334"</definedName>
    <definedName name="FDD_67_11" hidden="1">"A34699"</definedName>
    <definedName name="FDD_67_12" hidden="1">"A35064"</definedName>
    <definedName name="FDD_67_13" hidden="1">"A35430"</definedName>
    <definedName name="FDD_67_14" hidden="1">"A35795"</definedName>
    <definedName name="FDD_67_2" hidden="1">"A31412"</definedName>
    <definedName name="FDD_67_3" hidden="1">"A31777"</definedName>
    <definedName name="FDD_67_4" hidden="1">"A32142"</definedName>
    <definedName name="FDD_67_5" hidden="1">"A32508"</definedName>
    <definedName name="FDD_67_6" hidden="1">"A32873"</definedName>
    <definedName name="FDD_67_7" hidden="1">"A33238"</definedName>
    <definedName name="FDD_67_8" hidden="1">"A33603"</definedName>
    <definedName name="FDD_67_9" hidden="1">"A33969"</definedName>
    <definedName name="FDD_68_0" hidden="1">"A30681"</definedName>
    <definedName name="FDD_68_1" hidden="1">"A31047"</definedName>
    <definedName name="FDD_68_10" hidden="1">"A34334"</definedName>
    <definedName name="FDD_68_11" hidden="1">"A34699"</definedName>
    <definedName name="FDD_68_12" hidden="1">"A35064"</definedName>
    <definedName name="FDD_68_13" hidden="1">"A35430"</definedName>
    <definedName name="FDD_68_14" hidden="1">"A35795"</definedName>
    <definedName name="FDD_68_2" hidden="1">"A31412"</definedName>
    <definedName name="FDD_68_3" hidden="1">"A31777"</definedName>
    <definedName name="FDD_68_4" hidden="1">"A32142"</definedName>
    <definedName name="FDD_68_5" hidden="1">"A32508"</definedName>
    <definedName name="FDD_68_6" hidden="1">"A32873"</definedName>
    <definedName name="FDD_68_7" hidden="1">"A33238"</definedName>
    <definedName name="FDD_68_8" hidden="1">"A33603"</definedName>
    <definedName name="FDD_68_9" hidden="1">"A33969"</definedName>
    <definedName name="FDD_69_0" hidden="1">"U30681"</definedName>
    <definedName name="FDD_69_1" hidden="1">"A31047"</definedName>
    <definedName name="FDD_69_10" hidden="1">"A34334"</definedName>
    <definedName name="FDD_69_11" hidden="1">"A34699"</definedName>
    <definedName name="FDD_69_12" hidden="1">"A35064"</definedName>
    <definedName name="FDD_69_13" hidden="1">"A35430"</definedName>
    <definedName name="FDD_69_14" hidden="1">"A35795"</definedName>
    <definedName name="FDD_69_2" hidden="1">"A31412"</definedName>
    <definedName name="FDD_69_3" hidden="1">"A31777"</definedName>
    <definedName name="FDD_69_4" hidden="1">"A32142"</definedName>
    <definedName name="FDD_69_5" hidden="1">"A32508"</definedName>
    <definedName name="FDD_69_6" hidden="1">"A32873"</definedName>
    <definedName name="FDD_69_7" hidden="1">"A33238"</definedName>
    <definedName name="FDD_69_8" hidden="1">"A33603"</definedName>
    <definedName name="FDD_69_9" hidden="1">"A33969"</definedName>
    <definedName name="FDD_7_0" hidden="1">"A25569"</definedName>
    <definedName name="FDD_70_0" hidden="1">"A30681"</definedName>
    <definedName name="FDD_70_1" hidden="1">"A31047"</definedName>
    <definedName name="FDD_70_10" hidden="1">"A34334"</definedName>
    <definedName name="FDD_70_11" hidden="1">"A34699"</definedName>
    <definedName name="FDD_70_12" hidden="1">"A35064"</definedName>
    <definedName name="FDD_70_13" hidden="1">"A35430"</definedName>
    <definedName name="FDD_70_14" hidden="1">"A35795"</definedName>
    <definedName name="FDD_70_2" hidden="1">"A31412"</definedName>
    <definedName name="FDD_70_3" hidden="1">"A31777"</definedName>
    <definedName name="FDD_70_4" hidden="1">"A32142"</definedName>
    <definedName name="FDD_70_5" hidden="1">"A32508"</definedName>
    <definedName name="FDD_70_6" hidden="1">"A32873"</definedName>
    <definedName name="FDD_70_7" hidden="1">"A33238"</definedName>
    <definedName name="FDD_70_8" hidden="1">"A33603"</definedName>
    <definedName name="FDD_70_9" hidden="1">"A33969"</definedName>
    <definedName name="FDD_71_0" hidden="1">"A30681"</definedName>
    <definedName name="FDD_71_1" hidden="1">"A31047"</definedName>
    <definedName name="FDD_71_10" hidden="1">"A34334"</definedName>
    <definedName name="FDD_71_11" hidden="1">"A34699"</definedName>
    <definedName name="FDD_71_12" hidden="1">"A35064"</definedName>
    <definedName name="FDD_71_13" hidden="1">"A35430"</definedName>
    <definedName name="FDD_71_14" hidden="1">"A35795"</definedName>
    <definedName name="FDD_71_2" hidden="1">"A31412"</definedName>
    <definedName name="FDD_71_3" hidden="1">"A31777"</definedName>
    <definedName name="FDD_71_4" hidden="1">"A32142"</definedName>
    <definedName name="FDD_71_5" hidden="1">"A32508"</definedName>
    <definedName name="FDD_71_6" hidden="1">"A32873"</definedName>
    <definedName name="FDD_71_7" hidden="1">"A33238"</definedName>
    <definedName name="FDD_71_8" hidden="1">"A33603"</definedName>
    <definedName name="FDD_71_9" hidden="1">"A33969"</definedName>
    <definedName name="FDD_72_0" hidden="1">"A30681"</definedName>
    <definedName name="FDD_72_1" hidden="1">"A31047"</definedName>
    <definedName name="FDD_72_10" hidden="1">"A34334"</definedName>
    <definedName name="FDD_72_11" hidden="1">"A34699"</definedName>
    <definedName name="FDD_72_12" hidden="1">"A35064"</definedName>
    <definedName name="FDD_72_13" hidden="1">"A35430"</definedName>
    <definedName name="FDD_72_14" hidden="1">"A35795"</definedName>
    <definedName name="FDD_72_2" hidden="1">"A31412"</definedName>
    <definedName name="FDD_72_3" hidden="1">"A31777"</definedName>
    <definedName name="FDD_72_4" hidden="1">"A32142"</definedName>
    <definedName name="FDD_72_5" hidden="1">"A32508"</definedName>
    <definedName name="FDD_72_6" hidden="1">"A32873"</definedName>
    <definedName name="FDD_72_7" hidden="1">"A33238"</definedName>
    <definedName name="FDD_72_8" hidden="1">"A33603"</definedName>
    <definedName name="FDD_72_9" hidden="1">"A33969"</definedName>
    <definedName name="FDD_73_0" hidden="1">"A30681"</definedName>
    <definedName name="FDD_73_1" hidden="1">"A31047"</definedName>
    <definedName name="FDD_73_10" hidden="1">"A34334"</definedName>
    <definedName name="FDD_73_11" hidden="1">"A34699"</definedName>
    <definedName name="FDD_73_12" hidden="1">"A35064"</definedName>
    <definedName name="FDD_73_13" hidden="1">"A35430"</definedName>
    <definedName name="FDD_73_14" hidden="1">"A35795"</definedName>
    <definedName name="FDD_73_2" hidden="1">"A31412"</definedName>
    <definedName name="FDD_73_3" hidden="1">"A31777"</definedName>
    <definedName name="FDD_73_4" hidden="1">"A32142"</definedName>
    <definedName name="FDD_73_5" hidden="1">"A32508"</definedName>
    <definedName name="FDD_73_6" hidden="1">"A32873"</definedName>
    <definedName name="FDD_73_7" hidden="1">"A33238"</definedName>
    <definedName name="FDD_73_8" hidden="1">"A33603"</definedName>
    <definedName name="FDD_73_9" hidden="1">"A33969"</definedName>
    <definedName name="FDD_74_0" hidden="1">"A30681"</definedName>
    <definedName name="FDD_74_1" hidden="1">"A31047"</definedName>
    <definedName name="FDD_74_10" hidden="1">"A34334"</definedName>
    <definedName name="FDD_74_11" hidden="1">"A34699"</definedName>
    <definedName name="FDD_74_12" hidden="1">"A35064"</definedName>
    <definedName name="FDD_74_13" hidden="1">"A35430"</definedName>
    <definedName name="FDD_74_14" hidden="1">"A35795"</definedName>
    <definedName name="FDD_74_2" hidden="1">"A31412"</definedName>
    <definedName name="FDD_74_3" hidden="1">"A31777"</definedName>
    <definedName name="FDD_74_4" hidden="1">"A32142"</definedName>
    <definedName name="FDD_74_5" hidden="1">"A32508"</definedName>
    <definedName name="FDD_74_6" hidden="1">"A32873"</definedName>
    <definedName name="FDD_74_7" hidden="1">"A33238"</definedName>
    <definedName name="FDD_74_8" hidden="1">"A33603"</definedName>
    <definedName name="FDD_74_9" hidden="1">"A33969"</definedName>
    <definedName name="FDD_75_0" hidden="1">"A30681"</definedName>
    <definedName name="FDD_75_1" hidden="1">"A31047"</definedName>
    <definedName name="FDD_75_10" hidden="1">"A34334"</definedName>
    <definedName name="FDD_75_11" hidden="1">"A34699"</definedName>
    <definedName name="FDD_75_12" hidden="1">"A35064"</definedName>
    <definedName name="FDD_75_13" hidden="1">"A35430"</definedName>
    <definedName name="FDD_75_14" hidden="1">"A35795"</definedName>
    <definedName name="FDD_75_2" hidden="1">"A31412"</definedName>
    <definedName name="FDD_75_3" hidden="1">"A31777"</definedName>
    <definedName name="FDD_75_4" hidden="1">"A32142"</definedName>
    <definedName name="FDD_75_5" hidden="1">"A32508"</definedName>
    <definedName name="FDD_75_6" hidden="1">"A32873"</definedName>
    <definedName name="FDD_75_7" hidden="1">"A33238"</definedName>
    <definedName name="FDD_75_8" hidden="1">"A33603"</definedName>
    <definedName name="FDD_75_9" hidden="1">"A33969"</definedName>
    <definedName name="FDD_76_0" hidden="1">"A30681"</definedName>
    <definedName name="FDD_76_1" hidden="1">"A31047"</definedName>
    <definedName name="FDD_76_10" hidden="1">"A34334"</definedName>
    <definedName name="FDD_76_11" hidden="1">"A34699"</definedName>
    <definedName name="FDD_76_12" hidden="1">"A35064"</definedName>
    <definedName name="FDD_76_13" hidden="1">"A35430"</definedName>
    <definedName name="FDD_76_14" hidden="1">"A35795"</definedName>
    <definedName name="FDD_76_2" hidden="1">"A31412"</definedName>
    <definedName name="FDD_76_3" hidden="1">"A31777"</definedName>
    <definedName name="FDD_76_4" hidden="1">"A32142"</definedName>
    <definedName name="FDD_76_5" hidden="1">"A32508"</definedName>
    <definedName name="FDD_76_6" hidden="1">"A32873"</definedName>
    <definedName name="FDD_76_7" hidden="1">"A33238"</definedName>
    <definedName name="FDD_76_8" hidden="1">"A33603"</definedName>
    <definedName name="FDD_76_9" hidden="1">"A33969"</definedName>
    <definedName name="FDD_77_0" hidden="1">"A30681"</definedName>
    <definedName name="FDD_77_1" hidden="1">"A31047"</definedName>
    <definedName name="FDD_77_10" hidden="1">"A34334"</definedName>
    <definedName name="FDD_77_11" hidden="1">"A34699"</definedName>
    <definedName name="FDD_77_12" hidden="1">"A35064"</definedName>
    <definedName name="FDD_77_13" hidden="1">"A35430"</definedName>
    <definedName name="FDD_77_14" hidden="1">"A35795"</definedName>
    <definedName name="FDD_77_2" hidden="1">"A31412"</definedName>
    <definedName name="FDD_77_3" hidden="1">"A31777"</definedName>
    <definedName name="FDD_77_4" hidden="1">"A32142"</definedName>
    <definedName name="FDD_77_5" hidden="1">"A32508"</definedName>
    <definedName name="FDD_77_6" hidden="1">"A32873"</definedName>
    <definedName name="FDD_77_7" hidden="1">"A33238"</definedName>
    <definedName name="FDD_77_8" hidden="1">"A33603"</definedName>
    <definedName name="FDD_77_9" hidden="1">"A33969"</definedName>
    <definedName name="FDD_78_0" hidden="1">"A30681"</definedName>
    <definedName name="FDD_78_1" hidden="1">"A31047"</definedName>
    <definedName name="FDD_78_10" hidden="1">"A34334"</definedName>
    <definedName name="FDD_78_11" hidden="1">"A34699"</definedName>
    <definedName name="FDD_78_12" hidden="1">"A35064"</definedName>
    <definedName name="FDD_78_13" hidden="1">"A35430"</definedName>
    <definedName name="FDD_78_14" hidden="1">"A35795"</definedName>
    <definedName name="FDD_78_2" hidden="1">"A31412"</definedName>
    <definedName name="FDD_78_3" hidden="1">"A31777"</definedName>
    <definedName name="FDD_78_4" hidden="1">"A32142"</definedName>
    <definedName name="FDD_78_5" hidden="1">"A32508"</definedName>
    <definedName name="FDD_78_6" hidden="1">"A32873"</definedName>
    <definedName name="FDD_78_7" hidden="1">"A33238"</definedName>
    <definedName name="FDD_78_8" hidden="1">"A33603"</definedName>
    <definedName name="FDD_78_9" hidden="1">"A33969"</definedName>
    <definedName name="FDD_79_0" hidden="1">"A30681"</definedName>
    <definedName name="FDD_79_1" hidden="1">"A31047"</definedName>
    <definedName name="FDD_79_10" hidden="1">"A34334"</definedName>
    <definedName name="FDD_79_11" hidden="1">"A34699"</definedName>
    <definedName name="FDD_79_12" hidden="1">"A35064"</definedName>
    <definedName name="FDD_79_13" hidden="1">"A35430"</definedName>
    <definedName name="FDD_79_14" hidden="1">"A35795"</definedName>
    <definedName name="FDD_79_2" hidden="1">"A31412"</definedName>
    <definedName name="FDD_79_3" hidden="1">"A31777"</definedName>
    <definedName name="FDD_79_4" hidden="1">"A32142"</definedName>
    <definedName name="FDD_79_5" hidden="1">"A32508"</definedName>
    <definedName name="FDD_79_6" hidden="1">"A32873"</definedName>
    <definedName name="FDD_79_7" hidden="1">"A33238"</definedName>
    <definedName name="FDD_79_8" hidden="1">"A33603"</definedName>
    <definedName name="FDD_79_9" hidden="1">"A33969"</definedName>
    <definedName name="FDD_8_0" hidden="1">"A25569"</definedName>
    <definedName name="FDD_80_0" hidden="1">"A30681"</definedName>
    <definedName name="FDD_80_1" hidden="1">"A31047"</definedName>
    <definedName name="FDD_80_10" hidden="1">"A34334"</definedName>
    <definedName name="FDD_80_11" hidden="1">"A34699"</definedName>
    <definedName name="FDD_80_12" hidden="1">"A35064"</definedName>
    <definedName name="FDD_80_13" hidden="1">"A35430"</definedName>
    <definedName name="FDD_80_14" hidden="1">"A35795"</definedName>
    <definedName name="FDD_80_2" hidden="1">"A31412"</definedName>
    <definedName name="FDD_80_3" hidden="1">"A31777"</definedName>
    <definedName name="FDD_80_4" hidden="1">"A32142"</definedName>
    <definedName name="FDD_80_5" hidden="1">"A32508"</definedName>
    <definedName name="FDD_80_6" hidden="1">"A32873"</definedName>
    <definedName name="FDD_80_7" hidden="1">"A33238"</definedName>
    <definedName name="FDD_80_8" hidden="1">"A33603"</definedName>
    <definedName name="FDD_80_9" hidden="1">"A33969"</definedName>
    <definedName name="FDD_81_0" hidden="1">"A30681"</definedName>
    <definedName name="FDD_81_1" hidden="1">"A31047"</definedName>
    <definedName name="FDD_81_10" hidden="1">"A34334"</definedName>
    <definedName name="FDD_81_11" hidden="1">"A34699"</definedName>
    <definedName name="FDD_81_12" hidden="1">"A35064"</definedName>
    <definedName name="FDD_81_13" hidden="1">"A35430"</definedName>
    <definedName name="FDD_81_14" hidden="1">"A35795"</definedName>
    <definedName name="FDD_81_2" hidden="1">"A31412"</definedName>
    <definedName name="FDD_81_3" hidden="1">"A31777"</definedName>
    <definedName name="FDD_81_4" hidden="1">"A32142"</definedName>
    <definedName name="FDD_81_5" hidden="1">"A32508"</definedName>
    <definedName name="FDD_81_6" hidden="1">"A32873"</definedName>
    <definedName name="FDD_81_7" hidden="1">"A33238"</definedName>
    <definedName name="FDD_81_8" hidden="1">"A33603"</definedName>
    <definedName name="FDD_81_9" hidden="1">"A33969"</definedName>
    <definedName name="FDD_82_0" hidden="1">"A30681"</definedName>
    <definedName name="FDD_82_1" hidden="1">"A31047"</definedName>
    <definedName name="FDD_82_10" hidden="1">"A34334"</definedName>
    <definedName name="FDD_82_11" hidden="1">"A34699"</definedName>
    <definedName name="FDD_82_12" hidden="1">"A35064"</definedName>
    <definedName name="FDD_82_13" hidden="1">"A35430"</definedName>
    <definedName name="FDD_82_14" hidden="1">"A35795"</definedName>
    <definedName name="FDD_82_2" hidden="1">"A31412"</definedName>
    <definedName name="FDD_82_3" hidden="1">"A31777"</definedName>
    <definedName name="FDD_82_4" hidden="1">"A32142"</definedName>
    <definedName name="FDD_82_5" hidden="1">"A32508"</definedName>
    <definedName name="FDD_82_6" hidden="1">"A32873"</definedName>
    <definedName name="FDD_82_7" hidden="1">"A33238"</definedName>
    <definedName name="FDD_82_8" hidden="1">"A33603"</definedName>
    <definedName name="FDD_82_9" hidden="1">"A33969"</definedName>
    <definedName name="FDD_83_0" hidden="1">"A30681"</definedName>
    <definedName name="FDD_83_1" hidden="1">"A31047"</definedName>
    <definedName name="FDD_83_10" hidden="1">"A34334"</definedName>
    <definedName name="FDD_83_11" hidden="1">"A34699"</definedName>
    <definedName name="FDD_83_12" hidden="1">"A35064"</definedName>
    <definedName name="FDD_83_13" hidden="1">"A35430"</definedName>
    <definedName name="FDD_83_14" hidden="1">"A35795"</definedName>
    <definedName name="FDD_83_2" hidden="1">"A31412"</definedName>
    <definedName name="FDD_83_3" hidden="1">"A31777"</definedName>
    <definedName name="FDD_83_4" hidden="1">"A32142"</definedName>
    <definedName name="FDD_83_5" hidden="1">"A32508"</definedName>
    <definedName name="FDD_83_6" hidden="1">"A32873"</definedName>
    <definedName name="FDD_83_7" hidden="1">"A33238"</definedName>
    <definedName name="FDD_83_8" hidden="1">"A33603"</definedName>
    <definedName name="FDD_83_9" hidden="1">"A33969"</definedName>
    <definedName name="FDD_84_0" hidden="1">"A30681"</definedName>
    <definedName name="FDD_84_1" hidden="1">"A31047"</definedName>
    <definedName name="FDD_84_10" hidden="1">"A34334"</definedName>
    <definedName name="FDD_84_11" hidden="1">"A34699"</definedName>
    <definedName name="FDD_84_12" hidden="1">"A35064"</definedName>
    <definedName name="FDD_84_13" hidden="1">"A35430"</definedName>
    <definedName name="FDD_84_14" hidden="1">"A35795"</definedName>
    <definedName name="FDD_84_2" hidden="1">"A31412"</definedName>
    <definedName name="FDD_84_3" hidden="1">"A31777"</definedName>
    <definedName name="FDD_84_4" hidden="1">"A32142"</definedName>
    <definedName name="FDD_84_5" hidden="1">"A32508"</definedName>
    <definedName name="FDD_84_6" hidden="1">"A32873"</definedName>
    <definedName name="FDD_84_7" hidden="1">"A33238"</definedName>
    <definedName name="FDD_84_8" hidden="1">"A33603"</definedName>
    <definedName name="FDD_84_9" hidden="1">"A33969"</definedName>
    <definedName name="FDD_85_0" hidden="1">"A30681"</definedName>
    <definedName name="FDD_85_1" hidden="1">"A31047"</definedName>
    <definedName name="FDD_85_10" hidden="1">"A34334"</definedName>
    <definedName name="FDD_85_11" hidden="1">"A34699"</definedName>
    <definedName name="FDD_85_12" hidden="1">"A35064"</definedName>
    <definedName name="FDD_85_13" hidden="1">"A35430"</definedName>
    <definedName name="FDD_85_14" hidden="1">"A35795"</definedName>
    <definedName name="FDD_85_2" hidden="1">"A31412"</definedName>
    <definedName name="FDD_85_3" hidden="1">"A31777"</definedName>
    <definedName name="FDD_85_4" hidden="1">"A32142"</definedName>
    <definedName name="FDD_85_5" hidden="1">"A32508"</definedName>
    <definedName name="FDD_85_6" hidden="1">"A32873"</definedName>
    <definedName name="FDD_85_7" hidden="1">"A33238"</definedName>
    <definedName name="FDD_85_8" hidden="1">"A33603"</definedName>
    <definedName name="FDD_85_9" hidden="1">"A33969"</definedName>
    <definedName name="FDD_86_0" hidden="1">"A30681"</definedName>
    <definedName name="FDD_86_1" hidden="1">"A31047"</definedName>
    <definedName name="FDD_86_10" hidden="1">"A34334"</definedName>
    <definedName name="FDD_86_11" hidden="1">"A34699"</definedName>
    <definedName name="FDD_86_12" hidden="1">"A35064"</definedName>
    <definedName name="FDD_86_13" hidden="1">"A35430"</definedName>
    <definedName name="FDD_86_14" hidden="1">"A35795"</definedName>
    <definedName name="FDD_86_2" hidden="1">"A31412"</definedName>
    <definedName name="FDD_86_3" hidden="1">"A31777"</definedName>
    <definedName name="FDD_86_4" hidden="1">"A32142"</definedName>
    <definedName name="FDD_86_5" hidden="1">"A32508"</definedName>
    <definedName name="FDD_86_6" hidden="1">"A32873"</definedName>
    <definedName name="FDD_86_7" hidden="1">"A33238"</definedName>
    <definedName name="FDD_86_8" hidden="1">"A33603"</definedName>
    <definedName name="FDD_86_9" hidden="1">"A33969"</definedName>
    <definedName name="FDD_87_0" hidden="1">"A30681"</definedName>
    <definedName name="FDD_87_1" hidden="1">"A31047"</definedName>
    <definedName name="FDD_87_10" hidden="1">"A34334"</definedName>
    <definedName name="FDD_87_11" hidden="1">"A34699"</definedName>
    <definedName name="FDD_87_12" hidden="1">"A35064"</definedName>
    <definedName name="FDD_87_13" hidden="1">"A35430"</definedName>
    <definedName name="FDD_87_14" hidden="1">"A35795"</definedName>
    <definedName name="FDD_87_2" hidden="1">"A31412"</definedName>
    <definedName name="FDD_87_3" hidden="1">"A31777"</definedName>
    <definedName name="FDD_87_4" hidden="1">"A32142"</definedName>
    <definedName name="FDD_87_5" hidden="1">"A32508"</definedName>
    <definedName name="FDD_87_6" hidden="1">"A32873"</definedName>
    <definedName name="FDD_87_7" hidden="1">"A33238"</definedName>
    <definedName name="FDD_87_8" hidden="1">"A33603"</definedName>
    <definedName name="FDD_87_9" hidden="1">"A33969"</definedName>
    <definedName name="FDD_88_0" hidden="1">"A30681"</definedName>
    <definedName name="FDD_88_1" hidden="1">"A31047"</definedName>
    <definedName name="FDD_88_10" hidden="1">"A34334"</definedName>
    <definedName name="FDD_88_11" hidden="1">"A34699"</definedName>
    <definedName name="FDD_88_12" hidden="1">"A35064"</definedName>
    <definedName name="FDD_88_13" hidden="1">"A35430"</definedName>
    <definedName name="FDD_88_14" hidden="1">"A35795"</definedName>
    <definedName name="FDD_88_2" hidden="1">"A31412"</definedName>
    <definedName name="FDD_88_3" hidden="1">"A31777"</definedName>
    <definedName name="FDD_88_4" hidden="1">"A32142"</definedName>
    <definedName name="FDD_88_5" hidden="1">"A32508"</definedName>
    <definedName name="FDD_88_6" hidden="1">"A32873"</definedName>
    <definedName name="FDD_88_7" hidden="1">"A33238"</definedName>
    <definedName name="FDD_88_8" hidden="1">"A33603"</definedName>
    <definedName name="FDD_88_9" hidden="1">"A33969"</definedName>
    <definedName name="FDD_89_0" hidden="1">"A30681"</definedName>
    <definedName name="FDD_89_1" hidden="1">"A31047"</definedName>
    <definedName name="FDD_89_10" hidden="1">"A34334"</definedName>
    <definedName name="FDD_89_11" hidden="1">"A34699"</definedName>
    <definedName name="FDD_89_12" hidden="1">"A35064"</definedName>
    <definedName name="FDD_89_13" hidden="1">"A35430"</definedName>
    <definedName name="FDD_89_14" hidden="1">"A35795"</definedName>
    <definedName name="FDD_89_2" hidden="1">"A31412"</definedName>
    <definedName name="FDD_89_3" hidden="1">"A31777"</definedName>
    <definedName name="FDD_89_4" hidden="1">"A32142"</definedName>
    <definedName name="FDD_89_5" hidden="1">"A32508"</definedName>
    <definedName name="FDD_89_6" hidden="1">"A32873"</definedName>
    <definedName name="FDD_89_7" hidden="1">"A33238"</definedName>
    <definedName name="FDD_89_8" hidden="1">"A33603"</definedName>
    <definedName name="FDD_89_9" hidden="1">"A33969"</definedName>
    <definedName name="FDD_9_0" hidden="1">"A25569"</definedName>
    <definedName name="FDD_90_0" hidden="1">"A30681"</definedName>
    <definedName name="FDD_90_1" hidden="1">"A31047"</definedName>
    <definedName name="FDD_90_10" hidden="1">"A34334"</definedName>
    <definedName name="FDD_90_11" hidden="1">"A34699"</definedName>
    <definedName name="FDD_90_12" hidden="1">"A35064"</definedName>
    <definedName name="FDD_90_13" hidden="1">"A35430"</definedName>
    <definedName name="FDD_90_14" hidden="1">"A35795"</definedName>
    <definedName name="FDD_90_2" hidden="1">"A31412"</definedName>
    <definedName name="FDD_90_3" hidden="1">"A31777"</definedName>
    <definedName name="FDD_90_4" hidden="1">"A32142"</definedName>
    <definedName name="FDD_90_5" hidden="1">"A32508"</definedName>
    <definedName name="FDD_90_6" hidden="1">"A32873"</definedName>
    <definedName name="FDD_90_7" hidden="1">"A33238"</definedName>
    <definedName name="FDD_90_8" hidden="1">"A33603"</definedName>
    <definedName name="FDD_90_9" hidden="1">"A33969"</definedName>
    <definedName name="FDD_91_0" hidden="1">"A30681"</definedName>
    <definedName name="FDD_91_1" hidden="1">"A31047"</definedName>
    <definedName name="FDD_91_10" hidden="1">"A34334"</definedName>
    <definedName name="FDD_91_11" hidden="1">"A34699"</definedName>
    <definedName name="FDD_91_12" hidden="1">"A35064"</definedName>
    <definedName name="FDD_91_13" hidden="1">"A35430"</definedName>
    <definedName name="FDD_91_14" hidden="1">"A35795"</definedName>
    <definedName name="FDD_91_2" hidden="1">"A31412"</definedName>
    <definedName name="FDD_91_3" hidden="1">"A31777"</definedName>
    <definedName name="FDD_91_4" hidden="1">"A32142"</definedName>
    <definedName name="FDD_91_5" hidden="1">"A32508"</definedName>
    <definedName name="FDD_91_6" hidden="1">"A32873"</definedName>
    <definedName name="FDD_91_7" hidden="1">"A33238"</definedName>
    <definedName name="FDD_91_8" hidden="1">"A33603"</definedName>
    <definedName name="FDD_91_9" hidden="1">"A33969"</definedName>
    <definedName name="FDD_92_0" hidden="1">"A30681"</definedName>
    <definedName name="FDD_92_1" hidden="1">"A31047"</definedName>
    <definedName name="FDD_92_10" hidden="1">"A34334"</definedName>
    <definedName name="FDD_92_11" hidden="1">"A34699"</definedName>
    <definedName name="FDD_92_12" hidden="1">"A35064"</definedName>
    <definedName name="FDD_92_13" hidden="1">"A35430"</definedName>
    <definedName name="FDD_92_14" hidden="1">"A35795"</definedName>
    <definedName name="FDD_92_2" hidden="1">"A31412"</definedName>
    <definedName name="FDD_92_3" hidden="1">"A31777"</definedName>
    <definedName name="FDD_92_4" hidden="1">"A32142"</definedName>
    <definedName name="FDD_92_5" hidden="1">"A32508"</definedName>
    <definedName name="FDD_92_6" hidden="1">"A32873"</definedName>
    <definedName name="FDD_92_7" hidden="1">"A33238"</definedName>
    <definedName name="FDD_92_8" hidden="1">"A33603"</definedName>
    <definedName name="FDD_92_9" hidden="1">"A33969"</definedName>
    <definedName name="FDD_93_0" hidden="1">"A30681"</definedName>
    <definedName name="FDD_93_1" hidden="1">"A31047"</definedName>
    <definedName name="FDD_93_10" hidden="1">"A34334"</definedName>
    <definedName name="FDD_93_11" hidden="1">"A34699"</definedName>
    <definedName name="FDD_93_12" hidden="1">"A35064"</definedName>
    <definedName name="FDD_93_13" hidden="1">"A35430"</definedName>
    <definedName name="FDD_93_14" hidden="1">"A35795"</definedName>
    <definedName name="FDD_93_2" hidden="1">"A31412"</definedName>
    <definedName name="FDD_93_3" hidden="1">"A31777"</definedName>
    <definedName name="FDD_93_4" hidden="1">"A32142"</definedName>
    <definedName name="FDD_93_5" hidden="1">"A32508"</definedName>
    <definedName name="FDD_93_6" hidden="1">"A32873"</definedName>
    <definedName name="FDD_93_7" hidden="1">"A33238"</definedName>
    <definedName name="FDD_93_8" hidden="1">"A33603"</definedName>
    <definedName name="FDD_93_9" hidden="1">"A33969"</definedName>
    <definedName name="FDD_94_0" hidden="1">"A30681"</definedName>
    <definedName name="FDD_94_1" hidden="1">"A31047"</definedName>
    <definedName name="FDD_94_10" hidden="1">"A34334"</definedName>
    <definedName name="FDD_94_11" hidden="1">"A34699"</definedName>
    <definedName name="FDD_94_12" hidden="1">"A35064"</definedName>
    <definedName name="FDD_94_13" hidden="1">"A35430"</definedName>
    <definedName name="FDD_94_14" hidden="1">"A35795"</definedName>
    <definedName name="FDD_94_2" hidden="1">"A31412"</definedName>
    <definedName name="FDD_94_3" hidden="1">"A31777"</definedName>
    <definedName name="FDD_94_4" hidden="1">"A32142"</definedName>
    <definedName name="FDD_94_5" hidden="1">"A32508"</definedName>
    <definedName name="FDD_94_6" hidden="1">"A32873"</definedName>
    <definedName name="FDD_94_7" hidden="1">"A33238"</definedName>
    <definedName name="FDD_94_8" hidden="1">"A33603"</definedName>
    <definedName name="FDD_94_9" hidden="1">"A33969"</definedName>
    <definedName name="FDD_95_0" hidden="1">"A30681"</definedName>
    <definedName name="FDD_95_1" hidden="1">"A31047"</definedName>
    <definedName name="FDD_95_10" hidden="1">"A34334"</definedName>
    <definedName name="FDD_95_11" hidden="1">"A34699"</definedName>
    <definedName name="FDD_95_12" hidden="1">"A35064"</definedName>
    <definedName name="FDD_95_13" hidden="1">"A35430"</definedName>
    <definedName name="FDD_95_14" hidden="1">"A35795"</definedName>
    <definedName name="FDD_95_2" hidden="1">"A31412"</definedName>
    <definedName name="FDD_95_3" hidden="1">"A31777"</definedName>
    <definedName name="FDD_95_4" hidden="1">"A32142"</definedName>
    <definedName name="FDD_95_5" hidden="1">"A32508"</definedName>
    <definedName name="FDD_95_6" hidden="1">"A32873"</definedName>
    <definedName name="FDD_95_7" hidden="1">"A33238"</definedName>
    <definedName name="FDD_95_8" hidden="1">"A33603"</definedName>
    <definedName name="FDD_95_9" hidden="1">"A33969"</definedName>
    <definedName name="FDD_96_0" hidden="1">"U30681"</definedName>
    <definedName name="FDD_96_1" hidden="1">"A31047"</definedName>
    <definedName name="FDD_96_10" hidden="1">"A34334"</definedName>
    <definedName name="FDD_96_11" hidden="1">"A34699"</definedName>
    <definedName name="FDD_96_12" hidden="1">"A35064"</definedName>
    <definedName name="FDD_96_13" hidden="1">"A35430"</definedName>
    <definedName name="FDD_96_14" hidden="1">"A35795"</definedName>
    <definedName name="FDD_96_2" hidden="1">"A31412"</definedName>
    <definedName name="FDD_96_3" hidden="1">"A31777"</definedName>
    <definedName name="FDD_96_4" hidden="1">"A32142"</definedName>
    <definedName name="FDD_96_5" hidden="1">"A32508"</definedName>
    <definedName name="FDD_96_6" hidden="1">"A32873"</definedName>
    <definedName name="FDD_96_7" hidden="1">"A33238"</definedName>
    <definedName name="FDD_96_8" hidden="1">"A33603"</definedName>
    <definedName name="FDD_96_9" hidden="1">"A33969"</definedName>
    <definedName name="FDD_97_0" hidden="1">"U30681"</definedName>
    <definedName name="FDD_97_1" hidden="1">"A31047"</definedName>
    <definedName name="FDD_97_10" hidden="1">"A34334"</definedName>
    <definedName name="FDD_97_11" hidden="1">"A34699"</definedName>
    <definedName name="FDD_97_12" hidden="1">"A35064"</definedName>
    <definedName name="FDD_97_13" hidden="1">"A35430"</definedName>
    <definedName name="FDD_97_14" hidden="1">"A35795"</definedName>
    <definedName name="FDD_97_2" hidden="1">"A31412"</definedName>
    <definedName name="FDD_97_3" hidden="1">"A31777"</definedName>
    <definedName name="FDD_97_4" hidden="1">"A32142"</definedName>
    <definedName name="FDD_97_5" hidden="1">"A32508"</definedName>
    <definedName name="FDD_97_6" hidden="1">"A32873"</definedName>
    <definedName name="FDD_97_7" hidden="1">"A33238"</definedName>
    <definedName name="FDD_97_8" hidden="1">"A33603"</definedName>
    <definedName name="FDD_97_9" hidden="1">"A33969"</definedName>
    <definedName name="FDD_98_0" hidden="1">"U30681"</definedName>
    <definedName name="FDD_98_1" hidden="1">"A31047"</definedName>
    <definedName name="FDD_98_10" hidden="1">"A34334"</definedName>
    <definedName name="FDD_98_11" hidden="1">"A34699"</definedName>
    <definedName name="FDD_98_12" hidden="1">"A35064"</definedName>
    <definedName name="FDD_98_13" hidden="1">"A35430"</definedName>
    <definedName name="FDD_98_14" hidden="1">"A35795"</definedName>
    <definedName name="FDD_98_2" hidden="1">"A31412"</definedName>
    <definedName name="FDD_98_3" hidden="1">"A31777"</definedName>
    <definedName name="FDD_98_4" hidden="1">"A32142"</definedName>
    <definedName name="FDD_98_5" hidden="1">"A32508"</definedName>
    <definedName name="FDD_98_6" hidden="1">"A32873"</definedName>
    <definedName name="FDD_98_7" hidden="1">"A33238"</definedName>
    <definedName name="FDD_98_8" hidden="1">"A33603"</definedName>
    <definedName name="FDD_98_9" hidden="1">"A33969"</definedName>
    <definedName name="FDD_99_0" hidden="1">"U30681"</definedName>
    <definedName name="FDD_99_1" hidden="1">"A31047"</definedName>
    <definedName name="FDD_99_10" hidden="1">"A34334"</definedName>
    <definedName name="FDD_99_11" hidden="1">"A34699"</definedName>
    <definedName name="FDD_99_12" hidden="1">"A35064"</definedName>
    <definedName name="FDD_99_13" hidden="1">"A35430"</definedName>
    <definedName name="FDD_99_14" hidden="1">"A35795"</definedName>
    <definedName name="FDD_99_2" hidden="1">"A31412"</definedName>
    <definedName name="FDD_99_3" hidden="1">"A31777"</definedName>
    <definedName name="FDD_99_4" hidden="1">"A32142"</definedName>
    <definedName name="FDD_99_5" hidden="1">"A32508"</definedName>
    <definedName name="FDD_99_6" hidden="1">"A32873"</definedName>
    <definedName name="FDD_99_7" hidden="1">"A33238"</definedName>
    <definedName name="FDD_99_8" hidden="1">"A33603"</definedName>
    <definedName name="FDD_99_9" hidden="1">"A33969"</definedName>
    <definedName name="fer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ffff" hidden="1">#REF!</definedName>
    <definedName name="fgh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t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re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thju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Func" localSheetId="2">#REF!</definedName>
    <definedName name="Func" localSheetId="26">#REF!</definedName>
    <definedName name="Func">Funções!$D$8:$K$156</definedName>
    <definedName name="G">'Sistemas-Manutenção'!$F$124</definedName>
    <definedName name="hhhhh" hidden="1">#REF!</definedName>
    <definedName name="hn.ExtDb" hidden="1">FALSE</definedName>
    <definedName name="hn.ModelType" hidden="1">"DEAL"</definedName>
    <definedName name="hn.ModelVersion" hidden="1">1</definedName>
    <definedName name="hn.NoUpload" hidden="1">0</definedName>
    <definedName name="hn.RolledForward" hidden="1">FALSE</definedName>
    <definedName name="hthj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HTML_CodePage" hidden="1">1252</definedName>
    <definedName name="HTML_Control" hidden="1">{"'Plan1 (2)'!$A$5:$F$63"}</definedName>
    <definedName name="HTML_Description" hidden="1">""</definedName>
    <definedName name="HTML_Email" hidden="1">""</definedName>
    <definedName name="HTML_Header" hidden="1">"Índice"</definedName>
    <definedName name="HTML_LastUpdate" hidden="1">"12/08/1999"</definedName>
    <definedName name="HTML_LineAfter" hidden="1">FALSE</definedName>
    <definedName name="HTML_LineBefore" hidden="1">FALSE</definedName>
    <definedName name="HTML_Name" hidden="1">"Rodovia das Cataratas"</definedName>
    <definedName name="HTML_OBDlg2" hidden="1">TRUE</definedName>
    <definedName name="HTML_OBDlg4" hidden="1">TRUE</definedName>
    <definedName name="HTML_OS" hidden="1">0</definedName>
    <definedName name="HTML_PathFile" hidden="1">"\\Server_1\sig\07 Julho\Informe\MeuHTML.htm"</definedName>
    <definedName name="HTML_PathFileMac" hidden="1">"Macintosh HD:HomePageStuff:New_Home_Page:datafile:histret.html"</definedName>
    <definedName name="HTML_Title" hidden="1">"Gerência de Administração e Controle de Gestão"</definedName>
    <definedName name="HTML1_1" hidden="1">"[ReturnsHistorical]Sheet1!$A$1:$D$77"</definedName>
    <definedName name="HTML1_10" hidden="1">""</definedName>
    <definedName name="HTML1_11" hidden="1">1</definedName>
    <definedName name="HTML1_12" hidden="1">"Zip 100:New_Home_Page:datafile:histret.html"</definedName>
    <definedName name="HTML1_2" hidden="1">1</definedName>
    <definedName name="HTML1_3" hidden="1">"ReturnsHistorical"</definedName>
    <definedName name="HTML1_4" hidden="1">"Historical Returns on Stocks, Bonds and Bills"</definedName>
    <definedName name="HTML1_5" hidden="1">"Ibbotson Data"</definedName>
    <definedName name="HTML1_6" hidden="1">-4146</definedName>
    <definedName name="HTML1_7" hidden="1">-4146</definedName>
    <definedName name="HTML1_8" hidden="1">"3/17/97"</definedName>
    <definedName name="HTML1_9" hidden="1">"Aswath Damodaran"</definedName>
    <definedName name="HTML2_1" hidden="1">"[histret.xls]Sheet1!$A$1:$G$85"</definedName>
    <definedName name="HTML2_10" hidden="1">""</definedName>
    <definedName name="HTML2_11" hidden="1">1</definedName>
    <definedName name="HTML2_12" hidden="1">"Macintosh HD:New_Home_Page:datafile:histret.html"</definedName>
    <definedName name="HTML2_2" hidden="1">1</definedName>
    <definedName name="HTML2_3" hidden="1">"Historical Returns"</definedName>
    <definedName name="HTML2_4" hidden="1">"Historical Returns on Stocks, Bonds and Bills"</definedName>
    <definedName name="HTML2_5" hidden="1">""</definedName>
    <definedName name="HTML2_6" hidden="1">1</definedName>
    <definedName name="HTML2_7" hidden="1">1</definedName>
    <definedName name="HTML2_8" hidden="1">"2/3/98"</definedName>
    <definedName name="HTML2_9" hidden="1">"Aswath Damodaran"</definedName>
    <definedName name="HTMLCount" hidden="1">2</definedName>
    <definedName name="IND">'Sistemas-Manutenção'!$O$16</definedName>
    <definedName name="INDIRETO">'Sistemas-Manutenção'!$O$16</definedName>
    <definedName name="IQ_ACCOUNT_CHANGE" hidden="1">"c1449"</definedName>
    <definedName name="IQ_ACCOUNTING_STANDARD" hidden="1">"c4539"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CAGR" hidden="1">"c6159"</definedName>
    <definedName name="IQ_ACCT_RECV_10YR_ANN_GROWTH" hidden="1">"c1924"</definedName>
    <definedName name="IQ_ACCT_RECV_1YR_ANN_GROWTH" hidden="1">"c1919"</definedName>
    <definedName name="IQ_ACCT_RECV_2YR_ANN_CAGR" hidden="1">"c6155"</definedName>
    <definedName name="IQ_ACCT_RECV_2YR_ANN_GROWTH" hidden="1">"c1920"</definedName>
    <definedName name="IQ_ACCT_RECV_3YR_ANN_CAGR" hidden="1">"c6156"</definedName>
    <definedName name="IQ_ACCT_RECV_3YR_ANN_GROWTH" hidden="1">"c1921"</definedName>
    <definedName name="IQ_ACCT_RECV_5YR_ANN_CAGR" hidden="1">"c6157"</definedName>
    <definedName name="IQ_ACCT_RECV_5YR_ANN_GROWTH" hidden="1">"c1922"</definedName>
    <definedName name="IQ_ACCT_RECV_7YR_ANN_CAGR" hidden="1">"c6158"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" hidden="1">"c6195"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CAGR" hidden="1">"c6035"</definedName>
    <definedName name="IQ_ALLOWANCE_10YR_ANN_GROWTH" hidden="1">"c18"</definedName>
    <definedName name="IQ_ALLOWANCE_1YR_ANN_GROWTH" hidden="1">"c19"</definedName>
    <definedName name="IQ_ALLOWANCE_2YR_ANN_CAGR" hidden="1">"c6036"</definedName>
    <definedName name="IQ_ALLOWANCE_2YR_ANN_GROWTH" hidden="1">"c20"</definedName>
    <definedName name="IQ_ALLOWANCE_3YR_ANN_CAGR" hidden="1">"c6037"</definedName>
    <definedName name="IQ_ALLOWANCE_3YR_ANN_GROWTH" hidden="1">"c21"</definedName>
    <definedName name="IQ_ALLOWANCE_5YR_ANN_CAGR" hidden="1">"c6038"</definedName>
    <definedName name="IQ_ALLOWANCE_5YR_ANN_GROWTH" hidden="1">"c22"</definedName>
    <definedName name="IQ_ALLOWANCE_7YR_ANN_CAGR" hidden="1">"c6039"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" hidden="1">"c6196"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" hidden="1">"c6197"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" hidden="1">"c6198"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" hidden="1">"c6199"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EMPLOYEES" hidden="1">"c6019"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CAGR" hidden="1">"c6040"</definedName>
    <definedName name="IQ_AVG_INT_BEAR_LIAB_10YR_ANN_GROWTH" hidden="1">"c67"</definedName>
    <definedName name="IQ_AVG_INT_BEAR_LIAB_1YR_ANN_GROWTH" hidden="1">"c68"</definedName>
    <definedName name="IQ_AVG_INT_BEAR_LIAB_2YR_ANN_CAGR" hidden="1">"c6041"</definedName>
    <definedName name="IQ_AVG_INT_BEAR_LIAB_2YR_ANN_GROWTH" hidden="1">"c69"</definedName>
    <definedName name="IQ_AVG_INT_BEAR_LIAB_3YR_ANN_CAGR" hidden="1">"c6042"</definedName>
    <definedName name="IQ_AVG_INT_BEAR_LIAB_3YR_ANN_GROWTH" hidden="1">"c70"</definedName>
    <definedName name="IQ_AVG_INT_BEAR_LIAB_5YR_ANN_CAGR" hidden="1">"c6043"</definedName>
    <definedName name="IQ_AVG_INT_BEAR_LIAB_5YR_ANN_GROWTH" hidden="1">"c71"</definedName>
    <definedName name="IQ_AVG_INT_BEAR_LIAB_7YR_ANN_CAGR" hidden="1">"c6044"</definedName>
    <definedName name="IQ_AVG_INT_BEAR_LIAB_7YR_ANN_GROWTH" hidden="1">"c72"</definedName>
    <definedName name="IQ_AVG_INT_EARN_ASSETS" hidden="1">"c73"</definedName>
    <definedName name="IQ_AVG_INT_EARN_ASSETS_10YR_ANN_CAGR" hidden="1">"c6045"</definedName>
    <definedName name="IQ_AVG_INT_EARN_ASSETS_10YR_ANN_GROWTH" hidden="1">"c74"</definedName>
    <definedName name="IQ_AVG_INT_EARN_ASSETS_1YR_ANN_GROWTH" hidden="1">"c75"</definedName>
    <definedName name="IQ_AVG_INT_EARN_ASSETS_2YR_ANN_CAGR" hidden="1">"c6046"</definedName>
    <definedName name="IQ_AVG_INT_EARN_ASSETS_2YR_ANN_GROWTH" hidden="1">"c76"</definedName>
    <definedName name="IQ_AVG_INT_EARN_ASSETS_3YR_ANN_CAGR" hidden="1">"c6047"</definedName>
    <definedName name="IQ_AVG_INT_EARN_ASSETS_3YR_ANN_GROWTH" hidden="1">"c77"</definedName>
    <definedName name="IQ_AVG_INT_EARN_ASSETS_5YR_ANN_CAGR" hidden="1">"c6048"</definedName>
    <definedName name="IQ_AVG_INT_EARN_ASSETS_5YR_ANN_GROWTH" hidden="1">"c78"</definedName>
    <definedName name="IQ_AVG_INT_EARN_ASSETS_7YR_ANN_CAGR" hidden="1">"c6049"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MP_EMPLOYEES" hidden="1">"c6020"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ACT_OR_EST_REUT" hidden="1">"c5471"</definedName>
    <definedName name="IQ_BV_EST_REUT" hidden="1">"c5403"</definedName>
    <definedName name="IQ_BV_HIGH_EST_REUT" hidden="1">"c5405"</definedName>
    <definedName name="IQ_BV_LOW_EST_REUT" hidden="1">"c5406"</definedName>
    <definedName name="IQ_BV_MEDIAN_EST_REUT" hidden="1">"c5404"</definedName>
    <definedName name="IQ_BV_NUM_EST_REUT" hidden="1">"c5407"</definedName>
    <definedName name="IQ_BV_OVER_SHARES" hidden="1">"c1349"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_REUT" hidden="1">"c5408"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CAGR" hidden="1">"c6050"</definedName>
    <definedName name="IQ_CAPEX_10YR_ANN_GROWTH" hidden="1">"c104"</definedName>
    <definedName name="IQ_CAPEX_1YR_ANN_GROWTH" hidden="1">"c105"</definedName>
    <definedName name="IQ_CAPEX_2YR_ANN_CAGR" hidden="1">"c6051"</definedName>
    <definedName name="IQ_CAPEX_2YR_ANN_GROWTH" hidden="1">"c106"</definedName>
    <definedName name="IQ_CAPEX_3YR_ANN_CAGR" hidden="1">"c6052"</definedName>
    <definedName name="IQ_CAPEX_3YR_ANN_GROWTH" hidden="1">"c107"</definedName>
    <definedName name="IQ_CAPEX_5YR_ANN_CAGR" hidden="1">"c6053"</definedName>
    <definedName name="IQ_CAPEX_5YR_ANN_GROWTH" hidden="1">"c108"</definedName>
    <definedName name="IQ_CAPEX_7YR_ANN_CAGR" hidden="1">"c6054"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"c116"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DS_ASK" hidden="1">"c6027"</definedName>
    <definedName name="IQ_CDS_BID" hidden="1">"c6026"</definedName>
    <definedName name="IQ_CDS_CURRENCY" hidden="1">"c6031"</definedName>
    <definedName name="IQ_CDS_EVAL_DATE" hidden="1">"c6029"</definedName>
    <definedName name="IQ_CDS_MID" hidden="1">"c6028"</definedName>
    <definedName name="IQ_CDS_NAME" hidden="1">"c6034"</definedName>
    <definedName name="IQ_CDS_TERM" hidden="1">"c6030"</definedName>
    <definedName name="IQ_CDS_TYPE" hidden="1">"c6025"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CAGR" hidden="1">"c6055"</definedName>
    <definedName name="IQ_CFO_10YR_ANN_GROWTH" hidden="1">"c126"</definedName>
    <definedName name="IQ_CFO_1YR_ANN_GROWTH" hidden="1">"c127"</definedName>
    <definedName name="IQ_CFO_2YR_ANN_CAGR" hidden="1">"c6056"</definedName>
    <definedName name="IQ_CFO_2YR_ANN_GROWTH" hidden="1">"c128"</definedName>
    <definedName name="IQ_CFO_3YR_ANN_CAGR" hidden="1">"c6057"</definedName>
    <definedName name="IQ_CFO_3YR_ANN_GROWTH" hidden="1">"c129"</definedName>
    <definedName name="IQ_CFO_5YR_ANN_CAGR" hidden="1">"c6058"</definedName>
    <definedName name="IQ_CFO_5YR_ANN_GROWTH" hidden="1">"c130"</definedName>
    <definedName name="IQ_CFO_7YR_ANN_CAGR" hidden="1">"c6059"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" hidden="1">"c6200"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" hidden="1">"c6201"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" hidden="1">"c6285"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ABLE_END_OS" hidden="1">"c5809"</definedName>
    <definedName name="IQ_CLASSA_OPTIONS_EXERCISED" hidden="1">"c2681"</definedName>
    <definedName name="IQ_CLASSA_OPTIONS_GRANTED" hidden="1">"c2680"</definedName>
    <definedName name="IQ_CLASSA_OPTIONS_STRIKE_PRICE_BEG_OS" hidden="1">"c5810"</definedName>
    <definedName name="IQ_CLASSA_OPTIONS_STRIKE_PRICE_CANCELLED" hidden="1">"c5812"</definedName>
    <definedName name="IQ_CLASSA_OPTIONS_STRIKE_PRICE_EXERCISABLE" hidden="1">"c5813"</definedName>
    <definedName name="IQ_CLASSA_OPTIONS_STRIKE_PRICE_EXERCISED" hidden="1">"c5811"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" hidden="1">"c6202"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CAGR" hidden="1">"c6060"</definedName>
    <definedName name="IQ_COMMON_EQUITY_10YR_ANN_GROWTH" hidden="1">"c191"</definedName>
    <definedName name="IQ_COMMON_EQUITY_1YR_ANN_GROWTH" hidden="1">"c192"</definedName>
    <definedName name="IQ_COMMON_EQUITY_2YR_ANN_CAGR" hidden="1">"c6061"</definedName>
    <definedName name="IQ_COMMON_EQUITY_2YR_ANN_GROWTH" hidden="1">"c193"</definedName>
    <definedName name="IQ_COMMON_EQUITY_3YR_ANN_CAGR" hidden="1">"c6062"</definedName>
    <definedName name="IQ_COMMON_EQUITY_3YR_ANN_GROWTH" hidden="1">"c194"</definedName>
    <definedName name="IQ_COMMON_EQUITY_5YR_ANN_CAGR" hidden="1">"c6063"</definedName>
    <definedName name="IQ_COMMON_EQUITY_5YR_ANN_GROWTH" hidden="1">"c195"</definedName>
    <definedName name="IQ_COMMON_EQUITY_7YR_ANN_CAGR" hidden="1">"c6064"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" hidden="1">"c6203"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" hidden="1">"c6204"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" hidden="1">"c6205"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" hidden="1">"c6283"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" hidden="1">"c6206"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" hidden="1">"c6207"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" hidden="1">"c6208"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" hidden="1">"c6209"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" hidden="1">"c6210"</definedName>
    <definedName name="IQ_DEF_CHARGES_LT_REIT" hidden="1">"c297"</definedName>
    <definedName name="IQ_DEF_CHARGES_LT_UTI" hidden="1">"c298"</definedName>
    <definedName name="IQ_DEF_CHARGES_RE" hidden="1">"c6211"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" hidden="1">"c6212"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" hidden="1">"c6213"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OC_CLAUSE" hidden="1">"c6032"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CAGR" hidden="1">"c6065"</definedName>
    <definedName name="IQ_DPS_10YR_ANN_GROWTH" hidden="1">"c337"</definedName>
    <definedName name="IQ_DPS_1YR_ANN_GROWTH" hidden="1">"c338"</definedName>
    <definedName name="IQ_DPS_2YR_ANN_CAGR" hidden="1">"c6066"</definedName>
    <definedName name="IQ_DPS_2YR_ANN_GROWTH" hidden="1">"c339"</definedName>
    <definedName name="IQ_DPS_3YR_ANN_CAGR" hidden="1">"c6067"</definedName>
    <definedName name="IQ_DPS_3YR_ANN_GROWTH" hidden="1">"c340"</definedName>
    <definedName name="IQ_DPS_5YR_ANN_CAGR" hidden="1">"c6068"</definedName>
    <definedName name="IQ_DPS_5YR_ANN_GROWTH" hidden="1">"c341"</definedName>
    <definedName name="IQ_DPS_7YR_ANN_CAGR" hidden="1">"c6069"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CAGR" hidden="1">"c6070"</definedName>
    <definedName name="IQ_EARNING_CO_10YR_ANN_GROWTH" hidden="1">"c345"</definedName>
    <definedName name="IQ_EARNING_CO_1YR_ANN_GROWTH" hidden="1">"c346"</definedName>
    <definedName name="IQ_EARNING_CO_2YR_ANN_CAGR" hidden="1">"c6071"</definedName>
    <definedName name="IQ_EARNING_CO_2YR_ANN_GROWTH" hidden="1">"c347"</definedName>
    <definedName name="IQ_EARNING_CO_3YR_ANN_CAGR" hidden="1">"c6072"</definedName>
    <definedName name="IQ_EARNING_CO_3YR_ANN_GROWTH" hidden="1">"c348"</definedName>
    <definedName name="IQ_EARNING_CO_5YR_ANN_CAGR" hidden="1">"c6073"</definedName>
    <definedName name="IQ_EARNING_CO_5YR_ANN_GROWTH" hidden="1">"c349"</definedName>
    <definedName name="IQ_EARNING_CO_7YR_ANN_CAGR" hidden="1">"c6074"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CAGR" hidden="1">"c6075"</definedName>
    <definedName name="IQ_EBIT_10YR_ANN_GROWTH" hidden="1">"c353"</definedName>
    <definedName name="IQ_EBIT_1YR_ANN_GROWTH" hidden="1">"c354"</definedName>
    <definedName name="IQ_EBIT_2YR_ANN_CAGR" hidden="1">"c6076"</definedName>
    <definedName name="IQ_EBIT_2YR_ANN_GROWTH" hidden="1">"c355"</definedName>
    <definedName name="IQ_EBIT_3YR_ANN_CAGR" hidden="1">"c6077"</definedName>
    <definedName name="IQ_EBIT_3YR_ANN_GROWTH" hidden="1">"c356"</definedName>
    <definedName name="IQ_EBIT_5YR_ANN_CAGR" hidden="1">"c6078"</definedName>
    <definedName name="IQ_EBIT_5YR_ANN_GROWTH" hidden="1">"c357"</definedName>
    <definedName name="IQ_EBIT_7YR_ANN_CAGR" hidden="1">"c6079"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"c1369"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CAGR" hidden="1">"c6184"</definedName>
    <definedName name="IQ_EBITA_10YR_ANN_GROWTH" hidden="1">"c1954"</definedName>
    <definedName name="IQ_EBITA_1YR_ANN_GROWTH" hidden="1">"c1949"</definedName>
    <definedName name="IQ_EBITA_2YR_ANN_CAGR" hidden="1">"c6180"</definedName>
    <definedName name="IQ_EBITA_2YR_ANN_GROWTH" hidden="1">"c1950"</definedName>
    <definedName name="IQ_EBITA_3YR_ANN_CAGR" hidden="1">"c6181"</definedName>
    <definedName name="IQ_EBITA_3YR_ANN_GROWTH" hidden="1">"c1951"</definedName>
    <definedName name="IQ_EBITA_5YR_ANN_CAGR" hidden="1">"c6182"</definedName>
    <definedName name="IQ_EBITA_5YR_ANN_GROWTH" hidden="1">"c1952"</definedName>
    <definedName name="IQ_EBITA_7YR_ANN_CAGR" hidden="1">"c6183"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CAGR" hidden="1">"c6080"</definedName>
    <definedName name="IQ_EBITDA_10YR_ANN_GROWTH" hidden="1">"c362"</definedName>
    <definedName name="IQ_EBITDA_1YR_ANN_GROWTH" hidden="1">"c363"</definedName>
    <definedName name="IQ_EBITDA_2YR_ANN_CAGR" hidden="1">"c6081"</definedName>
    <definedName name="IQ_EBITDA_2YR_ANN_GROWTH" hidden="1">"c364"</definedName>
    <definedName name="IQ_EBITDA_3YR_ANN_CAGR" hidden="1">"c6082"</definedName>
    <definedName name="IQ_EBITDA_3YR_ANN_GROWTH" hidden="1">"c365"</definedName>
    <definedName name="IQ_EBITDA_5YR_ANN_CAGR" hidden="1">"c6083"</definedName>
    <definedName name="IQ_EBITDA_5YR_ANN_GROWTH" hidden="1">"c366"</definedName>
    <definedName name="IQ_EBITDA_7YR_ANN_CAGR" hidden="1">"c6084"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" hidden="1">"c6214"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" hidden="1">"c6215"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_10YR_ANN_CAGR" hidden="1">"c6085"</definedName>
    <definedName name="IQ_EPS_10YR_ANN_GROWTH" hidden="1">"c393"</definedName>
    <definedName name="IQ_EPS_1YR_ANN_GROWTH" hidden="1">"c394"</definedName>
    <definedName name="IQ_EPS_2YR_ANN_CAGR" hidden="1">"c6086"</definedName>
    <definedName name="IQ_EPS_2YR_ANN_GROWTH" hidden="1">"c395"</definedName>
    <definedName name="IQ_EPS_3YR_ANN_CAGR" hidden="1">"c6087"</definedName>
    <definedName name="IQ_EPS_3YR_ANN_GROWTH" hidden="1">"c396"</definedName>
    <definedName name="IQ_EPS_5YR_ANN_CAGR" hidden="1">"c6088"</definedName>
    <definedName name="IQ_EPS_5YR_ANN_GROWTH" hidden="1">"c397"</definedName>
    <definedName name="IQ_EPS_7YR_ANN_CAGR" hidden="1">"c6089"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BV_REUT" hidden="1">"c5409"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DIFF_REUT" hidden="1">"c5433"</definedName>
    <definedName name="IQ_EST_BV_SHARE_DIFF" hidden="1">"c4147"</definedName>
    <definedName name="IQ_EST_BV_SHARE_SURPRISE_PERCENT" hidden="1">"c4148"</definedName>
    <definedName name="IQ_EST_BV_SURPRISE_PERCENT_REUT" hidden="1">"c5434"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BUY_REUT" hidden="1">"c3869"</definedName>
    <definedName name="IQ_EST_NUM_HOLD" hidden="1">"c1761"</definedName>
    <definedName name="IQ_EST_NUM_HOLD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OUTPERFORM_REUT" hidden="1">"c3870"</definedName>
    <definedName name="IQ_EST_NUM_SELL" hidden="1">"c1763"</definedName>
    <definedName name="IQ_EST_NUM_SELL_REUT" hidden="1">"c3873"</definedName>
    <definedName name="IQ_EST_NUM_UNDERPERFORM" hidden="1">"c1762"</definedName>
    <definedName name="IQ_EST_NUM_UNDERPERFORM_REUT" hidden="1">"c3872"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" hidden="1">"c6216"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"c1405"</definedName>
    <definedName name="IQ_FINANCING_CASH_SUPPL" hidden="1">"c1406"</definedName>
    <definedName name="IQ_FINANCING_OBLIG_CURRENT" hidden="1">"c6190"</definedName>
    <definedName name="IQ_FINANCING_OBLIG_NON_CURRENT" hidden="1">"c6191"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AP_IS" hidden="1">"c6194"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" hidden="1">"c6217"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" hidden="1">"c6218"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" hidden="1">"c6219"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" hidden="1">"c6220"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" hidden="1">"c6278"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" hidden="1">"c6221"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"c1380"</definedName>
    <definedName name="IQ_GP" hidden="1">"c511"</definedName>
    <definedName name="IQ_GP_10YR_ANN_CAGR" hidden="1">"c6090"</definedName>
    <definedName name="IQ_GP_10YR_ANN_GROWTH" hidden="1">"c512"</definedName>
    <definedName name="IQ_GP_1YR_ANN_GROWTH" hidden="1">"c513"</definedName>
    <definedName name="IQ_GP_2YR_ANN_CAGR" hidden="1">"c6091"</definedName>
    <definedName name="IQ_GP_2YR_ANN_GROWTH" hidden="1">"c514"</definedName>
    <definedName name="IQ_GP_3YR_ANN_CAGR" hidden="1">"c6092"</definedName>
    <definedName name="IQ_GP_3YR_ANN_GROWTH" hidden="1">"c515"</definedName>
    <definedName name="IQ_GP_5YR_ANN_CAGR" hidden="1">"c6093"</definedName>
    <definedName name="IQ_GP_5YR_ANN_GROWTH" hidden="1">"c516"</definedName>
    <definedName name="IQ_GP_7YR_ANN_CAGR" hidden="1">"c6094"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CAGR" hidden="1">"c6095"</definedName>
    <definedName name="IQ_GROSS_LOANS_10YR_ANN_GROWTH" hidden="1">"c522"</definedName>
    <definedName name="IQ_GROSS_LOANS_1YR_ANN_GROWTH" hidden="1">"c523"</definedName>
    <definedName name="IQ_GROSS_LOANS_2YR_ANN_CAGR" hidden="1">"c6096"</definedName>
    <definedName name="IQ_GROSS_LOANS_2YR_ANN_GROWTH" hidden="1">"c524"</definedName>
    <definedName name="IQ_GROSS_LOANS_3YR_ANN_CAGR" hidden="1">"c6097"</definedName>
    <definedName name="IQ_GROSS_LOANS_3YR_ANN_GROWTH" hidden="1">"c525"</definedName>
    <definedName name="IQ_GROSS_LOANS_5YR_ANN_CAGR" hidden="1">"c6098"</definedName>
    <definedName name="IQ_GROSS_LOANS_5YR_ANN_GROWTH" hidden="1">"c526"</definedName>
    <definedName name="IQ_GROSS_LOANS_7YR_ANN_CAGR" hidden="1">"c6099"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" hidden="1">"c6279"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" hidden="1">"c6280"</definedName>
    <definedName name="IQ_GW_INTAN_AMORT_REIT" hidden="1">"c1480"</definedName>
    <definedName name="IQ_GW_INTAN_AMORT_UTI" hidden="1">"c1481"</definedName>
    <definedName name="IQ_HC_ADMISSIONS" hidden="1">"c5953"</definedName>
    <definedName name="IQ_HC_ADMISSIONS_GROWTH" hidden="1">"c5997"</definedName>
    <definedName name="IQ_HC_ADMISSIONS_MANAGED_CARE" hidden="1">"c5956"</definedName>
    <definedName name="IQ_HC_ADMISSIONS_MEDICAID" hidden="1">"c5955"</definedName>
    <definedName name="IQ_HC_ADMISSIONS_MEDICARE" hidden="1">"c5954"</definedName>
    <definedName name="IQ_HC_ADMISSIONS_OTHER" hidden="1">"c5957"</definedName>
    <definedName name="IQ_HC_ADMISSIONS_SF" hidden="1">"c6006"</definedName>
    <definedName name="IQ_HC_ALFS" hidden="1">"c5952"</definedName>
    <definedName name="IQ_HC_AVG_BEDS_SVC" hidden="1">"c5951"</definedName>
    <definedName name="IQ_HC_AVG_DAILY_CENSUS" hidden="1">"c5965"</definedName>
    <definedName name="IQ_HC_AVG_LICENSED_BEDS" hidden="1">"c5949"</definedName>
    <definedName name="IQ_HC_AVG_LICENSED_BEDS_SF" hidden="1">"c6004"</definedName>
    <definedName name="IQ_HC_AVG_STAY" hidden="1">"c5966"</definedName>
    <definedName name="IQ_HC_AVG_STAY_SF" hidden="1">"c6016"</definedName>
    <definedName name="IQ_HC_BEDS_SVC" hidden="1">"c5950"</definedName>
    <definedName name="IQ_HC_DAYS_REV_OUT" hidden="1">"c5993"</definedName>
    <definedName name="IQ_HC_EQUIV_ADMISSIONS_GROWTH" hidden="1">"c5998"</definedName>
    <definedName name="IQ_HC_EQUIVALENT_ADMISSIONS" hidden="1">"c5958"</definedName>
    <definedName name="IQ_HC_EQUIVALENT_ADMISSIONS_SF" hidden="1">"c6007"</definedName>
    <definedName name="IQ_HC_ER_VISITS" hidden="1">"c5964"</definedName>
    <definedName name="IQ_HC_ER_VISITS_SF" hidden="1">"c6017"</definedName>
    <definedName name="IQ_HC_GROSS_INPATIENT_REV" hidden="1">"c5987"</definedName>
    <definedName name="IQ_HC_GROSS_OUTPATIENT_REV" hidden="1">"c5988"</definedName>
    <definedName name="IQ_HC_GROSS_PATIENT_REV" hidden="1">"c5989"</definedName>
    <definedName name="IQ_HC_HOSP_FACILITIES_CONSOL" hidden="1">"c5945"</definedName>
    <definedName name="IQ_HC_HOSP_FACILITIES_CONSOL_SF" hidden="1">"c6000"</definedName>
    <definedName name="IQ_HC_HOSP_FACILITIES_NON_CONSOL" hidden="1">"c5946"</definedName>
    <definedName name="IQ_HC_HOSP_FACILITIES_NON_CONSOL_SF" hidden="1">"c6001"</definedName>
    <definedName name="IQ_HC_HOSP_FACILITIES_TOTAL" hidden="1">"c5947"</definedName>
    <definedName name="IQ_HC_HOSP_FACILITIES_TOTAL_SF" hidden="1">"c6002"</definedName>
    <definedName name="IQ_HC_INPATIENT_PROCEDURES" hidden="1">"c5961"</definedName>
    <definedName name="IQ_HC_INPATIENT_PROCEDURES_SF" hidden="1">"c6011"</definedName>
    <definedName name="IQ_HC_INPATIENT_REV_PER_ADMISSION" hidden="1">"c5994"</definedName>
    <definedName name="IQ_HC_INTPATIENT_SVCS_PCT_REV" hidden="1">"c5975"</definedName>
    <definedName name="IQ_HC_INTPATIENT_SVCS_PCT_REV_SF" hidden="1">"c6015"</definedName>
    <definedName name="IQ_HC_LICENSED_BEDS" hidden="1">"c5948"</definedName>
    <definedName name="IQ_HC_LICENSED_BEDS_SF" hidden="1">"c6003"</definedName>
    <definedName name="IQ_HC_MANAGED_CARE_PCT_ADMISSIONS" hidden="1">"c5982"</definedName>
    <definedName name="IQ_HC_MANAGED_CARE_PCT_REV" hidden="1">"c5978"</definedName>
    <definedName name="IQ_HC_MEDICAID_PCT_ADMISSIONS" hidden="1">"c5981"</definedName>
    <definedName name="IQ_HC_MEDICAID_PCT_REV" hidden="1">"c5977"</definedName>
    <definedName name="IQ_HC_MEDICARE_PCT_ADMISSIONS" hidden="1">"c5980"</definedName>
    <definedName name="IQ_HC_MEDICARE_PCT_REV" hidden="1">"c5976"</definedName>
    <definedName name="IQ_HC_NET_INPATIENT_REV" hidden="1">"c5984"</definedName>
    <definedName name="IQ_HC_NET_OUTPATIENT_REV" hidden="1">"c5985"</definedName>
    <definedName name="IQ_HC_NET_PATIENT_REV" hidden="1">"c5986"</definedName>
    <definedName name="IQ_HC_NET_PATIENT_REV_SF" hidden="1">"c6005"</definedName>
    <definedName name="IQ_HC_OCC_RATE" hidden="1">"c5967"</definedName>
    <definedName name="IQ_HC_OCC_RATE_LICENSED_BEDS" hidden="1">"c5968"</definedName>
    <definedName name="IQ_HC_OCC_RATE_SF" hidden="1">"c6009"</definedName>
    <definedName name="IQ_HC_OPEX_SUPPLIES" hidden="1">"c5990"</definedName>
    <definedName name="IQ_HC_OTHER_OPEX_PCT_REV" hidden="1">"c5973"</definedName>
    <definedName name="IQ_HC_OUTPATIENT_PROCEDURES" hidden="1">"c5962"</definedName>
    <definedName name="IQ_HC_OUTPATIENT_PROCEDURES_SF" hidden="1">"c6012"</definedName>
    <definedName name="IQ_HC_OUTPATIENT_REV_PER_ADMISSION" hidden="1">"c5995"</definedName>
    <definedName name="IQ_HC_OUTPATIENT_SVCS_PCT_REV" hidden="1">"c5974"</definedName>
    <definedName name="IQ_HC_OUTPATIENT_SVCS_PCT_REV_SF" hidden="1">"c6014"</definedName>
    <definedName name="IQ_HC_PATIENT_DAYS" hidden="1">"c5960"</definedName>
    <definedName name="IQ_HC_PATIENT_DAYS_SF" hidden="1">"c6010"</definedName>
    <definedName name="IQ_HC_PROF_GEN_LIAB_CLAIM_PAID" hidden="1">"c5991"</definedName>
    <definedName name="IQ_HC_PROF_GEN_LIAB_EXP_BENEFIT" hidden="1">"c5992"</definedName>
    <definedName name="IQ_HC_PROVISION_DOUBTFUL_PCT_REV" hidden="1">"c5972"</definedName>
    <definedName name="IQ_HC_REV_GROWTH" hidden="1">"c5996"</definedName>
    <definedName name="IQ_HC_REV_PER_EQUIV_ADMISSION" hidden="1">"c5959"</definedName>
    <definedName name="IQ_HC_REV_PER_EQUIV_ADMISSION_SF" hidden="1">"c6008"</definedName>
    <definedName name="IQ_HC_REV_PER_EQUIV_ADMISSIONS_GROWTH" hidden="1">"c5999"</definedName>
    <definedName name="IQ_HC_REV_PER_PATIENT_DAY" hidden="1">"c5969"</definedName>
    <definedName name="IQ_HC_REV_PER_PATIENT_DAY_SF" hidden="1">"c6018"</definedName>
    <definedName name="IQ_HC_SALARIES_PCT_REV" hidden="1">"c5970"</definedName>
    <definedName name="IQ_HC_SUPPLIES_PCT_REV" hidden="1">"c5971"</definedName>
    <definedName name="IQ_HC_TOTAL_PROCEDURES" hidden="1">"c5963"</definedName>
    <definedName name="IQ_HC_TOTAL_PROCEDURES_SF" hidden="1">"c6013"</definedName>
    <definedName name="IQ_HC_UNINSURED_PCT_ADMISSIONS" hidden="1">"c5983"</definedName>
    <definedName name="IQ_HC_UNINSURED_PCT_REV" hidden="1">"c5979"</definedName>
    <definedName name="IQ_HIGH_TARGET_PRICE" hidden="1">"c1651"</definedName>
    <definedName name="IQ_HIGH_TARGET_PRICE_REUT" hidden="1">"c5317"</definedName>
    <definedName name="IQ_HIGHPRICE" hidden="1">"c545"</definedName>
    <definedName name="IQ_HOME_AVG_LOAN_SIZE" hidden="1">"c5911"</definedName>
    <definedName name="IQ_HOME_BACKLOG" hidden="1">"c5844"</definedName>
    <definedName name="IQ_HOME_BACKLOG_AVG_JV" hidden="1">"c5848"</definedName>
    <definedName name="IQ_HOME_BACKLOG_AVG_JV_GROWTH" hidden="1">"c5928"</definedName>
    <definedName name="IQ_HOME_BACKLOG_AVG_JV_INC" hidden="1">"c5851"</definedName>
    <definedName name="IQ_HOME_BACKLOG_AVG_JV_INC_GROWTH" hidden="1">"c5931"</definedName>
    <definedName name="IQ_HOME_BACKLOG_AVG_PRICE" hidden="1">"c5845"</definedName>
    <definedName name="IQ_HOME_BACKLOG_AVG_PRICE_GROWTH" hidden="1">"c5925"</definedName>
    <definedName name="IQ_HOME_BACKLOG_GROWTH" hidden="1">"c5924"</definedName>
    <definedName name="IQ_HOME_BACKLOG_JV" hidden="1">"c5847"</definedName>
    <definedName name="IQ_HOME_BACKLOG_JV_GROWTH" hidden="1">"c5927"</definedName>
    <definedName name="IQ_HOME_BACKLOG_JV_INC" hidden="1">"c5850"</definedName>
    <definedName name="IQ_HOME_BACKLOG_JV_INC_GROWTH" hidden="1">"c5930"</definedName>
    <definedName name="IQ_HOME_BACKLOG_VALUE" hidden="1">"c5846"</definedName>
    <definedName name="IQ_HOME_BACKLOG_VALUE_GROWTH" hidden="1">"c5926"</definedName>
    <definedName name="IQ_HOME_BACKLOG_VALUE_JV" hidden="1">"c5849"</definedName>
    <definedName name="IQ_HOME_BACKLOG_VALUE_JV_GROWTH" hidden="1">"c5929"</definedName>
    <definedName name="IQ_HOME_BACKLOG_VALUE_JV_INC" hidden="1">"c5852"</definedName>
    <definedName name="IQ_HOME_BACKLOG_VALUE_JV_INC_GROWTH" hidden="1">"c5932"</definedName>
    <definedName name="IQ_HOME_COMMUNITIES_ACTIVE" hidden="1">"c5862"</definedName>
    <definedName name="IQ_HOME_COMMUNITIES_ACTIVE_GROWTH" hidden="1">"c5942"</definedName>
    <definedName name="IQ_HOME_COMMUNITIES_ACTIVE_JV" hidden="1">"c5863"</definedName>
    <definedName name="IQ_HOME_COMMUNITIES_ACTIVE_JV_GROWTH" hidden="1">"c5943"</definedName>
    <definedName name="IQ_HOME_COMMUNITIES_ACTIVE_JV_INC" hidden="1">"c5864"</definedName>
    <definedName name="IQ_HOME_COMMUNITIES_ACTIVE_JV_INC_GROWTH" hidden="1">"c5944"</definedName>
    <definedName name="IQ_HOME_COST_CONSTRUCTION_SVCS" hidden="1">"c5882"</definedName>
    <definedName name="IQ_HOME_COST_ELIMINATIONS_OTHER" hidden="1">"c5883"</definedName>
    <definedName name="IQ_HOME_COST_FINANCIAL_SVCS" hidden="1">"c5881"</definedName>
    <definedName name="IQ_HOME_COST_HOUSING" hidden="1">"c5877"</definedName>
    <definedName name="IQ_HOME_COST_LAND_LOT" hidden="1">"c5878"</definedName>
    <definedName name="IQ_HOME_COST_OTHER_HOMEBUILDING" hidden="1">"c5879"</definedName>
    <definedName name="IQ_HOME_COST_TOTAL" hidden="1">"c5884"</definedName>
    <definedName name="IQ_HOME_COST_TOTAL_HOMEBUILDING" hidden="1">"c5880"</definedName>
    <definedName name="IQ_HOME_DELIVERED" hidden="1">"c5835"</definedName>
    <definedName name="IQ_HOME_DELIVERED_AVG_PRICE" hidden="1">"c5836"</definedName>
    <definedName name="IQ_HOME_DELIVERED_AVG_PRICE_GROWTH" hidden="1">"c5916"</definedName>
    <definedName name="IQ_HOME_DELIVERED_AVG_PRICE_JV" hidden="1">"c5839"</definedName>
    <definedName name="IQ_HOME_DELIVERED_AVG_PRICE_JV_GROWTH" hidden="1">"c5919"</definedName>
    <definedName name="IQ_HOME_DELIVERED_AVG_PRICE_JV_INC" hidden="1">"c5842"</definedName>
    <definedName name="IQ_HOME_DELIVERED_AVG_PRICE_JV_INC_GROWTH" hidden="1">"c5922"</definedName>
    <definedName name="IQ_HOME_DELIVERED_GROWTH" hidden="1">"c5915"</definedName>
    <definedName name="IQ_HOME_DELIVERED_JV" hidden="1">"c5838"</definedName>
    <definedName name="IQ_HOME_DELIVERED_JV_GROWTH" hidden="1">"c5918"</definedName>
    <definedName name="IQ_HOME_DELIVERED_JV_INC" hidden="1">"c5841"</definedName>
    <definedName name="IQ_HOME_DELIVERED_JV_INC_GROWTH" hidden="1">"c5921"</definedName>
    <definedName name="IQ_HOME_DELIVERED_VALUE" hidden="1">"c5837"</definedName>
    <definedName name="IQ_HOME_DELIVERED_VALUE_GROWTH" hidden="1">"c5917"</definedName>
    <definedName name="IQ_HOME_DELIVERED_VALUE_JV" hidden="1">"c5840"</definedName>
    <definedName name="IQ_HOME_DELIVERED_VALUE_JV_GROWTH" hidden="1">"c5920"</definedName>
    <definedName name="IQ_HOME_DELIVERED_VALUE_JV_INC" hidden="1">"c5843"</definedName>
    <definedName name="IQ_HOME_DELIVERED_VALUE_JV_INC_GROWTH" hidden="1">"c5923"</definedName>
    <definedName name="IQ_HOME_FINISHED_HOMES_CIP" hidden="1">"c5865"</definedName>
    <definedName name="IQ_HOME_FIRSTLIEN_MORT_ORIGINATED" hidden="1">"c5905"</definedName>
    <definedName name="IQ_HOME_FIRSTLIEN_MORT_ORIGINATED_VOL" hidden="1">"c5908"</definedName>
    <definedName name="IQ_HOME_HUC" hidden="1">"c5822"</definedName>
    <definedName name="IQ_HOME_HUC_JV" hidden="1">"c5823"</definedName>
    <definedName name="IQ_HOME_HUC_JV_INC" hidden="1">"c5824"</definedName>
    <definedName name="IQ_HOME_INV_NOT_OWNED" hidden="1">"c5868"</definedName>
    <definedName name="IQ_HOME_LAND_DEVELOPMENT" hidden="1">"c5866"</definedName>
    <definedName name="IQ_HOME_LAND_FUTURE_DEVELOPMENT" hidden="1">"c5867"</definedName>
    <definedName name="IQ_HOME_LOAN_APPLICATIONS" hidden="1">"c5910"</definedName>
    <definedName name="IQ_HOME_LOANS_SOLD_COUNT" hidden="1">"c5912"</definedName>
    <definedName name="IQ_HOME_LOANS_SOLD_VALUE" hidden="1">"c5913"</definedName>
    <definedName name="IQ_HOME_LOTS_CONTROLLED" hidden="1">"c5831"</definedName>
    <definedName name="IQ_HOME_LOTS_FINISHED" hidden="1">"c5827"</definedName>
    <definedName name="IQ_HOME_LOTS_HELD_SALE" hidden="1">"c5830"</definedName>
    <definedName name="IQ_HOME_LOTS_JV" hidden="1">"c5833"</definedName>
    <definedName name="IQ_HOME_LOTS_JV_INC" hidden="1">"c5834"</definedName>
    <definedName name="IQ_HOME_LOTS_OTHER" hidden="1">"c5832"</definedName>
    <definedName name="IQ_HOME_LOTS_OWNED" hidden="1">"c5828"</definedName>
    <definedName name="IQ_HOME_LOTS_UNDER_DEVELOPMENT" hidden="1">"c5826"</definedName>
    <definedName name="IQ_HOME_LOTS_UNDER_OPTION" hidden="1">"c5829"</definedName>
    <definedName name="IQ_HOME_LOTS_UNDEVELOPED" hidden="1">"c5825"</definedName>
    <definedName name="IQ_HOME_MORT_CAPTURE_RATE" hidden="1">"c5906"</definedName>
    <definedName name="IQ_HOME_MORT_ORIGINATED" hidden="1">"c5907"</definedName>
    <definedName name="IQ_HOME_OBLIGATIONS_INV_NOT_OWNED" hidden="1">"c5914"</definedName>
    <definedName name="IQ_HOME_ORDERS" hidden="1">"c5853"</definedName>
    <definedName name="IQ_HOME_ORDERS_AVG_PRICE" hidden="1">"c5854"</definedName>
    <definedName name="IQ_HOME_ORDERS_AVG_PRICE_GROWTH" hidden="1">"c5934"</definedName>
    <definedName name="IQ_HOME_ORDERS_AVG_PRICE_JV" hidden="1">"c5857"</definedName>
    <definedName name="IQ_HOME_ORDERS_AVG_PRICE_JV_GROWTH" hidden="1">"c5937"</definedName>
    <definedName name="IQ_HOME_ORDERS_AVG_PRICE_JV_INC" hidden="1">"c5860"</definedName>
    <definedName name="IQ_HOME_ORDERS_AVG_PRICE_JV_INC_GROWTH" hidden="1">"c5940"</definedName>
    <definedName name="IQ_HOME_ORDERS_GROWTH" hidden="1">"c5933"</definedName>
    <definedName name="IQ_HOME_ORDERS_JV" hidden="1">"c5856"</definedName>
    <definedName name="IQ_HOME_ORDERS_JV_GROWTH" hidden="1">"c5936"</definedName>
    <definedName name="IQ_HOME_ORDERS_JV_INC" hidden="1">"c5859"</definedName>
    <definedName name="IQ_HOME_ORDERS_JV_INC_GROWTH" hidden="1">"c5939"</definedName>
    <definedName name="IQ_HOME_ORDERS_VALUE" hidden="1">"c5855"</definedName>
    <definedName name="IQ_HOME_ORDERS_VALUE_GROWTH" hidden="1">"c5935"</definedName>
    <definedName name="IQ_HOME_ORDERS_VALUE_JV" hidden="1">"c5858"</definedName>
    <definedName name="IQ_HOME_ORDERS_VALUE_JV_GROWTH" hidden="1">"c5938"</definedName>
    <definedName name="IQ_HOME_ORDERS_VALUE_JV_INC" hidden="1">"c5861"</definedName>
    <definedName name="IQ_HOME_ORDERS_VALUE_JV_INC_GROWTH" hidden="1">"c5941"</definedName>
    <definedName name="IQ_HOME_ORIGINATION_TOTAL" hidden="1">"c5909"</definedName>
    <definedName name="IQ_HOME_PRETAX_INC_CONSTRUCTION_SVCS" hidden="1">"c5890"</definedName>
    <definedName name="IQ_HOME_PRETAX_INC_ELIMINATIONS_OTHER" hidden="1">"c5891"</definedName>
    <definedName name="IQ_HOME_PRETAX_INC_FINANCIAL_SVCS" hidden="1">"c5889"</definedName>
    <definedName name="IQ_HOME_PRETAX_INC_HOUSING" hidden="1">"c5885"</definedName>
    <definedName name="IQ_HOME_PRETAX_INC_LAND_LOT" hidden="1">"c5886"</definedName>
    <definedName name="IQ_HOME_PRETAX_INC_OTHER_HOMEBUILDING" hidden="1">"c5887"</definedName>
    <definedName name="IQ_HOME_PRETAX_INC_TOTAL" hidden="1">"c5892"</definedName>
    <definedName name="IQ_HOME_PRETAX_INC_TOTAL_HOMEBUILDING" hidden="1">"c5888"</definedName>
    <definedName name="IQ_HOME_PURCH_OBLIGATION_1YR" hidden="1">"c5898"</definedName>
    <definedName name="IQ_HOME_PURCH_OBLIGATION_2YR" hidden="1">"c5899"</definedName>
    <definedName name="IQ_HOME_PURCH_OBLIGATION_3YR" hidden="1">"c5900"</definedName>
    <definedName name="IQ_HOME_PURCH_OBLIGATION_4YR" hidden="1">"c5901"</definedName>
    <definedName name="IQ_HOME_PURCH_OBLIGATION_5YR" hidden="1">"c5902"</definedName>
    <definedName name="IQ_HOME_PURCH_OBLIGATION_AFTER5" hidden="1">"c5903"</definedName>
    <definedName name="IQ_HOME_PURCH_OBLIGATION_TOTAL" hidden="1">"c5904"</definedName>
    <definedName name="IQ_HOME_REV_CONSTRUCTION_SERVICES" hidden="1">"c5874"</definedName>
    <definedName name="IQ_HOME_REV_ELIMINATIONS_OTHER" hidden="1">"c5875"</definedName>
    <definedName name="IQ_HOME_REV_FINANCIAL_SERVICES" hidden="1">"c5873"</definedName>
    <definedName name="IQ_HOME_REV_HOUSING" hidden="1">"c5872"</definedName>
    <definedName name="IQ_HOME_REV_LAND_LOT" hidden="1">"c5870"</definedName>
    <definedName name="IQ_HOME_REV_OTHER_HOMEBUILDING" hidden="1">"c5871"</definedName>
    <definedName name="IQ_HOME_REV_TOTAL" hidden="1">"c5876"</definedName>
    <definedName name="IQ_HOME_TOTAL_INV" hidden="1">"c5869"</definedName>
    <definedName name="IQ_HOME_WARRANTY_RES_BEG" hidden="1">"c5893"</definedName>
    <definedName name="IQ_HOME_WARRANTY_RES_END" hidden="1">"c5897"</definedName>
    <definedName name="IQ_HOME_WARRANTY_RES_ISS" hidden="1">"c5894"</definedName>
    <definedName name="IQ_HOME_WARRANTY_RES_OTHER" hidden="1">"c5896"</definedName>
    <definedName name="IQ_HOME_WARRANTY_RES_PAY" hidden="1">"c5895"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" hidden="1">"c6222"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" hidden="1">"c6223"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" hidden="1">"c6224"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" hidden="1">"c6225"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" hidden="1">"c6226"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CAGR" hidden="1">"c6164"</definedName>
    <definedName name="IQ_INV_10YR_ANN_GROWTH" hidden="1">"c1930"</definedName>
    <definedName name="IQ_INV_1YR_ANN_GROWTH" hidden="1">"c1925"</definedName>
    <definedName name="IQ_INV_2YR_ANN_CAGR" hidden="1">"c6160"</definedName>
    <definedName name="IQ_INV_2YR_ANN_GROWTH" hidden="1">"c1926"</definedName>
    <definedName name="IQ_INV_3YR_ANN_CAGR" hidden="1">"c6161"</definedName>
    <definedName name="IQ_INV_3YR_ANN_GROWTH" hidden="1">"c1927"</definedName>
    <definedName name="IQ_INV_5YR_ANN_CAGR" hidden="1">"c6162"</definedName>
    <definedName name="IQ_INV_5YR_ANN_GROWTH" hidden="1">"c1928"</definedName>
    <definedName name="IQ_INV_7YR_ANN_CAGR" hidden="1">"c6163"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" hidden="1">"c6227"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" hidden="1">"c6228"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" hidden="1">"c6229"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CAGR" hidden="1">"c6174"</definedName>
    <definedName name="IQ_LFCF_10YR_ANN_GROWTH" hidden="1">"c1942"</definedName>
    <definedName name="IQ_LFCF_1YR_ANN_GROWTH" hidden="1">"c1937"</definedName>
    <definedName name="IQ_LFCF_2YR_ANN_CAGR" hidden="1">"c6170"</definedName>
    <definedName name="IQ_LFCF_2YR_ANN_GROWTH" hidden="1">"c1938"</definedName>
    <definedName name="IQ_LFCF_3YR_ANN_CAGR" hidden="1">"c6171"</definedName>
    <definedName name="IQ_LFCF_3YR_ANN_GROWTH" hidden="1">"c1939"</definedName>
    <definedName name="IQ_LFCF_5YR_ANN_CAGR" hidden="1">"c6172"</definedName>
    <definedName name="IQ_LFCF_5YR_ANN_GROWTH" hidden="1">"c1940"</definedName>
    <definedName name="IQ_LFCF_7YR_ANN_CAGR" hidden="1">"c6173"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" hidden="1">"c6230"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" hidden="1">"c6231"</definedName>
    <definedName name="IQ_LT_DEBT_ISSUED_REIT" hidden="1">"c686"</definedName>
    <definedName name="IQ_LT_DEBT_ISSUED_UTI" hidden="1">"c687"</definedName>
    <definedName name="IQ_LT_DEBT_RE" hidden="1">"c6232"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" hidden="1">"c6233"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" hidden="1">"c6234"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"c1437"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" hidden="1">"c6235"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" hidden="1">"c6236"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" hidden="1">"c6237"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" hidden="1">"c6238"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CAGR" hidden="1">"c6100"</definedName>
    <definedName name="IQ_NET_INT_INC_10YR_ANN_GROWTH" hidden="1">"c758"</definedName>
    <definedName name="IQ_NET_INT_INC_1YR_ANN_GROWTH" hidden="1">"c759"</definedName>
    <definedName name="IQ_NET_INT_INC_2YR_ANN_CAGR" hidden="1">"c6101"</definedName>
    <definedName name="IQ_NET_INT_INC_2YR_ANN_GROWTH" hidden="1">"c760"</definedName>
    <definedName name="IQ_NET_INT_INC_3YR_ANN_CAGR" hidden="1">"c6102"</definedName>
    <definedName name="IQ_NET_INT_INC_3YR_ANN_GROWTH" hidden="1">"c761"</definedName>
    <definedName name="IQ_NET_INT_INC_5YR_ANN_CAGR" hidden="1">"c6103"</definedName>
    <definedName name="IQ_NET_INT_INC_5YR_ANN_GROWTH" hidden="1">"c762"</definedName>
    <definedName name="IQ_NET_INT_INC_7YR_ANN_CAGR" hidden="1">"c6104"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" hidden="1">"c6239"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CAGR" hidden="1">"c6105"</definedName>
    <definedName name="IQ_NET_LOANS_10YR_ANN_GROWTH" hidden="1">"c773"</definedName>
    <definedName name="IQ_NET_LOANS_1YR_ANN_GROWTH" hidden="1">"c774"</definedName>
    <definedName name="IQ_NET_LOANS_2YR_ANN_CAGR" hidden="1">"c6106"</definedName>
    <definedName name="IQ_NET_LOANS_2YR_ANN_GROWTH" hidden="1">"c775"</definedName>
    <definedName name="IQ_NET_LOANS_3YR_ANN_CAGR" hidden="1">"c6107"</definedName>
    <definedName name="IQ_NET_LOANS_3YR_ANN_GROWTH" hidden="1">"c776"</definedName>
    <definedName name="IQ_NET_LOANS_5YR_ANN_CAGR" hidden="1">"c6108"</definedName>
    <definedName name="IQ_NET_LOANS_5YR_ANN_GROWTH" hidden="1">"c777"</definedName>
    <definedName name="IQ_NET_LOANS_7YR_ANN_CAGR" hidden="1">"c6109"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CAGR" hidden="1">"c6110"</definedName>
    <definedName name="IQ_NI_10YR_ANN_GROWTH" hidden="1">"c782"</definedName>
    <definedName name="IQ_NI_1YR_ANN_GROWTH" hidden="1">"c783"</definedName>
    <definedName name="IQ_NI_2YR_ANN_CAGR" hidden="1">"c6111"</definedName>
    <definedName name="IQ_NI_2YR_ANN_GROWTH" hidden="1">"c784"</definedName>
    <definedName name="IQ_NI_3YR_ANN_CAGR" hidden="1">"c6112"</definedName>
    <definedName name="IQ_NI_3YR_ANN_GROWTH" hidden="1">"c785"</definedName>
    <definedName name="IQ_NI_5YR_ANN_CAGR" hidden="1">"c6113"</definedName>
    <definedName name="IQ_NI_5YR_ANN_GROWTH" hidden="1">"c786"</definedName>
    <definedName name="IQ_NI_7YR_ANN_CAGR" hidden="1">"c6114"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CAGR" hidden="1">"c6189"</definedName>
    <definedName name="IQ_NI_NORM_10YR_ANN_GROWTH" hidden="1">"c1960"</definedName>
    <definedName name="IQ_NI_NORM_1YR_ANN_GROWTH" hidden="1">"c1955"</definedName>
    <definedName name="IQ_NI_NORM_2YR_ANN_CAGR" hidden="1">"c6185"</definedName>
    <definedName name="IQ_NI_NORM_2YR_ANN_GROWTH" hidden="1">"c1956"</definedName>
    <definedName name="IQ_NI_NORM_3YR_ANN_CAGR" hidden="1">"c6186"</definedName>
    <definedName name="IQ_NI_NORM_3YR_ANN_GROWTH" hidden="1">"c1957"</definedName>
    <definedName name="IQ_NI_NORM_5YR_ANN_CAGR" hidden="1">"c6187"</definedName>
    <definedName name="IQ_NI_NORM_5YR_ANN_GROWTH" hidden="1">"c1958"</definedName>
    <definedName name="IQ_NI_NORM_7YR_ANN_CAGR" hidden="1">"c6188"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CAGR" hidden="1">"c6115"</definedName>
    <definedName name="IQ_NON_INT_INC_10YR_ANN_GROWTH" hidden="1">"c803"</definedName>
    <definedName name="IQ_NON_INT_INC_1YR_ANN_GROWTH" hidden="1">"c804"</definedName>
    <definedName name="IQ_NON_INT_INC_2YR_ANN_CAGR" hidden="1">"c6116"</definedName>
    <definedName name="IQ_NON_INT_INC_2YR_ANN_GROWTH" hidden="1">"c805"</definedName>
    <definedName name="IQ_NON_INT_INC_3YR_ANN_CAGR" hidden="1">"c6117"</definedName>
    <definedName name="IQ_NON_INT_INC_3YR_ANN_GROWTH" hidden="1">"c806"</definedName>
    <definedName name="IQ_NON_INT_INC_5YR_ANN_CAGR" hidden="1">"c6118"</definedName>
    <definedName name="IQ_NON_INT_INC_5YR_ANN_GROWTH" hidden="1">"c807"</definedName>
    <definedName name="IQ_NON_INT_INC_7YR_ANN_CAGR" hidden="1">"c6119"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CAGR" hidden="1">"c6120"</definedName>
    <definedName name="IQ_NON_PERF_ASSETS_10YR_ANN_GROWTH" hidden="1">"c811"</definedName>
    <definedName name="IQ_NON_PERF_ASSETS_1YR_ANN_GROWTH" hidden="1">"c812"</definedName>
    <definedName name="IQ_NON_PERF_ASSETS_2YR_ANN_CAGR" hidden="1">"c6121"</definedName>
    <definedName name="IQ_NON_PERF_ASSETS_2YR_ANN_GROWTH" hidden="1">"c813"</definedName>
    <definedName name="IQ_NON_PERF_ASSETS_3YR_ANN_CAGR" hidden="1">"c6122"</definedName>
    <definedName name="IQ_NON_PERF_ASSETS_3YR_ANN_GROWTH" hidden="1">"c814"</definedName>
    <definedName name="IQ_NON_PERF_ASSETS_5YR_ANN_CAGR" hidden="1">"c6123"</definedName>
    <definedName name="IQ_NON_PERF_ASSETS_5YR_ANN_GROWTH" hidden="1">"c815"</definedName>
    <definedName name="IQ_NON_PERF_ASSETS_7YR_ANN_CAGR" hidden="1">"c6124"</definedName>
    <definedName name="IQ_NON_PERF_ASSETS_7YR_ANN_GROWTH" hidden="1">"c816"</definedName>
    <definedName name="IQ_NON_PERF_ASSETS_TOTAL_ASSETS" hidden="1">"c817"</definedName>
    <definedName name="IQ_NON_PERF_LOANS_10YR_ANN_CAGR" hidden="1">"c6125"</definedName>
    <definedName name="IQ_NON_PERF_LOANS_10YR_ANN_GROWTH" hidden="1">"c818"</definedName>
    <definedName name="IQ_NON_PERF_LOANS_1YR_ANN_GROWTH" hidden="1">"c819"</definedName>
    <definedName name="IQ_NON_PERF_LOANS_2YR_ANN_CAGR" hidden="1">"c6126"</definedName>
    <definedName name="IQ_NON_PERF_LOANS_2YR_ANN_GROWTH" hidden="1">"c820"</definedName>
    <definedName name="IQ_NON_PERF_LOANS_3YR_ANN_CAGR" hidden="1">"c6127"</definedName>
    <definedName name="IQ_NON_PERF_LOANS_3YR_ANN_GROWTH" hidden="1">"c821"</definedName>
    <definedName name="IQ_NON_PERF_LOANS_5YR_ANN_CAGR" hidden="1">"c6128"</definedName>
    <definedName name="IQ_NON_PERF_LOANS_5YR_ANN_GROWTH" hidden="1">"c822"</definedName>
    <definedName name="IQ_NON_PERF_LOANS_7YR_ANN_CAGR" hidden="1">"c6129"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CAGR" hidden="1">"c6130"</definedName>
    <definedName name="IQ_NPPE_10YR_ANN_GROWTH" hidden="1">"c830"</definedName>
    <definedName name="IQ_NPPE_1YR_ANN_GROWTH" hidden="1">"c831"</definedName>
    <definedName name="IQ_NPPE_2YR_ANN_CAGR" hidden="1">"c6131"</definedName>
    <definedName name="IQ_NPPE_2YR_ANN_GROWTH" hidden="1">"c832"</definedName>
    <definedName name="IQ_NPPE_3YR_ANN_CAGR" hidden="1">"c6132"</definedName>
    <definedName name="IQ_NPPE_3YR_ANN_GROWTH" hidden="1">"c833"</definedName>
    <definedName name="IQ_NPPE_5YR_ANN_CAGR" hidden="1">"c6133"</definedName>
    <definedName name="IQ_NPPE_5YR_ANN_GROWTH" hidden="1">"c834"</definedName>
    <definedName name="IQ_NPPE_7YR_ANN_CAGR" hidden="1">"c6134"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AVG_DAILY_SALES_VOL_EQ_INC_GAS" hidden="1">"c5797"</definedName>
    <definedName name="IQ_OG_AVG_DAILY_SALES_VOL_EQ_INC_NGL" hidden="1">"c5798"</definedName>
    <definedName name="IQ_OG_AVG_DAILY_SALES_VOL_EQ_INC_OIL" hidden="1">"c5796"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ACRE_GROSS_EQ_INC" hidden="1">"c5802"</definedName>
    <definedName name="IQ_OG_DEVELOPED_ACRE_NET_EQ_INC" hidden="1">"c5803"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SERVE_REPLACEMENT_RATIO" hidden="1">"c5799"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ALES_VOL_EQ_INC_GAS" hidden="1">"c5794"</definedName>
    <definedName name="IQ_OG_SALES_VOL_EQ_INC_NGL" hidden="1">"c5795"</definedName>
    <definedName name="IQ_OG_SALES_VOL_EQ_INC_OIL" hidden="1">"c5793"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ACRE_GROSS_EQ_INC" hidden="1">"c5800"</definedName>
    <definedName name="IQ_OG_UNDEVELOPED_ACRE_NET_EQ_INC" hidden="1">"c5801"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CT_NEXT" hidden="1">"c5774"</definedName>
    <definedName name="IQ_OPEB_ACT_NEXT_DOM" hidden="1">"c5772"</definedName>
    <definedName name="IQ_OPEB_ACT_NEXT_FOREIGN" hidden="1">"c5773"</definedName>
    <definedName name="IQ_OPEB_AMT_RECOG_NEXT" hidden="1">"c5783"</definedName>
    <definedName name="IQ_OPEB_AMT_RECOG_NEXT_DOM" hidden="1">"c5781"</definedName>
    <definedName name="IQ_OPEB_AMT_RECOG_NEXT_FOREIGN" hidden="1">"c5782"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CI_ACT" hidden="1">"c5759"</definedName>
    <definedName name="IQ_OPEB_CI_ACT_DOM" hidden="1">"c5757"</definedName>
    <definedName name="IQ_OPEB_CI_ACT_FOREIGN" hidden="1">"c5758"</definedName>
    <definedName name="IQ_OPEB_CI_NET_AMT_RECOG" hidden="1">"c5771"</definedName>
    <definedName name="IQ_OPEB_CI_NET_AMT_RECOG_DOM" hidden="1">"c5769"</definedName>
    <definedName name="IQ_OPEB_CI_NET_AMT_RECOG_FOREIGN" hidden="1">"c5770"</definedName>
    <definedName name="IQ_OPEB_CI_OTHER_MISC_ADJ" hidden="1">"c5768"</definedName>
    <definedName name="IQ_OPEB_CI_OTHER_MISC_ADJ_DOM" hidden="1">"c5766"</definedName>
    <definedName name="IQ_OPEB_CI_OTHER_MISC_ADJ_FOREIGN" hidden="1">"c5767"</definedName>
    <definedName name="IQ_OPEB_CI_PRIOR_SERVICE" hidden="1">"c5762"</definedName>
    <definedName name="IQ_OPEB_CI_PRIOR_SERVICE_DOM" hidden="1">"c5760"</definedName>
    <definedName name="IQ_OPEB_CI_PRIOR_SERVICE_FOREIGN" hidden="1">"c5761"</definedName>
    <definedName name="IQ_OPEB_CI_TRANSITION" hidden="1">"c5765"</definedName>
    <definedName name="IQ_OPEB_CI_TRANSITION_DOM" hidden="1">"c5763"</definedName>
    <definedName name="IQ_OPEB_CI_TRANSITION_FOREIGN" hidden="1">"c5764"</definedName>
    <definedName name="IQ_OPEB_CL" hidden="1">"c5789"</definedName>
    <definedName name="IQ_OPEB_CL_DOM" hidden="1">"c5787"</definedName>
    <definedName name="IQ_OPEB_CL_FOREIGN" hidden="1">"c5788"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LT_ASSETS" hidden="1">"c5786"</definedName>
    <definedName name="IQ_OPEB_LT_ASSETS_DOM" hidden="1">"c5784"</definedName>
    <definedName name="IQ_OPEB_LT_ASSETS_FOREIGN" hidden="1">"c5785"</definedName>
    <definedName name="IQ_OPEB_LT_LIAB" hidden="1">"c5792"</definedName>
    <definedName name="IQ_OPEB_LT_LIAB_DOM" hidden="1">"c5790"</definedName>
    <definedName name="IQ_OPEB_LT_LIAB_FOREIGN" hidden="1">"c5791"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PRIOR_SERVICE_NEXT" hidden="1">"c5777"</definedName>
    <definedName name="IQ_OPEB_PRIOR_SERVICE_NEXT_DOM" hidden="1">"c5775"</definedName>
    <definedName name="IQ_OPEB_PRIOR_SERVICE_NEXT_FOREIGN" hidden="1">"c5776"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TRANSITION_NEXT" hidden="1">"c5780"</definedName>
    <definedName name="IQ_OPEB_TRANSITION_NEXT_DOM" hidden="1">"c5778"</definedName>
    <definedName name="IQ_OPEB_TRANSITION_NEXT_FOREIGN" hidden="1">"c5779"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"c1448"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" hidden="1">"c6240"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ABLE_END_OS" hidden="1">"c5804"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BEG_OS" hidden="1">"c5805"</definedName>
    <definedName name="IQ_OPTIONS_STRIKE_PRICE_CANCELLED" hidden="1">"c5807"</definedName>
    <definedName name="IQ_OPTIONS_STRIKE_PRICE_EXERCISABLE" hidden="1">"c5808"</definedName>
    <definedName name="IQ_OPTIONS_STRIKE_PRICE_EXERCISED" hidden="1">"c5806"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" hidden="1">"c6287"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" hidden="1">"c6241"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" hidden="1">"c6242"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INS" hidden="1">"C6021"</definedName>
    <definedName name="IQ_OTHER_CL_SUPPL_RE" hidden="1">"c6243"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" hidden="1">"c6244"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" hidden="1">"c6245"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" hidden="1">"c6246"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" hidden="1">"c6247"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" hidden="1">"c6248"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" hidden="1">"c6249"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" hidden="1">"c6250"</definedName>
    <definedName name="IQ_OTHER_LIAB_LT_REIT" hidden="1">"c940"</definedName>
    <definedName name="IQ_OTHER_LIAB_LT_UTI" hidden="1">"c941"</definedName>
    <definedName name="IQ_OTHER_LIAB_RE" hidden="1">"c6251"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" hidden="1">"c6252"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" hidden="1">"c6253"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" hidden="1">"c6254"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" hidden="1">"c6255"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" hidden="1">"c6256"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" hidden="1">"c6257"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" hidden="1">"c6258"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ABLE_END_OS" hidden="1">"c5814"</definedName>
    <definedName name="IQ_OTHER_OPTIONS_EXERCISED" hidden="1">"c2688"</definedName>
    <definedName name="IQ_OTHER_OPTIONS_GRANTED" hidden="1">"c2687"</definedName>
    <definedName name="IQ_OTHER_OPTIONS_STRIKE_PRICE_BEG_OS" hidden="1">"c5815"</definedName>
    <definedName name="IQ_OTHER_OPTIONS_STRIKE_PRICE_CANCELLED" hidden="1">"c5817"</definedName>
    <definedName name="IQ_OTHER_OPTIONS_STRIKE_PRICE_EXERCISABLE" hidden="1">"c5818"</definedName>
    <definedName name="IQ_OTHER_OPTIONS_STRIKE_PRICE_EXERCISED" hidden="1">"c5816"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" hidden="1">"c6259"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" hidden="1">"c6260"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" hidden="1">"c6282"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" hidden="1">"c6281"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CT_NEXT" hidden="1">"c5738"</definedName>
    <definedName name="IQ_PENSION_ACT_NEXT_DOM" hidden="1">"c5736"</definedName>
    <definedName name="IQ_PENSION_ACT_NEXT_FOREIGN" hidden="1">"c5737"</definedName>
    <definedName name="IQ_PENSION_AMT_RECOG_NEXT_DOM" hidden="1">"c5745"</definedName>
    <definedName name="IQ_PENSION_AMT_RECOG_NEXT_FOREIGN" hidden="1">"c5746"</definedName>
    <definedName name="IQ_PENSION_AMT_RECOG_PERIOD" hidden="1">"c5747"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I_ACT" hidden="1">"c5723"</definedName>
    <definedName name="IQ_PENSION_CI_ACT_DOM" hidden="1">"c5721"</definedName>
    <definedName name="IQ_PENSION_CI_ACT_FOREIGN" hidden="1">"c5722"</definedName>
    <definedName name="IQ_PENSION_CI_NET_AMT_RECOG" hidden="1">"c5735"</definedName>
    <definedName name="IQ_PENSION_CI_NET_AMT_RECOG_DOM" hidden="1">"c5733"</definedName>
    <definedName name="IQ_PENSION_CI_NET_AMT_RECOG_FOREIGN" hidden="1">"c5734"</definedName>
    <definedName name="IQ_PENSION_CI_OTHER_MISC_ADJ" hidden="1">"c5732"</definedName>
    <definedName name="IQ_PENSION_CI_OTHER_MISC_ADJ_DOM" hidden="1">"c5730"</definedName>
    <definedName name="IQ_PENSION_CI_OTHER_MISC_ADJ_FOREIGN" hidden="1">"c5731"</definedName>
    <definedName name="IQ_PENSION_CI_PRIOR_SERVICE" hidden="1">"c5726"</definedName>
    <definedName name="IQ_PENSION_CI_PRIOR_SERVICE_DOM" hidden="1">"c5724"</definedName>
    <definedName name="IQ_PENSION_CI_PRIOR_SERVICE_FOREIGN" hidden="1">"c5725"</definedName>
    <definedName name="IQ_PENSION_CI_TRANSITION" hidden="1">"c5729"</definedName>
    <definedName name="IQ_PENSION_CI_TRANSITION_DOM" hidden="1">"c5727"</definedName>
    <definedName name="IQ_PENSION_CI_TRANSITION_FOREIGN" hidden="1">"c5728"</definedName>
    <definedName name="IQ_PENSION_CL" hidden="1">"c5753"</definedName>
    <definedName name="IQ_PENSION_CL_DOM" hidden="1">"c5751"</definedName>
    <definedName name="IQ_PENSION_CL_FOREIGN" hidden="1">"c5752"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LT_ASSETS" hidden="1">"c5750"</definedName>
    <definedName name="IQ_PENSION_LT_ASSETS_DOM" hidden="1">"c5748"</definedName>
    <definedName name="IQ_PENSION_LT_ASSETS_FOREIGN" hidden="1">"c5749"</definedName>
    <definedName name="IQ_PENSION_LT_LIAB" hidden="1">"c5756"</definedName>
    <definedName name="IQ_PENSION_LT_LIAB_DOM" hidden="1">"c5754"</definedName>
    <definedName name="IQ_PENSION_LT_LIAB_FOREIGN" hidden="1">"c5755"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IOR_SERVICE_NEXT" hidden="1">"c5741"</definedName>
    <definedName name="IQ_PENSION_PRIOR_SERVICE_NEXT_DOM" hidden="1">"c5739"</definedName>
    <definedName name="IQ_PENSION_PRIOR_SERVICE_NEXT_FOREIGN" hidden="1">"c5740"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TRANSITION_NEXT" hidden="1">"c5744"</definedName>
    <definedName name="IQ_PENSION_TRANSITION_NEXT_DOM" hidden="1">"c5742"</definedName>
    <definedName name="IQ_PENSION_TRANSITION_NEXT_FOREIGN" hidden="1">"c5743"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" hidden="1">"c6261"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" hidden="1">"c6262"</definedName>
    <definedName name="IQ_PREF_OTHER_REIT" hidden="1">"c1058"</definedName>
    <definedName name="IQ_PREF_OTHER_UTI" hidden="1">"C6022"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" hidden="1">"c6263"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"c1412"</definedName>
    <definedName name="IQ_PRICE_OVER_LTM_EPS" hidden="1">"c1413"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CAGR" hidden="1">"c6135"</definedName>
    <definedName name="IQ_PROVISION_10YR_ANN_GROWTH" hidden="1">"c1077"</definedName>
    <definedName name="IQ_PROVISION_1YR_ANN_GROWTH" hidden="1">"c1078"</definedName>
    <definedName name="IQ_PROVISION_2YR_ANN_CAGR" hidden="1">"c6136"</definedName>
    <definedName name="IQ_PROVISION_2YR_ANN_GROWTH" hidden="1">"c1079"</definedName>
    <definedName name="IQ_PROVISION_3YR_ANN_CAGR" hidden="1">"c6137"</definedName>
    <definedName name="IQ_PROVISION_3YR_ANN_GROWTH" hidden="1">"c1080"</definedName>
    <definedName name="IQ_PROVISION_5YR_ANN_CAGR" hidden="1">"c6138"</definedName>
    <definedName name="IQ_PROVISION_5YR_ANN_GROWTH" hidden="1">"c1081"</definedName>
    <definedName name="IQ_PROVISION_7YR_ANN_CAGR" hidden="1">"c6139"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"c1417"</definedName>
    <definedName name="IQ_REF_ENTITY" hidden="1">"c6033"</definedName>
    <definedName name="IQ_REF_ENTITY_CIQID" hidden="1">"c6024"</definedName>
    <definedName name="IQ_REF_ENTITY_TICKER" hidden="1">"c6023"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ICTED_CASH_NON_CURRENT" hidden="1">"c6192"</definedName>
    <definedName name="IQ_RESTRICTED_CASH_TOTAL" hidden="1">"c6193"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" hidden="1">"c6264"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"c1422"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" hidden="1">"c6284"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" hidden="1">"c6265"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_PURCHASED_AVERAGE_PRICE" hidden="1">"c5821"</definedName>
    <definedName name="IQ_SHARES_PURCHASED_QUARTER" hidden="1">"c5820"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" hidden="1">"c6266"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" hidden="1">"c6267"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" hidden="1">"c6268"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" hidden="1">"c6269"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CAGR" hidden="1">"c6169"</definedName>
    <definedName name="IQ_TBV_10YR_ANN_GROWTH" hidden="1">"c1936"</definedName>
    <definedName name="IQ_TBV_1YR_ANN_GROWTH" hidden="1">"c1931"</definedName>
    <definedName name="IQ_TBV_2YR_ANN_CAGR" hidden="1">"c6165"</definedName>
    <definedName name="IQ_TBV_2YR_ANN_GROWTH" hidden="1">"c1932"</definedName>
    <definedName name="IQ_TBV_3YR_ANN_CAGR" hidden="1">"c6166"</definedName>
    <definedName name="IQ_TBV_3YR_ANN_GROWTH" hidden="1">"c1933"</definedName>
    <definedName name="IQ_TBV_5YR_ANN_CAGR" hidden="1">"c6167"</definedName>
    <definedName name="IQ_TBV_5YR_ANN_GROWTH" hidden="1">"c1934"</definedName>
    <definedName name="IQ_TBV_7YR_ANN_CAGR" hidden="1">"c6168"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" hidden="1">"c6270"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CAGR" hidden="1">"c6140"</definedName>
    <definedName name="IQ_TOTAL_ASSETS_10YR_ANN_GROWTH" hidden="1">"c1235"</definedName>
    <definedName name="IQ_TOTAL_ASSETS_1YR_ANN_GROWTH" hidden="1">"c1236"</definedName>
    <definedName name="IQ_TOTAL_ASSETS_2YR_ANN_CAGR" hidden="1">"c6141"</definedName>
    <definedName name="IQ_TOTAL_ASSETS_2YR_ANN_GROWTH" hidden="1">"c1237"</definedName>
    <definedName name="IQ_TOTAL_ASSETS_3YR_ANN_CAGR" hidden="1">"c6142"</definedName>
    <definedName name="IQ_TOTAL_ASSETS_3YR_ANN_GROWTH" hidden="1">"c1238"</definedName>
    <definedName name="IQ_TOTAL_ASSETS_5YR_ANN_CAGR" hidden="1">"c6143"</definedName>
    <definedName name="IQ_TOTAL_ASSETS_5YR_ANN_GROWTH" hidden="1">"c1239"</definedName>
    <definedName name="IQ_TOTAL_ASSETS_7YR_ANN_CAGR" hidden="1">"c6144"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" hidden="1">"c6271"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" hidden="1">"c6272"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CAGR" hidden="1">"c6145"</definedName>
    <definedName name="IQ_TOTAL_EQUITY_10YR_ANN_GROWTH" hidden="1">"c1268"</definedName>
    <definedName name="IQ_TOTAL_EQUITY_1YR_ANN_GROWTH" hidden="1">"c1269"</definedName>
    <definedName name="IQ_TOTAL_EQUITY_2YR_ANN_CAGR" hidden="1">"c6146"</definedName>
    <definedName name="IQ_TOTAL_EQUITY_2YR_ANN_GROWTH" hidden="1">"c1270"</definedName>
    <definedName name="IQ_TOTAL_EQUITY_3YR_ANN_CAGR" hidden="1">"c6147"</definedName>
    <definedName name="IQ_TOTAL_EQUITY_3YR_ANN_GROWTH" hidden="1">"c1271"</definedName>
    <definedName name="IQ_TOTAL_EQUITY_5YR_ANN_CAGR" hidden="1">"c6148"</definedName>
    <definedName name="IQ_TOTAL_EQUITY_5YR_ANN_GROWTH" hidden="1">"c1272"</definedName>
    <definedName name="IQ_TOTAL_EQUITY_7YR_ANN_CAGR" hidden="1">"c6149"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" hidden="1">"c6273"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" hidden="1">"c6274"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ABLE_END_OS" hidden="1">"c5819"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CAGR" hidden="1">"c6150"</definedName>
    <definedName name="IQ_TOTAL_REV_10YR_ANN_GROWTH" hidden="1">"c1295"</definedName>
    <definedName name="IQ_TOTAL_REV_1YR_ANN_GROWTH" hidden="1">"c1296"</definedName>
    <definedName name="IQ_TOTAL_REV_2YR_ANN_CAGR" hidden="1">"c6151"</definedName>
    <definedName name="IQ_TOTAL_REV_2YR_ANN_GROWTH" hidden="1">"c1297"</definedName>
    <definedName name="IQ_TOTAL_REV_3YR_ANN_CAGR" hidden="1">"c6152"</definedName>
    <definedName name="IQ_TOTAL_REV_3YR_ANN_GROWTH" hidden="1">"c1298"</definedName>
    <definedName name="IQ_TOTAL_REV_5YR_ANN_CAGR" hidden="1">"c6153"</definedName>
    <definedName name="IQ_TOTAL_REV_5YR_ANN_GROWTH" hidden="1">"c1299"</definedName>
    <definedName name="IQ_TOTAL_REV_7YR_ANN_CAGR" hidden="1">"c6154"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" hidden="1">"c6275"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" hidden="1">"c6286"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" hidden="1">"c6276"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CAGR" hidden="1">"c6179"</definedName>
    <definedName name="IQ_UFCF_10YR_ANN_GROWTH" hidden="1">"c1948"</definedName>
    <definedName name="IQ_UFCF_1YR_ANN_GROWTH" hidden="1">"c1943"</definedName>
    <definedName name="IQ_UFCF_2YR_ANN_CAGR" hidden="1">"c6175"</definedName>
    <definedName name="IQ_UFCF_2YR_ANN_GROWTH" hidden="1">"c1944"</definedName>
    <definedName name="IQ_UFCF_3YR_ANN_CAGR" hidden="1">"c6176"</definedName>
    <definedName name="IQ_UFCF_3YR_ANN_GROWTH" hidden="1">"c1945"</definedName>
    <definedName name="IQ_UFCF_5YR_ANN_CAGR" hidden="1">"c6177"</definedName>
    <definedName name="IQ_UFCF_5YR_ANN_GROWTH" hidden="1">"c1946"</definedName>
    <definedName name="IQ_UFCF_7YR_ANN_CAGR" hidden="1">"c6178"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" hidden="1">"c6277"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"c2104"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sColHidden" hidden="1">FALSE</definedName>
    <definedName name="IsLTMColHidden" hidden="1">FALSE</definedName>
    <definedName name="jo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kf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kjkhjkh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este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imcount" hidden="1">1</definedName>
    <definedName name="ll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uis" hidden="1">{"'Plan1 (2)'!$A$5:$F$63"}</definedName>
    <definedName name="mmmmm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nti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Par" localSheetId="24">#REF!</definedName>
    <definedName name="Par" localSheetId="2">#REF!</definedName>
    <definedName name="PAR" localSheetId="26">#REF!</definedName>
    <definedName name="Par">'Sistemas - Cotações'!$E$7:$L$98</definedName>
    <definedName name="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qq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q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qq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qqqqqqqqq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RangeChange" hidden="1">#N/A</definedName>
    <definedName name="RiskAutoStopPercChange">1.5</definedName>
    <definedName name="RiskCollectDistributionSamples">2</definedName>
    <definedName name="RiskExcelReportsGoInNewWorkbook">TRUE</definedName>
    <definedName name="RiskExcelReportsToGenerate">0</definedName>
    <definedName name="RiskFixedSeed">1</definedName>
    <definedName name="RiskGenerateExcelReportsAtEndOfSimulation">FALSE</definedName>
    <definedName name="RiskHasSettings">TRUE</definedName>
    <definedName name="RiskMinimizeOnStart">FALSE</definedName>
    <definedName name="RiskMonitorConvergence">FALSE</definedName>
    <definedName name="RiskNumIterations">1000</definedName>
    <definedName name="RiskNumSimulations">1</definedName>
    <definedName name="RiskPauseOnError">FALSE</definedName>
    <definedName name="RiskRealTimeResults">FALSE</definedName>
    <definedName name="RiskReportGraphFormat">0</definedName>
    <definedName name="RiskResultsUpdateFreq">100</definedName>
    <definedName name="RiskRunAfterRecalcMacro">FALSE</definedName>
    <definedName name="RiskRunAfterSimMacro">FALSE</definedName>
    <definedName name="RiskRunBeforeRecalcMacro">FALSE</definedName>
    <definedName name="RiskRunBeforeSimMacro">FALSE</definedName>
    <definedName name="RiskSamplingType">3</definedName>
    <definedName name="RiskShowRiskWindowAtEndOfSimulation">TRUE</definedName>
    <definedName name="RiskStandardRecalc">1</definedName>
    <definedName name="RiskTemplateSheetName">"myTemplate"</definedName>
    <definedName name="RiskUpdateDisplay">FALSE</definedName>
    <definedName name="RiskUseDifferentSeedForEachSim">FALSE</definedName>
    <definedName name="RiskUseFixedSeed">FALSE</definedName>
    <definedName name="RiskUseMultipleCPUs">FALSE</definedName>
    <definedName name="sencount" hidden="1">1</definedName>
    <definedName name="Sicro" localSheetId="24">#REF!</definedName>
    <definedName name="SICRO" localSheetId="2">#REF!</definedName>
    <definedName name="SICRO" localSheetId="26">#REF!</definedName>
    <definedName name="SICRO">'DER MG'!$D$5:$I$85</definedName>
    <definedName name="SIST" localSheetId="2">#REF!</definedName>
    <definedName name="SIST" localSheetId="26">#REF!</definedName>
    <definedName name="SIST">'Crono FF'!$D$7:$BT$25</definedName>
    <definedName name="solver_adj" hidden="1">#REF!,#REF!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pre" hidden="1">0.000001</definedName>
    <definedName name="solver_rel1" hidden="1">3</definedName>
    <definedName name="solver_rel2" hidden="1">3</definedName>
    <definedName name="solver_rhs1" hidden="1">0</definedName>
    <definedName name="solver_rhs2" hidden="1">0</definedName>
    <definedName name="solver_scl" hidden="1">2</definedName>
    <definedName name="solver_sho" hidden="1">2</definedName>
    <definedName name="solver_tim" hidden="1">100</definedName>
    <definedName name="solver_tmp" hidden="1">0</definedName>
    <definedName name="solver_tol" hidden="1">0.05</definedName>
    <definedName name="solver_typ" hidden="1">3</definedName>
    <definedName name="solver_val" hidden="1">19.66</definedName>
    <definedName name="teste" hidden="1">#REF!</definedName>
    <definedName name="TextRefCopyRangeCount" hidden="1">15</definedName>
    <definedName name="_xlnm.Print_Titles" localSheetId="6">'Quantidades Padrão'!$4:$6</definedName>
    <definedName name="wrn.impresión.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VENTAS.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vu.Print_Todo.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wvu.Socios._.95.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x" hidden="1">{"'Plan1 (2)'!$A$5:$F$63"}</definedName>
    <definedName name="XRefColumnsCount" hidden="1">2</definedName>
    <definedName name="XRefCopyRangeCount" hidden="1">3</definedName>
    <definedName name="XRefPasteRangeCount" hidden="1">7</definedName>
    <definedName name="xxxx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yui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N71" i="16516" l="1"/>
  <c r="IF71" i="16516"/>
  <c r="HX71" i="16516"/>
  <c r="HP71" i="16516"/>
  <c r="HH71" i="16516"/>
  <c r="GZ71" i="16516"/>
  <c r="GR71" i="16516"/>
  <c r="GJ71" i="16516"/>
  <c r="GB71" i="16516"/>
  <c r="FT71" i="16516"/>
  <c r="FL71" i="16516"/>
  <c r="FD71" i="16516"/>
  <c r="EV71" i="16516"/>
  <c r="EN71" i="16516"/>
  <c r="EF71" i="16516"/>
  <c r="DX71" i="16516"/>
  <c r="DP71" i="16516"/>
  <c r="DH71" i="16516"/>
  <c r="CZ71" i="16516"/>
  <c r="CR71" i="16516"/>
  <c r="CJ71" i="16516"/>
  <c r="CB71" i="16516"/>
  <c r="BT71" i="16516"/>
  <c r="BL71" i="16516"/>
  <c r="BD71" i="16516"/>
  <c r="AV71" i="16516"/>
  <c r="AN71" i="16516"/>
  <c r="AF71" i="16516"/>
  <c r="X71" i="16516"/>
  <c r="O71" i="16516"/>
  <c r="I54" i="16516"/>
  <c r="I53" i="16516"/>
  <c r="I52" i="16516"/>
  <c r="I39" i="16516"/>
  <c r="H70" i="16516"/>
  <c r="H68" i="16516"/>
  <c r="H65" i="16516"/>
  <c r="H64" i="16516"/>
  <c r="H63" i="16516"/>
  <c r="H62" i="16516"/>
  <c r="H60" i="16516"/>
  <c r="H59" i="16516"/>
  <c r="H58" i="16516"/>
  <c r="H57" i="16516"/>
  <c r="H50" i="16516"/>
  <c r="H49" i="16516"/>
  <c r="H48" i="16516"/>
  <c r="H47" i="16516"/>
  <c r="H46" i="16516"/>
  <c r="H45" i="16516"/>
  <c r="H44" i="16516"/>
  <c r="H43" i="16516"/>
  <c r="H42" i="16516"/>
  <c r="H38" i="16516"/>
  <c r="H37" i="16516"/>
  <c r="H36" i="16516"/>
  <c r="H35" i="16516"/>
  <c r="H34" i="16516"/>
  <c r="H33" i="16516"/>
  <c r="H32" i="16516"/>
  <c r="H31" i="16516"/>
  <c r="H30" i="16516"/>
  <c r="H29" i="16516"/>
  <c r="H26" i="16516"/>
  <c r="H25" i="16516"/>
  <c r="H24" i="16516"/>
  <c r="H23" i="16516"/>
  <c r="H22" i="16516"/>
  <c r="H21" i="16516"/>
  <c r="H20" i="16516"/>
  <c r="H19" i="16516"/>
  <c r="H18" i="16516"/>
  <c r="H17" i="16516"/>
  <c r="H16" i="16516"/>
  <c r="H15" i="16516"/>
  <c r="H14" i="16516"/>
  <c r="H13" i="16516"/>
  <c r="H12" i="16516"/>
  <c r="H11" i="16516"/>
  <c r="H10" i="16516"/>
  <c r="K80" i="16479" l="1"/>
  <c r="G80" i="16479"/>
  <c r="K41" i="16479"/>
  <c r="G41" i="16479"/>
  <c r="H95" i="16479"/>
  <c r="H94" i="16479"/>
  <c r="H93" i="16479"/>
  <c r="H92" i="16479"/>
  <c r="H91" i="16479"/>
  <c r="H90" i="16479"/>
  <c r="H89" i="16479"/>
  <c r="H88" i="16479"/>
  <c r="H87" i="16479"/>
  <c r="H86" i="16479"/>
  <c r="H85" i="16479"/>
  <c r="H84" i="16479"/>
  <c r="H83" i="16479"/>
  <c r="H82" i="16479"/>
  <c r="H81" i="16479"/>
  <c r="H79" i="16479"/>
  <c r="H78" i="16479"/>
  <c r="H77" i="16479"/>
  <c r="H76" i="16479"/>
  <c r="H75" i="16479"/>
  <c r="H74" i="16479"/>
  <c r="H73" i="16479"/>
  <c r="H72" i="16479"/>
  <c r="H71" i="16479"/>
  <c r="H70" i="16479"/>
  <c r="H69" i="16479"/>
  <c r="H68" i="16479"/>
  <c r="H67" i="16479"/>
  <c r="H66" i="16479"/>
  <c r="H65" i="16479"/>
  <c r="H64" i="16479"/>
  <c r="H63" i="16479"/>
  <c r="H62" i="16479"/>
  <c r="H61" i="16479"/>
  <c r="H60" i="16479"/>
  <c r="H59" i="16479"/>
  <c r="H58" i="16479"/>
  <c r="H57" i="16479"/>
  <c r="H56" i="16479"/>
  <c r="H55" i="16479"/>
  <c r="H54" i="16479"/>
  <c r="H53" i="16479"/>
  <c r="H52" i="16479"/>
  <c r="H51" i="16479"/>
  <c r="H50" i="16479"/>
  <c r="H49" i="16479"/>
  <c r="H48" i="16479"/>
  <c r="H47" i="16479"/>
  <c r="H46" i="16479"/>
  <c r="H45" i="16479"/>
  <c r="H44" i="16479"/>
  <c r="H43" i="16479"/>
  <c r="H42" i="16479"/>
  <c r="H41" i="16479"/>
  <c r="H40" i="16479"/>
  <c r="H39" i="16479"/>
  <c r="H38" i="16479"/>
  <c r="H37" i="16479"/>
  <c r="H36" i="16479"/>
  <c r="H35" i="16479"/>
  <c r="H34" i="16479"/>
  <c r="H33" i="16479"/>
  <c r="H32" i="16479"/>
  <c r="H31" i="16479"/>
  <c r="H30" i="16479"/>
  <c r="H29" i="16479"/>
  <c r="H28" i="16479"/>
  <c r="H27" i="16479"/>
  <c r="H26" i="16479"/>
  <c r="H25" i="16479"/>
  <c r="H24" i="16479"/>
  <c r="H23" i="16479"/>
  <c r="H22" i="16479"/>
  <c r="H21" i="16479"/>
  <c r="H20" i="16479"/>
  <c r="H19" i="16479"/>
  <c r="H18" i="16479"/>
  <c r="H17" i="16479"/>
  <c r="H16" i="16479"/>
  <c r="H15" i="16479"/>
  <c r="H14" i="16479"/>
  <c r="H13" i="16479"/>
  <c r="H12" i="16479"/>
  <c r="H11" i="16479"/>
  <c r="H10" i="16479"/>
  <c r="H80" i="16479" l="1"/>
  <c r="H13" i="16509"/>
  <c r="I13" i="16509" s="1"/>
  <c r="L14" i="16509"/>
  <c r="H41" i="16501" l="1"/>
  <c r="I41" i="16501"/>
  <c r="J41" i="16501"/>
  <c r="K41" i="16501"/>
  <c r="L41" i="16501"/>
  <c r="M41" i="16501"/>
  <c r="N41" i="16501"/>
  <c r="O41" i="16501"/>
  <c r="P41" i="16501"/>
  <c r="Q41" i="16501"/>
  <c r="R41" i="16501"/>
  <c r="S41" i="16501"/>
  <c r="T41" i="16501"/>
  <c r="U41" i="16501"/>
  <c r="V41" i="16501"/>
  <c r="W41" i="16501"/>
  <c r="X41" i="16501"/>
  <c r="Y41" i="16501"/>
  <c r="Z41" i="16501"/>
  <c r="AA41" i="16501"/>
  <c r="AB41" i="16501"/>
  <c r="AC41" i="16501"/>
  <c r="AD41" i="16501"/>
  <c r="AE41" i="16501"/>
  <c r="AF41" i="16501"/>
  <c r="AG41" i="16501"/>
  <c r="AH41" i="16501"/>
  <c r="AI41" i="16501"/>
  <c r="AJ41" i="16501"/>
  <c r="F122" i="16457"/>
  <c r="J49" i="16504"/>
  <c r="F41" i="16501" l="1"/>
  <c r="G25" i="16509"/>
  <c r="G23" i="16509"/>
  <c r="G24" i="16509"/>
  <c r="G22" i="16509"/>
  <c r="J22" i="16509"/>
  <c r="F43" i="16502" l="1"/>
  <c r="AQ24" i="16502"/>
  <c r="AQ17" i="16502"/>
  <c r="G9" i="16502"/>
  <c r="G18" i="16502"/>
  <c r="G9" i="16509"/>
  <c r="G10" i="16509"/>
  <c r="G11" i="16509"/>
  <c r="G12" i="16509"/>
  <c r="G8" i="16509"/>
  <c r="J153" i="16460" l="1"/>
  <c r="K153" i="16460" s="1"/>
  <c r="L153" i="16460" s="1"/>
  <c r="M153" i="16460" s="1"/>
  <c r="N153" i="16460" s="1"/>
  <c r="O153" i="16460" s="1"/>
  <c r="P153" i="16460" s="1"/>
  <c r="Q153" i="16460" s="1"/>
  <c r="R153" i="16460" s="1"/>
  <c r="S153" i="16460" s="1"/>
  <c r="T153" i="16460" s="1"/>
  <c r="U153" i="16460" s="1"/>
  <c r="V153" i="16460" s="1"/>
  <c r="W153" i="16460" s="1"/>
  <c r="X153" i="16460" s="1"/>
  <c r="Y153" i="16460" s="1"/>
  <c r="Z153" i="16460" s="1"/>
  <c r="AA153" i="16460" s="1"/>
  <c r="AB153" i="16460" s="1"/>
  <c r="AC153" i="16460" s="1"/>
  <c r="AD153" i="16460" s="1"/>
  <c r="AE153" i="16460" s="1"/>
  <c r="AF153" i="16460" s="1"/>
  <c r="AG153" i="16460" s="1"/>
  <c r="AH153" i="16460" s="1"/>
  <c r="AI153" i="16460" s="1"/>
  <c r="AJ153" i="16460" s="1"/>
  <c r="AK153" i="16460" s="1"/>
  <c r="AL153" i="16460" s="1"/>
  <c r="J127" i="16460"/>
  <c r="K127" i="16460" s="1"/>
  <c r="L127" i="16460" s="1"/>
  <c r="M127" i="16460" s="1"/>
  <c r="N127" i="16460" s="1"/>
  <c r="O127" i="16460" s="1"/>
  <c r="P127" i="16460" s="1"/>
  <c r="Q127" i="16460" s="1"/>
  <c r="R127" i="16460" s="1"/>
  <c r="S127" i="16460" s="1"/>
  <c r="T127" i="16460" s="1"/>
  <c r="U127" i="16460" s="1"/>
  <c r="V127" i="16460" s="1"/>
  <c r="W127" i="16460" s="1"/>
  <c r="X127" i="16460" s="1"/>
  <c r="Y127" i="16460" s="1"/>
  <c r="Z127" i="16460" s="1"/>
  <c r="AA127" i="16460" s="1"/>
  <c r="AB127" i="16460" s="1"/>
  <c r="AC127" i="16460" s="1"/>
  <c r="AD127" i="16460" s="1"/>
  <c r="AE127" i="16460" s="1"/>
  <c r="AF127" i="16460" s="1"/>
  <c r="AG127" i="16460" s="1"/>
  <c r="AH127" i="16460" s="1"/>
  <c r="AI127" i="16460" s="1"/>
  <c r="AJ127" i="16460" s="1"/>
  <c r="AK127" i="16460" s="1"/>
  <c r="AL127" i="16460" s="1"/>
  <c r="J123" i="16460"/>
  <c r="K123" i="16460" s="1"/>
  <c r="L123" i="16460" s="1"/>
  <c r="M123" i="16460" s="1"/>
  <c r="N123" i="16460" s="1"/>
  <c r="O123" i="16460" s="1"/>
  <c r="P123" i="16460" s="1"/>
  <c r="Q123" i="16460" s="1"/>
  <c r="R123" i="16460" s="1"/>
  <c r="S123" i="16460" s="1"/>
  <c r="T123" i="16460" s="1"/>
  <c r="U123" i="16460" s="1"/>
  <c r="V123" i="16460" s="1"/>
  <c r="W123" i="16460" s="1"/>
  <c r="X123" i="16460" s="1"/>
  <c r="Y123" i="16460" s="1"/>
  <c r="Z123" i="16460" s="1"/>
  <c r="AA123" i="16460" s="1"/>
  <c r="AB123" i="16460" s="1"/>
  <c r="AC123" i="16460" s="1"/>
  <c r="AD123" i="16460" s="1"/>
  <c r="AE123" i="16460" s="1"/>
  <c r="AF123" i="16460" s="1"/>
  <c r="AG123" i="16460" s="1"/>
  <c r="AH123" i="16460" s="1"/>
  <c r="AI123" i="16460" s="1"/>
  <c r="AJ123" i="16460" s="1"/>
  <c r="AK123" i="16460" s="1"/>
  <c r="AL123" i="16460" s="1"/>
  <c r="J112" i="16460"/>
  <c r="K112" i="16460" s="1"/>
  <c r="L112" i="16460" s="1"/>
  <c r="M112" i="16460" s="1"/>
  <c r="N112" i="16460" s="1"/>
  <c r="O112" i="16460" s="1"/>
  <c r="P112" i="16460" s="1"/>
  <c r="Q112" i="16460" s="1"/>
  <c r="R112" i="16460" s="1"/>
  <c r="S112" i="16460" s="1"/>
  <c r="T112" i="16460" s="1"/>
  <c r="U112" i="16460" s="1"/>
  <c r="V112" i="16460" s="1"/>
  <c r="W112" i="16460" s="1"/>
  <c r="X112" i="16460" s="1"/>
  <c r="Y112" i="16460" s="1"/>
  <c r="Z112" i="16460" s="1"/>
  <c r="AA112" i="16460" s="1"/>
  <c r="AB112" i="16460" s="1"/>
  <c r="AC112" i="16460" s="1"/>
  <c r="AD112" i="16460" s="1"/>
  <c r="AE112" i="16460" s="1"/>
  <c r="AF112" i="16460" s="1"/>
  <c r="AG112" i="16460" s="1"/>
  <c r="AH112" i="16460" s="1"/>
  <c r="AI112" i="16460" s="1"/>
  <c r="AJ112" i="16460" s="1"/>
  <c r="AK112" i="16460" s="1"/>
  <c r="AL112" i="16460" s="1"/>
  <c r="J115" i="16460"/>
  <c r="K115" i="16460" s="1"/>
  <c r="L115" i="16460" s="1"/>
  <c r="M115" i="16460" s="1"/>
  <c r="N115" i="16460" s="1"/>
  <c r="O115" i="16460" s="1"/>
  <c r="P115" i="16460" s="1"/>
  <c r="Q115" i="16460" s="1"/>
  <c r="R115" i="16460" s="1"/>
  <c r="S115" i="16460" s="1"/>
  <c r="T115" i="16460" s="1"/>
  <c r="U115" i="16460" s="1"/>
  <c r="V115" i="16460" s="1"/>
  <c r="W115" i="16460" s="1"/>
  <c r="X115" i="16460" s="1"/>
  <c r="Y115" i="16460" s="1"/>
  <c r="Z115" i="16460" s="1"/>
  <c r="AA115" i="16460" s="1"/>
  <c r="AB115" i="16460" s="1"/>
  <c r="AC115" i="16460" s="1"/>
  <c r="AD115" i="16460" s="1"/>
  <c r="AE115" i="16460" s="1"/>
  <c r="AF115" i="16460" s="1"/>
  <c r="AG115" i="16460" s="1"/>
  <c r="AH115" i="16460" s="1"/>
  <c r="AI115" i="16460" s="1"/>
  <c r="AJ115" i="16460" s="1"/>
  <c r="AK115" i="16460" s="1"/>
  <c r="AL115" i="16460" s="1"/>
  <c r="O104" i="16460"/>
  <c r="P104" i="16460" s="1"/>
  <c r="Q104" i="16460" s="1"/>
  <c r="R104" i="16460" s="1"/>
  <c r="S104" i="16460" s="1"/>
  <c r="T104" i="16460" s="1"/>
  <c r="U104" i="16460" s="1"/>
  <c r="V104" i="16460" s="1"/>
  <c r="W104" i="16460" s="1"/>
  <c r="X104" i="16460" s="1"/>
  <c r="Y104" i="16460" s="1"/>
  <c r="Z104" i="16460" s="1"/>
  <c r="AA104" i="16460" s="1"/>
  <c r="AB104" i="16460" s="1"/>
  <c r="AC104" i="16460" s="1"/>
  <c r="AD104" i="16460" s="1"/>
  <c r="AE104" i="16460" s="1"/>
  <c r="AF104" i="16460" s="1"/>
  <c r="AG104" i="16460" s="1"/>
  <c r="AH104" i="16460" s="1"/>
  <c r="AI104" i="16460" s="1"/>
  <c r="AJ104" i="16460" s="1"/>
  <c r="AK104" i="16460" s="1"/>
  <c r="AL104" i="16460" s="1"/>
  <c r="O103" i="16460"/>
  <c r="P103" i="16460" s="1"/>
  <c r="Q103" i="16460" s="1"/>
  <c r="R103" i="16460" s="1"/>
  <c r="S103" i="16460" s="1"/>
  <c r="T103" i="16460" s="1"/>
  <c r="U103" i="16460" s="1"/>
  <c r="V103" i="16460" s="1"/>
  <c r="W103" i="16460" s="1"/>
  <c r="X103" i="16460" s="1"/>
  <c r="Y103" i="16460" s="1"/>
  <c r="Z103" i="16460" s="1"/>
  <c r="AA103" i="16460" s="1"/>
  <c r="AB103" i="16460" s="1"/>
  <c r="AC103" i="16460" s="1"/>
  <c r="AD103" i="16460" s="1"/>
  <c r="AE103" i="16460" s="1"/>
  <c r="AF103" i="16460" s="1"/>
  <c r="AG103" i="16460" s="1"/>
  <c r="AH103" i="16460" s="1"/>
  <c r="AI103" i="16460" s="1"/>
  <c r="AJ103" i="16460" s="1"/>
  <c r="AK103" i="16460" s="1"/>
  <c r="AL103" i="16460" s="1"/>
  <c r="K97" i="16460"/>
  <c r="L97" i="16460" s="1"/>
  <c r="M97" i="16460" s="1"/>
  <c r="K98" i="16460"/>
  <c r="L98" i="16460"/>
  <c r="M98" i="16460" s="1"/>
  <c r="J91" i="16460"/>
  <c r="J76" i="16460"/>
  <c r="J51" i="16460"/>
  <c r="K51" i="16460" s="1"/>
  <c r="L51" i="16460" s="1"/>
  <c r="M51" i="16460" s="1"/>
  <c r="N51" i="16460" s="1"/>
  <c r="O51" i="16460" s="1"/>
  <c r="P51" i="16460" s="1"/>
  <c r="Q51" i="16460" s="1"/>
  <c r="R51" i="16460" s="1"/>
  <c r="S51" i="16460" s="1"/>
  <c r="T51" i="16460" s="1"/>
  <c r="U51" i="16460" s="1"/>
  <c r="V51" i="16460" s="1"/>
  <c r="W51" i="16460" s="1"/>
  <c r="X51" i="16460" s="1"/>
  <c r="Y51" i="16460" s="1"/>
  <c r="Z51" i="16460" s="1"/>
  <c r="AA51" i="16460" s="1"/>
  <c r="AB51" i="16460" s="1"/>
  <c r="AC51" i="16460" s="1"/>
  <c r="AD51" i="16460" s="1"/>
  <c r="AE51" i="16460" s="1"/>
  <c r="AF51" i="16460" s="1"/>
  <c r="AG51" i="16460" s="1"/>
  <c r="AH51" i="16460" s="1"/>
  <c r="AI51" i="16460" s="1"/>
  <c r="AJ51" i="16460" s="1"/>
  <c r="AK51" i="16460" s="1"/>
  <c r="AL51" i="16460" s="1"/>
  <c r="J32" i="16460"/>
  <c r="K32" i="16460" s="1"/>
  <c r="L32" i="16460" s="1"/>
  <c r="M32" i="16460" s="1"/>
  <c r="N32" i="16460" s="1"/>
  <c r="O32" i="16460" s="1"/>
  <c r="P32" i="16460" s="1"/>
  <c r="Q32" i="16460" s="1"/>
  <c r="R32" i="16460" s="1"/>
  <c r="S32" i="16460" s="1"/>
  <c r="T32" i="16460" s="1"/>
  <c r="U32" i="16460" s="1"/>
  <c r="V32" i="16460" s="1"/>
  <c r="W32" i="16460" s="1"/>
  <c r="X32" i="16460" s="1"/>
  <c r="Y32" i="16460" s="1"/>
  <c r="Z32" i="16460" s="1"/>
  <c r="AA32" i="16460" s="1"/>
  <c r="AB32" i="16460" s="1"/>
  <c r="AC32" i="16460" s="1"/>
  <c r="AD32" i="16460" s="1"/>
  <c r="AE32" i="16460" s="1"/>
  <c r="AF32" i="16460" s="1"/>
  <c r="AG32" i="16460" s="1"/>
  <c r="AH32" i="16460" s="1"/>
  <c r="AI32" i="16460" s="1"/>
  <c r="AJ32" i="16460" s="1"/>
  <c r="AK32" i="16460" s="1"/>
  <c r="AL32" i="16460" s="1"/>
  <c r="H68" i="16508" l="1"/>
  <c r="H65" i="16508"/>
  <c r="H64" i="16508"/>
  <c r="H63" i="16508"/>
  <c r="H62" i="16508"/>
  <c r="H56" i="16508"/>
  <c r="H53" i="16508"/>
  <c r="H52" i="16508"/>
  <c r="H51" i="16508"/>
  <c r="H49" i="16508"/>
  <c r="H48" i="16508"/>
  <c r="H44" i="16508"/>
  <c r="H43" i="16508"/>
  <c r="H42" i="16508"/>
  <c r="H41" i="16508"/>
  <c r="H40" i="16508"/>
  <c r="H39" i="16508"/>
  <c r="H38" i="16508"/>
  <c r="H37" i="16508"/>
  <c r="H36" i="16508"/>
  <c r="H35" i="16508"/>
  <c r="H32" i="16508"/>
  <c r="H31" i="16508"/>
  <c r="H30" i="16508"/>
  <c r="H29" i="16508"/>
  <c r="H25" i="16508"/>
  <c r="H24" i="16508"/>
  <c r="H23" i="16508"/>
  <c r="H22" i="16508"/>
  <c r="H19" i="16508"/>
  <c r="H18" i="16508"/>
  <c r="H17" i="16508"/>
  <c r="H16" i="16508"/>
  <c r="H13" i="16508"/>
  <c r="H12" i="16508"/>
  <c r="H11" i="16508"/>
  <c r="H95" i="16506" l="1"/>
  <c r="DB94" i="16506"/>
  <c r="DC94" i="16506"/>
  <c r="DD94" i="16506"/>
  <c r="DE94" i="16506"/>
  <c r="DF94" i="16506"/>
  <c r="DG94" i="16506"/>
  <c r="DH94" i="16506"/>
  <c r="DI94" i="16506"/>
  <c r="DJ94" i="16506"/>
  <c r="DK94" i="16506"/>
  <c r="DL94" i="16506"/>
  <c r="DM94" i="16506"/>
  <c r="DN94" i="16506"/>
  <c r="DO94" i="16506"/>
  <c r="DP94" i="16506"/>
  <c r="DQ94" i="16506"/>
  <c r="DR94" i="16506"/>
  <c r="DS94" i="16506"/>
  <c r="DT94" i="16506"/>
  <c r="DU94" i="16506"/>
  <c r="DV94" i="16506"/>
  <c r="DW94" i="16506"/>
  <c r="DX94" i="16506"/>
  <c r="DY94" i="16506"/>
  <c r="DZ94" i="16506"/>
  <c r="EA94" i="16506"/>
  <c r="EB94" i="16506"/>
  <c r="EC94" i="16506"/>
  <c r="ED94" i="16506"/>
  <c r="AQ93" i="16506"/>
  <c r="AQ94" i="16506"/>
  <c r="Q95" i="16506"/>
  <c r="S95" i="16506"/>
  <c r="Y95" i="16506"/>
  <c r="AA95" i="16506"/>
  <c r="AG95" i="16506"/>
  <c r="AI95" i="16506"/>
  <c r="AO95" i="16506"/>
  <c r="AP95" i="16506"/>
  <c r="E94" i="16506"/>
  <c r="AT92" i="16457"/>
  <c r="DF92" i="16457" s="1"/>
  <c r="AW92" i="16457"/>
  <c r="DI92" i="16457" s="1"/>
  <c r="AY92" i="16457"/>
  <c r="AY91" i="16457" s="1"/>
  <c r="BB92" i="16457"/>
  <c r="DN92" i="16457" s="1"/>
  <c r="BE92" i="16457"/>
  <c r="DQ92" i="16457" s="1"/>
  <c r="BG92" i="16457"/>
  <c r="BG91" i="16457" s="1"/>
  <c r="BJ92" i="16457"/>
  <c r="DV92" i="16457" s="1"/>
  <c r="BM92" i="16457"/>
  <c r="DY92" i="16457" s="1"/>
  <c r="BO92" i="16457"/>
  <c r="BO91" i="16457" s="1"/>
  <c r="BR92" i="16457"/>
  <c r="ED92" i="16457" s="1"/>
  <c r="BU92" i="16457"/>
  <c r="EG92" i="16457" s="1"/>
  <c r="AR92" i="16457"/>
  <c r="AR91" i="16457" s="1"/>
  <c r="M95" i="16506"/>
  <c r="N95" i="16506"/>
  <c r="O95" i="16506"/>
  <c r="P95" i="16506"/>
  <c r="R95" i="16506"/>
  <c r="T95" i="16506"/>
  <c r="U95" i="16506"/>
  <c r="V95" i="16506"/>
  <c r="W95" i="16506"/>
  <c r="X95" i="16506"/>
  <c r="Z95" i="16506"/>
  <c r="AB95" i="16506"/>
  <c r="AC95" i="16506"/>
  <c r="AD95" i="16506"/>
  <c r="AE95" i="16506"/>
  <c r="AF95" i="16506"/>
  <c r="AH95" i="16506"/>
  <c r="AJ95" i="16506"/>
  <c r="AK95" i="16506"/>
  <c r="AL95" i="16506"/>
  <c r="AM95" i="16506"/>
  <c r="AN95" i="16506"/>
  <c r="L95" i="16506"/>
  <c r="AQ95" i="16506" s="1"/>
  <c r="BJ91" i="16457" l="1"/>
  <c r="BN92" i="16457"/>
  <c r="BN91" i="16457" s="1"/>
  <c r="BF92" i="16457"/>
  <c r="BF91" i="16457" s="1"/>
  <c r="AX92" i="16457"/>
  <c r="AX91" i="16457" s="1"/>
  <c r="BT92" i="16457"/>
  <c r="EF92" i="16457" s="1"/>
  <c r="BL92" i="16457"/>
  <c r="DX92" i="16457" s="1"/>
  <c r="BD92" i="16457"/>
  <c r="DP92" i="16457" s="1"/>
  <c r="AV92" i="16457"/>
  <c r="DH92" i="16457" s="1"/>
  <c r="BS92" i="16457"/>
  <c r="EE92" i="16457" s="1"/>
  <c r="BK92" i="16457"/>
  <c r="DW92" i="16457" s="1"/>
  <c r="BC92" i="16457"/>
  <c r="DO92" i="16457" s="1"/>
  <c r="AU92" i="16457"/>
  <c r="DG92" i="16457" s="1"/>
  <c r="BQ92" i="16457"/>
  <c r="EC92" i="16457" s="1"/>
  <c r="BI92" i="16457"/>
  <c r="DU92" i="16457" s="1"/>
  <c r="BA92" i="16457"/>
  <c r="DM92" i="16457" s="1"/>
  <c r="AS92" i="16457"/>
  <c r="DE92" i="16457" s="1"/>
  <c r="BP92" i="16457"/>
  <c r="BP91" i="16457" s="1"/>
  <c r="BH92" i="16457"/>
  <c r="BH91" i="16457" s="1"/>
  <c r="AZ92" i="16457"/>
  <c r="AZ91" i="16457" s="1"/>
  <c r="DA95" i="16506"/>
  <c r="DA94" i="16506" s="1"/>
  <c r="H94" i="16506" s="1"/>
  <c r="BU91" i="16457"/>
  <c r="BR91" i="16457"/>
  <c r="BE91" i="16457"/>
  <c r="BB91" i="16457"/>
  <c r="AT91" i="16457"/>
  <c r="DS92" i="16457"/>
  <c r="DK92" i="16457"/>
  <c r="BS91" i="16457"/>
  <c r="BM91" i="16457"/>
  <c r="AW91" i="16457"/>
  <c r="I95" i="16506"/>
  <c r="EA92" i="16457"/>
  <c r="DR92" i="16457"/>
  <c r="DZ92" i="16457"/>
  <c r="EB92" i="16457"/>
  <c r="DD92" i="16457"/>
  <c r="BC91" i="16457" l="1"/>
  <c r="DJ92" i="16457"/>
  <c r="DT92" i="16457"/>
  <c r="AU91" i="16457"/>
  <c r="BK91" i="16457"/>
  <c r="BT91" i="16457"/>
  <c r="AV91" i="16457"/>
  <c r="BA91" i="16457"/>
  <c r="AQ92" i="16457"/>
  <c r="AS91" i="16457"/>
  <c r="BL91" i="16457"/>
  <c r="BQ91" i="16457"/>
  <c r="BI91" i="16457"/>
  <c r="DL92" i="16457"/>
  <c r="BD91" i="16457"/>
  <c r="DC92" i="16457" l="1"/>
  <c r="BW91" i="16457"/>
  <c r="EG91" i="16457"/>
  <c r="EF91" i="16457"/>
  <c r="EE91" i="16457"/>
  <c r="ED91" i="16457"/>
  <c r="EC91" i="16457"/>
  <c r="EB91" i="16457"/>
  <c r="EA91" i="16457"/>
  <c r="DZ91" i="16457"/>
  <c r="DY91" i="16457"/>
  <c r="DX91" i="16457"/>
  <c r="DW91" i="16457"/>
  <c r="DV91" i="16457"/>
  <c r="DU91" i="16457"/>
  <c r="DT91" i="16457"/>
  <c r="DS91" i="16457"/>
  <c r="DR91" i="16457"/>
  <c r="DQ91" i="16457"/>
  <c r="DP91" i="16457"/>
  <c r="DO91" i="16457"/>
  <c r="DN91" i="16457"/>
  <c r="DM91" i="16457"/>
  <c r="DL91" i="16457"/>
  <c r="DK91" i="16457"/>
  <c r="DJ91" i="16457"/>
  <c r="DI91" i="16457"/>
  <c r="DH91" i="16457"/>
  <c r="DG91" i="16457"/>
  <c r="DF91" i="16457"/>
  <c r="DE91" i="16457"/>
  <c r="DD91" i="16457"/>
  <c r="T6" i="16458" l="1"/>
  <c r="G370" i="16508"/>
  <c r="G326" i="16508"/>
  <c r="G282" i="16508"/>
  <c r="G184" i="16508"/>
  <c r="I199" i="16508"/>
  <c r="BR60" i="16513" l="1"/>
  <c r="BR59" i="16513"/>
  <c r="BR58" i="16513"/>
  <c r="BS58" i="16513" s="1"/>
  <c r="BV67" i="16513" s="1"/>
  <c r="BR56" i="16513"/>
  <c r="BR55" i="16513"/>
  <c r="BS55" i="16513" s="1"/>
  <c r="BR54" i="16513"/>
  <c r="BR53" i="16513"/>
  <c r="BS53" i="16513" s="1"/>
  <c r="BR52" i="16513"/>
  <c r="BR51" i="16513"/>
  <c r="BR50" i="16513"/>
  <c r="BR49" i="16513"/>
  <c r="BR48" i="16513"/>
  <c r="BR47" i="16513"/>
  <c r="BR42" i="16513"/>
  <c r="BR41" i="16513"/>
  <c r="BR40" i="16513"/>
  <c r="BR39" i="16513"/>
  <c r="BR28" i="16513"/>
  <c r="BR29" i="16513"/>
  <c r="BR30" i="16513"/>
  <c r="BR31" i="16513"/>
  <c r="BR32" i="16513"/>
  <c r="BR33" i="16513"/>
  <c r="BR27" i="16513"/>
  <c r="BS62" i="16513" l="1"/>
  <c r="E62" i="16513" s="1"/>
  <c r="BS63" i="16513"/>
  <c r="E63" i="16513" s="1"/>
  <c r="BR87" i="16513"/>
  <c r="J45" i="16460" l="1"/>
  <c r="K45" i="16460" s="1"/>
  <c r="L45" i="16460" s="1"/>
  <c r="M45" i="16460" s="1"/>
  <c r="N45" i="16460" s="1"/>
  <c r="O45" i="16460" s="1"/>
  <c r="P45" i="16460" s="1"/>
  <c r="Q45" i="16460" s="1"/>
  <c r="R45" i="16460" s="1"/>
  <c r="S45" i="16460" s="1"/>
  <c r="T45" i="16460" s="1"/>
  <c r="U45" i="16460" s="1"/>
  <c r="V45" i="16460" s="1"/>
  <c r="W45" i="16460" s="1"/>
  <c r="X45" i="16460" s="1"/>
  <c r="Y45" i="16460" s="1"/>
  <c r="Z45" i="16460" s="1"/>
  <c r="AA45" i="16460" s="1"/>
  <c r="AB45" i="16460" s="1"/>
  <c r="AC45" i="16460" s="1"/>
  <c r="AD45" i="16460" s="1"/>
  <c r="AE45" i="16460" s="1"/>
  <c r="AF45" i="16460" s="1"/>
  <c r="AG45" i="16460" s="1"/>
  <c r="AH45" i="16460" s="1"/>
  <c r="AI45" i="16460" s="1"/>
  <c r="AJ45" i="16460" s="1"/>
  <c r="AK45" i="16460" s="1"/>
  <c r="AL45" i="16460" s="1"/>
  <c r="BS28" i="16513" l="1"/>
  <c r="BS29" i="16513"/>
  <c r="BS30" i="16513"/>
  <c r="BS31" i="16513"/>
  <c r="BS32" i="16513"/>
  <c r="BS33" i="16513"/>
  <c r="BS27" i="16513"/>
  <c r="BS21" i="16513"/>
  <c r="BS20" i="16513"/>
  <c r="BS19" i="16513"/>
  <c r="BS18" i="16513"/>
  <c r="BS17" i="16513"/>
  <c r="BS16" i="16513"/>
  <c r="BS15" i="16513"/>
  <c r="O5" i="16509" l="1"/>
  <c r="R5" i="16458"/>
  <c r="F26" i="16458" s="1"/>
  <c r="F33" i="16458" l="1"/>
  <c r="F64" i="16458"/>
  <c r="J64" i="16458" s="1"/>
  <c r="L17" i="16529"/>
  <c r="M17" i="16529" s="1"/>
  <c r="N17" i="16529" s="1"/>
  <c r="O17" i="16529" s="1"/>
  <c r="P17" i="16529" s="1"/>
  <c r="G17" i="16529"/>
  <c r="J72" i="16460"/>
  <c r="K72" i="16460" s="1"/>
  <c r="L72" i="16460" s="1"/>
  <c r="M72" i="16460" s="1"/>
  <c r="N72" i="16460" s="1"/>
  <c r="O72" i="16460" s="1"/>
  <c r="P72" i="16460" s="1"/>
  <c r="Q72" i="16460" s="1"/>
  <c r="R72" i="16460" s="1"/>
  <c r="S72" i="16460" s="1"/>
  <c r="T72" i="16460" s="1"/>
  <c r="U72" i="16460" s="1"/>
  <c r="V72" i="16460" s="1"/>
  <c r="W72" i="16460" s="1"/>
  <c r="X72" i="16460" s="1"/>
  <c r="Y72" i="16460" s="1"/>
  <c r="Z72" i="16460" s="1"/>
  <c r="AA72" i="16460" s="1"/>
  <c r="AB72" i="16460" s="1"/>
  <c r="AC72" i="16460" s="1"/>
  <c r="AD72" i="16460" s="1"/>
  <c r="AE72" i="16460" s="1"/>
  <c r="AF72" i="16460" s="1"/>
  <c r="AG72" i="16460" s="1"/>
  <c r="AH72" i="16460" s="1"/>
  <c r="AI72" i="16460" s="1"/>
  <c r="AJ72" i="16460" s="1"/>
  <c r="AK72" i="16460" s="1"/>
  <c r="AL72" i="16460" s="1"/>
  <c r="Q17" i="16529" l="1"/>
  <c r="R17" i="16529"/>
  <c r="S17" i="16529" s="1"/>
  <c r="U17" i="16529" s="1"/>
  <c r="J47" i="16504" l="1"/>
  <c r="N47" i="16504" s="1"/>
  <c r="BS61" i="16513" l="1"/>
  <c r="BS60" i="16513"/>
  <c r="BS22" i="16513"/>
  <c r="AQ47" i="16502" l="1"/>
  <c r="AQ43" i="16502"/>
  <c r="AQ20" i="16502"/>
  <c r="N118" i="16528"/>
  <c r="M23" i="16528" l="1"/>
  <c r="BS51" i="16513" l="1"/>
  <c r="E51" i="16513" s="1"/>
  <c r="E61" i="16513"/>
  <c r="E60" i="16513"/>
  <c r="E55" i="16513"/>
  <c r="E50" i="16513"/>
  <c r="E49" i="16513"/>
  <c r="BS48" i="16513"/>
  <c r="E48" i="16513" s="1"/>
  <c r="BS52" i="16513"/>
  <c r="E52" i="16513" s="1"/>
  <c r="E53" i="16513"/>
  <c r="BS54" i="16513"/>
  <c r="E54" i="16513" s="1"/>
  <c r="BS56" i="16513"/>
  <c r="E56" i="16513" s="1"/>
  <c r="E58" i="16513"/>
  <c r="BS59" i="16513"/>
  <c r="E59" i="16513" s="1"/>
  <c r="BS47" i="16513"/>
  <c r="E47" i="16513" s="1"/>
  <c r="E30" i="16513" l="1"/>
  <c r="E22" i="16513"/>
  <c r="E21" i="16513"/>
  <c r="E20" i="16513"/>
  <c r="E19" i="16513"/>
  <c r="E18" i="16513"/>
  <c r="E17" i="16513"/>
  <c r="E16" i="16513"/>
  <c r="E15" i="16513"/>
  <c r="BS40" i="16513"/>
  <c r="E40" i="16513" s="1"/>
  <c r="BS41" i="16513"/>
  <c r="E41" i="16513" s="1"/>
  <c r="BS42" i="16513"/>
  <c r="E42" i="16513" s="1"/>
  <c r="BS39" i="16513"/>
  <c r="E39" i="16513" s="1"/>
  <c r="E28" i="16513"/>
  <c r="E29" i="16513"/>
  <c r="E31" i="16513"/>
  <c r="E32" i="16513"/>
  <c r="E33" i="16513"/>
  <c r="BS34" i="16513"/>
  <c r="E34" i="16513" s="1"/>
  <c r="E27" i="16513" l="1"/>
  <c r="J58" i="16508"/>
  <c r="AQ11" i="16502" l="1"/>
  <c r="G11" i="16502" s="1"/>
  <c r="J171" i="16460"/>
  <c r="K171" i="16460" s="1"/>
  <c r="L171" i="16460" s="1"/>
  <c r="M171" i="16460" s="1"/>
  <c r="N171" i="16460" s="1"/>
  <c r="O171" i="16460" s="1"/>
  <c r="P171" i="16460" s="1"/>
  <c r="Q171" i="16460" s="1"/>
  <c r="R171" i="16460" s="1"/>
  <c r="S171" i="16460" s="1"/>
  <c r="T171" i="16460" s="1"/>
  <c r="U171" i="16460" s="1"/>
  <c r="V171" i="16460" s="1"/>
  <c r="W171" i="16460" s="1"/>
  <c r="X171" i="16460" s="1"/>
  <c r="Y171" i="16460" s="1"/>
  <c r="Z171" i="16460" s="1"/>
  <c r="AA171" i="16460" s="1"/>
  <c r="AB171" i="16460" s="1"/>
  <c r="AC171" i="16460" s="1"/>
  <c r="AD171" i="16460" s="1"/>
  <c r="AE171" i="16460" s="1"/>
  <c r="AF171" i="16460" s="1"/>
  <c r="AG171" i="16460" s="1"/>
  <c r="AH171" i="16460" s="1"/>
  <c r="AI171" i="16460" s="1"/>
  <c r="AJ171" i="16460" s="1"/>
  <c r="AK171" i="16460" s="1"/>
  <c r="AL171" i="16460" s="1"/>
  <c r="FN77" i="16516" l="1"/>
  <c r="FF77" i="16516"/>
  <c r="EX77" i="16516"/>
  <c r="EP77" i="16516"/>
  <c r="EH77" i="16516"/>
  <c r="DZ77" i="16516"/>
  <c r="DR77" i="16516"/>
  <c r="DJ77" i="16516"/>
  <c r="DB77" i="16516"/>
  <c r="CT77" i="16516"/>
  <c r="E6" i="16524"/>
  <c r="F20" i="16521"/>
  <c r="BP55" i="16513" l="1"/>
  <c r="AI66" i="16513"/>
  <c r="AH66" i="16513"/>
  <c r="AG66" i="16513"/>
  <c r="AF66" i="16513"/>
  <c r="AE66" i="16513"/>
  <c r="AD66" i="16513"/>
  <c r="AC66" i="16513"/>
  <c r="AB66" i="16513"/>
  <c r="AA66" i="16513"/>
  <c r="Z66" i="16513"/>
  <c r="Y66" i="16513"/>
  <c r="X66" i="16513"/>
  <c r="W66" i="16513"/>
  <c r="V66" i="16513"/>
  <c r="U66" i="16513"/>
  <c r="T66" i="16513"/>
  <c r="S66" i="16513"/>
  <c r="R66" i="16513"/>
  <c r="Q66" i="16513"/>
  <c r="P66" i="16513"/>
  <c r="O66" i="16513"/>
  <c r="N66" i="16513"/>
  <c r="M66" i="16513"/>
  <c r="L66" i="16513"/>
  <c r="K66" i="16513"/>
  <c r="J66" i="16513"/>
  <c r="I66" i="16513"/>
  <c r="H66" i="16513"/>
  <c r="G66" i="16513"/>
  <c r="F66" i="16513"/>
  <c r="AI65" i="16513"/>
  <c r="AH65" i="16513"/>
  <c r="AG65" i="16513"/>
  <c r="AF65" i="16513"/>
  <c r="AE65" i="16513"/>
  <c r="AD65" i="16513"/>
  <c r="AC65" i="16513"/>
  <c r="AB65" i="16513"/>
  <c r="AA65" i="16513"/>
  <c r="Z65" i="16513"/>
  <c r="Y65" i="16513"/>
  <c r="X65" i="16513"/>
  <c r="W65" i="16513"/>
  <c r="V65" i="16513"/>
  <c r="U65" i="16513"/>
  <c r="T65" i="16513"/>
  <c r="S65" i="16513"/>
  <c r="R65" i="16513"/>
  <c r="Q65" i="16513"/>
  <c r="P65" i="16513"/>
  <c r="O65" i="16513"/>
  <c r="N65" i="16513"/>
  <c r="M65" i="16513"/>
  <c r="L65" i="16513"/>
  <c r="K65" i="16513"/>
  <c r="J65" i="16513"/>
  <c r="I65" i="16513"/>
  <c r="H65" i="16513"/>
  <c r="G65" i="16513"/>
  <c r="F65" i="16513"/>
  <c r="AI64" i="16513"/>
  <c r="AH64" i="16513"/>
  <c r="AG64" i="16513"/>
  <c r="AF64" i="16513"/>
  <c r="AE64" i="16513"/>
  <c r="AD64" i="16513"/>
  <c r="AC64" i="16513"/>
  <c r="AB64" i="16513"/>
  <c r="AA64" i="16513"/>
  <c r="Z64" i="16513"/>
  <c r="Y64" i="16513"/>
  <c r="X64" i="16513"/>
  <c r="W64" i="16513"/>
  <c r="V64" i="16513"/>
  <c r="U64" i="16513"/>
  <c r="T64" i="16513"/>
  <c r="S64" i="16513"/>
  <c r="R64" i="16513"/>
  <c r="Q64" i="16513"/>
  <c r="P64" i="16513"/>
  <c r="O64" i="16513"/>
  <c r="N64" i="16513"/>
  <c r="M64" i="16513"/>
  <c r="L64" i="16513"/>
  <c r="K64" i="16513"/>
  <c r="J64" i="16513"/>
  <c r="I64" i="16513"/>
  <c r="H64" i="16513"/>
  <c r="G64" i="16513"/>
  <c r="F64" i="16513"/>
  <c r="AI63" i="16513"/>
  <c r="AH63" i="16513"/>
  <c r="AG63" i="16513"/>
  <c r="AF63" i="16513"/>
  <c r="AE63" i="16513"/>
  <c r="AD63" i="16513"/>
  <c r="AC63" i="16513"/>
  <c r="AB63" i="16513"/>
  <c r="AA63" i="16513"/>
  <c r="Z63" i="16513"/>
  <c r="Y63" i="16513"/>
  <c r="X63" i="16513"/>
  <c r="W63" i="16513"/>
  <c r="V63" i="16513"/>
  <c r="U63" i="16513"/>
  <c r="T63" i="16513"/>
  <c r="S63" i="16513"/>
  <c r="R63" i="16513"/>
  <c r="Q63" i="16513"/>
  <c r="P63" i="16513"/>
  <c r="O63" i="16513"/>
  <c r="N63" i="16513"/>
  <c r="M63" i="16513"/>
  <c r="L63" i="16513"/>
  <c r="K63" i="16513"/>
  <c r="J63" i="16513"/>
  <c r="I63" i="16513"/>
  <c r="H63" i="16513"/>
  <c r="G63" i="16513"/>
  <c r="F63" i="16513"/>
  <c r="AI62" i="16513"/>
  <c r="AH62" i="16513"/>
  <c r="AG62" i="16513"/>
  <c r="AF62" i="16513"/>
  <c r="AE62" i="16513"/>
  <c r="AD62" i="16513"/>
  <c r="AC62" i="16513"/>
  <c r="AB62" i="16513"/>
  <c r="AA62" i="16513"/>
  <c r="Z62" i="16513"/>
  <c r="Y62" i="16513"/>
  <c r="X62" i="16513"/>
  <c r="W62" i="16513"/>
  <c r="V62" i="16513"/>
  <c r="U62" i="16513"/>
  <c r="T62" i="16513"/>
  <c r="S62" i="16513"/>
  <c r="R62" i="16513"/>
  <c r="Q62" i="16513"/>
  <c r="P62" i="16513"/>
  <c r="O62" i="16513"/>
  <c r="N62" i="16513"/>
  <c r="M62" i="16513"/>
  <c r="L62" i="16513"/>
  <c r="K62" i="16513"/>
  <c r="J62" i="16513"/>
  <c r="I62" i="16513"/>
  <c r="H62" i="16513"/>
  <c r="G62" i="16513"/>
  <c r="F62" i="16513"/>
  <c r="AI61" i="16513"/>
  <c r="AH61" i="16513"/>
  <c r="AG61" i="16513"/>
  <c r="AF61" i="16513"/>
  <c r="AE61" i="16513"/>
  <c r="AD61" i="16513"/>
  <c r="AC61" i="16513"/>
  <c r="AB61" i="16513"/>
  <c r="AA61" i="16513"/>
  <c r="Z61" i="16513"/>
  <c r="Y61" i="16513"/>
  <c r="X61" i="16513"/>
  <c r="W61" i="16513"/>
  <c r="V61" i="16513"/>
  <c r="U61" i="16513"/>
  <c r="T61" i="16513"/>
  <c r="S61" i="16513"/>
  <c r="R61" i="16513"/>
  <c r="Q61" i="16513"/>
  <c r="P61" i="16513"/>
  <c r="O61" i="16513"/>
  <c r="N61" i="16513"/>
  <c r="M61" i="16513"/>
  <c r="L61" i="16513"/>
  <c r="K61" i="16513"/>
  <c r="J61" i="16513"/>
  <c r="I61" i="16513"/>
  <c r="H61" i="16513"/>
  <c r="G61" i="16513"/>
  <c r="F61" i="16513"/>
  <c r="AJ61" i="16513" l="1"/>
  <c r="F114" i="16513"/>
  <c r="G114" i="16513"/>
  <c r="H114" i="16513"/>
  <c r="I114" i="16513"/>
  <c r="J114" i="16513"/>
  <c r="K114" i="16513"/>
  <c r="L114" i="16513"/>
  <c r="M114" i="16513"/>
  <c r="N114" i="16513"/>
  <c r="O114" i="16513"/>
  <c r="P114" i="16513"/>
  <c r="Q114" i="16513"/>
  <c r="R114" i="16513"/>
  <c r="S114" i="16513"/>
  <c r="T114" i="16513"/>
  <c r="U114" i="16513"/>
  <c r="V114" i="16513"/>
  <c r="W114" i="16513"/>
  <c r="X114" i="16513"/>
  <c r="Y114" i="16513"/>
  <c r="Z114" i="16513"/>
  <c r="AA114" i="16513"/>
  <c r="AB114" i="16513"/>
  <c r="AC114" i="16513"/>
  <c r="AD114" i="16513"/>
  <c r="AE114" i="16513"/>
  <c r="AF114" i="16513"/>
  <c r="AG114" i="16513"/>
  <c r="AH114" i="16513"/>
  <c r="AI114" i="16513"/>
  <c r="F115" i="16513"/>
  <c r="G115" i="16513"/>
  <c r="H115" i="16513"/>
  <c r="I115" i="16513"/>
  <c r="J115" i="16513"/>
  <c r="K115" i="16513"/>
  <c r="L115" i="16513"/>
  <c r="M115" i="16513"/>
  <c r="N115" i="16513"/>
  <c r="O115" i="16513"/>
  <c r="P115" i="16513"/>
  <c r="Q115" i="16513"/>
  <c r="R115" i="16513"/>
  <c r="S115" i="16513"/>
  <c r="T115" i="16513"/>
  <c r="U115" i="16513"/>
  <c r="V115" i="16513"/>
  <c r="W115" i="16513"/>
  <c r="X115" i="16513"/>
  <c r="Y115" i="16513"/>
  <c r="Z115" i="16513"/>
  <c r="AA115" i="16513"/>
  <c r="AB115" i="16513"/>
  <c r="AC115" i="16513"/>
  <c r="AD115" i="16513"/>
  <c r="AE115" i="16513"/>
  <c r="AF115" i="16513"/>
  <c r="AG115" i="16513"/>
  <c r="AH115" i="16513"/>
  <c r="AI115" i="16513"/>
  <c r="F116" i="16513"/>
  <c r="G116" i="16513"/>
  <c r="H116" i="16513"/>
  <c r="I116" i="16513"/>
  <c r="J116" i="16513"/>
  <c r="K116" i="16513"/>
  <c r="L116" i="16513"/>
  <c r="M116" i="16513"/>
  <c r="N116" i="16513"/>
  <c r="O116" i="16513"/>
  <c r="P116" i="16513"/>
  <c r="Q116" i="16513"/>
  <c r="R116" i="16513"/>
  <c r="S116" i="16513"/>
  <c r="T116" i="16513"/>
  <c r="U116" i="16513"/>
  <c r="V116" i="16513"/>
  <c r="W116" i="16513"/>
  <c r="X116" i="16513"/>
  <c r="Y116" i="16513"/>
  <c r="Z116" i="16513"/>
  <c r="AA116" i="16513"/>
  <c r="AB116" i="16513"/>
  <c r="AC116" i="16513"/>
  <c r="AD116" i="16513"/>
  <c r="AE116" i="16513"/>
  <c r="AF116" i="16513"/>
  <c r="AG116" i="16513"/>
  <c r="AH116" i="16513"/>
  <c r="AI116" i="16513"/>
  <c r="BP15" i="16513"/>
  <c r="BP16" i="16513"/>
  <c r="BP17" i="16513"/>
  <c r="BP18" i="16513"/>
  <c r="BP19" i="16513"/>
  <c r="BP20" i="16513"/>
  <c r="BP21" i="16513"/>
  <c r="BP22" i="16513"/>
  <c r="BP23" i="16513"/>
  <c r="BP24" i="16513"/>
  <c r="BP25" i="16513"/>
  <c r="AJ114" i="16513" l="1"/>
  <c r="AJ116" i="16513"/>
  <c r="AJ115" i="16513"/>
  <c r="G10" i="16517" l="1"/>
  <c r="H10" i="16517"/>
  <c r="I10" i="16517"/>
  <c r="G11" i="16517"/>
  <c r="H11" i="16517"/>
  <c r="I11" i="16517"/>
  <c r="G12" i="16517"/>
  <c r="H12" i="16517"/>
  <c r="I12" i="16517"/>
  <c r="G13" i="16517"/>
  <c r="H13" i="16517"/>
  <c r="I13" i="16517"/>
  <c r="G14" i="16517"/>
  <c r="H14" i="16517"/>
  <c r="I14" i="16517"/>
  <c r="G15" i="16517"/>
  <c r="H15" i="16517"/>
  <c r="I15" i="16517"/>
  <c r="G16" i="16517"/>
  <c r="H16" i="16517"/>
  <c r="I16" i="16517"/>
  <c r="G17" i="16517"/>
  <c r="H17" i="16517"/>
  <c r="I17" i="16517"/>
  <c r="G18" i="16517"/>
  <c r="H18" i="16517"/>
  <c r="I18" i="16517"/>
  <c r="G19" i="16517"/>
  <c r="H19" i="16517"/>
  <c r="I19" i="16517"/>
  <c r="G20" i="16517"/>
  <c r="H20" i="16517"/>
  <c r="I20" i="16517"/>
  <c r="G21" i="16517"/>
  <c r="H21" i="16517"/>
  <c r="I21" i="16517"/>
  <c r="G22" i="16517"/>
  <c r="H22" i="16517"/>
  <c r="I22" i="16517"/>
  <c r="G23" i="16517"/>
  <c r="H23" i="16517"/>
  <c r="I23" i="16517"/>
  <c r="G24" i="16517"/>
  <c r="H24" i="16517"/>
  <c r="I24" i="16517"/>
  <c r="G25" i="16517"/>
  <c r="H25" i="16517"/>
  <c r="I25" i="16517"/>
  <c r="G26" i="16517"/>
  <c r="H26" i="16517"/>
  <c r="I26" i="16517"/>
  <c r="G27" i="16517"/>
  <c r="H27" i="16517"/>
  <c r="I27" i="16517"/>
  <c r="G28" i="16517"/>
  <c r="H28" i="16517"/>
  <c r="I28" i="16517"/>
  <c r="G29" i="16517"/>
  <c r="H29" i="16517"/>
  <c r="I29" i="16517"/>
  <c r="G30" i="16517"/>
  <c r="H30" i="16517"/>
  <c r="I30" i="16517"/>
  <c r="G31" i="16517"/>
  <c r="H31" i="16517"/>
  <c r="I31" i="16517"/>
  <c r="G32" i="16517"/>
  <c r="H32" i="16517"/>
  <c r="I32" i="16517"/>
  <c r="G33" i="16517"/>
  <c r="H33" i="16517"/>
  <c r="I33" i="16517"/>
  <c r="G34" i="16517"/>
  <c r="H34" i="16517"/>
  <c r="I34" i="16517"/>
  <c r="G35" i="16517"/>
  <c r="H35" i="16517"/>
  <c r="I35" i="16517"/>
  <c r="G36" i="16517"/>
  <c r="H36" i="16517"/>
  <c r="I36" i="16517"/>
  <c r="G37" i="16517"/>
  <c r="H37" i="16517"/>
  <c r="I37" i="16517"/>
  <c r="G38" i="16517"/>
  <c r="H38" i="16517"/>
  <c r="I38" i="16517"/>
  <c r="G39" i="16517"/>
  <c r="H39" i="16517"/>
  <c r="I39" i="16517"/>
  <c r="G40" i="16517"/>
  <c r="H40" i="16517"/>
  <c r="I40" i="16517"/>
  <c r="G41" i="16517"/>
  <c r="H41" i="16517"/>
  <c r="I41" i="16517"/>
  <c r="G42" i="16517"/>
  <c r="H42" i="16517"/>
  <c r="I42" i="16517"/>
  <c r="G43" i="16517"/>
  <c r="H43" i="16517"/>
  <c r="I43" i="16517"/>
  <c r="G44" i="16517"/>
  <c r="H44" i="16517"/>
  <c r="I44" i="16517"/>
  <c r="G45" i="16517"/>
  <c r="H45" i="16517"/>
  <c r="I45" i="16517"/>
  <c r="G46" i="16517"/>
  <c r="H46" i="16517"/>
  <c r="I46" i="16517"/>
  <c r="G47" i="16517"/>
  <c r="H47" i="16517"/>
  <c r="I47" i="16517"/>
  <c r="G48" i="16517"/>
  <c r="H48" i="16517"/>
  <c r="I48" i="16517"/>
  <c r="G49" i="16517"/>
  <c r="H49" i="16517"/>
  <c r="I49" i="16517"/>
  <c r="G50" i="16517"/>
  <c r="H50" i="16517"/>
  <c r="I50" i="16517"/>
  <c r="G51" i="16517"/>
  <c r="H51" i="16517"/>
  <c r="I51" i="16517"/>
  <c r="G52" i="16517"/>
  <c r="H52" i="16517"/>
  <c r="I52" i="16517"/>
  <c r="G53" i="16517"/>
  <c r="H53" i="16517"/>
  <c r="I53" i="16517"/>
  <c r="G54" i="16517"/>
  <c r="H54" i="16517"/>
  <c r="I54" i="16517"/>
  <c r="G55" i="16517"/>
  <c r="H55" i="16517"/>
  <c r="I55" i="16517"/>
  <c r="G56" i="16517"/>
  <c r="H56" i="16517"/>
  <c r="I56" i="16517"/>
  <c r="G57" i="16517"/>
  <c r="H57" i="16517"/>
  <c r="I57" i="16517"/>
  <c r="G58" i="16517"/>
  <c r="H58" i="16517"/>
  <c r="I58" i="16517"/>
  <c r="G59" i="16517"/>
  <c r="H59" i="16517"/>
  <c r="I59" i="16517"/>
  <c r="G60" i="16517"/>
  <c r="H60" i="16517"/>
  <c r="I60" i="16517"/>
  <c r="G61" i="16517"/>
  <c r="H61" i="16517"/>
  <c r="I61" i="16517"/>
  <c r="G62" i="16517"/>
  <c r="H62" i="16517"/>
  <c r="I62" i="16517"/>
  <c r="G63" i="16517"/>
  <c r="H63" i="16517"/>
  <c r="I63" i="16517"/>
  <c r="G64" i="16517"/>
  <c r="H64" i="16517"/>
  <c r="I64" i="16517"/>
  <c r="G65" i="16517"/>
  <c r="H65" i="16517"/>
  <c r="I65" i="16517"/>
  <c r="G66" i="16517"/>
  <c r="H66" i="16517"/>
  <c r="I66" i="16517"/>
  <c r="G67" i="16517"/>
  <c r="H67" i="16517"/>
  <c r="I67" i="16517"/>
  <c r="G68" i="16517"/>
  <c r="H68" i="16517"/>
  <c r="I68" i="16517"/>
  <c r="G69" i="16517"/>
  <c r="H69" i="16517"/>
  <c r="I69" i="16517"/>
  <c r="G70" i="16517"/>
  <c r="H70" i="16517"/>
  <c r="I70" i="16517"/>
  <c r="G71" i="16517"/>
  <c r="H71" i="16517"/>
  <c r="I71" i="16517"/>
  <c r="G72" i="16517"/>
  <c r="H72" i="16517"/>
  <c r="I72" i="16517"/>
  <c r="G73" i="16517"/>
  <c r="H73" i="16517"/>
  <c r="I73" i="16517"/>
  <c r="G74" i="16517"/>
  <c r="H74" i="16517"/>
  <c r="I74" i="16517"/>
  <c r="G75" i="16517"/>
  <c r="H75" i="16517"/>
  <c r="I75" i="16517"/>
  <c r="G76" i="16517"/>
  <c r="H76" i="16517"/>
  <c r="I76" i="16517"/>
  <c r="G77" i="16517"/>
  <c r="H77" i="16517"/>
  <c r="I77" i="16517"/>
  <c r="G78" i="16517"/>
  <c r="H78" i="16517"/>
  <c r="I78" i="16517"/>
  <c r="G79" i="16517"/>
  <c r="H79" i="16517"/>
  <c r="I79" i="16517"/>
  <c r="G80" i="16517"/>
  <c r="H80" i="16517"/>
  <c r="I80" i="16517"/>
  <c r="G81" i="16517"/>
  <c r="H81" i="16517"/>
  <c r="I81" i="16517"/>
  <c r="G82" i="16517"/>
  <c r="H82" i="16517"/>
  <c r="I82" i="16517"/>
  <c r="G83" i="16517"/>
  <c r="H83" i="16517"/>
  <c r="I83" i="16517"/>
  <c r="G84" i="16517"/>
  <c r="H84" i="16517"/>
  <c r="I84" i="16517"/>
  <c r="G85" i="16517"/>
  <c r="H85" i="16517"/>
  <c r="I85" i="16517"/>
  <c r="G86" i="16517"/>
  <c r="H86" i="16517"/>
  <c r="I86" i="16517"/>
  <c r="G87" i="16517"/>
  <c r="H87" i="16517"/>
  <c r="I87" i="16517"/>
  <c r="G88" i="16517"/>
  <c r="H88" i="16517"/>
  <c r="I88" i="16517"/>
  <c r="G89" i="16517"/>
  <c r="H89" i="16517"/>
  <c r="I89" i="16517"/>
  <c r="G90" i="16517"/>
  <c r="H90" i="16517"/>
  <c r="I90" i="16517"/>
  <c r="G91" i="16517"/>
  <c r="H91" i="16517"/>
  <c r="I91" i="16517"/>
  <c r="G92" i="16517"/>
  <c r="H92" i="16517"/>
  <c r="I92" i="16517"/>
  <c r="G93" i="16517"/>
  <c r="H93" i="16517"/>
  <c r="I93" i="16517"/>
  <c r="G94" i="16517"/>
  <c r="H94" i="16517"/>
  <c r="I94" i="16517"/>
  <c r="G95" i="16517"/>
  <c r="H95" i="16517"/>
  <c r="I95" i="16517"/>
  <c r="G96" i="16517"/>
  <c r="H96" i="16517"/>
  <c r="I96" i="16517"/>
  <c r="G97" i="16517"/>
  <c r="H97" i="16517"/>
  <c r="I97" i="16517"/>
  <c r="H9" i="16517"/>
  <c r="I9" i="16517"/>
  <c r="G9" i="16517"/>
  <c r="L15" i="16537" l="1"/>
  <c r="L14" i="16537"/>
  <c r="L13" i="16537"/>
  <c r="L12" i="16537"/>
  <c r="L11" i="16537"/>
  <c r="L10" i="16537"/>
  <c r="L9" i="16537"/>
  <c r="L8" i="16537"/>
  <c r="L7" i="16537"/>
  <c r="L6" i="16537"/>
  <c r="L5" i="16537"/>
  <c r="L4" i="16537"/>
  <c r="L3" i="16537"/>
  <c r="J2" i="16537"/>
  <c r="E13" i="16537" s="1"/>
  <c r="G13" i="16537" s="1"/>
  <c r="E11" i="16537" l="1"/>
  <c r="G11" i="16537" s="1"/>
  <c r="E8" i="16537"/>
  <c r="G8" i="16537" s="1"/>
  <c r="E18" i="16537"/>
  <c r="G18" i="16537" s="1"/>
  <c r="E7" i="16537"/>
  <c r="G7" i="16537" s="1"/>
  <c r="E15" i="16537"/>
  <c r="G15" i="16537" s="1"/>
  <c r="E12" i="16537"/>
  <c r="G12" i="16537" s="1"/>
  <c r="E16" i="16537"/>
  <c r="G16" i="16537" s="1"/>
  <c r="E6" i="16537"/>
  <c r="G6" i="16537" s="1"/>
  <c r="E10" i="16537"/>
  <c r="G10" i="16537" s="1"/>
  <c r="E14" i="16537"/>
  <c r="G14" i="16537" s="1"/>
  <c r="E17" i="16537"/>
  <c r="G17" i="16537" s="1"/>
  <c r="E9" i="16537"/>
  <c r="G9" i="16537" s="1"/>
  <c r="G19" i="16537" l="1"/>
  <c r="G20" i="16537" s="1"/>
  <c r="G22" i="16537" s="1"/>
  <c r="G23" i="16537" s="1"/>
  <c r="L61" i="16458" l="1"/>
  <c r="AI83" i="16513" l="1"/>
  <c r="AH83" i="16513"/>
  <c r="AG83" i="16513"/>
  <c r="AF83" i="16513"/>
  <c r="AE83" i="16513"/>
  <c r="AD83" i="16513"/>
  <c r="AC83" i="16513"/>
  <c r="AB83" i="16513"/>
  <c r="AA83" i="16513"/>
  <c r="Z83" i="16513"/>
  <c r="Y83" i="16513"/>
  <c r="X83" i="16513"/>
  <c r="W83" i="16513"/>
  <c r="V83" i="16513"/>
  <c r="U83" i="16513"/>
  <c r="T83" i="16513"/>
  <c r="S83" i="16513"/>
  <c r="R83" i="16513"/>
  <c r="Q83" i="16513"/>
  <c r="P83" i="16513"/>
  <c r="O83" i="16513"/>
  <c r="N83" i="16513"/>
  <c r="M83" i="16513"/>
  <c r="L83" i="16513"/>
  <c r="K83" i="16513"/>
  <c r="J83" i="16513"/>
  <c r="I83" i="16513"/>
  <c r="H83" i="16513"/>
  <c r="G83" i="16513"/>
  <c r="F83" i="16513"/>
  <c r="E13" i="16514"/>
  <c r="E83" i="16513" l="1"/>
  <c r="M26" i="16504"/>
  <c r="G49" i="16502" l="1"/>
  <c r="I49" i="16502" s="1"/>
  <c r="L49" i="16502" l="1"/>
  <c r="M49" i="16502" s="1"/>
  <c r="N49" i="16502" s="1"/>
  <c r="O49" i="16502" s="1"/>
  <c r="P49" i="16502" s="1"/>
  <c r="Q49" i="16502" s="1"/>
  <c r="R49" i="16502" s="1"/>
  <c r="S49" i="16502" s="1"/>
  <c r="T49" i="16502" s="1"/>
  <c r="U49" i="16502" s="1"/>
  <c r="V49" i="16502" s="1"/>
  <c r="W49" i="16502" s="1"/>
  <c r="X49" i="16502" s="1"/>
  <c r="Y49" i="16502" s="1"/>
  <c r="Z49" i="16502" s="1"/>
  <c r="AA49" i="16502" s="1"/>
  <c r="AB49" i="16502" s="1"/>
  <c r="AC49" i="16502" s="1"/>
  <c r="AD49" i="16502" s="1"/>
  <c r="AE49" i="16502" s="1"/>
  <c r="AF49" i="16502" s="1"/>
  <c r="AG49" i="16502" s="1"/>
  <c r="AH49" i="16502" s="1"/>
  <c r="AI49" i="16502" s="1"/>
  <c r="AJ49" i="16502" s="1"/>
  <c r="AK49" i="16502" s="1"/>
  <c r="AL49" i="16502" s="1"/>
  <c r="AM49" i="16502" s="1"/>
  <c r="AN49" i="16502" s="1"/>
  <c r="K49" i="16502"/>
  <c r="H49" i="16502"/>
  <c r="J49" i="16502" l="1"/>
  <c r="J45" i="16504"/>
  <c r="M49" i="16504"/>
  <c r="F91" i="16513" s="1"/>
  <c r="J51" i="16504"/>
  <c r="AQ21" i="16502" l="1"/>
  <c r="AQ50" i="16502"/>
  <c r="M10" i="16528"/>
  <c r="M11" i="16528"/>
  <c r="M9" i="16528"/>
  <c r="M8" i="16528"/>
  <c r="M7" i="16528"/>
  <c r="M19" i="16528"/>
  <c r="J67" i="16460" l="1"/>
  <c r="K67" i="16460" s="1"/>
  <c r="L67" i="16460" s="1"/>
  <c r="M67" i="16460" s="1"/>
  <c r="N67" i="16460" s="1"/>
  <c r="O67" i="16460" s="1"/>
  <c r="P67" i="16460" s="1"/>
  <c r="Q67" i="16460" s="1"/>
  <c r="R67" i="16460" s="1"/>
  <c r="S67" i="16460" s="1"/>
  <c r="T67" i="16460" s="1"/>
  <c r="U67" i="16460" s="1"/>
  <c r="V67" i="16460" s="1"/>
  <c r="W67" i="16460" s="1"/>
  <c r="X67" i="16460" s="1"/>
  <c r="Y67" i="16460" s="1"/>
  <c r="Z67" i="16460" s="1"/>
  <c r="AA67" i="16460" s="1"/>
  <c r="AB67" i="16460" s="1"/>
  <c r="AC67" i="16460" s="1"/>
  <c r="AD67" i="16460" s="1"/>
  <c r="AE67" i="16460" s="1"/>
  <c r="AF67" i="16460" s="1"/>
  <c r="AG67" i="16460" s="1"/>
  <c r="AH67" i="16460" s="1"/>
  <c r="AI67" i="16460" s="1"/>
  <c r="AJ67" i="16460" s="1"/>
  <c r="AK67" i="16460" s="1"/>
  <c r="AL67" i="16460" s="1"/>
  <c r="E7" i="16535" l="1"/>
  <c r="C7" i="16535"/>
  <c r="C3" i="16535"/>
  <c r="F5" i="16535"/>
  <c r="D12" i="16535" s="1"/>
  <c r="F7" i="16535" l="1"/>
  <c r="D13" i="16535" s="1"/>
  <c r="F3" i="16535"/>
  <c r="D14" i="16535" s="1"/>
  <c r="D11" i="16535" l="1"/>
  <c r="D16" i="16535"/>
  <c r="E68" i="16513" s="1"/>
  <c r="H68" i="16513" l="1"/>
  <c r="L68" i="16513"/>
  <c r="P68" i="16513"/>
  <c r="T68" i="16513"/>
  <c r="X68" i="16513"/>
  <c r="AB68" i="16513"/>
  <c r="AF68" i="16513"/>
  <c r="I68" i="16513"/>
  <c r="M68" i="16513"/>
  <c r="Q68" i="16513"/>
  <c r="U68" i="16513"/>
  <c r="Y68" i="16513"/>
  <c r="AC68" i="16513"/>
  <c r="AG68" i="16513"/>
  <c r="F68" i="16513"/>
  <c r="J68" i="16513"/>
  <c r="N68" i="16513"/>
  <c r="R68" i="16513"/>
  <c r="V68" i="16513"/>
  <c r="Z68" i="16513"/>
  <c r="AD68" i="16513"/>
  <c r="AH68" i="16513"/>
  <c r="G68" i="16513"/>
  <c r="K68" i="16513"/>
  <c r="O68" i="16513"/>
  <c r="S68" i="16513"/>
  <c r="W68" i="16513"/>
  <c r="AA68" i="16513"/>
  <c r="AE68" i="16513"/>
  <c r="AI68" i="16513"/>
  <c r="IJ63" i="16516"/>
  <c r="IJ54" i="16516"/>
  <c r="IJ59" i="16516"/>
  <c r="IJ69" i="16516"/>
  <c r="IJ68" i="16516"/>
  <c r="IJ65" i="16516"/>
  <c r="IJ62" i="16516"/>
  <c r="IJ60" i="16516"/>
  <c r="IJ58" i="16516"/>
  <c r="IJ57" i="16516"/>
  <c r="IJ53" i="16516"/>
  <c r="IJ52" i="16516"/>
  <c r="IJ50" i="16516"/>
  <c r="IJ49" i="16516"/>
  <c r="IJ48" i="16516"/>
  <c r="IJ47" i="16516"/>
  <c r="IJ45" i="16516"/>
  <c r="IJ44" i="16516"/>
  <c r="IJ42" i="16516"/>
  <c r="IJ40" i="16516"/>
  <c r="IJ39" i="16516"/>
  <c r="IJ38" i="16516"/>
  <c r="IJ36" i="16516"/>
  <c r="IJ34" i="16516"/>
  <c r="IJ32" i="16516"/>
  <c r="IJ31" i="16516"/>
  <c r="IJ30" i="16516"/>
  <c r="IJ29" i="16516"/>
  <c r="IJ26" i="16516"/>
  <c r="IJ25" i="16516"/>
  <c r="IJ24" i="16516"/>
  <c r="IJ23" i="16516"/>
  <c r="IJ22" i="16516"/>
  <c r="IJ21" i="16516"/>
  <c r="IJ20" i="16516"/>
  <c r="IJ19" i="16516"/>
  <c r="IJ18" i="16516"/>
  <c r="IJ17" i="16516"/>
  <c r="IJ16" i="16516"/>
  <c r="IJ15" i="16516"/>
  <c r="IJ14" i="16516"/>
  <c r="IJ13" i="16516"/>
  <c r="IJ12" i="16516"/>
  <c r="IJ11" i="16516"/>
  <c r="IJ10" i="16516"/>
  <c r="IB69" i="16516"/>
  <c r="IB68" i="16516"/>
  <c r="IB65" i="16516"/>
  <c r="IB63" i="16516"/>
  <c r="IB62" i="16516"/>
  <c r="IB60" i="16516"/>
  <c r="IB59" i="16516"/>
  <c r="IB58" i="16516"/>
  <c r="IB57" i="16516"/>
  <c r="IB54" i="16516"/>
  <c r="IB53" i="16516"/>
  <c r="IB52" i="16516"/>
  <c r="IB50" i="16516"/>
  <c r="IB49" i="16516"/>
  <c r="IB48" i="16516"/>
  <c r="IB47" i="16516"/>
  <c r="IB45" i="16516"/>
  <c r="IB44" i="16516"/>
  <c r="IB42" i="16516"/>
  <c r="IB40" i="16516"/>
  <c r="IB39" i="16516"/>
  <c r="IB38" i="16516"/>
  <c r="IB36" i="16516"/>
  <c r="IB34" i="16516"/>
  <c r="IB32" i="16516"/>
  <c r="IB31" i="16516"/>
  <c r="IB30" i="16516"/>
  <c r="IB29" i="16516"/>
  <c r="IB26" i="16516"/>
  <c r="IB25" i="16516"/>
  <c r="IB24" i="16516"/>
  <c r="IB23" i="16516"/>
  <c r="IB22" i="16516"/>
  <c r="IB21" i="16516"/>
  <c r="IB20" i="16516"/>
  <c r="IB19" i="16516"/>
  <c r="IB18" i="16516"/>
  <c r="IB17" i="16516"/>
  <c r="IB16" i="16516"/>
  <c r="IB15" i="16516"/>
  <c r="IB14" i="16516"/>
  <c r="IB13" i="16516"/>
  <c r="IB12" i="16516"/>
  <c r="IB11" i="16516"/>
  <c r="IB10" i="16516"/>
  <c r="HT69" i="16516"/>
  <c r="HT68" i="16516"/>
  <c r="HT65" i="16516"/>
  <c r="HT63" i="16516"/>
  <c r="HT62" i="16516"/>
  <c r="HT60" i="16516"/>
  <c r="HT59" i="16516"/>
  <c r="HT58" i="16516"/>
  <c r="HT57" i="16516"/>
  <c r="HT54" i="16516"/>
  <c r="HT53" i="16516"/>
  <c r="HT52" i="16516"/>
  <c r="HT50" i="16516"/>
  <c r="HT49" i="16516"/>
  <c r="HT48" i="16516"/>
  <c r="HT47" i="16516"/>
  <c r="HT45" i="16516"/>
  <c r="HT44" i="16516"/>
  <c r="HT42" i="16516"/>
  <c r="HT40" i="16516"/>
  <c r="HT39" i="16516"/>
  <c r="HT38" i="16516"/>
  <c r="HT36" i="16516"/>
  <c r="HT34" i="16516"/>
  <c r="HT32" i="16516"/>
  <c r="HT31" i="16516"/>
  <c r="HT30" i="16516"/>
  <c r="HT29" i="16516"/>
  <c r="HT26" i="16516"/>
  <c r="HT25" i="16516"/>
  <c r="HT24" i="16516"/>
  <c r="HT23" i="16516"/>
  <c r="HT22" i="16516"/>
  <c r="HT21" i="16516"/>
  <c r="HT20" i="16516"/>
  <c r="HT19" i="16516"/>
  <c r="HT18" i="16516"/>
  <c r="HT17" i="16516"/>
  <c r="HT16" i="16516"/>
  <c r="HT15" i="16516"/>
  <c r="HT14" i="16516"/>
  <c r="HT13" i="16516"/>
  <c r="HT12" i="16516"/>
  <c r="HT11" i="16516"/>
  <c r="HT10" i="16516"/>
  <c r="HL69" i="16516"/>
  <c r="HL68" i="16516"/>
  <c r="HL65" i="16516"/>
  <c r="HL63" i="16516"/>
  <c r="HL62" i="16516"/>
  <c r="HL60" i="16516"/>
  <c r="HL59" i="16516"/>
  <c r="HL58" i="16516"/>
  <c r="HL57" i="16516"/>
  <c r="HL54" i="16516"/>
  <c r="HL53" i="16516"/>
  <c r="HL52" i="16516"/>
  <c r="HL50" i="16516"/>
  <c r="HL49" i="16516"/>
  <c r="HL48" i="16516"/>
  <c r="HL47" i="16516"/>
  <c r="HL45" i="16516"/>
  <c r="HL44" i="16516"/>
  <c r="HL42" i="16516"/>
  <c r="HL40" i="16516"/>
  <c r="HL39" i="16516"/>
  <c r="HL38" i="16516"/>
  <c r="HL36" i="16516"/>
  <c r="HL34" i="16516"/>
  <c r="HL32" i="16516"/>
  <c r="HL31" i="16516"/>
  <c r="HL30" i="16516"/>
  <c r="HL29" i="16516"/>
  <c r="HL26" i="16516"/>
  <c r="HL25" i="16516"/>
  <c r="HL24" i="16516"/>
  <c r="HL23" i="16516"/>
  <c r="HL22" i="16516"/>
  <c r="HL21" i="16516"/>
  <c r="HL20" i="16516"/>
  <c r="HL19" i="16516"/>
  <c r="HL18" i="16516"/>
  <c r="HL17" i="16516"/>
  <c r="HL16" i="16516"/>
  <c r="HL15" i="16516"/>
  <c r="HL14" i="16516"/>
  <c r="HL13" i="16516"/>
  <c r="HL12" i="16516"/>
  <c r="HL11" i="16516"/>
  <c r="HL10" i="16516"/>
  <c r="GV69" i="16516"/>
  <c r="GV68" i="16516"/>
  <c r="GV65" i="16516"/>
  <c r="GV63" i="16516"/>
  <c r="GV62" i="16516"/>
  <c r="GV60" i="16516"/>
  <c r="GV59" i="16516"/>
  <c r="GV58" i="16516"/>
  <c r="GV57" i="16516"/>
  <c r="GV54" i="16516"/>
  <c r="GV53" i="16516"/>
  <c r="GV52" i="16516"/>
  <c r="GV50" i="16516"/>
  <c r="GV49" i="16516"/>
  <c r="GV48" i="16516"/>
  <c r="GV47" i="16516"/>
  <c r="GV45" i="16516"/>
  <c r="GV44" i="16516"/>
  <c r="GV42" i="16516"/>
  <c r="GV40" i="16516"/>
  <c r="GV39" i="16516"/>
  <c r="GV38" i="16516"/>
  <c r="GV36" i="16516"/>
  <c r="GV34" i="16516"/>
  <c r="GV32" i="16516"/>
  <c r="GV31" i="16516"/>
  <c r="GV30" i="16516"/>
  <c r="GV29" i="16516"/>
  <c r="GV26" i="16516"/>
  <c r="GV25" i="16516"/>
  <c r="GV24" i="16516"/>
  <c r="GV23" i="16516"/>
  <c r="GV22" i="16516"/>
  <c r="GV21" i="16516"/>
  <c r="GV20" i="16516"/>
  <c r="GV19" i="16516"/>
  <c r="GV18" i="16516"/>
  <c r="GV17" i="16516"/>
  <c r="GV16" i="16516"/>
  <c r="GV15" i="16516"/>
  <c r="GV14" i="16516"/>
  <c r="GV13" i="16516"/>
  <c r="GV12" i="16516"/>
  <c r="GV11" i="16516"/>
  <c r="GV10" i="16516"/>
  <c r="GN69" i="16516"/>
  <c r="GN68" i="16516"/>
  <c r="GN65" i="16516"/>
  <c r="GN63" i="16516"/>
  <c r="GN62" i="16516"/>
  <c r="GN60" i="16516"/>
  <c r="GN59" i="16516"/>
  <c r="GN58" i="16516"/>
  <c r="GN57" i="16516"/>
  <c r="GN54" i="16516"/>
  <c r="GN53" i="16516"/>
  <c r="GN52" i="16516"/>
  <c r="GN50" i="16516"/>
  <c r="GN49" i="16516"/>
  <c r="GN48" i="16516"/>
  <c r="GN47" i="16516"/>
  <c r="GN45" i="16516"/>
  <c r="GN44" i="16516"/>
  <c r="GN42" i="16516"/>
  <c r="GN40" i="16516"/>
  <c r="GN39" i="16516"/>
  <c r="GN38" i="16516"/>
  <c r="GN36" i="16516"/>
  <c r="GN34" i="16516"/>
  <c r="GN32" i="16516"/>
  <c r="GN31" i="16516"/>
  <c r="GN30" i="16516"/>
  <c r="GN29" i="16516"/>
  <c r="GN26" i="16516"/>
  <c r="GN25" i="16516"/>
  <c r="GN24" i="16516"/>
  <c r="GN23" i="16516"/>
  <c r="GN22" i="16516"/>
  <c r="GN21" i="16516"/>
  <c r="GN20" i="16516"/>
  <c r="GN19" i="16516"/>
  <c r="GN18" i="16516"/>
  <c r="GN17" i="16516"/>
  <c r="GN16" i="16516"/>
  <c r="GN15" i="16516"/>
  <c r="GN14" i="16516"/>
  <c r="GN13" i="16516"/>
  <c r="GN12" i="16516"/>
  <c r="GN11" i="16516"/>
  <c r="GN10" i="16516"/>
  <c r="GF69" i="16516"/>
  <c r="GF68" i="16516"/>
  <c r="GF65" i="16516"/>
  <c r="GF63" i="16516"/>
  <c r="GF62" i="16516"/>
  <c r="GF60" i="16516"/>
  <c r="GF59" i="16516"/>
  <c r="GF58" i="16516"/>
  <c r="GF57" i="16516"/>
  <c r="GF54" i="16516"/>
  <c r="GF53" i="16516"/>
  <c r="GF52" i="16516"/>
  <c r="GF50" i="16516"/>
  <c r="GF49" i="16516"/>
  <c r="GF48" i="16516"/>
  <c r="GF47" i="16516"/>
  <c r="GF45" i="16516"/>
  <c r="GF44" i="16516"/>
  <c r="GF42" i="16516"/>
  <c r="GF40" i="16516"/>
  <c r="GF39" i="16516"/>
  <c r="GF38" i="16516"/>
  <c r="GF36" i="16516"/>
  <c r="GF34" i="16516"/>
  <c r="GF32" i="16516"/>
  <c r="GF31" i="16516"/>
  <c r="GF30" i="16516"/>
  <c r="GF29" i="16516"/>
  <c r="GF26" i="16516"/>
  <c r="GF25" i="16516"/>
  <c r="GF24" i="16516"/>
  <c r="GF23" i="16516"/>
  <c r="GF22" i="16516"/>
  <c r="GF21" i="16516"/>
  <c r="GF20" i="16516"/>
  <c r="GF19" i="16516"/>
  <c r="GF18" i="16516"/>
  <c r="GF17" i="16516"/>
  <c r="GF16" i="16516"/>
  <c r="GF15" i="16516"/>
  <c r="GF14" i="16516"/>
  <c r="GF13" i="16516"/>
  <c r="GF12" i="16516"/>
  <c r="GF11" i="16516"/>
  <c r="GF10" i="16516"/>
  <c r="FX69" i="16516"/>
  <c r="FX68" i="16516"/>
  <c r="FX65" i="16516"/>
  <c r="FX63" i="16516"/>
  <c r="FX62" i="16516"/>
  <c r="FX60" i="16516"/>
  <c r="FX59" i="16516"/>
  <c r="FX58" i="16516"/>
  <c r="FX57" i="16516"/>
  <c r="FX54" i="16516"/>
  <c r="FX53" i="16516"/>
  <c r="FX52" i="16516"/>
  <c r="FX50" i="16516"/>
  <c r="FX49" i="16516"/>
  <c r="FX48" i="16516"/>
  <c r="FX47" i="16516"/>
  <c r="FX45" i="16516"/>
  <c r="FX44" i="16516"/>
  <c r="FX42" i="16516"/>
  <c r="FX40" i="16516"/>
  <c r="FX39" i="16516"/>
  <c r="FX38" i="16516"/>
  <c r="FX36" i="16516"/>
  <c r="FX34" i="16516"/>
  <c r="FX32" i="16516"/>
  <c r="FX31" i="16516"/>
  <c r="FX30" i="16516"/>
  <c r="FX29" i="16516"/>
  <c r="FX26" i="16516"/>
  <c r="FX25" i="16516"/>
  <c r="FX24" i="16516"/>
  <c r="FX23" i="16516"/>
  <c r="FX22" i="16516"/>
  <c r="FX21" i="16516"/>
  <c r="FX20" i="16516"/>
  <c r="FX19" i="16516"/>
  <c r="FX18" i="16516"/>
  <c r="FX17" i="16516"/>
  <c r="FX16" i="16516"/>
  <c r="FX15" i="16516"/>
  <c r="FX14" i="16516"/>
  <c r="FX13" i="16516"/>
  <c r="FX12" i="16516"/>
  <c r="FX11" i="16516"/>
  <c r="FX10" i="16516"/>
  <c r="FP69" i="16516"/>
  <c r="FP68" i="16516"/>
  <c r="FP65" i="16516"/>
  <c r="FP63" i="16516"/>
  <c r="FP62" i="16516"/>
  <c r="FP60" i="16516"/>
  <c r="FP59" i="16516"/>
  <c r="FP58" i="16516"/>
  <c r="FP57" i="16516"/>
  <c r="FP54" i="16516"/>
  <c r="FP53" i="16516"/>
  <c r="FP52" i="16516"/>
  <c r="FP50" i="16516"/>
  <c r="FP49" i="16516"/>
  <c r="FP48" i="16516"/>
  <c r="FP47" i="16516"/>
  <c r="FP45" i="16516"/>
  <c r="FP44" i="16516"/>
  <c r="FP42" i="16516"/>
  <c r="FP40" i="16516"/>
  <c r="FP39" i="16516"/>
  <c r="FP38" i="16516"/>
  <c r="FP36" i="16516"/>
  <c r="FP34" i="16516"/>
  <c r="FP32" i="16516"/>
  <c r="FP31" i="16516"/>
  <c r="FP30" i="16516"/>
  <c r="FP29" i="16516"/>
  <c r="FP26" i="16516"/>
  <c r="FP25" i="16516"/>
  <c r="FP24" i="16516"/>
  <c r="FP23" i="16516"/>
  <c r="FP22" i="16516"/>
  <c r="FP21" i="16516"/>
  <c r="FP20" i="16516"/>
  <c r="FP19" i="16516"/>
  <c r="FP18" i="16516"/>
  <c r="FP17" i="16516"/>
  <c r="FP16" i="16516"/>
  <c r="FP15" i="16516"/>
  <c r="FP14" i="16516"/>
  <c r="FP13" i="16516"/>
  <c r="FP12" i="16516"/>
  <c r="FP11" i="16516"/>
  <c r="FP10" i="16516"/>
  <c r="FH69" i="16516"/>
  <c r="FH68" i="16516"/>
  <c r="FH65" i="16516"/>
  <c r="FH63" i="16516"/>
  <c r="FH62" i="16516"/>
  <c r="FH60" i="16516"/>
  <c r="FH59" i="16516"/>
  <c r="FH58" i="16516"/>
  <c r="FH57" i="16516"/>
  <c r="FH54" i="16516"/>
  <c r="FH53" i="16516"/>
  <c r="FH52" i="16516"/>
  <c r="FH50" i="16516"/>
  <c r="FH49" i="16516"/>
  <c r="FH48" i="16516"/>
  <c r="FH47" i="16516"/>
  <c r="FH45" i="16516"/>
  <c r="FH44" i="16516"/>
  <c r="FH42" i="16516"/>
  <c r="FH40" i="16516"/>
  <c r="FH39" i="16516"/>
  <c r="FH38" i="16516"/>
  <c r="FH36" i="16516"/>
  <c r="FH34" i="16516"/>
  <c r="FH32" i="16516"/>
  <c r="FH31" i="16516"/>
  <c r="FH30" i="16516"/>
  <c r="FH29" i="16516"/>
  <c r="FH26" i="16516"/>
  <c r="FH25" i="16516"/>
  <c r="FH24" i="16516"/>
  <c r="FH23" i="16516"/>
  <c r="FH22" i="16516"/>
  <c r="FH21" i="16516"/>
  <c r="FH20" i="16516"/>
  <c r="FH19" i="16516"/>
  <c r="FH18" i="16516"/>
  <c r="FH17" i="16516"/>
  <c r="FH16" i="16516"/>
  <c r="FH15" i="16516"/>
  <c r="FH14" i="16516"/>
  <c r="FH13" i="16516"/>
  <c r="FH12" i="16516"/>
  <c r="FH11" i="16516"/>
  <c r="FH10" i="16516"/>
  <c r="EZ69" i="16516"/>
  <c r="EZ68" i="16516"/>
  <c r="EZ65" i="16516"/>
  <c r="EZ63" i="16516"/>
  <c r="EZ62" i="16516"/>
  <c r="EZ60" i="16516"/>
  <c r="EZ59" i="16516"/>
  <c r="EZ58" i="16516"/>
  <c r="EZ57" i="16516"/>
  <c r="EZ54" i="16516"/>
  <c r="EZ53" i="16516"/>
  <c r="EZ52" i="16516"/>
  <c r="EZ50" i="16516"/>
  <c r="EZ49" i="16516"/>
  <c r="EZ48" i="16516"/>
  <c r="EZ47" i="16516"/>
  <c r="EZ45" i="16516"/>
  <c r="EZ44" i="16516"/>
  <c r="EZ42" i="16516"/>
  <c r="EZ40" i="16516"/>
  <c r="EZ39" i="16516"/>
  <c r="EZ38" i="16516"/>
  <c r="EZ36" i="16516"/>
  <c r="EZ34" i="16516"/>
  <c r="EZ32" i="16516"/>
  <c r="EZ31" i="16516"/>
  <c r="EZ30" i="16516"/>
  <c r="EZ29" i="16516"/>
  <c r="EY29" i="16516"/>
  <c r="HK29" i="16516" s="1"/>
  <c r="EZ26" i="16516"/>
  <c r="EZ25" i="16516"/>
  <c r="EZ24" i="16516"/>
  <c r="EZ23" i="16516"/>
  <c r="EZ22" i="16516"/>
  <c r="EZ21" i="16516"/>
  <c r="EZ20" i="16516"/>
  <c r="EZ19" i="16516"/>
  <c r="EZ18" i="16516"/>
  <c r="EZ17" i="16516"/>
  <c r="EZ16" i="16516"/>
  <c r="EZ15" i="16516"/>
  <c r="EZ14" i="16516"/>
  <c r="EZ13" i="16516"/>
  <c r="EZ12" i="16516"/>
  <c r="EZ11" i="16516"/>
  <c r="EZ10" i="16516"/>
  <c r="EJ69" i="16516"/>
  <c r="EJ68" i="16516"/>
  <c r="EH68" i="16516"/>
  <c r="EJ65" i="16516"/>
  <c r="EJ63" i="16516"/>
  <c r="EJ62" i="16516"/>
  <c r="EJ60" i="16516"/>
  <c r="EJ59" i="16516"/>
  <c r="EJ58" i="16516"/>
  <c r="EJ57" i="16516"/>
  <c r="EJ54" i="16516"/>
  <c r="EJ53" i="16516"/>
  <c r="EJ52" i="16516"/>
  <c r="EJ50" i="16516"/>
  <c r="EJ49" i="16516"/>
  <c r="EJ48" i="16516"/>
  <c r="EJ47" i="16516"/>
  <c r="EJ45" i="16516"/>
  <c r="EJ44" i="16516"/>
  <c r="EJ42" i="16516"/>
  <c r="EJ40" i="16516"/>
  <c r="EJ39" i="16516"/>
  <c r="EJ38" i="16516"/>
  <c r="EJ36" i="16516"/>
  <c r="EJ34" i="16516"/>
  <c r="EJ32" i="16516"/>
  <c r="EJ31" i="16516"/>
  <c r="EJ30" i="16516"/>
  <c r="EJ29" i="16516"/>
  <c r="EJ26" i="16516"/>
  <c r="EJ25" i="16516"/>
  <c r="EJ24" i="16516"/>
  <c r="EJ23" i="16516"/>
  <c r="EJ22" i="16516"/>
  <c r="EJ21" i="16516"/>
  <c r="EJ20" i="16516"/>
  <c r="EJ19" i="16516"/>
  <c r="EJ18" i="16516"/>
  <c r="EJ17" i="16516"/>
  <c r="EJ16" i="16516"/>
  <c r="EJ15" i="16516"/>
  <c r="EJ14" i="16516"/>
  <c r="EJ13" i="16516"/>
  <c r="EJ12" i="16516"/>
  <c r="EJ11" i="16516"/>
  <c r="EJ10" i="16516"/>
  <c r="EH8" i="16516"/>
  <c r="GL8" i="16516" s="1"/>
  <c r="EB69" i="16516"/>
  <c r="EB68" i="16516"/>
  <c r="DZ68" i="16516"/>
  <c r="EB65" i="16516"/>
  <c r="EB63" i="16516"/>
  <c r="EB62" i="16516"/>
  <c r="EB60" i="16516"/>
  <c r="EB59" i="16516"/>
  <c r="EB58" i="16516"/>
  <c r="EB57" i="16516"/>
  <c r="EB54" i="16516"/>
  <c r="EB53" i="16516"/>
  <c r="EB52" i="16516"/>
  <c r="EB50" i="16516"/>
  <c r="EB49" i="16516"/>
  <c r="EB48" i="16516"/>
  <c r="EB47" i="16516"/>
  <c r="EB45" i="16516"/>
  <c r="EB44" i="16516"/>
  <c r="EB42" i="16516"/>
  <c r="EB40" i="16516"/>
  <c r="EB39" i="16516"/>
  <c r="EB38" i="16516"/>
  <c r="EB36" i="16516"/>
  <c r="EB34" i="16516"/>
  <c r="EB32" i="16516"/>
  <c r="EB31" i="16516"/>
  <c r="EB30" i="16516"/>
  <c r="EB29" i="16516"/>
  <c r="EA29" i="16516"/>
  <c r="GE29" i="16516" s="1"/>
  <c r="EB26" i="16516"/>
  <c r="EB25" i="16516"/>
  <c r="EB24" i="16516"/>
  <c r="EB23" i="16516"/>
  <c r="EB22" i="16516"/>
  <c r="EB21" i="16516"/>
  <c r="EB20" i="16516"/>
  <c r="EB19" i="16516"/>
  <c r="EB18" i="16516"/>
  <c r="EB17" i="16516"/>
  <c r="EB16" i="16516"/>
  <c r="EB15" i="16516"/>
  <c r="EB14" i="16516"/>
  <c r="EB13" i="16516"/>
  <c r="EB12" i="16516"/>
  <c r="EB11" i="16516"/>
  <c r="EB10" i="16516"/>
  <c r="DZ8" i="16516"/>
  <c r="GD8" i="16516" s="1"/>
  <c r="DT69" i="16516"/>
  <c r="DT68" i="16516"/>
  <c r="DR68" i="16516"/>
  <c r="DT65" i="16516"/>
  <c r="DT63" i="16516"/>
  <c r="DT62" i="16516"/>
  <c r="DT60" i="16516"/>
  <c r="DT59" i="16516"/>
  <c r="DT58" i="16516"/>
  <c r="DT57" i="16516"/>
  <c r="DT54" i="16516"/>
  <c r="DT53" i="16516"/>
  <c r="DT52" i="16516"/>
  <c r="DT50" i="16516"/>
  <c r="DT49" i="16516"/>
  <c r="DT48" i="16516"/>
  <c r="DT47" i="16516"/>
  <c r="DT45" i="16516"/>
  <c r="DT44" i="16516"/>
  <c r="DT42" i="16516"/>
  <c r="DT40" i="16516"/>
  <c r="DT39" i="16516"/>
  <c r="DT38" i="16516"/>
  <c r="DT36" i="16516"/>
  <c r="DT34" i="16516"/>
  <c r="DT32" i="16516"/>
  <c r="DT31" i="16516"/>
  <c r="DT30" i="16516"/>
  <c r="DT29" i="16516"/>
  <c r="DT26" i="16516"/>
  <c r="DT25" i="16516"/>
  <c r="DT24" i="16516"/>
  <c r="DT23" i="16516"/>
  <c r="DT22" i="16516"/>
  <c r="DT21" i="16516"/>
  <c r="DT20" i="16516"/>
  <c r="DT19" i="16516"/>
  <c r="DT18" i="16516"/>
  <c r="DT17" i="16516"/>
  <c r="DT16" i="16516"/>
  <c r="DT15" i="16516"/>
  <c r="DT14" i="16516"/>
  <c r="DT13" i="16516"/>
  <c r="DT12" i="16516"/>
  <c r="DT11" i="16516"/>
  <c r="DT10" i="16516"/>
  <c r="DR8" i="16516"/>
  <c r="FV8" i="16516" s="1"/>
  <c r="IH8" i="16516" s="1"/>
  <c r="DL69" i="16516"/>
  <c r="DJ69" i="16516"/>
  <c r="FN69" i="16516" s="1"/>
  <c r="HZ69" i="16516" s="1"/>
  <c r="DL68" i="16516"/>
  <c r="DJ68" i="16516"/>
  <c r="DJ67" i="16516"/>
  <c r="FN67" i="16516" s="1"/>
  <c r="HZ67" i="16516" s="1"/>
  <c r="DL65" i="16516"/>
  <c r="DL63" i="16516"/>
  <c r="DL62" i="16516"/>
  <c r="FO61" i="16516"/>
  <c r="IA61" i="16516" s="1"/>
  <c r="DJ61" i="16516"/>
  <c r="FN61" i="16516" s="1"/>
  <c r="HZ61" i="16516" s="1"/>
  <c r="DL60" i="16516"/>
  <c r="DL59" i="16516"/>
  <c r="DL58" i="16516"/>
  <c r="DL57" i="16516"/>
  <c r="DJ56" i="16516"/>
  <c r="FN56" i="16516" s="1"/>
  <c r="HZ56" i="16516" s="1"/>
  <c r="DL54" i="16516"/>
  <c r="DL53" i="16516"/>
  <c r="DL52" i="16516"/>
  <c r="DJ51" i="16516"/>
  <c r="FN51" i="16516" s="1"/>
  <c r="HZ51" i="16516" s="1"/>
  <c r="DL50" i="16516"/>
  <c r="DL49" i="16516"/>
  <c r="DL48" i="16516"/>
  <c r="DL47" i="16516"/>
  <c r="DL45" i="16516"/>
  <c r="DL44" i="16516"/>
  <c r="DL42" i="16516"/>
  <c r="FO41" i="16516"/>
  <c r="IA41" i="16516" s="1"/>
  <c r="DJ41" i="16516"/>
  <c r="FN41" i="16516" s="1"/>
  <c r="HZ41" i="16516" s="1"/>
  <c r="DL40" i="16516"/>
  <c r="DL39" i="16516"/>
  <c r="DL38" i="16516"/>
  <c r="DJ37" i="16516"/>
  <c r="FN37" i="16516" s="1"/>
  <c r="HZ37" i="16516" s="1"/>
  <c r="DL36" i="16516"/>
  <c r="DL34" i="16516"/>
  <c r="DJ33" i="16516"/>
  <c r="FN33" i="16516" s="1"/>
  <c r="HZ33" i="16516" s="1"/>
  <c r="DL32" i="16516"/>
  <c r="DL31" i="16516"/>
  <c r="DL30" i="16516"/>
  <c r="DL29" i="16516"/>
  <c r="DJ28" i="16516"/>
  <c r="FN28" i="16516" s="1"/>
  <c r="HZ28" i="16516" s="1"/>
  <c r="DJ27" i="16516"/>
  <c r="FN27" i="16516" s="1"/>
  <c r="HZ27" i="16516" s="1"/>
  <c r="DL26" i="16516"/>
  <c r="DL25" i="16516"/>
  <c r="DL24" i="16516"/>
  <c r="DL23" i="16516"/>
  <c r="DL22" i="16516"/>
  <c r="DL21" i="16516"/>
  <c r="DL20" i="16516"/>
  <c r="DL19" i="16516"/>
  <c r="DL18" i="16516"/>
  <c r="DL17" i="16516"/>
  <c r="DL16" i="16516"/>
  <c r="DL15" i="16516"/>
  <c r="DL14" i="16516"/>
  <c r="DL13" i="16516"/>
  <c r="DL12" i="16516"/>
  <c r="DL11" i="16516"/>
  <c r="DL10" i="16516"/>
  <c r="DJ8" i="16516"/>
  <c r="FN8" i="16516" s="1"/>
  <c r="HZ8" i="16516" s="1"/>
  <c r="DD69" i="16516"/>
  <c r="DB69" i="16516"/>
  <c r="FF69" i="16516" s="1"/>
  <c r="HR69" i="16516" s="1"/>
  <c r="DD68" i="16516"/>
  <c r="DB68" i="16516"/>
  <c r="DB67" i="16516"/>
  <c r="FF67" i="16516" s="1"/>
  <c r="HR67" i="16516" s="1"/>
  <c r="DD65" i="16516"/>
  <c r="DD63" i="16516"/>
  <c r="DD62" i="16516"/>
  <c r="DB61" i="16516"/>
  <c r="FF61" i="16516" s="1"/>
  <c r="HR61" i="16516" s="1"/>
  <c r="DD60" i="16516"/>
  <c r="DD59" i="16516"/>
  <c r="DD58" i="16516"/>
  <c r="DD57" i="16516"/>
  <c r="DB56" i="16516"/>
  <c r="FF56" i="16516" s="1"/>
  <c r="HR56" i="16516" s="1"/>
  <c r="DD54" i="16516"/>
  <c r="DD53" i="16516"/>
  <c r="DD52" i="16516"/>
  <c r="FG51" i="16516"/>
  <c r="HS51" i="16516" s="1"/>
  <c r="DB51" i="16516"/>
  <c r="EH51" i="16516" s="1"/>
  <c r="GL51" i="16516" s="1"/>
  <c r="DD50" i="16516"/>
  <c r="DD49" i="16516"/>
  <c r="DD48" i="16516"/>
  <c r="DD47" i="16516"/>
  <c r="DD45" i="16516"/>
  <c r="DD44" i="16516"/>
  <c r="DD42" i="16516"/>
  <c r="DB41" i="16516"/>
  <c r="FF41" i="16516" s="1"/>
  <c r="HR41" i="16516" s="1"/>
  <c r="DD40" i="16516"/>
  <c r="DD39" i="16516"/>
  <c r="DD38" i="16516"/>
  <c r="DB37" i="16516"/>
  <c r="EH37" i="16516" s="1"/>
  <c r="GL37" i="16516" s="1"/>
  <c r="DD36" i="16516"/>
  <c r="DD34" i="16516"/>
  <c r="DB33" i="16516"/>
  <c r="EH33" i="16516" s="1"/>
  <c r="GL33" i="16516" s="1"/>
  <c r="DD32" i="16516"/>
  <c r="DD31" i="16516"/>
  <c r="DD30" i="16516"/>
  <c r="DD29" i="16516"/>
  <c r="DB28" i="16516"/>
  <c r="FF28" i="16516" s="1"/>
  <c r="HR28" i="16516" s="1"/>
  <c r="DB27" i="16516"/>
  <c r="EH27" i="16516" s="1"/>
  <c r="GL27" i="16516" s="1"/>
  <c r="DD26" i="16516"/>
  <c r="DD25" i="16516"/>
  <c r="DD24" i="16516"/>
  <c r="DD23" i="16516"/>
  <c r="DD22" i="16516"/>
  <c r="DD21" i="16516"/>
  <c r="DD20" i="16516"/>
  <c r="DD19" i="16516"/>
  <c r="DD18" i="16516"/>
  <c r="DD17" i="16516"/>
  <c r="DD16" i="16516"/>
  <c r="DD15" i="16516"/>
  <c r="DD14" i="16516"/>
  <c r="DD13" i="16516"/>
  <c r="DD12" i="16516"/>
  <c r="DD11" i="16516"/>
  <c r="DD10" i="16516"/>
  <c r="DB8" i="16516"/>
  <c r="FF8" i="16516" s="1"/>
  <c r="HR8" i="16516" s="1"/>
  <c r="CV69" i="16516"/>
  <c r="CT69" i="16516"/>
  <c r="EX69" i="16516" s="1"/>
  <c r="HJ69" i="16516" s="1"/>
  <c r="CV68" i="16516"/>
  <c r="CT68" i="16516"/>
  <c r="CT67" i="16516"/>
  <c r="EX67" i="16516" s="1"/>
  <c r="HJ67" i="16516" s="1"/>
  <c r="CV65" i="16516"/>
  <c r="CV63" i="16516"/>
  <c r="CV62" i="16516"/>
  <c r="CT61" i="16516"/>
  <c r="DZ61" i="16516" s="1"/>
  <c r="GD61" i="16516" s="1"/>
  <c r="CV60" i="16516"/>
  <c r="CV59" i="16516"/>
  <c r="CV58" i="16516"/>
  <c r="CV57" i="16516"/>
  <c r="EA56" i="16516"/>
  <c r="GE56" i="16516" s="1"/>
  <c r="CT56" i="16516"/>
  <c r="EX56" i="16516" s="1"/>
  <c r="HJ56" i="16516" s="1"/>
  <c r="CV54" i="16516"/>
  <c r="CV53" i="16516"/>
  <c r="CV52" i="16516"/>
  <c r="CT51" i="16516"/>
  <c r="DZ51" i="16516" s="1"/>
  <c r="GD51" i="16516" s="1"/>
  <c r="CV50" i="16516"/>
  <c r="CV49" i="16516"/>
  <c r="CV48" i="16516"/>
  <c r="CV47" i="16516"/>
  <c r="CV45" i="16516"/>
  <c r="CV44" i="16516"/>
  <c r="CV42" i="16516"/>
  <c r="CT41" i="16516"/>
  <c r="DZ41" i="16516" s="1"/>
  <c r="GD41" i="16516" s="1"/>
  <c r="CV40" i="16516"/>
  <c r="CV39" i="16516"/>
  <c r="CV38" i="16516"/>
  <c r="CT37" i="16516"/>
  <c r="EX37" i="16516" s="1"/>
  <c r="HJ37" i="16516" s="1"/>
  <c r="CV36" i="16516"/>
  <c r="CV34" i="16516"/>
  <c r="CT33" i="16516"/>
  <c r="EX33" i="16516" s="1"/>
  <c r="HJ33" i="16516" s="1"/>
  <c r="CV32" i="16516"/>
  <c r="CV31" i="16516"/>
  <c r="CV30" i="16516"/>
  <c r="CV29" i="16516"/>
  <c r="CT28" i="16516"/>
  <c r="DZ28" i="16516" s="1"/>
  <c r="GD28" i="16516" s="1"/>
  <c r="CT27" i="16516"/>
  <c r="EX27" i="16516" s="1"/>
  <c r="HJ27" i="16516" s="1"/>
  <c r="CV26" i="16516"/>
  <c r="CV25" i="16516"/>
  <c r="CV24" i="16516"/>
  <c r="CV23" i="16516"/>
  <c r="CV22" i="16516"/>
  <c r="CV21" i="16516"/>
  <c r="CV20" i="16516"/>
  <c r="CV19" i="16516"/>
  <c r="CV18" i="16516"/>
  <c r="CV17" i="16516"/>
  <c r="CV16" i="16516"/>
  <c r="CV15" i="16516"/>
  <c r="CV14" i="16516"/>
  <c r="CV13" i="16516"/>
  <c r="CV12" i="16516"/>
  <c r="CV11" i="16516"/>
  <c r="CV10" i="16516"/>
  <c r="CT8" i="16516"/>
  <c r="EA8" i="16516" s="1"/>
  <c r="GE8" i="16516" s="1"/>
  <c r="FO69" i="16516"/>
  <c r="IA69" i="16516" s="1"/>
  <c r="CF68" i="16516"/>
  <c r="FO67" i="16516"/>
  <c r="IA67" i="16516" s="1"/>
  <c r="CF65" i="16516"/>
  <c r="CF63" i="16516"/>
  <c r="CF62" i="16516"/>
  <c r="CF60" i="16516"/>
  <c r="CF59" i="16516"/>
  <c r="CF58" i="16516"/>
  <c r="CF57" i="16516"/>
  <c r="FO56" i="16516"/>
  <c r="IA56" i="16516" s="1"/>
  <c r="CF54" i="16516"/>
  <c r="CF53" i="16516"/>
  <c r="CF52" i="16516"/>
  <c r="FO51" i="16516"/>
  <c r="IA51" i="16516" s="1"/>
  <c r="CF50" i="16516"/>
  <c r="CF49" i="16516"/>
  <c r="CF48" i="16516"/>
  <c r="CF47" i="16516"/>
  <c r="CF45" i="16516"/>
  <c r="CF44" i="16516"/>
  <c r="CF42" i="16516"/>
  <c r="CF40" i="16516"/>
  <c r="CF39" i="16516"/>
  <c r="CF38" i="16516"/>
  <c r="FO37" i="16516"/>
  <c r="IA37" i="16516" s="1"/>
  <c r="CF36" i="16516"/>
  <c r="CF34" i="16516"/>
  <c r="FO33" i="16516"/>
  <c r="IA33" i="16516" s="1"/>
  <c r="CF32" i="16516"/>
  <c r="CF31" i="16516"/>
  <c r="CF30" i="16516"/>
  <c r="CF29" i="16516"/>
  <c r="FO29" i="16516"/>
  <c r="IA29" i="16516" s="1"/>
  <c r="CE27" i="16516"/>
  <c r="DK27" i="16516" s="1"/>
  <c r="FO27" i="16516" s="1"/>
  <c r="IA27" i="16516" s="1"/>
  <c r="CF26" i="16516"/>
  <c r="CF25" i="16516"/>
  <c r="CF24" i="16516"/>
  <c r="CF23" i="16516"/>
  <c r="CF22" i="16516"/>
  <c r="CF21" i="16516"/>
  <c r="CF20" i="16516"/>
  <c r="CF19" i="16516"/>
  <c r="CF18" i="16516"/>
  <c r="CF17" i="16516"/>
  <c r="CF16" i="16516"/>
  <c r="CF15" i="16516"/>
  <c r="CF14" i="16516"/>
  <c r="CF13" i="16516"/>
  <c r="CF12" i="16516"/>
  <c r="CF11" i="16516"/>
  <c r="CF10" i="16516"/>
  <c r="CE9" i="16516"/>
  <c r="DK9" i="16516" s="1"/>
  <c r="FO9" i="16516" s="1"/>
  <c r="IA9" i="16516" s="1"/>
  <c r="CE8" i="16516"/>
  <c r="CD8" i="16516"/>
  <c r="DK8" i="16516" s="1"/>
  <c r="FO8" i="16516" s="1"/>
  <c r="IA8" i="16516" s="1"/>
  <c r="BX68" i="16516"/>
  <c r="BX65" i="16516"/>
  <c r="BX63" i="16516"/>
  <c r="BX62" i="16516"/>
  <c r="BX60" i="16516"/>
  <c r="BX59" i="16516"/>
  <c r="BX58" i="16516"/>
  <c r="BX57" i="16516"/>
  <c r="BX54" i="16516"/>
  <c r="BX53" i="16516"/>
  <c r="BX52" i="16516"/>
  <c r="BX50" i="16516"/>
  <c r="BX49" i="16516"/>
  <c r="BX48" i="16516"/>
  <c r="BX47" i="16516"/>
  <c r="BX45" i="16516"/>
  <c r="BX44" i="16516"/>
  <c r="BX42" i="16516"/>
  <c r="BX40" i="16516"/>
  <c r="BX39" i="16516"/>
  <c r="BX38" i="16516"/>
  <c r="BX36" i="16516"/>
  <c r="BX34" i="16516"/>
  <c r="BX32" i="16516"/>
  <c r="BX31" i="16516"/>
  <c r="BX30" i="16516"/>
  <c r="BX29" i="16516"/>
  <c r="BW27" i="16516"/>
  <c r="DC27" i="16516" s="1"/>
  <c r="BX26" i="16516"/>
  <c r="BX25" i="16516"/>
  <c r="BX24" i="16516"/>
  <c r="BX23" i="16516"/>
  <c r="BX22" i="16516"/>
  <c r="BX21" i="16516"/>
  <c r="BX20" i="16516"/>
  <c r="BX19" i="16516"/>
  <c r="BX18" i="16516"/>
  <c r="BX17" i="16516"/>
  <c r="BX16" i="16516"/>
  <c r="BX15" i="16516"/>
  <c r="BX14" i="16516"/>
  <c r="BX13" i="16516"/>
  <c r="BX12" i="16516"/>
  <c r="BX11" i="16516"/>
  <c r="BX10" i="16516"/>
  <c r="BW9" i="16516"/>
  <c r="DC9" i="16516" s="1"/>
  <c r="BW8" i="16516"/>
  <c r="BV8" i="16516"/>
  <c r="DC8" i="16516" s="1"/>
  <c r="FG8" i="16516" s="1"/>
  <c r="HS8" i="16516" s="1"/>
  <c r="BP68" i="16516"/>
  <c r="BP65" i="16516"/>
  <c r="BP63" i="16516"/>
  <c r="BP62" i="16516"/>
  <c r="BP60" i="16516"/>
  <c r="BP59" i="16516"/>
  <c r="BP58" i="16516"/>
  <c r="BP57" i="16516"/>
  <c r="BP54" i="16516"/>
  <c r="BP53" i="16516"/>
  <c r="BP52" i="16516"/>
  <c r="BP50" i="16516"/>
  <c r="BP49" i="16516"/>
  <c r="BP48" i="16516"/>
  <c r="BP47" i="16516"/>
  <c r="BP45" i="16516"/>
  <c r="BP44" i="16516"/>
  <c r="BP42" i="16516"/>
  <c r="BP40" i="16516"/>
  <c r="BP39" i="16516"/>
  <c r="BP38" i="16516"/>
  <c r="BP36" i="16516"/>
  <c r="BP34" i="16516"/>
  <c r="BP32" i="16516"/>
  <c r="BP31" i="16516"/>
  <c r="BP30" i="16516"/>
  <c r="BP29" i="16516"/>
  <c r="BO27" i="16516"/>
  <c r="CU27" i="16516" s="1"/>
  <c r="BP26" i="16516"/>
  <c r="BP25" i="16516"/>
  <c r="BP24" i="16516"/>
  <c r="BP23" i="16516"/>
  <c r="BP22" i="16516"/>
  <c r="BP21" i="16516"/>
  <c r="BP20" i="16516"/>
  <c r="BP19" i="16516"/>
  <c r="BP18" i="16516"/>
  <c r="BP17" i="16516"/>
  <c r="BP16" i="16516"/>
  <c r="BP15" i="16516"/>
  <c r="BP14" i="16516"/>
  <c r="BP13" i="16516"/>
  <c r="BP12" i="16516"/>
  <c r="BP11" i="16516"/>
  <c r="BP10" i="16516"/>
  <c r="BO9" i="16516"/>
  <c r="CU9" i="16516" s="1"/>
  <c r="BO8" i="16516"/>
  <c r="BN8" i="16516"/>
  <c r="CU8" i="16516" s="1"/>
  <c r="EY8" i="16516" s="1"/>
  <c r="HK8" i="16516" s="1"/>
  <c r="AR70" i="16516"/>
  <c r="AP70" i="16516"/>
  <c r="AR68" i="16516"/>
  <c r="AR65" i="16516"/>
  <c r="AR63" i="16516"/>
  <c r="AR62" i="16516"/>
  <c r="AR60" i="16516"/>
  <c r="AR59" i="16516"/>
  <c r="AP59" i="16516"/>
  <c r="AR58" i="16516"/>
  <c r="AR57" i="16516"/>
  <c r="AR54" i="16516"/>
  <c r="AR53" i="16516"/>
  <c r="AR52" i="16516"/>
  <c r="AR50" i="16516"/>
  <c r="AR49" i="16516"/>
  <c r="AR48" i="16516"/>
  <c r="AR47" i="16516"/>
  <c r="AR45" i="16516"/>
  <c r="AR44" i="16516"/>
  <c r="AR42" i="16516"/>
  <c r="AR40" i="16516"/>
  <c r="AR39" i="16516"/>
  <c r="AR38" i="16516"/>
  <c r="AR36" i="16516"/>
  <c r="AR34" i="16516"/>
  <c r="AR32" i="16516"/>
  <c r="AR31" i="16516"/>
  <c r="AR30" i="16516"/>
  <c r="AR29" i="16516"/>
  <c r="AR26" i="16516"/>
  <c r="AR25" i="16516"/>
  <c r="AR24" i="16516"/>
  <c r="AR23" i="16516"/>
  <c r="AR22" i="16516"/>
  <c r="AR21" i="16516"/>
  <c r="AR20" i="16516"/>
  <c r="AR19" i="16516"/>
  <c r="AR18" i="16516"/>
  <c r="AR17" i="16516"/>
  <c r="AR16" i="16516"/>
  <c r="AR15" i="16516"/>
  <c r="AR14" i="16516"/>
  <c r="AR13" i="16516"/>
  <c r="AR12" i="16516"/>
  <c r="AR11" i="16516"/>
  <c r="AR10" i="16516"/>
  <c r="AJ70" i="16516"/>
  <c r="AS70" i="16516" s="1"/>
  <c r="AH70" i="16516"/>
  <c r="AJ68" i="16516"/>
  <c r="AJ65" i="16516"/>
  <c r="AJ63" i="16516"/>
  <c r="AJ62" i="16516"/>
  <c r="AJ60" i="16516"/>
  <c r="AJ59" i="16516"/>
  <c r="AH59" i="16516"/>
  <c r="AJ58" i="16516"/>
  <c r="AJ57" i="16516"/>
  <c r="AJ54" i="16516"/>
  <c r="AJ53" i="16516"/>
  <c r="AJ52" i="16516"/>
  <c r="AJ50" i="16516"/>
  <c r="AJ49" i="16516"/>
  <c r="AJ48" i="16516"/>
  <c r="AJ47" i="16516"/>
  <c r="AJ45" i="16516"/>
  <c r="AJ44" i="16516"/>
  <c r="AJ42" i="16516"/>
  <c r="AJ40" i="16516"/>
  <c r="AJ39" i="16516"/>
  <c r="AJ38" i="16516"/>
  <c r="AJ36" i="16516"/>
  <c r="AJ34" i="16516"/>
  <c r="AJ32" i="16516"/>
  <c r="AJ31" i="16516"/>
  <c r="AJ30" i="16516"/>
  <c r="AJ29" i="16516"/>
  <c r="AJ26" i="16516"/>
  <c r="AJ25" i="16516"/>
  <c r="AJ24" i="16516"/>
  <c r="AJ23" i="16516"/>
  <c r="AJ22" i="16516"/>
  <c r="AJ21" i="16516"/>
  <c r="AJ20" i="16516"/>
  <c r="AJ19" i="16516"/>
  <c r="AJ18" i="16516"/>
  <c r="AJ17" i="16516"/>
  <c r="AJ16" i="16516"/>
  <c r="AJ15" i="16516"/>
  <c r="AJ14" i="16516"/>
  <c r="AJ13" i="16516"/>
  <c r="AJ12" i="16516"/>
  <c r="AJ11" i="16516"/>
  <c r="AJ10" i="16516"/>
  <c r="AB70" i="16516"/>
  <c r="AB68" i="16516"/>
  <c r="AB65" i="16516"/>
  <c r="AB63" i="16516"/>
  <c r="AB62" i="16516"/>
  <c r="AB60" i="16516"/>
  <c r="AB59" i="16516"/>
  <c r="Z59" i="16516"/>
  <c r="AB58" i="16516"/>
  <c r="AB57" i="16516"/>
  <c r="AB54" i="16516"/>
  <c r="AB53" i="16516"/>
  <c r="AB52" i="16516"/>
  <c r="AB50" i="16516"/>
  <c r="AB49" i="16516"/>
  <c r="AB48" i="16516"/>
  <c r="AB47" i="16516"/>
  <c r="AB45" i="16516"/>
  <c r="AB44" i="16516"/>
  <c r="AB42" i="16516"/>
  <c r="AB40" i="16516"/>
  <c r="AB39" i="16516"/>
  <c r="AB38" i="16516"/>
  <c r="AB36" i="16516"/>
  <c r="AB34" i="16516"/>
  <c r="AB32" i="16516"/>
  <c r="AB31" i="16516"/>
  <c r="AB30" i="16516"/>
  <c r="AB29" i="16516"/>
  <c r="AB26" i="16516"/>
  <c r="AB25" i="16516"/>
  <c r="AB24" i="16516"/>
  <c r="AB23" i="16516"/>
  <c r="AB22" i="16516"/>
  <c r="AB21" i="16516"/>
  <c r="AB20" i="16516"/>
  <c r="AB19" i="16516"/>
  <c r="AB18" i="16516"/>
  <c r="AB17" i="16516"/>
  <c r="AB16" i="16516"/>
  <c r="AB15" i="16516"/>
  <c r="AB14" i="16516"/>
  <c r="AB13" i="16516"/>
  <c r="AB12" i="16516"/>
  <c r="AB11" i="16516"/>
  <c r="AB10" i="16516"/>
  <c r="EX8" i="16516" l="1"/>
  <c r="HJ8" i="16516" s="1"/>
  <c r="FF27" i="16516"/>
  <c r="HR27" i="16516" s="1"/>
  <c r="EX51" i="16516"/>
  <c r="HJ51" i="16516" s="1"/>
  <c r="FF51" i="16516"/>
  <c r="HR51" i="16516" s="1"/>
  <c r="FG29" i="16516"/>
  <c r="HS29" i="16516" s="1"/>
  <c r="EI29" i="16516"/>
  <c r="GM29" i="16516" s="1"/>
  <c r="FG41" i="16516"/>
  <c r="HS41" i="16516" s="1"/>
  <c r="EI41" i="16516"/>
  <c r="GM41" i="16516" s="1"/>
  <c r="EY9" i="16516"/>
  <c r="HK9" i="16516" s="1"/>
  <c r="EA9" i="16516"/>
  <c r="GE9" i="16516" s="1"/>
  <c r="EY37" i="16516"/>
  <c r="HK37" i="16516" s="1"/>
  <c r="EA37" i="16516"/>
  <c r="GE37" i="16516" s="1"/>
  <c r="EY51" i="16516"/>
  <c r="HK51" i="16516" s="1"/>
  <c r="EA51" i="16516"/>
  <c r="GE51" i="16516" s="1"/>
  <c r="EY69" i="16516"/>
  <c r="HK69" i="16516" s="1"/>
  <c r="EA69" i="16516"/>
  <c r="GE69" i="16516" s="1"/>
  <c r="EY33" i="16516"/>
  <c r="HK33" i="16516" s="1"/>
  <c r="EA33" i="16516"/>
  <c r="GE33" i="16516" s="1"/>
  <c r="EA61" i="16516"/>
  <c r="GE61" i="16516" s="1"/>
  <c r="EY61" i="16516"/>
  <c r="HK61" i="16516" s="1"/>
  <c r="EI27" i="16516"/>
  <c r="GM27" i="16516" s="1"/>
  <c r="FG27" i="16516"/>
  <c r="HS27" i="16516" s="1"/>
  <c r="EI56" i="16516"/>
  <c r="GM56" i="16516" s="1"/>
  <c r="FG56" i="16516"/>
  <c r="HS56" i="16516" s="1"/>
  <c r="EI69" i="16516"/>
  <c r="GM69" i="16516" s="1"/>
  <c r="FG69" i="16516"/>
  <c r="HS69" i="16516" s="1"/>
  <c r="EA27" i="16516"/>
  <c r="GE27" i="16516" s="1"/>
  <c r="EY27" i="16516"/>
  <c r="HK27" i="16516" s="1"/>
  <c r="EI9" i="16516"/>
  <c r="GM9" i="16516" s="1"/>
  <c r="FG9" i="16516"/>
  <c r="HS9" i="16516" s="1"/>
  <c r="EI33" i="16516"/>
  <c r="GM33" i="16516" s="1"/>
  <c r="FG33" i="16516"/>
  <c r="HS33" i="16516" s="1"/>
  <c r="FG61" i="16516"/>
  <c r="HS61" i="16516" s="1"/>
  <c r="EI61" i="16516"/>
  <c r="GM61" i="16516" s="1"/>
  <c r="EA67" i="16516"/>
  <c r="GE67" i="16516" s="1"/>
  <c r="EY67" i="16516"/>
  <c r="HK67" i="16516" s="1"/>
  <c r="EI37" i="16516"/>
  <c r="GM37" i="16516" s="1"/>
  <c r="FG37" i="16516"/>
  <c r="HS37" i="16516" s="1"/>
  <c r="EA41" i="16516"/>
  <c r="GE41" i="16516" s="1"/>
  <c r="EY41" i="16516"/>
  <c r="HK41" i="16516" s="1"/>
  <c r="FG67" i="16516"/>
  <c r="HS67" i="16516" s="1"/>
  <c r="EI67" i="16516"/>
  <c r="GM67" i="16516" s="1"/>
  <c r="DZ37" i="16516"/>
  <c r="GD37" i="16516" s="1"/>
  <c r="EI51" i="16516"/>
  <c r="GM51" i="16516" s="1"/>
  <c r="EH56" i="16516"/>
  <c r="GL56" i="16516" s="1"/>
  <c r="EX28" i="16516"/>
  <c r="HJ28" i="16516" s="1"/>
  <c r="EY56" i="16516"/>
  <c r="HK56" i="16516" s="1"/>
  <c r="DZ56" i="16516"/>
  <c r="GD56" i="16516" s="1"/>
  <c r="EH28" i="16516"/>
  <c r="GL28" i="16516" s="1"/>
  <c r="EX41" i="16516"/>
  <c r="HJ41" i="16516" s="1"/>
  <c r="EX61" i="16516"/>
  <c r="HJ61" i="16516" s="1"/>
  <c r="FF33" i="16516"/>
  <c r="HR33" i="16516" s="1"/>
  <c r="FF37" i="16516"/>
  <c r="HR37" i="16516" s="1"/>
  <c r="DZ67" i="16516"/>
  <c r="GD67" i="16516" s="1"/>
  <c r="DZ69" i="16516"/>
  <c r="GD69" i="16516" s="1"/>
  <c r="DZ27" i="16516"/>
  <c r="GD27" i="16516" s="1"/>
  <c r="EI8" i="16516"/>
  <c r="GM8" i="16516" s="1"/>
  <c r="EH67" i="16516"/>
  <c r="GL67" i="16516" s="1"/>
  <c r="EH69" i="16516"/>
  <c r="GL69" i="16516" s="1"/>
  <c r="DZ33" i="16516"/>
  <c r="GD33" i="16516" s="1"/>
  <c r="EH41" i="16516"/>
  <c r="GL41" i="16516" s="1"/>
  <c r="EH61" i="16516"/>
  <c r="GL61" i="16516" s="1"/>
  <c r="CX68" i="16516"/>
  <c r="ED68" i="16516"/>
  <c r="DV68" i="16516"/>
  <c r="DN68" i="16516"/>
  <c r="DF68" i="16516"/>
  <c r="EL68" i="16516"/>
  <c r="EG118" i="16457"/>
  <c r="EF118" i="16457"/>
  <c r="EE118" i="16457"/>
  <c r="ED118" i="16457"/>
  <c r="EC118" i="16457"/>
  <c r="EB118" i="16457"/>
  <c r="EA118" i="16457"/>
  <c r="DZ118" i="16457"/>
  <c r="DY118" i="16457"/>
  <c r="DX118" i="16457"/>
  <c r="DW118" i="16457"/>
  <c r="DV118" i="16457"/>
  <c r="DU118" i="16457"/>
  <c r="DT118" i="16457"/>
  <c r="DS118" i="16457"/>
  <c r="DR118" i="16457"/>
  <c r="DQ118" i="16457"/>
  <c r="DP118" i="16457"/>
  <c r="DO118" i="16457"/>
  <c r="DN118" i="16457"/>
  <c r="DM118" i="16457"/>
  <c r="DL118" i="16457"/>
  <c r="DK118" i="16457"/>
  <c r="DJ118" i="16457"/>
  <c r="DI118" i="16457"/>
  <c r="DH118" i="16457"/>
  <c r="DG118" i="16457"/>
  <c r="DF118" i="16457"/>
  <c r="DE118" i="16457"/>
  <c r="DD118" i="16457"/>
  <c r="DC118" i="16457"/>
  <c r="EG114" i="16457"/>
  <c r="EF114" i="16457"/>
  <c r="EE114" i="16457"/>
  <c r="ED114" i="16457"/>
  <c r="EC114" i="16457"/>
  <c r="EB114" i="16457"/>
  <c r="EA114" i="16457"/>
  <c r="DZ114" i="16457"/>
  <c r="DY114" i="16457"/>
  <c r="DX114" i="16457"/>
  <c r="DW114" i="16457"/>
  <c r="DV114" i="16457"/>
  <c r="DU114" i="16457"/>
  <c r="DT114" i="16457"/>
  <c r="DS114" i="16457"/>
  <c r="DR114" i="16457"/>
  <c r="DQ114" i="16457"/>
  <c r="DP114" i="16457"/>
  <c r="DO114" i="16457"/>
  <c r="DN114" i="16457"/>
  <c r="DM114" i="16457"/>
  <c r="DL114" i="16457"/>
  <c r="DK114" i="16457"/>
  <c r="DJ114" i="16457"/>
  <c r="DI114" i="16457"/>
  <c r="DH114" i="16457"/>
  <c r="DG114" i="16457"/>
  <c r="DF114" i="16457"/>
  <c r="DE114" i="16457"/>
  <c r="DD114" i="16457"/>
  <c r="EG107" i="16457"/>
  <c r="EF107" i="16457"/>
  <c r="EE107" i="16457"/>
  <c r="ED107" i="16457"/>
  <c r="EC107" i="16457"/>
  <c r="EB107" i="16457"/>
  <c r="EA107" i="16457"/>
  <c r="DZ107" i="16457"/>
  <c r="DY107" i="16457"/>
  <c r="DX107" i="16457"/>
  <c r="DW107" i="16457"/>
  <c r="DV107" i="16457"/>
  <c r="DU107" i="16457"/>
  <c r="DT107" i="16457"/>
  <c r="DS107" i="16457"/>
  <c r="DR107" i="16457"/>
  <c r="DQ107" i="16457"/>
  <c r="DP107" i="16457"/>
  <c r="DO107" i="16457"/>
  <c r="DN107" i="16457"/>
  <c r="DM107" i="16457"/>
  <c r="DL107" i="16457"/>
  <c r="DK107" i="16457"/>
  <c r="DJ107" i="16457"/>
  <c r="DI107" i="16457"/>
  <c r="DH107" i="16457"/>
  <c r="DG107" i="16457"/>
  <c r="DF107" i="16457"/>
  <c r="DE107" i="16457"/>
  <c r="DD107" i="16457"/>
  <c r="EG106" i="16457"/>
  <c r="EF106" i="16457"/>
  <c r="EE106" i="16457"/>
  <c r="ED106" i="16457"/>
  <c r="EC106" i="16457"/>
  <c r="EB106" i="16457"/>
  <c r="EA106" i="16457"/>
  <c r="DZ106" i="16457"/>
  <c r="DY106" i="16457"/>
  <c r="DX106" i="16457"/>
  <c r="DW106" i="16457"/>
  <c r="DV106" i="16457"/>
  <c r="DU106" i="16457"/>
  <c r="DT106" i="16457"/>
  <c r="DS106" i="16457"/>
  <c r="DR106" i="16457"/>
  <c r="DQ106" i="16457"/>
  <c r="DP106" i="16457"/>
  <c r="DO106" i="16457"/>
  <c r="DN106" i="16457"/>
  <c r="DM106" i="16457"/>
  <c r="DL106" i="16457"/>
  <c r="DK106" i="16457"/>
  <c r="DJ106" i="16457"/>
  <c r="DI106" i="16457"/>
  <c r="DH106" i="16457"/>
  <c r="DG106" i="16457"/>
  <c r="DF106" i="16457"/>
  <c r="DE106" i="16457"/>
  <c r="DD106" i="16457"/>
  <c r="EG104" i="16457"/>
  <c r="EF104" i="16457"/>
  <c r="EE104" i="16457"/>
  <c r="ED104" i="16457"/>
  <c r="EC104" i="16457"/>
  <c r="EB104" i="16457"/>
  <c r="EA104" i="16457"/>
  <c r="DZ104" i="16457"/>
  <c r="DY104" i="16457"/>
  <c r="DX104" i="16457"/>
  <c r="DW104" i="16457"/>
  <c r="DV104" i="16457"/>
  <c r="DU104" i="16457"/>
  <c r="DT104" i="16457"/>
  <c r="DS104" i="16457"/>
  <c r="DR104" i="16457"/>
  <c r="DQ104" i="16457"/>
  <c r="DP104" i="16457"/>
  <c r="DO104" i="16457"/>
  <c r="DN104" i="16457"/>
  <c r="DM104" i="16457"/>
  <c r="DL104" i="16457"/>
  <c r="DK104" i="16457"/>
  <c r="DJ104" i="16457"/>
  <c r="DI104" i="16457"/>
  <c r="DH104" i="16457"/>
  <c r="DG104" i="16457"/>
  <c r="DF104" i="16457"/>
  <c r="DE104" i="16457"/>
  <c r="DD104" i="16457"/>
  <c r="EG98" i="16457"/>
  <c r="EF98" i="16457"/>
  <c r="EE98" i="16457"/>
  <c r="ED98" i="16457"/>
  <c r="EC98" i="16457"/>
  <c r="EB98" i="16457"/>
  <c r="EA98" i="16457"/>
  <c r="DZ98" i="16457"/>
  <c r="DY98" i="16457"/>
  <c r="DX98" i="16457"/>
  <c r="DW98" i="16457"/>
  <c r="DV98" i="16457"/>
  <c r="DU98" i="16457"/>
  <c r="DT98" i="16457"/>
  <c r="DS98" i="16457"/>
  <c r="DR98" i="16457"/>
  <c r="DQ98" i="16457"/>
  <c r="DP98" i="16457"/>
  <c r="DO98" i="16457"/>
  <c r="DN98" i="16457"/>
  <c r="DM98" i="16457"/>
  <c r="DL98" i="16457"/>
  <c r="DK98" i="16457"/>
  <c r="DJ98" i="16457"/>
  <c r="DI98" i="16457"/>
  <c r="DH98" i="16457"/>
  <c r="DG98" i="16457"/>
  <c r="DF98" i="16457"/>
  <c r="DE98" i="16457"/>
  <c r="DD98" i="16457"/>
  <c r="EG93" i="16457"/>
  <c r="EF93" i="16457"/>
  <c r="EE93" i="16457"/>
  <c r="ED93" i="16457"/>
  <c r="EC93" i="16457"/>
  <c r="EB93" i="16457"/>
  <c r="EA93" i="16457"/>
  <c r="DZ93" i="16457"/>
  <c r="DY93" i="16457"/>
  <c r="DX93" i="16457"/>
  <c r="DW93" i="16457"/>
  <c r="DV93" i="16457"/>
  <c r="DU93" i="16457"/>
  <c r="DT93" i="16457"/>
  <c r="DS93" i="16457"/>
  <c r="DR93" i="16457"/>
  <c r="DQ93" i="16457"/>
  <c r="DP93" i="16457"/>
  <c r="DO93" i="16457"/>
  <c r="DN93" i="16457"/>
  <c r="DM93" i="16457"/>
  <c r="DL93" i="16457"/>
  <c r="DK93" i="16457"/>
  <c r="DJ93" i="16457"/>
  <c r="DI93" i="16457"/>
  <c r="DH93" i="16457"/>
  <c r="DG93" i="16457"/>
  <c r="DF93" i="16457"/>
  <c r="DE93" i="16457"/>
  <c r="DD93" i="16457"/>
  <c r="EG79" i="16457"/>
  <c r="EF79" i="16457"/>
  <c r="EE79" i="16457"/>
  <c r="ED79" i="16457"/>
  <c r="EC79" i="16457"/>
  <c r="EB79" i="16457"/>
  <c r="EA79" i="16457"/>
  <c r="DZ79" i="16457"/>
  <c r="DY79" i="16457"/>
  <c r="DX79" i="16457"/>
  <c r="DW79" i="16457"/>
  <c r="DV79" i="16457"/>
  <c r="DU79" i="16457"/>
  <c r="DT79" i="16457"/>
  <c r="DS79" i="16457"/>
  <c r="DR79" i="16457"/>
  <c r="DQ79" i="16457"/>
  <c r="DP79" i="16457"/>
  <c r="DO79" i="16457"/>
  <c r="DN79" i="16457"/>
  <c r="DM79" i="16457"/>
  <c r="DL79" i="16457"/>
  <c r="DK79" i="16457"/>
  <c r="DJ79" i="16457"/>
  <c r="DI79" i="16457"/>
  <c r="DH79" i="16457"/>
  <c r="DG79" i="16457"/>
  <c r="DF79" i="16457"/>
  <c r="DE79" i="16457"/>
  <c r="DD79" i="16457"/>
  <c r="DC79" i="16457"/>
  <c r="EG75" i="16457"/>
  <c r="EF75" i="16457"/>
  <c r="EE75" i="16457"/>
  <c r="ED75" i="16457"/>
  <c r="EC75" i="16457"/>
  <c r="EB75" i="16457"/>
  <c r="EA75" i="16457"/>
  <c r="DZ75" i="16457"/>
  <c r="DY75" i="16457"/>
  <c r="DX75" i="16457"/>
  <c r="DW75" i="16457"/>
  <c r="DV75" i="16457"/>
  <c r="DU75" i="16457"/>
  <c r="DT75" i="16457"/>
  <c r="DS75" i="16457"/>
  <c r="DR75" i="16457"/>
  <c r="DQ75" i="16457"/>
  <c r="DP75" i="16457"/>
  <c r="DO75" i="16457"/>
  <c r="DN75" i="16457"/>
  <c r="DM75" i="16457"/>
  <c r="DL75" i="16457"/>
  <c r="DK75" i="16457"/>
  <c r="DJ75" i="16457"/>
  <c r="DI75" i="16457"/>
  <c r="DH75" i="16457"/>
  <c r="DG75" i="16457"/>
  <c r="DF75" i="16457"/>
  <c r="DE75" i="16457"/>
  <c r="DD75" i="16457"/>
  <c r="EG73" i="16457"/>
  <c r="EF73" i="16457"/>
  <c r="EE73" i="16457"/>
  <c r="ED73" i="16457"/>
  <c r="EC73" i="16457"/>
  <c r="EB73" i="16457"/>
  <c r="EA73" i="16457"/>
  <c r="DZ73" i="16457"/>
  <c r="DY73" i="16457"/>
  <c r="DX73" i="16457"/>
  <c r="DW73" i="16457"/>
  <c r="DV73" i="16457"/>
  <c r="DU73" i="16457"/>
  <c r="DT73" i="16457"/>
  <c r="DS73" i="16457"/>
  <c r="DR73" i="16457"/>
  <c r="DQ73" i="16457"/>
  <c r="DP73" i="16457"/>
  <c r="DO73" i="16457"/>
  <c r="DN73" i="16457"/>
  <c r="DM73" i="16457"/>
  <c r="DL73" i="16457"/>
  <c r="DK73" i="16457"/>
  <c r="DJ73" i="16457"/>
  <c r="DI73" i="16457"/>
  <c r="DH73" i="16457"/>
  <c r="DG73" i="16457"/>
  <c r="DF73" i="16457"/>
  <c r="DE73" i="16457"/>
  <c r="DD73" i="16457"/>
  <c r="EG65" i="16457"/>
  <c r="EF65" i="16457"/>
  <c r="EE65" i="16457"/>
  <c r="ED65" i="16457"/>
  <c r="EC65" i="16457"/>
  <c r="EB65" i="16457"/>
  <c r="EA65" i="16457"/>
  <c r="DZ65" i="16457"/>
  <c r="DY65" i="16457"/>
  <c r="DX65" i="16457"/>
  <c r="DW65" i="16457"/>
  <c r="DV65" i="16457"/>
  <c r="DU65" i="16457"/>
  <c r="DT65" i="16457"/>
  <c r="DS65" i="16457"/>
  <c r="DR65" i="16457"/>
  <c r="DQ65" i="16457"/>
  <c r="DP65" i="16457"/>
  <c r="DO65" i="16457"/>
  <c r="DN65" i="16457"/>
  <c r="DM65" i="16457"/>
  <c r="DL65" i="16457"/>
  <c r="DK65" i="16457"/>
  <c r="DJ65" i="16457"/>
  <c r="DI65" i="16457"/>
  <c r="DH65" i="16457"/>
  <c r="DG65" i="16457"/>
  <c r="DF65" i="16457"/>
  <c r="DE65" i="16457"/>
  <c r="DD65" i="16457"/>
  <c r="DC65" i="16457"/>
  <c r="EG62" i="16457"/>
  <c r="EF62" i="16457"/>
  <c r="EE62" i="16457"/>
  <c r="ED62" i="16457"/>
  <c r="EC62" i="16457"/>
  <c r="EB62" i="16457"/>
  <c r="EA62" i="16457"/>
  <c r="DZ62" i="16457"/>
  <c r="DY62" i="16457"/>
  <c r="DX62" i="16457"/>
  <c r="DW62" i="16457"/>
  <c r="DV62" i="16457"/>
  <c r="DU62" i="16457"/>
  <c r="DT62" i="16457"/>
  <c r="DS62" i="16457"/>
  <c r="DR62" i="16457"/>
  <c r="DQ62" i="16457"/>
  <c r="DP62" i="16457"/>
  <c r="DO62" i="16457"/>
  <c r="DN62" i="16457"/>
  <c r="DM62" i="16457"/>
  <c r="DL62" i="16457"/>
  <c r="DK62" i="16457"/>
  <c r="DJ62" i="16457"/>
  <c r="DI62" i="16457"/>
  <c r="DH62" i="16457"/>
  <c r="DG62" i="16457"/>
  <c r="DF62" i="16457"/>
  <c r="DE62" i="16457"/>
  <c r="DD62" i="16457"/>
  <c r="EG61" i="16457"/>
  <c r="EF61" i="16457"/>
  <c r="EE61" i="16457"/>
  <c r="ED61" i="16457"/>
  <c r="EC61" i="16457"/>
  <c r="EB61" i="16457"/>
  <c r="EA61" i="16457"/>
  <c r="DZ61" i="16457"/>
  <c r="DY61" i="16457"/>
  <c r="DX61" i="16457"/>
  <c r="DW61" i="16457"/>
  <c r="DV61" i="16457"/>
  <c r="DU61" i="16457"/>
  <c r="DT61" i="16457"/>
  <c r="DS61" i="16457"/>
  <c r="DR61" i="16457"/>
  <c r="DQ61" i="16457"/>
  <c r="DP61" i="16457"/>
  <c r="DO61" i="16457"/>
  <c r="DN61" i="16457"/>
  <c r="DM61" i="16457"/>
  <c r="DL61" i="16457"/>
  <c r="DK61" i="16457"/>
  <c r="DJ61" i="16457"/>
  <c r="DI61" i="16457"/>
  <c r="DH61" i="16457"/>
  <c r="DG61" i="16457"/>
  <c r="DF61" i="16457"/>
  <c r="DE61" i="16457"/>
  <c r="DD61" i="16457"/>
  <c r="EG60" i="16457"/>
  <c r="EF60" i="16457"/>
  <c r="EE60" i="16457"/>
  <c r="ED60" i="16457"/>
  <c r="EC60" i="16457"/>
  <c r="EB60" i="16457"/>
  <c r="EA60" i="16457"/>
  <c r="DZ60" i="16457"/>
  <c r="DY60" i="16457"/>
  <c r="DX60" i="16457"/>
  <c r="DW60" i="16457"/>
  <c r="DV60" i="16457"/>
  <c r="DU60" i="16457"/>
  <c r="DT60" i="16457"/>
  <c r="DS60" i="16457"/>
  <c r="DR60" i="16457"/>
  <c r="DQ60" i="16457"/>
  <c r="DP60" i="16457"/>
  <c r="DO60" i="16457"/>
  <c r="DN60" i="16457"/>
  <c r="DM60" i="16457"/>
  <c r="DL60" i="16457"/>
  <c r="DK60" i="16457"/>
  <c r="DJ60" i="16457"/>
  <c r="DI60" i="16457"/>
  <c r="DH60" i="16457"/>
  <c r="DG60" i="16457"/>
  <c r="DF60" i="16457"/>
  <c r="DE60" i="16457"/>
  <c r="DD60" i="16457"/>
  <c r="EG55" i="16457"/>
  <c r="EF55" i="16457"/>
  <c r="EE55" i="16457"/>
  <c r="ED55" i="16457"/>
  <c r="EC55" i="16457"/>
  <c r="EB55" i="16457"/>
  <c r="EA55" i="16457"/>
  <c r="DZ55" i="16457"/>
  <c r="DY55" i="16457"/>
  <c r="DX55" i="16457"/>
  <c r="DW55" i="16457"/>
  <c r="DV55" i="16457"/>
  <c r="DU55" i="16457"/>
  <c r="DT55" i="16457"/>
  <c r="DS55" i="16457"/>
  <c r="DR55" i="16457"/>
  <c r="DQ55" i="16457"/>
  <c r="DP55" i="16457"/>
  <c r="DO55" i="16457"/>
  <c r="DN55" i="16457"/>
  <c r="DM55" i="16457"/>
  <c r="DL55" i="16457"/>
  <c r="DK55" i="16457"/>
  <c r="DJ55" i="16457"/>
  <c r="DI55" i="16457"/>
  <c r="DH55" i="16457"/>
  <c r="DG55" i="16457"/>
  <c r="DF55" i="16457"/>
  <c r="DE55" i="16457"/>
  <c r="DD55" i="16457"/>
  <c r="EG54" i="16457"/>
  <c r="EF54" i="16457"/>
  <c r="EE54" i="16457"/>
  <c r="ED54" i="16457"/>
  <c r="EC54" i="16457"/>
  <c r="EB54" i="16457"/>
  <c r="EA54" i="16457"/>
  <c r="DZ54" i="16457"/>
  <c r="DY54" i="16457"/>
  <c r="DX54" i="16457"/>
  <c r="DW54" i="16457"/>
  <c r="DV54" i="16457"/>
  <c r="DU54" i="16457"/>
  <c r="DT54" i="16457"/>
  <c r="DS54" i="16457"/>
  <c r="DR54" i="16457"/>
  <c r="DQ54" i="16457"/>
  <c r="DP54" i="16457"/>
  <c r="DO54" i="16457"/>
  <c r="DN54" i="16457"/>
  <c r="DM54" i="16457"/>
  <c r="DL54" i="16457"/>
  <c r="DK54" i="16457"/>
  <c r="DJ54" i="16457"/>
  <c r="DI54" i="16457"/>
  <c r="DH54" i="16457"/>
  <c r="DG54" i="16457"/>
  <c r="DF54" i="16457"/>
  <c r="DE54" i="16457"/>
  <c r="DD54" i="16457"/>
  <c r="DC54" i="16457"/>
  <c r="DD53" i="16457"/>
  <c r="DC53" i="16457"/>
  <c r="EG44" i="16457"/>
  <c r="EF44" i="16457"/>
  <c r="EE44" i="16457"/>
  <c r="ED44" i="16457"/>
  <c r="EC44" i="16457"/>
  <c r="EB44" i="16457"/>
  <c r="EA44" i="16457"/>
  <c r="DZ44" i="16457"/>
  <c r="DY44" i="16457"/>
  <c r="DX44" i="16457"/>
  <c r="DW44" i="16457"/>
  <c r="DV44" i="16457"/>
  <c r="DU44" i="16457"/>
  <c r="DT44" i="16457"/>
  <c r="DS44" i="16457"/>
  <c r="DR44" i="16457"/>
  <c r="DQ44" i="16457"/>
  <c r="DP44" i="16457"/>
  <c r="DO44" i="16457"/>
  <c r="DN44" i="16457"/>
  <c r="DM44" i="16457"/>
  <c r="DL44" i="16457"/>
  <c r="DK44" i="16457"/>
  <c r="DJ44" i="16457"/>
  <c r="DI44" i="16457"/>
  <c r="DH44" i="16457"/>
  <c r="DG44" i="16457"/>
  <c r="DF44" i="16457"/>
  <c r="DE44" i="16457"/>
  <c r="DD44" i="16457"/>
  <c r="EG40" i="16457"/>
  <c r="EF40" i="16457"/>
  <c r="EE40" i="16457"/>
  <c r="ED40" i="16457"/>
  <c r="EC40" i="16457"/>
  <c r="EB40" i="16457"/>
  <c r="EA40" i="16457"/>
  <c r="DZ40" i="16457"/>
  <c r="DY40" i="16457"/>
  <c r="DX40" i="16457"/>
  <c r="DW40" i="16457"/>
  <c r="DV40" i="16457"/>
  <c r="DU40" i="16457"/>
  <c r="DT40" i="16457"/>
  <c r="DS40" i="16457"/>
  <c r="DR40" i="16457"/>
  <c r="DQ40" i="16457"/>
  <c r="DP40" i="16457"/>
  <c r="DO40" i="16457"/>
  <c r="DN40" i="16457"/>
  <c r="DM40" i="16457"/>
  <c r="DL40" i="16457"/>
  <c r="DK40" i="16457"/>
  <c r="DJ40" i="16457"/>
  <c r="DI40" i="16457"/>
  <c r="DH40" i="16457"/>
  <c r="DG40" i="16457"/>
  <c r="DF40" i="16457"/>
  <c r="DE40" i="16457"/>
  <c r="DD40" i="16457"/>
  <c r="EG39" i="16457"/>
  <c r="EF39" i="16457"/>
  <c r="EE39" i="16457"/>
  <c r="ED39" i="16457"/>
  <c r="EC39" i="16457"/>
  <c r="EB39" i="16457"/>
  <c r="EA39" i="16457"/>
  <c r="DZ39" i="16457"/>
  <c r="DY39" i="16457"/>
  <c r="DX39" i="16457"/>
  <c r="DW39" i="16457"/>
  <c r="DV39" i="16457"/>
  <c r="DU39" i="16457"/>
  <c r="DT39" i="16457"/>
  <c r="DS39" i="16457"/>
  <c r="DR39" i="16457"/>
  <c r="DQ39" i="16457"/>
  <c r="DP39" i="16457"/>
  <c r="DO39" i="16457"/>
  <c r="DN39" i="16457"/>
  <c r="DM39" i="16457"/>
  <c r="DL39" i="16457"/>
  <c r="DK39" i="16457"/>
  <c r="DJ39" i="16457"/>
  <c r="DI39" i="16457"/>
  <c r="DH39" i="16457"/>
  <c r="DG39" i="16457"/>
  <c r="DF39" i="16457"/>
  <c r="DE39" i="16457"/>
  <c r="DD39" i="16457"/>
  <c r="EG36" i="16457"/>
  <c r="EF36" i="16457"/>
  <c r="EE36" i="16457"/>
  <c r="ED36" i="16457"/>
  <c r="EC36" i="16457"/>
  <c r="EB36" i="16457"/>
  <c r="EA36" i="16457"/>
  <c r="DZ36" i="16457"/>
  <c r="DY36" i="16457"/>
  <c r="DX36" i="16457"/>
  <c r="DW36" i="16457"/>
  <c r="DV36" i="16457"/>
  <c r="DU36" i="16457"/>
  <c r="DT36" i="16457"/>
  <c r="DS36" i="16457"/>
  <c r="DR36" i="16457"/>
  <c r="DQ36" i="16457"/>
  <c r="DP36" i="16457"/>
  <c r="DO36" i="16457"/>
  <c r="DN36" i="16457"/>
  <c r="DM36" i="16457"/>
  <c r="DL36" i="16457"/>
  <c r="DK36" i="16457"/>
  <c r="DJ36" i="16457"/>
  <c r="DI36" i="16457"/>
  <c r="DH36" i="16457"/>
  <c r="DG36" i="16457"/>
  <c r="DF36" i="16457"/>
  <c r="DE36" i="16457"/>
  <c r="DD36" i="16457"/>
  <c r="DC36" i="16457"/>
  <c r="EG35" i="16457"/>
  <c r="EF35" i="16457"/>
  <c r="EE35" i="16457"/>
  <c r="ED35" i="16457"/>
  <c r="EC35" i="16457"/>
  <c r="EB35" i="16457"/>
  <c r="EA35" i="16457"/>
  <c r="DZ35" i="16457"/>
  <c r="DY35" i="16457"/>
  <c r="DX35" i="16457"/>
  <c r="DW35" i="16457"/>
  <c r="DV35" i="16457"/>
  <c r="DU35" i="16457"/>
  <c r="DT35" i="16457"/>
  <c r="DS35" i="16457"/>
  <c r="DR35" i="16457"/>
  <c r="DQ35" i="16457"/>
  <c r="DP35" i="16457"/>
  <c r="DO35" i="16457"/>
  <c r="DN35" i="16457"/>
  <c r="DM35" i="16457"/>
  <c r="DL35" i="16457"/>
  <c r="DK35" i="16457"/>
  <c r="DJ35" i="16457"/>
  <c r="DI35" i="16457"/>
  <c r="DH35" i="16457"/>
  <c r="DG35" i="16457"/>
  <c r="DF35" i="16457"/>
  <c r="DE35" i="16457"/>
  <c r="DD35" i="16457"/>
  <c r="DC35" i="16457"/>
  <c r="EG34" i="16457"/>
  <c r="EF34" i="16457"/>
  <c r="EE34" i="16457"/>
  <c r="ED34" i="16457"/>
  <c r="EC34" i="16457"/>
  <c r="EB34" i="16457"/>
  <c r="EA34" i="16457"/>
  <c r="DZ34" i="16457"/>
  <c r="DY34" i="16457"/>
  <c r="DX34" i="16457"/>
  <c r="DW34" i="16457"/>
  <c r="DV34" i="16457"/>
  <c r="DU34" i="16457"/>
  <c r="DT34" i="16457"/>
  <c r="DS34" i="16457"/>
  <c r="DR34" i="16457"/>
  <c r="DQ34" i="16457"/>
  <c r="DP34" i="16457"/>
  <c r="DO34" i="16457"/>
  <c r="DN34" i="16457"/>
  <c r="DM34" i="16457"/>
  <c r="DL34" i="16457"/>
  <c r="DK34" i="16457"/>
  <c r="DJ34" i="16457"/>
  <c r="DI34" i="16457"/>
  <c r="DH34" i="16457"/>
  <c r="DG34" i="16457"/>
  <c r="DF34" i="16457"/>
  <c r="DE34" i="16457"/>
  <c r="DD34" i="16457"/>
  <c r="DC34" i="16457"/>
  <c r="EG33" i="16457"/>
  <c r="EF33" i="16457"/>
  <c r="EE33" i="16457"/>
  <c r="ED33" i="16457"/>
  <c r="EC33" i="16457"/>
  <c r="EB33" i="16457"/>
  <c r="EA33" i="16457"/>
  <c r="DZ33" i="16457"/>
  <c r="DY33" i="16457"/>
  <c r="DX33" i="16457"/>
  <c r="DW33" i="16457"/>
  <c r="DV33" i="16457"/>
  <c r="DU33" i="16457"/>
  <c r="DT33" i="16457"/>
  <c r="DS33" i="16457"/>
  <c r="DR33" i="16457"/>
  <c r="DQ33" i="16457"/>
  <c r="DP33" i="16457"/>
  <c r="DO33" i="16457"/>
  <c r="DN33" i="16457"/>
  <c r="DM33" i="16457"/>
  <c r="DL33" i="16457"/>
  <c r="DK33" i="16457"/>
  <c r="DJ33" i="16457"/>
  <c r="DI33" i="16457"/>
  <c r="DH33" i="16457"/>
  <c r="DG33" i="16457"/>
  <c r="DF33" i="16457"/>
  <c r="DE33" i="16457"/>
  <c r="DD33" i="16457"/>
  <c r="DC33" i="16457"/>
  <c r="EG32" i="16457"/>
  <c r="EF32" i="16457"/>
  <c r="EE32" i="16457"/>
  <c r="ED32" i="16457"/>
  <c r="EC32" i="16457"/>
  <c r="EB32" i="16457"/>
  <c r="EA32" i="16457"/>
  <c r="DZ32" i="16457"/>
  <c r="DY32" i="16457"/>
  <c r="DX32" i="16457"/>
  <c r="DW32" i="16457"/>
  <c r="DV32" i="16457"/>
  <c r="DU32" i="16457"/>
  <c r="DT32" i="16457"/>
  <c r="DS32" i="16457"/>
  <c r="DR32" i="16457"/>
  <c r="DQ32" i="16457"/>
  <c r="DP32" i="16457"/>
  <c r="DO32" i="16457"/>
  <c r="DN32" i="16457"/>
  <c r="DM32" i="16457"/>
  <c r="DL32" i="16457"/>
  <c r="DK32" i="16457"/>
  <c r="DJ32" i="16457"/>
  <c r="DI32" i="16457"/>
  <c r="DH32" i="16457"/>
  <c r="DG32" i="16457"/>
  <c r="DF32" i="16457"/>
  <c r="DE32" i="16457"/>
  <c r="DD32" i="16457"/>
  <c r="DC32" i="16457"/>
  <c r="EG29" i="16457"/>
  <c r="EF29" i="16457"/>
  <c r="EE29" i="16457"/>
  <c r="ED29" i="16457"/>
  <c r="EC29" i="16457"/>
  <c r="EB29" i="16457"/>
  <c r="EA29" i="16457"/>
  <c r="DZ29" i="16457"/>
  <c r="DY29" i="16457"/>
  <c r="DX29" i="16457"/>
  <c r="DW29" i="16457"/>
  <c r="DV29" i="16457"/>
  <c r="DU29" i="16457"/>
  <c r="DT29" i="16457"/>
  <c r="DS29" i="16457"/>
  <c r="DR29" i="16457"/>
  <c r="DQ29" i="16457"/>
  <c r="DP29" i="16457"/>
  <c r="DO29" i="16457"/>
  <c r="DN29" i="16457"/>
  <c r="DM29" i="16457"/>
  <c r="DL29" i="16457"/>
  <c r="DK29" i="16457"/>
  <c r="DJ29" i="16457"/>
  <c r="DI29" i="16457"/>
  <c r="DH29" i="16457"/>
  <c r="DG29" i="16457"/>
  <c r="DF29" i="16457"/>
  <c r="DE29" i="16457"/>
  <c r="DD29" i="16457"/>
  <c r="DC29" i="16457"/>
  <c r="EG27" i="16457"/>
  <c r="EF27" i="16457"/>
  <c r="EE27" i="16457"/>
  <c r="ED27" i="16457"/>
  <c r="EC27" i="16457"/>
  <c r="EB27" i="16457"/>
  <c r="EA27" i="16457"/>
  <c r="DZ27" i="16457"/>
  <c r="DY27" i="16457"/>
  <c r="DX27" i="16457"/>
  <c r="DW27" i="16457"/>
  <c r="DV27" i="16457"/>
  <c r="DU27" i="16457"/>
  <c r="DT27" i="16457"/>
  <c r="DS27" i="16457"/>
  <c r="DR27" i="16457"/>
  <c r="DQ27" i="16457"/>
  <c r="DP27" i="16457"/>
  <c r="DO27" i="16457"/>
  <c r="DN27" i="16457"/>
  <c r="DM27" i="16457"/>
  <c r="DL27" i="16457"/>
  <c r="DK27" i="16457"/>
  <c r="DJ27" i="16457"/>
  <c r="DI27" i="16457"/>
  <c r="DH27" i="16457"/>
  <c r="DG27" i="16457"/>
  <c r="DF27" i="16457"/>
  <c r="DE27" i="16457"/>
  <c r="DD27" i="16457"/>
  <c r="DC27" i="16457"/>
  <c r="EG23" i="16457"/>
  <c r="EF23" i="16457"/>
  <c r="EE23" i="16457"/>
  <c r="ED23" i="16457"/>
  <c r="EC23" i="16457"/>
  <c r="EB23" i="16457"/>
  <c r="EA23" i="16457"/>
  <c r="DZ23" i="16457"/>
  <c r="DY23" i="16457"/>
  <c r="DX23" i="16457"/>
  <c r="DW23" i="16457"/>
  <c r="DV23" i="16457"/>
  <c r="DU23" i="16457"/>
  <c r="DT23" i="16457"/>
  <c r="DS23" i="16457"/>
  <c r="DR23" i="16457"/>
  <c r="DQ23" i="16457"/>
  <c r="DP23" i="16457"/>
  <c r="DO23" i="16457"/>
  <c r="DN23" i="16457"/>
  <c r="DM23" i="16457"/>
  <c r="DL23" i="16457"/>
  <c r="DK23" i="16457"/>
  <c r="DJ23" i="16457"/>
  <c r="DI23" i="16457"/>
  <c r="DH23" i="16457"/>
  <c r="DG23" i="16457"/>
  <c r="DF23" i="16457"/>
  <c r="DE23" i="16457"/>
  <c r="DD23" i="16457"/>
  <c r="DC23" i="16457"/>
  <c r="EG22" i="16457"/>
  <c r="EF22" i="16457"/>
  <c r="EE22" i="16457"/>
  <c r="ED22" i="16457"/>
  <c r="EC22" i="16457"/>
  <c r="EB22" i="16457"/>
  <c r="EA22" i="16457"/>
  <c r="DZ22" i="16457"/>
  <c r="DY22" i="16457"/>
  <c r="DX22" i="16457"/>
  <c r="DW22" i="16457"/>
  <c r="DV22" i="16457"/>
  <c r="DU22" i="16457"/>
  <c r="DT22" i="16457"/>
  <c r="DS22" i="16457"/>
  <c r="DR22" i="16457"/>
  <c r="DQ22" i="16457"/>
  <c r="DP22" i="16457"/>
  <c r="DO22" i="16457"/>
  <c r="DN22" i="16457"/>
  <c r="DM22" i="16457"/>
  <c r="DL22" i="16457"/>
  <c r="DK22" i="16457"/>
  <c r="DJ22" i="16457"/>
  <c r="DI22" i="16457"/>
  <c r="DH22" i="16457"/>
  <c r="DG22" i="16457"/>
  <c r="DF22" i="16457"/>
  <c r="DE22" i="16457"/>
  <c r="DD22" i="16457"/>
  <c r="DC22" i="16457"/>
  <c r="EG19" i="16457"/>
  <c r="EF19" i="16457"/>
  <c r="EE19" i="16457"/>
  <c r="ED19" i="16457"/>
  <c r="EC19" i="16457"/>
  <c r="EB19" i="16457"/>
  <c r="EA19" i="16457"/>
  <c r="DZ19" i="16457"/>
  <c r="DY19" i="16457"/>
  <c r="DX19" i="16457"/>
  <c r="DW19" i="16457"/>
  <c r="DV19" i="16457"/>
  <c r="DU19" i="16457"/>
  <c r="DT19" i="16457"/>
  <c r="DS19" i="16457"/>
  <c r="DR19" i="16457"/>
  <c r="DQ19" i="16457"/>
  <c r="DP19" i="16457"/>
  <c r="DO19" i="16457"/>
  <c r="DN19" i="16457"/>
  <c r="DM19" i="16457"/>
  <c r="DL19" i="16457"/>
  <c r="DK19" i="16457"/>
  <c r="DJ19" i="16457"/>
  <c r="DI19" i="16457"/>
  <c r="DH19" i="16457"/>
  <c r="DG19" i="16457"/>
  <c r="DF19" i="16457"/>
  <c r="DE19" i="16457"/>
  <c r="DD19" i="16457"/>
  <c r="EG15" i="16457"/>
  <c r="EF15" i="16457"/>
  <c r="EE15" i="16457"/>
  <c r="ED15" i="16457"/>
  <c r="EC15" i="16457"/>
  <c r="EB15" i="16457"/>
  <c r="EA15" i="16457"/>
  <c r="DZ15" i="16457"/>
  <c r="DY15" i="16457"/>
  <c r="DX15" i="16457"/>
  <c r="DW15" i="16457"/>
  <c r="DV15" i="16457"/>
  <c r="DU15" i="16457"/>
  <c r="DT15" i="16457"/>
  <c r="DS15" i="16457"/>
  <c r="DR15" i="16457"/>
  <c r="DQ15" i="16457"/>
  <c r="DP15" i="16457"/>
  <c r="DO15" i="16457"/>
  <c r="DN15" i="16457"/>
  <c r="DM15" i="16457"/>
  <c r="DL15" i="16457"/>
  <c r="DK15" i="16457"/>
  <c r="DJ15" i="16457"/>
  <c r="DI15" i="16457"/>
  <c r="DH15" i="16457"/>
  <c r="DG15" i="16457"/>
  <c r="DF15" i="16457"/>
  <c r="DE15" i="16457"/>
  <c r="DD15" i="16457"/>
  <c r="EG13" i="16457"/>
  <c r="EF13" i="16457"/>
  <c r="EE13" i="16457"/>
  <c r="ED13" i="16457"/>
  <c r="EC13" i="16457"/>
  <c r="EB13" i="16457"/>
  <c r="EA13" i="16457"/>
  <c r="DZ13" i="16457"/>
  <c r="DY13" i="16457"/>
  <c r="DX13" i="16457"/>
  <c r="DW13" i="16457"/>
  <c r="DV13" i="16457"/>
  <c r="DU13" i="16457"/>
  <c r="DT13" i="16457"/>
  <c r="DS13" i="16457"/>
  <c r="DR13" i="16457"/>
  <c r="DQ13" i="16457"/>
  <c r="DP13" i="16457"/>
  <c r="DO13" i="16457"/>
  <c r="DN13" i="16457"/>
  <c r="DM13" i="16457"/>
  <c r="DL13" i="16457"/>
  <c r="DK13" i="16457"/>
  <c r="DJ13" i="16457"/>
  <c r="DI13" i="16457"/>
  <c r="DH13" i="16457"/>
  <c r="DG13" i="16457"/>
  <c r="DF13" i="16457"/>
  <c r="DE13" i="16457"/>
  <c r="DD13" i="16457"/>
  <c r="EG12" i="16457"/>
  <c r="EF12" i="16457"/>
  <c r="EE12" i="16457"/>
  <c r="ED12" i="16457"/>
  <c r="EC12" i="16457"/>
  <c r="EB12" i="16457"/>
  <c r="EA12" i="16457"/>
  <c r="DZ12" i="16457"/>
  <c r="DY12" i="16457"/>
  <c r="DX12" i="16457"/>
  <c r="DW12" i="16457"/>
  <c r="DV12" i="16457"/>
  <c r="DU12" i="16457"/>
  <c r="DT12" i="16457"/>
  <c r="DS12" i="16457"/>
  <c r="DR12" i="16457"/>
  <c r="DQ12" i="16457"/>
  <c r="DP12" i="16457"/>
  <c r="DO12" i="16457"/>
  <c r="DN12" i="16457"/>
  <c r="DM12" i="16457"/>
  <c r="DL12" i="16457"/>
  <c r="DK12" i="16457"/>
  <c r="DJ12" i="16457"/>
  <c r="DI12" i="16457"/>
  <c r="DH12" i="16457"/>
  <c r="DG12" i="16457"/>
  <c r="DF12" i="16457"/>
  <c r="DE12" i="16457"/>
  <c r="DD12" i="16457"/>
  <c r="EG10" i="16457"/>
  <c r="EF10" i="16457"/>
  <c r="EE10" i="16457"/>
  <c r="ED10" i="16457"/>
  <c r="EC10" i="16457"/>
  <c r="EB10" i="16457"/>
  <c r="EA10" i="16457"/>
  <c r="DZ10" i="16457"/>
  <c r="DY10" i="16457"/>
  <c r="DX10" i="16457"/>
  <c r="DW10" i="16457"/>
  <c r="DV10" i="16457"/>
  <c r="DU10" i="16457"/>
  <c r="DT10" i="16457"/>
  <c r="DS10" i="16457"/>
  <c r="DR10" i="16457"/>
  <c r="DQ10" i="16457"/>
  <c r="DP10" i="16457"/>
  <c r="DO10" i="16457"/>
  <c r="DN10" i="16457"/>
  <c r="DM10" i="16457"/>
  <c r="DL10" i="16457"/>
  <c r="DK10" i="16457"/>
  <c r="DJ10" i="16457"/>
  <c r="DI10" i="16457"/>
  <c r="DH10" i="16457"/>
  <c r="DG10" i="16457"/>
  <c r="DF10" i="16457"/>
  <c r="DE10" i="16457"/>
  <c r="DD10" i="16457"/>
  <c r="DC10" i="16457"/>
  <c r="EG9" i="16457"/>
  <c r="EF9" i="16457"/>
  <c r="EE9" i="16457"/>
  <c r="ED9" i="16457"/>
  <c r="EC9" i="16457"/>
  <c r="EB9" i="16457"/>
  <c r="EA9" i="16457"/>
  <c r="DZ9" i="16457"/>
  <c r="DY9" i="16457"/>
  <c r="DX9" i="16457"/>
  <c r="DW9" i="16457"/>
  <c r="DV9" i="16457"/>
  <c r="DU9" i="16457"/>
  <c r="DT9" i="16457"/>
  <c r="DS9" i="16457"/>
  <c r="DR9" i="16457"/>
  <c r="DQ9" i="16457"/>
  <c r="DP9" i="16457"/>
  <c r="DO9" i="16457"/>
  <c r="DN9" i="16457"/>
  <c r="DM9" i="16457"/>
  <c r="DL9" i="16457"/>
  <c r="DK9" i="16457"/>
  <c r="DJ9" i="16457"/>
  <c r="DI9" i="16457"/>
  <c r="DH9" i="16457"/>
  <c r="DG9" i="16457"/>
  <c r="DF9" i="16457"/>
  <c r="DE9" i="16457"/>
  <c r="DD9" i="16457"/>
  <c r="DC9" i="16457"/>
  <c r="EG146" i="16457"/>
  <c r="EF146" i="16457"/>
  <c r="EE146" i="16457"/>
  <c r="ED146" i="16457"/>
  <c r="EC146" i="16457"/>
  <c r="EB146" i="16457"/>
  <c r="EA146" i="16457"/>
  <c r="DZ146" i="16457"/>
  <c r="DY146" i="16457"/>
  <c r="DX146" i="16457"/>
  <c r="DW146" i="16457"/>
  <c r="DV146" i="16457"/>
  <c r="DU146" i="16457"/>
  <c r="DT146" i="16457"/>
  <c r="DS146" i="16457"/>
  <c r="DR146" i="16457"/>
  <c r="DQ146" i="16457"/>
  <c r="DP146" i="16457"/>
  <c r="DO146" i="16457"/>
  <c r="DN146" i="16457"/>
  <c r="DM146" i="16457"/>
  <c r="DL146" i="16457"/>
  <c r="DK146" i="16457"/>
  <c r="DJ146" i="16457"/>
  <c r="DI146" i="16457"/>
  <c r="DH146" i="16457"/>
  <c r="DG146" i="16457"/>
  <c r="DF146" i="16457"/>
  <c r="DE146" i="16457"/>
  <c r="DD146" i="16457"/>
  <c r="DC146" i="16457"/>
  <c r="EG145" i="16457"/>
  <c r="EF145" i="16457"/>
  <c r="EE145" i="16457"/>
  <c r="ED145" i="16457"/>
  <c r="EC145" i="16457"/>
  <c r="EB145" i="16457"/>
  <c r="EA145" i="16457"/>
  <c r="DZ145" i="16457"/>
  <c r="DY145" i="16457"/>
  <c r="DX145" i="16457"/>
  <c r="DW145" i="16457"/>
  <c r="DV145" i="16457"/>
  <c r="DU145" i="16457"/>
  <c r="DT145" i="16457"/>
  <c r="DS145" i="16457"/>
  <c r="DR145" i="16457"/>
  <c r="DQ145" i="16457"/>
  <c r="DP145" i="16457"/>
  <c r="DO145" i="16457"/>
  <c r="DN145" i="16457"/>
  <c r="DM145" i="16457"/>
  <c r="DL145" i="16457"/>
  <c r="DK145" i="16457"/>
  <c r="DJ145" i="16457"/>
  <c r="DI145" i="16457"/>
  <c r="DH145" i="16457"/>
  <c r="DG145" i="16457"/>
  <c r="DF145" i="16457"/>
  <c r="DE145" i="16457"/>
  <c r="DD145" i="16457"/>
  <c r="DC145" i="16457"/>
  <c r="EG144" i="16457"/>
  <c r="EF144" i="16457"/>
  <c r="EE144" i="16457"/>
  <c r="ED144" i="16457"/>
  <c r="EC144" i="16457"/>
  <c r="EB144" i="16457"/>
  <c r="EA144" i="16457"/>
  <c r="DZ144" i="16457"/>
  <c r="DY144" i="16457"/>
  <c r="DX144" i="16457"/>
  <c r="DW144" i="16457"/>
  <c r="DV144" i="16457"/>
  <c r="DU144" i="16457"/>
  <c r="DT144" i="16457"/>
  <c r="DS144" i="16457"/>
  <c r="DR144" i="16457"/>
  <c r="DQ144" i="16457"/>
  <c r="DP144" i="16457"/>
  <c r="DO144" i="16457"/>
  <c r="DN144" i="16457"/>
  <c r="DM144" i="16457"/>
  <c r="DL144" i="16457"/>
  <c r="DK144" i="16457"/>
  <c r="DJ144" i="16457"/>
  <c r="DI144" i="16457"/>
  <c r="DH144" i="16457"/>
  <c r="DG144" i="16457"/>
  <c r="DF144" i="16457"/>
  <c r="DE144" i="16457"/>
  <c r="DD144" i="16457"/>
  <c r="DC144" i="16457"/>
  <c r="EG143" i="16457"/>
  <c r="EF143" i="16457"/>
  <c r="EE143" i="16457"/>
  <c r="ED143" i="16457"/>
  <c r="EC143" i="16457"/>
  <c r="EB143" i="16457"/>
  <c r="EA143" i="16457"/>
  <c r="DZ143" i="16457"/>
  <c r="DY143" i="16457"/>
  <c r="DX143" i="16457"/>
  <c r="DW143" i="16457"/>
  <c r="DV143" i="16457"/>
  <c r="DU143" i="16457"/>
  <c r="DT143" i="16457"/>
  <c r="DS143" i="16457"/>
  <c r="DR143" i="16457"/>
  <c r="DQ143" i="16457"/>
  <c r="DP143" i="16457"/>
  <c r="DO143" i="16457"/>
  <c r="DN143" i="16457"/>
  <c r="DM143" i="16457"/>
  <c r="DL143" i="16457"/>
  <c r="DK143" i="16457"/>
  <c r="DJ143" i="16457"/>
  <c r="DI143" i="16457"/>
  <c r="DH143" i="16457"/>
  <c r="DG143" i="16457"/>
  <c r="DF143" i="16457"/>
  <c r="DE143" i="16457"/>
  <c r="DD143" i="16457"/>
  <c r="DC143" i="16457"/>
  <c r="EG141" i="16457"/>
  <c r="EF141" i="16457"/>
  <c r="EE141" i="16457"/>
  <c r="ED141" i="16457"/>
  <c r="EC141" i="16457"/>
  <c r="EB141" i="16457"/>
  <c r="EA141" i="16457"/>
  <c r="DZ141" i="16457"/>
  <c r="DY141" i="16457"/>
  <c r="DX141" i="16457"/>
  <c r="DW141" i="16457"/>
  <c r="DV141" i="16457"/>
  <c r="DU141" i="16457"/>
  <c r="DT141" i="16457"/>
  <c r="DS141" i="16457"/>
  <c r="DR141" i="16457"/>
  <c r="DQ141" i="16457"/>
  <c r="DP141" i="16457"/>
  <c r="DO141" i="16457"/>
  <c r="DN141" i="16457"/>
  <c r="DM141" i="16457"/>
  <c r="DL141" i="16457"/>
  <c r="DK141" i="16457"/>
  <c r="DJ141" i="16457"/>
  <c r="DI141" i="16457"/>
  <c r="DH141" i="16457"/>
  <c r="DG141" i="16457"/>
  <c r="DF141" i="16457"/>
  <c r="DE141" i="16457"/>
  <c r="DD141" i="16457"/>
  <c r="DC141" i="16457"/>
  <c r="EG140" i="16457"/>
  <c r="EF140" i="16457"/>
  <c r="EE140" i="16457"/>
  <c r="ED140" i="16457"/>
  <c r="EC140" i="16457"/>
  <c r="EB140" i="16457"/>
  <c r="EA140" i="16457"/>
  <c r="DZ140" i="16457"/>
  <c r="DY140" i="16457"/>
  <c r="DX140" i="16457"/>
  <c r="DW140" i="16457"/>
  <c r="DV140" i="16457"/>
  <c r="DU140" i="16457"/>
  <c r="DT140" i="16457"/>
  <c r="DS140" i="16457"/>
  <c r="DR140" i="16457"/>
  <c r="DQ140" i="16457"/>
  <c r="DP140" i="16457"/>
  <c r="DO140" i="16457"/>
  <c r="DN140" i="16457"/>
  <c r="DM140" i="16457"/>
  <c r="DL140" i="16457"/>
  <c r="DK140" i="16457"/>
  <c r="DJ140" i="16457"/>
  <c r="DI140" i="16457"/>
  <c r="DH140" i="16457"/>
  <c r="DG140" i="16457"/>
  <c r="DF140" i="16457"/>
  <c r="DE140" i="16457"/>
  <c r="DD140" i="16457"/>
  <c r="DC140" i="16457"/>
  <c r="EG138" i="16457"/>
  <c r="EF138" i="16457"/>
  <c r="EE138" i="16457"/>
  <c r="ED138" i="16457"/>
  <c r="EC138" i="16457"/>
  <c r="EB138" i="16457"/>
  <c r="EA138" i="16457"/>
  <c r="DZ138" i="16457"/>
  <c r="DY138" i="16457"/>
  <c r="DX138" i="16457"/>
  <c r="DW138" i="16457"/>
  <c r="DV138" i="16457"/>
  <c r="DU138" i="16457"/>
  <c r="DT138" i="16457"/>
  <c r="DS138" i="16457"/>
  <c r="DR138" i="16457"/>
  <c r="DQ138" i="16457"/>
  <c r="DP138" i="16457"/>
  <c r="DO138" i="16457"/>
  <c r="DN138" i="16457"/>
  <c r="DM138" i="16457"/>
  <c r="DL138" i="16457"/>
  <c r="DK138" i="16457"/>
  <c r="DJ138" i="16457"/>
  <c r="DI138" i="16457"/>
  <c r="DH138" i="16457"/>
  <c r="DG138" i="16457"/>
  <c r="DF138" i="16457"/>
  <c r="DE138" i="16457"/>
  <c r="DD138" i="16457"/>
  <c r="DC138" i="16457"/>
  <c r="F25" i="16521" l="1"/>
  <c r="F8" i="16521"/>
  <c r="F13" i="16521"/>
  <c r="H5" i="16519" l="1"/>
  <c r="I5" i="16519" s="1"/>
  <c r="H6" i="16519"/>
  <c r="C10" i="16534" l="1"/>
  <c r="C12" i="16534" s="1"/>
  <c r="G11" i="16534" s="1"/>
  <c r="G12" i="16534" s="1"/>
  <c r="G15" i="16534" s="1"/>
  <c r="G16" i="16534" s="1"/>
  <c r="F30" i="16521"/>
  <c r="F36" i="16521" s="1"/>
  <c r="F43" i="16521" s="1"/>
  <c r="F14" i="16521"/>
  <c r="F15" i="16521"/>
  <c r="R59" i="16516"/>
  <c r="K70" i="16516" l="1"/>
  <c r="IB46" i="16516" l="1"/>
  <c r="GN46" i="16516"/>
  <c r="FX46" i="16516"/>
  <c r="EJ46" i="16516"/>
  <c r="DD46" i="16516"/>
  <c r="BX46" i="16516"/>
  <c r="IJ46" i="16516"/>
  <c r="HT46" i="16516"/>
  <c r="GV46" i="16516"/>
  <c r="FH46" i="16516"/>
  <c r="CF46" i="16516"/>
  <c r="GF46" i="16516"/>
  <c r="EB46" i="16516"/>
  <c r="DT46" i="16516"/>
  <c r="DL46" i="16516"/>
  <c r="CV46" i="16516"/>
  <c r="AR46" i="16516"/>
  <c r="HL46" i="16516"/>
  <c r="FP46" i="16516"/>
  <c r="EZ46" i="16516"/>
  <c r="BP46" i="16516"/>
  <c r="AB46" i="16516"/>
  <c r="AJ46" i="16516"/>
  <c r="K35" i="16516"/>
  <c r="K10" i="16516"/>
  <c r="M10" i="16516" s="1"/>
  <c r="CN10" i="16516"/>
  <c r="V20" i="16517"/>
  <c r="V16" i="16517"/>
  <c r="HD60" i="16516"/>
  <c r="HD59" i="16516"/>
  <c r="HD58" i="16516"/>
  <c r="HD57" i="16516"/>
  <c r="ER60" i="16516"/>
  <c r="ER59" i="16516"/>
  <c r="ER58" i="16516"/>
  <c r="ER57" i="16516"/>
  <c r="CN60" i="16516"/>
  <c r="CN59" i="16516"/>
  <c r="CN58" i="16516"/>
  <c r="CN57" i="16516"/>
  <c r="BH60" i="16516"/>
  <c r="BH59" i="16516"/>
  <c r="BH58" i="16516"/>
  <c r="BH57" i="16516"/>
  <c r="AZ60" i="16516"/>
  <c r="AZ59" i="16516"/>
  <c r="AZ58" i="16516"/>
  <c r="AZ57" i="16516"/>
  <c r="T60" i="16516"/>
  <c r="T59" i="16516"/>
  <c r="BB59" i="16516" s="1"/>
  <c r="T58" i="16516"/>
  <c r="T57" i="16516"/>
  <c r="D64" i="16516"/>
  <c r="D43" i="16516"/>
  <c r="K60" i="16516"/>
  <c r="K59" i="16516"/>
  <c r="K58" i="16516"/>
  <c r="K57" i="16516"/>
  <c r="Q24" i="16517"/>
  <c r="K13" i="16516"/>
  <c r="M13" i="16516" s="1"/>
  <c r="HD14" i="16516"/>
  <c r="ER15" i="16516"/>
  <c r="ER16" i="16516"/>
  <c r="K17" i="16516"/>
  <c r="M17" i="16516" s="1"/>
  <c r="HD18" i="16516"/>
  <c r="ER19" i="16516"/>
  <c r="ER20" i="16516"/>
  <c r="K21" i="16516"/>
  <c r="M21" i="16516" s="1"/>
  <c r="HD22" i="16516"/>
  <c r="ER23" i="16516"/>
  <c r="ER24" i="16516"/>
  <c r="T10" i="16516" l="1"/>
  <c r="AZ10" i="16516"/>
  <c r="ER10" i="16516"/>
  <c r="HD10" i="16516"/>
  <c r="BH10" i="16516"/>
  <c r="HD26" i="16516"/>
  <c r="ER26" i="16516"/>
  <c r="T26" i="16516"/>
  <c r="CN26" i="16516"/>
  <c r="BH26" i="16516"/>
  <c r="K26" i="16516"/>
  <c r="AZ26" i="16516"/>
  <c r="HD25" i="16516"/>
  <c r="ER25" i="16516"/>
  <c r="BH25" i="16516"/>
  <c r="T25" i="16516"/>
  <c r="K25" i="16516"/>
  <c r="AZ25" i="16516"/>
  <c r="CN25" i="16516"/>
  <c r="K24" i="16516"/>
  <c r="M24" i="16516" s="1"/>
  <c r="CN15" i="16516"/>
  <c r="HD19" i="16516"/>
  <c r="AZ15" i="16516"/>
  <c r="K16" i="16516"/>
  <c r="M16" i="16516" s="1"/>
  <c r="AZ19" i="16516"/>
  <c r="CN23" i="16516"/>
  <c r="AZ23" i="16516"/>
  <c r="HD15" i="16516"/>
  <c r="K20" i="16516"/>
  <c r="M20" i="16516" s="1"/>
  <c r="CN19" i="16516"/>
  <c r="HD23" i="16516"/>
  <c r="T21" i="16516"/>
  <c r="BH17" i="16516"/>
  <c r="ER13" i="16516"/>
  <c r="K23" i="16516"/>
  <c r="M23" i="16516" s="1"/>
  <c r="K19" i="16516"/>
  <c r="M19" i="16516" s="1"/>
  <c r="K15" i="16516"/>
  <c r="M15" i="16516" s="1"/>
  <c r="T14" i="16516"/>
  <c r="T18" i="16516"/>
  <c r="T22" i="16516"/>
  <c r="AZ16" i="16516"/>
  <c r="AZ20" i="16516"/>
  <c r="AZ24" i="16516"/>
  <c r="BH14" i="16516"/>
  <c r="BH18" i="16516"/>
  <c r="BH22" i="16516"/>
  <c r="CN16" i="16516"/>
  <c r="CN20" i="16516"/>
  <c r="CN24" i="16516"/>
  <c r="ER14" i="16516"/>
  <c r="ER18" i="16516"/>
  <c r="ER22" i="16516"/>
  <c r="HD16" i="16516"/>
  <c r="HD20" i="16516"/>
  <c r="HD24" i="16516"/>
  <c r="T17" i="16516"/>
  <c r="BH13" i="16516"/>
  <c r="ER21" i="16516"/>
  <c r="K22" i="16516"/>
  <c r="M22" i="16516" s="1"/>
  <c r="K18" i="16516"/>
  <c r="M18" i="16516" s="1"/>
  <c r="K14" i="16516"/>
  <c r="M14" i="16516" s="1"/>
  <c r="T15" i="16516"/>
  <c r="T19" i="16516"/>
  <c r="T23" i="16516"/>
  <c r="AZ13" i="16516"/>
  <c r="AZ17" i="16516"/>
  <c r="AZ21" i="16516"/>
  <c r="BH15" i="16516"/>
  <c r="BH19" i="16516"/>
  <c r="BH23" i="16516"/>
  <c r="CN13" i="16516"/>
  <c r="CN17" i="16516"/>
  <c r="CN21" i="16516"/>
  <c r="HD13" i="16516"/>
  <c r="HD17" i="16516"/>
  <c r="HD21" i="16516"/>
  <c r="T13" i="16516"/>
  <c r="BH21" i="16516"/>
  <c r="ER17" i="16516"/>
  <c r="T16" i="16516"/>
  <c r="T20" i="16516"/>
  <c r="T24" i="16516"/>
  <c r="AZ14" i="16516"/>
  <c r="AZ18" i="16516"/>
  <c r="AZ22" i="16516"/>
  <c r="BH16" i="16516"/>
  <c r="BH20" i="16516"/>
  <c r="BH24" i="16516"/>
  <c r="CN14" i="16516"/>
  <c r="CN18" i="16516"/>
  <c r="CN22" i="16516"/>
  <c r="G36" i="16502"/>
  <c r="H36" i="16502" s="1"/>
  <c r="I36" i="16502" s="1"/>
  <c r="AQ19" i="16502"/>
  <c r="K36" i="16502" l="1"/>
  <c r="L36" i="16502"/>
  <c r="N36" i="16502" s="1"/>
  <c r="M36" i="16502" l="1"/>
  <c r="O36" i="16502" s="1"/>
  <c r="J36" i="16502" l="1"/>
  <c r="AZ11" i="16516" l="1"/>
  <c r="ER11" i="16516"/>
  <c r="BH11" i="16516"/>
  <c r="T11" i="16516"/>
  <c r="CN11" i="16516"/>
  <c r="HD11" i="16516"/>
  <c r="ER12" i="16516"/>
  <c r="BH12" i="16516"/>
  <c r="T12" i="16516"/>
  <c r="HD12" i="16516"/>
  <c r="CN12" i="16516"/>
  <c r="AZ12" i="16516"/>
  <c r="K12" i="16516"/>
  <c r="I4" i="16533"/>
  <c r="I5" i="16533"/>
  <c r="I6" i="16533"/>
  <c r="I7" i="16533"/>
  <c r="I8" i="16533"/>
  <c r="I3" i="16533"/>
  <c r="E4" i="16533"/>
  <c r="F4" i="16533" s="1"/>
  <c r="E5" i="16533"/>
  <c r="F5" i="16533" s="1"/>
  <c r="E6" i="16533"/>
  <c r="F6" i="16533" s="1"/>
  <c r="E7" i="16533"/>
  <c r="F7" i="16533" s="1"/>
  <c r="E8" i="16533"/>
  <c r="F8" i="16533" s="1"/>
  <c r="E3" i="16533"/>
  <c r="F3" i="16533" s="1"/>
  <c r="L62" i="16458"/>
  <c r="I9" i="16533" l="1"/>
  <c r="F9" i="16533"/>
  <c r="L45" i="16458"/>
  <c r="L50" i="16458" l="1"/>
  <c r="L48" i="16458"/>
  <c r="L43" i="16458"/>
  <c r="L74" i="16458"/>
  <c r="L71" i="16458"/>
  <c r="H159" i="16461" l="1"/>
  <c r="G159" i="16461"/>
  <c r="J159" i="16460"/>
  <c r="K159" i="16460" s="1"/>
  <c r="L159" i="16460" s="1"/>
  <c r="M159" i="16460" s="1"/>
  <c r="N159" i="16460" s="1"/>
  <c r="O159" i="16460" s="1"/>
  <c r="P159" i="16460" s="1"/>
  <c r="Q159" i="16460" s="1"/>
  <c r="R159" i="16460" s="1"/>
  <c r="S159" i="16460" s="1"/>
  <c r="T159" i="16460" s="1"/>
  <c r="U159" i="16460" s="1"/>
  <c r="V159" i="16460" s="1"/>
  <c r="W159" i="16460" s="1"/>
  <c r="X159" i="16460" s="1"/>
  <c r="Y159" i="16460" s="1"/>
  <c r="Z159" i="16460" s="1"/>
  <c r="AA159" i="16460" s="1"/>
  <c r="AB159" i="16460" s="1"/>
  <c r="AC159" i="16460" s="1"/>
  <c r="AD159" i="16460" s="1"/>
  <c r="AE159" i="16460" s="1"/>
  <c r="AF159" i="16460" s="1"/>
  <c r="AG159" i="16460" s="1"/>
  <c r="AH159" i="16460" s="1"/>
  <c r="AI159" i="16460" s="1"/>
  <c r="AJ159" i="16460" s="1"/>
  <c r="AK159" i="16460" s="1"/>
  <c r="AL159" i="16460" s="1"/>
  <c r="E159" i="16460"/>
  <c r="C3" i="16532" l="1"/>
  <c r="E3" i="16532" s="1"/>
  <c r="C4" i="16532"/>
  <c r="E4" i="16532" s="1"/>
  <c r="B5" i="16532"/>
  <c r="C5" i="16532" s="1"/>
  <c r="E5" i="16532" s="1"/>
  <c r="B2" i="16532"/>
  <c r="C2" i="16532" s="1"/>
  <c r="E2" i="16532" s="1"/>
  <c r="E6" i="16532" l="1"/>
  <c r="BF25" i="16516" s="1"/>
  <c r="H31" i="16509"/>
  <c r="I31" i="16509" s="1"/>
  <c r="H28" i="16509"/>
  <c r="I28" i="16509" s="1"/>
  <c r="H29" i="16509"/>
  <c r="I29" i="16509" s="1"/>
  <c r="H30" i="16509"/>
  <c r="I30" i="16509" s="1"/>
  <c r="R25" i="16516" l="1"/>
  <c r="R26" i="16516" s="1"/>
  <c r="V26" i="16516" s="1"/>
  <c r="X26" i="16516" s="1"/>
  <c r="CL25" i="16516"/>
  <c r="CP25" i="16516" s="1"/>
  <c r="CR25" i="16516" s="1"/>
  <c r="AX25" i="16516"/>
  <c r="EP25" i="16516"/>
  <c r="EP26" i="16516" s="1"/>
  <c r="ET26" i="16516" s="1"/>
  <c r="EV26" i="16516" s="1"/>
  <c r="I25" i="16516"/>
  <c r="M25" i="16516" s="1"/>
  <c r="O25" i="16516" s="1"/>
  <c r="HB25" i="16516"/>
  <c r="HF25" i="16516" s="1"/>
  <c r="HH25" i="16516" s="1"/>
  <c r="HR25" i="16516"/>
  <c r="IH25" i="16516"/>
  <c r="GT25" i="16516"/>
  <c r="GL25" i="16516"/>
  <c r="FV25" i="16516"/>
  <c r="FN25" i="16516"/>
  <c r="HZ25" i="16516"/>
  <c r="GD25" i="16516"/>
  <c r="EH25" i="16516"/>
  <c r="DZ25" i="16516"/>
  <c r="DB25" i="16516"/>
  <c r="BN25" i="16516"/>
  <c r="HJ25" i="16516"/>
  <c r="FF25" i="16516"/>
  <c r="DR25" i="16516"/>
  <c r="CD25" i="16516"/>
  <c r="AH25" i="16516"/>
  <c r="Z25" i="16516"/>
  <c r="EX25" i="16516"/>
  <c r="DJ25" i="16516"/>
  <c r="CT25" i="16516"/>
  <c r="BV25" i="16516"/>
  <c r="AP25" i="16516"/>
  <c r="AX26" i="16516"/>
  <c r="BB26" i="16516" s="1"/>
  <c r="BD26" i="16516" s="1"/>
  <c r="BB25" i="16516"/>
  <c r="BD25" i="16516" s="1"/>
  <c r="ET25" i="16516"/>
  <c r="EV25" i="16516" s="1"/>
  <c r="BF26" i="16516"/>
  <c r="BJ26" i="16516" s="1"/>
  <c r="BL26" i="16516" s="1"/>
  <c r="BJ25" i="16516"/>
  <c r="BL25" i="16516" s="1"/>
  <c r="HB26" i="16516" l="1"/>
  <c r="HF26" i="16516" s="1"/>
  <c r="HH26" i="16516" s="1"/>
  <c r="I26" i="16516"/>
  <c r="M26" i="16516" s="1"/>
  <c r="O26" i="16516" s="1"/>
  <c r="CL26" i="16516"/>
  <c r="CP26" i="16516" s="1"/>
  <c r="CR26" i="16516" s="1"/>
  <c r="V25" i="16516"/>
  <c r="X25" i="16516" s="1"/>
  <c r="EX26" i="16516"/>
  <c r="FB26" i="16516" s="1"/>
  <c r="FD26" i="16516" s="1"/>
  <c r="FB25" i="16516"/>
  <c r="FD25" i="16516" s="1"/>
  <c r="DJ26" i="16516"/>
  <c r="DN26" i="16516" s="1"/>
  <c r="DP26" i="16516" s="1"/>
  <c r="DN25" i="16516"/>
  <c r="DP25" i="16516" s="1"/>
  <c r="CD26" i="16516"/>
  <c r="CH26" i="16516" s="1"/>
  <c r="CJ26" i="16516" s="1"/>
  <c r="CH25" i="16516"/>
  <c r="CJ25" i="16516" s="1"/>
  <c r="BN26" i="16516"/>
  <c r="BR26" i="16516" s="1"/>
  <c r="BT26" i="16516" s="1"/>
  <c r="BR25" i="16516"/>
  <c r="BT25" i="16516" s="1"/>
  <c r="GD26" i="16516"/>
  <c r="GH26" i="16516" s="1"/>
  <c r="GJ26" i="16516" s="1"/>
  <c r="GH25" i="16516"/>
  <c r="GJ25" i="16516" s="1"/>
  <c r="GL26" i="16516"/>
  <c r="GP26" i="16516" s="1"/>
  <c r="GR26" i="16516" s="1"/>
  <c r="GP25" i="16516"/>
  <c r="GR25" i="16516" s="1"/>
  <c r="HZ26" i="16516"/>
  <c r="ID26" i="16516" s="1"/>
  <c r="IF26" i="16516" s="1"/>
  <c r="ID25" i="16516"/>
  <c r="IF25" i="16516" s="1"/>
  <c r="BV26" i="16516"/>
  <c r="BZ26" i="16516" s="1"/>
  <c r="CB26" i="16516" s="1"/>
  <c r="BZ25" i="16516"/>
  <c r="CB25" i="16516" s="1"/>
  <c r="Z26" i="16516"/>
  <c r="AD26" i="16516" s="1"/>
  <c r="AF26" i="16516" s="1"/>
  <c r="AD25" i="16516"/>
  <c r="AF25" i="16516" s="1"/>
  <c r="FF26" i="16516"/>
  <c r="FJ26" i="16516" s="1"/>
  <c r="FL26" i="16516" s="1"/>
  <c r="FJ25" i="16516"/>
  <c r="FL25" i="16516" s="1"/>
  <c r="DZ26" i="16516"/>
  <c r="ED26" i="16516" s="1"/>
  <c r="EF26" i="16516" s="1"/>
  <c r="ED25" i="16516"/>
  <c r="EF25" i="16516" s="1"/>
  <c r="FN26" i="16516"/>
  <c r="FR26" i="16516" s="1"/>
  <c r="FT26" i="16516" s="1"/>
  <c r="FR25" i="16516"/>
  <c r="FT25" i="16516" s="1"/>
  <c r="IH26" i="16516"/>
  <c r="IL26" i="16516" s="1"/>
  <c r="IN26" i="16516" s="1"/>
  <c r="IL25" i="16516"/>
  <c r="IN25" i="16516" s="1"/>
  <c r="AP26" i="16516"/>
  <c r="AT26" i="16516" s="1"/>
  <c r="AV26" i="16516" s="1"/>
  <c r="AT25" i="16516"/>
  <c r="AV25" i="16516" s="1"/>
  <c r="DR26" i="16516"/>
  <c r="DV26" i="16516" s="1"/>
  <c r="DX26" i="16516" s="1"/>
  <c r="DV25" i="16516"/>
  <c r="DX25" i="16516" s="1"/>
  <c r="DB26" i="16516"/>
  <c r="DF26" i="16516" s="1"/>
  <c r="DH26" i="16516" s="1"/>
  <c r="DF25" i="16516"/>
  <c r="DH25" i="16516" s="1"/>
  <c r="GT26" i="16516"/>
  <c r="GX26" i="16516" s="1"/>
  <c r="GZ26" i="16516" s="1"/>
  <c r="GX25" i="16516"/>
  <c r="GZ25" i="16516" s="1"/>
  <c r="CT26" i="16516"/>
  <c r="CX26" i="16516" s="1"/>
  <c r="CZ26" i="16516" s="1"/>
  <c r="CX25" i="16516"/>
  <c r="CZ25" i="16516" s="1"/>
  <c r="AH26" i="16516"/>
  <c r="AL26" i="16516" s="1"/>
  <c r="AN26" i="16516" s="1"/>
  <c r="AL25" i="16516"/>
  <c r="AN25" i="16516" s="1"/>
  <c r="HJ26" i="16516"/>
  <c r="HN26" i="16516" s="1"/>
  <c r="HP26" i="16516" s="1"/>
  <c r="HN25" i="16516"/>
  <c r="HP25" i="16516" s="1"/>
  <c r="EH26" i="16516"/>
  <c r="EL26" i="16516" s="1"/>
  <c r="EN26" i="16516" s="1"/>
  <c r="EL25" i="16516"/>
  <c r="EN25" i="16516" s="1"/>
  <c r="FV26" i="16516"/>
  <c r="FZ26" i="16516" s="1"/>
  <c r="GB26" i="16516" s="1"/>
  <c r="FZ25" i="16516"/>
  <c r="GB25" i="16516" s="1"/>
  <c r="HR26" i="16516"/>
  <c r="HV26" i="16516" s="1"/>
  <c r="HX26" i="16516" s="1"/>
  <c r="HV25" i="16516"/>
  <c r="HX25" i="16516" s="1"/>
  <c r="EE131" i="16506" l="1"/>
  <c r="EE132" i="16506"/>
  <c r="AF49" i="16513" l="1"/>
  <c r="AB49" i="16513"/>
  <c r="X49" i="16513"/>
  <c r="T49" i="16513"/>
  <c r="P49" i="16513"/>
  <c r="L49" i="16513"/>
  <c r="H49" i="16513"/>
  <c r="F49" i="16513"/>
  <c r="AI49" i="16513"/>
  <c r="AE49" i="16513"/>
  <c r="AA49" i="16513"/>
  <c r="W49" i="16513"/>
  <c r="S49" i="16513"/>
  <c r="O49" i="16513"/>
  <c r="K49" i="16513"/>
  <c r="G49" i="16513"/>
  <c r="AH49" i="16513"/>
  <c r="AD49" i="16513"/>
  <c r="Z49" i="16513"/>
  <c r="V49" i="16513"/>
  <c r="R49" i="16513"/>
  <c r="N49" i="16513"/>
  <c r="J49" i="16513"/>
  <c r="AG49" i="16513"/>
  <c r="AC49" i="16513"/>
  <c r="Y49" i="16513"/>
  <c r="U49" i="16513"/>
  <c r="Q49" i="16513"/>
  <c r="M49" i="16513"/>
  <c r="I49" i="16513"/>
  <c r="AH50" i="16513"/>
  <c r="AD50" i="16513"/>
  <c r="Z50" i="16513"/>
  <c r="V50" i="16513"/>
  <c r="R50" i="16513"/>
  <c r="N50" i="16513"/>
  <c r="J50" i="16513"/>
  <c r="F50" i="16513"/>
  <c r="AG50" i="16513"/>
  <c r="AC50" i="16513"/>
  <c r="Y50" i="16513"/>
  <c r="U50" i="16513"/>
  <c r="Q50" i="16513"/>
  <c r="M50" i="16513"/>
  <c r="I50" i="16513"/>
  <c r="AF50" i="16513"/>
  <c r="AB50" i="16513"/>
  <c r="X50" i="16513"/>
  <c r="T50" i="16513"/>
  <c r="P50" i="16513"/>
  <c r="L50" i="16513"/>
  <c r="H50" i="16513"/>
  <c r="AI50" i="16513"/>
  <c r="AE50" i="16513"/>
  <c r="AA50" i="16513"/>
  <c r="W50" i="16513"/>
  <c r="S50" i="16513"/>
  <c r="O50" i="16513"/>
  <c r="K50" i="16513"/>
  <c r="G50" i="16513"/>
  <c r="AH54" i="16513"/>
  <c r="AD54" i="16513"/>
  <c r="Z54" i="16513"/>
  <c r="V54" i="16513"/>
  <c r="R54" i="16513"/>
  <c r="N54" i="16513"/>
  <c r="J54" i="16513"/>
  <c r="F54" i="16513"/>
  <c r="AG54" i="16513"/>
  <c r="AC54" i="16513"/>
  <c r="Y54" i="16513"/>
  <c r="U54" i="16513"/>
  <c r="Q54" i="16513"/>
  <c r="M54" i="16513"/>
  <c r="I54" i="16513"/>
  <c r="AF54" i="16513"/>
  <c r="AB54" i="16513"/>
  <c r="X54" i="16513"/>
  <c r="T54" i="16513"/>
  <c r="P54" i="16513"/>
  <c r="L54" i="16513"/>
  <c r="H54" i="16513"/>
  <c r="AI54" i="16513"/>
  <c r="AE54" i="16513"/>
  <c r="AA54" i="16513"/>
  <c r="W54" i="16513"/>
  <c r="S54" i="16513"/>
  <c r="O54" i="16513"/>
  <c r="K54" i="16513"/>
  <c r="G54" i="16513"/>
  <c r="AF59" i="16513"/>
  <c r="AB59" i="16513"/>
  <c r="X59" i="16513"/>
  <c r="T59" i="16513"/>
  <c r="P59" i="16513"/>
  <c r="L59" i="16513"/>
  <c r="H59" i="16513"/>
  <c r="AI59" i="16513"/>
  <c r="AE59" i="16513"/>
  <c r="AA59" i="16513"/>
  <c r="W59" i="16513"/>
  <c r="S59" i="16513"/>
  <c r="O59" i="16513"/>
  <c r="K59" i="16513"/>
  <c r="G59" i="16513"/>
  <c r="AH59" i="16513"/>
  <c r="AD59" i="16513"/>
  <c r="Z59" i="16513"/>
  <c r="V59" i="16513"/>
  <c r="R59" i="16513"/>
  <c r="N59" i="16513"/>
  <c r="J59" i="16513"/>
  <c r="F59" i="16513"/>
  <c r="AG59" i="16513"/>
  <c r="AC59" i="16513"/>
  <c r="Y59" i="16513"/>
  <c r="U59" i="16513"/>
  <c r="Q59" i="16513"/>
  <c r="M59" i="16513"/>
  <c r="I59" i="16513"/>
  <c r="AH60" i="16513"/>
  <c r="AD60" i="16513"/>
  <c r="Z60" i="16513"/>
  <c r="V60" i="16513"/>
  <c r="R60" i="16513"/>
  <c r="N60" i="16513"/>
  <c r="J60" i="16513"/>
  <c r="F60" i="16513"/>
  <c r="AG60" i="16513"/>
  <c r="AC60" i="16513"/>
  <c r="Y60" i="16513"/>
  <c r="U60" i="16513"/>
  <c r="Q60" i="16513"/>
  <c r="M60" i="16513"/>
  <c r="I60" i="16513"/>
  <c r="AF60" i="16513"/>
  <c r="AB60" i="16513"/>
  <c r="X60" i="16513"/>
  <c r="T60" i="16513"/>
  <c r="P60" i="16513"/>
  <c r="L60" i="16513"/>
  <c r="H60" i="16513"/>
  <c r="AI60" i="16513"/>
  <c r="AE60" i="16513"/>
  <c r="AA60" i="16513"/>
  <c r="W60" i="16513"/>
  <c r="S60" i="16513"/>
  <c r="O60" i="16513"/>
  <c r="K60" i="16513"/>
  <c r="G60" i="16513"/>
  <c r="AF53" i="16513"/>
  <c r="AB53" i="16513"/>
  <c r="X53" i="16513"/>
  <c r="T53" i="16513"/>
  <c r="P53" i="16513"/>
  <c r="L53" i="16513"/>
  <c r="H53" i="16513"/>
  <c r="AI53" i="16513"/>
  <c r="AE53" i="16513"/>
  <c r="AA53" i="16513"/>
  <c r="W53" i="16513"/>
  <c r="S53" i="16513"/>
  <c r="O53" i="16513"/>
  <c r="K53" i="16513"/>
  <c r="G53" i="16513"/>
  <c r="AH53" i="16513"/>
  <c r="AD53" i="16513"/>
  <c r="Z53" i="16513"/>
  <c r="V53" i="16513"/>
  <c r="R53" i="16513"/>
  <c r="N53" i="16513"/>
  <c r="J53" i="16513"/>
  <c r="F53" i="16513"/>
  <c r="AG53" i="16513"/>
  <c r="AC53" i="16513"/>
  <c r="Y53" i="16513"/>
  <c r="U53" i="16513"/>
  <c r="Q53" i="16513"/>
  <c r="M53" i="16513"/>
  <c r="I53" i="16513"/>
  <c r="AF51" i="16513"/>
  <c r="AB51" i="16513"/>
  <c r="X51" i="16513"/>
  <c r="T51" i="16513"/>
  <c r="P51" i="16513"/>
  <c r="L51" i="16513"/>
  <c r="H51" i="16513"/>
  <c r="AI51" i="16513"/>
  <c r="AE51" i="16513"/>
  <c r="AA51" i="16513"/>
  <c r="W51" i="16513"/>
  <c r="S51" i="16513"/>
  <c r="O51" i="16513"/>
  <c r="K51" i="16513"/>
  <c r="G51" i="16513"/>
  <c r="AH51" i="16513"/>
  <c r="AD51" i="16513"/>
  <c r="Z51" i="16513"/>
  <c r="V51" i="16513"/>
  <c r="R51" i="16513"/>
  <c r="N51" i="16513"/>
  <c r="J51" i="16513"/>
  <c r="F51" i="16513"/>
  <c r="AG51" i="16513"/>
  <c r="AC51" i="16513"/>
  <c r="Y51" i="16513"/>
  <c r="U51" i="16513"/>
  <c r="Q51" i="16513"/>
  <c r="M51" i="16513"/>
  <c r="I51" i="16513"/>
  <c r="AF55" i="16513"/>
  <c r="AB55" i="16513"/>
  <c r="X55" i="16513"/>
  <c r="T55" i="16513"/>
  <c r="P55" i="16513"/>
  <c r="L55" i="16513"/>
  <c r="H55" i="16513"/>
  <c r="AI55" i="16513"/>
  <c r="AE55" i="16513"/>
  <c r="AA55" i="16513"/>
  <c r="W55" i="16513"/>
  <c r="S55" i="16513"/>
  <c r="O55" i="16513"/>
  <c r="K55" i="16513"/>
  <c r="G55" i="16513"/>
  <c r="AH55" i="16513"/>
  <c r="AD55" i="16513"/>
  <c r="Z55" i="16513"/>
  <c r="V55" i="16513"/>
  <c r="R55" i="16513"/>
  <c r="N55" i="16513"/>
  <c r="J55" i="16513"/>
  <c r="F55" i="16513"/>
  <c r="AG55" i="16513"/>
  <c r="AC55" i="16513"/>
  <c r="Y55" i="16513"/>
  <c r="U55" i="16513"/>
  <c r="Q55" i="16513"/>
  <c r="M55" i="16513"/>
  <c r="I55" i="16513"/>
  <c r="AH48" i="16513"/>
  <c r="AD48" i="16513"/>
  <c r="Z48" i="16513"/>
  <c r="V48" i="16513"/>
  <c r="R48" i="16513"/>
  <c r="N48" i="16513"/>
  <c r="J48" i="16513"/>
  <c r="F48" i="16513"/>
  <c r="T48" i="16513"/>
  <c r="AG48" i="16513"/>
  <c r="AC48" i="16513"/>
  <c r="Y48" i="16513"/>
  <c r="U48" i="16513"/>
  <c r="Q48" i="16513"/>
  <c r="M48" i="16513"/>
  <c r="I48" i="16513"/>
  <c r="AB48" i="16513"/>
  <c r="H48" i="16513"/>
  <c r="AF48" i="16513"/>
  <c r="P48" i="16513"/>
  <c r="AI48" i="16513"/>
  <c r="AE48" i="16513"/>
  <c r="AA48" i="16513"/>
  <c r="W48" i="16513"/>
  <c r="S48" i="16513"/>
  <c r="O48" i="16513"/>
  <c r="K48" i="16513"/>
  <c r="G48" i="16513"/>
  <c r="X48" i="16513"/>
  <c r="L48" i="16513"/>
  <c r="AH52" i="16513"/>
  <c r="AD52" i="16513"/>
  <c r="Z52" i="16513"/>
  <c r="V52" i="16513"/>
  <c r="R52" i="16513"/>
  <c r="N52" i="16513"/>
  <c r="J52" i="16513"/>
  <c r="F52" i="16513"/>
  <c r="AG52" i="16513"/>
  <c r="AC52" i="16513"/>
  <c r="Y52" i="16513"/>
  <c r="U52" i="16513"/>
  <c r="Q52" i="16513"/>
  <c r="M52" i="16513"/>
  <c r="I52" i="16513"/>
  <c r="AF52" i="16513"/>
  <c r="AB52" i="16513"/>
  <c r="X52" i="16513"/>
  <c r="T52" i="16513"/>
  <c r="P52" i="16513"/>
  <c r="L52" i="16513"/>
  <c r="H52" i="16513"/>
  <c r="AI52" i="16513"/>
  <c r="AE52" i="16513"/>
  <c r="AA52" i="16513"/>
  <c r="W52" i="16513"/>
  <c r="S52" i="16513"/>
  <c r="O52" i="16513"/>
  <c r="K52" i="16513"/>
  <c r="G52" i="16513"/>
  <c r="AH56" i="16513"/>
  <c r="AD56" i="16513"/>
  <c r="Z56" i="16513"/>
  <c r="V56" i="16513"/>
  <c r="R56" i="16513"/>
  <c r="N56" i="16513"/>
  <c r="J56" i="16513"/>
  <c r="F56" i="16513"/>
  <c r="AG56" i="16513"/>
  <c r="AC56" i="16513"/>
  <c r="Y56" i="16513"/>
  <c r="U56" i="16513"/>
  <c r="Q56" i="16513"/>
  <c r="M56" i="16513"/>
  <c r="I56" i="16513"/>
  <c r="AF56" i="16513"/>
  <c r="AB56" i="16513"/>
  <c r="X56" i="16513"/>
  <c r="T56" i="16513"/>
  <c r="P56" i="16513"/>
  <c r="L56" i="16513"/>
  <c r="H56" i="16513"/>
  <c r="AI56" i="16513"/>
  <c r="AE56" i="16513"/>
  <c r="AA56" i="16513"/>
  <c r="W56" i="16513"/>
  <c r="S56" i="16513"/>
  <c r="O56" i="16513"/>
  <c r="K56" i="16513"/>
  <c r="G56" i="16513"/>
  <c r="AH58" i="16513"/>
  <c r="AD58" i="16513"/>
  <c r="Z58" i="16513"/>
  <c r="V58" i="16513"/>
  <c r="R58" i="16513"/>
  <c r="N58" i="16513"/>
  <c r="J58" i="16513"/>
  <c r="F58" i="16513"/>
  <c r="AG58" i="16513"/>
  <c r="AC58" i="16513"/>
  <c r="Y58" i="16513"/>
  <c r="U58" i="16513"/>
  <c r="Q58" i="16513"/>
  <c r="M58" i="16513"/>
  <c r="I58" i="16513"/>
  <c r="AF58" i="16513"/>
  <c r="AB58" i="16513"/>
  <c r="X58" i="16513"/>
  <c r="T58" i="16513"/>
  <c r="P58" i="16513"/>
  <c r="L58" i="16513"/>
  <c r="H58" i="16513"/>
  <c r="AI58" i="16513"/>
  <c r="AE58" i="16513"/>
  <c r="AA58" i="16513"/>
  <c r="W58" i="16513"/>
  <c r="S58" i="16513"/>
  <c r="O58" i="16513"/>
  <c r="K58" i="16513"/>
  <c r="G58" i="16513"/>
  <c r="H158" i="16461"/>
  <c r="H150" i="16461"/>
  <c r="H126" i="16461"/>
  <c r="H121" i="16461"/>
  <c r="H120" i="16461"/>
  <c r="H117" i="16461"/>
  <c r="H116" i="16461"/>
  <c r="H114" i="16461"/>
  <c r="H111" i="16461"/>
  <c r="H107" i="16461"/>
  <c r="H106" i="16461"/>
  <c r="H102" i="16461"/>
  <c r="H101" i="16461"/>
  <c r="H100" i="16461"/>
  <c r="H96" i="16461"/>
  <c r="H95" i="16461"/>
  <c r="H94" i="16461"/>
  <c r="H91" i="16461"/>
  <c r="H90" i="16461"/>
  <c r="H87" i="16461"/>
  <c r="H85" i="16461"/>
  <c r="H84" i="16461"/>
  <c r="H80" i="16461"/>
  <c r="H72" i="16461"/>
  <c r="H70" i="16461"/>
  <c r="H54" i="16461"/>
  <c r="H39" i="16461"/>
  <c r="H35" i="16461"/>
  <c r="H33" i="16461"/>
  <c r="H32" i="16461"/>
  <c r="H29" i="16461"/>
  <c r="H26" i="16461"/>
  <c r="H21" i="16461"/>
  <c r="H18" i="16461"/>
  <c r="H14" i="16461"/>
  <c r="H13" i="16461"/>
  <c r="G34" i="16459"/>
  <c r="G14" i="16459"/>
  <c r="G13" i="16459"/>
  <c r="G190" i="16459"/>
  <c r="G189" i="16459"/>
  <c r="H57" i="16461"/>
  <c r="H49" i="16461"/>
  <c r="H77" i="16461"/>
  <c r="H169" i="16461"/>
  <c r="H71" i="16461"/>
  <c r="H62" i="16461"/>
  <c r="H110" i="16461"/>
  <c r="H75" i="16461"/>
  <c r="H118" i="16461"/>
  <c r="H145" i="16461"/>
  <c r="H129" i="16461"/>
  <c r="H138" i="16461"/>
  <c r="H155" i="16461"/>
  <c r="H182" i="16461"/>
  <c r="H175" i="16461"/>
  <c r="H108" i="16461"/>
  <c r="H50" i="16461"/>
  <c r="H76" i="16461"/>
  <c r="H81" i="16461"/>
  <c r="H115" i="16461"/>
  <c r="H60" i="16461"/>
  <c r="H164" i="16461"/>
  <c r="H180" i="16461"/>
  <c r="H179" i="16461"/>
  <c r="H177" i="16461"/>
  <c r="H166" i="16461"/>
  <c r="H165" i="16461"/>
  <c r="H162" i="16461"/>
  <c r="H152" i="16461"/>
  <c r="H160" i="16461"/>
  <c r="H176" i="16461"/>
  <c r="H153" i="16461"/>
  <c r="H151" i="16461"/>
  <c r="H44" i="16461"/>
  <c r="H78" i="16461"/>
  <c r="H55" i="16461"/>
  <c r="H58" i="16461"/>
  <c r="H19" i="16461"/>
  <c r="H147" i="16461"/>
  <c r="H178" i="16461"/>
  <c r="H130" i="16461"/>
  <c r="H173" i="16461"/>
  <c r="H134" i="16461"/>
  <c r="H123" i="16461"/>
  <c r="H56" i="16461"/>
  <c r="H163" i="16461"/>
  <c r="H135" i="16461"/>
  <c r="H161" i="16461"/>
  <c r="H82" i="16461"/>
  <c r="H146" i="16461"/>
  <c r="H139" i="16461"/>
  <c r="H22" i="16461"/>
  <c r="H113" i="16461"/>
  <c r="H172" i="16461"/>
  <c r="H51" i="16461"/>
  <c r="H73" i="16461"/>
  <c r="H183" i="16461"/>
  <c r="H140" i="16461"/>
  <c r="H10" i="16461"/>
  <c r="H11" i="16461"/>
  <c r="H65" i="16461"/>
  <c r="H66" i="16461"/>
  <c r="H171" i="16461"/>
  <c r="H170" i="16461"/>
  <c r="H142" i="16461"/>
  <c r="H68" i="16461"/>
  <c r="H131" i="16461"/>
  <c r="H63" i="16461"/>
  <c r="H64" i="16461"/>
  <c r="H40" i="16461"/>
  <c r="AJ56" i="16513" l="1"/>
  <c r="AJ53" i="16513"/>
  <c r="AJ54" i="16513"/>
  <c r="AJ58" i="16513"/>
  <c r="AJ51" i="16513"/>
  <c r="AJ48" i="16513"/>
  <c r="AJ55" i="16513"/>
  <c r="AJ60" i="16513"/>
  <c r="AJ59" i="16513"/>
  <c r="AJ52" i="16513"/>
  <c r="AJ50" i="16513"/>
  <c r="AJ49" i="16513"/>
  <c r="H39" i="16513"/>
  <c r="F39" i="16513"/>
  <c r="G39" i="16513"/>
  <c r="H48" i="16461"/>
  <c r="H43" i="16461"/>
  <c r="H37" i="16461"/>
  <c r="H52" i="16461"/>
  <c r="H30" i="16461"/>
  <c r="H24" i="16461"/>
  <c r="H36" i="16461"/>
  <c r="H41" i="16461"/>
  <c r="H46" i="16461"/>
  <c r="H61" i="16461"/>
  <c r="H136" i="16461"/>
  <c r="H141" i="16461"/>
  <c r="H156" i="16461"/>
  <c r="H92" i="16461"/>
  <c r="H97" i="16461"/>
  <c r="H112" i="16461"/>
  <c r="H127" i="16461"/>
  <c r="H133" i="16461"/>
  <c r="H157" i="16461"/>
  <c r="H15" i="16461"/>
  <c r="H27" i="16461"/>
  <c r="H67" i="16461"/>
  <c r="H88" i="16461"/>
  <c r="H98" i="16461"/>
  <c r="H103" i="16461"/>
  <c r="H122" i="16461"/>
  <c r="H143" i="16461"/>
  <c r="H148" i="16461"/>
  <c r="H167" i="16461"/>
  <c r="H23" i="16461"/>
  <c r="H45" i="16461"/>
  <c r="H104" i="16461"/>
  <c r="G41" i="16513" l="1"/>
  <c r="H41" i="16513"/>
  <c r="F41" i="16513"/>
  <c r="F42" i="16513"/>
  <c r="H42" i="16513"/>
  <c r="G42" i="16513"/>
  <c r="N7" i="16479"/>
  <c r="L25" i="16527"/>
  <c r="K25" i="16527"/>
  <c r="J25" i="16527"/>
  <c r="I25" i="16527"/>
  <c r="G25" i="16527"/>
  <c r="F25" i="16527"/>
  <c r="L20" i="16527"/>
  <c r="K20" i="16527"/>
  <c r="J20" i="16527"/>
  <c r="I20" i="16527"/>
  <c r="G20" i="16527"/>
  <c r="F20" i="16527"/>
  <c r="L16" i="16527"/>
  <c r="K16" i="16527"/>
  <c r="J16" i="16527"/>
  <c r="I16" i="16527"/>
  <c r="G16" i="16527"/>
  <c r="F16" i="16527"/>
  <c r="L11" i="16527"/>
  <c r="K11" i="16527"/>
  <c r="J11" i="16527"/>
  <c r="I11" i="16527"/>
  <c r="G11" i="16527"/>
  <c r="F11" i="16527"/>
  <c r="L27" i="16527" l="1"/>
  <c r="J27" i="16527"/>
  <c r="J30" i="16527" s="1"/>
  <c r="F27" i="16527"/>
  <c r="F30" i="16527" s="1"/>
  <c r="G27" i="16527"/>
  <c r="G30" i="16527" s="1"/>
  <c r="K27" i="16527"/>
  <c r="K30" i="16527" s="1"/>
  <c r="I27" i="16527"/>
  <c r="I30" i="16527" s="1"/>
  <c r="H259" i="16508"/>
  <c r="H157" i="16508"/>
  <c r="J250" i="16508"/>
  <c r="N5" i="16479"/>
  <c r="L30" i="16527" l="1"/>
  <c r="I95" i="16479"/>
  <c r="D52" i="16516" s="1"/>
  <c r="I80" i="16479"/>
  <c r="I86" i="16479"/>
  <c r="D16" i="16516" s="1"/>
  <c r="I90" i="16479"/>
  <c r="I94" i="16479"/>
  <c r="D24" i="16516" s="1"/>
  <c r="I83" i="16479"/>
  <c r="D13" i="16516" s="1"/>
  <c r="I87" i="16479"/>
  <c r="D17" i="16516" s="1"/>
  <c r="I93" i="16479"/>
  <c r="D23" i="16516" s="1"/>
  <c r="I81" i="16479"/>
  <c r="D11" i="16516" s="1"/>
  <c r="I84" i="16479"/>
  <c r="D14" i="16516" s="1"/>
  <c r="I88" i="16479"/>
  <c r="D18" i="16516" s="1"/>
  <c r="I91" i="16479"/>
  <c r="D21" i="16516" s="1"/>
  <c r="I82" i="16479"/>
  <c r="I85" i="16479"/>
  <c r="D15" i="16516" s="1"/>
  <c r="I89" i="16479"/>
  <c r="D19" i="16516" s="1"/>
  <c r="I92" i="16479"/>
  <c r="D22" i="16516" s="1"/>
  <c r="I74" i="16479"/>
  <c r="D44" i="16516" s="1"/>
  <c r="I73" i="16479"/>
  <c r="I72" i="16479"/>
  <c r="D70" i="16516" s="1"/>
  <c r="I77" i="16479"/>
  <c r="D58" i="16516" s="1"/>
  <c r="I78" i="16479"/>
  <c r="D10" i="16516" s="1"/>
  <c r="I75" i="16479"/>
  <c r="I76" i="16479"/>
  <c r="D59" i="16516" s="1"/>
  <c r="I79" i="16479"/>
  <c r="D12" i="16516" s="1"/>
  <c r="G26" i="16459"/>
  <c r="G129" i="16459"/>
  <c r="G133" i="16459"/>
  <c r="G183" i="16461"/>
  <c r="G182" i="16461"/>
  <c r="G180" i="16461"/>
  <c r="G179" i="16461"/>
  <c r="G178" i="16461"/>
  <c r="G177" i="16461"/>
  <c r="G176" i="16461"/>
  <c r="G175" i="16461"/>
  <c r="G173" i="16461"/>
  <c r="G172" i="16461"/>
  <c r="G171" i="16461"/>
  <c r="G170" i="16461"/>
  <c r="G169" i="16461"/>
  <c r="G167" i="16461"/>
  <c r="G166" i="16461"/>
  <c r="G165" i="16461"/>
  <c r="G164" i="16461"/>
  <c r="G163" i="16461"/>
  <c r="G162" i="16461"/>
  <c r="G161" i="16461"/>
  <c r="G160" i="16461"/>
  <c r="G158" i="16461"/>
  <c r="F159" i="16460" s="1"/>
  <c r="G157" i="16461"/>
  <c r="G156" i="16461"/>
  <c r="G155" i="16461"/>
  <c r="G153" i="16461"/>
  <c r="G152" i="16461"/>
  <c r="G151" i="16461"/>
  <c r="G150" i="16461"/>
  <c r="G148" i="16461"/>
  <c r="G147" i="16461"/>
  <c r="G146" i="16461"/>
  <c r="G145" i="16461"/>
  <c r="G143" i="16461"/>
  <c r="G142" i="16461"/>
  <c r="G141" i="16461"/>
  <c r="G140" i="16461"/>
  <c r="G139" i="16461"/>
  <c r="G138" i="16461"/>
  <c r="G136" i="16461"/>
  <c r="G135" i="16461"/>
  <c r="G134" i="16461"/>
  <c r="G133" i="16461"/>
  <c r="G131" i="16461"/>
  <c r="G130" i="16461"/>
  <c r="G129" i="16461"/>
  <c r="G127" i="16461"/>
  <c r="G126" i="16461"/>
  <c r="G123" i="16461"/>
  <c r="G122" i="16461"/>
  <c r="G121" i="16461"/>
  <c r="G120" i="16461"/>
  <c r="G118" i="16461"/>
  <c r="G117" i="16461"/>
  <c r="G116" i="16461"/>
  <c r="G115" i="16461"/>
  <c r="G114" i="16461"/>
  <c r="G113" i="16461"/>
  <c r="G112" i="16461"/>
  <c r="G111" i="16461"/>
  <c r="G110" i="16461"/>
  <c r="G108" i="16461"/>
  <c r="G107" i="16461"/>
  <c r="G106" i="16461"/>
  <c r="G104" i="16461"/>
  <c r="G103" i="16461"/>
  <c r="G102" i="16461"/>
  <c r="G101" i="16461"/>
  <c r="G100" i="16461"/>
  <c r="G98" i="16461"/>
  <c r="G97" i="16461"/>
  <c r="G96" i="16461"/>
  <c r="G95" i="16461"/>
  <c r="G94" i="16461"/>
  <c r="G92" i="16461"/>
  <c r="G91" i="16461"/>
  <c r="G90" i="16461"/>
  <c r="G87" i="16461"/>
  <c r="G88" i="16461"/>
  <c r="G85" i="16461"/>
  <c r="G84" i="16461"/>
  <c r="G82" i="16461"/>
  <c r="G81" i="16461"/>
  <c r="G80" i="16461"/>
  <c r="G78" i="16461"/>
  <c r="G77" i="16461"/>
  <c r="G76" i="16461"/>
  <c r="G75" i="16461"/>
  <c r="G73" i="16461"/>
  <c r="G72" i="16461"/>
  <c r="G71" i="16461"/>
  <c r="G70" i="16461"/>
  <c r="F70" i="16460" s="1"/>
  <c r="G68" i="16461"/>
  <c r="G67" i="16461"/>
  <c r="G66" i="16461"/>
  <c r="G65" i="16461"/>
  <c r="G64" i="16461"/>
  <c r="G63" i="16461"/>
  <c r="G62" i="16461"/>
  <c r="G61" i="16461"/>
  <c r="G60" i="16461"/>
  <c r="G58" i="16461"/>
  <c r="G57" i="16461"/>
  <c r="G56" i="16461"/>
  <c r="G55" i="16461"/>
  <c r="G54" i="16461"/>
  <c r="G52" i="16461"/>
  <c r="G51" i="16461"/>
  <c r="G50" i="16461"/>
  <c r="G49" i="16461"/>
  <c r="G48" i="16461"/>
  <c r="G46" i="16461"/>
  <c r="G45" i="16461"/>
  <c r="G44" i="16461"/>
  <c r="G43" i="16461"/>
  <c r="G41" i="16461"/>
  <c r="G40" i="16461"/>
  <c r="G39" i="16461"/>
  <c r="G37" i="16461"/>
  <c r="G36" i="16461"/>
  <c r="G35" i="16461"/>
  <c r="G33" i="16461"/>
  <c r="G32" i="16461"/>
  <c r="G30" i="16461"/>
  <c r="G29" i="16461"/>
  <c r="G27" i="16461"/>
  <c r="G26" i="16461"/>
  <c r="G24" i="16461"/>
  <c r="G23" i="16461"/>
  <c r="G22" i="16461"/>
  <c r="G21" i="16461"/>
  <c r="F21" i="16460" s="1"/>
  <c r="G19" i="16461"/>
  <c r="G18" i="16461"/>
  <c r="G15" i="16461"/>
  <c r="G14" i="16461"/>
  <c r="G13" i="16461"/>
  <c r="G11" i="16461"/>
  <c r="G10" i="16461"/>
  <c r="O18" i="16516" l="1"/>
  <c r="O16" i="16516"/>
  <c r="O22" i="16516"/>
  <c r="O21" i="16516"/>
  <c r="O23" i="16516"/>
  <c r="O17" i="16516"/>
  <c r="O15" i="16516"/>
  <c r="O14" i="16516"/>
  <c r="O13" i="16516"/>
  <c r="O19" i="16516"/>
  <c r="O24" i="16516"/>
  <c r="O10" i="16516"/>
  <c r="I25" i="16479" l="1"/>
  <c r="I305" i="16508" s="1"/>
  <c r="I26" i="16479"/>
  <c r="I307" i="16508" s="1"/>
  <c r="I27" i="16479"/>
  <c r="I28" i="16479"/>
  <c r="D30" i="16516" s="1"/>
  <c r="I29" i="16479"/>
  <c r="I315" i="16508" s="1"/>
  <c r="J315" i="16508" s="1"/>
  <c r="I30" i="16479"/>
  <c r="I316" i="16508" s="1"/>
  <c r="J316" i="16508" s="1"/>
  <c r="I31" i="16479"/>
  <c r="I276" i="16508" s="1"/>
  <c r="I32" i="16479"/>
  <c r="I62" i="16508" s="1"/>
  <c r="I33" i="16479"/>
  <c r="I34" i="16479"/>
  <c r="I63" i="16508" s="1"/>
  <c r="I35" i="16479"/>
  <c r="I64" i="16508" s="1"/>
  <c r="I36" i="16479"/>
  <c r="I37" i="16479"/>
  <c r="I65" i="16508" s="1"/>
  <c r="I38" i="16479"/>
  <c r="I39" i="16479"/>
  <c r="I40" i="16479"/>
  <c r="I306" i="16508" s="1"/>
  <c r="I41" i="16479"/>
  <c r="I42" i="16479"/>
  <c r="D20" i="16516" s="1"/>
  <c r="I43" i="16479"/>
  <c r="D29" i="16516" s="1"/>
  <c r="I44" i="16479"/>
  <c r="D31" i="16516" s="1"/>
  <c r="I45" i="16479"/>
  <c r="I46" i="16479"/>
  <c r="D36" i="16516" s="1"/>
  <c r="I47" i="16479"/>
  <c r="I48" i="16479"/>
  <c r="D38" i="16516" s="1"/>
  <c r="I49" i="16479"/>
  <c r="I50" i="16479"/>
  <c r="D40" i="16516" s="1"/>
  <c r="I51" i="16479"/>
  <c r="D42" i="16516" s="1"/>
  <c r="I52" i="16479"/>
  <c r="I53" i="16479"/>
  <c r="D53" i="16516" s="1"/>
  <c r="I54" i="16479"/>
  <c r="D45" i="16516" s="1"/>
  <c r="I55" i="16479"/>
  <c r="D46" i="16516" s="1"/>
  <c r="I56" i="16479"/>
  <c r="D54" i="16516" s="1"/>
  <c r="I57" i="16479"/>
  <c r="D57" i="16516" s="1"/>
  <c r="I58" i="16479"/>
  <c r="I59" i="16479"/>
  <c r="D60" i="16516" s="1"/>
  <c r="I60" i="16479"/>
  <c r="D62" i="16516" s="1"/>
  <c r="I61" i="16479"/>
  <c r="D63" i="16516" s="1"/>
  <c r="I62" i="16479"/>
  <c r="I63" i="16479"/>
  <c r="I64" i="16479"/>
  <c r="D65" i="16516" s="1"/>
  <c r="I65" i="16479"/>
  <c r="I66" i="16479"/>
  <c r="D32" i="16516" s="1"/>
  <c r="I67" i="16479"/>
  <c r="D47" i="16516" s="1"/>
  <c r="I68" i="16479"/>
  <c r="D48" i="16516" s="1"/>
  <c r="I69" i="16479"/>
  <c r="D49" i="16516" s="1"/>
  <c r="I70" i="16479"/>
  <c r="D50" i="16516" s="1"/>
  <c r="I71" i="16479"/>
  <c r="D68" i="16516" s="1"/>
  <c r="CZ68" i="16516" l="1"/>
  <c r="CZ67" i="16516" s="1"/>
  <c r="Q11" i="16514" s="1"/>
  <c r="Q81" i="16513" s="1"/>
  <c r="DH68" i="16516"/>
  <c r="DH67" i="16516" s="1"/>
  <c r="R11" i="16514" s="1"/>
  <c r="R81" i="16513" s="1"/>
  <c r="EN68" i="16516"/>
  <c r="EN67" i="16516" s="1"/>
  <c r="V11" i="16514" s="1"/>
  <c r="V81" i="16513" s="1"/>
  <c r="DX68" i="16516"/>
  <c r="DX67" i="16516" s="1"/>
  <c r="T11" i="16514" s="1"/>
  <c r="T81" i="16513" s="1"/>
  <c r="DP68" i="16516"/>
  <c r="DP67" i="16516" s="1"/>
  <c r="S11" i="16514" s="1"/>
  <c r="S81" i="16513" s="1"/>
  <c r="EF68" i="16516"/>
  <c r="EF67" i="16516" s="1"/>
  <c r="U11" i="16514" s="1"/>
  <c r="U81" i="16513" s="1"/>
  <c r="D35" i="16516"/>
  <c r="D34" i="16516"/>
  <c r="O20" i="16516"/>
  <c r="I44" i="16508"/>
  <c r="J44" i="16508" s="1"/>
  <c r="I304" i="16508"/>
  <c r="J304" i="16508" s="1"/>
  <c r="I308" i="16508"/>
  <c r="J308" i="16508" s="1"/>
  <c r="I48" i="16508"/>
  <c r="I312" i="16508"/>
  <c r="I260" i="16508"/>
  <c r="J260" i="16508" s="1"/>
  <c r="I158" i="16508"/>
  <c r="J158" i="16508" s="1"/>
  <c r="I39" i="16508"/>
  <c r="J39" i="16508" s="1"/>
  <c r="I68" i="16508"/>
  <c r="I181" i="16508"/>
  <c r="I38" i="16508"/>
  <c r="J38" i="16508" s="1"/>
  <c r="I303" i="16508"/>
  <c r="J303" i="16508" s="1"/>
  <c r="I157" i="16508"/>
  <c r="J157" i="16508" s="1"/>
  <c r="I259" i="16508"/>
  <c r="J259" i="16508" s="1"/>
  <c r="I317" i="16508"/>
  <c r="J317" i="16508" s="1"/>
  <c r="I53" i="16508"/>
  <c r="I49" i="16508"/>
  <c r="I313" i="16508"/>
  <c r="I264" i="16508"/>
  <c r="J264" i="16508" s="1"/>
  <c r="I163" i="16508"/>
  <c r="J163" i="16508" s="1"/>
  <c r="I268" i="16508"/>
  <c r="I167" i="16508"/>
  <c r="J167" i="16508" s="1"/>
  <c r="I52" i="16508"/>
  <c r="I272" i="16508"/>
  <c r="J272" i="16508" s="1"/>
  <c r="I171" i="16508"/>
  <c r="I262" i="16508"/>
  <c r="I161" i="16508"/>
  <c r="J161" i="16508" s="1"/>
  <c r="I273" i="16508"/>
  <c r="J273" i="16508" s="1"/>
  <c r="I172" i="16508"/>
  <c r="I51" i="16508"/>
  <c r="I271" i="16508"/>
  <c r="J271" i="16508" s="1"/>
  <c r="I170" i="16508"/>
  <c r="I43" i="16508"/>
  <c r="J43" i="16508" s="1"/>
  <c r="I263" i="16508"/>
  <c r="J263" i="16508" s="1"/>
  <c r="I162" i="16508"/>
  <c r="J162" i="16508" s="1"/>
  <c r="I56" i="16508"/>
  <c r="J56" i="16508" s="1"/>
  <c r="J55" i="16508" s="1"/>
  <c r="I175" i="16508"/>
  <c r="I269" i="16508"/>
  <c r="I168" i="16508"/>
  <c r="J168" i="16508" s="1"/>
  <c r="I40" i="16508"/>
  <c r="J40" i="16508" s="1"/>
  <c r="I261" i="16508"/>
  <c r="I160" i="16508"/>
  <c r="I13" i="16479" l="1"/>
  <c r="I29" i="16508" s="1"/>
  <c r="J29" i="16508" s="1"/>
  <c r="I14" i="16479"/>
  <c r="I30" i="16508" s="1"/>
  <c r="J30" i="16508" s="1"/>
  <c r="I15" i="16479"/>
  <c r="I31" i="16508" s="1"/>
  <c r="J31" i="16508" s="1"/>
  <c r="I16" i="16479"/>
  <c r="D39" i="16516" s="1"/>
  <c r="I17" i="16479"/>
  <c r="I18" i="16479"/>
  <c r="I19" i="16479"/>
  <c r="I20" i="16479"/>
  <c r="I32" i="16508" s="1"/>
  <c r="J32" i="16508" s="1"/>
  <c r="I21" i="16479"/>
  <c r="I300" i="16508" s="1"/>
  <c r="I22" i="16479"/>
  <c r="I301" i="16508" s="1"/>
  <c r="I23" i="16479"/>
  <c r="I302" i="16508" s="1"/>
  <c r="I24" i="16479"/>
  <c r="I12" i="16479"/>
  <c r="I195" i="16508" s="1"/>
  <c r="I11" i="16479"/>
  <c r="I194" i="16508" s="1"/>
  <c r="I10" i="16479" l="1"/>
  <c r="I193" i="16508" s="1"/>
  <c r="I19" i="16508"/>
  <c r="I293" i="16508"/>
  <c r="I246" i="16508"/>
  <c r="I145" i="16508"/>
  <c r="J145" i="16508" s="1"/>
  <c r="I258" i="16508"/>
  <c r="I159" i="16508"/>
  <c r="I37" i="16508"/>
  <c r="J37" i="16508" s="1"/>
  <c r="I35" i="16508"/>
  <c r="J35" i="16508" s="1"/>
  <c r="I256" i="16508"/>
  <c r="I155" i="16508"/>
  <c r="I25" i="16508"/>
  <c r="I253" i="16508"/>
  <c r="J253" i="16508" s="1"/>
  <c r="I152" i="16508"/>
  <c r="I251" i="16508"/>
  <c r="I150" i="16508"/>
  <c r="I41" i="16508"/>
  <c r="J41" i="16508" s="1"/>
  <c r="I23" i="16508"/>
  <c r="I294" i="16508"/>
  <c r="I247" i="16508"/>
  <c r="I146" i="16508"/>
  <c r="I257" i="16508"/>
  <c r="I156" i="16508"/>
  <c r="I36" i="16508"/>
  <c r="J36" i="16508" s="1"/>
  <c r="I17" i="16508"/>
  <c r="I24" i="16508"/>
  <c r="I252" i="16508"/>
  <c r="I151" i="16508"/>
  <c r="I42" i="16508"/>
  <c r="J42" i="16508" s="1"/>
  <c r="J27" i="16508"/>
  <c r="I16" i="16508"/>
  <c r="I13" i="16508"/>
  <c r="I12" i="16508"/>
  <c r="I18" i="16508"/>
  <c r="I106" i="16506"/>
  <c r="I107" i="16506"/>
  <c r="I93" i="16506"/>
  <c r="I144" i="16508" l="1"/>
  <c r="I11" i="16508"/>
  <c r="I245" i="16508"/>
  <c r="I292" i="16508"/>
  <c r="J34" i="16508"/>
  <c r="L40" i="16458" l="1"/>
  <c r="L23" i="16529" l="1"/>
  <c r="U23" i="16529" s="1"/>
  <c r="L22" i="16529"/>
  <c r="M18" i="16529"/>
  <c r="M16" i="16529"/>
  <c r="O16" i="16529" s="1"/>
  <c r="Q16" i="16529" s="1"/>
  <c r="L15" i="16529"/>
  <c r="M15" i="16529" s="1"/>
  <c r="N15" i="16529" s="1"/>
  <c r="O15" i="16529" s="1"/>
  <c r="P15" i="16529" s="1"/>
  <c r="L14" i="16529"/>
  <c r="M14" i="16529" s="1"/>
  <c r="N14" i="16529" s="1"/>
  <c r="O14" i="16529" s="1"/>
  <c r="P14" i="16529" s="1"/>
  <c r="F11" i="16529"/>
  <c r="M11" i="16529" s="1"/>
  <c r="R14" i="16529" l="1"/>
  <c r="Q14" i="16529"/>
  <c r="R15" i="16529"/>
  <c r="S15" i="16529" s="1"/>
  <c r="Q15" i="16529"/>
  <c r="U22" i="16529"/>
  <c r="U15" i="16529"/>
  <c r="U16" i="16529"/>
  <c r="O18" i="16529"/>
  <c r="Q18" i="16529" s="1"/>
  <c r="M25" i="16529"/>
  <c r="N11" i="16529"/>
  <c r="N25" i="16529" s="1"/>
  <c r="L11" i="16529"/>
  <c r="P11" i="16529"/>
  <c r="V11" i="16529"/>
  <c r="V25" i="16529" s="1"/>
  <c r="O11" i="16529"/>
  <c r="G10" i="16529"/>
  <c r="G8" i="16529"/>
  <c r="G9" i="16529"/>
  <c r="G7" i="16529"/>
  <c r="G6" i="16529"/>
  <c r="G23" i="16529"/>
  <c r="G22" i="16529"/>
  <c r="G18" i="16529"/>
  <c r="G16" i="16529"/>
  <c r="G15" i="16529"/>
  <c r="G14" i="16529"/>
  <c r="R25" i="16529" l="1"/>
  <c r="O25" i="16529"/>
  <c r="S14" i="16529"/>
  <c r="U14" i="16529" s="1"/>
  <c r="P25" i="16529"/>
  <c r="Q11" i="16529"/>
  <c r="Q25" i="16529" s="1"/>
  <c r="U18" i="16529"/>
  <c r="T25" i="16529"/>
  <c r="L25" i="16529"/>
  <c r="G11" i="16529"/>
  <c r="H25" i="16509"/>
  <c r="I25" i="16509" s="1"/>
  <c r="H23" i="16509"/>
  <c r="I23" i="16509" s="1"/>
  <c r="U11" i="16529" l="1"/>
  <c r="S25" i="16529"/>
  <c r="U25" i="16529"/>
  <c r="F27" i="16458"/>
  <c r="F29" i="16458"/>
  <c r="F35" i="16458"/>
  <c r="F36" i="16458"/>
  <c r="F43" i="16458"/>
  <c r="F45" i="16458"/>
  <c r="F46" i="16458"/>
  <c r="F47" i="16458"/>
  <c r="F48" i="16458"/>
  <c r="F50" i="16458"/>
  <c r="F71" i="16458"/>
  <c r="F74" i="16458"/>
  <c r="F76" i="16458"/>
  <c r="F85" i="16458"/>
  <c r="F86" i="16458"/>
  <c r="F88" i="16458"/>
  <c r="F89" i="16458"/>
  <c r="H9" i="16509"/>
  <c r="I9" i="16509" s="1"/>
  <c r="H10" i="16509"/>
  <c r="I10" i="16509" s="1"/>
  <c r="H11" i="16509"/>
  <c r="I11" i="16509" s="1"/>
  <c r="H12" i="16509"/>
  <c r="I12" i="16509" s="1"/>
  <c r="H8" i="16509"/>
  <c r="I8" i="16509" s="1"/>
  <c r="E183" i="16460" l="1"/>
  <c r="E182" i="16460"/>
  <c r="E180" i="16460"/>
  <c r="E179" i="16460"/>
  <c r="E178" i="16460"/>
  <c r="E177" i="16460"/>
  <c r="E176" i="16460"/>
  <c r="E175" i="16460"/>
  <c r="E173" i="16460"/>
  <c r="E172" i="16460"/>
  <c r="E171" i="16460"/>
  <c r="E170" i="16460"/>
  <c r="E169" i="16460"/>
  <c r="E167" i="16460"/>
  <c r="E166" i="16460"/>
  <c r="E165" i="16460"/>
  <c r="E164" i="16460"/>
  <c r="E163" i="16460"/>
  <c r="E162" i="16460"/>
  <c r="E161" i="16460"/>
  <c r="E160" i="16460"/>
  <c r="E158" i="16460"/>
  <c r="E157" i="16460"/>
  <c r="E156" i="16460"/>
  <c r="E155" i="16460"/>
  <c r="E153" i="16460"/>
  <c r="E152" i="16460"/>
  <c r="E151" i="16460"/>
  <c r="E150" i="16460"/>
  <c r="E148" i="16460"/>
  <c r="E147" i="16460"/>
  <c r="E146" i="16460"/>
  <c r="E145" i="16460"/>
  <c r="E143" i="16460"/>
  <c r="E142" i="16460"/>
  <c r="E141" i="16460"/>
  <c r="E140" i="16460"/>
  <c r="E139" i="16460"/>
  <c r="E138" i="16460"/>
  <c r="E136" i="16460"/>
  <c r="E135" i="16460"/>
  <c r="E134" i="16460"/>
  <c r="E133" i="16460"/>
  <c r="E131" i="16460"/>
  <c r="E130" i="16460"/>
  <c r="E129" i="16460"/>
  <c r="E127" i="16460"/>
  <c r="E126" i="16460"/>
  <c r="E123" i="16460"/>
  <c r="E122" i="16460"/>
  <c r="E121" i="16460"/>
  <c r="E120" i="16460"/>
  <c r="E118" i="16460"/>
  <c r="E117" i="16460"/>
  <c r="E116" i="16460"/>
  <c r="E115" i="16460"/>
  <c r="E114" i="16460"/>
  <c r="E113" i="16460"/>
  <c r="E112" i="16460"/>
  <c r="E111" i="16460"/>
  <c r="E110" i="16460"/>
  <c r="E108" i="16460"/>
  <c r="E107" i="16460"/>
  <c r="E106" i="16460"/>
  <c r="E104" i="16460"/>
  <c r="E103" i="16460"/>
  <c r="E102" i="16460"/>
  <c r="E101" i="16460"/>
  <c r="E100" i="16460"/>
  <c r="E98" i="16460"/>
  <c r="E97" i="16460"/>
  <c r="E96" i="16460"/>
  <c r="E95" i="16460"/>
  <c r="E94" i="16460"/>
  <c r="E92" i="16460"/>
  <c r="E91" i="16460"/>
  <c r="E90" i="16460"/>
  <c r="E88" i="16460"/>
  <c r="E87" i="16460"/>
  <c r="E85" i="16460"/>
  <c r="E84" i="16460"/>
  <c r="E82" i="16460"/>
  <c r="E81" i="16460"/>
  <c r="E80" i="16460"/>
  <c r="E78" i="16460"/>
  <c r="E77" i="16460"/>
  <c r="E76" i="16460"/>
  <c r="E75" i="16460"/>
  <c r="E73" i="16460"/>
  <c r="E72" i="16460"/>
  <c r="E71" i="16460"/>
  <c r="E70" i="16460"/>
  <c r="E68" i="16460"/>
  <c r="E67" i="16460"/>
  <c r="E66" i="16460"/>
  <c r="E65" i="16460"/>
  <c r="E64" i="16460"/>
  <c r="E63" i="16460"/>
  <c r="E62" i="16460"/>
  <c r="E61" i="16460"/>
  <c r="E60" i="16460"/>
  <c r="E58" i="16460"/>
  <c r="E57" i="16460"/>
  <c r="E56" i="16460"/>
  <c r="E55" i="16460"/>
  <c r="E54" i="16460"/>
  <c r="E52" i="16460"/>
  <c r="E51" i="16460"/>
  <c r="E50" i="16460"/>
  <c r="E49" i="16460"/>
  <c r="E48" i="16460"/>
  <c r="E46" i="16460"/>
  <c r="E45" i="16460"/>
  <c r="E44" i="16460"/>
  <c r="E43" i="16460"/>
  <c r="E41" i="16460"/>
  <c r="E40" i="16460"/>
  <c r="E39" i="16460"/>
  <c r="E37" i="16460"/>
  <c r="E36" i="16460"/>
  <c r="E35" i="16460"/>
  <c r="E33" i="16460"/>
  <c r="E32" i="16460"/>
  <c r="E30" i="16460"/>
  <c r="E29" i="16460"/>
  <c r="E27" i="16460"/>
  <c r="E26" i="16460"/>
  <c r="E24" i="16460"/>
  <c r="E23" i="16460"/>
  <c r="E22" i="16460"/>
  <c r="E21" i="16460"/>
  <c r="E19" i="16460"/>
  <c r="E18" i="16460"/>
  <c r="E15" i="16460"/>
  <c r="E14" i="16460"/>
  <c r="E13" i="16460"/>
  <c r="E11" i="16460"/>
  <c r="E10" i="16460"/>
  <c r="F180" i="16460" l="1"/>
  <c r="F179" i="16460"/>
  <c r="D188" i="16459"/>
  <c r="E188" i="16459"/>
  <c r="D186" i="16459"/>
  <c r="E186" i="16459"/>
  <c r="F135" i="16460"/>
  <c r="D187" i="16459"/>
  <c r="E187" i="16459"/>
  <c r="F183" i="16460"/>
  <c r="F182" i="16460"/>
  <c r="F178" i="16460"/>
  <c r="F177" i="16460"/>
  <c r="F176" i="16460"/>
  <c r="F175" i="16460"/>
  <c r="F173" i="16460"/>
  <c r="F172" i="16460"/>
  <c r="F171" i="16460"/>
  <c r="F170" i="16460"/>
  <c r="F169" i="16460"/>
  <c r="F167" i="16460"/>
  <c r="F166" i="16460"/>
  <c r="F165" i="16460"/>
  <c r="F164" i="16460"/>
  <c r="F163" i="16460"/>
  <c r="F162" i="16460"/>
  <c r="F161" i="16460"/>
  <c r="F160" i="16460"/>
  <c r="F158" i="16460"/>
  <c r="F157" i="16460"/>
  <c r="F156" i="16460"/>
  <c r="F155" i="16460"/>
  <c r="F153" i="16460"/>
  <c r="F152" i="16460"/>
  <c r="F151" i="16460"/>
  <c r="F150" i="16460"/>
  <c r="F148" i="16460"/>
  <c r="F147" i="16460"/>
  <c r="F146" i="16460"/>
  <c r="F145" i="16460"/>
  <c r="F143" i="16460"/>
  <c r="F142" i="16460"/>
  <c r="F141" i="16460"/>
  <c r="F140" i="16460"/>
  <c r="F139" i="16460"/>
  <c r="F138" i="16460"/>
  <c r="F136" i="16460"/>
  <c r="F134" i="16460"/>
  <c r="F133" i="16460"/>
  <c r="F131" i="16460"/>
  <c r="F130" i="16460"/>
  <c r="F129" i="16460"/>
  <c r="F127" i="16460"/>
  <c r="F126" i="16460"/>
  <c r="F123" i="16460"/>
  <c r="F122" i="16460"/>
  <c r="F121" i="16460"/>
  <c r="F120" i="16460"/>
  <c r="F118" i="16460"/>
  <c r="F117" i="16460"/>
  <c r="F116" i="16460"/>
  <c r="F115" i="16460"/>
  <c r="F114" i="16460"/>
  <c r="F113" i="16460"/>
  <c r="F112" i="16460"/>
  <c r="F111" i="16460"/>
  <c r="F110" i="16460"/>
  <c r="F108" i="16460"/>
  <c r="F107" i="16460"/>
  <c r="F106" i="16460"/>
  <c r="F104" i="16460"/>
  <c r="F103" i="16460"/>
  <c r="F102" i="16460"/>
  <c r="F101" i="16460"/>
  <c r="F100" i="16460"/>
  <c r="F98" i="16460"/>
  <c r="F97" i="16460"/>
  <c r="F96" i="16460"/>
  <c r="F95" i="16460"/>
  <c r="F94" i="16460"/>
  <c r="F92" i="16460"/>
  <c r="F91" i="16460"/>
  <c r="F90" i="16460"/>
  <c r="F88" i="16460"/>
  <c r="F87" i="16460"/>
  <c r="F85" i="16460"/>
  <c r="F84" i="16460"/>
  <c r="F82" i="16460"/>
  <c r="F81" i="16460"/>
  <c r="F80" i="16460"/>
  <c r="F78" i="16460"/>
  <c r="F77" i="16460"/>
  <c r="F76" i="16460"/>
  <c r="F75" i="16460"/>
  <c r="F73" i="16460"/>
  <c r="F72" i="16460"/>
  <c r="F71" i="16460"/>
  <c r="F68" i="16460"/>
  <c r="F67" i="16460"/>
  <c r="F66" i="16460"/>
  <c r="F65" i="16460"/>
  <c r="F64" i="16460"/>
  <c r="F63" i="16460"/>
  <c r="F62" i="16460"/>
  <c r="F61" i="16460"/>
  <c r="F60" i="16460"/>
  <c r="F58" i="16460"/>
  <c r="F57" i="16460"/>
  <c r="F56" i="16460"/>
  <c r="F55" i="16460"/>
  <c r="F54" i="16460"/>
  <c r="F52" i="16460"/>
  <c r="F51" i="16460"/>
  <c r="F50" i="16460"/>
  <c r="F49" i="16460"/>
  <c r="F48" i="16460"/>
  <c r="F46" i="16460"/>
  <c r="F45" i="16460"/>
  <c r="F44" i="16460"/>
  <c r="F43" i="16460"/>
  <c r="F41" i="16460"/>
  <c r="F40" i="16460"/>
  <c r="F39" i="16460"/>
  <c r="F37" i="16460"/>
  <c r="F36" i="16460"/>
  <c r="F35" i="16460"/>
  <c r="F33" i="16460"/>
  <c r="F32" i="16460"/>
  <c r="F30" i="16460"/>
  <c r="F29" i="16460"/>
  <c r="F27" i="16460"/>
  <c r="F26" i="16460"/>
  <c r="F24" i="16460"/>
  <c r="F23" i="16460"/>
  <c r="F22" i="16460"/>
  <c r="F19" i="16460"/>
  <c r="F18" i="16460"/>
  <c r="F15" i="16460"/>
  <c r="F14" i="16460"/>
  <c r="F13" i="16460"/>
  <c r="F11" i="16460"/>
  <c r="F10" i="16460"/>
  <c r="D12" i="16459"/>
  <c r="E12" i="16459"/>
  <c r="D18" i="16459"/>
  <c r="E18" i="16459"/>
  <c r="D17" i="16459"/>
  <c r="E17" i="16459"/>
  <c r="D19" i="16459"/>
  <c r="E19" i="16459"/>
  <c r="D20" i="16459"/>
  <c r="E20" i="16459"/>
  <c r="D16" i="16459"/>
  <c r="E16" i="16459"/>
  <c r="D21" i="16459"/>
  <c r="E21" i="16459"/>
  <c r="D22" i="16459"/>
  <c r="E22" i="16459"/>
  <c r="D10" i="16459"/>
  <c r="E10" i="16459"/>
  <c r="D33" i="16459"/>
  <c r="E33" i="16459"/>
  <c r="D24" i="16459"/>
  <c r="E24" i="16459"/>
  <c r="D25" i="16459"/>
  <c r="E25" i="16459"/>
  <c r="D11" i="16459"/>
  <c r="E11" i="16459"/>
  <c r="D23" i="16459"/>
  <c r="E23" i="16459"/>
  <c r="D32" i="16459"/>
  <c r="E32" i="16459"/>
  <c r="D56" i="16459"/>
  <c r="E56" i="16459"/>
  <c r="D43" i="16459"/>
  <c r="E43" i="16459"/>
  <c r="D65" i="16459"/>
  <c r="E65" i="16459"/>
  <c r="D27" i="16459"/>
  <c r="E27" i="16459"/>
  <c r="D31" i="16459"/>
  <c r="E31" i="16459"/>
  <c r="D68" i="16459"/>
  <c r="E68" i="16459"/>
  <c r="D57" i="16459"/>
  <c r="E57" i="16459"/>
  <c r="D54" i="16459"/>
  <c r="E54" i="16459"/>
  <c r="D55" i="16459"/>
  <c r="E55" i="16459"/>
  <c r="D35" i="16459"/>
  <c r="E35" i="16459"/>
  <c r="D36" i="16459"/>
  <c r="E36" i="16459"/>
  <c r="D28" i="16459"/>
  <c r="E28" i="16459"/>
  <c r="D29" i="16459"/>
  <c r="E29" i="16459"/>
  <c r="D30" i="16459"/>
  <c r="E30" i="16459"/>
  <c r="D58" i="16459"/>
  <c r="E58" i="16459"/>
  <c r="D37" i="16459"/>
  <c r="E37" i="16459"/>
  <c r="D53" i="16459"/>
  <c r="E53" i="16459"/>
  <c r="D59" i="16459"/>
  <c r="E59" i="16459"/>
  <c r="D47" i="16459"/>
  <c r="E47" i="16459"/>
  <c r="D42" i="16459"/>
  <c r="E42" i="16459"/>
  <c r="D41" i="16459"/>
  <c r="E41" i="16459"/>
  <c r="D48" i="16459"/>
  <c r="E48" i="16459"/>
  <c r="D49" i="16459"/>
  <c r="E49" i="16459"/>
  <c r="D50" i="16459"/>
  <c r="E50" i="16459"/>
  <c r="D51" i="16459"/>
  <c r="E51" i="16459"/>
  <c r="D90" i="16459"/>
  <c r="E90" i="16459"/>
  <c r="D91" i="16459"/>
  <c r="E91" i="16459"/>
  <c r="D92" i="16459"/>
  <c r="E92" i="16459"/>
  <c r="D39" i="16459"/>
  <c r="E39" i="16459"/>
  <c r="D40" i="16459"/>
  <c r="E40" i="16459"/>
  <c r="D80" i="16459"/>
  <c r="E80" i="16459"/>
  <c r="D44" i="16459"/>
  <c r="E44" i="16459"/>
  <c r="D67" i="16459"/>
  <c r="E67" i="16459"/>
  <c r="D52" i="16459"/>
  <c r="E52" i="16459"/>
  <c r="D45" i="16459"/>
  <c r="E45" i="16459"/>
  <c r="D64" i="16459"/>
  <c r="E64" i="16459"/>
  <c r="D38" i="16459"/>
  <c r="E38" i="16459"/>
  <c r="D61" i="16459"/>
  <c r="E61" i="16459"/>
  <c r="D94" i="16459"/>
  <c r="E94" i="16459"/>
  <c r="D86" i="16459"/>
  <c r="G86" i="16459" s="1"/>
  <c r="E86" i="16459"/>
  <c r="D87" i="16459"/>
  <c r="E87" i="16459"/>
  <c r="D88" i="16459"/>
  <c r="E88" i="16459"/>
  <c r="D89" i="16459"/>
  <c r="E89" i="16459"/>
  <c r="D97" i="16459"/>
  <c r="E97" i="16459"/>
  <c r="D46" i="16459"/>
  <c r="E46" i="16459"/>
  <c r="D96" i="16459"/>
  <c r="E96" i="16459"/>
  <c r="D78" i="16459"/>
  <c r="E78" i="16459"/>
  <c r="D72" i="16459"/>
  <c r="G72" i="16459" s="1"/>
  <c r="E72" i="16459"/>
  <c r="D77" i="16459"/>
  <c r="E77" i="16459"/>
  <c r="D73" i="16459"/>
  <c r="G73" i="16459" s="1"/>
  <c r="E73" i="16459"/>
  <c r="D74" i="16459"/>
  <c r="G74" i="16459" s="1"/>
  <c r="E74" i="16459"/>
  <c r="D75" i="16459"/>
  <c r="E75" i="16459"/>
  <c r="D76" i="16459"/>
  <c r="E76" i="16459"/>
  <c r="D70" i="16459"/>
  <c r="E70" i="16459"/>
  <c r="D71" i="16459"/>
  <c r="E71" i="16459"/>
  <c r="D79" i="16459"/>
  <c r="G79" i="16459" s="1"/>
  <c r="E79" i="16459"/>
  <c r="D82" i="16459"/>
  <c r="E82" i="16459"/>
  <c r="D83" i="16459"/>
  <c r="E83" i="16459"/>
  <c r="D84" i="16459"/>
  <c r="E84" i="16459"/>
  <c r="D85" i="16459"/>
  <c r="E85" i="16459"/>
  <c r="D81" i="16459"/>
  <c r="E81" i="16459"/>
  <c r="D66" i="16459"/>
  <c r="E66" i="16459"/>
  <c r="D62" i="16459"/>
  <c r="E62" i="16459"/>
  <c r="D63" i="16459"/>
  <c r="G63" i="16459" s="1"/>
  <c r="E63" i="16459"/>
  <c r="D112" i="16459"/>
  <c r="E112" i="16459"/>
  <c r="D111" i="16459"/>
  <c r="E111" i="16459"/>
  <c r="D109" i="16459"/>
  <c r="E109" i="16459"/>
  <c r="D110" i="16459"/>
  <c r="E110" i="16459"/>
  <c r="D105" i="16459"/>
  <c r="E105" i="16459"/>
  <c r="D60" i="16459"/>
  <c r="E60" i="16459"/>
  <c r="D95" i="16459"/>
  <c r="E95" i="16459"/>
  <c r="D69" i="16459"/>
  <c r="G69" i="16459" s="1"/>
  <c r="E69" i="16459"/>
  <c r="D113" i="16459"/>
  <c r="E113" i="16459"/>
  <c r="D114" i="16459"/>
  <c r="E114" i="16459"/>
  <c r="D115" i="16459"/>
  <c r="E115" i="16459"/>
  <c r="D104" i="16459"/>
  <c r="E104" i="16459"/>
  <c r="D116" i="16459"/>
  <c r="E116" i="16459"/>
  <c r="D102" i="16459"/>
  <c r="E102" i="16459"/>
  <c r="D98" i="16459"/>
  <c r="E98" i="16459"/>
  <c r="D100" i="16459"/>
  <c r="E100" i="16459"/>
  <c r="D101" i="16459"/>
  <c r="E101" i="16459"/>
  <c r="D99" i="16459"/>
  <c r="E99" i="16459"/>
  <c r="D103" i="16459"/>
  <c r="E103" i="16459"/>
  <c r="D108" i="16459"/>
  <c r="G108" i="16459" s="1"/>
  <c r="E108" i="16459"/>
  <c r="D106" i="16459"/>
  <c r="E106" i="16459"/>
  <c r="D153" i="16459"/>
  <c r="E153" i="16459"/>
  <c r="D154" i="16459"/>
  <c r="E154" i="16459"/>
  <c r="D145" i="16459"/>
  <c r="G145" i="16459" s="1"/>
  <c r="E145" i="16459"/>
  <c r="D146" i="16459"/>
  <c r="E146" i="16459"/>
  <c r="D152" i="16459"/>
  <c r="E152" i="16459"/>
  <c r="D147" i="16459"/>
  <c r="E147" i="16459"/>
  <c r="D148" i="16459"/>
  <c r="E148" i="16459"/>
  <c r="D149" i="16459"/>
  <c r="E149" i="16459"/>
  <c r="D150" i="16459"/>
  <c r="E150" i="16459"/>
  <c r="D151" i="16459"/>
  <c r="E151" i="16459"/>
  <c r="D93" i="16459"/>
  <c r="E93" i="16459"/>
  <c r="D117" i="16459"/>
  <c r="E117" i="16459"/>
  <c r="D107" i="16459"/>
  <c r="E107" i="16459"/>
  <c r="D118" i="16459"/>
  <c r="E118" i="16459"/>
  <c r="D143" i="16459"/>
  <c r="E143" i="16459"/>
  <c r="D127" i="16459"/>
  <c r="E127" i="16459"/>
  <c r="D123" i="16459"/>
  <c r="E123" i="16459"/>
  <c r="D124" i="16459"/>
  <c r="E124" i="16459"/>
  <c r="D125" i="16459"/>
  <c r="E125" i="16459"/>
  <c r="D126" i="16459"/>
  <c r="E126" i="16459"/>
  <c r="D128" i="16459"/>
  <c r="E128" i="16459"/>
  <c r="D120" i="16459"/>
  <c r="E120" i="16459"/>
  <c r="D119" i="16459"/>
  <c r="E119" i="16459"/>
  <c r="D132" i="16459"/>
  <c r="E132" i="16459"/>
  <c r="D134" i="16459"/>
  <c r="E134" i="16459"/>
  <c r="D131" i="16459"/>
  <c r="E131" i="16459"/>
  <c r="D130" i="16459"/>
  <c r="E130" i="16459"/>
  <c r="D144" i="16459"/>
  <c r="E144" i="16459"/>
  <c r="D168" i="16459"/>
  <c r="E168" i="16459"/>
  <c r="D170" i="16459"/>
  <c r="E170" i="16459"/>
  <c r="D142" i="16459"/>
  <c r="E142" i="16459"/>
  <c r="D135" i="16459"/>
  <c r="E135" i="16459"/>
  <c r="D136" i="16459"/>
  <c r="E136" i="16459"/>
  <c r="D138" i="16459"/>
  <c r="E138" i="16459"/>
  <c r="D139" i="16459"/>
  <c r="E139" i="16459"/>
  <c r="D140" i="16459"/>
  <c r="E140" i="16459"/>
  <c r="D141" i="16459"/>
  <c r="E141" i="16459"/>
  <c r="D137" i="16459"/>
  <c r="E137" i="16459"/>
  <c r="D122" i="16459"/>
  <c r="E122" i="16459"/>
  <c r="D121" i="16459"/>
  <c r="E121" i="16459"/>
  <c r="D167" i="16459"/>
  <c r="E167" i="16459"/>
  <c r="D166" i="16459"/>
  <c r="E166" i="16459"/>
  <c r="D171" i="16459"/>
  <c r="E171" i="16459"/>
  <c r="D156" i="16459"/>
  <c r="E156" i="16459"/>
  <c r="D158" i="16459"/>
  <c r="E158" i="16459"/>
  <c r="D159" i="16459"/>
  <c r="E159" i="16459"/>
  <c r="D160" i="16459"/>
  <c r="E160" i="16459"/>
  <c r="D164" i="16459"/>
  <c r="E164" i="16459"/>
  <c r="D165" i="16459"/>
  <c r="E165" i="16459"/>
  <c r="D163" i="16459"/>
  <c r="E163" i="16459"/>
  <c r="D161" i="16459"/>
  <c r="E161" i="16459"/>
  <c r="D162" i="16459"/>
  <c r="E162" i="16459"/>
  <c r="D157" i="16459"/>
  <c r="E157" i="16459"/>
  <c r="D155" i="16459"/>
  <c r="E155" i="16459"/>
  <c r="D169" i="16459"/>
  <c r="E169" i="16459"/>
  <c r="D176" i="16459"/>
  <c r="E176" i="16459"/>
  <c r="D172" i="16459"/>
  <c r="E172" i="16459"/>
  <c r="D173" i="16459"/>
  <c r="E173" i="16459"/>
  <c r="D177" i="16459"/>
  <c r="E177" i="16459"/>
  <c r="D174" i="16459"/>
  <c r="E174" i="16459"/>
  <c r="D175" i="16459"/>
  <c r="E175" i="16459"/>
  <c r="D179" i="16459"/>
  <c r="E179" i="16459"/>
  <c r="D178" i="16459"/>
  <c r="E178" i="16459"/>
  <c r="D184" i="16459"/>
  <c r="E184" i="16459"/>
  <c r="D180" i="16459"/>
  <c r="E180" i="16459"/>
  <c r="D181" i="16459"/>
  <c r="E181" i="16459"/>
  <c r="D185" i="16459"/>
  <c r="E185" i="16459"/>
  <c r="D183" i="16459"/>
  <c r="E183" i="16459"/>
  <c r="D182" i="16459"/>
  <c r="E182" i="16459"/>
  <c r="G175" i="16459" l="1"/>
  <c r="G172" i="16459"/>
  <c r="G161" i="16459"/>
  <c r="G160" i="16459"/>
  <c r="G167" i="16459"/>
  <c r="G141" i="16459"/>
  <c r="G136" i="16459"/>
  <c r="G168" i="16459"/>
  <c r="G134" i="16459"/>
  <c r="G128" i="16459"/>
  <c r="G123" i="16459"/>
  <c r="G107" i="16459"/>
  <c r="G93" i="16459"/>
  <c r="G148" i="16459"/>
  <c r="G152" i="16459"/>
  <c r="G153" i="16459"/>
  <c r="G9" i="16459"/>
  <c r="G179" i="16459"/>
  <c r="G174" i="16459"/>
  <c r="G176" i="16459"/>
  <c r="G155" i="16459"/>
  <c r="G162" i="16459"/>
  <c r="G163" i="16459"/>
  <c r="G164" i="16459"/>
  <c r="G159" i="16459"/>
  <c r="G156" i="16459"/>
  <c r="G166" i="16459"/>
  <c r="G121" i="16459"/>
  <c r="G137" i="16459"/>
  <c r="G140" i="16459"/>
  <c r="G138" i="16459"/>
  <c r="G135" i="16459"/>
  <c r="G170" i="16459"/>
  <c r="G144" i="16459"/>
  <c r="G131" i="16459"/>
  <c r="G132" i="16459"/>
  <c r="G120" i="16459"/>
  <c r="G126" i="16459"/>
  <c r="G124" i="16459"/>
  <c r="G127" i="16459"/>
  <c r="G118" i="16459"/>
  <c r="G117" i="16459"/>
  <c r="G151" i="16459"/>
  <c r="G149" i="16459"/>
  <c r="G147" i="16459"/>
  <c r="G146" i="16459"/>
  <c r="G154" i="16459"/>
  <c r="G106" i="16459"/>
  <c r="G103" i="16459"/>
  <c r="G101" i="16459"/>
  <c r="G98" i="16459"/>
  <c r="G116" i="16459"/>
  <c r="G115" i="16459"/>
  <c r="G113" i="16459"/>
  <c r="G95" i="16459"/>
  <c r="G105" i="16459"/>
  <c r="G109" i="16459"/>
  <c r="G112" i="16459"/>
  <c r="G62" i="16459"/>
  <c r="G81" i="16459"/>
  <c r="G84" i="16459"/>
  <c r="G82" i="16459"/>
  <c r="G71" i="16459"/>
  <c r="G76" i="16459"/>
  <c r="G77" i="16459"/>
  <c r="G78" i="16459"/>
  <c r="G46" i="16459"/>
  <c r="G89" i="16459"/>
  <c r="G87" i="16459"/>
  <c r="G94" i="16459"/>
  <c r="G38" i="16459"/>
  <c r="G45" i="16459"/>
  <c r="G67" i="16459"/>
  <c r="G80" i="16459"/>
  <c r="G39" i="16459"/>
  <c r="G91" i="16459"/>
  <c r="G51" i="16459"/>
  <c r="G49" i="16459"/>
  <c r="G41" i="16459"/>
  <c r="G47" i="16459"/>
  <c r="G53" i="16459"/>
  <c r="G58" i="16459"/>
  <c r="G29" i="16459"/>
  <c r="G36" i="16459"/>
  <c r="G55" i="16459"/>
  <c r="G57" i="16459"/>
  <c r="G31" i="16459"/>
  <c r="G65" i="16459"/>
  <c r="G56" i="16459"/>
  <c r="G23" i="16459"/>
  <c r="G25" i="16459"/>
  <c r="G33" i="16459"/>
  <c r="G22" i="16459"/>
  <c r="G16" i="16459"/>
  <c r="G19" i="16459"/>
  <c r="G18" i="16459"/>
  <c r="G181" i="16459"/>
  <c r="G182" i="16459"/>
  <c r="G185" i="16459"/>
  <c r="G184" i="16459"/>
  <c r="G173" i="16459"/>
  <c r="G188" i="16459"/>
  <c r="G180" i="16459"/>
  <c r="G177" i="16459"/>
  <c r="G157" i="16459"/>
  <c r="G165" i="16459"/>
  <c r="G158" i="16459"/>
  <c r="G122" i="16459"/>
  <c r="G139" i="16459"/>
  <c r="G142" i="16459"/>
  <c r="G130" i="16459"/>
  <c r="G119" i="16459"/>
  <c r="G125" i="16459"/>
  <c r="G143" i="16459"/>
  <c r="G150" i="16459"/>
  <c r="G60" i="16459"/>
  <c r="G110" i="16459"/>
  <c r="G111" i="16459"/>
  <c r="G66" i="16459"/>
  <c r="G85" i="16459"/>
  <c r="G83" i="16459"/>
  <c r="G70" i="16459"/>
  <c r="G75" i="16459"/>
  <c r="G96" i="16459"/>
  <c r="G97" i="16459"/>
  <c r="G88" i="16459"/>
  <c r="G61" i="16459"/>
  <c r="G64" i="16459"/>
  <c r="G52" i="16459"/>
  <c r="G44" i="16459"/>
  <c r="G40" i="16459"/>
  <c r="G92" i="16459"/>
  <c r="G90" i="16459"/>
  <c r="G50" i="16459"/>
  <c r="G48" i="16459"/>
  <c r="G42" i="16459"/>
  <c r="G59" i="16459"/>
  <c r="G37" i="16459"/>
  <c r="G30" i="16459"/>
  <c r="G28" i="16459"/>
  <c r="G35" i="16459"/>
  <c r="G54" i="16459"/>
  <c r="G68" i="16459"/>
  <c r="G27" i="16459"/>
  <c r="G43" i="16459"/>
  <c r="G32" i="16459"/>
  <c r="G11" i="16459"/>
  <c r="G24" i="16459"/>
  <c r="G10" i="16459"/>
  <c r="G21" i="16459"/>
  <c r="G20" i="16459"/>
  <c r="G17" i="16459"/>
  <c r="G12" i="16459"/>
  <c r="G187" i="16459"/>
  <c r="G186" i="16459"/>
  <c r="G183" i="16459"/>
  <c r="G178" i="16459"/>
  <c r="G169" i="16459"/>
  <c r="G171" i="16459"/>
  <c r="G99" i="16459"/>
  <c r="G100" i="16459"/>
  <c r="G102" i="16459"/>
  <c r="G104" i="16459"/>
  <c r="G114" i="16459"/>
  <c r="E15" i="16459" l="1"/>
  <c r="D15" i="16459"/>
  <c r="G15" i="16459" l="1"/>
  <c r="P15" i="16528"/>
  <c r="J14" i="16459" l="1"/>
  <c r="J190" i="16459"/>
  <c r="J74" i="16459"/>
  <c r="J71" i="16459"/>
  <c r="J75" i="16459"/>
  <c r="J79" i="16459"/>
  <c r="J34" i="16459"/>
  <c r="J13" i="16459"/>
  <c r="J189" i="16459"/>
  <c r="J76" i="16459"/>
  <c r="J82" i="16459"/>
  <c r="J73" i="16459"/>
  <c r="J70" i="16459"/>
  <c r="J83" i="16459"/>
  <c r="J26" i="16459"/>
  <c r="J133" i="16459"/>
  <c r="J129" i="16459"/>
  <c r="J12" i="16459"/>
  <c r="J20" i="16459"/>
  <c r="J10" i="16459"/>
  <c r="J11" i="16459"/>
  <c r="J43" i="16459"/>
  <c r="J68" i="16459"/>
  <c r="J35" i="16459"/>
  <c r="J30" i="16459"/>
  <c r="J59" i="16459"/>
  <c r="J48" i="16459"/>
  <c r="J90" i="16459"/>
  <c r="J40" i="16459"/>
  <c r="J52" i="16459"/>
  <c r="J61" i="16459"/>
  <c r="J88" i="16459"/>
  <c r="J96" i="16459"/>
  <c r="J84" i="16459"/>
  <c r="J62" i="16459"/>
  <c r="J109" i="16459"/>
  <c r="J95" i="16459"/>
  <c r="J115" i="16459"/>
  <c r="J98" i="16459"/>
  <c r="J103" i="16459"/>
  <c r="J154" i="16459"/>
  <c r="J147" i="16459"/>
  <c r="J151" i="16459"/>
  <c r="J118" i="16459"/>
  <c r="J124" i="16459"/>
  <c r="J120" i="16459"/>
  <c r="J131" i="16459"/>
  <c r="J170" i="16459"/>
  <c r="J138" i="16459"/>
  <c r="J137" i="16459"/>
  <c r="J166" i="16459"/>
  <c r="J159" i="16459"/>
  <c r="J163" i="16459"/>
  <c r="J155" i="16459"/>
  <c r="J173" i="16459"/>
  <c r="J179" i="16459"/>
  <c r="J9" i="16459"/>
  <c r="J131" i="16461" s="1"/>
  <c r="J182" i="16459"/>
  <c r="J15" i="16459"/>
  <c r="J18" i="16459"/>
  <c r="J16" i="16459"/>
  <c r="J33" i="16459"/>
  <c r="J23" i="16459"/>
  <c r="J65" i="16459"/>
  <c r="J57" i="16459"/>
  <c r="J36" i="16459"/>
  <c r="J32" i="16461" s="1"/>
  <c r="J58" i="16459"/>
  <c r="J47" i="16459"/>
  <c r="J49" i="16459"/>
  <c r="J91" i="16459"/>
  <c r="J80" i="16459"/>
  <c r="J45" i="16459"/>
  <c r="J94" i="16459"/>
  <c r="J89" i="16459"/>
  <c r="J78" i="16459"/>
  <c r="J85" i="16459"/>
  <c r="J63" i="16459"/>
  <c r="J110" i="16459"/>
  <c r="J69" i="16459"/>
  <c r="J104" i="16459"/>
  <c r="J100" i="16459"/>
  <c r="J108" i="16459"/>
  <c r="J145" i="16459"/>
  <c r="J148" i="16459"/>
  <c r="J93" i="16459"/>
  <c r="J143" i="16459"/>
  <c r="J125" i="16459"/>
  <c r="J119" i="16459"/>
  <c r="J130" i="16459"/>
  <c r="J142" i="16459"/>
  <c r="J139" i="16459"/>
  <c r="J122" i="16459"/>
  <c r="J171" i="16459"/>
  <c r="J160" i="16459"/>
  <c r="J161" i="16459"/>
  <c r="J169" i="16459"/>
  <c r="J177" i="16459"/>
  <c r="J178" i="16459"/>
  <c r="J181" i="16459"/>
  <c r="J187" i="16459"/>
  <c r="J17" i="16459"/>
  <c r="J21" i="16459"/>
  <c r="J24" i="16459"/>
  <c r="J32" i="16459"/>
  <c r="J27" i="16459"/>
  <c r="J54" i="16459"/>
  <c r="J28" i="16459"/>
  <c r="J37" i="16459"/>
  <c r="J42" i="16459"/>
  <c r="J50" i="16459"/>
  <c r="J92" i="16459"/>
  <c r="J44" i="16459"/>
  <c r="J64" i="16459"/>
  <c r="J86" i="16459"/>
  <c r="J97" i="16459"/>
  <c r="J72" i="16459"/>
  <c r="J81" i="16459"/>
  <c r="J112" i="16459"/>
  <c r="J105" i="16459"/>
  <c r="J113" i="16459"/>
  <c r="J116" i="16459"/>
  <c r="J101" i="16459"/>
  <c r="J106" i="16459"/>
  <c r="J146" i="16459"/>
  <c r="J149" i="16459"/>
  <c r="J117" i="16459"/>
  <c r="J127" i="16459"/>
  <c r="J126" i="16459"/>
  <c r="J132" i="16459"/>
  <c r="J144" i="16459"/>
  <c r="J135" i="16459"/>
  <c r="J140" i="16459"/>
  <c r="J121" i="16459"/>
  <c r="J156" i="16459"/>
  <c r="J164" i="16459"/>
  <c r="J162" i="16459"/>
  <c r="J176" i="16459"/>
  <c r="J174" i="16459"/>
  <c r="J184" i="16459"/>
  <c r="J185" i="16459"/>
  <c r="J188" i="16459"/>
  <c r="J19" i="16459"/>
  <c r="J146" i="16461" s="1"/>
  <c r="J22" i="16459"/>
  <c r="J25" i="16459"/>
  <c r="J56" i="16459"/>
  <c r="J31" i="16459"/>
  <c r="J55" i="16459"/>
  <c r="J29" i="16459"/>
  <c r="J53" i="16459"/>
  <c r="J41" i="16459"/>
  <c r="J51" i="16459"/>
  <c r="J39" i="16459"/>
  <c r="J67" i="16459"/>
  <c r="J38" i="16459"/>
  <c r="J87" i="16459"/>
  <c r="J46" i="16459"/>
  <c r="J77" i="16459"/>
  <c r="J66" i="16459"/>
  <c r="J111" i="16459"/>
  <c r="J60" i="16459"/>
  <c r="J114" i="16459"/>
  <c r="J102" i="16459"/>
  <c r="J99" i="16459"/>
  <c r="J153" i="16459"/>
  <c r="J152" i="16459"/>
  <c r="J150" i="16459"/>
  <c r="J107" i="16459"/>
  <c r="J70" i="16461" s="1"/>
  <c r="J123" i="16459"/>
  <c r="J128" i="16459"/>
  <c r="J134" i="16459"/>
  <c r="J168" i="16459"/>
  <c r="J136" i="16459"/>
  <c r="J134" i="16461" s="1"/>
  <c r="J141" i="16459"/>
  <c r="J167" i="16459"/>
  <c r="J163" i="16461" s="1"/>
  <c r="J158" i="16459"/>
  <c r="J165" i="16459"/>
  <c r="J161" i="16461" s="1"/>
  <c r="J157" i="16459"/>
  <c r="J172" i="16459"/>
  <c r="J175" i="16459"/>
  <c r="J180" i="16459"/>
  <c r="J183" i="16459"/>
  <c r="J186" i="16459"/>
  <c r="J65" i="16461" s="1"/>
  <c r="J179" i="16461" l="1"/>
  <c r="J180" i="16461"/>
  <c r="J165" i="16461"/>
  <c r="J176" i="16461"/>
  <c r="J153" i="16461"/>
  <c r="J18" i="16461"/>
  <c r="J135" i="16461"/>
  <c r="J21" i="16461"/>
  <c r="J116" i="16461"/>
  <c r="J73" i="16461"/>
  <c r="J155" i="16461"/>
  <c r="J76" i="16461"/>
  <c r="J78" i="16461"/>
  <c r="J30" i="16461"/>
  <c r="J44" i="16461"/>
  <c r="J75" i="16461"/>
  <c r="J26" i="16461"/>
  <c r="J66" i="16461"/>
  <c r="J51" i="16461"/>
  <c r="J129" i="16461"/>
  <c r="J126" i="16461"/>
  <c r="J54" i="16461"/>
  <c r="J145" i="16461"/>
  <c r="J19" i="16461"/>
  <c r="J49" i="16461"/>
  <c r="J13" i="16461"/>
  <c r="J85" i="16461"/>
  <c r="J147" i="16461"/>
  <c r="J162" i="16461"/>
  <c r="J175" i="16461"/>
  <c r="J39" i="16461"/>
  <c r="J160" i="16461"/>
  <c r="J151" i="16461"/>
  <c r="J111" i="16461"/>
  <c r="J71" i="16461"/>
  <c r="J106" i="16461"/>
  <c r="J152" i="16461"/>
  <c r="J171" i="16461"/>
  <c r="J166" i="16461"/>
  <c r="J35" i="16461"/>
  <c r="J57" i="16461"/>
  <c r="J140" i="16461"/>
  <c r="J64" i="16461"/>
  <c r="J115" i="16461"/>
  <c r="J14" i="16461"/>
  <c r="J91" i="16461"/>
  <c r="J81" i="16461"/>
  <c r="J164" i="16461"/>
  <c r="J142" i="16461"/>
  <c r="J170" i="16461"/>
  <c r="J63" i="16461"/>
  <c r="J117" i="16461"/>
  <c r="J58" i="16461"/>
  <c r="J130" i="16461"/>
  <c r="J150" i="16461"/>
  <c r="J80" i="16461"/>
  <c r="J87" i="16461"/>
  <c r="J138" i="16461"/>
  <c r="J56" i="16461"/>
  <c r="J29" i="16461"/>
  <c r="J178" i="16461"/>
  <c r="J139" i="16461"/>
  <c r="J84" i="16461"/>
  <c r="J50" i="16461"/>
  <c r="J77" i="16461"/>
  <c r="J22" i="16461"/>
  <c r="J157" i="16461"/>
  <c r="J118" i="16461"/>
  <c r="J122" i="16461"/>
  <c r="J67" i="16461"/>
  <c r="J173" i="16461"/>
  <c r="J15" i="16461"/>
  <c r="J108" i="16461"/>
  <c r="J97" i="16461"/>
  <c r="J103" i="16461"/>
  <c r="J46" i="16461"/>
  <c r="J82" i="16461"/>
  <c r="J133" i="16461"/>
  <c r="J182" i="16461"/>
  <c r="J177" i="16461"/>
  <c r="J167" i="16461"/>
  <c r="J60" i="16461"/>
  <c r="J43" i="16461"/>
  <c r="J107" i="16461"/>
  <c r="J102" i="16461"/>
  <c r="J96" i="16461"/>
  <c r="J110" i="16461"/>
  <c r="J36" i="16461"/>
  <c r="J141" i="16461"/>
  <c r="J148" i="16461"/>
  <c r="J136" i="16461"/>
  <c r="J183" i="16461"/>
  <c r="J27" i="16461"/>
  <c r="J113" i="16461"/>
  <c r="J92" i="16461"/>
  <c r="J68" i="16461"/>
  <c r="J143" i="16461"/>
  <c r="J169" i="16461"/>
  <c r="J48" i="16461"/>
  <c r="J98" i="16461"/>
  <c r="J123" i="16461"/>
  <c r="J104" i="16461"/>
  <c r="J45" i="16461"/>
  <c r="J112" i="16461"/>
  <c r="J33" i="16461"/>
  <c r="J114" i="16461"/>
  <c r="J101" i="16461"/>
  <c r="J121" i="16461"/>
  <c r="J120" i="16461"/>
  <c r="J94" i="16461"/>
  <c r="J90" i="16461"/>
  <c r="J159" i="16461"/>
  <c r="J158" i="16461"/>
  <c r="J72" i="16461"/>
  <c r="J100" i="16461"/>
  <c r="J95" i="16461"/>
  <c r="J55" i="16461"/>
  <c r="J37" i="16461"/>
  <c r="J24" i="16461"/>
  <c r="J127" i="16461"/>
  <c r="J62" i="16461"/>
  <c r="J88" i="16461"/>
  <c r="J41" i="16461"/>
  <c r="J156" i="16461"/>
  <c r="J61" i="16461"/>
  <c r="J172" i="16461"/>
  <c r="J52" i="16461"/>
  <c r="J40" i="16461"/>
  <c r="J23" i="16461"/>
  <c r="Z79" i="16516" l="1"/>
  <c r="Z68" i="16516" s="1"/>
  <c r="BV79" i="16516"/>
  <c r="BV68" i="16516" s="1"/>
  <c r="BZ68" i="16516" s="1"/>
  <c r="CB68" i="16516" s="1"/>
  <c r="CB67" i="16516" s="1"/>
  <c r="N11" i="16514" s="1"/>
  <c r="N81" i="16513" s="1"/>
  <c r="AH79" i="16516"/>
  <c r="AH68" i="16516" s="1"/>
  <c r="CD79" i="16516"/>
  <c r="CD68" i="16516" s="1"/>
  <c r="CH68" i="16516" s="1"/>
  <c r="CJ68" i="16516" s="1"/>
  <c r="CJ67" i="16516" s="1"/>
  <c r="O11" i="16514" s="1"/>
  <c r="O81" i="16513" s="1"/>
  <c r="BN79" i="16516"/>
  <c r="BN68" i="16516" s="1"/>
  <c r="BR68" i="16516" s="1"/>
  <c r="BT68" i="16516" s="1"/>
  <c r="BT67" i="16516" s="1"/>
  <c r="M11" i="16514" s="1"/>
  <c r="M81" i="16513" s="1"/>
  <c r="AP79" i="16516"/>
  <c r="AP68" i="16516" s="1"/>
  <c r="AT68" i="16516" s="1"/>
  <c r="AV68" i="16516" s="1"/>
  <c r="AV67" i="16516" s="1"/>
  <c r="J11" i="16514" s="1"/>
  <c r="J81" i="16513" s="1"/>
  <c r="AL68" i="16516" l="1"/>
  <c r="AN68" i="16516" s="1"/>
  <c r="AN67" i="16516" s="1"/>
  <c r="I11" i="16514" s="1"/>
  <c r="I81" i="16513" s="1"/>
  <c r="FO68" i="16516"/>
  <c r="IA68" i="16516" s="1"/>
  <c r="AD68" i="16516"/>
  <c r="AF68" i="16516" s="1"/>
  <c r="AF67" i="16516" s="1"/>
  <c r="H11" i="16514" s="1"/>
  <c r="H81" i="16513" s="1"/>
  <c r="R43" i="16520"/>
  <c r="E12" i="16520" s="1"/>
  <c r="EI68" i="16516" l="1"/>
  <c r="GM68" i="16516" s="1"/>
  <c r="FG68" i="16516"/>
  <c r="HS68" i="16516" s="1"/>
  <c r="AN95" i="16460" l="1"/>
  <c r="AR95" i="16460"/>
  <c r="Q96" i="16458" l="1"/>
  <c r="Q93" i="16458"/>
  <c r="Q90" i="16458"/>
  <c r="H56" i="16506"/>
  <c r="I56" i="16506" s="1"/>
  <c r="H120" i="16506" l="1"/>
  <c r="I120" i="16506" s="1"/>
  <c r="H116" i="16506"/>
  <c r="I116" i="16506" s="1"/>
  <c r="J90" i="16506"/>
  <c r="J89" i="16506"/>
  <c r="J88" i="16506"/>
  <c r="J87" i="16506"/>
  <c r="J86" i="16506"/>
  <c r="J85" i="16506"/>
  <c r="J84" i="16506"/>
  <c r="J82" i="16506"/>
  <c r="J61" i="16506"/>
  <c r="J39" i="16506"/>
  <c r="H35" i="16506"/>
  <c r="I35" i="16506" s="1"/>
  <c r="J27" i="16458"/>
  <c r="H81" i="16506"/>
  <c r="I81" i="16506" s="1"/>
  <c r="H82" i="16506" l="1"/>
  <c r="I82" i="16506" s="1"/>
  <c r="J26" i="16458"/>
  <c r="H24" i="16506"/>
  <c r="I24" i="16506" s="1"/>
  <c r="J89" i="16458" l="1"/>
  <c r="AR175" i="16460"/>
  <c r="AN175" i="16460"/>
  <c r="J75" i="16460" l="1"/>
  <c r="K75" i="16460" s="1"/>
  <c r="L75" i="16460" s="1"/>
  <c r="M75" i="16460" s="1"/>
  <c r="N75" i="16460" s="1"/>
  <c r="O75" i="16460" s="1"/>
  <c r="P75" i="16460" s="1"/>
  <c r="Q75" i="16460" s="1"/>
  <c r="R75" i="16460" s="1"/>
  <c r="S75" i="16460" s="1"/>
  <c r="T75" i="16460" s="1"/>
  <c r="U75" i="16460" s="1"/>
  <c r="V75" i="16460" s="1"/>
  <c r="W75" i="16460" s="1"/>
  <c r="X75" i="16460" s="1"/>
  <c r="Y75" i="16460" s="1"/>
  <c r="Z75" i="16460" s="1"/>
  <c r="AA75" i="16460" s="1"/>
  <c r="AB75" i="16460" s="1"/>
  <c r="AC75" i="16460" s="1"/>
  <c r="AD75" i="16460" s="1"/>
  <c r="AE75" i="16460" s="1"/>
  <c r="AF75" i="16460" s="1"/>
  <c r="AG75" i="16460" s="1"/>
  <c r="AH75" i="16460" s="1"/>
  <c r="AI75" i="16460" s="1"/>
  <c r="AJ75" i="16460" s="1"/>
  <c r="AK75" i="16460" s="1"/>
  <c r="AL75" i="16460" s="1"/>
  <c r="J22" i="16458" l="1"/>
  <c r="H77" i="16506"/>
  <c r="I77" i="16506" s="1"/>
  <c r="J118" i="16460" l="1"/>
  <c r="J92" i="16460"/>
  <c r="K92" i="16460" s="1"/>
  <c r="L92" i="16460" s="1"/>
  <c r="M92" i="16460" s="1"/>
  <c r="N92" i="16460" s="1"/>
  <c r="O92" i="16460" s="1"/>
  <c r="P92" i="16460" s="1"/>
  <c r="Q92" i="16460" s="1"/>
  <c r="R92" i="16460" s="1"/>
  <c r="S92" i="16460" s="1"/>
  <c r="T92" i="16460" s="1"/>
  <c r="U92" i="16460" s="1"/>
  <c r="V92" i="16460" s="1"/>
  <c r="W92" i="16460" s="1"/>
  <c r="X92" i="16460" s="1"/>
  <c r="Y92" i="16460" s="1"/>
  <c r="Z92" i="16460" s="1"/>
  <c r="AA92" i="16460" s="1"/>
  <c r="AB92" i="16460" s="1"/>
  <c r="AC92" i="16460" s="1"/>
  <c r="AD92" i="16460" s="1"/>
  <c r="AE92" i="16460" s="1"/>
  <c r="AF92" i="16460" s="1"/>
  <c r="AG92" i="16460" s="1"/>
  <c r="AH92" i="16460" s="1"/>
  <c r="AI92" i="16460" s="1"/>
  <c r="AJ92" i="16460" s="1"/>
  <c r="AK92" i="16460" s="1"/>
  <c r="AL92" i="16460" s="1"/>
  <c r="J66" i="16460"/>
  <c r="K66" i="16460" s="1"/>
  <c r="L66" i="16460" s="1"/>
  <c r="M66" i="16460" s="1"/>
  <c r="N66" i="16460" s="1"/>
  <c r="O66" i="16460" s="1"/>
  <c r="P66" i="16460" s="1"/>
  <c r="Q66" i="16460" s="1"/>
  <c r="R66" i="16460" s="1"/>
  <c r="S66" i="16460" s="1"/>
  <c r="T66" i="16460" s="1"/>
  <c r="U66" i="16460" s="1"/>
  <c r="V66" i="16460" s="1"/>
  <c r="W66" i="16460" s="1"/>
  <c r="X66" i="16460" s="1"/>
  <c r="Y66" i="16460" s="1"/>
  <c r="Z66" i="16460" s="1"/>
  <c r="AA66" i="16460" s="1"/>
  <c r="AB66" i="16460" s="1"/>
  <c r="AC66" i="16460" s="1"/>
  <c r="AD66" i="16460" s="1"/>
  <c r="AE66" i="16460" s="1"/>
  <c r="AF66" i="16460" s="1"/>
  <c r="AG66" i="16460" s="1"/>
  <c r="AH66" i="16460" s="1"/>
  <c r="AI66" i="16460" s="1"/>
  <c r="AJ66" i="16460" s="1"/>
  <c r="AK66" i="16460" s="1"/>
  <c r="AL66" i="16460" s="1"/>
  <c r="J65" i="16460"/>
  <c r="K65" i="16460" s="1"/>
  <c r="L65" i="16460" s="1"/>
  <c r="M65" i="16460" s="1"/>
  <c r="N65" i="16460" s="1"/>
  <c r="O65" i="16460" s="1"/>
  <c r="P65" i="16460" s="1"/>
  <c r="Q65" i="16460" s="1"/>
  <c r="R65" i="16460" s="1"/>
  <c r="S65" i="16460" s="1"/>
  <c r="T65" i="16460" s="1"/>
  <c r="U65" i="16460" s="1"/>
  <c r="V65" i="16460" s="1"/>
  <c r="W65" i="16460" s="1"/>
  <c r="X65" i="16460" s="1"/>
  <c r="Y65" i="16460" s="1"/>
  <c r="Z65" i="16460" s="1"/>
  <c r="AA65" i="16460" s="1"/>
  <c r="AB65" i="16460" s="1"/>
  <c r="AC65" i="16460" s="1"/>
  <c r="AD65" i="16460" s="1"/>
  <c r="AE65" i="16460" s="1"/>
  <c r="AF65" i="16460" s="1"/>
  <c r="AG65" i="16460" s="1"/>
  <c r="AH65" i="16460" s="1"/>
  <c r="AI65" i="16460" s="1"/>
  <c r="AJ65" i="16460" s="1"/>
  <c r="AK65" i="16460" s="1"/>
  <c r="AL65" i="16460" s="1"/>
  <c r="J35" i="16460"/>
  <c r="K35" i="16460" s="1"/>
  <c r="L35" i="16460" s="1"/>
  <c r="M35" i="16460" s="1"/>
  <c r="N35" i="16460" s="1"/>
  <c r="O35" i="16460" s="1"/>
  <c r="P35" i="16460" s="1"/>
  <c r="Q35" i="16460" s="1"/>
  <c r="R35" i="16460" s="1"/>
  <c r="S35" i="16460" s="1"/>
  <c r="T35" i="16460" s="1"/>
  <c r="U35" i="16460" s="1"/>
  <c r="V35" i="16460" s="1"/>
  <c r="W35" i="16460" s="1"/>
  <c r="X35" i="16460" s="1"/>
  <c r="Y35" i="16460" s="1"/>
  <c r="Z35" i="16460" s="1"/>
  <c r="AA35" i="16460" s="1"/>
  <c r="AB35" i="16460" s="1"/>
  <c r="AC35" i="16460" s="1"/>
  <c r="AD35" i="16460" s="1"/>
  <c r="AE35" i="16460" s="1"/>
  <c r="AF35" i="16460" s="1"/>
  <c r="AG35" i="16460" s="1"/>
  <c r="AH35" i="16460" s="1"/>
  <c r="AI35" i="16460" s="1"/>
  <c r="AJ35" i="16460" s="1"/>
  <c r="AK35" i="16460" s="1"/>
  <c r="AL35" i="16460" s="1"/>
  <c r="J30" i="16460"/>
  <c r="K30" i="16460" s="1"/>
  <c r="L30" i="16460" s="1"/>
  <c r="M30" i="16460" s="1"/>
  <c r="N30" i="16460" s="1"/>
  <c r="O30" i="16460" s="1"/>
  <c r="P30" i="16460" s="1"/>
  <c r="Q30" i="16460" s="1"/>
  <c r="R30" i="16460" s="1"/>
  <c r="S30" i="16460" s="1"/>
  <c r="T30" i="16460" s="1"/>
  <c r="U30" i="16460" s="1"/>
  <c r="V30" i="16460" s="1"/>
  <c r="W30" i="16460" s="1"/>
  <c r="X30" i="16460" s="1"/>
  <c r="Y30" i="16460" s="1"/>
  <c r="Z30" i="16460" s="1"/>
  <c r="AA30" i="16460" s="1"/>
  <c r="AB30" i="16460" s="1"/>
  <c r="AC30" i="16460" s="1"/>
  <c r="AD30" i="16460" s="1"/>
  <c r="AE30" i="16460" s="1"/>
  <c r="AF30" i="16460" s="1"/>
  <c r="AG30" i="16460" s="1"/>
  <c r="AH30" i="16460" s="1"/>
  <c r="AI30" i="16460" s="1"/>
  <c r="AJ30" i="16460" s="1"/>
  <c r="AK30" i="16460" s="1"/>
  <c r="AL30" i="16460" s="1"/>
  <c r="J26" i="16460"/>
  <c r="K26" i="16460" s="1"/>
  <c r="L26" i="16460" s="1"/>
  <c r="M26" i="16460" s="1"/>
  <c r="N26" i="16460" s="1"/>
  <c r="O26" i="16460" s="1"/>
  <c r="P26" i="16460" s="1"/>
  <c r="Q26" i="16460" s="1"/>
  <c r="R26" i="16460" s="1"/>
  <c r="S26" i="16460" s="1"/>
  <c r="T26" i="16460" s="1"/>
  <c r="U26" i="16460" s="1"/>
  <c r="V26" i="16460" s="1"/>
  <c r="W26" i="16460" s="1"/>
  <c r="X26" i="16460" s="1"/>
  <c r="Y26" i="16460" s="1"/>
  <c r="Z26" i="16460" s="1"/>
  <c r="AA26" i="16460" s="1"/>
  <c r="AB26" i="16460" s="1"/>
  <c r="AC26" i="16460" s="1"/>
  <c r="AD26" i="16460" s="1"/>
  <c r="AE26" i="16460" s="1"/>
  <c r="AF26" i="16460" s="1"/>
  <c r="AG26" i="16460" s="1"/>
  <c r="AH26" i="16460" s="1"/>
  <c r="AI26" i="16460" s="1"/>
  <c r="AJ26" i="16460" s="1"/>
  <c r="AK26" i="16460" s="1"/>
  <c r="AL26" i="16460" s="1"/>
  <c r="BG70" i="16516"/>
  <c r="BG27" i="16516"/>
  <c r="BG28" i="16516"/>
  <c r="BG29" i="16516"/>
  <c r="BG30" i="16516"/>
  <c r="BG31" i="16516"/>
  <c r="BG32" i="16516"/>
  <c r="BG33" i="16516"/>
  <c r="BG34" i="16516"/>
  <c r="BG36" i="16516"/>
  <c r="BG37" i="16516"/>
  <c r="BG38" i="16516"/>
  <c r="BG39" i="16516"/>
  <c r="BG40" i="16516"/>
  <c r="BG41" i="16516"/>
  <c r="BG42" i="16516"/>
  <c r="BG44" i="16516"/>
  <c r="BG45" i="16516"/>
  <c r="BG46" i="16516"/>
  <c r="BG47" i="16516"/>
  <c r="BG48" i="16516"/>
  <c r="BG49" i="16516"/>
  <c r="BG50" i="16516"/>
  <c r="BG51" i="16516"/>
  <c r="BG52" i="16516"/>
  <c r="BG53" i="16516"/>
  <c r="BG54" i="16516"/>
  <c r="BG56" i="16516"/>
  <c r="BG57" i="16516"/>
  <c r="BG58" i="16516"/>
  <c r="BG60" i="16516"/>
  <c r="BG61" i="16516"/>
  <c r="BG65" i="16516"/>
  <c r="BG67" i="16516"/>
  <c r="BG68" i="16516"/>
  <c r="BG69" i="16516"/>
  <c r="H102" i="16517"/>
  <c r="H101" i="16517"/>
  <c r="H100" i="16517"/>
  <c r="FO65" i="16516" l="1"/>
  <c r="IA65" i="16516" s="1"/>
  <c r="FO31" i="16516"/>
  <c r="IA31" i="16516" s="1"/>
  <c r="FO30" i="16516"/>
  <c r="IA30" i="16516" s="1"/>
  <c r="EY70" i="16516"/>
  <c r="HK70" i="16516" s="1"/>
  <c r="EA70" i="16516"/>
  <c r="GE70" i="16516" s="1"/>
  <c r="FO32" i="16516"/>
  <c r="IA32" i="16516" s="1"/>
  <c r="FO70" i="16516"/>
  <c r="IA70" i="16516" s="1"/>
  <c r="G48" i="16502"/>
  <c r="H48" i="16502" s="1"/>
  <c r="G47" i="16502"/>
  <c r="G46" i="16502"/>
  <c r="G43" i="16502"/>
  <c r="G41" i="16502"/>
  <c r="G33" i="16502"/>
  <c r="G34" i="16502"/>
  <c r="G35" i="16502"/>
  <c r="G37" i="16502"/>
  <c r="H37" i="16502" s="1"/>
  <c r="G38" i="16502"/>
  <c r="G39" i="16502"/>
  <c r="G32" i="16502"/>
  <c r="H32" i="16502" s="1"/>
  <c r="G30" i="16502"/>
  <c r="G28" i="16502"/>
  <c r="G26" i="16502"/>
  <c r="G24" i="16502"/>
  <c r="FG70" i="16516" l="1"/>
  <c r="HS70" i="16516" s="1"/>
  <c r="EI70" i="16516"/>
  <c r="GM70" i="16516" s="1"/>
  <c r="FG31" i="16516"/>
  <c r="HS31" i="16516" s="1"/>
  <c r="EI31" i="16516"/>
  <c r="GM31" i="16516" s="1"/>
  <c r="FG30" i="16516"/>
  <c r="HS30" i="16516" s="1"/>
  <c r="EI30" i="16516"/>
  <c r="GM30" i="16516" s="1"/>
  <c r="FG65" i="16516"/>
  <c r="HS65" i="16516" s="1"/>
  <c r="EI65" i="16516"/>
  <c r="GM65" i="16516" s="1"/>
  <c r="FG32" i="16516"/>
  <c r="HS32" i="16516" s="1"/>
  <c r="EI32" i="16516"/>
  <c r="GM32" i="16516" s="1"/>
  <c r="G20" i="16502"/>
  <c r="G21" i="16502"/>
  <c r="G19" i="16502"/>
  <c r="H19" i="16502" s="1"/>
  <c r="G22" i="16502"/>
  <c r="G17" i="16502"/>
  <c r="H17" i="16502" s="1"/>
  <c r="G15" i="16502"/>
  <c r="G12" i="16502"/>
  <c r="G13" i="16502"/>
  <c r="G14" i="16502"/>
  <c r="H16" i="16523" l="1"/>
  <c r="I16" i="16523" s="1"/>
  <c r="H15" i="16523"/>
  <c r="I15" i="16523" s="1"/>
  <c r="G124" i="16457" l="1"/>
  <c r="G123" i="16457"/>
  <c r="G122" i="16457"/>
  <c r="H9" i="16502" l="1"/>
  <c r="K9" i="16502" s="1"/>
  <c r="F30" i="16525" l="1"/>
  <c r="E30" i="16525"/>
  <c r="F26" i="16525"/>
  <c r="E26" i="16525"/>
  <c r="F17" i="16525"/>
  <c r="E17" i="16525"/>
  <c r="E32" i="16525" l="1"/>
  <c r="E33" i="16525" s="1"/>
  <c r="E36" i="16525" s="1"/>
  <c r="F32" i="16525"/>
  <c r="F33" i="16525" s="1"/>
  <c r="F35" i="16525" s="1"/>
  <c r="K8" i="16521" l="1"/>
  <c r="K7" i="16521"/>
  <c r="I6" i="16519"/>
  <c r="E41" i="16520" l="1"/>
  <c r="E43" i="16520"/>
  <c r="I46" i="16516" s="1"/>
  <c r="G21" i="16520"/>
  <c r="I77" i="16516"/>
  <c r="F8" i="16523"/>
  <c r="K8" i="16523" s="1"/>
  <c r="K10" i="16523" s="1"/>
  <c r="K7" i="16523"/>
  <c r="K6" i="16523"/>
  <c r="J16" i="16522"/>
  <c r="J18" i="16522" s="1"/>
  <c r="I60" i="16516" s="1"/>
  <c r="J11" i="16522"/>
  <c r="I58" i="16516" s="1"/>
  <c r="J6" i="16522"/>
  <c r="J8" i="16522" s="1"/>
  <c r="H66" i="16521"/>
  <c r="H65" i="16521"/>
  <c r="F57" i="16521"/>
  <c r="H56" i="16521"/>
  <c r="H57" i="16521" s="1"/>
  <c r="F52" i="16521"/>
  <c r="H51" i="16521"/>
  <c r="H52" i="16521" s="1"/>
  <c r="F46" i="16521"/>
  <c r="H45" i="16521"/>
  <c r="H44" i="16521"/>
  <c r="H43" i="16521"/>
  <c r="F39" i="16521"/>
  <c r="H67" i="16521" s="1"/>
  <c r="H38" i="16521"/>
  <c r="H37" i="16521"/>
  <c r="H36" i="16521"/>
  <c r="F31" i="16521"/>
  <c r="L30" i="16521"/>
  <c r="H30" i="16521"/>
  <c r="H31" i="16521" s="1"/>
  <c r="F26" i="16521"/>
  <c r="L25" i="16521"/>
  <c r="H25" i="16521"/>
  <c r="H26" i="16521" s="1"/>
  <c r="F21" i="16521"/>
  <c r="L20" i="16521"/>
  <c r="H20" i="16521"/>
  <c r="H21" i="16521" s="1"/>
  <c r="F16" i="16521"/>
  <c r="H15" i="16521"/>
  <c r="H14" i="16521"/>
  <c r="H13" i="16521"/>
  <c r="F9" i="16521"/>
  <c r="H8" i="16521"/>
  <c r="H7" i="16521"/>
  <c r="H6" i="16521"/>
  <c r="I45" i="16516"/>
  <c r="E35" i="16520"/>
  <c r="E34" i="16520"/>
  <c r="G17" i="16520"/>
  <c r="G16" i="16520"/>
  <c r="E15" i="16520"/>
  <c r="G12" i="16520"/>
  <c r="G11" i="16520"/>
  <c r="E10" i="16520"/>
  <c r="J6" i="16519"/>
  <c r="K6" i="16519" s="1"/>
  <c r="I38" i="16516" s="1"/>
  <c r="J5" i="16519"/>
  <c r="K5" i="16519" s="1"/>
  <c r="E5" i="16518"/>
  <c r="I35" i="16516" l="1"/>
  <c r="I34" i="16516"/>
  <c r="F61" i="16521"/>
  <c r="H61" i="16521" s="1"/>
  <c r="H62" i="16521" s="1"/>
  <c r="H68" i="16521"/>
  <c r="BV52" i="16516"/>
  <c r="Z52" i="16516"/>
  <c r="BN52" i="16516"/>
  <c r="AP52" i="16516"/>
  <c r="AT52" i="16516" s="1"/>
  <c r="AV52" i="16516" s="1"/>
  <c r="AH52" i="16516"/>
  <c r="CD52" i="16516"/>
  <c r="E24" i="16520"/>
  <c r="E29" i="16520" s="1"/>
  <c r="G29" i="16520" s="1"/>
  <c r="E23" i="16520"/>
  <c r="AP38" i="16516"/>
  <c r="AT38" i="16516" s="1"/>
  <c r="AV38" i="16516" s="1"/>
  <c r="CD38" i="16516"/>
  <c r="BV38" i="16516"/>
  <c r="BN38" i="16516"/>
  <c r="AP54" i="16516"/>
  <c r="AT54" i="16516" s="1"/>
  <c r="AV54" i="16516" s="1"/>
  <c r="CD54" i="16516"/>
  <c r="BV54" i="16516"/>
  <c r="BN54" i="16516"/>
  <c r="AP58" i="16516"/>
  <c r="AT58" i="16516" s="1"/>
  <c r="AT59" i="16516" s="1"/>
  <c r="AV59" i="16516" s="1"/>
  <c r="BV58" i="16516"/>
  <c r="BN58" i="16516"/>
  <c r="CD58" i="16516"/>
  <c r="AP39" i="16516"/>
  <c r="AT39" i="16516" s="1"/>
  <c r="AV39" i="16516" s="1"/>
  <c r="CD39" i="16516"/>
  <c r="BV39" i="16516"/>
  <c r="BN39" i="16516"/>
  <c r="AP45" i="16516"/>
  <c r="AT45" i="16516" s="1"/>
  <c r="AV45" i="16516" s="1"/>
  <c r="CD45" i="16516"/>
  <c r="BV45" i="16516"/>
  <c r="BN45" i="16516"/>
  <c r="AP60" i="16516"/>
  <c r="AT60" i="16516" s="1"/>
  <c r="AV60" i="16516" s="1"/>
  <c r="BV60" i="16516"/>
  <c r="BN60" i="16516"/>
  <c r="CD60" i="16516"/>
  <c r="AP46" i="16516"/>
  <c r="AT46" i="16516" s="1"/>
  <c r="AV46" i="16516" s="1"/>
  <c r="BV46" i="16516"/>
  <c r="BN46" i="16516"/>
  <c r="CD46" i="16516"/>
  <c r="AP53" i="16516"/>
  <c r="AT53" i="16516" s="1"/>
  <c r="AV53" i="16516" s="1"/>
  <c r="BV53" i="16516"/>
  <c r="BN53" i="16516"/>
  <c r="CD53" i="16516"/>
  <c r="AV58" i="16516"/>
  <c r="AH38" i="16516"/>
  <c r="Z38" i="16516"/>
  <c r="AH46" i="16516"/>
  <c r="Z46" i="16516"/>
  <c r="AH54" i="16516"/>
  <c r="Z54" i="16516"/>
  <c r="AH58" i="16516"/>
  <c r="Z58" i="16516"/>
  <c r="AH39" i="16516"/>
  <c r="Z39" i="16516"/>
  <c r="AH45" i="16516"/>
  <c r="Z45" i="16516"/>
  <c r="AH60" i="16516"/>
  <c r="Z60" i="16516"/>
  <c r="AH53" i="16516"/>
  <c r="Z53" i="16516"/>
  <c r="H39" i="16521"/>
  <c r="J13" i="16522"/>
  <c r="I57" i="16516"/>
  <c r="H9" i="16521"/>
  <c r="E33" i="16520"/>
  <c r="I42" i="16516" s="1"/>
  <c r="G15" i="16520"/>
  <c r="G10" i="16520"/>
  <c r="I17" i="16523"/>
  <c r="K9" i="16523"/>
  <c r="H46" i="16521"/>
  <c r="H16" i="16521"/>
  <c r="F62" i="16521"/>
  <c r="AV51" i="16516" l="1"/>
  <c r="J8" i="16514" s="1"/>
  <c r="J78" i="16513" s="1"/>
  <c r="E28" i="16520"/>
  <c r="G28" i="16520" s="1"/>
  <c r="E37" i="16520"/>
  <c r="BR52" i="16516"/>
  <c r="BT52" i="16516" s="1"/>
  <c r="CT52" i="16516"/>
  <c r="DJ52" i="16516"/>
  <c r="CH52" i="16516"/>
  <c r="CJ52" i="16516" s="1"/>
  <c r="AD52" i="16516"/>
  <c r="AF52" i="16516" s="1"/>
  <c r="AP34" i="16516"/>
  <c r="BN34" i="16516"/>
  <c r="Z34" i="16516"/>
  <c r="BV34" i="16516"/>
  <c r="AH34" i="16516"/>
  <c r="CD34" i="16516"/>
  <c r="AL52" i="16516"/>
  <c r="AN52" i="16516" s="1"/>
  <c r="FO52" i="16516"/>
  <c r="IA52" i="16516" s="1"/>
  <c r="BZ52" i="16516"/>
  <c r="CB52" i="16516" s="1"/>
  <c r="DB52" i="16516"/>
  <c r="CH53" i="16516"/>
  <c r="CJ53" i="16516" s="1"/>
  <c r="DJ53" i="16516"/>
  <c r="CH46" i="16516"/>
  <c r="CJ46" i="16516" s="1"/>
  <c r="DJ46" i="16516"/>
  <c r="CH60" i="16516"/>
  <c r="CJ60" i="16516" s="1"/>
  <c r="DJ60" i="16516"/>
  <c r="BR45" i="16516"/>
  <c r="BT45" i="16516" s="1"/>
  <c r="CT45" i="16516"/>
  <c r="EX45" i="16516" s="1"/>
  <c r="BR39" i="16516"/>
  <c r="BT39" i="16516" s="1"/>
  <c r="CT39" i="16516"/>
  <c r="EX39" i="16516" s="1"/>
  <c r="CH58" i="16516"/>
  <c r="CH59" i="16516" s="1"/>
  <c r="CJ59" i="16516" s="1"/>
  <c r="DJ58" i="16516"/>
  <c r="BR54" i="16516"/>
  <c r="BT54" i="16516" s="1"/>
  <c r="CT54" i="16516"/>
  <c r="EX54" i="16516" s="1"/>
  <c r="BR38" i="16516"/>
  <c r="BT38" i="16516" s="1"/>
  <c r="CT38" i="16516"/>
  <c r="EX38" i="16516" s="1"/>
  <c r="BR53" i="16516"/>
  <c r="BT53" i="16516" s="1"/>
  <c r="CT53" i="16516"/>
  <c r="EX53" i="16516" s="1"/>
  <c r="BR46" i="16516"/>
  <c r="BT46" i="16516" s="1"/>
  <c r="CT46" i="16516"/>
  <c r="EX46" i="16516" s="1"/>
  <c r="BR60" i="16516"/>
  <c r="BT60" i="16516" s="1"/>
  <c r="CT60" i="16516"/>
  <c r="EX60" i="16516" s="1"/>
  <c r="BZ45" i="16516"/>
  <c r="CB45" i="16516" s="1"/>
  <c r="DB45" i="16516"/>
  <c r="FF45" i="16516" s="1"/>
  <c r="BZ39" i="16516"/>
  <c r="CB39" i="16516" s="1"/>
  <c r="DB39" i="16516"/>
  <c r="FF39" i="16516" s="1"/>
  <c r="BR58" i="16516"/>
  <c r="BT58" i="16516" s="1"/>
  <c r="CT58" i="16516"/>
  <c r="EX58" i="16516" s="1"/>
  <c r="BZ54" i="16516"/>
  <c r="CB54" i="16516" s="1"/>
  <c r="DB54" i="16516"/>
  <c r="FF54" i="16516" s="1"/>
  <c r="BZ38" i="16516"/>
  <c r="CB38" i="16516" s="1"/>
  <c r="DB38" i="16516"/>
  <c r="FF38" i="16516" s="1"/>
  <c r="BZ53" i="16516"/>
  <c r="CB53" i="16516" s="1"/>
  <c r="DB53" i="16516"/>
  <c r="FF53" i="16516" s="1"/>
  <c r="BZ46" i="16516"/>
  <c r="CB46" i="16516" s="1"/>
  <c r="DB46" i="16516"/>
  <c r="FF46" i="16516" s="1"/>
  <c r="BZ60" i="16516"/>
  <c r="CB60" i="16516" s="1"/>
  <c r="DB60" i="16516"/>
  <c r="FF60" i="16516" s="1"/>
  <c r="CH45" i="16516"/>
  <c r="CJ45" i="16516" s="1"/>
  <c r="DJ45" i="16516"/>
  <c r="CH39" i="16516"/>
  <c r="CJ39" i="16516" s="1"/>
  <c r="DJ39" i="16516"/>
  <c r="BZ58" i="16516"/>
  <c r="CB58" i="16516" s="1"/>
  <c r="DB58" i="16516"/>
  <c r="FF58" i="16516" s="1"/>
  <c r="CH54" i="16516"/>
  <c r="CJ54" i="16516" s="1"/>
  <c r="DJ54" i="16516"/>
  <c r="CH38" i="16516"/>
  <c r="CJ38" i="16516" s="1"/>
  <c r="DJ38" i="16516"/>
  <c r="AP57" i="16516"/>
  <c r="AT57" i="16516" s="1"/>
  <c r="AV57" i="16516" s="1"/>
  <c r="AV56" i="16516" s="1"/>
  <c r="J9" i="16514" s="1"/>
  <c r="J79" i="16513" s="1"/>
  <c r="BV57" i="16516"/>
  <c r="BN57" i="16516"/>
  <c r="CD57" i="16516"/>
  <c r="AL53" i="16516"/>
  <c r="AN53" i="16516" s="1"/>
  <c r="FO53" i="16516"/>
  <c r="IA53" i="16516" s="1"/>
  <c r="AL60" i="16516"/>
  <c r="AN60" i="16516" s="1"/>
  <c r="FO60" i="16516"/>
  <c r="IA60" i="16516" s="1"/>
  <c r="AL45" i="16516"/>
  <c r="AN45" i="16516" s="1"/>
  <c r="FO45" i="16516"/>
  <c r="IA45" i="16516" s="1"/>
  <c r="AL58" i="16516"/>
  <c r="AN58" i="16516" s="1"/>
  <c r="FO58" i="16516"/>
  <c r="IA58" i="16516" s="1"/>
  <c r="FO47" i="16516"/>
  <c r="IA47" i="16516" s="1"/>
  <c r="FO44" i="16516"/>
  <c r="IA44" i="16516" s="1"/>
  <c r="AL38" i="16516"/>
  <c r="AN38" i="16516" s="1"/>
  <c r="FO38" i="16516"/>
  <c r="IA38" i="16516" s="1"/>
  <c r="AD54" i="16516"/>
  <c r="AF54" i="16516" s="1"/>
  <c r="AD46" i="16516"/>
  <c r="AF46" i="16516" s="1"/>
  <c r="AD39" i="16516"/>
  <c r="AF39" i="16516" s="1"/>
  <c r="AL39" i="16516"/>
  <c r="AN39" i="16516" s="1"/>
  <c r="FO39" i="16516"/>
  <c r="IA39" i="16516" s="1"/>
  <c r="FO50" i="16516"/>
  <c r="IA50" i="16516" s="1"/>
  <c r="AL46" i="16516"/>
  <c r="AN46" i="16516" s="1"/>
  <c r="FO46" i="16516"/>
  <c r="IA46" i="16516" s="1"/>
  <c r="AP42" i="16516"/>
  <c r="AT42" i="16516" s="1"/>
  <c r="AV42" i="16516" s="1"/>
  <c r="CD42" i="16516"/>
  <c r="BV42" i="16516"/>
  <c r="BN42" i="16516"/>
  <c r="FO49" i="16516"/>
  <c r="IA49" i="16516" s="1"/>
  <c r="FO48" i="16516"/>
  <c r="IA48" i="16516" s="1"/>
  <c r="AL54" i="16516"/>
  <c r="AN54" i="16516" s="1"/>
  <c r="FO54" i="16516"/>
  <c r="IA54" i="16516" s="1"/>
  <c r="AD53" i="16516"/>
  <c r="AF53" i="16516" s="1"/>
  <c r="AD60" i="16516"/>
  <c r="AF60" i="16516" s="1"/>
  <c r="AD45" i="16516"/>
  <c r="AF45" i="16516" s="1"/>
  <c r="AD58" i="16516"/>
  <c r="AD59" i="16516" s="1"/>
  <c r="AF59" i="16516" s="1"/>
  <c r="AD38" i="16516"/>
  <c r="AF38" i="16516" s="1"/>
  <c r="AH42" i="16516"/>
  <c r="Z42" i="16516"/>
  <c r="Z57" i="16516"/>
  <c r="AH57" i="16516"/>
  <c r="K11" i="16523"/>
  <c r="I62" i="16516"/>
  <c r="I63" i="16516"/>
  <c r="E47" i="16520" l="1"/>
  <c r="E39" i="16520"/>
  <c r="I44" i="16516" s="1"/>
  <c r="E45" i="16520"/>
  <c r="I47" i="16516" s="1"/>
  <c r="AP36" i="16516"/>
  <c r="AT36" i="16516" s="1"/>
  <c r="AV36" i="16516" s="1"/>
  <c r="AT34" i="16516"/>
  <c r="EI38" i="16516"/>
  <c r="GM38" i="16516" s="1"/>
  <c r="FG38" i="16516"/>
  <c r="HS38" i="16516" s="1"/>
  <c r="EI47" i="16516"/>
  <c r="GM47" i="16516" s="1"/>
  <c r="FG47" i="16516"/>
  <c r="HS47" i="16516" s="1"/>
  <c r="EI45" i="16516"/>
  <c r="GM45" i="16516" s="1"/>
  <c r="FG45" i="16516"/>
  <c r="HS45" i="16516" s="1"/>
  <c r="EI53" i="16516"/>
  <c r="GM53" i="16516" s="1"/>
  <c r="FG53" i="16516"/>
  <c r="HS53" i="16516" s="1"/>
  <c r="EI49" i="16516"/>
  <c r="GM49" i="16516" s="1"/>
  <c r="FG49" i="16516"/>
  <c r="HS49" i="16516" s="1"/>
  <c r="EI50" i="16516"/>
  <c r="GM50" i="16516" s="1"/>
  <c r="FG50" i="16516"/>
  <c r="HS50" i="16516" s="1"/>
  <c r="EI48" i="16516"/>
  <c r="GM48" i="16516" s="1"/>
  <c r="FG48" i="16516"/>
  <c r="HS48" i="16516" s="1"/>
  <c r="HR58" i="16516"/>
  <c r="HV58" i="16516" s="1"/>
  <c r="FJ58" i="16516"/>
  <c r="DN45" i="16516"/>
  <c r="DP45" i="16516" s="1"/>
  <c r="FN45" i="16516"/>
  <c r="HR60" i="16516"/>
  <c r="HV60" i="16516" s="1"/>
  <c r="HX60" i="16516" s="1"/>
  <c r="FJ60" i="16516"/>
  <c r="FL60" i="16516" s="1"/>
  <c r="HR38" i="16516"/>
  <c r="HV38" i="16516" s="1"/>
  <c r="HX38" i="16516" s="1"/>
  <c r="FJ38" i="16516"/>
  <c r="FL38" i="16516" s="1"/>
  <c r="HR54" i="16516"/>
  <c r="HV54" i="16516" s="1"/>
  <c r="HX54" i="16516" s="1"/>
  <c r="FJ54" i="16516"/>
  <c r="FL54" i="16516" s="1"/>
  <c r="HR39" i="16516"/>
  <c r="HV39" i="16516" s="1"/>
  <c r="HX39" i="16516" s="1"/>
  <c r="FJ39" i="16516"/>
  <c r="FL39" i="16516" s="1"/>
  <c r="HJ46" i="16516"/>
  <c r="HN46" i="16516" s="1"/>
  <c r="HP46" i="16516" s="1"/>
  <c r="FB46" i="16516"/>
  <c r="FD46" i="16516" s="1"/>
  <c r="HJ53" i="16516"/>
  <c r="HN53" i="16516" s="1"/>
  <c r="HP53" i="16516" s="1"/>
  <c r="FB53" i="16516"/>
  <c r="FD53" i="16516" s="1"/>
  <c r="DN58" i="16516"/>
  <c r="DP58" i="16516" s="1"/>
  <c r="FN58" i="16516"/>
  <c r="HJ45" i="16516"/>
  <c r="HN45" i="16516" s="1"/>
  <c r="HP45" i="16516" s="1"/>
  <c r="FB45" i="16516"/>
  <c r="FD45" i="16516" s="1"/>
  <c r="DN60" i="16516"/>
  <c r="DP60" i="16516" s="1"/>
  <c r="FN60" i="16516"/>
  <c r="FF52" i="16516"/>
  <c r="DF52" i="16516"/>
  <c r="DH52" i="16516" s="1"/>
  <c r="EH52" i="16516"/>
  <c r="DJ34" i="16516"/>
  <c r="CD36" i="16516"/>
  <c r="CH34" i="16516"/>
  <c r="CT34" i="16516"/>
  <c r="BN36" i="16516"/>
  <c r="BR34" i="16516"/>
  <c r="DN52" i="16516"/>
  <c r="DP52" i="16516" s="1"/>
  <c r="FN52" i="16516"/>
  <c r="EI44" i="16516"/>
  <c r="GM44" i="16516" s="1"/>
  <c r="FG44" i="16516"/>
  <c r="HS44" i="16516" s="1"/>
  <c r="EI58" i="16516"/>
  <c r="GM58" i="16516" s="1"/>
  <c r="FG58" i="16516"/>
  <c r="HS58" i="16516" s="1"/>
  <c r="EI60" i="16516"/>
  <c r="GM60" i="16516" s="1"/>
  <c r="FG60" i="16516"/>
  <c r="HS60" i="16516" s="1"/>
  <c r="EI39" i="16516"/>
  <c r="GM39" i="16516" s="1"/>
  <c r="FG39" i="16516"/>
  <c r="HS39" i="16516" s="1"/>
  <c r="EI46" i="16516"/>
  <c r="GM46" i="16516" s="1"/>
  <c r="FG46" i="16516"/>
  <c r="HS46" i="16516" s="1"/>
  <c r="EI54" i="16516"/>
  <c r="GM54" i="16516" s="1"/>
  <c r="FG54" i="16516"/>
  <c r="HS54" i="16516" s="1"/>
  <c r="CJ58" i="16516"/>
  <c r="DN38" i="16516"/>
  <c r="DP38" i="16516" s="1"/>
  <c r="FN38" i="16516"/>
  <c r="DN54" i="16516"/>
  <c r="DP54" i="16516" s="1"/>
  <c r="FN54" i="16516"/>
  <c r="DN39" i="16516"/>
  <c r="DP39" i="16516" s="1"/>
  <c r="FN39" i="16516"/>
  <c r="HR46" i="16516"/>
  <c r="HV46" i="16516" s="1"/>
  <c r="HX46" i="16516" s="1"/>
  <c r="FJ46" i="16516"/>
  <c r="FL46" i="16516" s="1"/>
  <c r="HR53" i="16516"/>
  <c r="HV53" i="16516" s="1"/>
  <c r="HX53" i="16516" s="1"/>
  <c r="FJ53" i="16516"/>
  <c r="FL53" i="16516" s="1"/>
  <c r="HJ58" i="16516"/>
  <c r="HN58" i="16516" s="1"/>
  <c r="FB58" i="16516"/>
  <c r="HR45" i="16516"/>
  <c r="HV45" i="16516" s="1"/>
  <c r="HX45" i="16516" s="1"/>
  <c r="FJ45" i="16516"/>
  <c r="FL45" i="16516" s="1"/>
  <c r="HJ60" i="16516"/>
  <c r="HN60" i="16516" s="1"/>
  <c r="HP60" i="16516" s="1"/>
  <c r="FB60" i="16516"/>
  <c r="FD60" i="16516" s="1"/>
  <c r="HJ38" i="16516"/>
  <c r="HN38" i="16516" s="1"/>
  <c r="HP38" i="16516" s="1"/>
  <c r="FB38" i="16516"/>
  <c r="FD38" i="16516" s="1"/>
  <c r="HJ54" i="16516"/>
  <c r="HN54" i="16516" s="1"/>
  <c r="HP54" i="16516" s="1"/>
  <c r="FB54" i="16516"/>
  <c r="FD54" i="16516" s="1"/>
  <c r="HJ39" i="16516"/>
  <c r="HN39" i="16516" s="1"/>
  <c r="HP39" i="16516" s="1"/>
  <c r="FB39" i="16516"/>
  <c r="FD39" i="16516" s="1"/>
  <c r="DN46" i="16516"/>
  <c r="DP46" i="16516" s="1"/>
  <c r="FN46" i="16516"/>
  <c r="DN53" i="16516"/>
  <c r="DP53" i="16516" s="1"/>
  <c r="FN53" i="16516"/>
  <c r="DB34" i="16516"/>
  <c r="BV36" i="16516"/>
  <c r="BZ34" i="16516"/>
  <c r="EX52" i="16516"/>
  <c r="CX52" i="16516"/>
  <c r="CZ52" i="16516" s="1"/>
  <c r="DZ52" i="16516"/>
  <c r="FO34" i="16516"/>
  <c r="IA34" i="16516" s="1"/>
  <c r="AH36" i="16516"/>
  <c r="AL34" i="16516"/>
  <c r="Z36" i="16516"/>
  <c r="AD34" i="16516"/>
  <c r="EI52" i="16516"/>
  <c r="GM52" i="16516" s="1"/>
  <c r="FG52" i="16516"/>
  <c r="HS52" i="16516" s="1"/>
  <c r="BR59" i="16516"/>
  <c r="BT59" i="16516" s="1"/>
  <c r="BT51" i="16516"/>
  <c r="M8" i="16514" s="1"/>
  <c r="M78" i="16513" s="1"/>
  <c r="AL59" i="16516"/>
  <c r="AN59" i="16516" s="1"/>
  <c r="BZ59" i="16516"/>
  <c r="CB59" i="16516" s="1"/>
  <c r="AF58" i="16516"/>
  <c r="AF51" i="16516"/>
  <c r="H8" i="16514" s="1"/>
  <c r="H78" i="16513" s="1"/>
  <c r="CB51" i="16516"/>
  <c r="N8" i="16514" s="1"/>
  <c r="N78" i="16513" s="1"/>
  <c r="BR42" i="16516"/>
  <c r="BT42" i="16516" s="1"/>
  <c r="CT42" i="16516"/>
  <c r="EX42" i="16516" s="1"/>
  <c r="BZ57" i="16516"/>
  <c r="CB57" i="16516" s="1"/>
  <c r="DB57" i="16516"/>
  <c r="FF57" i="16516" s="1"/>
  <c r="DF58" i="16516"/>
  <c r="EH58" i="16516"/>
  <c r="DF60" i="16516"/>
  <c r="DH60" i="16516" s="1"/>
  <c r="EH60" i="16516"/>
  <c r="DF38" i="16516"/>
  <c r="DH38" i="16516" s="1"/>
  <c r="EH38" i="16516"/>
  <c r="DF54" i="16516"/>
  <c r="DH54" i="16516" s="1"/>
  <c r="EH54" i="16516"/>
  <c r="DF39" i="16516"/>
  <c r="DH39" i="16516" s="1"/>
  <c r="EH39" i="16516"/>
  <c r="DZ46" i="16516"/>
  <c r="CX46" i="16516"/>
  <c r="CZ46" i="16516" s="1"/>
  <c r="CX53" i="16516"/>
  <c r="CZ53" i="16516" s="1"/>
  <c r="DZ53" i="16516"/>
  <c r="CX45" i="16516"/>
  <c r="CZ45" i="16516" s="1"/>
  <c r="DZ45" i="16516"/>
  <c r="BZ42" i="16516"/>
  <c r="CB42" i="16516" s="1"/>
  <c r="DB42" i="16516"/>
  <c r="FF42" i="16516" s="1"/>
  <c r="CH42" i="16516"/>
  <c r="CJ42" i="16516" s="1"/>
  <c r="DJ42" i="16516"/>
  <c r="CH57" i="16516"/>
  <c r="CJ57" i="16516" s="1"/>
  <c r="DJ57" i="16516"/>
  <c r="EH46" i="16516"/>
  <c r="DF46" i="16516"/>
  <c r="DH46" i="16516" s="1"/>
  <c r="DF53" i="16516"/>
  <c r="DH53" i="16516" s="1"/>
  <c r="EH53" i="16516"/>
  <c r="CX58" i="16516"/>
  <c r="DZ58" i="16516"/>
  <c r="DF45" i="16516"/>
  <c r="DH45" i="16516" s="1"/>
  <c r="EH45" i="16516"/>
  <c r="CX60" i="16516"/>
  <c r="CZ60" i="16516" s="1"/>
  <c r="DZ60" i="16516"/>
  <c r="CX38" i="16516"/>
  <c r="CZ38" i="16516" s="1"/>
  <c r="DZ38" i="16516"/>
  <c r="CX54" i="16516"/>
  <c r="CZ54" i="16516" s="1"/>
  <c r="DZ54" i="16516"/>
  <c r="CX39" i="16516"/>
  <c r="CZ39" i="16516" s="1"/>
  <c r="DZ39" i="16516"/>
  <c r="BR57" i="16516"/>
  <c r="BT57" i="16516" s="1"/>
  <c r="CT57" i="16516"/>
  <c r="EX57" i="16516" s="1"/>
  <c r="CJ51" i="16516"/>
  <c r="O8" i="16514" s="1"/>
  <c r="O78" i="16513" s="1"/>
  <c r="AP62" i="16516"/>
  <c r="AT62" i="16516" s="1"/>
  <c r="AV62" i="16516" s="1"/>
  <c r="BV62" i="16516"/>
  <c r="BN62" i="16516"/>
  <c r="CD62" i="16516"/>
  <c r="AL57" i="16516"/>
  <c r="AN57" i="16516" s="1"/>
  <c r="FO57" i="16516"/>
  <c r="IA57" i="16516" s="1"/>
  <c r="AD42" i="16516"/>
  <c r="AF42" i="16516" s="1"/>
  <c r="AP63" i="16516"/>
  <c r="AT63" i="16516" s="1"/>
  <c r="AV63" i="16516" s="1"/>
  <c r="CD63" i="16516"/>
  <c r="BV63" i="16516"/>
  <c r="BN63" i="16516"/>
  <c r="AL42" i="16516"/>
  <c r="AN42" i="16516" s="1"/>
  <c r="FO42" i="16516"/>
  <c r="IA42" i="16516" s="1"/>
  <c r="AD57" i="16516"/>
  <c r="AF57" i="16516" s="1"/>
  <c r="AN51" i="16516"/>
  <c r="I8" i="16514" s="1"/>
  <c r="I78" i="16513" s="1"/>
  <c r="AH63" i="16516"/>
  <c r="Z63" i="16516"/>
  <c r="Z62" i="16516"/>
  <c r="AH62" i="16516"/>
  <c r="CL68" i="16516"/>
  <c r="HD69" i="16516"/>
  <c r="HD68" i="16516"/>
  <c r="HD65" i="16516"/>
  <c r="HD63" i="16516"/>
  <c r="HD62" i="16516"/>
  <c r="HD54" i="16516"/>
  <c r="HD53" i="16516"/>
  <c r="HD52" i="16516"/>
  <c r="HD50" i="16516"/>
  <c r="HD49" i="16516"/>
  <c r="HD48" i="16516"/>
  <c r="HD47" i="16516"/>
  <c r="HD45" i="16516"/>
  <c r="HD44" i="16516"/>
  <c r="HD42" i="16516"/>
  <c r="HD40" i="16516"/>
  <c r="HD38" i="16516"/>
  <c r="HD32" i="16516"/>
  <c r="HD31" i="16516"/>
  <c r="HD30" i="16516"/>
  <c r="HD29" i="16516"/>
  <c r="U70" i="16516"/>
  <c r="T70" i="16516"/>
  <c r="CM70" i="16516"/>
  <c r="I70" i="16516"/>
  <c r="R70" i="16516" s="1"/>
  <c r="AX70" i="16516" s="1"/>
  <c r="BF70" i="16516" s="1"/>
  <c r="ER69" i="16516"/>
  <c r="CN69" i="16516"/>
  <c r="CM69" i="16516"/>
  <c r="CL69" i="16516"/>
  <c r="ER68" i="16516"/>
  <c r="CN68" i="16516"/>
  <c r="BH68" i="16516"/>
  <c r="CM68" i="16516"/>
  <c r="AZ68" i="16516"/>
  <c r="T68" i="16516"/>
  <c r="K68" i="16516"/>
  <c r="CL67" i="16516"/>
  <c r="CM67" i="16516"/>
  <c r="ER65" i="16516"/>
  <c r="CN65" i="16516"/>
  <c r="BH65" i="16516"/>
  <c r="CM65" i="16516"/>
  <c r="AZ65" i="16516"/>
  <c r="T65" i="16516"/>
  <c r="K65" i="16516"/>
  <c r="ER63" i="16516"/>
  <c r="CN63" i="16516"/>
  <c r="BH63" i="16516"/>
  <c r="AZ63" i="16516"/>
  <c r="T63" i="16516"/>
  <c r="K63" i="16516"/>
  <c r="J63" i="16516"/>
  <c r="BF63" i="16516"/>
  <c r="ER62" i="16516"/>
  <c r="CN62" i="16516"/>
  <c r="BH62" i="16516"/>
  <c r="AZ62" i="16516"/>
  <c r="T62" i="16516"/>
  <c r="K62" i="16516"/>
  <c r="J62" i="16516"/>
  <c r="BF62" i="16516"/>
  <c r="CL62" i="16516" s="1"/>
  <c r="DR62" i="16516" s="1"/>
  <c r="CL61" i="16516"/>
  <c r="CM61" i="16516"/>
  <c r="CM60" i="16516"/>
  <c r="CM58" i="16516"/>
  <c r="BF58" i="16516"/>
  <c r="BJ58" i="16516" s="1"/>
  <c r="BJ59" i="16516" s="1"/>
  <c r="AX58" i="16516"/>
  <c r="BB58" i="16516" s="1"/>
  <c r="BD58" i="16516" s="1"/>
  <c r="R58" i="16516"/>
  <c r="M58" i="16516"/>
  <c r="M59" i="16516" s="1"/>
  <c r="CM57" i="16516"/>
  <c r="BF57" i="16516"/>
  <c r="CL57" i="16516" s="1"/>
  <c r="DR57" i="16516" s="1"/>
  <c r="AX57" i="16516"/>
  <c r="BB57" i="16516" s="1"/>
  <c r="BD57" i="16516" s="1"/>
  <c r="R57" i="16516"/>
  <c r="M57" i="16516"/>
  <c r="CL56" i="16516"/>
  <c r="CM56" i="16516"/>
  <c r="ER54" i="16516"/>
  <c r="CN54" i="16516"/>
  <c r="BH54" i="16516"/>
  <c r="CM54" i="16516"/>
  <c r="AZ54" i="16516"/>
  <c r="T54" i="16516"/>
  <c r="K54" i="16516"/>
  <c r="BF54" i="16516"/>
  <c r="ER53" i="16516"/>
  <c r="CN53" i="16516"/>
  <c r="BH53" i="16516"/>
  <c r="CM53" i="16516"/>
  <c r="AZ53" i="16516"/>
  <c r="T53" i="16516"/>
  <c r="K53" i="16516"/>
  <c r="BF53" i="16516"/>
  <c r="ER52" i="16516"/>
  <c r="CN52" i="16516"/>
  <c r="BH52" i="16516"/>
  <c r="CM52" i="16516"/>
  <c r="AZ52" i="16516"/>
  <c r="T52" i="16516"/>
  <c r="K52" i="16516"/>
  <c r="CL51" i="16516"/>
  <c r="CM51" i="16516"/>
  <c r="ER50" i="16516"/>
  <c r="CN50" i="16516"/>
  <c r="BH50" i="16516"/>
  <c r="CM50" i="16516"/>
  <c r="AZ50" i="16516"/>
  <c r="T50" i="16516"/>
  <c r="K50" i="16516"/>
  <c r="ER49" i="16516"/>
  <c r="CN49" i="16516"/>
  <c r="BH49" i="16516"/>
  <c r="CM49" i="16516"/>
  <c r="AZ49" i="16516"/>
  <c r="T49" i="16516"/>
  <c r="K49" i="16516"/>
  <c r="ER48" i="16516"/>
  <c r="CN48" i="16516"/>
  <c r="BH48" i="16516"/>
  <c r="CM48" i="16516"/>
  <c r="AZ48" i="16516"/>
  <c r="T48" i="16516"/>
  <c r="K48" i="16516"/>
  <c r="ER47" i="16516"/>
  <c r="CN47" i="16516"/>
  <c r="BH47" i="16516"/>
  <c r="CM47" i="16516"/>
  <c r="AZ47" i="16516"/>
  <c r="T47" i="16516"/>
  <c r="K47" i="16516"/>
  <c r="CN46" i="16516"/>
  <c r="BH46" i="16516"/>
  <c r="CM46" i="16516"/>
  <c r="T46" i="16516"/>
  <c r="K46" i="16516"/>
  <c r="AX46" i="16516"/>
  <c r="ER45" i="16516"/>
  <c r="CN45" i="16516"/>
  <c r="BH45" i="16516"/>
  <c r="CM45" i="16516"/>
  <c r="AZ45" i="16516"/>
  <c r="AX45" i="16516"/>
  <c r="T45" i="16516"/>
  <c r="K45" i="16516"/>
  <c r="R45" i="16516"/>
  <c r="ER44" i="16516"/>
  <c r="CN44" i="16516"/>
  <c r="CM44" i="16516"/>
  <c r="BH44" i="16516"/>
  <c r="AZ44" i="16516"/>
  <c r="T44" i="16516"/>
  <c r="K44" i="16516"/>
  <c r="BF44" i="16516"/>
  <c r="ER42" i="16516"/>
  <c r="CN42" i="16516"/>
  <c r="BH42" i="16516"/>
  <c r="CM42" i="16516"/>
  <c r="AZ42" i="16516"/>
  <c r="T42" i="16516"/>
  <c r="K42" i="16516"/>
  <c r="BF42" i="16516"/>
  <c r="CL41" i="16516"/>
  <c r="CM41" i="16516"/>
  <c r="ER40" i="16516"/>
  <c r="CN40" i="16516"/>
  <c r="BH40" i="16516"/>
  <c r="CM40" i="16516"/>
  <c r="AZ40" i="16516"/>
  <c r="T40" i="16516"/>
  <c r="K40" i="16516"/>
  <c r="ER39" i="16516"/>
  <c r="CN39" i="16516"/>
  <c r="BH39" i="16516"/>
  <c r="CM39" i="16516"/>
  <c r="AZ39" i="16516"/>
  <c r="T39" i="16516"/>
  <c r="K39" i="16516"/>
  <c r="I40" i="16516"/>
  <c r="ER38" i="16516"/>
  <c r="CN38" i="16516"/>
  <c r="BH38" i="16516"/>
  <c r="CM38" i="16516"/>
  <c r="AZ38" i="16516"/>
  <c r="T38" i="16516"/>
  <c r="K38" i="16516"/>
  <c r="BF38" i="16516"/>
  <c r="CL38" i="16516" s="1"/>
  <c r="DR38" i="16516" s="1"/>
  <c r="CL37" i="16516"/>
  <c r="CM37" i="16516"/>
  <c r="CM36" i="16516"/>
  <c r="CM34" i="16516"/>
  <c r="I36" i="16516"/>
  <c r="CL33" i="16516"/>
  <c r="CM33" i="16516"/>
  <c r="ER32" i="16516"/>
  <c r="CN32" i="16516"/>
  <c r="BH32" i="16516"/>
  <c r="CM32" i="16516"/>
  <c r="AZ32" i="16516"/>
  <c r="T32" i="16516"/>
  <c r="K32" i="16516"/>
  <c r="ER31" i="16516"/>
  <c r="CN31" i="16516"/>
  <c r="BH31" i="16516"/>
  <c r="CM31" i="16516"/>
  <c r="AZ31" i="16516"/>
  <c r="T31" i="16516"/>
  <c r="K31" i="16516"/>
  <c r="ER30" i="16516"/>
  <c r="CN30" i="16516"/>
  <c r="BH30" i="16516"/>
  <c r="CM30" i="16516"/>
  <c r="AZ30" i="16516"/>
  <c r="T30" i="16516"/>
  <c r="K30" i="16516"/>
  <c r="ER29" i="16516"/>
  <c r="CN29" i="16516"/>
  <c r="BH29" i="16516"/>
  <c r="CM29" i="16516"/>
  <c r="AZ29" i="16516"/>
  <c r="T29" i="16516"/>
  <c r="K29" i="16516"/>
  <c r="CL28" i="16516"/>
  <c r="CM28" i="16516"/>
  <c r="CL27" i="16516"/>
  <c r="CM27" i="16516"/>
  <c r="K11" i="16516"/>
  <c r="M11" i="16516" s="1"/>
  <c r="BG9" i="16516"/>
  <c r="CM9" i="16516" s="1"/>
  <c r="BF9" i="16516"/>
  <c r="CL9" i="16516" s="1"/>
  <c r="CL8" i="16516"/>
  <c r="BG8" i="16516"/>
  <c r="BF8" i="16516"/>
  <c r="CM8" i="16516" s="1"/>
  <c r="EQ8" i="16516" s="1"/>
  <c r="CJ56" i="16516" l="1"/>
  <c r="O9" i="16514" s="1"/>
  <c r="O79" i="16513" s="1"/>
  <c r="DR61" i="16516"/>
  <c r="FV61" i="16516" s="1"/>
  <c r="IH61" i="16516" s="1"/>
  <c r="EP61" i="16516"/>
  <c r="AF56" i="16516"/>
  <c r="H9" i="16514" s="1"/>
  <c r="H79" i="16513" s="1"/>
  <c r="AP47" i="16516"/>
  <c r="AT47" i="16516" s="1"/>
  <c r="AV47" i="16516" s="1"/>
  <c r="Z47" i="16516"/>
  <c r="AD47" i="16516" s="1"/>
  <c r="AF47" i="16516" s="1"/>
  <c r="BV47" i="16516"/>
  <c r="AH47" i="16516"/>
  <c r="AL47" i="16516" s="1"/>
  <c r="AN47" i="16516" s="1"/>
  <c r="CD47" i="16516"/>
  <c r="BN47" i="16516"/>
  <c r="AP44" i="16516"/>
  <c r="AT44" i="16516" s="1"/>
  <c r="AV44" i="16516" s="1"/>
  <c r="BN44" i="16516"/>
  <c r="AH44" i="16516"/>
  <c r="AL44" i="16516" s="1"/>
  <c r="AN44" i="16516" s="1"/>
  <c r="Z44" i="16516"/>
  <c r="AD44" i="16516" s="1"/>
  <c r="AF44" i="16516" s="1"/>
  <c r="CD44" i="16516"/>
  <c r="BV44" i="16516"/>
  <c r="E49" i="16520"/>
  <c r="I48" i="16516"/>
  <c r="R48" i="16516" s="1"/>
  <c r="BT56" i="16516"/>
  <c r="M9" i="16514" s="1"/>
  <c r="M79" i="16513" s="1"/>
  <c r="DP51" i="16516"/>
  <c r="S8" i="16514" s="1"/>
  <c r="S78" i="16513" s="1"/>
  <c r="EQ9" i="16516"/>
  <c r="DS9" i="16516"/>
  <c r="FW9" i="16516" s="1"/>
  <c r="II9" i="16516" s="1"/>
  <c r="EQ40" i="16516"/>
  <c r="FW40" i="16516"/>
  <c r="II40" i="16516" s="1"/>
  <c r="EQ41" i="16516"/>
  <c r="FW41" i="16516"/>
  <c r="II41" i="16516" s="1"/>
  <c r="EQ47" i="16516"/>
  <c r="FW47" i="16516"/>
  <c r="II47" i="16516" s="1"/>
  <c r="EA50" i="16516"/>
  <c r="GE50" i="16516" s="1"/>
  <c r="EY50" i="16516"/>
  <c r="HK50" i="16516" s="1"/>
  <c r="EQ51" i="16516"/>
  <c r="FW51" i="16516"/>
  <c r="II51" i="16516" s="1"/>
  <c r="EQ58" i="16516"/>
  <c r="FW58" i="16516"/>
  <c r="II58" i="16516" s="1"/>
  <c r="HB61" i="16516"/>
  <c r="GT61" i="16516"/>
  <c r="AN34" i="16516"/>
  <c r="AL35" i="16516"/>
  <c r="AN35" i="16516" s="1"/>
  <c r="EP8" i="16516"/>
  <c r="DS8" i="16516"/>
  <c r="FW8" i="16516" s="1"/>
  <c r="II8" i="16516" s="1"/>
  <c r="EQ27" i="16516"/>
  <c r="DS27" i="16516"/>
  <c r="FW27" i="16516" s="1"/>
  <c r="II27" i="16516" s="1"/>
  <c r="EP9" i="16516"/>
  <c r="DR9" i="16516"/>
  <c r="FV9" i="16516" s="1"/>
  <c r="IH9" i="16516" s="1"/>
  <c r="EP27" i="16516"/>
  <c r="DR27" i="16516"/>
  <c r="FV27" i="16516" s="1"/>
  <c r="IH27" i="16516" s="1"/>
  <c r="EP28" i="16516"/>
  <c r="DR28" i="16516"/>
  <c r="FV28" i="16516" s="1"/>
  <c r="IH28" i="16516" s="1"/>
  <c r="EQ29" i="16516"/>
  <c r="FW29" i="16516"/>
  <c r="II29" i="16516" s="1"/>
  <c r="EQ31" i="16516"/>
  <c r="FW31" i="16516"/>
  <c r="II31" i="16516" s="1"/>
  <c r="EY32" i="16516"/>
  <c r="HK32" i="16516" s="1"/>
  <c r="EA32" i="16516"/>
  <c r="GE32" i="16516" s="1"/>
  <c r="EP33" i="16516"/>
  <c r="DR33" i="16516"/>
  <c r="FV33" i="16516" s="1"/>
  <c r="IH33" i="16516" s="1"/>
  <c r="EQ37" i="16516"/>
  <c r="FW37" i="16516"/>
  <c r="II37" i="16516" s="1"/>
  <c r="EQ44" i="16516"/>
  <c r="FW44" i="16516"/>
  <c r="II44" i="16516" s="1"/>
  <c r="EQ45" i="16516"/>
  <c r="FW45" i="16516"/>
  <c r="II45" i="16516" s="1"/>
  <c r="EQ57" i="16516"/>
  <c r="FW57" i="16516"/>
  <c r="II57" i="16516" s="1"/>
  <c r="EA65" i="16516"/>
  <c r="GE65" i="16516" s="1"/>
  <c r="EY65" i="16516"/>
  <c r="HK65" i="16516" s="1"/>
  <c r="EI57" i="16516"/>
  <c r="GM57" i="16516" s="1"/>
  <c r="FG57" i="16516"/>
  <c r="HS57" i="16516" s="1"/>
  <c r="EI42" i="16516"/>
  <c r="GM42" i="16516" s="1"/>
  <c r="FG42" i="16516"/>
  <c r="HS42" i="16516" s="1"/>
  <c r="EL46" i="16516"/>
  <c r="EN46" i="16516" s="1"/>
  <c r="GL46" i="16516"/>
  <c r="GP46" i="16516" s="1"/>
  <c r="GR46" i="16516" s="1"/>
  <c r="DN59" i="16516"/>
  <c r="DP59" i="16516" s="1"/>
  <c r="EI34" i="16516"/>
  <c r="GM34" i="16516" s="1"/>
  <c r="FG34" i="16516"/>
  <c r="HS34" i="16516" s="1"/>
  <c r="ED52" i="16516"/>
  <c r="EF52" i="16516" s="1"/>
  <c r="GD52" i="16516"/>
  <c r="GH52" i="16516" s="1"/>
  <c r="GJ52" i="16516" s="1"/>
  <c r="BZ36" i="16516"/>
  <c r="CB36" i="16516" s="1"/>
  <c r="DB36" i="16516"/>
  <c r="HZ46" i="16516"/>
  <c r="ID46" i="16516" s="1"/>
  <c r="IF46" i="16516" s="1"/>
  <c r="FR46" i="16516"/>
  <c r="FT46" i="16516" s="1"/>
  <c r="HZ54" i="16516"/>
  <c r="ID54" i="16516" s="1"/>
  <c r="IF54" i="16516" s="1"/>
  <c r="FR54" i="16516"/>
  <c r="FT54" i="16516" s="1"/>
  <c r="HZ38" i="16516"/>
  <c r="ID38" i="16516" s="1"/>
  <c r="IF38" i="16516" s="1"/>
  <c r="FR38" i="16516"/>
  <c r="FT38" i="16516" s="1"/>
  <c r="CH35" i="16516"/>
  <c r="CJ35" i="16516" s="1"/>
  <c r="CJ34" i="16516"/>
  <c r="HZ60" i="16516"/>
  <c r="ID60" i="16516" s="1"/>
  <c r="IF60" i="16516" s="1"/>
  <c r="FR60" i="16516"/>
  <c r="FT60" i="16516" s="1"/>
  <c r="HZ58" i="16516"/>
  <c r="ID58" i="16516" s="1"/>
  <c r="FR58" i="16516"/>
  <c r="HZ45" i="16516"/>
  <c r="ID45" i="16516" s="1"/>
  <c r="IF45" i="16516" s="1"/>
  <c r="FR45" i="16516"/>
  <c r="FT45" i="16516" s="1"/>
  <c r="HC8" i="16516"/>
  <c r="GU8" i="16516"/>
  <c r="EQ32" i="16516"/>
  <c r="FW32" i="16516"/>
  <c r="II32" i="16516" s="1"/>
  <c r="EQ49" i="16516"/>
  <c r="FW49" i="16516"/>
  <c r="II49" i="16516" s="1"/>
  <c r="EQ65" i="16516"/>
  <c r="FW65" i="16516"/>
  <c r="II65" i="16516" s="1"/>
  <c r="EQ67" i="16516"/>
  <c r="FW67" i="16516"/>
  <c r="II67" i="16516" s="1"/>
  <c r="ED45" i="16516"/>
  <c r="EF45" i="16516" s="1"/>
  <c r="GD45" i="16516"/>
  <c r="GH45" i="16516" s="1"/>
  <c r="GJ45" i="16516" s="1"/>
  <c r="EL39" i="16516"/>
  <c r="EN39" i="16516" s="1"/>
  <c r="GL39" i="16516"/>
  <c r="GP39" i="16516" s="1"/>
  <c r="GR39" i="16516" s="1"/>
  <c r="EL58" i="16516"/>
  <c r="EL59" i="16516" s="1"/>
  <c r="EN59" i="16516" s="1"/>
  <c r="GL58" i="16516"/>
  <c r="GP58" i="16516" s="1"/>
  <c r="FF34" i="16516"/>
  <c r="EH34" i="16516"/>
  <c r="DF34" i="16516"/>
  <c r="BT34" i="16516"/>
  <c r="BR35" i="16516"/>
  <c r="BT35" i="16516" s="1"/>
  <c r="CH36" i="16516"/>
  <c r="CJ36" i="16516" s="1"/>
  <c r="DJ36" i="16516"/>
  <c r="HR52" i="16516"/>
  <c r="HV52" i="16516" s="1"/>
  <c r="HX52" i="16516" s="1"/>
  <c r="HX51" i="16516" s="1"/>
  <c r="AG8" i="16514" s="1"/>
  <c r="AG78" i="16513" s="1"/>
  <c r="FJ52" i="16516"/>
  <c r="FL52" i="16516" s="1"/>
  <c r="FL51" i="16516" s="1"/>
  <c r="Y8" i="16514" s="1"/>
  <c r="Y78" i="16513" s="1"/>
  <c r="EA30" i="16516"/>
  <c r="GE30" i="16516" s="1"/>
  <c r="EY30" i="16516"/>
  <c r="HK30" i="16516" s="1"/>
  <c r="EQ34" i="16516"/>
  <c r="FW34" i="16516"/>
  <c r="II34" i="16516" s="1"/>
  <c r="DV38" i="16516"/>
  <c r="DX38" i="16516" s="1"/>
  <c r="FV38" i="16516"/>
  <c r="EQ38" i="16516"/>
  <c r="FW38" i="16516"/>
  <c r="II38" i="16516" s="1"/>
  <c r="EQ39" i="16516"/>
  <c r="FW39" i="16516"/>
  <c r="II39" i="16516" s="1"/>
  <c r="EP41" i="16516"/>
  <c r="DR41" i="16516"/>
  <c r="FV41" i="16516" s="1"/>
  <c r="IH41" i="16516" s="1"/>
  <c r="EP51" i="16516"/>
  <c r="DR51" i="16516"/>
  <c r="FV51" i="16516" s="1"/>
  <c r="IH51" i="16516" s="1"/>
  <c r="EQ52" i="16516"/>
  <c r="FW52" i="16516"/>
  <c r="II52" i="16516" s="1"/>
  <c r="EQ53" i="16516"/>
  <c r="FW53" i="16516"/>
  <c r="II53" i="16516" s="1"/>
  <c r="EQ54" i="16516"/>
  <c r="FW54" i="16516"/>
  <c r="II54" i="16516" s="1"/>
  <c r="EQ56" i="16516"/>
  <c r="FW56" i="16516"/>
  <c r="II56" i="16516" s="1"/>
  <c r="EQ60" i="16516"/>
  <c r="FW60" i="16516"/>
  <c r="II60" i="16516" s="1"/>
  <c r="DV62" i="16516"/>
  <c r="DX62" i="16516" s="1"/>
  <c r="FV62" i="16516"/>
  <c r="EP67" i="16516"/>
  <c r="DR67" i="16516"/>
  <c r="FV67" i="16516" s="1"/>
  <c r="IH67" i="16516" s="1"/>
  <c r="EQ68" i="16516"/>
  <c r="FW68" i="16516"/>
  <c r="II68" i="16516" s="1"/>
  <c r="EP69" i="16516"/>
  <c r="DR69" i="16516"/>
  <c r="FV69" i="16516" s="1"/>
  <c r="IH69" i="16516" s="1"/>
  <c r="HJ57" i="16516"/>
  <c r="HN57" i="16516" s="1"/>
  <c r="HP57" i="16516" s="1"/>
  <c r="FB57" i="16516"/>
  <c r="FD57" i="16516" s="1"/>
  <c r="ED46" i="16516"/>
  <c r="EF46" i="16516" s="1"/>
  <c r="GD46" i="16516"/>
  <c r="GH46" i="16516" s="1"/>
  <c r="GJ46" i="16516" s="1"/>
  <c r="AD35" i="16516"/>
  <c r="AF35" i="16516" s="1"/>
  <c r="AF34" i="16516"/>
  <c r="AL36" i="16516"/>
  <c r="AN36" i="16516" s="1"/>
  <c r="FO36" i="16516"/>
  <c r="IA36" i="16516" s="1"/>
  <c r="HJ52" i="16516"/>
  <c r="HN52" i="16516" s="1"/>
  <c r="HP52" i="16516" s="1"/>
  <c r="HP51" i="16516" s="1"/>
  <c r="AF8" i="16514" s="1"/>
  <c r="AF78" i="16513" s="1"/>
  <c r="FB52" i="16516"/>
  <c r="FD52" i="16516" s="1"/>
  <c r="FD51" i="16516" s="1"/>
  <c r="X8" i="16514" s="1"/>
  <c r="X78" i="16513" s="1"/>
  <c r="HZ53" i="16516"/>
  <c r="ID53" i="16516" s="1"/>
  <c r="IF53" i="16516" s="1"/>
  <c r="FR53" i="16516"/>
  <c r="FT53" i="16516" s="1"/>
  <c r="FB59" i="16516"/>
  <c r="FD59" i="16516" s="1"/>
  <c r="FD58" i="16516"/>
  <c r="HZ39" i="16516"/>
  <c r="ID39" i="16516" s="1"/>
  <c r="IF39" i="16516" s="1"/>
  <c r="FR39" i="16516"/>
  <c r="FT39" i="16516" s="1"/>
  <c r="BR36" i="16516"/>
  <c r="BT36" i="16516" s="1"/>
  <c r="CT36" i="16516"/>
  <c r="DN34" i="16516"/>
  <c r="FN34" i="16516"/>
  <c r="FJ59" i="16516"/>
  <c r="FL59" i="16516" s="1"/>
  <c r="FL58" i="16516"/>
  <c r="AT35" i="16516"/>
  <c r="AV35" i="16516" s="1"/>
  <c r="AV34" i="16516"/>
  <c r="EP37" i="16516"/>
  <c r="DR37" i="16516"/>
  <c r="FV37" i="16516" s="1"/>
  <c r="IH37" i="16516" s="1"/>
  <c r="EQ48" i="16516"/>
  <c r="FW48" i="16516"/>
  <c r="II48" i="16516" s="1"/>
  <c r="EQ50" i="16516"/>
  <c r="FW50" i="16516"/>
  <c r="II50" i="16516" s="1"/>
  <c r="ED39" i="16516"/>
  <c r="EF39" i="16516" s="1"/>
  <c r="GD39" i="16516"/>
  <c r="GH39" i="16516" s="1"/>
  <c r="GJ39" i="16516" s="1"/>
  <c r="EL45" i="16516"/>
  <c r="EN45" i="16516" s="1"/>
  <c r="GL45" i="16516"/>
  <c r="GP45" i="16516" s="1"/>
  <c r="GR45" i="16516" s="1"/>
  <c r="EL53" i="16516"/>
  <c r="EN53" i="16516" s="1"/>
  <c r="GL53" i="16516"/>
  <c r="GP53" i="16516" s="1"/>
  <c r="GR53" i="16516" s="1"/>
  <c r="DN42" i="16516"/>
  <c r="DP42" i="16516" s="1"/>
  <c r="FN42" i="16516"/>
  <c r="HR57" i="16516"/>
  <c r="HV57" i="16516" s="1"/>
  <c r="HX57" i="16516" s="1"/>
  <c r="FJ57" i="16516"/>
  <c r="FL57" i="16516" s="1"/>
  <c r="EQ28" i="16516"/>
  <c r="DS28" i="16516"/>
  <c r="FW28" i="16516" s="1"/>
  <c r="II28" i="16516" s="1"/>
  <c r="EQ30" i="16516"/>
  <c r="FW30" i="16516"/>
  <c r="II30" i="16516" s="1"/>
  <c r="EA31" i="16516"/>
  <c r="GE31" i="16516" s="1"/>
  <c r="EY31" i="16516"/>
  <c r="HK31" i="16516" s="1"/>
  <c r="EQ33" i="16516"/>
  <c r="FW33" i="16516"/>
  <c r="II33" i="16516" s="1"/>
  <c r="EQ36" i="16516"/>
  <c r="FW36" i="16516"/>
  <c r="II36" i="16516" s="1"/>
  <c r="EQ42" i="16516"/>
  <c r="FW42" i="16516"/>
  <c r="II42" i="16516" s="1"/>
  <c r="EA45" i="16516"/>
  <c r="GE45" i="16516" s="1"/>
  <c r="EY45" i="16516"/>
  <c r="HK45" i="16516" s="1"/>
  <c r="EQ46" i="16516"/>
  <c r="FW46" i="16516"/>
  <c r="II46" i="16516" s="1"/>
  <c r="EP56" i="16516"/>
  <c r="DR56" i="16516"/>
  <c r="FV56" i="16516" s="1"/>
  <c r="IH56" i="16516" s="1"/>
  <c r="DV57" i="16516"/>
  <c r="DX57" i="16516" s="1"/>
  <c r="FV57" i="16516"/>
  <c r="EQ61" i="16516"/>
  <c r="FW61" i="16516"/>
  <c r="II61" i="16516" s="1"/>
  <c r="EQ69" i="16516"/>
  <c r="FW69" i="16516"/>
  <c r="II69" i="16516" s="1"/>
  <c r="EQ70" i="16516"/>
  <c r="FW70" i="16516"/>
  <c r="II70" i="16516" s="1"/>
  <c r="ED54" i="16516"/>
  <c r="EF54" i="16516" s="1"/>
  <c r="GD54" i="16516"/>
  <c r="GH54" i="16516" s="1"/>
  <c r="GJ54" i="16516" s="1"/>
  <c r="ED38" i="16516"/>
  <c r="EF38" i="16516" s="1"/>
  <c r="GD38" i="16516"/>
  <c r="GH38" i="16516" s="1"/>
  <c r="GJ38" i="16516" s="1"/>
  <c r="ED60" i="16516"/>
  <c r="EF60" i="16516" s="1"/>
  <c r="GD60" i="16516"/>
  <c r="GH60" i="16516" s="1"/>
  <c r="GJ60" i="16516" s="1"/>
  <c r="ED58" i="16516"/>
  <c r="EF58" i="16516" s="1"/>
  <c r="GD58" i="16516"/>
  <c r="GH58" i="16516" s="1"/>
  <c r="DN57" i="16516"/>
  <c r="DP57" i="16516" s="1"/>
  <c r="DP56" i="16516" s="1"/>
  <c r="S9" i="16514" s="1"/>
  <c r="S79" i="16513" s="1"/>
  <c r="FN57" i="16516"/>
  <c r="HR42" i="16516"/>
  <c r="HV42" i="16516" s="1"/>
  <c r="HX42" i="16516" s="1"/>
  <c r="FJ42" i="16516"/>
  <c r="FL42" i="16516" s="1"/>
  <c r="ED53" i="16516"/>
  <c r="EF53" i="16516" s="1"/>
  <c r="GD53" i="16516"/>
  <c r="GH53" i="16516" s="1"/>
  <c r="GJ53" i="16516" s="1"/>
  <c r="EL54" i="16516"/>
  <c r="EN54" i="16516" s="1"/>
  <c r="GL54" i="16516"/>
  <c r="GP54" i="16516" s="1"/>
  <c r="GR54" i="16516" s="1"/>
  <c r="EL38" i="16516"/>
  <c r="EN38" i="16516" s="1"/>
  <c r="GL38" i="16516"/>
  <c r="GP38" i="16516" s="1"/>
  <c r="GR38" i="16516" s="1"/>
  <c r="EL60" i="16516"/>
  <c r="EN60" i="16516" s="1"/>
  <c r="GL60" i="16516"/>
  <c r="GP60" i="16516" s="1"/>
  <c r="GR60" i="16516" s="1"/>
  <c r="HJ42" i="16516"/>
  <c r="HN42" i="16516" s="1"/>
  <c r="HP42" i="16516" s="1"/>
  <c r="FB42" i="16516"/>
  <c r="FD42" i="16516" s="1"/>
  <c r="AD36" i="16516"/>
  <c r="AF36" i="16516" s="1"/>
  <c r="BZ35" i="16516"/>
  <c r="CB35" i="16516" s="1"/>
  <c r="CB34" i="16516"/>
  <c r="HN59" i="16516"/>
  <c r="HP59" i="16516" s="1"/>
  <c r="HP58" i="16516"/>
  <c r="HZ52" i="16516"/>
  <c r="ID52" i="16516" s="1"/>
  <c r="IF52" i="16516" s="1"/>
  <c r="FR52" i="16516"/>
  <c r="FT52" i="16516" s="1"/>
  <c r="EX34" i="16516"/>
  <c r="DZ34" i="16516"/>
  <c r="CX34" i="16516"/>
  <c r="EL52" i="16516"/>
  <c r="EN52" i="16516" s="1"/>
  <c r="GL52" i="16516"/>
  <c r="GP52" i="16516" s="1"/>
  <c r="GR52" i="16516" s="1"/>
  <c r="HV59" i="16516"/>
  <c r="HX59" i="16516" s="1"/>
  <c r="HX58" i="16516"/>
  <c r="AN56" i="16516"/>
  <c r="I9" i="16514" s="1"/>
  <c r="I79" i="16513" s="1"/>
  <c r="CB56" i="16516"/>
  <c r="N9" i="16514" s="1"/>
  <c r="N79" i="16513" s="1"/>
  <c r="DH51" i="16516"/>
  <c r="R8" i="16514" s="1"/>
  <c r="R78" i="16513" s="1"/>
  <c r="DZ57" i="16516"/>
  <c r="CX57" i="16516"/>
  <c r="CZ57" i="16516" s="1"/>
  <c r="DF57" i="16516"/>
  <c r="DH57" i="16516" s="1"/>
  <c r="EH57" i="16516"/>
  <c r="BR63" i="16516"/>
  <c r="BT63" i="16516" s="1"/>
  <c r="CT63" i="16516"/>
  <c r="EX63" i="16516" s="1"/>
  <c r="CH62" i="16516"/>
  <c r="CJ62" i="16516" s="1"/>
  <c r="DJ62" i="16516"/>
  <c r="DF59" i="16516"/>
  <c r="DH59" i="16516" s="1"/>
  <c r="DH58" i="16516"/>
  <c r="BZ63" i="16516"/>
  <c r="CB63" i="16516" s="1"/>
  <c r="DB63" i="16516"/>
  <c r="FF63" i="16516" s="1"/>
  <c r="BR62" i="16516"/>
  <c r="BT62" i="16516" s="1"/>
  <c r="CT62" i="16516"/>
  <c r="EX62" i="16516" s="1"/>
  <c r="CX59" i="16516"/>
  <c r="CZ59" i="16516" s="1"/>
  <c r="CZ58" i="16516"/>
  <c r="DF42" i="16516"/>
  <c r="DH42" i="16516" s="1"/>
  <c r="EH42" i="16516"/>
  <c r="CX42" i="16516"/>
  <c r="CZ42" i="16516" s="1"/>
  <c r="DZ42" i="16516"/>
  <c r="CH63" i="16516"/>
  <c r="CJ63" i="16516" s="1"/>
  <c r="DJ63" i="16516"/>
  <c r="BZ62" i="16516"/>
  <c r="CB62" i="16516" s="1"/>
  <c r="DB62" i="16516"/>
  <c r="FF62" i="16516" s="1"/>
  <c r="CZ51" i="16516"/>
  <c r="Q8" i="16514" s="1"/>
  <c r="Q78" i="16513" s="1"/>
  <c r="AL63" i="16516"/>
  <c r="AN63" i="16516" s="1"/>
  <c r="FO63" i="16516"/>
  <c r="IA63" i="16516" s="1"/>
  <c r="AL62" i="16516"/>
  <c r="AN62" i="16516" s="1"/>
  <c r="FO62" i="16516"/>
  <c r="IA62" i="16516" s="1"/>
  <c r="V57" i="16516"/>
  <c r="AD62" i="16516"/>
  <c r="AF62" i="16516" s="1"/>
  <c r="AP40" i="16516"/>
  <c r="AT40" i="16516" s="1"/>
  <c r="AV40" i="16516" s="1"/>
  <c r="AV27" i="16516" s="1"/>
  <c r="CD40" i="16516"/>
  <c r="BV40" i="16516"/>
  <c r="BN40" i="16516"/>
  <c r="V58" i="16516"/>
  <c r="V59" i="16516" s="1"/>
  <c r="CL70" i="16516"/>
  <c r="DR70" i="16516" s="1"/>
  <c r="BN70" i="16516"/>
  <c r="AD63" i="16516"/>
  <c r="AF63" i="16516" s="1"/>
  <c r="AZ70" i="16516"/>
  <c r="BH70" i="16516" s="1"/>
  <c r="BP70" i="16516" s="1"/>
  <c r="BX70" i="16516" s="1"/>
  <c r="CF70" i="16516" s="1"/>
  <c r="AC70" i="16516"/>
  <c r="BA70" i="16516"/>
  <c r="BI70" i="16516" s="1"/>
  <c r="BQ70" i="16516" s="1"/>
  <c r="BY70" i="16516" s="1"/>
  <c r="CG70" i="16516" s="1"/>
  <c r="AD70" i="16516"/>
  <c r="AH40" i="16516"/>
  <c r="Z40" i="16516"/>
  <c r="HD46" i="16516"/>
  <c r="AZ46" i="16516"/>
  <c r="BB46" i="16516" s="1"/>
  <c r="ER46" i="16516"/>
  <c r="HD39" i="16516"/>
  <c r="BG62" i="16516"/>
  <c r="CM62" i="16516" s="1"/>
  <c r="BG63" i="16516"/>
  <c r="CM63" i="16516" s="1"/>
  <c r="M45" i="16516"/>
  <c r="AX63" i="16516"/>
  <c r="BB63" i="16516" s="1"/>
  <c r="M38" i="16516"/>
  <c r="M70" i="16516"/>
  <c r="V70" i="16516" s="1"/>
  <c r="M60" i="16516"/>
  <c r="BB45" i="16516"/>
  <c r="R46" i="16516"/>
  <c r="BJ57" i="16516"/>
  <c r="M53" i="16516"/>
  <c r="M63" i="16516"/>
  <c r="V45" i="16516"/>
  <c r="M46" i="16516"/>
  <c r="BF46" i="16516"/>
  <c r="CL46" i="16516" s="1"/>
  <c r="DR46" i="16516" s="1"/>
  <c r="BF45" i="16516"/>
  <c r="CL45" i="16516" s="1"/>
  <c r="AX38" i="16516"/>
  <c r="BB38" i="16516" s="1"/>
  <c r="R63" i="16516"/>
  <c r="M48" i="16516"/>
  <c r="AX62" i="16516"/>
  <c r="BB62" i="16516" s="1"/>
  <c r="BJ62" i="16516"/>
  <c r="R38" i="16516"/>
  <c r="M62" i="16516"/>
  <c r="M40" i="16516"/>
  <c r="BF40" i="16516"/>
  <c r="AX40" i="16516"/>
  <c r="BB40" i="16516" s="1"/>
  <c r="R40" i="16516"/>
  <c r="BJ44" i="16516"/>
  <c r="CL44" i="16516"/>
  <c r="DR44" i="16516" s="1"/>
  <c r="BJ42" i="16516"/>
  <c r="CL42" i="16516"/>
  <c r="DR42" i="16516" s="1"/>
  <c r="CP38" i="16516"/>
  <c r="EP38" i="16516"/>
  <c r="GT38" i="16516" s="1"/>
  <c r="GX38" i="16516" s="1"/>
  <c r="GZ38" i="16516" s="1"/>
  <c r="R39" i="16516"/>
  <c r="AX39" i="16516"/>
  <c r="BB39" i="16516" s="1"/>
  <c r="BF39" i="16516"/>
  <c r="M42" i="16516"/>
  <c r="M44" i="16516"/>
  <c r="BF52" i="16516"/>
  <c r="AX52" i="16516"/>
  <c r="BB52" i="16516" s="1"/>
  <c r="R52" i="16516"/>
  <c r="M52" i="16516"/>
  <c r="BJ54" i="16516"/>
  <c r="CL54" i="16516"/>
  <c r="DR54" i="16516" s="1"/>
  <c r="R34" i="16516"/>
  <c r="AX34" i="16516"/>
  <c r="BF34" i="16516"/>
  <c r="BJ38" i="16516"/>
  <c r="M39" i="16516"/>
  <c r="EP57" i="16516"/>
  <c r="CP57" i="16516"/>
  <c r="M47" i="16516"/>
  <c r="R47" i="16516"/>
  <c r="AX47" i="16516"/>
  <c r="BB47" i="16516" s="1"/>
  <c r="BF47" i="16516"/>
  <c r="CL53" i="16516"/>
  <c r="DR53" i="16516" s="1"/>
  <c r="BJ53" i="16516"/>
  <c r="R42" i="16516"/>
  <c r="AX42" i="16516"/>
  <c r="BB42" i="16516" s="1"/>
  <c r="R44" i="16516"/>
  <c r="AX44" i="16516"/>
  <c r="BB44" i="16516" s="1"/>
  <c r="M54" i="16516"/>
  <c r="CP70" i="16516"/>
  <c r="EP70" i="16516"/>
  <c r="GT70" i="16516" s="1"/>
  <c r="GX70" i="16516" s="1"/>
  <c r="GZ70" i="16516" s="1"/>
  <c r="GZ69" i="16516" s="1"/>
  <c r="AD12" i="16514" s="1"/>
  <c r="AD82" i="16513" s="1"/>
  <c r="R53" i="16516"/>
  <c r="AX53" i="16516"/>
  <c r="BB53" i="16516" s="1"/>
  <c r="R60" i="16516"/>
  <c r="AX60" i="16516"/>
  <c r="BB60" i="16516" s="1"/>
  <c r="BD60" i="16516" s="1"/>
  <c r="BF60" i="16516"/>
  <c r="CP62" i="16516"/>
  <c r="EP62" i="16516"/>
  <c r="GT62" i="16516" s="1"/>
  <c r="GX62" i="16516" s="1"/>
  <c r="GZ62" i="16516" s="1"/>
  <c r="BJ63" i="16516"/>
  <c r="CL63" i="16516"/>
  <c r="DR63" i="16516" s="1"/>
  <c r="CL58" i="16516"/>
  <c r="DR58" i="16516" s="1"/>
  <c r="R54" i="16516"/>
  <c r="AX54" i="16516"/>
  <c r="BB54" i="16516" s="1"/>
  <c r="R62" i="16516"/>
  <c r="BF48" i="16516" l="1"/>
  <c r="CL48" i="16516" s="1"/>
  <c r="DR48" i="16516" s="1"/>
  <c r="EN58" i="16516"/>
  <c r="EF51" i="16516"/>
  <c r="U8" i="16514" s="1"/>
  <c r="U78" i="16513" s="1"/>
  <c r="CH44" i="16516"/>
  <c r="CJ44" i="16516" s="1"/>
  <c r="DJ44" i="16516"/>
  <c r="BZ47" i="16516"/>
  <c r="CB47" i="16516" s="1"/>
  <c r="DB47" i="16516"/>
  <c r="BR44" i="16516"/>
  <c r="BT44" i="16516" s="1"/>
  <c r="CT44" i="16516"/>
  <c r="FT51" i="16516"/>
  <c r="Z8" i="16514" s="1"/>
  <c r="Z78" i="16513" s="1"/>
  <c r="IF51" i="16516"/>
  <c r="AH8" i="16514" s="1"/>
  <c r="AH78" i="16513" s="1"/>
  <c r="AH48" i="16516"/>
  <c r="AL48" i="16516" s="1"/>
  <c r="AN48" i="16516" s="1"/>
  <c r="BV48" i="16516"/>
  <c r="BN48" i="16516"/>
  <c r="AP48" i="16516"/>
  <c r="AT48" i="16516" s="1"/>
  <c r="AV48" i="16516" s="1"/>
  <c r="Z48" i="16516"/>
  <c r="AD48" i="16516" s="1"/>
  <c r="AF48" i="16516" s="1"/>
  <c r="CD48" i="16516"/>
  <c r="AX48" i="16516"/>
  <c r="BB48" i="16516" s="1"/>
  <c r="E51" i="16520"/>
  <c r="I50" i="16516" s="1"/>
  <c r="I49" i="16516"/>
  <c r="BR47" i="16516"/>
  <c r="BT47" i="16516" s="1"/>
  <c r="CT47" i="16516"/>
  <c r="ED59" i="16516"/>
  <c r="EF59" i="16516" s="1"/>
  <c r="BZ44" i="16516"/>
  <c r="CB44" i="16516" s="1"/>
  <c r="DB44" i="16516"/>
  <c r="CH47" i="16516"/>
  <c r="CJ47" i="16516" s="1"/>
  <c r="DJ47" i="16516"/>
  <c r="FL56" i="16516"/>
  <c r="Y9" i="16514" s="1"/>
  <c r="Y79" i="16513" s="1"/>
  <c r="GJ51" i="16516"/>
  <c r="AB8" i="16514" s="1"/>
  <c r="AB78" i="16513" s="1"/>
  <c r="DN63" i="16516"/>
  <c r="DP63" i="16516" s="1"/>
  <c r="FN63" i="16516"/>
  <c r="HC70" i="16516"/>
  <c r="GU70" i="16516"/>
  <c r="HB56" i="16516"/>
  <c r="GT56" i="16516"/>
  <c r="HC36" i="16516"/>
  <c r="GU36" i="16516"/>
  <c r="HC28" i="16516"/>
  <c r="GU28" i="16516"/>
  <c r="HC50" i="16516"/>
  <c r="GU50" i="16516"/>
  <c r="HC60" i="16516"/>
  <c r="GU60" i="16516"/>
  <c r="HC52" i="16516"/>
  <c r="GU52" i="16516"/>
  <c r="HC34" i="16516"/>
  <c r="GU34" i="16516"/>
  <c r="HR34" i="16516"/>
  <c r="HV34" i="16516" s="1"/>
  <c r="FJ34" i="16516"/>
  <c r="HC32" i="16516"/>
  <c r="GU32" i="16516"/>
  <c r="HC27" i="16516"/>
  <c r="GU27" i="16516"/>
  <c r="DV53" i="16516"/>
  <c r="DX53" i="16516" s="1"/>
  <c r="FV53" i="16516"/>
  <c r="HB57" i="16516"/>
  <c r="HF57" i="16516" s="1"/>
  <c r="GT57" i="16516"/>
  <c r="GX57" i="16516" s="1"/>
  <c r="GZ57" i="16516" s="1"/>
  <c r="DV44" i="16516"/>
  <c r="DX44" i="16516" s="1"/>
  <c r="FV44" i="16516"/>
  <c r="EI63" i="16516"/>
  <c r="GM63" i="16516" s="1"/>
  <c r="FG63" i="16516"/>
  <c r="HS63" i="16516" s="1"/>
  <c r="EA58" i="16516"/>
  <c r="GE58" i="16516" s="1"/>
  <c r="EY58" i="16516"/>
  <c r="HK58" i="16516" s="1"/>
  <c r="EA57" i="16516"/>
  <c r="GE57" i="16516" s="1"/>
  <c r="EY57" i="16516"/>
  <c r="HK57" i="16516" s="1"/>
  <c r="HR63" i="16516"/>
  <c r="HV63" i="16516" s="1"/>
  <c r="HX63" i="16516" s="1"/>
  <c r="FJ63" i="16516"/>
  <c r="FL63" i="16516" s="1"/>
  <c r="HJ63" i="16516"/>
  <c r="HN63" i="16516" s="1"/>
  <c r="HP63" i="16516" s="1"/>
  <c r="FB63" i="16516"/>
  <c r="FD63" i="16516" s="1"/>
  <c r="CX35" i="16516"/>
  <c r="CZ35" i="16516" s="1"/>
  <c r="CZ34" i="16516"/>
  <c r="GR51" i="16516"/>
  <c r="AC8" i="16514" s="1"/>
  <c r="AC78" i="16513" s="1"/>
  <c r="HZ57" i="16516"/>
  <c r="ID57" i="16516" s="1"/>
  <c r="IF57" i="16516" s="1"/>
  <c r="FR57" i="16516"/>
  <c r="FT57" i="16516" s="1"/>
  <c r="GH59" i="16516"/>
  <c r="GJ59" i="16516" s="1"/>
  <c r="GJ58" i="16516"/>
  <c r="HZ42" i="16516"/>
  <c r="ID42" i="16516" s="1"/>
  <c r="IF42" i="16516" s="1"/>
  <c r="FR42" i="16516"/>
  <c r="FT42" i="16516" s="1"/>
  <c r="EL34" i="16516"/>
  <c r="GL34" i="16516"/>
  <c r="GP34" i="16516" s="1"/>
  <c r="ID59" i="16516"/>
  <c r="IF59" i="16516" s="1"/>
  <c r="IF58" i="16516"/>
  <c r="ED34" i="16516"/>
  <c r="GD34" i="16516"/>
  <c r="GH34" i="16516" s="1"/>
  <c r="HC61" i="16516"/>
  <c r="GU61" i="16516"/>
  <c r="HZ34" i="16516"/>
  <c r="ID34" i="16516" s="1"/>
  <c r="FR34" i="16516"/>
  <c r="HB67" i="16516"/>
  <c r="GT67" i="16516"/>
  <c r="HC38" i="16516"/>
  <c r="GU38" i="16516"/>
  <c r="HC45" i="16516"/>
  <c r="GU45" i="16516"/>
  <c r="HC37" i="16516"/>
  <c r="GU37" i="16516"/>
  <c r="HC29" i="16516"/>
  <c r="GU29" i="16516"/>
  <c r="HB27" i="16516"/>
  <c r="GT27" i="16516"/>
  <c r="HC51" i="16516"/>
  <c r="GU51" i="16516"/>
  <c r="HC47" i="16516"/>
  <c r="GU47" i="16516"/>
  <c r="DV46" i="16516"/>
  <c r="DX46" i="16516" s="1"/>
  <c r="FV46" i="16516"/>
  <c r="EI62" i="16516"/>
  <c r="GM62" i="16516" s="1"/>
  <c r="FG62" i="16516"/>
  <c r="HS62" i="16516" s="1"/>
  <c r="EL42" i="16516"/>
  <c r="EN42" i="16516" s="1"/>
  <c r="GL42" i="16516"/>
  <c r="GP42" i="16516" s="1"/>
  <c r="GR42" i="16516" s="1"/>
  <c r="HJ62" i="16516"/>
  <c r="HN62" i="16516" s="1"/>
  <c r="HP62" i="16516" s="1"/>
  <c r="FB62" i="16516"/>
  <c r="FD62" i="16516" s="1"/>
  <c r="DN62" i="16516"/>
  <c r="DP62" i="16516" s="1"/>
  <c r="FN62" i="16516"/>
  <c r="EL57" i="16516"/>
  <c r="EN57" i="16516" s="1"/>
  <c r="GL57" i="16516"/>
  <c r="GP57" i="16516" s="1"/>
  <c r="GR57" i="16516" s="1"/>
  <c r="HJ34" i="16516"/>
  <c r="HN34" i="16516" s="1"/>
  <c r="FB34" i="16516"/>
  <c r="EI36" i="16516"/>
  <c r="GM36" i="16516" s="1"/>
  <c r="FG36" i="16516"/>
  <c r="HS36" i="16516" s="1"/>
  <c r="IH57" i="16516"/>
  <c r="IL57" i="16516" s="1"/>
  <c r="IN57" i="16516" s="1"/>
  <c r="FZ57" i="16516"/>
  <c r="GB57" i="16516" s="1"/>
  <c r="DP34" i="16516"/>
  <c r="DN35" i="16516"/>
  <c r="DP35" i="16516" s="1"/>
  <c r="FD56" i="16516"/>
  <c r="X9" i="16514" s="1"/>
  <c r="X79" i="16513" s="1"/>
  <c r="IH62" i="16516"/>
  <c r="IL62" i="16516" s="1"/>
  <c r="IN62" i="16516" s="1"/>
  <c r="FZ62" i="16516"/>
  <c r="GB62" i="16516" s="1"/>
  <c r="IH38" i="16516"/>
  <c r="IL38" i="16516" s="1"/>
  <c r="IN38" i="16516" s="1"/>
  <c r="FZ38" i="16516"/>
  <c r="GB38" i="16516" s="1"/>
  <c r="GP59" i="16516"/>
  <c r="GR59" i="16516" s="1"/>
  <c r="GR58" i="16516"/>
  <c r="DV42" i="16516"/>
  <c r="DX42" i="16516" s="1"/>
  <c r="FV42" i="16516"/>
  <c r="HB37" i="16516"/>
  <c r="GT37" i="16516"/>
  <c r="HB69" i="16516"/>
  <c r="GT69" i="16516"/>
  <c r="HC54" i="16516"/>
  <c r="GU54" i="16516"/>
  <c r="HB41" i="16516"/>
  <c r="GT41" i="16516"/>
  <c r="HC65" i="16516"/>
  <c r="GU65" i="16516"/>
  <c r="HC40" i="16516"/>
  <c r="GU40" i="16516"/>
  <c r="DV58" i="16516"/>
  <c r="FV58" i="16516"/>
  <c r="EA34" i="16516"/>
  <c r="GE34" i="16516" s="1"/>
  <c r="EY34" i="16516"/>
  <c r="HK34" i="16516" s="1"/>
  <c r="DV63" i="16516"/>
  <c r="DX63" i="16516" s="1"/>
  <c r="FV63" i="16516"/>
  <c r="DV54" i="16516"/>
  <c r="DX54" i="16516" s="1"/>
  <c r="FV54" i="16516"/>
  <c r="DV48" i="16516"/>
  <c r="DX48" i="16516" s="1"/>
  <c r="FV48" i="16516"/>
  <c r="DV70" i="16516"/>
  <c r="DX70" i="16516" s="1"/>
  <c r="DX69" i="16516" s="1"/>
  <c r="T12" i="16514" s="1"/>
  <c r="T82" i="16513" s="1"/>
  <c r="FV70" i="16516"/>
  <c r="HR62" i="16516"/>
  <c r="HV62" i="16516" s="1"/>
  <c r="HX62" i="16516" s="1"/>
  <c r="FJ62" i="16516"/>
  <c r="FL62" i="16516" s="1"/>
  <c r="ED42" i="16516"/>
  <c r="EF42" i="16516" s="1"/>
  <c r="GD42" i="16516"/>
  <c r="GH42" i="16516" s="1"/>
  <c r="GJ42" i="16516" s="1"/>
  <c r="ED57" i="16516"/>
  <c r="EF57" i="16516" s="1"/>
  <c r="GD57" i="16516"/>
  <c r="GH57" i="16516" s="1"/>
  <c r="GJ57" i="16516" s="1"/>
  <c r="HC69" i="16516"/>
  <c r="GU69" i="16516"/>
  <c r="HC46" i="16516"/>
  <c r="GU46" i="16516"/>
  <c r="HC42" i="16516"/>
  <c r="GU42" i="16516"/>
  <c r="HC33" i="16516"/>
  <c r="GU33" i="16516"/>
  <c r="HC30" i="16516"/>
  <c r="GU30" i="16516"/>
  <c r="HX56" i="16516"/>
  <c r="AG9" i="16514" s="1"/>
  <c r="AG79" i="16513" s="1"/>
  <c r="EN51" i="16516"/>
  <c r="V8" i="16514" s="1"/>
  <c r="V78" i="16513" s="1"/>
  <c r="HC48" i="16516"/>
  <c r="GU48" i="16516"/>
  <c r="EX36" i="16516"/>
  <c r="CX36" i="16516"/>
  <c r="CZ36" i="16516" s="1"/>
  <c r="DZ36" i="16516"/>
  <c r="HP56" i="16516"/>
  <c r="AF9" i="16514" s="1"/>
  <c r="AF79" i="16513" s="1"/>
  <c r="HC68" i="16516"/>
  <c r="GU68" i="16516"/>
  <c r="HC56" i="16516"/>
  <c r="GU56" i="16516"/>
  <c r="HC53" i="16516"/>
  <c r="GU53" i="16516"/>
  <c r="HB51" i="16516"/>
  <c r="GT51" i="16516"/>
  <c r="HC39" i="16516"/>
  <c r="GU39" i="16516"/>
  <c r="DN36" i="16516"/>
  <c r="DP36" i="16516" s="1"/>
  <c r="FN36" i="16516"/>
  <c r="DF35" i="16516"/>
  <c r="DH35" i="16516" s="1"/>
  <c r="DH34" i="16516"/>
  <c r="HC67" i="16516"/>
  <c r="GU67" i="16516"/>
  <c r="HC49" i="16516"/>
  <c r="GU49" i="16516"/>
  <c r="FR59" i="16516"/>
  <c r="FT59" i="16516" s="1"/>
  <c r="FT58" i="16516"/>
  <c r="FF36" i="16516"/>
  <c r="EH36" i="16516"/>
  <c r="DF36" i="16516"/>
  <c r="DH36" i="16516" s="1"/>
  <c r="HC57" i="16516"/>
  <c r="GU57" i="16516"/>
  <c r="HC44" i="16516"/>
  <c r="GU44" i="16516"/>
  <c r="HB33" i="16516"/>
  <c r="GT33" i="16516"/>
  <c r="HC31" i="16516"/>
  <c r="GU31" i="16516"/>
  <c r="HB28" i="16516"/>
  <c r="GT28" i="16516"/>
  <c r="HB9" i="16516"/>
  <c r="GT9" i="16516"/>
  <c r="HB8" i="16516"/>
  <c r="GT8" i="16516"/>
  <c r="HC58" i="16516"/>
  <c r="GU58" i="16516"/>
  <c r="HC41" i="16516"/>
  <c r="GU41" i="16516"/>
  <c r="HC9" i="16516"/>
  <c r="GU9" i="16516"/>
  <c r="DH56" i="16516"/>
  <c r="R9" i="16514" s="1"/>
  <c r="R79" i="16513" s="1"/>
  <c r="EP45" i="16516"/>
  <c r="GT45" i="16516" s="1"/>
  <c r="GX45" i="16516" s="1"/>
  <c r="GZ45" i="16516" s="1"/>
  <c r="DR45" i="16516"/>
  <c r="EH62" i="16516"/>
  <c r="DF62" i="16516"/>
  <c r="DH62" i="16516" s="1"/>
  <c r="DV59" i="16516"/>
  <c r="DX59" i="16516" s="1"/>
  <c r="DX58" i="16516"/>
  <c r="EQ63" i="16516"/>
  <c r="FW63" i="16516"/>
  <c r="II63" i="16516" s="1"/>
  <c r="BV70" i="16516"/>
  <c r="CT70" i="16516"/>
  <c r="EX70" i="16516" s="1"/>
  <c r="BR40" i="16516"/>
  <c r="BT40" i="16516" s="1"/>
  <c r="BT27" i="16516" s="1"/>
  <c r="CT40" i="16516"/>
  <c r="EX40" i="16516" s="1"/>
  <c r="DF63" i="16516"/>
  <c r="DH63" i="16516" s="1"/>
  <c r="EH63" i="16516"/>
  <c r="EQ62" i="16516"/>
  <c r="FW62" i="16516"/>
  <c r="II62" i="16516" s="1"/>
  <c r="BZ40" i="16516"/>
  <c r="CB40" i="16516" s="1"/>
  <c r="CB27" i="16516" s="1"/>
  <c r="DB40" i="16516"/>
  <c r="FF40" i="16516" s="1"/>
  <c r="CZ56" i="16516"/>
  <c r="Q9" i="16514" s="1"/>
  <c r="Q79" i="16513" s="1"/>
  <c r="CH40" i="16516"/>
  <c r="CJ40" i="16516" s="1"/>
  <c r="CJ27" i="16516" s="1"/>
  <c r="DJ40" i="16516"/>
  <c r="DZ62" i="16516"/>
  <c r="CX62" i="16516"/>
  <c r="CZ62" i="16516" s="1"/>
  <c r="CX63" i="16516"/>
  <c r="CZ63" i="16516" s="1"/>
  <c r="DZ63" i="16516"/>
  <c r="V52" i="16516"/>
  <c r="V54" i="16516"/>
  <c r="V60" i="16516"/>
  <c r="V47" i="16516"/>
  <c r="V39" i="16516"/>
  <c r="AD40" i="16516"/>
  <c r="AF40" i="16516" s="1"/>
  <c r="AF27" i="16516" s="1"/>
  <c r="AL40" i="16516"/>
  <c r="AN40" i="16516" s="1"/>
  <c r="AN27" i="16516" s="1"/>
  <c r="FO40" i="16516"/>
  <c r="IA40" i="16516" s="1"/>
  <c r="V42" i="16516"/>
  <c r="V40" i="16516"/>
  <c r="V62" i="16516"/>
  <c r="V53" i="16516"/>
  <c r="V44" i="16516"/>
  <c r="V38" i="16516"/>
  <c r="V63" i="16516"/>
  <c r="V48" i="16516"/>
  <c r="V46" i="16516"/>
  <c r="BB70" i="16516"/>
  <c r="BJ70" i="16516" s="1"/>
  <c r="BR70" i="16516" s="1"/>
  <c r="X70" i="16516"/>
  <c r="AL70" i="16516"/>
  <c r="AN70" i="16516" s="1"/>
  <c r="AN69" i="16516" s="1"/>
  <c r="I12" i="16514" s="1"/>
  <c r="I82" i="16513" s="1"/>
  <c r="AK70" i="16516"/>
  <c r="AT70" i="16516" s="1"/>
  <c r="AV70" i="16516" s="1"/>
  <c r="AV69" i="16516" s="1"/>
  <c r="AF70" i="16516"/>
  <c r="AF69" i="16516" s="1"/>
  <c r="H12" i="16514" s="1"/>
  <c r="H82" i="16513" s="1"/>
  <c r="BJ46" i="16516"/>
  <c r="BJ48" i="16516"/>
  <c r="CP45" i="16516"/>
  <c r="BJ45" i="16516"/>
  <c r="ET57" i="16516"/>
  <c r="ET62" i="16516"/>
  <c r="HB62" i="16516"/>
  <c r="HF62" i="16516" s="1"/>
  <c r="ET38" i="16516"/>
  <c r="HB38" i="16516"/>
  <c r="HF38" i="16516" s="1"/>
  <c r="ET70" i="16516"/>
  <c r="HB70" i="16516"/>
  <c r="HF70" i="16516" s="1"/>
  <c r="BF36" i="16516"/>
  <c r="CL34" i="16516"/>
  <c r="DR34" i="16516" s="1"/>
  <c r="CL52" i="16516"/>
  <c r="DR52" i="16516" s="1"/>
  <c r="BJ52" i="16516"/>
  <c r="CP42" i="16516"/>
  <c r="EP42" i="16516"/>
  <c r="GT42" i="16516" s="1"/>
  <c r="GX42" i="16516" s="1"/>
  <c r="GZ42" i="16516" s="1"/>
  <c r="AX36" i="16516"/>
  <c r="CP44" i="16516"/>
  <c r="EP44" i="16516"/>
  <c r="GT44" i="16516" s="1"/>
  <c r="GX44" i="16516" s="1"/>
  <c r="GZ44" i="16516" s="1"/>
  <c r="CP58" i="16516"/>
  <c r="EP58" i="16516"/>
  <c r="EP53" i="16516"/>
  <c r="GT53" i="16516" s="1"/>
  <c r="GX53" i="16516" s="1"/>
  <c r="GZ53" i="16516" s="1"/>
  <c r="CP53" i="16516"/>
  <c r="CP48" i="16516"/>
  <c r="EP48" i="16516"/>
  <c r="GT48" i="16516" s="1"/>
  <c r="GX48" i="16516" s="1"/>
  <c r="GZ48" i="16516" s="1"/>
  <c r="R36" i="16516"/>
  <c r="CL40" i="16516"/>
  <c r="DR40" i="16516" s="1"/>
  <c r="BJ40" i="16516"/>
  <c r="CP68" i="16516"/>
  <c r="CP63" i="16516"/>
  <c r="EP63" i="16516"/>
  <c r="GT63" i="16516" s="1"/>
  <c r="GX63" i="16516" s="1"/>
  <c r="GZ63" i="16516" s="1"/>
  <c r="CL60" i="16516"/>
  <c r="DR60" i="16516" s="1"/>
  <c r="BJ60" i="16516"/>
  <c r="CP46" i="16516"/>
  <c r="EP46" i="16516"/>
  <c r="GT46" i="16516" s="1"/>
  <c r="GX46" i="16516" s="1"/>
  <c r="GZ46" i="16516" s="1"/>
  <c r="CL47" i="16516"/>
  <c r="DR47" i="16516" s="1"/>
  <c r="BJ47" i="16516"/>
  <c r="CP54" i="16516"/>
  <c r="EP54" i="16516"/>
  <c r="GT54" i="16516" s="1"/>
  <c r="GX54" i="16516" s="1"/>
  <c r="GZ54" i="16516" s="1"/>
  <c r="BJ39" i="16516"/>
  <c r="CL39" i="16516"/>
  <c r="DR39" i="16516" s="1"/>
  <c r="EN56" i="16516" l="1"/>
  <c r="V9" i="16514" s="1"/>
  <c r="V79" i="16513" s="1"/>
  <c r="EF56" i="16516"/>
  <c r="U9" i="16514" s="1"/>
  <c r="U79" i="16513" s="1"/>
  <c r="GJ56" i="16516"/>
  <c r="AB9" i="16514" s="1"/>
  <c r="AB79" i="16513" s="1"/>
  <c r="FF44" i="16516"/>
  <c r="DF44" i="16516"/>
  <c r="DH44" i="16516" s="1"/>
  <c r="EH44" i="16516"/>
  <c r="CH48" i="16516"/>
  <c r="CJ48" i="16516" s="1"/>
  <c r="DJ48" i="16516"/>
  <c r="EX47" i="16516"/>
  <c r="CX47" i="16516"/>
  <c r="CZ47" i="16516" s="1"/>
  <c r="DZ47" i="16516"/>
  <c r="BR48" i="16516"/>
  <c r="BT48" i="16516" s="1"/>
  <c r="CT48" i="16516"/>
  <c r="DN44" i="16516"/>
  <c r="DP44" i="16516" s="1"/>
  <c r="FN44" i="16516"/>
  <c r="BZ48" i="16516"/>
  <c r="CB48" i="16516" s="1"/>
  <c r="DB48" i="16516"/>
  <c r="EX44" i="16516"/>
  <c r="CX44" i="16516"/>
  <c r="CZ44" i="16516" s="1"/>
  <c r="DZ44" i="16516"/>
  <c r="AP49" i="16516"/>
  <c r="AT49" i="16516" s="1"/>
  <c r="AV49" i="16516" s="1"/>
  <c r="Z49" i="16516"/>
  <c r="AD49" i="16516" s="1"/>
  <c r="AF49" i="16516" s="1"/>
  <c r="BV49" i="16516"/>
  <c r="BN49" i="16516"/>
  <c r="CD49" i="16516"/>
  <c r="AH49" i="16516"/>
  <c r="AL49" i="16516" s="1"/>
  <c r="AN49" i="16516" s="1"/>
  <c r="BF49" i="16516"/>
  <c r="AX49" i="16516"/>
  <c r="BB49" i="16516" s="1"/>
  <c r="R49" i="16516"/>
  <c r="V49" i="16516" s="1"/>
  <c r="M49" i="16516"/>
  <c r="DN47" i="16516"/>
  <c r="DP47" i="16516" s="1"/>
  <c r="FN47" i="16516"/>
  <c r="Z50" i="16516"/>
  <c r="AD50" i="16516" s="1"/>
  <c r="AF50" i="16516" s="1"/>
  <c r="CD50" i="16516"/>
  <c r="BN50" i="16516"/>
  <c r="AP50" i="16516"/>
  <c r="AT50" i="16516" s="1"/>
  <c r="AV50" i="16516" s="1"/>
  <c r="BV50" i="16516"/>
  <c r="AH50" i="16516"/>
  <c r="AL50" i="16516" s="1"/>
  <c r="AN50" i="16516" s="1"/>
  <c r="R50" i="16516"/>
  <c r="V50" i="16516" s="1"/>
  <c r="M50" i="16516"/>
  <c r="AX50" i="16516"/>
  <c r="BB50" i="16516" s="1"/>
  <c r="BF50" i="16516"/>
  <c r="FF47" i="16516"/>
  <c r="DF47" i="16516"/>
  <c r="DH47" i="16516" s="1"/>
  <c r="EH47" i="16516"/>
  <c r="EA48" i="16516"/>
  <c r="GE48" i="16516" s="1"/>
  <c r="EY48" i="16516"/>
  <c r="HK48" i="16516" s="1"/>
  <c r="EA39" i="16516"/>
  <c r="GE39" i="16516" s="1"/>
  <c r="EY39" i="16516"/>
  <c r="HK39" i="16516" s="1"/>
  <c r="EA52" i="16516"/>
  <c r="GE52" i="16516" s="1"/>
  <c r="EY52" i="16516"/>
  <c r="HK52" i="16516" s="1"/>
  <c r="EL36" i="16516"/>
  <c r="EN36" i="16516" s="1"/>
  <c r="GL36" i="16516"/>
  <c r="GP36" i="16516" s="1"/>
  <c r="GR36" i="16516" s="1"/>
  <c r="IH48" i="16516"/>
  <c r="IL48" i="16516" s="1"/>
  <c r="IN48" i="16516" s="1"/>
  <c r="FZ48" i="16516"/>
  <c r="GB48" i="16516" s="1"/>
  <c r="IH58" i="16516"/>
  <c r="IL58" i="16516" s="1"/>
  <c r="FZ58" i="16516"/>
  <c r="HN35" i="16516"/>
  <c r="HP35" i="16516" s="1"/>
  <c r="HP34" i="16516"/>
  <c r="GR34" i="16516"/>
  <c r="GP35" i="16516"/>
  <c r="GR35" i="16516" s="1"/>
  <c r="DV60" i="16516"/>
  <c r="DX60" i="16516" s="1"/>
  <c r="FV60" i="16516"/>
  <c r="EA36" i="16516"/>
  <c r="GE36" i="16516" s="1"/>
  <c r="EY36" i="16516"/>
  <c r="HK36" i="16516" s="1"/>
  <c r="EL63" i="16516"/>
  <c r="EN63" i="16516" s="1"/>
  <c r="GL63" i="16516"/>
  <c r="GP63" i="16516" s="1"/>
  <c r="GR63" i="16516" s="1"/>
  <c r="HJ70" i="16516"/>
  <c r="HN70" i="16516" s="1"/>
  <c r="HP70" i="16516" s="1"/>
  <c r="HP69" i="16516" s="1"/>
  <c r="AF12" i="16514" s="1"/>
  <c r="AF82" i="16513" s="1"/>
  <c r="FB70" i="16516"/>
  <c r="FD70" i="16516" s="1"/>
  <c r="FD69" i="16516" s="1"/>
  <c r="X12" i="16514" s="1"/>
  <c r="X82" i="16513" s="1"/>
  <c r="DV45" i="16516"/>
  <c r="DX45" i="16516" s="1"/>
  <c r="FV45" i="16516"/>
  <c r="ED36" i="16516"/>
  <c r="EF36" i="16516" s="1"/>
  <c r="GD36" i="16516"/>
  <c r="GH36" i="16516" s="1"/>
  <c r="GJ36" i="16516" s="1"/>
  <c r="FB35" i="16516"/>
  <c r="FD35" i="16516" s="1"/>
  <c r="FD34" i="16516"/>
  <c r="HZ62" i="16516"/>
  <c r="ID62" i="16516" s="1"/>
  <c r="IF62" i="16516" s="1"/>
  <c r="FR62" i="16516"/>
  <c r="FT62" i="16516" s="1"/>
  <c r="IH46" i="16516"/>
  <c r="IL46" i="16516" s="1"/>
  <c r="IN46" i="16516" s="1"/>
  <c r="FZ46" i="16516"/>
  <c r="GB46" i="16516" s="1"/>
  <c r="IF56" i="16516"/>
  <c r="AH9" i="16514" s="1"/>
  <c r="AH79" i="16513" s="1"/>
  <c r="FJ35" i="16516"/>
  <c r="FL35" i="16516" s="1"/>
  <c r="FL34" i="16516"/>
  <c r="DV39" i="16516"/>
  <c r="DX39" i="16516" s="1"/>
  <c r="FV39" i="16516"/>
  <c r="HB58" i="16516"/>
  <c r="HF58" i="16516" s="1"/>
  <c r="GT58" i="16516"/>
  <c r="GX58" i="16516" s="1"/>
  <c r="DV52" i="16516"/>
  <c r="DX52" i="16516" s="1"/>
  <c r="DX51" i="16516" s="1"/>
  <c r="T8" i="16514" s="1"/>
  <c r="T78" i="16513" s="1"/>
  <c r="FV52" i="16516"/>
  <c r="EA46" i="16516"/>
  <c r="GE46" i="16516" s="1"/>
  <c r="EY46" i="16516"/>
  <c r="HK46" i="16516" s="1"/>
  <c r="EA38" i="16516"/>
  <c r="GE38" i="16516" s="1"/>
  <c r="EY38" i="16516"/>
  <c r="HK38" i="16516" s="1"/>
  <c r="EA40" i="16516"/>
  <c r="GE40" i="16516" s="1"/>
  <c r="EY40" i="16516"/>
  <c r="HK40" i="16516" s="1"/>
  <c r="EA60" i="16516"/>
  <c r="GE60" i="16516" s="1"/>
  <c r="EY60" i="16516"/>
  <c r="HK60" i="16516" s="1"/>
  <c r="IH63" i="16516"/>
  <c r="IL63" i="16516" s="1"/>
  <c r="IN63" i="16516" s="1"/>
  <c r="FZ63" i="16516"/>
  <c r="GB63" i="16516" s="1"/>
  <c r="DV47" i="16516"/>
  <c r="DX47" i="16516" s="1"/>
  <c r="FV47" i="16516"/>
  <c r="DV34" i="16516"/>
  <c r="DX34" i="16516" s="1"/>
  <c r="FV34" i="16516"/>
  <c r="HB45" i="16516"/>
  <c r="HF45" i="16516" s="1"/>
  <c r="ED62" i="16516"/>
  <c r="EF62" i="16516" s="1"/>
  <c r="GD62" i="16516"/>
  <c r="GH62" i="16516" s="1"/>
  <c r="GJ62" i="16516" s="1"/>
  <c r="HJ40" i="16516"/>
  <c r="HN40" i="16516" s="1"/>
  <c r="HP40" i="16516" s="1"/>
  <c r="HP27" i="16516" s="1"/>
  <c r="FB40" i="16516"/>
  <c r="FD40" i="16516" s="1"/>
  <c r="FD27" i="16516" s="1"/>
  <c r="HR36" i="16516"/>
  <c r="HV36" i="16516" s="1"/>
  <c r="HX36" i="16516" s="1"/>
  <c r="FJ36" i="16516"/>
  <c r="FL36" i="16516" s="1"/>
  <c r="HJ36" i="16516"/>
  <c r="HN36" i="16516" s="1"/>
  <c r="HP36" i="16516" s="1"/>
  <c r="FB36" i="16516"/>
  <c r="FD36" i="16516" s="1"/>
  <c r="IH42" i="16516"/>
  <c r="IL42" i="16516" s="1"/>
  <c r="IN42" i="16516" s="1"/>
  <c r="FZ42" i="16516"/>
  <c r="GB42" i="16516" s="1"/>
  <c r="GR56" i="16516"/>
  <c r="AC9" i="16514" s="1"/>
  <c r="AC79" i="16513" s="1"/>
  <c r="FT34" i="16516"/>
  <c r="FR35" i="16516"/>
  <c r="FT35" i="16516" s="1"/>
  <c r="GH35" i="16516"/>
  <c r="GJ35" i="16516" s="1"/>
  <c r="GJ34" i="16516"/>
  <c r="EL35" i="16516"/>
  <c r="EN35" i="16516" s="1"/>
  <c r="EN34" i="16516"/>
  <c r="IH44" i="16516"/>
  <c r="IL44" i="16516" s="1"/>
  <c r="IN44" i="16516" s="1"/>
  <c r="FZ44" i="16516"/>
  <c r="GB44" i="16516" s="1"/>
  <c r="IH53" i="16516"/>
  <c r="IL53" i="16516" s="1"/>
  <c r="IN53" i="16516" s="1"/>
  <c r="FZ53" i="16516"/>
  <c r="GB53" i="16516" s="1"/>
  <c r="HZ63" i="16516"/>
  <c r="ID63" i="16516" s="1"/>
  <c r="IF63" i="16516" s="1"/>
  <c r="FR63" i="16516"/>
  <c r="FT63" i="16516" s="1"/>
  <c r="EA53" i="16516"/>
  <c r="GE53" i="16516" s="1"/>
  <c r="EY53" i="16516"/>
  <c r="HK53" i="16516" s="1"/>
  <c r="HX34" i="16516"/>
  <c r="HV35" i="16516"/>
  <c r="HX35" i="16516" s="1"/>
  <c r="DV40" i="16516"/>
  <c r="DX40" i="16516" s="1"/>
  <c r="FV40" i="16516"/>
  <c r="ET45" i="16516"/>
  <c r="EA49" i="16516"/>
  <c r="GE49" i="16516" s="1"/>
  <c r="EY49" i="16516"/>
  <c r="HK49" i="16516" s="1"/>
  <c r="EA63" i="16516"/>
  <c r="GE63" i="16516" s="1"/>
  <c r="EY63" i="16516"/>
  <c r="HK63" i="16516" s="1"/>
  <c r="EA44" i="16516"/>
  <c r="GE44" i="16516" s="1"/>
  <c r="EY44" i="16516"/>
  <c r="HK44" i="16516" s="1"/>
  <c r="EA62" i="16516"/>
  <c r="GE62" i="16516" s="1"/>
  <c r="EY62" i="16516"/>
  <c r="HK62" i="16516" s="1"/>
  <c r="EA42" i="16516"/>
  <c r="GE42" i="16516" s="1"/>
  <c r="EY42" i="16516"/>
  <c r="HK42" i="16516" s="1"/>
  <c r="EI40" i="16516"/>
  <c r="GM40" i="16516" s="1"/>
  <c r="FG40" i="16516"/>
  <c r="HS40" i="16516" s="1"/>
  <c r="EA47" i="16516"/>
  <c r="GE47" i="16516" s="1"/>
  <c r="EY47" i="16516"/>
  <c r="HK47" i="16516" s="1"/>
  <c r="EA54" i="16516"/>
  <c r="GE54" i="16516" s="1"/>
  <c r="EY54" i="16516"/>
  <c r="HK54" i="16516" s="1"/>
  <c r="ED63" i="16516"/>
  <c r="EF63" i="16516" s="1"/>
  <c r="GD63" i="16516"/>
  <c r="GH63" i="16516" s="1"/>
  <c r="GJ63" i="16516" s="1"/>
  <c r="DN40" i="16516"/>
  <c r="DP40" i="16516" s="1"/>
  <c r="DP27" i="16516" s="1"/>
  <c r="FN40" i="16516"/>
  <c r="HR40" i="16516"/>
  <c r="HV40" i="16516" s="1"/>
  <c r="HX40" i="16516" s="1"/>
  <c r="HX27" i="16516" s="1"/>
  <c r="FJ40" i="16516"/>
  <c r="FL40" i="16516" s="1"/>
  <c r="FL27" i="16516" s="1"/>
  <c r="EL62" i="16516"/>
  <c r="EN62" i="16516" s="1"/>
  <c r="GL62" i="16516"/>
  <c r="GP62" i="16516" s="1"/>
  <c r="GR62" i="16516" s="1"/>
  <c r="HZ36" i="16516"/>
  <c r="ID36" i="16516" s="1"/>
  <c r="IF36" i="16516" s="1"/>
  <c r="FR36" i="16516"/>
  <c r="FT36" i="16516" s="1"/>
  <c r="IH70" i="16516"/>
  <c r="IL70" i="16516" s="1"/>
  <c r="IN70" i="16516" s="1"/>
  <c r="IN69" i="16516" s="1"/>
  <c r="AI12" i="16514" s="1"/>
  <c r="AI82" i="16513" s="1"/>
  <c r="FZ70" i="16516"/>
  <c r="GB70" i="16516" s="1"/>
  <c r="GB69" i="16516" s="1"/>
  <c r="AA12" i="16514" s="1"/>
  <c r="AA82" i="16513" s="1"/>
  <c r="IH54" i="16516"/>
  <c r="IL54" i="16516" s="1"/>
  <c r="IN54" i="16516" s="1"/>
  <c r="FZ54" i="16516"/>
  <c r="GB54" i="16516" s="1"/>
  <c r="ID35" i="16516"/>
  <c r="IF35" i="16516" s="1"/>
  <c r="IF34" i="16516"/>
  <c r="ED35" i="16516"/>
  <c r="EF35" i="16516" s="1"/>
  <c r="EF34" i="16516"/>
  <c r="FT56" i="16516"/>
  <c r="Z9" i="16514" s="1"/>
  <c r="Z79" i="16513" s="1"/>
  <c r="J12" i="16514"/>
  <c r="J82" i="16513" s="1"/>
  <c r="HC63" i="16516"/>
  <c r="GU63" i="16516"/>
  <c r="HC62" i="16516"/>
  <c r="GU62" i="16516"/>
  <c r="DZ40" i="16516"/>
  <c r="CX40" i="16516"/>
  <c r="CZ40" i="16516" s="1"/>
  <c r="CZ27" i="16516" s="1"/>
  <c r="CX70" i="16516"/>
  <c r="CZ70" i="16516" s="1"/>
  <c r="CZ69" i="16516" s="1"/>
  <c r="Q12" i="16514" s="1"/>
  <c r="Q82" i="16513" s="1"/>
  <c r="DZ70" i="16516"/>
  <c r="DX56" i="16516"/>
  <c r="T9" i="16514" s="1"/>
  <c r="T79" i="16513" s="1"/>
  <c r="DF40" i="16516"/>
  <c r="DH40" i="16516" s="1"/>
  <c r="DH27" i="16516" s="1"/>
  <c r="EH40" i="16516"/>
  <c r="CD70" i="16516"/>
  <c r="DJ70" i="16516" s="1"/>
  <c r="DB70" i="16516"/>
  <c r="FF70" i="16516" s="1"/>
  <c r="BZ70" i="16516"/>
  <c r="BT70" i="16516"/>
  <c r="BT69" i="16516" s="1"/>
  <c r="ET58" i="16516"/>
  <c r="ET59" i="16516" s="1"/>
  <c r="ET54" i="16516"/>
  <c r="HB54" i="16516"/>
  <c r="HF54" i="16516" s="1"/>
  <c r="ET63" i="16516"/>
  <c r="HB63" i="16516"/>
  <c r="HF63" i="16516" s="1"/>
  <c r="ET46" i="16516"/>
  <c r="HB46" i="16516"/>
  <c r="HF46" i="16516" s="1"/>
  <c r="ET44" i="16516"/>
  <c r="HB44" i="16516"/>
  <c r="HF44" i="16516" s="1"/>
  <c r="ET48" i="16516"/>
  <c r="HB48" i="16516"/>
  <c r="HF48" i="16516" s="1"/>
  <c r="ET42" i="16516"/>
  <c r="HB42" i="16516"/>
  <c r="HF42" i="16516" s="1"/>
  <c r="ET53" i="16516"/>
  <c r="HB53" i="16516"/>
  <c r="HF53" i="16516" s="1"/>
  <c r="EP39" i="16516"/>
  <c r="GT39" i="16516" s="1"/>
  <c r="GX39" i="16516" s="1"/>
  <c r="GZ39" i="16516" s="1"/>
  <c r="CP39" i="16516"/>
  <c r="EP47" i="16516"/>
  <c r="GT47" i="16516" s="1"/>
  <c r="GX47" i="16516" s="1"/>
  <c r="GZ47" i="16516" s="1"/>
  <c r="CP47" i="16516"/>
  <c r="CL36" i="16516"/>
  <c r="DR36" i="16516" s="1"/>
  <c r="EP60" i="16516"/>
  <c r="CP60" i="16516"/>
  <c r="CP40" i="16516"/>
  <c r="EP40" i="16516"/>
  <c r="GT40" i="16516" s="1"/>
  <c r="GX40" i="16516" s="1"/>
  <c r="GZ40" i="16516" s="1"/>
  <c r="CP59" i="16516"/>
  <c r="CP52" i="16516"/>
  <c r="EP52" i="16516"/>
  <c r="GT52" i="16516" s="1"/>
  <c r="GX52" i="16516" s="1"/>
  <c r="GZ52" i="16516" s="1"/>
  <c r="GZ51" i="16516" s="1"/>
  <c r="AD8" i="16514" s="1"/>
  <c r="AD78" i="16513" s="1"/>
  <c r="EP34" i="16516"/>
  <c r="GT34" i="16516" s="1"/>
  <c r="GX34" i="16516" s="1"/>
  <c r="GZ27" i="16516" l="1"/>
  <c r="DX27" i="16516"/>
  <c r="AF41" i="16516"/>
  <c r="H7" i="16514" s="1"/>
  <c r="H77" i="16513" s="1"/>
  <c r="AN41" i="16516"/>
  <c r="I7" i="16514" s="1"/>
  <c r="I77" i="16513" s="1"/>
  <c r="HR47" i="16516"/>
  <c r="HV47" i="16516" s="1"/>
  <c r="HX47" i="16516" s="1"/>
  <c r="FJ47" i="16516"/>
  <c r="FL47" i="16516" s="1"/>
  <c r="BJ50" i="16516"/>
  <c r="CL50" i="16516"/>
  <c r="CH50" i="16516"/>
  <c r="CJ50" i="16516" s="1"/>
  <c r="DJ50" i="16516"/>
  <c r="BJ49" i="16516"/>
  <c r="CL49" i="16516"/>
  <c r="ED44" i="16516"/>
  <c r="EF44" i="16516" s="1"/>
  <c r="GD44" i="16516"/>
  <c r="GH44" i="16516" s="1"/>
  <c r="GJ44" i="16516" s="1"/>
  <c r="EX48" i="16516"/>
  <c r="CX48" i="16516"/>
  <c r="CZ48" i="16516" s="1"/>
  <c r="DZ48" i="16516"/>
  <c r="DN48" i="16516"/>
  <c r="DP48" i="16516" s="1"/>
  <c r="FN48" i="16516"/>
  <c r="FR47" i="16516"/>
  <c r="FT47" i="16516" s="1"/>
  <c r="HZ47" i="16516"/>
  <c r="ID47" i="16516" s="1"/>
  <c r="IF47" i="16516" s="1"/>
  <c r="CH49" i="16516"/>
  <c r="CJ49" i="16516" s="1"/>
  <c r="DJ49" i="16516"/>
  <c r="HJ44" i="16516"/>
  <c r="HN44" i="16516" s="1"/>
  <c r="HP44" i="16516" s="1"/>
  <c r="FB44" i="16516"/>
  <c r="FD44" i="16516" s="1"/>
  <c r="ED47" i="16516"/>
  <c r="EF47" i="16516" s="1"/>
  <c r="GD47" i="16516"/>
  <c r="GH47" i="16516" s="1"/>
  <c r="GJ47" i="16516" s="1"/>
  <c r="BR49" i="16516"/>
  <c r="BT49" i="16516" s="1"/>
  <c r="CT49" i="16516"/>
  <c r="FF48" i="16516"/>
  <c r="DF48" i="16516"/>
  <c r="DH48" i="16516" s="1"/>
  <c r="EH48" i="16516"/>
  <c r="GL44" i="16516"/>
  <c r="GP44" i="16516" s="1"/>
  <c r="GR44" i="16516" s="1"/>
  <c r="EL44" i="16516"/>
  <c r="EN44" i="16516" s="1"/>
  <c r="BZ49" i="16516"/>
  <c r="CB49" i="16516" s="1"/>
  <c r="DB49" i="16516"/>
  <c r="HJ47" i="16516"/>
  <c r="HN47" i="16516" s="1"/>
  <c r="HP47" i="16516" s="1"/>
  <c r="FB47" i="16516"/>
  <c r="FD47" i="16516" s="1"/>
  <c r="EL47" i="16516"/>
  <c r="EN47" i="16516" s="1"/>
  <c r="GL47" i="16516"/>
  <c r="GP47" i="16516" s="1"/>
  <c r="GR47" i="16516" s="1"/>
  <c r="BZ50" i="16516"/>
  <c r="CB50" i="16516" s="1"/>
  <c r="DB50" i="16516"/>
  <c r="HR44" i="16516"/>
  <c r="HV44" i="16516" s="1"/>
  <c r="HX44" i="16516" s="1"/>
  <c r="FJ44" i="16516"/>
  <c r="FL44" i="16516" s="1"/>
  <c r="AV41" i="16516"/>
  <c r="FR44" i="16516"/>
  <c r="FT44" i="16516" s="1"/>
  <c r="HZ44" i="16516"/>
  <c r="ID44" i="16516" s="1"/>
  <c r="IF44" i="16516" s="1"/>
  <c r="BR50" i="16516"/>
  <c r="BT50" i="16516" s="1"/>
  <c r="CT50" i="16516"/>
  <c r="GX35" i="16516"/>
  <c r="GZ35" i="16516" s="1"/>
  <c r="GZ34" i="16516"/>
  <c r="DV36" i="16516"/>
  <c r="DX36" i="16516" s="1"/>
  <c r="FV36" i="16516"/>
  <c r="EL40" i="16516"/>
  <c r="EN40" i="16516" s="1"/>
  <c r="EN27" i="16516" s="1"/>
  <c r="GL40" i="16516"/>
  <c r="GP40" i="16516" s="1"/>
  <c r="GR40" i="16516" s="1"/>
  <c r="GR27" i="16516" s="1"/>
  <c r="ED70" i="16516"/>
  <c r="EF70" i="16516" s="1"/>
  <c r="EF69" i="16516" s="1"/>
  <c r="U12" i="16514" s="1"/>
  <c r="U82" i="16513" s="1"/>
  <c r="GD70" i="16516"/>
  <c r="GH70" i="16516" s="1"/>
  <c r="GJ70" i="16516" s="1"/>
  <c r="GJ69" i="16516" s="1"/>
  <c r="AB12" i="16514" s="1"/>
  <c r="AB82" i="16513" s="1"/>
  <c r="DV35" i="16516"/>
  <c r="DX35" i="16516" s="1"/>
  <c r="IH40" i="16516"/>
  <c r="IL40" i="16516" s="1"/>
  <c r="IN40" i="16516" s="1"/>
  <c r="FZ40" i="16516"/>
  <c r="GB40" i="16516" s="1"/>
  <c r="IH34" i="16516"/>
  <c r="IL34" i="16516" s="1"/>
  <c r="FZ34" i="16516"/>
  <c r="GX59" i="16516"/>
  <c r="GZ59" i="16516" s="1"/>
  <c r="GZ58" i="16516"/>
  <c r="IL59" i="16516"/>
  <c r="IN59" i="16516" s="1"/>
  <c r="IN58" i="16516"/>
  <c r="IH45" i="16516"/>
  <c r="IL45" i="16516" s="1"/>
  <c r="IN45" i="16516" s="1"/>
  <c r="FZ45" i="16516"/>
  <c r="GB45" i="16516" s="1"/>
  <c r="IH60" i="16516"/>
  <c r="IL60" i="16516" s="1"/>
  <c r="IN60" i="16516" s="1"/>
  <c r="FZ60" i="16516"/>
  <c r="GB60" i="16516" s="1"/>
  <c r="HB60" i="16516"/>
  <c r="HF60" i="16516" s="1"/>
  <c r="GT60" i="16516"/>
  <c r="GX60" i="16516" s="1"/>
  <c r="GZ60" i="16516" s="1"/>
  <c r="HR70" i="16516"/>
  <c r="HV70" i="16516" s="1"/>
  <c r="HX70" i="16516" s="1"/>
  <c r="HX69" i="16516" s="1"/>
  <c r="AG12" i="16514" s="1"/>
  <c r="AG82" i="16513" s="1"/>
  <c r="FJ70" i="16516"/>
  <c r="FL70" i="16516" s="1"/>
  <c r="FL69" i="16516" s="1"/>
  <c r="Y12" i="16514" s="1"/>
  <c r="Y82" i="16513" s="1"/>
  <c r="ED40" i="16516"/>
  <c r="EF40" i="16516" s="1"/>
  <c r="EF27" i="16516" s="1"/>
  <c r="GD40" i="16516"/>
  <c r="GH40" i="16516" s="1"/>
  <c r="GJ40" i="16516" s="1"/>
  <c r="GJ27" i="16516" s="1"/>
  <c r="IH47" i="16516"/>
  <c r="IL47" i="16516" s="1"/>
  <c r="IN47" i="16516" s="1"/>
  <c r="FZ47" i="16516"/>
  <c r="GB47" i="16516" s="1"/>
  <c r="IH52" i="16516"/>
  <c r="IL52" i="16516" s="1"/>
  <c r="IN52" i="16516" s="1"/>
  <c r="IN51" i="16516" s="1"/>
  <c r="AI8" i="16514" s="1"/>
  <c r="AI78" i="16513" s="1"/>
  <c r="FZ52" i="16516"/>
  <c r="GB52" i="16516" s="1"/>
  <c r="GB51" i="16516" s="1"/>
  <c r="AA8" i="16514" s="1"/>
  <c r="AA78" i="16513" s="1"/>
  <c r="IH39" i="16516"/>
  <c r="IL39" i="16516" s="1"/>
  <c r="IN39" i="16516" s="1"/>
  <c r="FZ39" i="16516"/>
  <c r="GB39" i="16516" s="1"/>
  <c r="GB27" i="16516" s="1"/>
  <c r="DN70" i="16516"/>
  <c r="DP70" i="16516" s="1"/>
  <c r="DP69" i="16516" s="1"/>
  <c r="FN70" i="16516"/>
  <c r="HZ40" i="16516"/>
  <c r="ID40" i="16516" s="1"/>
  <c r="IF40" i="16516" s="1"/>
  <c r="IF27" i="16516" s="1"/>
  <c r="FR40" i="16516"/>
  <c r="FT40" i="16516" s="1"/>
  <c r="FT27" i="16516" s="1"/>
  <c r="FZ59" i="16516"/>
  <c r="GB59" i="16516" s="1"/>
  <c r="GB58" i="16516"/>
  <c r="M12" i="16514"/>
  <c r="M82" i="16513" s="1"/>
  <c r="DF70" i="16516"/>
  <c r="DH70" i="16516" s="1"/>
  <c r="DH69" i="16516" s="1"/>
  <c r="EH70" i="16516"/>
  <c r="CH70" i="16516"/>
  <c r="CJ70" i="16516" s="1"/>
  <c r="CJ69" i="16516" s="1"/>
  <c r="CB70" i="16516"/>
  <c r="CB69" i="16516" s="1"/>
  <c r="ET60" i="16516"/>
  <c r="HF59" i="16516"/>
  <c r="ET40" i="16516"/>
  <c r="HB40" i="16516"/>
  <c r="HF40" i="16516" s="1"/>
  <c r="ET52" i="16516"/>
  <c r="HB52" i="16516"/>
  <c r="HF52" i="16516" s="1"/>
  <c r="ET47" i="16516"/>
  <c r="HB47" i="16516"/>
  <c r="HF47" i="16516" s="1"/>
  <c r="ET39" i="16516"/>
  <c r="HB39" i="16516"/>
  <c r="HF39" i="16516" s="1"/>
  <c r="HB34" i="16516"/>
  <c r="EP36" i="16516"/>
  <c r="GT36" i="16516" s="1"/>
  <c r="GX36" i="16516" s="1"/>
  <c r="GZ36" i="16516" s="1"/>
  <c r="IN27" i="16516" l="1"/>
  <c r="CJ41" i="16516"/>
  <c r="O7" i="16514" s="1"/>
  <c r="O77" i="16513" s="1"/>
  <c r="GL48" i="16516"/>
  <c r="GP48" i="16516" s="1"/>
  <c r="GR48" i="16516" s="1"/>
  <c r="EL48" i="16516"/>
  <c r="EN48" i="16516" s="1"/>
  <c r="GD48" i="16516"/>
  <c r="GH48" i="16516" s="1"/>
  <c r="GJ48" i="16516" s="1"/>
  <c r="ED48" i="16516"/>
  <c r="EF48" i="16516" s="1"/>
  <c r="DN49" i="16516"/>
  <c r="DP49" i="16516" s="1"/>
  <c r="FN49" i="16516"/>
  <c r="DR50" i="16516"/>
  <c r="EP50" i="16516"/>
  <c r="CP50" i="16516"/>
  <c r="J7" i="16514"/>
  <c r="J77" i="16513" s="1"/>
  <c r="HR48" i="16516"/>
  <c r="HV48" i="16516" s="1"/>
  <c r="HX48" i="16516" s="1"/>
  <c r="FJ48" i="16516"/>
  <c r="FL48" i="16516" s="1"/>
  <c r="HJ48" i="16516"/>
  <c r="HN48" i="16516" s="1"/>
  <c r="HP48" i="16516" s="1"/>
  <c r="FB48" i="16516"/>
  <c r="FD48" i="16516" s="1"/>
  <c r="EX49" i="16516"/>
  <c r="CX49" i="16516"/>
  <c r="CZ49" i="16516" s="1"/>
  <c r="DZ49" i="16516"/>
  <c r="FF49" i="16516"/>
  <c r="DF49" i="16516"/>
  <c r="DH49" i="16516" s="1"/>
  <c r="EH49" i="16516"/>
  <c r="BT41" i="16516"/>
  <c r="FF50" i="16516"/>
  <c r="DF50" i="16516"/>
  <c r="DH50" i="16516" s="1"/>
  <c r="EH50" i="16516"/>
  <c r="CB41" i="16516"/>
  <c r="N7" i="16514" s="1"/>
  <c r="N77" i="16513" s="1"/>
  <c r="HZ48" i="16516"/>
  <c r="ID48" i="16516" s="1"/>
  <c r="IF48" i="16516" s="1"/>
  <c r="FR48" i="16516"/>
  <c r="FT48" i="16516" s="1"/>
  <c r="DR49" i="16516"/>
  <c r="EP49" i="16516"/>
  <c r="CP49" i="16516"/>
  <c r="EX50" i="16516"/>
  <c r="DZ50" i="16516"/>
  <c r="CX50" i="16516"/>
  <c r="CZ50" i="16516" s="1"/>
  <c r="FN50" i="16516"/>
  <c r="DN50" i="16516"/>
  <c r="DP50" i="16516" s="1"/>
  <c r="R12" i="16514"/>
  <c r="R82" i="16513" s="1"/>
  <c r="S12" i="16514"/>
  <c r="S82" i="16513" s="1"/>
  <c r="EL70" i="16516"/>
  <c r="EN70" i="16516" s="1"/>
  <c r="EN69" i="16516" s="1"/>
  <c r="GL70" i="16516"/>
  <c r="GP70" i="16516" s="1"/>
  <c r="GR70" i="16516" s="1"/>
  <c r="GR69" i="16516" s="1"/>
  <c r="AC12" i="16514" s="1"/>
  <c r="AC82" i="16513" s="1"/>
  <c r="GB56" i="16516"/>
  <c r="AA9" i="16514" s="1"/>
  <c r="AA79" i="16513" s="1"/>
  <c r="HZ70" i="16516"/>
  <c r="ID70" i="16516" s="1"/>
  <c r="IF70" i="16516" s="1"/>
  <c r="IF69" i="16516" s="1"/>
  <c r="AH12" i="16514" s="1"/>
  <c r="AH82" i="16513" s="1"/>
  <c r="FR70" i="16516"/>
  <c r="FT70" i="16516" s="1"/>
  <c r="FT69" i="16516" s="1"/>
  <c r="Z12" i="16514" s="1"/>
  <c r="Z82" i="16513" s="1"/>
  <c r="IN56" i="16516"/>
  <c r="AI9" i="16514" s="1"/>
  <c r="AI79" i="16513" s="1"/>
  <c r="GZ56" i="16516"/>
  <c r="AD9" i="16514" s="1"/>
  <c r="AD79" i="16513" s="1"/>
  <c r="FZ35" i="16516"/>
  <c r="GB35" i="16516" s="1"/>
  <c r="GB34" i="16516"/>
  <c r="IH36" i="16516"/>
  <c r="IL36" i="16516" s="1"/>
  <c r="IN36" i="16516" s="1"/>
  <c r="FZ36" i="16516"/>
  <c r="GB36" i="16516" s="1"/>
  <c r="IL35" i="16516"/>
  <c r="IN35" i="16516" s="1"/>
  <c r="IN34" i="16516"/>
  <c r="O12" i="16514"/>
  <c r="O82" i="16513" s="1"/>
  <c r="N12" i="16514"/>
  <c r="N82" i="16513" s="1"/>
  <c r="HB36" i="16516"/>
  <c r="DP41" i="16516" l="1"/>
  <c r="S7" i="16514" s="1"/>
  <c r="S77" i="16513" s="1"/>
  <c r="DH41" i="16516"/>
  <c r="GD50" i="16516"/>
  <c r="GH50" i="16516" s="1"/>
  <c r="GJ50" i="16516" s="1"/>
  <c r="ED50" i="16516"/>
  <c r="EF50" i="16516" s="1"/>
  <c r="HJ50" i="16516"/>
  <c r="HN50" i="16516" s="1"/>
  <c r="HP50" i="16516" s="1"/>
  <c r="FB50" i="16516"/>
  <c r="FD50" i="16516" s="1"/>
  <c r="HR50" i="16516"/>
  <c r="HV50" i="16516" s="1"/>
  <c r="HX50" i="16516" s="1"/>
  <c r="FJ50" i="16516"/>
  <c r="FL50" i="16516" s="1"/>
  <c r="ED49" i="16516"/>
  <c r="EF49" i="16516" s="1"/>
  <c r="GD49" i="16516"/>
  <c r="GH49" i="16516" s="1"/>
  <c r="GJ49" i="16516" s="1"/>
  <c r="GT49" i="16516"/>
  <c r="GX49" i="16516" s="1"/>
  <c r="GZ49" i="16516" s="1"/>
  <c r="ET49" i="16516"/>
  <c r="HB49" i="16516"/>
  <c r="HF49" i="16516" s="1"/>
  <c r="CZ41" i="16516"/>
  <c r="Q7" i="16514" s="1"/>
  <c r="Q77" i="16513" s="1"/>
  <c r="FR50" i="16516"/>
  <c r="FT50" i="16516" s="1"/>
  <c r="HZ50" i="16516"/>
  <c r="ID50" i="16516" s="1"/>
  <c r="IF50" i="16516" s="1"/>
  <c r="DV49" i="16516"/>
  <c r="DX49" i="16516" s="1"/>
  <c r="FV49" i="16516"/>
  <c r="M7" i="16514"/>
  <c r="M77" i="16513" s="1"/>
  <c r="HJ49" i="16516"/>
  <c r="HN49" i="16516" s="1"/>
  <c r="HP49" i="16516" s="1"/>
  <c r="FB49" i="16516"/>
  <c r="FD49" i="16516" s="1"/>
  <c r="EL49" i="16516"/>
  <c r="EN49" i="16516" s="1"/>
  <c r="GL49" i="16516"/>
  <c r="GP49" i="16516" s="1"/>
  <c r="GR49" i="16516" s="1"/>
  <c r="GT50" i="16516"/>
  <c r="GX50" i="16516" s="1"/>
  <c r="GZ50" i="16516" s="1"/>
  <c r="ET50" i="16516"/>
  <c r="HB50" i="16516"/>
  <c r="HF50" i="16516" s="1"/>
  <c r="FV50" i="16516"/>
  <c r="DV50" i="16516"/>
  <c r="DX50" i="16516" s="1"/>
  <c r="HR49" i="16516"/>
  <c r="HV49" i="16516" s="1"/>
  <c r="HX49" i="16516" s="1"/>
  <c r="FJ49" i="16516"/>
  <c r="FL49" i="16516" s="1"/>
  <c r="FR49" i="16516"/>
  <c r="FT49" i="16516" s="1"/>
  <c r="HZ49" i="16516"/>
  <c r="ID49" i="16516" s="1"/>
  <c r="IF49" i="16516" s="1"/>
  <c r="EL50" i="16516"/>
  <c r="EN50" i="16516" s="1"/>
  <c r="GL50" i="16516"/>
  <c r="GP50" i="16516" s="1"/>
  <c r="GR50" i="16516" s="1"/>
  <c r="V12" i="16514"/>
  <c r="V82" i="16513" s="1"/>
  <c r="I320" i="16508"/>
  <c r="F63" i="16458"/>
  <c r="J63" i="16458" s="1"/>
  <c r="J62" i="16458"/>
  <c r="J58" i="16458"/>
  <c r="F54" i="16458"/>
  <c r="J54" i="16458" s="1"/>
  <c r="J50" i="16458"/>
  <c r="J46" i="16458"/>
  <c r="F42" i="16458"/>
  <c r="J42" i="16458" s="1"/>
  <c r="F30" i="16458"/>
  <c r="J30" i="16458" s="1"/>
  <c r="J86" i="16458"/>
  <c r="J82" i="16458"/>
  <c r="J78" i="16458"/>
  <c r="J74" i="16458"/>
  <c r="F70" i="16458"/>
  <c r="J70" i="16458" s="1"/>
  <c r="J20" i="16458"/>
  <c r="J61" i="16458"/>
  <c r="AR87" i="16457" s="1"/>
  <c r="J57" i="16458"/>
  <c r="J45" i="16458"/>
  <c r="J33" i="16458"/>
  <c r="J29" i="16458"/>
  <c r="F25" i="16458"/>
  <c r="J25" i="16458" s="1"/>
  <c r="J77" i="16458"/>
  <c r="F73" i="16458"/>
  <c r="J73" i="16458" s="1"/>
  <c r="F69" i="16458"/>
  <c r="J69" i="16458" s="1"/>
  <c r="J23" i="16458"/>
  <c r="J60" i="16458"/>
  <c r="J56" i="16458"/>
  <c r="J48" i="16458"/>
  <c r="J40" i="16458"/>
  <c r="J36" i="16458"/>
  <c r="F32" i="16458"/>
  <c r="J32" i="16458" s="1"/>
  <c r="J88" i="16458"/>
  <c r="F84" i="16458"/>
  <c r="J84" i="16458" s="1"/>
  <c r="J76" i="16458"/>
  <c r="F72" i="16458"/>
  <c r="J72" i="16458" s="1"/>
  <c r="F68" i="16458"/>
  <c r="J68" i="16458" s="1"/>
  <c r="J59" i="16458"/>
  <c r="J55" i="16458"/>
  <c r="J47" i="16458"/>
  <c r="J43" i="16458"/>
  <c r="J39" i="16458"/>
  <c r="J35" i="16458"/>
  <c r="F83" i="16458"/>
  <c r="J83" i="16458" s="1"/>
  <c r="J79" i="16458"/>
  <c r="J71" i="16458"/>
  <c r="DX41" i="16516" l="1"/>
  <c r="HX41" i="16516"/>
  <c r="AG7" i="16514" s="1"/>
  <c r="AG77" i="16513" s="1"/>
  <c r="GJ41" i="16516"/>
  <c r="AB7" i="16514" s="1"/>
  <c r="AB77" i="16513" s="1"/>
  <c r="FT41" i="16516"/>
  <c r="Z7" i="16514" s="1"/>
  <c r="Z77" i="16513" s="1"/>
  <c r="GZ41" i="16516"/>
  <c r="AD7" i="16514" s="1"/>
  <c r="AD77" i="16513" s="1"/>
  <c r="HP41" i="16516"/>
  <c r="AF7" i="16514" s="1"/>
  <c r="AF77" i="16513" s="1"/>
  <c r="EF41" i="16516"/>
  <c r="GR41" i="16516"/>
  <c r="AC7" i="16514" s="1"/>
  <c r="AC77" i="16513" s="1"/>
  <c r="EN41" i="16516"/>
  <c r="FL41" i="16516"/>
  <c r="Y7" i="16514" s="1"/>
  <c r="Y77" i="16513" s="1"/>
  <c r="FD41" i="16516"/>
  <c r="X7" i="16514" s="1"/>
  <c r="X77" i="16513" s="1"/>
  <c r="R7" i="16514"/>
  <c r="R77" i="16513" s="1"/>
  <c r="T7" i="16514"/>
  <c r="T77" i="16513" s="1"/>
  <c r="IH50" i="16516"/>
  <c r="IL50" i="16516" s="1"/>
  <c r="IN50" i="16516" s="1"/>
  <c r="FZ50" i="16516"/>
  <c r="GB50" i="16516" s="1"/>
  <c r="IH49" i="16516"/>
  <c r="IL49" i="16516" s="1"/>
  <c r="IN49" i="16516" s="1"/>
  <c r="FZ49" i="16516"/>
  <c r="GB49" i="16516" s="1"/>
  <c r="IF41" i="16516"/>
  <c r="AH7" i="16514" s="1"/>
  <c r="AH77" i="16513" s="1"/>
  <c r="J85" i="16458"/>
  <c r="H21" i="16506"/>
  <c r="I21" i="16506" s="1"/>
  <c r="AS96" i="16457"/>
  <c r="DE96" i="16457" s="1"/>
  <c r="AW96" i="16457"/>
  <c r="BA96" i="16457"/>
  <c r="BE96" i="16457"/>
  <c r="BI96" i="16457"/>
  <c r="BM96" i="16457"/>
  <c r="BQ96" i="16457"/>
  <c r="BU96" i="16457"/>
  <c r="AT96" i="16457"/>
  <c r="AX96" i="16457"/>
  <c r="BB96" i="16457"/>
  <c r="BF96" i="16457"/>
  <c r="BJ96" i="16457"/>
  <c r="BN96" i="16457"/>
  <c r="BR96" i="16457"/>
  <c r="AR96" i="16457"/>
  <c r="AU96" i="16457"/>
  <c r="AY96" i="16457"/>
  <c r="BC96" i="16457"/>
  <c r="BG96" i="16457"/>
  <c r="BK96" i="16457"/>
  <c r="BO96" i="16457"/>
  <c r="BS96" i="16457"/>
  <c r="AV96" i="16457"/>
  <c r="AZ96" i="16457"/>
  <c r="BD96" i="16457"/>
  <c r="BH96" i="16457"/>
  <c r="BL96" i="16457"/>
  <c r="BP96" i="16457"/>
  <c r="BT96" i="16457"/>
  <c r="BD87" i="16457"/>
  <c r="DP87" i="16457" s="1"/>
  <c r="BT87" i="16457"/>
  <c r="EF87" i="16457" s="1"/>
  <c r="DD87" i="16457"/>
  <c r="BH87" i="16457"/>
  <c r="DT87" i="16457" s="1"/>
  <c r="AV87" i="16457"/>
  <c r="DH87" i="16457" s="1"/>
  <c r="BL87" i="16457"/>
  <c r="DX87" i="16457" s="1"/>
  <c r="AZ87" i="16457"/>
  <c r="DL87" i="16457" s="1"/>
  <c r="BP87" i="16457"/>
  <c r="EB87" i="16457" s="1"/>
  <c r="AY87" i="16457"/>
  <c r="DK87" i="16457" s="1"/>
  <c r="AT87" i="16457"/>
  <c r="DF87" i="16457" s="1"/>
  <c r="BJ87" i="16457"/>
  <c r="DV87" i="16457" s="1"/>
  <c r="BU87" i="16457"/>
  <c r="EG87" i="16457" s="1"/>
  <c r="BK87" i="16457"/>
  <c r="DW87" i="16457" s="1"/>
  <c r="AW87" i="16457"/>
  <c r="DI87" i="16457" s="1"/>
  <c r="BI87" i="16457"/>
  <c r="DU87" i="16457" s="1"/>
  <c r="BG87" i="16457"/>
  <c r="DS87" i="16457" s="1"/>
  <c r="BF87" i="16457"/>
  <c r="DR87" i="16457" s="1"/>
  <c r="BS87" i="16457"/>
  <c r="EE87" i="16457" s="1"/>
  <c r="BC87" i="16457"/>
  <c r="DO87" i="16457" s="1"/>
  <c r="BB87" i="16457"/>
  <c r="DN87" i="16457" s="1"/>
  <c r="BM87" i="16457"/>
  <c r="DY87" i="16457" s="1"/>
  <c r="BQ87" i="16457"/>
  <c r="EC87" i="16457" s="1"/>
  <c r="BR87" i="16457"/>
  <c r="ED87" i="16457" s="1"/>
  <c r="BO87" i="16457"/>
  <c r="EA87" i="16457" s="1"/>
  <c r="AX87" i="16457"/>
  <c r="DJ87" i="16457" s="1"/>
  <c r="BA87" i="16457"/>
  <c r="DM87" i="16457" s="1"/>
  <c r="BE87" i="16457"/>
  <c r="DQ87" i="16457" s="1"/>
  <c r="AU87" i="16457"/>
  <c r="DG87" i="16457" s="1"/>
  <c r="AS87" i="16457"/>
  <c r="DE87" i="16457" s="1"/>
  <c r="BN87" i="16457"/>
  <c r="DZ87" i="16457" s="1"/>
  <c r="J24" i="16458"/>
  <c r="H51" i="16506"/>
  <c r="I51" i="16506" s="1"/>
  <c r="AR31" i="16506"/>
  <c r="AS31" i="16506"/>
  <c r="AT31" i="16506"/>
  <c r="AU31" i="16506"/>
  <c r="AV31" i="16506"/>
  <c r="AW31" i="16506"/>
  <c r="AX31" i="16506"/>
  <c r="AY31" i="16506"/>
  <c r="AZ31" i="16506"/>
  <c r="BA31" i="16506"/>
  <c r="BB31" i="16506"/>
  <c r="BC31" i="16506"/>
  <c r="BD31" i="16506"/>
  <c r="BE31" i="16506"/>
  <c r="BF31" i="16506"/>
  <c r="BG31" i="16506"/>
  <c r="BH31" i="16506"/>
  <c r="BI31" i="16506"/>
  <c r="BJ31" i="16506"/>
  <c r="BK31" i="16506"/>
  <c r="BL31" i="16506"/>
  <c r="BM31" i="16506"/>
  <c r="BN31" i="16506"/>
  <c r="BT31" i="16506"/>
  <c r="U7" i="16514" l="1"/>
  <c r="U77" i="16513" s="1"/>
  <c r="GB41" i="16516"/>
  <c r="AA7" i="16514" s="1"/>
  <c r="AA77" i="16513" s="1"/>
  <c r="V7" i="16514"/>
  <c r="V77" i="16513" s="1"/>
  <c r="IN41" i="16516"/>
  <c r="AI7" i="16514" s="1"/>
  <c r="AI77" i="16513" s="1"/>
  <c r="BT95" i="16457"/>
  <c r="EF96" i="16457"/>
  <c r="BD95" i="16457"/>
  <c r="DP96" i="16457"/>
  <c r="BO95" i="16457"/>
  <c r="EA96" i="16457"/>
  <c r="AY95" i="16457"/>
  <c r="DK96" i="16457"/>
  <c r="BN95" i="16457"/>
  <c r="DZ96" i="16457"/>
  <c r="AX95" i="16457"/>
  <c r="DJ96" i="16457"/>
  <c r="BM95" i="16457"/>
  <c r="DY96" i="16457"/>
  <c r="AW95" i="16457"/>
  <c r="DI96" i="16457"/>
  <c r="BP95" i="16457"/>
  <c r="EB96" i="16457"/>
  <c r="AZ95" i="16457"/>
  <c r="DL96" i="16457"/>
  <c r="BK95" i="16457"/>
  <c r="DW96" i="16457"/>
  <c r="AU95" i="16457"/>
  <c r="DG96" i="16457"/>
  <c r="BJ95" i="16457"/>
  <c r="DV96" i="16457"/>
  <c r="AT95" i="16457"/>
  <c r="DF96" i="16457"/>
  <c r="BI95" i="16457"/>
  <c r="DU96" i="16457"/>
  <c r="BL95" i="16457"/>
  <c r="DX96" i="16457"/>
  <c r="AV95" i="16457"/>
  <c r="DH96" i="16457"/>
  <c r="BG95" i="16457"/>
  <c r="DS96" i="16457"/>
  <c r="AR95" i="16457"/>
  <c r="DD96" i="16457"/>
  <c r="BF95" i="16457"/>
  <c r="DR96" i="16457"/>
  <c r="BU95" i="16457"/>
  <c r="EG96" i="16457"/>
  <c r="BE95" i="16457"/>
  <c r="DQ96" i="16457"/>
  <c r="BH95" i="16457"/>
  <c r="DT96" i="16457"/>
  <c r="BS95" i="16457"/>
  <c r="EE96" i="16457"/>
  <c r="BC95" i="16457"/>
  <c r="DO96" i="16457"/>
  <c r="BR95" i="16457"/>
  <c r="ED96" i="16457"/>
  <c r="BB95" i="16457"/>
  <c r="DN96" i="16457"/>
  <c r="BQ95" i="16457"/>
  <c r="EC96" i="16457"/>
  <c r="BA95" i="16457"/>
  <c r="DM96" i="16457"/>
  <c r="AQ96" i="16457"/>
  <c r="AS95" i="16457"/>
  <c r="AQ87" i="16457"/>
  <c r="J379" i="16508"/>
  <c r="J19" i="16508"/>
  <c r="J16" i="16508"/>
  <c r="J17" i="16508"/>
  <c r="J18" i="16508"/>
  <c r="AQ95" i="16457" l="1"/>
  <c r="O59" i="16516"/>
  <c r="J378" i="16508"/>
  <c r="O45" i="16516"/>
  <c r="BL54" i="16516"/>
  <c r="X54" i="16516"/>
  <c r="BD54" i="16516"/>
  <c r="O54" i="16516"/>
  <c r="H54" i="16516" s="1"/>
  <c r="EV54" i="16516"/>
  <c r="CR54" i="16516"/>
  <c r="HH54" i="16516"/>
  <c r="O58" i="16516"/>
  <c r="X58" i="16516"/>
  <c r="BL58" i="16516"/>
  <c r="EV58" i="16516"/>
  <c r="CR58" i="16516"/>
  <c r="HH58" i="16516"/>
  <c r="CR57" i="16516"/>
  <c r="X57" i="16516"/>
  <c r="BL57" i="16516"/>
  <c r="O57" i="16516"/>
  <c r="HH57" i="16516"/>
  <c r="EV57" i="16516"/>
  <c r="BD70" i="16516"/>
  <c r="BD69" i="16516" s="1"/>
  <c r="K12" i="16514" s="1"/>
  <c r="K82" i="16513" s="1"/>
  <c r="O70" i="16516"/>
  <c r="X69" i="16516"/>
  <c r="G12" i="16514" s="1"/>
  <c r="BL70" i="16516"/>
  <c r="BL69" i="16516" s="1"/>
  <c r="L12" i="16514" s="1"/>
  <c r="L82" i="16513" s="1"/>
  <c r="CR70" i="16516"/>
  <c r="CR69" i="16516" s="1"/>
  <c r="P12" i="16514" s="1"/>
  <c r="P82" i="16513" s="1"/>
  <c r="HH70" i="16516"/>
  <c r="HH69" i="16516" s="1"/>
  <c r="AE12" i="16514" s="1"/>
  <c r="AE82" i="16513" s="1"/>
  <c r="EV70" i="16516"/>
  <c r="EV69" i="16516" s="1"/>
  <c r="W12" i="16514" s="1"/>
  <c r="W82" i="16513" s="1"/>
  <c r="O60" i="16516"/>
  <c r="X60" i="16516"/>
  <c r="BL60" i="16516"/>
  <c r="CR60" i="16516"/>
  <c r="HH60" i="16516"/>
  <c r="EV60" i="16516"/>
  <c r="CR68" i="16516"/>
  <c r="CR67" i="16516" s="1"/>
  <c r="P11" i="16514" s="1"/>
  <c r="P81" i="16513" s="1"/>
  <c r="O42" i="16516"/>
  <c r="BD42" i="16516"/>
  <c r="X42" i="16516"/>
  <c r="BL42" i="16516"/>
  <c r="CR42" i="16516"/>
  <c r="EV42" i="16516"/>
  <c r="HH42" i="16516"/>
  <c r="O52" i="16516"/>
  <c r="X52" i="16516"/>
  <c r="BD52" i="16516"/>
  <c r="BL52" i="16516"/>
  <c r="CR52" i="16516"/>
  <c r="EV52" i="16516"/>
  <c r="HH52" i="16516"/>
  <c r="X48" i="16516"/>
  <c r="BD48" i="16516"/>
  <c r="O48" i="16516"/>
  <c r="BL48" i="16516"/>
  <c r="EV48" i="16516"/>
  <c r="CR48" i="16516"/>
  <c r="HH48" i="16516"/>
  <c r="O40" i="16516"/>
  <c r="X40" i="16516"/>
  <c r="BD40" i="16516"/>
  <c r="BL40" i="16516"/>
  <c r="CR40" i="16516"/>
  <c r="EV40" i="16516"/>
  <c r="HH40" i="16516"/>
  <c r="O49" i="16516"/>
  <c r="BL49" i="16516"/>
  <c r="BD49" i="16516"/>
  <c r="X49" i="16516"/>
  <c r="CR49" i="16516"/>
  <c r="HH49" i="16516"/>
  <c r="EV49" i="16516"/>
  <c r="X47" i="16516"/>
  <c r="BD47" i="16516"/>
  <c r="O47" i="16516"/>
  <c r="BL47" i="16516"/>
  <c r="CR47" i="16516"/>
  <c r="EV47" i="16516"/>
  <c r="HH47" i="16516"/>
  <c r="O53" i="16516"/>
  <c r="H53" i="16516" s="1"/>
  <c r="BD53" i="16516"/>
  <c r="BL53" i="16516"/>
  <c r="X53" i="16516"/>
  <c r="CR53" i="16516"/>
  <c r="EV53" i="16516"/>
  <c r="HH53" i="16516"/>
  <c r="BD50" i="16516"/>
  <c r="X50" i="16516"/>
  <c r="BL50" i="16516"/>
  <c r="O50" i="16516"/>
  <c r="CR50" i="16516"/>
  <c r="HH50" i="16516"/>
  <c r="EV50" i="16516"/>
  <c r="O62" i="16516"/>
  <c r="BL62" i="16516"/>
  <c r="X62" i="16516"/>
  <c r="CR62" i="16516"/>
  <c r="BD62" i="16516"/>
  <c r="EV62" i="16516"/>
  <c r="HH62" i="16516"/>
  <c r="O39" i="16516"/>
  <c r="X39" i="16516"/>
  <c r="BD39" i="16516"/>
  <c r="BL39" i="16516"/>
  <c r="BL27" i="16516" s="1"/>
  <c r="CR39" i="16516"/>
  <c r="CR27" i="16516" s="1"/>
  <c r="EV39" i="16516"/>
  <c r="HH39" i="16516"/>
  <c r="O38" i="16516"/>
  <c r="X38" i="16516"/>
  <c r="BD38" i="16516"/>
  <c r="CR38" i="16516"/>
  <c r="BL38" i="16516"/>
  <c r="HH38" i="16516"/>
  <c r="EV38" i="16516"/>
  <c r="X63" i="16516"/>
  <c r="O63" i="16516"/>
  <c r="BD63" i="16516"/>
  <c r="BL63" i="16516"/>
  <c r="CR63" i="16516"/>
  <c r="EV63" i="16516"/>
  <c r="HH63" i="16516"/>
  <c r="X46" i="16516"/>
  <c r="O46" i="16516"/>
  <c r="BD46" i="16516"/>
  <c r="BL46" i="16516"/>
  <c r="CR46" i="16516"/>
  <c r="EV46" i="16516"/>
  <c r="HH46" i="16516"/>
  <c r="BL44" i="16516"/>
  <c r="X44" i="16516"/>
  <c r="BD44" i="16516"/>
  <c r="O44" i="16516"/>
  <c r="EV44" i="16516"/>
  <c r="CR44" i="16516"/>
  <c r="HH44" i="16516"/>
  <c r="H40" i="16516" l="1"/>
  <c r="HH27" i="16516"/>
  <c r="BD27" i="16516"/>
  <c r="EV27" i="16516"/>
  <c r="X27" i="16516"/>
  <c r="O27" i="16516"/>
  <c r="H39" i="16516"/>
  <c r="H27" i="16516" s="1"/>
  <c r="H52" i="16516"/>
  <c r="H69" i="16516"/>
  <c r="O56" i="16516"/>
  <c r="J381" i="16508"/>
  <c r="J382" i="16508" s="1"/>
  <c r="J425" i="16508" s="1"/>
  <c r="EV59" i="16516"/>
  <c r="EV56" i="16516" s="1"/>
  <c r="BL59" i="16516"/>
  <c r="X59" i="16516"/>
  <c r="BD59" i="16516" s="1"/>
  <c r="BD45" i="16516"/>
  <c r="BD41" i="16516" s="1"/>
  <c r="HH59" i="16516"/>
  <c r="CR59" i="16516"/>
  <c r="O11" i="16516"/>
  <c r="EV45" i="16516"/>
  <c r="EV41" i="16516" s="1"/>
  <c r="HH45" i="16516"/>
  <c r="HH41" i="16516" s="1"/>
  <c r="AE7" i="16514" s="1"/>
  <c r="AE77" i="16513" s="1"/>
  <c r="X45" i="16516"/>
  <c r="X41" i="16516" s="1"/>
  <c r="CR45" i="16516"/>
  <c r="CR41" i="16516" s="1"/>
  <c r="BL45" i="16516"/>
  <c r="BL41" i="16516" s="1"/>
  <c r="EV51" i="16516"/>
  <c r="X51" i="16516"/>
  <c r="O41" i="16516"/>
  <c r="CR51" i="16516"/>
  <c r="O51" i="16516"/>
  <c r="G82" i="16513"/>
  <c r="BL51" i="16516"/>
  <c r="O69" i="16516"/>
  <c r="HH51" i="16516"/>
  <c r="AE8" i="16514" s="1"/>
  <c r="AE78" i="16513" s="1"/>
  <c r="BD51" i="16516"/>
  <c r="H41" i="16516" l="1"/>
  <c r="CR56" i="16516"/>
  <c r="X56" i="16516"/>
  <c r="G9" i="16514" s="1"/>
  <c r="BL56" i="16516"/>
  <c r="L9" i="16514" s="1"/>
  <c r="L79" i="16513" s="1"/>
  <c r="HH56" i="16516"/>
  <c r="AE9" i="16514" s="1"/>
  <c r="AE79" i="16513" s="1"/>
  <c r="BD56" i="16516"/>
  <c r="K9" i="16514" s="1"/>
  <c r="K79" i="16513" s="1"/>
  <c r="F12" i="16514"/>
  <c r="F8" i="16514"/>
  <c r="G8" i="16514"/>
  <c r="K7" i="16514"/>
  <c r="K77" i="16513" s="1"/>
  <c r="G7" i="16514"/>
  <c r="W7" i="16514"/>
  <c r="W77" i="16513" s="1"/>
  <c r="P8" i="16514"/>
  <c r="P78" i="16513" s="1"/>
  <c r="W8" i="16514"/>
  <c r="W78" i="16513" s="1"/>
  <c r="W9" i="16514"/>
  <c r="W79" i="16513" s="1"/>
  <c r="L8" i="16514"/>
  <c r="L78" i="16513" s="1"/>
  <c r="H51" i="16516"/>
  <c r="F7" i="16514"/>
  <c r="K8" i="16514"/>
  <c r="K78" i="16513" s="1"/>
  <c r="F9" i="16514"/>
  <c r="P7" i="16514"/>
  <c r="P77" i="16513" s="1"/>
  <c r="L7" i="16514"/>
  <c r="L77" i="16513" s="1"/>
  <c r="FE41" i="16516" l="1"/>
  <c r="GC41" i="16516"/>
  <c r="IG41" i="16516"/>
  <c r="GK41" i="16516"/>
  <c r="FU41" i="16516"/>
  <c r="GS41" i="16516"/>
  <c r="FM41" i="16516"/>
  <c r="IO41" i="16516"/>
  <c r="HQ41" i="16516"/>
  <c r="HY41" i="16516"/>
  <c r="HA41" i="16516"/>
  <c r="HQ51" i="16516"/>
  <c r="FE51" i="16516"/>
  <c r="FU51" i="16516"/>
  <c r="IG51" i="16516"/>
  <c r="HY51" i="16516"/>
  <c r="GS51" i="16516"/>
  <c r="GC51" i="16516"/>
  <c r="GK51" i="16516"/>
  <c r="IO51" i="16516"/>
  <c r="FM51" i="16516"/>
  <c r="HA51" i="16516"/>
  <c r="EO51" i="16516"/>
  <c r="DQ51" i="16516"/>
  <c r="DI51" i="16516"/>
  <c r="DA51" i="16516"/>
  <c r="EG51" i="16516"/>
  <c r="DY51" i="16516"/>
  <c r="DQ41" i="16516"/>
  <c r="EG41" i="16516"/>
  <c r="DA41" i="16516"/>
  <c r="EO41" i="16516"/>
  <c r="DI41" i="16516"/>
  <c r="DY41" i="16516"/>
  <c r="AW51" i="16516"/>
  <c r="BU51" i="16516"/>
  <c r="CK51" i="16516"/>
  <c r="CC51" i="16516"/>
  <c r="AW41" i="16516"/>
  <c r="CK41" i="16516"/>
  <c r="BU41" i="16516"/>
  <c r="CC41" i="16516"/>
  <c r="HI41" i="16516"/>
  <c r="AO41" i="16516"/>
  <c r="AG41" i="16516"/>
  <c r="HI51" i="16516"/>
  <c r="AO51" i="16516"/>
  <c r="AG51" i="16516"/>
  <c r="P9" i="16514"/>
  <c r="P79" i="16513" s="1"/>
  <c r="H56" i="16516"/>
  <c r="CS41" i="16516"/>
  <c r="P41" i="16516"/>
  <c r="BM41" i="16516"/>
  <c r="F79" i="16513"/>
  <c r="EW51" i="16516"/>
  <c r="Y41" i="16516"/>
  <c r="Y51" i="16516"/>
  <c r="F78" i="16513"/>
  <c r="G77" i="16513"/>
  <c r="G78" i="16513"/>
  <c r="F82" i="16513"/>
  <c r="BE51" i="16516"/>
  <c r="F77" i="16513"/>
  <c r="BM51" i="16516"/>
  <c r="G79" i="16513"/>
  <c r="CS51" i="16516"/>
  <c r="EW41" i="16516"/>
  <c r="BE41" i="16516"/>
  <c r="P51" i="16516"/>
  <c r="HA56" i="16516" l="1"/>
  <c r="FM56" i="16516"/>
  <c r="IO56" i="16516"/>
  <c r="GK56" i="16516"/>
  <c r="GS56" i="16516"/>
  <c r="GC56" i="16516"/>
  <c r="HQ56" i="16516"/>
  <c r="HY56" i="16516"/>
  <c r="FE56" i="16516"/>
  <c r="IG56" i="16516"/>
  <c r="FU56" i="16516"/>
  <c r="DQ56" i="16516"/>
  <c r="EO56" i="16516"/>
  <c r="DI56" i="16516"/>
  <c r="EG56" i="16516"/>
  <c r="DA56" i="16516"/>
  <c r="DY56" i="16516"/>
  <c r="AW56" i="16516"/>
  <c r="CC56" i="16516"/>
  <c r="CK56" i="16516"/>
  <c r="BU56" i="16516"/>
  <c r="CS56" i="16516"/>
  <c r="AG56" i="16516"/>
  <c r="AO56" i="16516"/>
  <c r="EW56" i="16516"/>
  <c r="Y56" i="16516"/>
  <c r="BM56" i="16516"/>
  <c r="HI56" i="16516"/>
  <c r="P56" i="16516"/>
  <c r="BE56" i="16516"/>
  <c r="M19" i="16504"/>
  <c r="O19" i="16504" l="1"/>
  <c r="Q19" i="16504" s="1"/>
  <c r="S19" i="16504" s="1"/>
  <c r="U19" i="16504" s="1"/>
  <c r="W19" i="16504" s="1"/>
  <c r="Y19" i="16504" s="1"/>
  <c r="AA19" i="16504" s="1"/>
  <c r="AC19" i="16504" s="1"/>
  <c r="AE19" i="16504" s="1"/>
  <c r="AG19" i="16504" s="1"/>
  <c r="AI19" i="16504" s="1"/>
  <c r="AK19" i="16504" s="1"/>
  <c r="AM19" i="16504" s="1"/>
  <c r="AO19" i="16504" s="1"/>
  <c r="M41" i="16504"/>
  <c r="F89" i="16513" s="1"/>
  <c r="N19" i="16504"/>
  <c r="P19" i="16504" s="1"/>
  <c r="R19" i="16504" s="1"/>
  <c r="T19" i="16504" s="1"/>
  <c r="V19" i="16504" s="1"/>
  <c r="X19" i="16504" s="1"/>
  <c r="Z19" i="16504" s="1"/>
  <c r="AB19" i="16504" s="1"/>
  <c r="AD19" i="16504" s="1"/>
  <c r="AF19" i="16504" s="1"/>
  <c r="AH19" i="16504" s="1"/>
  <c r="AJ19" i="16504" s="1"/>
  <c r="AL19" i="16504" s="1"/>
  <c r="AN19" i="16504" s="1"/>
  <c r="AP19" i="16504" s="1"/>
  <c r="E12" i="16514" l="1"/>
  <c r="E82" i="16513" l="1"/>
  <c r="AV82" i="16513" l="1"/>
  <c r="AM82" i="16513"/>
  <c r="BC82" i="16513"/>
  <c r="BK82" i="16513"/>
  <c r="AR82" i="16513"/>
  <c r="AQ82" i="16513"/>
  <c r="AW82" i="16513"/>
  <c r="AN82" i="16513"/>
  <c r="AS82" i="16513"/>
  <c r="BL82" i="16513"/>
  <c r="BD82" i="16513"/>
  <c r="BM82" i="16513"/>
  <c r="AX82" i="16513"/>
  <c r="AO82" i="16513"/>
  <c r="AT82" i="16513"/>
  <c r="AL82" i="16513"/>
  <c r="BE82" i="16513"/>
  <c r="BN82" i="16513"/>
  <c r="AP82" i="16513"/>
  <c r="AU82" i="16513"/>
  <c r="AY82" i="16513"/>
  <c r="BF82" i="16513"/>
  <c r="BO82" i="16513"/>
  <c r="BG82" i="16513"/>
  <c r="AZ82" i="16513"/>
  <c r="BH82" i="16513"/>
  <c r="BA82" i="16513"/>
  <c r="BB82" i="16513"/>
  <c r="BI82" i="16513"/>
  <c r="BJ82" i="16513"/>
  <c r="E8" i="16514"/>
  <c r="E7" i="16514"/>
  <c r="E9" i="16514"/>
  <c r="E77" i="16513" l="1"/>
  <c r="E78" i="16513"/>
  <c r="E79" i="16513"/>
  <c r="BJ79" i="16513" l="1"/>
  <c r="BJ78" i="16513"/>
  <c r="BK77" i="16513"/>
  <c r="AR77" i="16513"/>
  <c r="AL77" i="16513"/>
  <c r="AV77" i="16513"/>
  <c r="BC77" i="16513"/>
  <c r="BL77" i="16513"/>
  <c r="AQ77" i="16513"/>
  <c r="AM77" i="16513"/>
  <c r="BD77" i="16513"/>
  <c r="AN77" i="16513"/>
  <c r="AW77" i="16513"/>
  <c r="BM77" i="16513"/>
  <c r="AS77" i="16513"/>
  <c r="BE77" i="16513"/>
  <c r="AT77" i="16513"/>
  <c r="BN77" i="16513"/>
  <c r="AO77" i="16513"/>
  <c r="AX77" i="16513"/>
  <c r="AY77" i="16513"/>
  <c r="BF77" i="16513"/>
  <c r="AU77" i="16513"/>
  <c r="BO77" i="16513"/>
  <c r="AP77" i="16513"/>
  <c r="BG77" i="16513"/>
  <c r="AZ77" i="16513"/>
  <c r="BA77" i="16513"/>
  <c r="BH77" i="16513"/>
  <c r="BB77" i="16513"/>
  <c r="BI77" i="16513"/>
  <c r="AM79" i="16513"/>
  <c r="AL79" i="16513"/>
  <c r="AR79" i="16513"/>
  <c r="BK79" i="16513"/>
  <c r="AQ79" i="16513"/>
  <c r="BC79" i="16513"/>
  <c r="AV79" i="16513"/>
  <c r="BD79" i="16513"/>
  <c r="AW79" i="16513"/>
  <c r="AN79" i="16513"/>
  <c r="AS79" i="16513"/>
  <c r="BL79" i="16513"/>
  <c r="AO79" i="16513"/>
  <c r="AT79" i="16513"/>
  <c r="AX79" i="16513"/>
  <c r="BM79" i="16513"/>
  <c r="BE79" i="16513"/>
  <c r="AY79" i="16513"/>
  <c r="BF79" i="16513"/>
  <c r="BN79" i="16513"/>
  <c r="AP79" i="16513"/>
  <c r="AU79" i="16513"/>
  <c r="AZ79" i="16513"/>
  <c r="BG79" i="16513"/>
  <c r="BO79" i="16513"/>
  <c r="BA79" i="16513"/>
  <c r="BH79" i="16513"/>
  <c r="BB79" i="16513"/>
  <c r="BI79" i="16513"/>
  <c r="BK78" i="16513"/>
  <c r="AM78" i="16513"/>
  <c r="AQ78" i="16513"/>
  <c r="BC78" i="16513"/>
  <c r="BL78" i="16513"/>
  <c r="AL78" i="16513"/>
  <c r="AR78" i="16513"/>
  <c r="AV78" i="16513"/>
  <c r="BD78" i="16513"/>
  <c r="AW78" i="16513"/>
  <c r="BM78" i="16513"/>
  <c r="AS78" i="16513"/>
  <c r="AN78" i="16513"/>
  <c r="AT78" i="16513"/>
  <c r="BE78" i="16513"/>
  <c r="AO78" i="16513"/>
  <c r="AX78" i="16513"/>
  <c r="BN78" i="16513"/>
  <c r="AP78" i="16513"/>
  <c r="AU78" i="16513"/>
  <c r="BF78" i="16513"/>
  <c r="AY78" i="16513"/>
  <c r="BO78" i="16513"/>
  <c r="BG78" i="16513"/>
  <c r="AZ78" i="16513"/>
  <c r="BA78" i="16513"/>
  <c r="BH78" i="16513"/>
  <c r="BB78" i="16513"/>
  <c r="BI78" i="16513"/>
  <c r="BJ77" i="16513"/>
  <c r="AS74" i="16457"/>
  <c r="AT74" i="16457"/>
  <c r="AU74" i="16457"/>
  <c r="AV74" i="16457"/>
  <c r="AW74" i="16457"/>
  <c r="AX74" i="16457"/>
  <c r="AY74" i="16457"/>
  <c r="AZ74" i="16457"/>
  <c r="BA74" i="16457"/>
  <c r="BB74" i="16457"/>
  <c r="BC74" i="16457"/>
  <c r="BD74" i="16457"/>
  <c r="BE74" i="16457"/>
  <c r="BF74" i="16457"/>
  <c r="BG74" i="16457"/>
  <c r="BH74" i="16457"/>
  <c r="BI74" i="16457"/>
  <c r="BJ74" i="16457"/>
  <c r="BK74" i="16457"/>
  <c r="BL74" i="16457"/>
  <c r="BM74" i="16457"/>
  <c r="BN74" i="16457"/>
  <c r="BO74" i="16457"/>
  <c r="BP74" i="16457"/>
  <c r="BQ74" i="16457"/>
  <c r="BR74" i="16457"/>
  <c r="BS74" i="16457"/>
  <c r="BT74" i="16457"/>
  <c r="BU74" i="16457"/>
  <c r="AR74" i="16457"/>
  <c r="J69" i="16506" l="1"/>
  <c r="J64" i="16506"/>
  <c r="J59" i="16506"/>
  <c r="J48" i="16506"/>
  <c r="J16" i="16506"/>
  <c r="J17" i="16506"/>
  <c r="J19" i="16506"/>
  <c r="J8" i="16506" l="1"/>
  <c r="M219" i="16461" l="1"/>
  <c r="N219" i="16461"/>
  <c r="O219" i="16461"/>
  <c r="P219" i="16461"/>
  <c r="Q219" i="16461"/>
  <c r="R219" i="16461"/>
  <c r="S219" i="16461"/>
  <c r="T219" i="16461"/>
  <c r="U219" i="16461"/>
  <c r="V219" i="16461"/>
  <c r="W219" i="16461"/>
  <c r="X219" i="16461"/>
  <c r="Y219" i="16461"/>
  <c r="Z219" i="16461"/>
  <c r="AA219" i="16461"/>
  <c r="AB219" i="16461"/>
  <c r="AC219" i="16461"/>
  <c r="AD219" i="16461"/>
  <c r="AE219" i="16461"/>
  <c r="AF219" i="16461"/>
  <c r="AG219" i="16461"/>
  <c r="AH219" i="16461"/>
  <c r="AI219" i="16461"/>
  <c r="AJ219" i="16461"/>
  <c r="AK219" i="16461"/>
  <c r="AL219" i="16461"/>
  <c r="AM219" i="16461"/>
  <c r="AN219" i="16461"/>
  <c r="AO219" i="16461"/>
  <c r="AP219" i="16461"/>
  <c r="M220" i="16461"/>
  <c r="N220" i="16461"/>
  <c r="O220" i="16461"/>
  <c r="P220" i="16461"/>
  <c r="Q220" i="16461"/>
  <c r="R220" i="16461"/>
  <c r="S220" i="16461"/>
  <c r="T220" i="16461"/>
  <c r="U220" i="16461"/>
  <c r="V220" i="16461"/>
  <c r="W220" i="16461"/>
  <c r="X220" i="16461"/>
  <c r="Y220" i="16461"/>
  <c r="Z220" i="16461"/>
  <c r="AA220" i="16461"/>
  <c r="AB220" i="16461"/>
  <c r="AC220" i="16461"/>
  <c r="AD220" i="16461"/>
  <c r="AE220" i="16461"/>
  <c r="AF220" i="16461"/>
  <c r="AG220" i="16461"/>
  <c r="AH220" i="16461"/>
  <c r="AI220" i="16461"/>
  <c r="AJ220" i="16461"/>
  <c r="AK220" i="16461"/>
  <c r="AL220" i="16461"/>
  <c r="AM220" i="16461"/>
  <c r="AN220" i="16461"/>
  <c r="AO220" i="16461"/>
  <c r="AP220" i="16461"/>
  <c r="L219" i="16461"/>
  <c r="L220" i="16461"/>
  <c r="AR148" i="16457"/>
  <c r="AQ143" i="16457"/>
  <c r="AQ166" i="16457" s="1"/>
  <c r="AR143" i="16457"/>
  <c r="AR166" i="16457" s="1"/>
  <c r="AS143" i="16457"/>
  <c r="AS166" i="16457" s="1"/>
  <c r="AT143" i="16457"/>
  <c r="AT166" i="16457" s="1"/>
  <c r="AU143" i="16457"/>
  <c r="AU166" i="16457" s="1"/>
  <c r="AV143" i="16457"/>
  <c r="AV166" i="16457" s="1"/>
  <c r="AW143" i="16457"/>
  <c r="AW166" i="16457" s="1"/>
  <c r="AX143" i="16457"/>
  <c r="AX166" i="16457" s="1"/>
  <c r="AY143" i="16457"/>
  <c r="AY166" i="16457" s="1"/>
  <c r="AZ143" i="16457"/>
  <c r="AZ166" i="16457" s="1"/>
  <c r="BA143" i="16457"/>
  <c r="BA166" i="16457" s="1"/>
  <c r="BB143" i="16457"/>
  <c r="BB166" i="16457" s="1"/>
  <c r="BC143" i="16457"/>
  <c r="BC166" i="16457" s="1"/>
  <c r="BD143" i="16457"/>
  <c r="BD166" i="16457" s="1"/>
  <c r="BE143" i="16457"/>
  <c r="BE166" i="16457" s="1"/>
  <c r="BF143" i="16457"/>
  <c r="BF166" i="16457" s="1"/>
  <c r="BG143" i="16457"/>
  <c r="BG166" i="16457" s="1"/>
  <c r="BH143" i="16457"/>
  <c r="BH166" i="16457" s="1"/>
  <c r="BI143" i="16457"/>
  <c r="BI166" i="16457" s="1"/>
  <c r="BJ143" i="16457"/>
  <c r="BJ166" i="16457" s="1"/>
  <c r="BK143" i="16457"/>
  <c r="BK166" i="16457" s="1"/>
  <c r="BL143" i="16457"/>
  <c r="BL166" i="16457" s="1"/>
  <c r="BM143" i="16457"/>
  <c r="BM166" i="16457" s="1"/>
  <c r="BN143" i="16457"/>
  <c r="BN166" i="16457" s="1"/>
  <c r="BO143" i="16457"/>
  <c r="BO166" i="16457" s="1"/>
  <c r="BP143" i="16457"/>
  <c r="BP166" i="16457" s="1"/>
  <c r="BQ143" i="16457"/>
  <c r="BQ166" i="16457" s="1"/>
  <c r="BR143" i="16457"/>
  <c r="BR166" i="16457" s="1"/>
  <c r="BS143" i="16457"/>
  <c r="BS166" i="16457" s="1"/>
  <c r="BT143" i="16457"/>
  <c r="BT166" i="16457" s="1"/>
  <c r="BU143" i="16457"/>
  <c r="BU166" i="16457" s="1"/>
  <c r="BW143" i="16457"/>
  <c r="BW166" i="16457" s="1"/>
  <c r="BX143" i="16457"/>
  <c r="BX166" i="16457" s="1"/>
  <c r="BY143" i="16457"/>
  <c r="BY166" i="16457" s="1"/>
  <c r="BZ143" i="16457"/>
  <c r="BZ166" i="16457" s="1"/>
  <c r="CA143" i="16457"/>
  <c r="CA166" i="16457" s="1"/>
  <c r="CB143" i="16457"/>
  <c r="CB166" i="16457" s="1"/>
  <c r="CC143" i="16457"/>
  <c r="CC166" i="16457" s="1"/>
  <c r="CD143" i="16457"/>
  <c r="CD166" i="16457" s="1"/>
  <c r="CE143" i="16457"/>
  <c r="CE166" i="16457" s="1"/>
  <c r="CF143" i="16457"/>
  <c r="CF166" i="16457" s="1"/>
  <c r="CG143" i="16457"/>
  <c r="CG166" i="16457" s="1"/>
  <c r="CH143" i="16457"/>
  <c r="CH166" i="16457" s="1"/>
  <c r="CI143" i="16457"/>
  <c r="CI166" i="16457" s="1"/>
  <c r="CJ143" i="16457"/>
  <c r="CJ166" i="16457" s="1"/>
  <c r="CK143" i="16457"/>
  <c r="CK166" i="16457" s="1"/>
  <c r="CL143" i="16457"/>
  <c r="CL166" i="16457" s="1"/>
  <c r="CM143" i="16457"/>
  <c r="CM166" i="16457" s="1"/>
  <c r="CN143" i="16457"/>
  <c r="CN166" i="16457" s="1"/>
  <c r="CO143" i="16457"/>
  <c r="CO166" i="16457" s="1"/>
  <c r="CP143" i="16457"/>
  <c r="CP166" i="16457" s="1"/>
  <c r="CQ143" i="16457"/>
  <c r="CQ166" i="16457" s="1"/>
  <c r="CR143" i="16457"/>
  <c r="CR166" i="16457" s="1"/>
  <c r="CS143" i="16457"/>
  <c r="CS166" i="16457" s="1"/>
  <c r="CT143" i="16457"/>
  <c r="CT166" i="16457" s="1"/>
  <c r="CU143" i="16457"/>
  <c r="CU166" i="16457" s="1"/>
  <c r="CV143" i="16457"/>
  <c r="CV166" i="16457" s="1"/>
  <c r="CW143" i="16457"/>
  <c r="CW166" i="16457" s="1"/>
  <c r="CX143" i="16457"/>
  <c r="CX166" i="16457" s="1"/>
  <c r="CY143" i="16457"/>
  <c r="CY166" i="16457" s="1"/>
  <c r="CZ143" i="16457"/>
  <c r="CZ166" i="16457" s="1"/>
  <c r="DA143" i="16457"/>
  <c r="DA166" i="16457" s="1"/>
  <c r="G143" i="16457" l="1"/>
  <c r="AI70" i="16501"/>
  <c r="AH70" i="16501"/>
  <c r="AG70" i="16501"/>
  <c r="V70" i="16501"/>
  <c r="N70" i="16501"/>
  <c r="R70" i="16501"/>
  <c r="J70" i="16501"/>
  <c r="AC70" i="16501"/>
  <c r="Y70" i="16501"/>
  <c r="U70" i="16501"/>
  <c r="Q70" i="16501"/>
  <c r="M70" i="16501"/>
  <c r="I70" i="16501"/>
  <c r="Z70" i="16501"/>
  <c r="AJ70" i="16501"/>
  <c r="AF70" i="16501"/>
  <c r="AB70" i="16501"/>
  <c r="X70" i="16501"/>
  <c r="T70" i="16501"/>
  <c r="P70" i="16501"/>
  <c r="L70" i="16501"/>
  <c r="H70" i="16501"/>
  <c r="AD70" i="16501"/>
  <c r="AE70" i="16501"/>
  <c r="AA70" i="16501"/>
  <c r="W70" i="16501"/>
  <c r="S70" i="16501"/>
  <c r="O70" i="16501"/>
  <c r="K70" i="16501"/>
  <c r="G70" i="16501"/>
  <c r="AO116" i="16506"/>
  <c r="AN116" i="16506"/>
  <c r="AM116" i="16506"/>
  <c r="AL116" i="16506"/>
  <c r="AK116" i="16506"/>
  <c r="AJ116" i="16506"/>
  <c r="AI116" i="16506"/>
  <c r="AH116" i="16506"/>
  <c r="AG116" i="16506"/>
  <c r="AF116" i="16506"/>
  <c r="AE116" i="16506"/>
  <c r="AD116" i="16506"/>
  <c r="AC116" i="16506"/>
  <c r="AB116" i="16506"/>
  <c r="AA116" i="16506"/>
  <c r="Z116" i="16506"/>
  <c r="Y116" i="16506"/>
  <c r="X116" i="16506"/>
  <c r="W116" i="16506"/>
  <c r="V116" i="16506"/>
  <c r="U116" i="16506"/>
  <c r="T116" i="16506"/>
  <c r="S116" i="16506"/>
  <c r="R116" i="16506"/>
  <c r="Q116" i="16506"/>
  <c r="P116" i="16506"/>
  <c r="O116" i="16506"/>
  <c r="N116" i="16506"/>
  <c r="M116" i="16506"/>
  <c r="L116" i="16506"/>
  <c r="F70" i="16501" l="1"/>
  <c r="G46" i="16501" l="1"/>
  <c r="H46" i="16501"/>
  <c r="I46" i="16501"/>
  <c r="J46" i="16501"/>
  <c r="K46" i="16501"/>
  <c r="L46" i="16501"/>
  <c r="M46" i="16501"/>
  <c r="N46" i="16501"/>
  <c r="O46" i="16501"/>
  <c r="P46" i="16501"/>
  <c r="Q46" i="16501"/>
  <c r="R46" i="16501"/>
  <c r="S46" i="16501"/>
  <c r="T46" i="16501"/>
  <c r="U46" i="16501"/>
  <c r="V46" i="16501"/>
  <c r="W46" i="16501"/>
  <c r="X46" i="16501"/>
  <c r="Y46" i="16501"/>
  <c r="Z46" i="16501"/>
  <c r="AA46" i="16501"/>
  <c r="AB46" i="16501"/>
  <c r="AC46" i="16501"/>
  <c r="AD46" i="16501"/>
  <c r="AE46" i="16501"/>
  <c r="AF46" i="16501"/>
  <c r="AG46" i="16501"/>
  <c r="AH46" i="16501"/>
  <c r="AI46" i="16501"/>
  <c r="AJ46" i="16501"/>
  <c r="G47" i="16501"/>
  <c r="H47" i="16501"/>
  <c r="I47" i="16501"/>
  <c r="J47" i="16501"/>
  <c r="K47" i="16501"/>
  <c r="L47" i="16501"/>
  <c r="M47" i="16501"/>
  <c r="N47" i="16501"/>
  <c r="O47" i="16501"/>
  <c r="P47" i="16501"/>
  <c r="Q47" i="16501"/>
  <c r="R47" i="16501"/>
  <c r="S47" i="16501"/>
  <c r="T47" i="16501"/>
  <c r="U47" i="16501"/>
  <c r="V47" i="16501"/>
  <c r="W47" i="16501"/>
  <c r="X47" i="16501"/>
  <c r="Y47" i="16501"/>
  <c r="Z47" i="16501"/>
  <c r="AA47" i="16501"/>
  <c r="AB47" i="16501"/>
  <c r="AC47" i="16501"/>
  <c r="AD47" i="16501"/>
  <c r="AE47" i="16501"/>
  <c r="AF47" i="16501"/>
  <c r="AG47" i="16501"/>
  <c r="AH47" i="16501"/>
  <c r="AI47" i="16501"/>
  <c r="AJ47" i="16501"/>
  <c r="F47" i="16501" l="1"/>
  <c r="F46" i="16501"/>
  <c r="AF24" i="16507"/>
  <c r="AB24" i="16507"/>
  <c r="X24" i="16507"/>
  <c r="T24" i="16507"/>
  <c r="P24" i="16507"/>
  <c r="L24" i="16507"/>
  <c r="H24" i="16507"/>
  <c r="D24" i="16507"/>
  <c r="AE24" i="16507"/>
  <c r="AA24" i="16507"/>
  <c r="W24" i="16507"/>
  <c r="S24" i="16507"/>
  <c r="O24" i="16507"/>
  <c r="K24" i="16507"/>
  <c r="G24" i="16507"/>
  <c r="C24" i="16507"/>
  <c r="AD24" i="16507"/>
  <c r="Z24" i="16507"/>
  <c r="V24" i="16507"/>
  <c r="R24" i="16507"/>
  <c r="N24" i="16507"/>
  <c r="J24" i="16507"/>
  <c r="F24" i="16507"/>
  <c r="AC24" i="16507"/>
  <c r="Y24" i="16507"/>
  <c r="U24" i="16507"/>
  <c r="Q24" i="16507"/>
  <c r="M24" i="16507"/>
  <c r="I24" i="16507"/>
  <c r="E24" i="16507"/>
  <c r="J169" i="16460" l="1"/>
  <c r="J155" i="16460"/>
  <c r="K155" i="16460" s="1"/>
  <c r="L155" i="16460" s="1"/>
  <c r="M155" i="16460" s="1"/>
  <c r="N155" i="16460" s="1"/>
  <c r="O155" i="16460" s="1"/>
  <c r="P155" i="16460" s="1"/>
  <c r="Q155" i="16460" s="1"/>
  <c r="R155" i="16460" s="1"/>
  <c r="S155" i="16460" s="1"/>
  <c r="T155" i="16460" s="1"/>
  <c r="U155" i="16460" s="1"/>
  <c r="V155" i="16460" s="1"/>
  <c r="W155" i="16460" s="1"/>
  <c r="X155" i="16460" s="1"/>
  <c r="Y155" i="16460" s="1"/>
  <c r="Z155" i="16460" s="1"/>
  <c r="AA155" i="16460" s="1"/>
  <c r="AB155" i="16460" s="1"/>
  <c r="AC155" i="16460" s="1"/>
  <c r="AD155" i="16460" s="1"/>
  <c r="AE155" i="16460" s="1"/>
  <c r="AF155" i="16460" s="1"/>
  <c r="AG155" i="16460" s="1"/>
  <c r="AH155" i="16460" s="1"/>
  <c r="AI155" i="16460" s="1"/>
  <c r="AJ155" i="16460" s="1"/>
  <c r="AK155" i="16460" s="1"/>
  <c r="AL155" i="16460" s="1"/>
  <c r="K169" i="16460" l="1"/>
  <c r="L169" i="16460" s="1"/>
  <c r="M169" i="16460" s="1"/>
  <c r="N169" i="16460" s="1"/>
  <c r="O169" i="16460" s="1"/>
  <c r="P169" i="16460" s="1"/>
  <c r="Q169" i="16460" s="1"/>
  <c r="R169" i="16460" s="1"/>
  <c r="S169" i="16460" s="1"/>
  <c r="T169" i="16460" s="1"/>
  <c r="U169" i="16460" s="1"/>
  <c r="V169" i="16460" s="1"/>
  <c r="W169" i="16460" s="1"/>
  <c r="X169" i="16460" s="1"/>
  <c r="Y169" i="16460" s="1"/>
  <c r="Z169" i="16460" s="1"/>
  <c r="AA169" i="16460" s="1"/>
  <c r="AB169" i="16460" s="1"/>
  <c r="AC169" i="16460" s="1"/>
  <c r="AD169" i="16460" s="1"/>
  <c r="AE169" i="16460" s="1"/>
  <c r="AF169" i="16460" s="1"/>
  <c r="AG169" i="16460" s="1"/>
  <c r="AH169" i="16460" s="1"/>
  <c r="AI169" i="16460" s="1"/>
  <c r="AJ169" i="16460" s="1"/>
  <c r="AK169" i="16460" s="1"/>
  <c r="AL169" i="16460" s="1"/>
  <c r="J71" i="16460"/>
  <c r="J22" i="16460"/>
  <c r="K22" i="16460" s="1"/>
  <c r="L22" i="16460" s="1"/>
  <c r="M22" i="16460" s="1"/>
  <c r="N22" i="16460" s="1"/>
  <c r="O22" i="16460" s="1"/>
  <c r="P22" i="16460" s="1"/>
  <c r="Q22" i="16460" s="1"/>
  <c r="R22" i="16460" s="1"/>
  <c r="S22" i="16460" s="1"/>
  <c r="T22" i="16460" s="1"/>
  <c r="U22" i="16460" s="1"/>
  <c r="V22" i="16460" s="1"/>
  <c r="W22" i="16460" s="1"/>
  <c r="X22" i="16460" s="1"/>
  <c r="Y22" i="16460" s="1"/>
  <c r="Z22" i="16460" s="1"/>
  <c r="AA22" i="16460" s="1"/>
  <c r="AB22" i="16460" s="1"/>
  <c r="AC22" i="16460" s="1"/>
  <c r="AD22" i="16460" s="1"/>
  <c r="AE22" i="16460" s="1"/>
  <c r="AF22" i="16460" s="1"/>
  <c r="AG22" i="16460" s="1"/>
  <c r="AH22" i="16460" s="1"/>
  <c r="AI22" i="16460" s="1"/>
  <c r="AJ22" i="16460" s="1"/>
  <c r="AK22" i="16460" s="1"/>
  <c r="AL22" i="16460" s="1"/>
  <c r="J23" i="16460"/>
  <c r="K23" i="16460" s="1"/>
  <c r="L23" i="16460" s="1"/>
  <c r="M23" i="16460" s="1"/>
  <c r="N23" i="16460" s="1"/>
  <c r="O23" i="16460" s="1"/>
  <c r="P23" i="16460" s="1"/>
  <c r="Q23" i="16460" s="1"/>
  <c r="R23" i="16460" s="1"/>
  <c r="S23" i="16460" s="1"/>
  <c r="T23" i="16460" s="1"/>
  <c r="U23" i="16460" s="1"/>
  <c r="V23" i="16460" s="1"/>
  <c r="W23" i="16460" s="1"/>
  <c r="X23" i="16460" s="1"/>
  <c r="Y23" i="16460" s="1"/>
  <c r="Z23" i="16460" s="1"/>
  <c r="AA23" i="16460" s="1"/>
  <c r="AB23" i="16460" s="1"/>
  <c r="AC23" i="16460" s="1"/>
  <c r="AD23" i="16460" s="1"/>
  <c r="AE23" i="16460" s="1"/>
  <c r="AF23" i="16460" s="1"/>
  <c r="AG23" i="16460" s="1"/>
  <c r="AH23" i="16460" s="1"/>
  <c r="AI23" i="16460" s="1"/>
  <c r="AJ23" i="16460" s="1"/>
  <c r="AK23" i="16460" s="1"/>
  <c r="AL23" i="16460" s="1"/>
  <c r="J24" i="16460"/>
  <c r="K24" i="16460" s="1"/>
  <c r="L24" i="16460" s="1"/>
  <c r="M24" i="16460" s="1"/>
  <c r="N24" i="16460" s="1"/>
  <c r="O24" i="16460" s="1"/>
  <c r="P24" i="16460" s="1"/>
  <c r="Q24" i="16460" s="1"/>
  <c r="R24" i="16460" s="1"/>
  <c r="S24" i="16460" s="1"/>
  <c r="T24" i="16460" s="1"/>
  <c r="U24" i="16460" s="1"/>
  <c r="V24" i="16460" s="1"/>
  <c r="W24" i="16460" s="1"/>
  <c r="X24" i="16460" s="1"/>
  <c r="Y24" i="16460" s="1"/>
  <c r="Z24" i="16460" s="1"/>
  <c r="AA24" i="16460" s="1"/>
  <c r="AB24" i="16460" s="1"/>
  <c r="AC24" i="16460" s="1"/>
  <c r="AD24" i="16460" s="1"/>
  <c r="AE24" i="16460" s="1"/>
  <c r="AF24" i="16460" s="1"/>
  <c r="AG24" i="16460" s="1"/>
  <c r="AH24" i="16460" s="1"/>
  <c r="AI24" i="16460" s="1"/>
  <c r="AJ24" i="16460" s="1"/>
  <c r="AK24" i="16460" s="1"/>
  <c r="AL24" i="16460" s="1"/>
  <c r="J21" i="16460"/>
  <c r="K21" i="16460" s="1"/>
  <c r="L21" i="16460" s="1"/>
  <c r="M21" i="16460" s="1"/>
  <c r="N21" i="16460" s="1"/>
  <c r="O21" i="16460" s="1"/>
  <c r="P21" i="16460" s="1"/>
  <c r="Q21" i="16460" s="1"/>
  <c r="R21" i="16460" s="1"/>
  <c r="S21" i="16460" s="1"/>
  <c r="T21" i="16460" s="1"/>
  <c r="U21" i="16460" s="1"/>
  <c r="V21" i="16460" s="1"/>
  <c r="W21" i="16460" s="1"/>
  <c r="X21" i="16460" s="1"/>
  <c r="Y21" i="16460" s="1"/>
  <c r="Z21" i="16460" s="1"/>
  <c r="AA21" i="16460" s="1"/>
  <c r="AB21" i="16460" s="1"/>
  <c r="AC21" i="16460" s="1"/>
  <c r="AD21" i="16460" s="1"/>
  <c r="AE21" i="16460" s="1"/>
  <c r="AF21" i="16460" s="1"/>
  <c r="AG21" i="16460" s="1"/>
  <c r="AH21" i="16460" s="1"/>
  <c r="AI21" i="16460" s="1"/>
  <c r="AJ21" i="16460" s="1"/>
  <c r="AK21" i="16460" s="1"/>
  <c r="AL21" i="16460" s="1"/>
  <c r="AR169" i="16460" l="1"/>
  <c r="AN169" i="16460"/>
  <c r="BO125" i="16513" l="1"/>
  <c r="BN125" i="16513"/>
  <c r="BN123" i="16513" s="1"/>
  <c r="BM125" i="16513"/>
  <c r="BL125" i="16513"/>
  <c r="BK125" i="16513"/>
  <c r="BK123" i="16513" s="1"/>
  <c r="BJ125" i="16513"/>
  <c r="BI125" i="16513"/>
  <c r="BI123" i="16513" s="1"/>
  <c r="BH125" i="16513"/>
  <c r="BH123" i="16513" s="1"/>
  <c r="BG125" i="16513"/>
  <c r="BF125" i="16513"/>
  <c r="BF123" i="16513" s="1"/>
  <c r="BE125" i="16513"/>
  <c r="BD125" i="16513"/>
  <c r="BD123" i="16513" s="1"/>
  <c r="BC125" i="16513"/>
  <c r="BC123" i="16513" s="1"/>
  <c r="BB125" i="16513"/>
  <c r="BB123" i="16513" s="1"/>
  <c r="BA125" i="16513"/>
  <c r="BA123" i="16513" s="1"/>
  <c r="AZ125" i="16513"/>
  <c r="AZ123" i="16513" s="1"/>
  <c r="AY125" i="16513"/>
  <c r="AX125" i="16513"/>
  <c r="AX123" i="16513" s="1"/>
  <c r="AW125" i="16513"/>
  <c r="AV125" i="16513"/>
  <c r="AV123" i="16513" s="1"/>
  <c r="AU125" i="16513"/>
  <c r="AU123" i="16513" s="1"/>
  <c r="AT125" i="16513"/>
  <c r="AS125" i="16513"/>
  <c r="AS123" i="16513" s="1"/>
  <c r="AR125" i="16513"/>
  <c r="AR123" i="16513" s="1"/>
  <c r="AQ125" i="16513"/>
  <c r="AP125" i="16513"/>
  <c r="AP123" i="16513" s="1"/>
  <c r="AO125" i="16513"/>
  <c r="AN125" i="16513"/>
  <c r="AN123" i="16513" s="1"/>
  <c r="AM125" i="16513"/>
  <c r="AM123" i="16513" s="1"/>
  <c r="AL125" i="16513"/>
  <c r="AL123" i="16513" s="1"/>
  <c r="BO124" i="16513"/>
  <c r="BN124" i="16513"/>
  <c r="BM124" i="16513"/>
  <c r="BL124" i="16513"/>
  <c r="BK124" i="16513"/>
  <c r="BJ124" i="16513"/>
  <c r="BI124" i="16513"/>
  <c r="BH124" i="16513"/>
  <c r="BG124" i="16513"/>
  <c r="BF124" i="16513"/>
  <c r="BE124" i="16513"/>
  <c r="BD124" i="16513"/>
  <c r="BC124" i="16513"/>
  <c r="BB124" i="16513"/>
  <c r="BA124" i="16513"/>
  <c r="AZ124" i="16513"/>
  <c r="AY124" i="16513"/>
  <c r="AX124" i="16513"/>
  <c r="AW124" i="16513"/>
  <c r="AV124" i="16513"/>
  <c r="AU124" i="16513"/>
  <c r="AT124" i="16513"/>
  <c r="AS124" i="16513"/>
  <c r="AR124" i="16513"/>
  <c r="AQ124" i="16513"/>
  <c r="AP124" i="16513"/>
  <c r="AO124" i="16513"/>
  <c r="AN124" i="16513"/>
  <c r="AM124" i="16513"/>
  <c r="AL124" i="16513"/>
  <c r="BO123" i="16513"/>
  <c r="BM123" i="16513"/>
  <c r="BL123" i="16513"/>
  <c r="BJ123" i="16513"/>
  <c r="BG123" i="16513"/>
  <c r="BE123" i="16513"/>
  <c r="AY123" i="16513"/>
  <c r="AW123" i="16513"/>
  <c r="AT123" i="16513"/>
  <c r="AQ123" i="16513"/>
  <c r="AO123" i="16513"/>
  <c r="BO122" i="16513"/>
  <c r="BO121" i="16513" s="1"/>
  <c r="BN122" i="16513"/>
  <c r="AH122" i="16513" s="1"/>
  <c r="AH121" i="16513" s="1"/>
  <c r="BM122" i="16513"/>
  <c r="AG122" i="16513" s="1"/>
  <c r="AG121" i="16513" s="1"/>
  <c r="BL122" i="16513"/>
  <c r="AF122" i="16513" s="1"/>
  <c r="AF121" i="16513" s="1"/>
  <c r="BK122" i="16513"/>
  <c r="BK121" i="16513" s="1"/>
  <c r="BJ122" i="16513"/>
  <c r="AD122" i="16513" s="1"/>
  <c r="AD121" i="16513" s="1"/>
  <c r="BI122" i="16513"/>
  <c r="BH122" i="16513"/>
  <c r="AB122" i="16513" s="1"/>
  <c r="AB121" i="16513" s="1"/>
  <c r="BG122" i="16513"/>
  <c r="BG121" i="16513" s="1"/>
  <c r="BF122" i="16513"/>
  <c r="BF121" i="16513" s="1"/>
  <c r="BE122" i="16513"/>
  <c r="Y122" i="16513" s="1"/>
  <c r="Y121" i="16513" s="1"/>
  <c r="BD122" i="16513"/>
  <c r="X122" i="16513" s="1"/>
  <c r="X121" i="16513" s="1"/>
  <c r="BC122" i="16513"/>
  <c r="BC121" i="16513" s="1"/>
  <c r="BB122" i="16513"/>
  <c r="BB121" i="16513" s="1"/>
  <c r="BA122" i="16513"/>
  <c r="AZ122" i="16513"/>
  <c r="T122" i="16513" s="1"/>
  <c r="T121" i="16513" s="1"/>
  <c r="AY122" i="16513"/>
  <c r="AY121" i="16513" s="1"/>
  <c r="AX122" i="16513"/>
  <c r="R122" i="16513" s="1"/>
  <c r="R121" i="16513" s="1"/>
  <c r="AW122" i="16513"/>
  <c r="Q122" i="16513" s="1"/>
  <c r="Q121" i="16513" s="1"/>
  <c r="AV122" i="16513"/>
  <c r="P122" i="16513" s="1"/>
  <c r="P121" i="16513" s="1"/>
  <c r="AU122" i="16513"/>
  <c r="AU121" i="16513" s="1"/>
  <c r="AT122" i="16513"/>
  <c r="N122" i="16513" s="1"/>
  <c r="N121" i="16513" s="1"/>
  <c r="AS122" i="16513"/>
  <c r="AR122" i="16513"/>
  <c r="L122" i="16513" s="1"/>
  <c r="L121" i="16513" s="1"/>
  <c r="AQ122" i="16513"/>
  <c r="AQ121" i="16513" s="1"/>
  <c r="AP122" i="16513"/>
  <c r="J122" i="16513" s="1"/>
  <c r="J121" i="16513" s="1"/>
  <c r="AO122" i="16513"/>
  <c r="AO121" i="16513" s="1"/>
  <c r="AN122" i="16513"/>
  <c r="H122" i="16513" s="1"/>
  <c r="H121" i="16513" s="1"/>
  <c r="AM122" i="16513"/>
  <c r="G122" i="16513" s="1"/>
  <c r="G121" i="16513" s="1"/>
  <c r="AL122" i="16513"/>
  <c r="AL121" i="16513" s="1"/>
  <c r="AC122" i="16513"/>
  <c r="AC121" i="16513" s="1"/>
  <c r="AA122" i="16513"/>
  <c r="AA121" i="16513" s="1"/>
  <c r="Z122" i="16513"/>
  <c r="Z121" i="16513" s="1"/>
  <c r="U122" i="16513"/>
  <c r="U121" i="16513" s="1"/>
  <c r="M122" i="16513"/>
  <c r="M121" i="16513" s="1"/>
  <c r="BN121" i="16513"/>
  <c r="BI121" i="16513"/>
  <c r="BA121" i="16513"/>
  <c r="AX121" i="16513"/>
  <c r="AW121" i="16513"/>
  <c r="AS121" i="16513"/>
  <c r="BO120" i="16513"/>
  <c r="AI120" i="16513" s="1"/>
  <c r="AI119" i="16513" s="1"/>
  <c r="BN120" i="16513"/>
  <c r="AH120" i="16513" s="1"/>
  <c r="AH119" i="16513" s="1"/>
  <c r="BM120" i="16513"/>
  <c r="AG120" i="16513" s="1"/>
  <c r="BL120" i="16513"/>
  <c r="AF120" i="16513" s="1"/>
  <c r="AF119" i="16513" s="1"/>
  <c r="BK120" i="16513"/>
  <c r="AE120" i="16513" s="1"/>
  <c r="AE119" i="16513" s="1"/>
  <c r="BJ120" i="16513"/>
  <c r="AD120" i="16513" s="1"/>
  <c r="AD119" i="16513" s="1"/>
  <c r="BI120" i="16513"/>
  <c r="AC120" i="16513" s="1"/>
  <c r="AC119" i="16513" s="1"/>
  <c r="BH120" i="16513"/>
  <c r="AB120" i="16513" s="1"/>
  <c r="AB119" i="16513" s="1"/>
  <c r="BG120" i="16513"/>
  <c r="BG119" i="16513" s="1"/>
  <c r="BF120" i="16513"/>
  <c r="Z120" i="16513" s="1"/>
  <c r="Z119" i="16513" s="1"/>
  <c r="BE120" i="16513"/>
  <c r="Y120" i="16513" s="1"/>
  <c r="Y119" i="16513" s="1"/>
  <c r="BD120" i="16513"/>
  <c r="X120" i="16513" s="1"/>
  <c r="X119" i="16513" s="1"/>
  <c r="BC120" i="16513"/>
  <c r="BC119" i="16513" s="1"/>
  <c r="BB120" i="16513"/>
  <c r="BB119" i="16513" s="1"/>
  <c r="BA120" i="16513"/>
  <c r="U120" i="16513" s="1"/>
  <c r="U119" i="16513" s="1"/>
  <c r="AZ120" i="16513"/>
  <c r="T120" i="16513" s="1"/>
  <c r="T119" i="16513" s="1"/>
  <c r="AY120" i="16513"/>
  <c r="S120" i="16513" s="1"/>
  <c r="S119" i="16513" s="1"/>
  <c r="AX120" i="16513"/>
  <c r="R120" i="16513" s="1"/>
  <c r="R119" i="16513" s="1"/>
  <c r="AW120" i="16513"/>
  <c r="Q120" i="16513" s="1"/>
  <c r="AV120" i="16513"/>
  <c r="AV119" i="16513" s="1"/>
  <c r="AU120" i="16513"/>
  <c r="O120" i="16513" s="1"/>
  <c r="O119" i="16513" s="1"/>
  <c r="AT120" i="16513"/>
  <c r="N120" i="16513" s="1"/>
  <c r="N119" i="16513" s="1"/>
  <c r="AS120" i="16513"/>
  <c r="M120" i="16513" s="1"/>
  <c r="M119" i="16513" s="1"/>
  <c r="AR120" i="16513"/>
  <c r="L120" i="16513" s="1"/>
  <c r="L119" i="16513" s="1"/>
  <c r="AQ120" i="16513"/>
  <c r="K120" i="16513" s="1"/>
  <c r="K119" i="16513" s="1"/>
  <c r="AP120" i="16513"/>
  <c r="AP119" i="16513" s="1"/>
  <c r="AO120" i="16513"/>
  <c r="I120" i="16513" s="1"/>
  <c r="I119" i="16513" s="1"/>
  <c r="AN120" i="16513"/>
  <c r="AM120" i="16513"/>
  <c r="G120" i="16513" s="1"/>
  <c r="G119" i="16513" s="1"/>
  <c r="AL120" i="16513"/>
  <c r="F120" i="16513" s="1"/>
  <c r="F119" i="16513" s="1"/>
  <c r="AA120" i="16513"/>
  <c r="AA119" i="16513" s="1"/>
  <c r="V120" i="16513"/>
  <c r="V119" i="16513" s="1"/>
  <c r="P120" i="16513"/>
  <c r="P119" i="16513" s="1"/>
  <c r="BJ119" i="16513"/>
  <c r="BF119" i="16513"/>
  <c r="AG119" i="16513"/>
  <c r="Q119" i="16513"/>
  <c r="BO118" i="16513"/>
  <c r="AI118" i="16513" s="1"/>
  <c r="AI117" i="16513" s="1"/>
  <c r="BN118" i="16513"/>
  <c r="AH118" i="16513" s="1"/>
  <c r="AH117" i="16513" s="1"/>
  <c r="BM118" i="16513"/>
  <c r="AG118" i="16513" s="1"/>
  <c r="AG117" i="16513" s="1"/>
  <c r="BL118" i="16513"/>
  <c r="AF118" i="16513" s="1"/>
  <c r="AF117" i="16513" s="1"/>
  <c r="BK118" i="16513"/>
  <c r="AE118" i="16513" s="1"/>
  <c r="AE117" i="16513" s="1"/>
  <c r="BJ118" i="16513"/>
  <c r="BI118" i="16513"/>
  <c r="AC118" i="16513" s="1"/>
  <c r="AC117" i="16513" s="1"/>
  <c r="BH118" i="16513"/>
  <c r="AB118" i="16513" s="1"/>
  <c r="AB117" i="16513" s="1"/>
  <c r="BG118" i="16513"/>
  <c r="AA118" i="16513" s="1"/>
  <c r="AA117" i="16513" s="1"/>
  <c r="BF118" i="16513"/>
  <c r="BE118" i="16513"/>
  <c r="Y118" i="16513" s="1"/>
  <c r="Y117" i="16513" s="1"/>
  <c r="BD118" i="16513"/>
  <c r="X118" i="16513" s="1"/>
  <c r="X117" i="16513" s="1"/>
  <c r="BC118" i="16513"/>
  <c r="W118" i="16513" s="1"/>
  <c r="W117" i="16513" s="1"/>
  <c r="BB118" i="16513"/>
  <c r="V118" i="16513" s="1"/>
  <c r="V117" i="16513" s="1"/>
  <c r="BA118" i="16513"/>
  <c r="U118" i="16513" s="1"/>
  <c r="U117" i="16513" s="1"/>
  <c r="AZ118" i="16513"/>
  <c r="T118" i="16513" s="1"/>
  <c r="T117" i="16513" s="1"/>
  <c r="AY118" i="16513"/>
  <c r="S118" i="16513" s="1"/>
  <c r="S117" i="16513" s="1"/>
  <c r="AX118" i="16513"/>
  <c r="R118" i="16513" s="1"/>
  <c r="R117" i="16513" s="1"/>
  <c r="AW118" i="16513"/>
  <c r="Q118" i="16513" s="1"/>
  <c r="Q117" i="16513" s="1"/>
  <c r="AV118" i="16513"/>
  <c r="P118" i="16513" s="1"/>
  <c r="P117" i="16513" s="1"/>
  <c r="AU118" i="16513"/>
  <c r="O118" i="16513" s="1"/>
  <c r="O117" i="16513" s="1"/>
  <c r="AT118" i="16513"/>
  <c r="AS118" i="16513"/>
  <c r="M118" i="16513" s="1"/>
  <c r="M117" i="16513" s="1"/>
  <c r="AR118" i="16513"/>
  <c r="L118" i="16513" s="1"/>
  <c r="L117" i="16513" s="1"/>
  <c r="AQ118" i="16513"/>
  <c r="K118" i="16513" s="1"/>
  <c r="K117" i="16513" s="1"/>
  <c r="AP118" i="16513"/>
  <c r="AO118" i="16513"/>
  <c r="I118" i="16513" s="1"/>
  <c r="I117" i="16513" s="1"/>
  <c r="AN118" i="16513"/>
  <c r="H118" i="16513" s="1"/>
  <c r="H117" i="16513" s="1"/>
  <c r="AM118" i="16513"/>
  <c r="G118" i="16513" s="1"/>
  <c r="G117" i="16513" s="1"/>
  <c r="AL118" i="16513"/>
  <c r="F118" i="16513" s="1"/>
  <c r="F117" i="16513" s="1"/>
  <c r="AD118" i="16513"/>
  <c r="Z118" i="16513"/>
  <c r="Z117" i="16513" s="1"/>
  <c r="N118" i="16513"/>
  <c r="N117" i="16513" s="1"/>
  <c r="J118" i="16513"/>
  <c r="J117" i="16513" s="1"/>
  <c r="AD117" i="16513"/>
  <c r="BP116" i="16513"/>
  <c r="BP115" i="16513"/>
  <c r="BP114" i="16513"/>
  <c r="BP85" i="16513"/>
  <c r="BP79" i="16513"/>
  <c r="AJ79" i="16513"/>
  <c r="BP78" i="16513"/>
  <c r="BP77" i="16513"/>
  <c r="AI67" i="16513"/>
  <c r="AH67" i="16513"/>
  <c r="AF67" i="16513"/>
  <c r="AD67" i="16513"/>
  <c r="AB67" i="16513"/>
  <c r="AA67" i="16513"/>
  <c r="X67" i="16513"/>
  <c r="W67" i="16513"/>
  <c r="V67" i="16513"/>
  <c r="T67" i="16513"/>
  <c r="S67" i="16513"/>
  <c r="R67" i="16513"/>
  <c r="O67" i="16513"/>
  <c r="N67" i="16513"/>
  <c r="L67" i="16513"/>
  <c r="J67" i="16513"/>
  <c r="H67" i="16513"/>
  <c r="G67" i="16513"/>
  <c r="AG67" i="16513"/>
  <c r="AC67" i="16513"/>
  <c r="Y67" i="16513"/>
  <c r="Q67" i="16513"/>
  <c r="M67" i="16513"/>
  <c r="I67" i="16513"/>
  <c r="BP66" i="16513"/>
  <c r="BP65" i="16513"/>
  <c r="BP64" i="16513"/>
  <c r="BP63" i="16513"/>
  <c r="BP62" i="16513"/>
  <c r="BP61" i="16513"/>
  <c r="BP57" i="16513"/>
  <c r="BP53" i="16513"/>
  <c r="BP52" i="16513"/>
  <c r="BP51" i="16513"/>
  <c r="BP49" i="16513"/>
  <c r="BP47" i="16513"/>
  <c r="BP45" i="16513"/>
  <c r="AI45" i="16513"/>
  <c r="AH45" i="16513"/>
  <c r="AG45" i="16513"/>
  <c r="AF45" i="16513"/>
  <c r="AE45" i="16513"/>
  <c r="AD45" i="16513"/>
  <c r="AC45" i="16513"/>
  <c r="AB45" i="16513"/>
  <c r="AA45" i="16513"/>
  <c r="Z45" i="16513"/>
  <c r="Y45" i="16513"/>
  <c r="X45" i="16513"/>
  <c r="W45" i="16513"/>
  <c r="V45" i="16513"/>
  <c r="U45" i="16513"/>
  <c r="T45" i="16513"/>
  <c r="S45" i="16513"/>
  <c r="R45" i="16513"/>
  <c r="Q45" i="16513"/>
  <c r="P45" i="16513"/>
  <c r="O45" i="16513"/>
  <c r="N45" i="16513"/>
  <c r="M45" i="16513"/>
  <c r="L45" i="16513"/>
  <c r="K45" i="16513"/>
  <c r="J45" i="16513"/>
  <c r="I45" i="16513"/>
  <c r="BP44" i="16513"/>
  <c r="AI44" i="16513"/>
  <c r="AH44" i="16513"/>
  <c r="AG44" i="16513"/>
  <c r="AF44" i="16513"/>
  <c r="AE44" i="16513"/>
  <c r="AD44" i="16513"/>
  <c r="AC44" i="16513"/>
  <c r="AB44" i="16513"/>
  <c r="AA44" i="16513"/>
  <c r="Z44" i="16513"/>
  <c r="Y44" i="16513"/>
  <c r="X44" i="16513"/>
  <c r="W44" i="16513"/>
  <c r="V44" i="16513"/>
  <c r="U44" i="16513"/>
  <c r="T44" i="16513"/>
  <c r="S44" i="16513"/>
  <c r="R44" i="16513"/>
  <c r="Q44" i="16513"/>
  <c r="P44" i="16513"/>
  <c r="O44" i="16513"/>
  <c r="N44" i="16513"/>
  <c r="M44" i="16513"/>
  <c r="L44" i="16513"/>
  <c r="K44" i="16513"/>
  <c r="J44" i="16513"/>
  <c r="I44" i="16513"/>
  <c r="BP43" i="16513"/>
  <c r="AI43" i="16513"/>
  <c r="AH43" i="16513"/>
  <c r="AG43" i="16513"/>
  <c r="AF43" i="16513"/>
  <c r="AE43" i="16513"/>
  <c r="AD43" i="16513"/>
  <c r="AC43" i="16513"/>
  <c r="AB43" i="16513"/>
  <c r="AA43" i="16513"/>
  <c r="Z43" i="16513"/>
  <c r="Y43" i="16513"/>
  <c r="X43" i="16513"/>
  <c r="W43" i="16513"/>
  <c r="V43" i="16513"/>
  <c r="U43" i="16513"/>
  <c r="T43" i="16513"/>
  <c r="S43" i="16513"/>
  <c r="R43" i="16513"/>
  <c r="Q43" i="16513"/>
  <c r="P43" i="16513"/>
  <c r="O43" i="16513"/>
  <c r="N43" i="16513"/>
  <c r="M43" i="16513"/>
  <c r="L43" i="16513"/>
  <c r="K43" i="16513"/>
  <c r="J43" i="16513"/>
  <c r="I43" i="16513"/>
  <c r="BP42" i="16513"/>
  <c r="AI42" i="16513"/>
  <c r="AH42" i="16513"/>
  <c r="AG42" i="16513"/>
  <c r="AF42" i="16513"/>
  <c r="AE42" i="16513"/>
  <c r="AD42" i="16513"/>
  <c r="AC42" i="16513"/>
  <c r="AB42" i="16513"/>
  <c r="AA42" i="16513"/>
  <c r="Z42" i="16513"/>
  <c r="Y42" i="16513"/>
  <c r="X42" i="16513"/>
  <c r="W42" i="16513"/>
  <c r="V42" i="16513"/>
  <c r="U42" i="16513"/>
  <c r="T42" i="16513"/>
  <c r="S42" i="16513"/>
  <c r="R42" i="16513"/>
  <c r="Q42" i="16513"/>
  <c r="P42" i="16513"/>
  <c r="O42" i="16513"/>
  <c r="N42" i="16513"/>
  <c r="M42" i="16513"/>
  <c r="L42" i="16513"/>
  <c r="K42" i="16513"/>
  <c r="J42" i="16513"/>
  <c r="I42" i="16513"/>
  <c r="BP41" i="16513"/>
  <c r="AI41" i="16513"/>
  <c r="AH41" i="16513"/>
  <c r="AG41" i="16513"/>
  <c r="AF41" i="16513"/>
  <c r="AE41" i="16513"/>
  <c r="AD41" i="16513"/>
  <c r="AC41" i="16513"/>
  <c r="AB41" i="16513"/>
  <c r="AA41" i="16513"/>
  <c r="Z41" i="16513"/>
  <c r="Y41" i="16513"/>
  <c r="X41" i="16513"/>
  <c r="W41" i="16513"/>
  <c r="V41" i="16513"/>
  <c r="U41" i="16513"/>
  <c r="T41" i="16513"/>
  <c r="S41" i="16513"/>
  <c r="R41" i="16513"/>
  <c r="Q41" i="16513"/>
  <c r="P41" i="16513"/>
  <c r="O41" i="16513"/>
  <c r="N41" i="16513"/>
  <c r="M41" i="16513"/>
  <c r="L41" i="16513"/>
  <c r="K41" i="16513"/>
  <c r="J41" i="16513"/>
  <c r="I41" i="16513"/>
  <c r="BP40" i="16513"/>
  <c r="BP39" i="16513"/>
  <c r="AI39" i="16513"/>
  <c r="AH39" i="16513"/>
  <c r="AG39" i="16513"/>
  <c r="AF39" i="16513"/>
  <c r="AE39" i="16513"/>
  <c r="AD39" i="16513"/>
  <c r="AC39" i="16513"/>
  <c r="AB39" i="16513"/>
  <c r="AA39" i="16513"/>
  <c r="Z39" i="16513"/>
  <c r="Y39" i="16513"/>
  <c r="X39" i="16513"/>
  <c r="W39" i="16513"/>
  <c r="V39" i="16513"/>
  <c r="U39" i="16513"/>
  <c r="T39" i="16513"/>
  <c r="S39" i="16513"/>
  <c r="R39" i="16513"/>
  <c r="Q39" i="16513"/>
  <c r="P39" i="16513"/>
  <c r="O39" i="16513"/>
  <c r="N39" i="16513"/>
  <c r="M39" i="16513"/>
  <c r="L39" i="16513"/>
  <c r="K39" i="16513"/>
  <c r="J39" i="16513"/>
  <c r="I39" i="16513"/>
  <c r="J37" i="16513"/>
  <c r="H37" i="16513"/>
  <c r="BP37" i="16513"/>
  <c r="I37" i="16513"/>
  <c r="G37" i="16513"/>
  <c r="J36" i="16513"/>
  <c r="H36" i="16513"/>
  <c r="BP36" i="16513"/>
  <c r="I36" i="16513"/>
  <c r="G36" i="16513"/>
  <c r="J35" i="16513"/>
  <c r="H35" i="16513"/>
  <c r="BP35" i="16513"/>
  <c r="I35" i="16513"/>
  <c r="G35" i="16513"/>
  <c r="J34" i="16513"/>
  <c r="H34" i="16513"/>
  <c r="BP34" i="16513"/>
  <c r="I34" i="16513"/>
  <c r="G34" i="16513"/>
  <c r="BP33" i="16513"/>
  <c r="BP32" i="16513"/>
  <c r="BP31" i="16513"/>
  <c r="BP29" i="16513"/>
  <c r="BP28" i="16513"/>
  <c r="BP27" i="16513"/>
  <c r="AI26" i="16513"/>
  <c r="AH26" i="16513"/>
  <c r="AG26" i="16513"/>
  <c r="AF26" i="16513"/>
  <c r="AE26" i="16513"/>
  <c r="AD26" i="16513"/>
  <c r="AC26" i="16513"/>
  <c r="AB26" i="16513"/>
  <c r="AA26" i="16513"/>
  <c r="Z26" i="16513"/>
  <c r="Y26" i="16513"/>
  <c r="X26" i="16513"/>
  <c r="W26" i="16513"/>
  <c r="V26" i="16513"/>
  <c r="U26" i="16513"/>
  <c r="T26" i="16513"/>
  <c r="S26" i="16513"/>
  <c r="R26" i="16513"/>
  <c r="Q26" i="16513"/>
  <c r="P26" i="16513"/>
  <c r="O26" i="16513"/>
  <c r="N26" i="16513"/>
  <c r="M26" i="16513"/>
  <c r="F26" i="16513"/>
  <c r="F25" i="16513"/>
  <c r="AJ25" i="16513" s="1"/>
  <c r="F24" i="16513"/>
  <c r="AJ24" i="16513" s="1"/>
  <c r="F23" i="16513"/>
  <c r="AJ23" i="16513" s="1"/>
  <c r="F22" i="16513"/>
  <c r="AJ22" i="16513" s="1"/>
  <c r="F21" i="16513"/>
  <c r="AJ21" i="16513" s="1"/>
  <c r="F20" i="16513"/>
  <c r="AJ20" i="16513" s="1"/>
  <c r="F19" i="16513"/>
  <c r="AJ19" i="16513" s="1"/>
  <c r="F18" i="16513"/>
  <c r="AJ18" i="16513" s="1"/>
  <c r="F17" i="16513"/>
  <c r="AJ17" i="16513" s="1"/>
  <c r="F16" i="16513"/>
  <c r="AJ16" i="16513" s="1"/>
  <c r="AI14" i="16513"/>
  <c r="AH14" i="16513"/>
  <c r="AG14" i="16513"/>
  <c r="AF14" i="16513"/>
  <c r="AE14" i="16513"/>
  <c r="AD14" i="16513"/>
  <c r="AC14" i="16513"/>
  <c r="AB14" i="16513"/>
  <c r="AA14" i="16513"/>
  <c r="Z14" i="16513"/>
  <c r="Y14" i="16513"/>
  <c r="X14" i="16513"/>
  <c r="W14" i="16513"/>
  <c r="V14" i="16513"/>
  <c r="U14" i="16513"/>
  <c r="T14" i="16513"/>
  <c r="S14" i="16513"/>
  <c r="R14" i="16513"/>
  <c r="Q14" i="16513"/>
  <c r="P14" i="16513"/>
  <c r="O14" i="16513"/>
  <c r="N14" i="16513"/>
  <c r="M14" i="16513"/>
  <c r="L14" i="16513"/>
  <c r="K14" i="16513"/>
  <c r="J14" i="16513"/>
  <c r="I14" i="16513"/>
  <c r="H14" i="16513"/>
  <c r="G14" i="16513"/>
  <c r="BN119" i="16513" l="1"/>
  <c r="AL119" i="16513"/>
  <c r="J120" i="16513"/>
  <c r="J119" i="16513" s="1"/>
  <c r="AT119" i="16513"/>
  <c r="AX119" i="16513"/>
  <c r="AE122" i="16513"/>
  <c r="AE121" i="16513" s="1"/>
  <c r="BO119" i="16513"/>
  <c r="AY119" i="16513"/>
  <c r="I122" i="16513"/>
  <c r="I121" i="16513" s="1"/>
  <c r="AP121" i="16513"/>
  <c r="K122" i="16513"/>
  <c r="K121" i="16513" s="1"/>
  <c r="BE121" i="16513"/>
  <c r="AJ44" i="16513"/>
  <c r="BP123" i="16513"/>
  <c r="AU119" i="16513"/>
  <c r="BK119" i="16513"/>
  <c r="BM121" i="16513"/>
  <c r="W120" i="16513"/>
  <c r="W119" i="16513" s="1"/>
  <c r="AJ43" i="16513"/>
  <c r="BP124" i="16513"/>
  <c r="BP125" i="16513"/>
  <c r="AM119" i="16513"/>
  <c r="AQ119" i="16513"/>
  <c r="O122" i="16513"/>
  <c r="O121" i="16513" s="1"/>
  <c r="AJ45" i="16513"/>
  <c r="BP120" i="16513"/>
  <c r="F122" i="16513"/>
  <c r="F121" i="16513" s="1"/>
  <c r="V122" i="16513"/>
  <c r="V121" i="16513" s="1"/>
  <c r="AJ37" i="16513"/>
  <c r="AN119" i="16513"/>
  <c r="AR119" i="16513"/>
  <c r="AZ119" i="16513"/>
  <c r="BD119" i="16513"/>
  <c r="BH119" i="16513"/>
  <c r="BL119" i="16513"/>
  <c r="AT121" i="16513"/>
  <c r="BJ121" i="16513"/>
  <c r="W122" i="16513"/>
  <c r="W121" i="16513" s="1"/>
  <c r="AO119" i="16513"/>
  <c r="AS119" i="16513"/>
  <c r="AW119" i="16513"/>
  <c r="BA119" i="16513"/>
  <c r="BE119" i="16513"/>
  <c r="BI119" i="16513"/>
  <c r="BM119" i="16513"/>
  <c r="S122" i="16513"/>
  <c r="S121" i="16513" s="1"/>
  <c r="AI122" i="16513"/>
  <c r="AI121" i="16513" s="1"/>
  <c r="AJ39" i="16513"/>
  <c r="AJ34" i="16513"/>
  <c r="AJ41" i="16513"/>
  <c r="AJ42" i="16513"/>
  <c r="AJ35" i="16513"/>
  <c r="AJ36" i="16513"/>
  <c r="BP30" i="16513"/>
  <c r="BP60" i="16513"/>
  <c r="BP48" i="16513"/>
  <c r="BP50" i="16513"/>
  <c r="BP58" i="16513"/>
  <c r="BP54" i="16513"/>
  <c r="BP56" i="16513"/>
  <c r="BP59" i="16513"/>
  <c r="AJ68" i="16513"/>
  <c r="AJ63" i="16513"/>
  <c r="AJ65" i="16513"/>
  <c r="BP68" i="16513"/>
  <c r="AJ62" i="16513"/>
  <c r="AJ64" i="16513"/>
  <c r="AJ66" i="16513"/>
  <c r="AJ77" i="16513"/>
  <c r="AJ82" i="16513"/>
  <c r="BP82" i="16513"/>
  <c r="AJ84" i="16513"/>
  <c r="BP84" i="16513"/>
  <c r="AJ78" i="16513"/>
  <c r="AJ83" i="16513"/>
  <c r="AJ85" i="16513"/>
  <c r="AJ118" i="16513"/>
  <c r="AJ117" i="16513"/>
  <c r="E117" i="16513"/>
  <c r="BP118" i="16513"/>
  <c r="H120" i="16513"/>
  <c r="H119" i="16513" s="1"/>
  <c r="AM121" i="16513"/>
  <c r="BP122" i="16513"/>
  <c r="AN121" i="16513"/>
  <c r="AR121" i="16513"/>
  <c r="AV121" i="16513"/>
  <c r="AZ121" i="16513"/>
  <c r="BD121" i="16513"/>
  <c r="BH121" i="16513"/>
  <c r="BL121" i="16513"/>
  <c r="BP119" i="16513" l="1"/>
  <c r="E119" i="16513"/>
  <c r="AQ117" i="16513"/>
  <c r="BP121" i="16513"/>
  <c r="AJ122" i="16513"/>
  <c r="BK117" i="16513"/>
  <c r="BM117" i="16513"/>
  <c r="BL117" i="16513"/>
  <c r="AV117" i="16513"/>
  <c r="BH117" i="16513"/>
  <c r="AS117" i="16513"/>
  <c r="AU117" i="16513"/>
  <c r="BE117" i="16513"/>
  <c r="AR117" i="16513"/>
  <c r="AM117" i="16513"/>
  <c r="BI117" i="16513"/>
  <c r="BO117" i="16513"/>
  <c r="AW117" i="16513"/>
  <c r="BD117" i="16513"/>
  <c r="AN117" i="16513"/>
  <c r="AY117" i="16513"/>
  <c r="AO117" i="16513"/>
  <c r="AZ117" i="16513"/>
  <c r="BC117" i="16513"/>
  <c r="AJ119" i="16513"/>
  <c r="AJ120" i="16513"/>
  <c r="BN117" i="16513"/>
  <c r="BJ117" i="16513"/>
  <c r="BF117" i="16513"/>
  <c r="BB117" i="16513"/>
  <c r="AX117" i="16513"/>
  <c r="AT117" i="16513"/>
  <c r="AP117" i="16513"/>
  <c r="AL117" i="16513"/>
  <c r="BG117" i="16513"/>
  <c r="BA117" i="16513"/>
  <c r="AJ121" i="16513"/>
  <c r="E121" i="16513"/>
  <c r="BP117" i="16513" l="1"/>
  <c r="M69" i="16506" l="1"/>
  <c r="N69" i="16506"/>
  <c r="O69" i="16506"/>
  <c r="P69" i="16506"/>
  <c r="Q69" i="16506"/>
  <c r="R69" i="16506"/>
  <c r="S69" i="16506"/>
  <c r="T69" i="16506"/>
  <c r="U69" i="16506"/>
  <c r="V69" i="16506"/>
  <c r="W69" i="16506"/>
  <c r="X69" i="16506"/>
  <c r="Y69" i="16506"/>
  <c r="Z69" i="16506"/>
  <c r="AA69" i="16506"/>
  <c r="AB69" i="16506"/>
  <c r="AC69" i="16506"/>
  <c r="AD69" i="16506"/>
  <c r="AE69" i="16506"/>
  <c r="AF69" i="16506"/>
  <c r="AG69" i="16506"/>
  <c r="AH69" i="16506"/>
  <c r="AI69" i="16506"/>
  <c r="AJ69" i="16506"/>
  <c r="AK69" i="16506"/>
  <c r="AL69" i="16506"/>
  <c r="AM69" i="16506"/>
  <c r="AN69" i="16506"/>
  <c r="AO69" i="16506"/>
  <c r="J126" i="16460" l="1"/>
  <c r="K126" i="16460" s="1"/>
  <c r="L126" i="16460" s="1"/>
  <c r="M126" i="16460" s="1"/>
  <c r="O126" i="16460" s="1"/>
  <c r="P126" i="16460" s="1"/>
  <c r="Q126" i="16460" s="1"/>
  <c r="R126" i="16460" s="1"/>
  <c r="S126" i="16460" s="1"/>
  <c r="T126" i="16460" s="1"/>
  <c r="U126" i="16460" s="1"/>
  <c r="V126" i="16460" s="1"/>
  <c r="W126" i="16460" s="1"/>
  <c r="B15" i="16511" l="1"/>
  <c r="AH15" i="16511" s="1"/>
  <c r="B14" i="16511"/>
  <c r="AH14" i="16511" s="1"/>
  <c r="B12" i="16511"/>
  <c r="AH12" i="16511" s="1"/>
  <c r="AF19" i="16511"/>
  <c r="AE19" i="16511"/>
  <c r="AD19" i="16511"/>
  <c r="AC19" i="16511"/>
  <c r="AB19" i="16511"/>
  <c r="AA19" i="16511"/>
  <c r="Z19" i="16511"/>
  <c r="Y19" i="16511"/>
  <c r="X19" i="16511"/>
  <c r="W19" i="16511"/>
  <c r="V19" i="16511"/>
  <c r="U19" i="16511"/>
  <c r="T19" i="16511"/>
  <c r="S19" i="16511"/>
  <c r="R19" i="16511"/>
  <c r="Q19" i="16511"/>
  <c r="P19" i="16511"/>
  <c r="O19" i="16511"/>
  <c r="N19" i="16511"/>
  <c r="M19" i="16511"/>
  <c r="L19" i="16511"/>
  <c r="K19" i="16511"/>
  <c r="J19" i="16511"/>
  <c r="I19" i="16511"/>
  <c r="H19" i="16511"/>
  <c r="G19" i="16511"/>
  <c r="F19" i="16511"/>
  <c r="E19" i="16511"/>
  <c r="D19" i="16511"/>
  <c r="C19" i="16511"/>
  <c r="B10" i="16511"/>
  <c r="AH10" i="16511" s="1"/>
  <c r="B9" i="16511"/>
  <c r="B8" i="16511"/>
  <c r="AH8" i="16511" s="1"/>
  <c r="B19" i="16511" l="1"/>
  <c r="AH9" i="16511"/>
  <c r="I15" i="16509" l="1"/>
  <c r="G8" i="16461" l="1"/>
  <c r="J55" i="16460" l="1"/>
  <c r="BW55" i="16457" l="1"/>
  <c r="DC55" i="16457" s="1"/>
  <c r="AQ8" i="16506"/>
  <c r="BV8" i="16506" s="1"/>
  <c r="AQ9" i="16506"/>
  <c r="DY76" i="16506"/>
  <c r="DZ76" i="16506"/>
  <c r="EA76" i="16506"/>
  <c r="EB76" i="16506"/>
  <c r="EC76" i="16506"/>
  <c r="EE76" i="16506"/>
  <c r="DD80" i="16506"/>
  <c r="DE80" i="16506"/>
  <c r="DF80" i="16506"/>
  <c r="DG80" i="16506"/>
  <c r="DH80" i="16506"/>
  <c r="DI80" i="16506"/>
  <c r="DJ80" i="16506"/>
  <c r="DK80" i="16506"/>
  <c r="DL80" i="16506"/>
  <c r="DM80" i="16506"/>
  <c r="DN80" i="16506"/>
  <c r="DO80" i="16506"/>
  <c r="DP80" i="16506"/>
  <c r="DQ80" i="16506"/>
  <c r="DR80" i="16506"/>
  <c r="DS80" i="16506"/>
  <c r="DT80" i="16506"/>
  <c r="DU80" i="16506"/>
  <c r="DV80" i="16506"/>
  <c r="DW80" i="16506"/>
  <c r="DX80" i="16506"/>
  <c r="DY80" i="16506"/>
  <c r="DZ80" i="16506"/>
  <c r="EA80" i="16506"/>
  <c r="EB80" i="16506"/>
  <c r="EC80" i="16506"/>
  <c r="ED80" i="16506"/>
  <c r="EE80" i="16506"/>
  <c r="M81" i="16506"/>
  <c r="N81" i="16506"/>
  <c r="O81" i="16506"/>
  <c r="P81" i="16506"/>
  <c r="Q81" i="16506"/>
  <c r="R81" i="16506"/>
  <c r="S81" i="16506"/>
  <c r="T81" i="16506"/>
  <c r="U81" i="16506"/>
  <c r="V81" i="16506"/>
  <c r="W81" i="16506"/>
  <c r="X81" i="16506"/>
  <c r="Y81" i="16506"/>
  <c r="Z81" i="16506"/>
  <c r="AA81" i="16506"/>
  <c r="AB81" i="16506"/>
  <c r="AC81" i="16506"/>
  <c r="AD81" i="16506"/>
  <c r="AE81" i="16506"/>
  <c r="AF81" i="16506"/>
  <c r="AG81" i="16506"/>
  <c r="AH81" i="16506"/>
  <c r="AI81" i="16506"/>
  <c r="AJ81" i="16506"/>
  <c r="AK81" i="16506"/>
  <c r="AL81" i="16506"/>
  <c r="AM81" i="16506"/>
  <c r="AN81" i="16506"/>
  <c r="AO81" i="16506"/>
  <c r="M82" i="16506"/>
  <c r="N82" i="16506"/>
  <c r="O82" i="16506"/>
  <c r="P82" i="16506"/>
  <c r="Q82" i="16506"/>
  <c r="R82" i="16506"/>
  <c r="S82" i="16506"/>
  <c r="T82" i="16506"/>
  <c r="U82" i="16506"/>
  <c r="V82" i="16506"/>
  <c r="W82" i="16506"/>
  <c r="X82" i="16506"/>
  <c r="Y82" i="16506"/>
  <c r="Z82" i="16506"/>
  <c r="AA82" i="16506"/>
  <c r="AB82" i="16506"/>
  <c r="AC82" i="16506"/>
  <c r="AD82" i="16506"/>
  <c r="AE82" i="16506"/>
  <c r="AF82" i="16506"/>
  <c r="AG82" i="16506"/>
  <c r="AH82" i="16506"/>
  <c r="AI82" i="16506"/>
  <c r="AJ82" i="16506"/>
  <c r="AK82" i="16506"/>
  <c r="AL82" i="16506"/>
  <c r="AM82" i="16506"/>
  <c r="AN82" i="16506"/>
  <c r="AO82" i="16506"/>
  <c r="L82" i="16506"/>
  <c r="L81" i="16506"/>
  <c r="BV82" i="16506" l="1"/>
  <c r="BW82" i="16506" s="1"/>
  <c r="BV81" i="16506"/>
  <c r="BW81" i="16506" s="1"/>
  <c r="BW8" i="16506"/>
  <c r="BX8" i="16506" l="1"/>
  <c r="BX81" i="16506"/>
  <c r="BY81" i="16506" s="1"/>
  <c r="BX82" i="16506"/>
  <c r="BY8" i="16506" l="1"/>
  <c r="BY82" i="16506"/>
  <c r="BZ81" i="16506"/>
  <c r="BZ8" i="16506" l="1"/>
  <c r="CA8" i="16506" s="1"/>
  <c r="BZ82" i="16506"/>
  <c r="CA82" i="16506" s="1"/>
  <c r="CA81" i="16506"/>
  <c r="CB8" i="16506" l="1"/>
  <c r="CB82" i="16506"/>
  <c r="CB81" i="16506"/>
  <c r="CC8" i="16506" l="1"/>
  <c r="CC82" i="16506"/>
  <c r="CD82" i="16506" s="1"/>
  <c r="CC81" i="16506"/>
  <c r="CD8" i="16506" l="1"/>
  <c r="CE82" i="16506"/>
  <c r="CD81" i="16506"/>
  <c r="CF82" i="16506" l="1"/>
  <c r="CG82" i="16506" s="1"/>
  <c r="CE8" i="16506"/>
  <c r="CE81" i="16506"/>
  <c r="CH82" i="16506" l="1"/>
  <c r="CF8" i="16506"/>
  <c r="CG8" i="16506" s="1"/>
  <c r="CF81" i="16506"/>
  <c r="CG81" i="16506" l="1"/>
  <c r="CI82" i="16506"/>
  <c r="CH8" i="16506"/>
  <c r="CH81" i="16506" l="1"/>
  <c r="CJ82" i="16506"/>
  <c r="CK82" i="16506" s="1"/>
  <c r="CI8" i="16506"/>
  <c r="CL82" i="16506" l="1"/>
  <c r="CM82" i="16506" s="1"/>
  <c r="CI81" i="16506"/>
  <c r="CJ8" i="16506"/>
  <c r="CK8" i="16506" s="1"/>
  <c r="CL8" i="16506" s="1"/>
  <c r="CN82" i="16506" l="1"/>
  <c r="CO82" i="16506" s="1"/>
  <c r="CJ81" i="16506"/>
  <c r="CM8" i="16506"/>
  <c r="CK81" i="16506" l="1"/>
  <c r="CN8" i="16506"/>
  <c r="CP82" i="16506"/>
  <c r="CL81" i="16506" l="1"/>
  <c r="CO8" i="16506"/>
  <c r="CP8" i="16506" s="1"/>
  <c r="CQ82" i="16506"/>
  <c r="CM81" i="16506" l="1"/>
  <c r="CQ8" i="16506"/>
  <c r="CR82" i="16506"/>
  <c r="CN81" i="16506" l="1"/>
  <c r="CR8" i="16506"/>
  <c r="CS82" i="16506"/>
  <c r="CO81" i="16506" l="1"/>
  <c r="CS8" i="16506"/>
  <c r="CT8" i="16506" s="1"/>
  <c r="CT82" i="16506"/>
  <c r="CP81" i="16506" l="1"/>
  <c r="CU8" i="16506"/>
  <c r="CU82" i="16506"/>
  <c r="CQ81" i="16506" l="1"/>
  <c r="CV8" i="16506"/>
  <c r="CW8" i="16506" s="1"/>
  <c r="CV82" i="16506"/>
  <c r="CW82" i="16506" s="1"/>
  <c r="CR81" i="16506" l="1"/>
  <c r="CX8" i="16506"/>
  <c r="CX82" i="16506"/>
  <c r="CS81" i="16506" l="1"/>
  <c r="CY8" i="16506"/>
  <c r="CY82" i="16506"/>
  <c r="CT81" i="16506" l="1"/>
  <c r="CU81" i="16506" l="1"/>
  <c r="CV81" i="16506" s="1"/>
  <c r="CW81" i="16506" l="1"/>
  <c r="CX81" i="16506" l="1"/>
  <c r="CY81" i="16506" l="1"/>
  <c r="I44" i="16502" l="1"/>
  <c r="K44" i="16502" s="1"/>
  <c r="L44" i="16502" l="1"/>
  <c r="N44" i="16502" s="1"/>
  <c r="P44" i="16502" s="1"/>
  <c r="R44" i="16502" s="1"/>
  <c r="T44" i="16502" s="1"/>
  <c r="V44" i="16502" s="1"/>
  <c r="X44" i="16502" s="1"/>
  <c r="Z44" i="16502" s="1"/>
  <c r="AB44" i="16502" s="1"/>
  <c r="AD44" i="16502" s="1"/>
  <c r="AF44" i="16502" s="1"/>
  <c r="AH44" i="16502" s="1"/>
  <c r="AJ44" i="16502" s="1"/>
  <c r="AL44" i="16502" s="1"/>
  <c r="AN44" i="16502" s="1"/>
  <c r="M44" i="16502" l="1"/>
  <c r="O44" i="16502" s="1"/>
  <c r="Q44" i="16502" s="1"/>
  <c r="S44" i="16502" s="1"/>
  <c r="U44" i="16502" s="1"/>
  <c r="W44" i="16502" s="1"/>
  <c r="Y44" i="16502" s="1"/>
  <c r="AA44" i="16502" s="1"/>
  <c r="AC44" i="16502" s="1"/>
  <c r="AE44" i="16502" s="1"/>
  <c r="AG44" i="16502" s="1"/>
  <c r="AI44" i="16502" s="1"/>
  <c r="AK44" i="16502" s="1"/>
  <c r="AM44" i="16502" s="1"/>
  <c r="I32" i="16502"/>
  <c r="K32" i="16502" s="1"/>
  <c r="J32" i="16502" s="1"/>
  <c r="I37" i="16502"/>
  <c r="H43" i="16502"/>
  <c r="I43" i="16502" s="1"/>
  <c r="EF78" i="16506"/>
  <c r="EG78" i="16506"/>
  <c r="EH78" i="16506"/>
  <c r="EI78" i="16506"/>
  <c r="EJ78" i="16506"/>
  <c r="EK78" i="16506"/>
  <c r="EL78" i="16506"/>
  <c r="EM78" i="16506"/>
  <c r="EN78" i="16506"/>
  <c r="EO78" i="16506"/>
  <c r="EP78" i="16506"/>
  <c r="EQ78" i="16506"/>
  <c r="ER78" i="16506"/>
  <c r="ES78" i="16506"/>
  <c r="ET78" i="16506"/>
  <c r="EU78" i="16506"/>
  <c r="EV78" i="16506"/>
  <c r="EW78" i="16506"/>
  <c r="EX78" i="16506"/>
  <c r="EY78" i="16506"/>
  <c r="EZ78" i="16506"/>
  <c r="FA78" i="16506"/>
  <c r="FB78" i="16506"/>
  <c r="FC78" i="16506"/>
  <c r="FD78" i="16506"/>
  <c r="FE78" i="16506"/>
  <c r="FF78" i="16506"/>
  <c r="FG78" i="16506"/>
  <c r="FH78" i="16506"/>
  <c r="FI78" i="16506"/>
  <c r="M77" i="16506"/>
  <c r="N77" i="16506"/>
  <c r="O77" i="16506"/>
  <c r="P77" i="16506"/>
  <c r="Q77" i="16506"/>
  <c r="R77" i="16506"/>
  <c r="S77" i="16506"/>
  <c r="T77" i="16506"/>
  <c r="U77" i="16506"/>
  <c r="V77" i="16506"/>
  <c r="W77" i="16506"/>
  <c r="X77" i="16506"/>
  <c r="Y77" i="16506"/>
  <c r="Z77" i="16506"/>
  <c r="AA77" i="16506"/>
  <c r="AB77" i="16506"/>
  <c r="AC77" i="16506"/>
  <c r="AD77" i="16506"/>
  <c r="AE77" i="16506"/>
  <c r="AF77" i="16506"/>
  <c r="AG77" i="16506"/>
  <c r="AH77" i="16506"/>
  <c r="AI77" i="16506"/>
  <c r="AJ77" i="16506"/>
  <c r="AK77" i="16506"/>
  <c r="AL77" i="16506"/>
  <c r="AM77" i="16506"/>
  <c r="AN77" i="16506"/>
  <c r="AO77" i="16506"/>
  <c r="AP77" i="16506"/>
  <c r="L77" i="16506"/>
  <c r="AQ77" i="16506" s="1"/>
  <c r="L76" i="16506"/>
  <c r="AQ76" i="16506" s="1"/>
  <c r="BW73" i="16457"/>
  <c r="AQ73" i="16457"/>
  <c r="AQ75" i="16457"/>
  <c r="DC75" i="16457" s="1"/>
  <c r="I255" i="16460"/>
  <c r="I248" i="16460"/>
  <c r="I259" i="16460"/>
  <c r="I258" i="16460"/>
  <c r="I257" i="16460"/>
  <c r="I256" i="16460"/>
  <c r="DC73" i="16457" l="1"/>
  <c r="K37" i="16502"/>
  <c r="L37" i="16502"/>
  <c r="N37" i="16502" s="1"/>
  <c r="P37" i="16502" s="1"/>
  <c r="R37" i="16502" s="1"/>
  <c r="T37" i="16502" s="1"/>
  <c r="V37" i="16502" s="1"/>
  <c r="X37" i="16502" s="1"/>
  <c r="Z37" i="16502" s="1"/>
  <c r="AB37" i="16502" s="1"/>
  <c r="AD37" i="16502" s="1"/>
  <c r="AF37" i="16502" s="1"/>
  <c r="AH37" i="16502" s="1"/>
  <c r="AJ37" i="16502" s="1"/>
  <c r="AL37" i="16502" s="1"/>
  <c r="AN37" i="16502" s="1"/>
  <c r="BQ77" i="16506"/>
  <c r="BM77" i="16506"/>
  <c r="BI77" i="16506"/>
  <c r="BS77" i="16506"/>
  <c r="BO77" i="16506"/>
  <c r="BK77" i="16506"/>
  <c r="BG77" i="16506"/>
  <c r="BE77" i="16506"/>
  <c r="J44" i="16502"/>
  <c r="L43" i="16502"/>
  <c r="N43" i="16502" s="1"/>
  <c r="P43" i="16502" s="1"/>
  <c r="R43" i="16502" s="1"/>
  <c r="T43" i="16502" s="1"/>
  <c r="V43" i="16502" s="1"/>
  <c r="X43" i="16502" s="1"/>
  <c r="Z43" i="16502" s="1"/>
  <c r="AB43" i="16502" s="1"/>
  <c r="AD43" i="16502" s="1"/>
  <c r="AF43" i="16502" s="1"/>
  <c r="AH43" i="16502" s="1"/>
  <c r="AJ43" i="16502" s="1"/>
  <c r="AL43" i="16502" s="1"/>
  <c r="AN43" i="16502" s="1"/>
  <c r="K43" i="16502"/>
  <c r="BC77" i="16506"/>
  <c r="AY77" i="16506"/>
  <c r="BA77" i="16506"/>
  <c r="AU77" i="16506"/>
  <c r="AW77" i="16506"/>
  <c r="AS77" i="16506"/>
  <c r="AR77" i="16506"/>
  <c r="H39" i="16502"/>
  <c r="I39" i="16502" s="1"/>
  <c r="H38" i="16502"/>
  <c r="I38" i="16502" s="1"/>
  <c r="BT77" i="16506"/>
  <c r="BR77" i="16506"/>
  <c r="BP77" i="16506"/>
  <c r="BN77" i="16506"/>
  <c r="BL77" i="16506"/>
  <c r="BJ77" i="16506"/>
  <c r="BH77" i="16506"/>
  <c r="BF77" i="16506"/>
  <c r="BD77" i="16506"/>
  <c r="BB77" i="16506"/>
  <c r="AZ77" i="16506"/>
  <c r="AX77" i="16506"/>
  <c r="AV77" i="16506"/>
  <c r="AT77" i="16506"/>
  <c r="M37" i="16502" l="1"/>
  <c r="O37" i="16502" s="1"/>
  <c r="Q37" i="16502" s="1"/>
  <c r="S37" i="16502" s="1"/>
  <c r="U37" i="16502" s="1"/>
  <c r="W37" i="16502" s="1"/>
  <c r="Y37" i="16502" s="1"/>
  <c r="AA37" i="16502" s="1"/>
  <c r="AC37" i="16502" s="1"/>
  <c r="AE37" i="16502" s="1"/>
  <c r="AG37" i="16502" s="1"/>
  <c r="AI37" i="16502" s="1"/>
  <c r="AK37" i="16502" s="1"/>
  <c r="AM37" i="16502" s="1"/>
  <c r="BV77" i="16506"/>
  <c r="BW77" i="16506" s="1"/>
  <c r="BX77" i="16506" s="1"/>
  <c r="BY77" i="16506" s="1"/>
  <c r="M43" i="16502"/>
  <c r="O43" i="16502" s="1"/>
  <c r="Q43" i="16502" s="1"/>
  <c r="S43" i="16502" s="1"/>
  <c r="U43" i="16502" s="1"/>
  <c r="W43" i="16502" s="1"/>
  <c r="Y43" i="16502" s="1"/>
  <c r="AA43" i="16502" s="1"/>
  <c r="AC43" i="16502" s="1"/>
  <c r="AE43" i="16502" s="1"/>
  <c r="AG43" i="16502" s="1"/>
  <c r="AI43" i="16502" s="1"/>
  <c r="AK43" i="16502" s="1"/>
  <c r="AM43" i="16502" s="1"/>
  <c r="K38" i="16502"/>
  <c r="L38" i="16502"/>
  <c r="N38" i="16502" s="1"/>
  <c r="P38" i="16502" s="1"/>
  <c r="R38" i="16502" s="1"/>
  <c r="T38" i="16502" s="1"/>
  <c r="V38" i="16502" s="1"/>
  <c r="X38" i="16502" s="1"/>
  <c r="Z38" i="16502" s="1"/>
  <c r="AB38" i="16502" s="1"/>
  <c r="AD38" i="16502" s="1"/>
  <c r="AF38" i="16502" s="1"/>
  <c r="AH38" i="16502" s="1"/>
  <c r="AJ38" i="16502" s="1"/>
  <c r="AL38" i="16502" s="1"/>
  <c r="AN38" i="16502" s="1"/>
  <c r="K39" i="16502"/>
  <c r="L39" i="16502"/>
  <c r="N39" i="16502" s="1"/>
  <c r="P39" i="16502" s="1"/>
  <c r="R39" i="16502" s="1"/>
  <c r="T39" i="16502" s="1"/>
  <c r="V39" i="16502" s="1"/>
  <c r="X39" i="16502" s="1"/>
  <c r="Z39" i="16502" s="1"/>
  <c r="AB39" i="16502" s="1"/>
  <c r="AD39" i="16502" s="1"/>
  <c r="AF39" i="16502" s="1"/>
  <c r="AH39" i="16502" s="1"/>
  <c r="AJ39" i="16502" s="1"/>
  <c r="AL39" i="16502" s="1"/>
  <c r="AN39" i="16502" s="1"/>
  <c r="J37" i="16502" l="1"/>
  <c r="M39" i="16502"/>
  <c r="O39" i="16502" s="1"/>
  <c r="Q39" i="16502" s="1"/>
  <c r="S39" i="16502" s="1"/>
  <c r="U39" i="16502" s="1"/>
  <c r="W39" i="16502" s="1"/>
  <c r="Y39" i="16502" s="1"/>
  <c r="AA39" i="16502" s="1"/>
  <c r="AC39" i="16502" s="1"/>
  <c r="AE39" i="16502" s="1"/>
  <c r="AG39" i="16502" s="1"/>
  <c r="AI39" i="16502" s="1"/>
  <c r="AK39" i="16502" s="1"/>
  <c r="AM39" i="16502" s="1"/>
  <c r="M38" i="16502"/>
  <c r="O38" i="16502" s="1"/>
  <c r="Q38" i="16502" s="1"/>
  <c r="S38" i="16502" s="1"/>
  <c r="U38" i="16502" s="1"/>
  <c r="W38" i="16502" s="1"/>
  <c r="Y38" i="16502" s="1"/>
  <c r="AA38" i="16502" s="1"/>
  <c r="AC38" i="16502" s="1"/>
  <c r="AE38" i="16502" s="1"/>
  <c r="AG38" i="16502" s="1"/>
  <c r="AI38" i="16502" s="1"/>
  <c r="AK38" i="16502" s="1"/>
  <c r="AM38" i="16502" s="1"/>
  <c r="J43" i="16502"/>
  <c r="BZ77" i="16506"/>
  <c r="J38" i="16502" l="1"/>
  <c r="J39" i="16502"/>
  <c r="CA77" i="16506"/>
  <c r="CB77" i="16506" l="1"/>
  <c r="CC77" i="16506" s="1"/>
  <c r="J11" i="16460"/>
  <c r="K11" i="16460" l="1"/>
  <c r="CD77" i="16506"/>
  <c r="CE77" i="16506" s="1"/>
  <c r="L11" i="16460" l="1"/>
  <c r="CF77" i="16506"/>
  <c r="M11" i="16460" l="1"/>
  <c r="CG77" i="16506"/>
  <c r="N11" i="16460" l="1"/>
  <c r="CH77" i="16506"/>
  <c r="CI77" i="16506" s="1"/>
  <c r="HJ79" i="16516" l="1"/>
  <c r="HJ68" i="16516" s="1"/>
  <c r="HN68" i="16516" s="1"/>
  <c r="HP68" i="16516" s="1"/>
  <c r="HP67" i="16516" s="1"/>
  <c r="IH79" i="16516"/>
  <c r="IH68" i="16516" s="1"/>
  <c r="IL68" i="16516" s="1"/>
  <c r="IN68" i="16516" s="1"/>
  <c r="IN67" i="16516" s="1"/>
  <c r="HZ79" i="16516"/>
  <c r="HZ68" i="16516" s="1"/>
  <c r="ID68" i="16516" s="1"/>
  <c r="IF68" i="16516" s="1"/>
  <c r="IF67" i="16516" s="1"/>
  <c r="GD79" i="16516"/>
  <c r="GD68" i="16516" s="1"/>
  <c r="GH68" i="16516" s="1"/>
  <c r="GJ68" i="16516" s="1"/>
  <c r="GJ67" i="16516" s="1"/>
  <c r="GL79" i="16516"/>
  <c r="GL68" i="16516" s="1"/>
  <c r="GP68" i="16516" s="1"/>
  <c r="GR68" i="16516" s="1"/>
  <c r="GR67" i="16516" s="1"/>
  <c r="HR79" i="16516"/>
  <c r="HR68" i="16516" s="1"/>
  <c r="HV68" i="16516" s="1"/>
  <c r="HX68" i="16516" s="1"/>
  <c r="HX67" i="16516" s="1"/>
  <c r="FF79" i="16516"/>
  <c r="FF68" i="16516" s="1"/>
  <c r="FJ68" i="16516" s="1"/>
  <c r="FL68" i="16516" s="1"/>
  <c r="FL67" i="16516" s="1"/>
  <c r="GT79" i="16516"/>
  <c r="GT68" i="16516" s="1"/>
  <c r="GX68" i="16516" s="1"/>
  <c r="GZ68" i="16516" s="1"/>
  <c r="GZ67" i="16516" s="1"/>
  <c r="FV79" i="16516"/>
  <c r="FV68" i="16516" s="1"/>
  <c r="FZ68" i="16516" s="1"/>
  <c r="GB68" i="16516" s="1"/>
  <c r="GB67" i="16516" s="1"/>
  <c r="EX79" i="16516"/>
  <c r="EX68" i="16516" s="1"/>
  <c r="FB68" i="16516" s="1"/>
  <c r="FD68" i="16516" s="1"/>
  <c r="FD67" i="16516" s="1"/>
  <c r="FN79" i="16516"/>
  <c r="FN68" i="16516" s="1"/>
  <c r="FR68" i="16516" s="1"/>
  <c r="FT68" i="16516" s="1"/>
  <c r="FT67" i="16516" s="1"/>
  <c r="HB79" i="16516"/>
  <c r="HB68" i="16516" s="1"/>
  <c r="EP79" i="16516"/>
  <c r="EP68" i="16516" s="1"/>
  <c r="R79" i="16516"/>
  <c r="R68" i="16516" s="1"/>
  <c r="BF79" i="16516"/>
  <c r="BF68" i="16516" s="1"/>
  <c r="BJ68" i="16516" s="1"/>
  <c r="BL68" i="16516" s="1"/>
  <c r="BL67" i="16516" s="1"/>
  <c r="I79" i="16516"/>
  <c r="I68" i="16516" s="1"/>
  <c r="M68" i="16516" s="1"/>
  <c r="O68" i="16516" s="1"/>
  <c r="AX79" i="16516"/>
  <c r="AX68" i="16516" s="1"/>
  <c r="BB68" i="16516" s="1"/>
  <c r="BD68" i="16516" s="1"/>
  <c r="BD67" i="16516" s="1"/>
  <c r="O11" i="16460"/>
  <c r="CJ77" i="16506"/>
  <c r="AD11" i="16514" l="1"/>
  <c r="Z11" i="16514"/>
  <c r="Z81" i="16513" s="1"/>
  <c r="AH11" i="16514"/>
  <c r="AH81" i="16513" s="1"/>
  <c r="X11" i="16514"/>
  <c r="X81" i="16513" s="1"/>
  <c r="AG11" i="16514"/>
  <c r="AG81" i="16513" s="1"/>
  <c r="AI11" i="16514"/>
  <c r="AB11" i="16514"/>
  <c r="AB81" i="16513" s="1"/>
  <c r="Y11" i="16514"/>
  <c r="Y81" i="16513" s="1"/>
  <c r="AA11" i="16514"/>
  <c r="AA81" i="16513" s="1"/>
  <c r="AC11" i="16514"/>
  <c r="AC81" i="16513" s="1"/>
  <c r="AF11" i="16514"/>
  <c r="AF81" i="16513" s="1"/>
  <c r="V68" i="16516"/>
  <c r="X68" i="16516" s="1"/>
  <c r="X67" i="16516" s="1"/>
  <c r="G11" i="16514" s="1"/>
  <c r="L11" i="16514"/>
  <c r="L81" i="16513" s="1"/>
  <c r="K11" i="16514"/>
  <c r="K81" i="16513" s="1"/>
  <c r="O67" i="16516"/>
  <c r="P11" i="16460"/>
  <c r="CK77" i="16506"/>
  <c r="AI81" i="16513" l="1"/>
  <c r="AD81" i="16513"/>
  <c r="EA68" i="16516"/>
  <c r="GE68" i="16516" s="1"/>
  <c r="EY68" i="16516"/>
  <c r="HK68" i="16516" s="1"/>
  <c r="F11" i="16514"/>
  <c r="G81" i="16513"/>
  <c r="Q11" i="16460"/>
  <c r="CL77" i="16506"/>
  <c r="H85" i="16508"/>
  <c r="F81" i="16513" l="1"/>
  <c r="R11" i="16460"/>
  <c r="CM77" i="16506"/>
  <c r="FA43" i="16506"/>
  <c r="FB43" i="16506"/>
  <c r="FC43" i="16506"/>
  <c r="FD43" i="16506"/>
  <c r="FE43" i="16506"/>
  <c r="FF43" i="16506"/>
  <c r="FG43" i="16506"/>
  <c r="FH43" i="16506"/>
  <c r="FI43" i="16506"/>
  <c r="FA65" i="16506"/>
  <c r="FB65" i="16506"/>
  <c r="FC65" i="16506"/>
  <c r="FD65" i="16506"/>
  <c r="FE65" i="16506"/>
  <c r="FF65" i="16506"/>
  <c r="FG65" i="16506"/>
  <c r="FH65" i="16506"/>
  <c r="FI65" i="16506"/>
  <c r="FA93" i="16506"/>
  <c r="FB93" i="16506"/>
  <c r="FC93" i="16506"/>
  <c r="FD93" i="16506"/>
  <c r="FE93" i="16506"/>
  <c r="FF93" i="16506"/>
  <c r="FG93" i="16506"/>
  <c r="FH93" i="16506"/>
  <c r="FI93" i="16506"/>
  <c r="FD101" i="16506"/>
  <c r="FD100" i="16506" s="1"/>
  <c r="FE101" i="16506"/>
  <c r="FE100" i="16506" s="1"/>
  <c r="FF101" i="16506"/>
  <c r="FF100" i="16506" s="1"/>
  <c r="FG101" i="16506"/>
  <c r="FG100" i="16506" s="1"/>
  <c r="FH101" i="16506"/>
  <c r="FH100" i="16506" s="1"/>
  <c r="FA109" i="16506"/>
  <c r="FB109" i="16506"/>
  <c r="FC109" i="16506"/>
  <c r="FD109" i="16506"/>
  <c r="FE109" i="16506"/>
  <c r="FF109" i="16506"/>
  <c r="FG109" i="16506"/>
  <c r="FH109" i="16506"/>
  <c r="FI109" i="16506"/>
  <c r="FA117" i="16506"/>
  <c r="FB117" i="16506"/>
  <c r="FC117" i="16506"/>
  <c r="FD117" i="16506"/>
  <c r="FE117" i="16506"/>
  <c r="FF117" i="16506"/>
  <c r="FG117" i="16506"/>
  <c r="FH117" i="16506"/>
  <c r="FI117" i="16506"/>
  <c r="FA118" i="16506"/>
  <c r="FB118" i="16506"/>
  <c r="FC118" i="16506"/>
  <c r="FD118" i="16506"/>
  <c r="FE118" i="16506"/>
  <c r="FF118" i="16506"/>
  <c r="FG118" i="16506"/>
  <c r="FH118" i="16506"/>
  <c r="FI118" i="16506"/>
  <c r="FA22" i="16506"/>
  <c r="FB22" i="16506"/>
  <c r="FC22" i="16506"/>
  <c r="FD22" i="16506"/>
  <c r="FE22" i="16506"/>
  <c r="FF22" i="16506"/>
  <c r="FG22" i="16506"/>
  <c r="FH22" i="16506"/>
  <c r="FI22" i="16506"/>
  <c r="L117" i="16506"/>
  <c r="L118" i="16506"/>
  <c r="S11" i="16460" l="1"/>
  <c r="CN77" i="16506"/>
  <c r="CO77" i="16506" s="1"/>
  <c r="M116" i="16457"/>
  <c r="N116" i="16457"/>
  <c r="O116" i="16457"/>
  <c r="P116" i="16457"/>
  <c r="Q116" i="16457"/>
  <c r="R116" i="16457"/>
  <c r="S116" i="16457"/>
  <c r="T116" i="16457"/>
  <c r="U116" i="16457"/>
  <c r="V116" i="16457"/>
  <c r="W116" i="16457"/>
  <c r="X116" i="16457"/>
  <c r="Y116" i="16457"/>
  <c r="Z116" i="16457"/>
  <c r="AA116" i="16457"/>
  <c r="AB116" i="16457"/>
  <c r="AC116" i="16457"/>
  <c r="AD116" i="16457"/>
  <c r="AE116" i="16457"/>
  <c r="AF116" i="16457"/>
  <c r="AG116" i="16457"/>
  <c r="AH116" i="16457"/>
  <c r="AI116" i="16457"/>
  <c r="AJ116" i="16457"/>
  <c r="AK116" i="16457"/>
  <c r="AL116" i="16457"/>
  <c r="AM116" i="16457"/>
  <c r="AN116" i="16457"/>
  <c r="AO116" i="16457"/>
  <c r="M117" i="16457"/>
  <c r="M121" i="16506" s="1"/>
  <c r="N117" i="16457"/>
  <c r="N121" i="16506" s="1"/>
  <c r="O117" i="16457"/>
  <c r="O121" i="16506" s="1"/>
  <c r="P117" i="16457"/>
  <c r="P121" i="16506" s="1"/>
  <c r="Q117" i="16457"/>
  <c r="Q121" i="16506" s="1"/>
  <c r="R117" i="16457"/>
  <c r="R121" i="16506" s="1"/>
  <c r="S117" i="16457"/>
  <c r="S121" i="16506" s="1"/>
  <c r="T117" i="16457"/>
  <c r="T121" i="16506" s="1"/>
  <c r="U117" i="16457"/>
  <c r="U121" i="16506" s="1"/>
  <c r="V117" i="16457"/>
  <c r="V121" i="16506" s="1"/>
  <c r="W117" i="16457"/>
  <c r="W121" i="16506" s="1"/>
  <c r="X117" i="16457"/>
  <c r="X121" i="16506" s="1"/>
  <c r="Y117" i="16457"/>
  <c r="Y121" i="16506" s="1"/>
  <c r="Z117" i="16457"/>
  <c r="Z121" i="16506" s="1"/>
  <c r="AA117" i="16457"/>
  <c r="AA121" i="16506" s="1"/>
  <c r="AB117" i="16457"/>
  <c r="AB121" i="16506" s="1"/>
  <c r="AC117" i="16457"/>
  <c r="AC121" i="16506" s="1"/>
  <c r="AD117" i="16457"/>
  <c r="AD121" i="16506" s="1"/>
  <c r="AE117" i="16457"/>
  <c r="AE121" i="16506" s="1"/>
  <c r="AF117" i="16457"/>
  <c r="AF121" i="16506" s="1"/>
  <c r="AG117" i="16457"/>
  <c r="AG121" i="16506" s="1"/>
  <c r="AH117" i="16457"/>
  <c r="AH121" i="16506" s="1"/>
  <c r="AI117" i="16457"/>
  <c r="AI121" i="16506" s="1"/>
  <c r="AJ117" i="16457"/>
  <c r="AJ121" i="16506" s="1"/>
  <c r="AK117" i="16457"/>
  <c r="AK121" i="16506" s="1"/>
  <c r="AL117" i="16457"/>
  <c r="AL121" i="16506" s="1"/>
  <c r="AM117" i="16457"/>
  <c r="AM121" i="16506" s="1"/>
  <c r="AN117" i="16457"/>
  <c r="AN121" i="16506" s="1"/>
  <c r="AO117" i="16457"/>
  <c r="AO121" i="16506" s="1"/>
  <c r="L117" i="16457"/>
  <c r="L121" i="16506" s="1"/>
  <c r="L116" i="16457"/>
  <c r="L120" i="16506" s="1"/>
  <c r="T11" i="16460" l="1"/>
  <c r="CP77" i="16506"/>
  <c r="CQ77" i="16506" s="1"/>
  <c r="BT121" i="16506"/>
  <c r="BM121" i="16506"/>
  <c r="BK121" i="16506"/>
  <c r="BI121" i="16506"/>
  <c r="BG121" i="16506"/>
  <c r="BE121" i="16506"/>
  <c r="BC121" i="16506"/>
  <c r="BA121" i="16506"/>
  <c r="AY121" i="16506"/>
  <c r="AW121" i="16506"/>
  <c r="AU121" i="16506"/>
  <c r="AT121" i="16506"/>
  <c r="BN121" i="16506"/>
  <c r="BL121" i="16506"/>
  <c r="BJ121" i="16506"/>
  <c r="BH121" i="16506"/>
  <c r="BF121" i="16506"/>
  <c r="BD121" i="16506"/>
  <c r="BB121" i="16506"/>
  <c r="AZ121" i="16506"/>
  <c r="AX121" i="16506"/>
  <c r="AV121" i="16506"/>
  <c r="AQ121" i="16506"/>
  <c r="AR121" i="16506"/>
  <c r="AS121" i="16506"/>
  <c r="DY52" i="16506"/>
  <c r="DZ52" i="16506"/>
  <c r="EA52" i="16506"/>
  <c r="EB52" i="16506"/>
  <c r="EC52" i="16506"/>
  <c r="N54" i="16506"/>
  <c r="O54" i="16506"/>
  <c r="P54" i="16506"/>
  <c r="Q54" i="16506"/>
  <c r="R54" i="16506"/>
  <c r="S54" i="16506"/>
  <c r="T54" i="16506"/>
  <c r="U54" i="16506"/>
  <c r="V54" i="16506"/>
  <c r="W54" i="16506"/>
  <c r="X54" i="16506"/>
  <c r="Y54" i="16506"/>
  <c r="Z54" i="16506"/>
  <c r="AA54" i="16506"/>
  <c r="AB54" i="16506"/>
  <c r="AC54" i="16506"/>
  <c r="AD54" i="16506"/>
  <c r="AE54" i="16506"/>
  <c r="AF54" i="16506"/>
  <c r="AG54" i="16506"/>
  <c r="AH54" i="16506"/>
  <c r="AI54" i="16506"/>
  <c r="AJ54" i="16506"/>
  <c r="AK54" i="16506"/>
  <c r="AL54" i="16506"/>
  <c r="AM54" i="16506"/>
  <c r="AN54" i="16506"/>
  <c r="AO54" i="16506"/>
  <c r="L54" i="16506"/>
  <c r="AQ54" i="16506" s="1"/>
  <c r="U11" i="16460" l="1"/>
  <c r="BV121" i="16506"/>
  <c r="BW121" i="16506" s="1"/>
  <c r="BX121" i="16506" s="1"/>
  <c r="BY121" i="16506" s="1"/>
  <c r="CR77" i="16506"/>
  <c r="M54" i="16506"/>
  <c r="V11" i="16460" l="1"/>
  <c r="CS77" i="16506"/>
  <c r="CT77" i="16506" s="1"/>
  <c r="BZ121" i="16506"/>
  <c r="CA121" i="16506" s="1"/>
  <c r="AR54" i="16506"/>
  <c r="AA37" i="16507"/>
  <c r="AB37" i="16507"/>
  <c r="AC37" i="16507"/>
  <c r="AD37" i="16507"/>
  <c r="AE37" i="16507"/>
  <c r="AF37" i="16507"/>
  <c r="AF27" i="16507" s="1"/>
  <c r="AF31" i="16507" s="1"/>
  <c r="Z37" i="16507"/>
  <c r="Z27" i="16507" s="1"/>
  <c r="Z31" i="16507" s="1"/>
  <c r="Y37" i="16507"/>
  <c r="Y27" i="16507" s="1"/>
  <c r="Y31" i="16507" s="1"/>
  <c r="X37" i="16507"/>
  <c r="W37" i="16507"/>
  <c r="W27" i="16507" s="1"/>
  <c r="W31" i="16507" s="1"/>
  <c r="V37" i="16507"/>
  <c r="V27" i="16507" s="1"/>
  <c r="V31" i="16507" s="1"/>
  <c r="U37" i="16507"/>
  <c r="U27" i="16507" s="1"/>
  <c r="U31" i="16507" s="1"/>
  <c r="T37" i="16507"/>
  <c r="S37" i="16507"/>
  <c r="R37" i="16507"/>
  <c r="R27" i="16507" s="1"/>
  <c r="R31" i="16507" s="1"/>
  <c r="Q37" i="16507"/>
  <c r="Q27" i="16507" s="1"/>
  <c r="Q31" i="16507" s="1"/>
  <c r="P37" i="16507"/>
  <c r="P27" i="16507" s="1"/>
  <c r="P31" i="16507" s="1"/>
  <c r="O37" i="16507"/>
  <c r="O27" i="16507" s="1"/>
  <c r="O31" i="16507" s="1"/>
  <c r="N37" i="16507"/>
  <c r="N27" i="16507" s="1"/>
  <c r="N31" i="16507" s="1"/>
  <c r="M37" i="16507"/>
  <c r="M27" i="16507" s="1"/>
  <c r="M31" i="16507" s="1"/>
  <c r="L37" i="16507"/>
  <c r="K37" i="16507"/>
  <c r="J37" i="16507"/>
  <c r="J27" i="16507" s="1"/>
  <c r="J31" i="16507" s="1"/>
  <c r="I37" i="16507"/>
  <c r="I27" i="16507" s="1"/>
  <c r="I31" i="16507" s="1"/>
  <c r="H37" i="16507"/>
  <c r="G37" i="16507"/>
  <c r="G27" i="16507" s="1"/>
  <c r="G31" i="16507" s="1"/>
  <c r="F37" i="16507"/>
  <c r="F27" i="16507" s="1"/>
  <c r="F31" i="16507" s="1"/>
  <c r="E37" i="16507"/>
  <c r="D37" i="16507"/>
  <c r="C37" i="16507"/>
  <c r="B36" i="16507"/>
  <c r="B35" i="16507"/>
  <c r="B30" i="16507"/>
  <c r="B29" i="16507"/>
  <c r="B28" i="16507"/>
  <c r="X27" i="16507"/>
  <c r="X31" i="16507" s="1"/>
  <c r="T27" i="16507"/>
  <c r="T31" i="16507" s="1"/>
  <c r="S27" i="16507"/>
  <c r="S31" i="16507" s="1"/>
  <c r="L27" i="16507"/>
  <c r="L31" i="16507" s="1"/>
  <c r="K27" i="16507"/>
  <c r="K31" i="16507" s="1"/>
  <c r="H27" i="16507"/>
  <c r="H31" i="16507" s="1"/>
  <c r="D27" i="16507"/>
  <c r="D31" i="16507" s="1"/>
  <c r="C27" i="16507"/>
  <c r="C31" i="16507" s="1"/>
  <c r="B37" i="16507" l="1"/>
  <c r="W11" i="16460"/>
  <c r="E27" i="16507"/>
  <c r="E31" i="16507" s="1"/>
  <c r="B31" i="16507" s="1"/>
  <c r="CU77" i="16506"/>
  <c r="CB121" i="16506"/>
  <c r="CC121" i="16506" s="1"/>
  <c r="B27" i="16507" l="1"/>
  <c r="X11" i="16460"/>
  <c r="CV77" i="16506"/>
  <c r="CD121" i="16506"/>
  <c r="CE121" i="16506" s="1"/>
  <c r="AQ114" i="16457"/>
  <c r="BW114" i="16457"/>
  <c r="DC114" i="16457" l="1"/>
  <c r="Y11" i="16460"/>
  <c r="CW77" i="16506"/>
  <c r="CX77" i="16506" s="1"/>
  <c r="CF121" i="16506"/>
  <c r="CG121" i="16506" s="1"/>
  <c r="Z11" i="16460" l="1"/>
  <c r="CY77" i="16506"/>
  <c r="CH121" i="16506"/>
  <c r="DY123" i="16506"/>
  <c r="AD71" i="16513" s="1"/>
  <c r="DZ123" i="16506"/>
  <c r="AE71" i="16513" s="1"/>
  <c r="EA123" i="16506"/>
  <c r="AF71" i="16513" s="1"/>
  <c r="EB123" i="16506"/>
  <c r="AG71" i="16513" s="1"/>
  <c r="EC123" i="16506"/>
  <c r="AH71" i="16513" s="1"/>
  <c r="M114" i="16506"/>
  <c r="N114" i="16506"/>
  <c r="O114" i="16506"/>
  <c r="P114" i="16506"/>
  <c r="Q114" i="16506"/>
  <c r="R114" i="16506"/>
  <c r="S114" i="16506"/>
  <c r="T114" i="16506"/>
  <c r="U114" i="16506"/>
  <c r="V114" i="16506"/>
  <c r="W114" i="16506"/>
  <c r="X114" i="16506"/>
  <c r="Y114" i="16506"/>
  <c r="Z114" i="16506"/>
  <c r="AA114" i="16506"/>
  <c r="AB114" i="16506"/>
  <c r="AC114" i="16506"/>
  <c r="AD114" i="16506"/>
  <c r="AE114" i="16506"/>
  <c r="AF114" i="16506"/>
  <c r="AG114" i="16506"/>
  <c r="AH114" i="16506"/>
  <c r="AI114" i="16506"/>
  <c r="AJ114" i="16506"/>
  <c r="AK114" i="16506"/>
  <c r="AL114" i="16506"/>
  <c r="AM114" i="16506"/>
  <c r="AN114" i="16506"/>
  <c r="AO114" i="16506"/>
  <c r="L114" i="16506"/>
  <c r="M90" i="16506"/>
  <c r="N90" i="16506"/>
  <c r="O90" i="16506"/>
  <c r="P90" i="16506"/>
  <c r="Q90" i="16506"/>
  <c r="R90" i="16506"/>
  <c r="S90" i="16506"/>
  <c r="T90" i="16506"/>
  <c r="U90" i="16506"/>
  <c r="V90" i="16506"/>
  <c r="W90" i="16506"/>
  <c r="X90" i="16506"/>
  <c r="Y90" i="16506"/>
  <c r="Z90" i="16506"/>
  <c r="AA90" i="16506"/>
  <c r="AB90" i="16506"/>
  <c r="AC90" i="16506"/>
  <c r="AD90" i="16506"/>
  <c r="AE90" i="16506"/>
  <c r="AF90" i="16506"/>
  <c r="AG90" i="16506"/>
  <c r="AH90" i="16506"/>
  <c r="AI90" i="16506"/>
  <c r="AJ90" i="16506"/>
  <c r="AK90" i="16506"/>
  <c r="AL90" i="16506"/>
  <c r="AM90" i="16506"/>
  <c r="AN90" i="16506"/>
  <c r="AO90" i="16506"/>
  <c r="L90" i="16506"/>
  <c r="AQ90" i="16506" s="1"/>
  <c r="M70" i="16506"/>
  <c r="N70" i="16506"/>
  <c r="O70" i="16506"/>
  <c r="P70" i="16506"/>
  <c r="Q70" i="16506"/>
  <c r="R70" i="16506"/>
  <c r="S70" i="16506"/>
  <c r="T70" i="16506"/>
  <c r="U70" i="16506"/>
  <c r="V70" i="16506"/>
  <c r="W70" i="16506"/>
  <c r="X70" i="16506"/>
  <c r="Y70" i="16506"/>
  <c r="Z70" i="16506"/>
  <c r="AA70" i="16506"/>
  <c r="AB70" i="16506"/>
  <c r="AC70" i="16506"/>
  <c r="AD70" i="16506"/>
  <c r="AE70" i="16506"/>
  <c r="AF70" i="16506"/>
  <c r="AG70" i="16506"/>
  <c r="AH70" i="16506"/>
  <c r="AI70" i="16506"/>
  <c r="AJ70" i="16506"/>
  <c r="AK70" i="16506"/>
  <c r="AL70" i="16506"/>
  <c r="AM70" i="16506"/>
  <c r="AN70" i="16506"/>
  <c r="AO70" i="16506"/>
  <c r="M73" i="16506"/>
  <c r="N73" i="16506"/>
  <c r="O73" i="16506"/>
  <c r="P73" i="16506"/>
  <c r="Q73" i="16506"/>
  <c r="R73" i="16506"/>
  <c r="S73" i="16506"/>
  <c r="T73" i="16506"/>
  <c r="U73" i="16506"/>
  <c r="V73" i="16506"/>
  <c r="W73" i="16506"/>
  <c r="X73" i="16506"/>
  <c r="Y73" i="16506"/>
  <c r="Z73" i="16506"/>
  <c r="AA73" i="16506"/>
  <c r="AB73" i="16506"/>
  <c r="AC73" i="16506"/>
  <c r="AD73" i="16506"/>
  <c r="AE73" i="16506"/>
  <c r="AF73" i="16506"/>
  <c r="AG73" i="16506"/>
  <c r="AH73" i="16506"/>
  <c r="AI73" i="16506"/>
  <c r="AJ73" i="16506"/>
  <c r="AK73" i="16506"/>
  <c r="AL73" i="16506"/>
  <c r="AM73" i="16506"/>
  <c r="AN73" i="16506"/>
  <c r="AO73" i="16506"/>
  <c r="L70" i="16506"/>
  <c r="L73" i="16506"/>
  <c r="M47" i="16506"/>
  <c r="N47" i="16506"/>
  <c r="O47" i="16506"/>
  <c r="P47" i="16506"/>
  <c r="Q47" i="16506"/>
  <c r="R47" i="16506"/>
  <c r="S47" i="16506"/>
  <c r="T47" i="16506"/>
  <c r="U47" i="16506"/>
  <c r="V47" i="16506"/>
  <c r="W47" i="16506"/>
  <c r="X47" i="16506"/>
  <c r="Y47" i="16506"/>
  <c r="Z47" i="16506"/>
  <c r="AA47" i="16506"/>
  <c r="AB47" i="16506"/>
  <c r="AC47" i="16506"/>
  <c r="AD47" i="16506"/>
  <c r="AE47" i="16506"/>
  <c r="AF47" i="16506"/>
  <c r="AG47" i="16506"/>
  <c r="AH47" i="16506"/>
  <c r="AI47" i="16506"/>
  <c r="AJ47" i="16506"/>
  <c r="AK47" i="16506"/>
  <c r="AL47" i="16506"/>
  <c r="AM47" i="16506"/>
  <c r="AN47" i="16506"/>
  <c r="AO47" i="16506"/>
  <c r="M49" i="16506"/>
  <c r="N49" i="16506"/>
  <c r="O49" i="16506"/>
  <c r="P49" i="16506"/>
  <c r="Q49" i="16506"/>
  <c r="R49" i="16506"/>
  <c r="S49" i="16506"/>
  <c r="T49" i="16506"/>
  <c r="U49" i="16506"/>
  <c r="V49" i="16506"/>
  <c r="W49" i="16506"/>
  <c r="X49" i="16506"/>
  <c r="Y49" i="16506"/>
  <c r="Z49" i="16506"/>
  <c r="AA49" i="16506"/>
  <c r="AB49" i="16506"/>
  <c r="AC49" i="16506"/>
  <c r="AD49" i="16506"/>
  <c r="AE49" i="16506"/>
  <c r="AF49" i="16506"/>
  <c r="AG49" i="16506"/>
  <c r="AH49" i="16506"/>
  <c r="AI49" i="16506"/>
  <c r="AJ49" i="16506"/>
  <c r="AK49" i="16506"/>
  <c r="AL49" i="16506"/>
  <c r="AM49" i="16506"/>
  <c r="AN49" i="16506"/>
  <c r="AO49" i="16506"/>
  <c r="M51" i="16506"/>
  <c r="N51" i="16506"/>
  <c r="O51" i="16506"/>
  <c r="P51" i="16506"/>
  <c r="Q51" i="16506"/>
  <c r="R51" i="16506"/>
  <c r="S51" i="16506"/>
  <c r="T51" i="16506"/>
  <c r="U51" i="16506"/>
  <c r="V51" i="16506"/>
  <c r="W51" i="16506"/>
  <c r="X51" i="16506"/>
  <c r="Y51" i="16506"/>
  <c r="Z51" i="16506"/>
  <c r="AA51" i="16506"/>
  <c r="AB51" i="16506"/>
  <c r="AC51" i="16506"/>
  <c r="AD51" i="16506"/>
  <c r="AE51" i="16506"/>
  <c r="AF51" i="16506"/>
  <c r="AG51" i="16506"/>
  <c r="AH51" i="16506"/>
  <c r="AI51" i="16506"/>
  <c r="AJ51" i="16506"/>
  <c r="AK51" i="16506"/>
  <c r="AL51" i="16506"/>
  <c r="AM51" i="16506"/>
  <c r="AN51" i="16506"/>
  <c r="AO51" i="16506"/>
  <c r="M52" i="16506"/>
  <c r="N52" i="16506"/>
  <c r="O52" i="16506"/>
  <c r="P52" i="16506"/>
  <c r="Q52" i="16506"/>
  <c r="R52" i="16506"/>
  <c r="S52" i="16506"/>
  <c r="T52" i="16506"/>
  <c r="U52" i="16506"/>
  <c r="V52" i="16506"/>
  <c r="W52" i="16506"/>
  <c r="X52" i="16506"/>
  <c r="Y52" i="16506"/>
  <c r="Z52" i="16506"/>
  <c r="AA52" i="16506"/>
  <c r="AB52" i="16506"/>
  <c r="AC52" i="16506"/>
  <c r="AD52" i="16506"/>
  <c r="AE52" i="16506"/>
  <c r="AF52" i="16506"/>
  <c r="AG52" i="16506"/>
  <c r="AH52" i="16506"/>
  <c r="AI52" i="16506"/>
  <c r="AJ52" i="16506"/>
  <c r="AK52" i="16506"/>
  <c r="AL52" i="16506"/>
  <c r="AM52" i="16506"/>
  <c r="AN52" i="16506"/>
  <c r="AO52" i="16506"/>
  <c r="M55" i="16506"/>
  <c r="N55" i="16506"/>
  <c r="O55" i="16506"/>
  <c r="P55" i="16506"/>
  <c r="Q55" i="16506"/>
  <c r="R55" i="16506"/>
  <c r="S55" i="16506"/>
  <c r="T55" i="16506"/>
  <c r="U55" i="16506"/>
  <c r="V55" i="16506"/>
  <c r="W55" i="16506"/>
  <c r="X55" i="16506"/>
  <c r="Y55" i="16506"/>
  <c r="Z55" i="16506"/>
  <c r="AA55" i="16506"/>
  <c r="AB55" i="16506"/>
  <c r="AC55" i="16506"/>
  <c r="AD55" i="16506"/>
  <c r="AE55" i="16506"/>
  <c r="AF55" i="16506"/>
  <c r="AG55" i="16506"/>
  <c r="AH55" i="16506"/>
  <c r="AI55" i="16506"/>
  <c r="AJ55" i="16506"/>
  <c r="AK55" i="16506"/>
  <c r="AL55" i="16506"/>
  <c r="AM55" i="16506"/>
  <c r="AN55" i="16506"/>
  <c r="AO55" i="16506"/>
  <c r="M57" i="16506"/>
  <c r="N57" i="16506"/>
  <c r="O57" i="16506"/>
  <c r="P57" i="16506"/>
  <c r="Q57" i="16506"/>
  <c r="R57" i="16506"/>
  <c r="S57" i="16506"/>
  <c r="T57" i="16506"/>
  <c r="U57" i="16506"/>
  <c r="V57" i="16506"/>
  <c r="W57" i="16506"/>
  <c r="X57" i="16506"/>
  <c r="Y57" i="16506"/>
  <c r="Z57" i="16506"/>
  <c r="AA57" i="16506"/>
  <c r="AB57" i="16506"/>
  <c r="AC57" i="16506"/>
  <c r="AD57" i="16506"/>
  <c r="AE57" i="16506"/>
  <c r="AF57" i="16506"/>
  <c r="AG57" i="16506"/>
  <c r="AH57" i="16506"/>
  <c r="AI57" i="16506"/>
  <c r="AJ57" i="16506"/>
  <c r="AK57" i="16506"/>
  <c r="AL57" i="16506"/>
  <c r="AM57" i="16506"/>
  <c r="AN57" i="16506"/>
  <c r="AO57" i="16506"/>
  <c r="M60" i="16506"/>
  <c r="N60" i="16506"/>
  <c r="O60" i="16506"/>
  <c r="P60" i="16506"/>
  <c r="Q60" i="16506"/>
  <c r="R60" i="16506"/>
  <c r="S60" i="16506"/>
  <c r="T60" i="16506"/>
  <c r="U60" i="16506"/>
  <c r="V60" i="16506"/>
  <c r="W60" i="16506"/>
  <c r="X60" i="16506"/>
  <c r="Y60" i="16506"/>
  <c r="Z60" i="16506"/>
  <c r="AA60" i="16506"/>
  <c r="AB60" i="16506"/>
  <c r="AC60" i="16506"/>
  <c r="AD60" i="16506"/>
  <c r="AE60" i="16506"/>
  <c r="AF60" i="16506"/>
  <c r="AG60" i="16506"/>
  <c r="AH60" i="16506"/>
  <c r="AI60" i="16506"/>
  <c r="AJ60" i="16506"/>
  <c r="AK60" i="16506"/>
  <c r="AL60" i="16506"/>
  <c r="AM60" i="16506"/>
  <c r="AN60" i="16506"/>
  <c r="AO60" i="16506"/>
  <c r="M62" i="16506"/>
  <c r="N62" i="16506"/>
  <c r="O62" i="16506"/>
  <c r="P62" i="16506"/>
  <c r="Q62" i="16506"/>
  <c r="R62" i="16506"/>
  <c r="S62" i="16506"/>
  <c r="T62" i="16506"/>
  <c r="U62" i="16506"/>
  <c r="V62" i="16506"/>
  <c r="W62" i="16506"/>
  <c r="X62" i="16506"/>
  <c r="Y62" i="16506"/>
  <c r="Z62" i="16506"/>
  <c r="AA62" i="16506"/>
  <c r="AB62" i="16506"/>
  <c r="AC62" i="16506"/>
  <c r="AD62" i="16506"/>
  <c r="AE62" i="16506"/>
  <c r="AF62" i="16506"/>
  <c r="AG62" i="16506"/>
  <c r="AH62" i="16506"/>
  <c r="AI62" i="16506"/>
  <c r="AJ62" i="16506"/>
  <c r="AK62" i="16506"/>
  <c r="AL62" i="16506"/>
  <c r="AM62" i="16506"/>
  <c r="AN62" i="16506"/>
  <c r="AO62" i="16506"/>
  <c r="L47" i="16506"/>
  <c r="L49" i="16506"/>
  <c r="L51" i="16506"/>
  <c r="L52" i="16506"/>
  <c r="L55" i="16506"/>
  <c r="L57" i="16506"/>
  <c r="L60" i="16506"/>
  <c r="L62" i="16506"/>
  <c r="L25" i="16506"/>
  <c r="L26" i="16506"/>
  <c r="L27" i="16506"/>
  <c r="M24" i="16506"/>
  <c r="N24" i="16506"/>
  <c r="O24" i="16506"/>
  <c r="P24" i="16506"/>
  <c r="Q24" i="16506"/>
  <c r="R24" i="16506"/>
  <c r="S24" i="16506"/>
  <c r="T24" i="16506"/>
  <c r="U24" i="16506"/>
  <c r="V24" i="16506"/>
  <c r="W24" i="16506"/>
  <c r="X24" i="16506"/>
  <c r="Y24" i="16506"/>
  <c r="Z24" i="16506"/>
  <c r="AA24" i="16506"/>
  <c r="AB24" i="16506"/>
  <c r="AC24" i="16506"/>
  <c r="AD24" i="16506"/>
  <c r="AE24" i="16506"/>
  <c r="AF24" i="16506"/>
  <c r="AG24" i="16506"/>
  <c r="AH24" i="16506"/>
  <c r="AI24" i="16506"/>
  <c r="AJ24" i="16506"/>
  <c r="AK24" i="16506"/>
  <c r="AL24" i="16506"/>
  <c r="AM24" i="16506"/>
  <c r="AN24" i="16506"/>
  <c r="AO24" i="16506"/>
  <c r="L24" i="16506"/>
  <c r="AQ19" i="16457"/>
  <c r="AJ13" i="16506"/>
  <c r="AK13" i="16506"/>
  <c r="AL13" i="16506"/>
  <c r="AM13" i="16506"/>
  <c r="AN13" i="16506"/>
  <c r="AO13" i="16506"/>
  <c r="AJ14" i="16506"/>
  <c r="AK14" i="16506"/>
  <c r="AL14" i="16506"/>
  <c r="AM14" i="16506"/>
  <c r="AN14" i="16506"/>
  <c r="AO14" i="16506"/>
  <c r="AJ16" i="16506"/>
  <c r="AK16" i="16506"/>
  <c r="AL16" i="16506"/>
  <c r="AM16" i="16506"/>
  <c r="AN16" i="16506"/>
  <c r="AO16" i="16506"/>
  <c r="M13" i="16506"/>
  <c r="N13" i="16506"/>
  <c r="O13" i="16506"/>
  <c r="P13" i="16506"/>
  <c r="Q13" i="16506"/>
  <c r="R13" i="16506"/>
  <c r="S13" i="16506"/>
  <c r="T13" i="16506"/>
  <c r="U13" i="16506"/>
  <c r="V13" i="16506"/>
  <c r="W13" i="16506"/>
  <c r="X13" i="16506"/>
  <c r="Y13" i="16506"/>
  <c r="Z13" i="16506"/>
  <c r="AA13" i="16506"/>
  <c r="AB13" i="16506"/>
  <c r="AC13" i="16506"/>
  <c r="AD13" i="16506"/>
  <c r="AE13" i="16506"/>
  <c r="AF13" i="16506"/>
  <c r="AG13" i="16506"/>
  <c r="AH13" i="16506"/>
  <c r="AI13" i="16506"/>
  <c r="M14" i="16506"/>
  <c r="N14" i="16506"/>
  <c r="O14" i="16506"/>
  <c r="P14" i="16506"/>
  <c r="Q14" i="16506"/>
  <c r="R14" i="16506"/>
  <c r="S14" i="16506"/>
  <c r="T14" i="16506"/>
  <c r="U14" i="16506"/>
  <c r="V14" i="16506"/>
  <c r="W14" i="16506"/>
  <c r="X14" i="16506"/>
  <c r="Y14" i="16506"/>
  <c r="Z14" i="16506"/>
  <c r="AA14" i="16506"/>
  <c r="AB14" i="16506"/>
  <c r="AC14" i="16506"/>
  <c r="AD14" i="16506"/>
  <c r="AE14" i="16506"/>
  <c r="AF14" i="16506"/>
  <c r="AG14" i="16506"/>
  <c r="AH14" i="16506"/>
  <c r="AI14" i="16506"/>
  <c r="M16" i="16506"/>
  <c r="N16" i="16506"/>
  <c r="O16" i="16506"/>
  <c r="P16" i="16506"/>
  <c r="Q16" i="16506"/>
  <c r="R16" i="16506"/>
  <c r="S16" i="16506"/>
  <c r="T16" i="16506"/>
  <c r="U16" i="16506"/>
  <c r="V16" i="16506"/>
  <c r="W16" i="16506"/>
  <c r="X16" i="16506"/>
  <c r="Y16" i="16506"/>
  <c r="Z16" i="16506"/>
  <c r="AA16" i="16506"/>
  <c r="AB16" i="16506"/>
  <c r="AC16" i="16506"/>
  <c r="AD16" i="16506"/>
  <c r="AE16" i="16506"/>
  <c r="AF16" i="16506"/>
  <c r="AG16" i="16506"/>
  <c r="AH16" i="16506"/>
  <c r="AI16" i="16506"/>
  <c r="L16" i="16506"/>
  <c r="L13" i="16506"/>
  <c r="L14" i="16506"/>
  <c r="BT120" i="16506"/>
  <c r="BN120" i="16506"/>
  <c r="BM120" i="16506"/>
  <c r="BL120" i="16506"/>
  <c r="BK120" i="16506"/>
  <c r="BJ120" i="16506"/>
  <c r="BI120" i="16506"/>
  <c r="BH120" i="16506"/>
  <c r="BG120" i="16506"/>
  <c r="BF120" i="16506"/>
  <c r="BE120" i="16506"/>
  <c r="BD120" i="16506"/>
  <c r="BC120" i="16506"/>
  <c r="BB120" i="16506"/>
  <c r="BA120" i="16506"/>
  <c r="AZ120" i="16506"/>
  <c r="AY120" i="16506"/>
  <c r="AX120" i="16506"/>
  <c r="AW120" i="16506"/>
  <c r="AV120" i="16506"/>
  <c r="AU120" i="16506"/>
  <c r="AT120" i="16506"/>
  <c r="AS120" i="16506"/>
  <c r="AR120" i="16506"/>
  <c r="AQ120" i="16506"/>
  <c r="E119" i="16506"/>
  <c r="EZ118" i="16506"/>
  <c r="EY118" i="16506"/>
  <c r="EX118" i="16506"/>
  <c r="EW118" i="16506"/>
  <c r="EV118" i="16506"/>
  <c r="EU118" i="16506"/>
  <c r="ET118" i="16506"/>
  <c r="ES118" i="16506"/>
  <c r="ER118" i="16506"/>
  <c r="EQ118" i="16506"/>
  <c r="EP118" i="16506"/>
  <c r="EO118" i="16506"/>
  <c r="EN118" i="16506"/>
  <c r="EM118" i="16506"/>
  <c r="EL118" i="16506"/>
  <c r="EK118" i="16506"/>
  <c r="EJ118" i="16506"/>
  <c r="EI118" i="16506"/>
  <c r="EH118" i="16506"/>
  <c r="EG118" i="16506"/>
  <c r="EF118" i="16506"/>
  <c r="ED118" i="16506"/>
  <c r="DX118" i="16506"/>
  <c r="DW118" i="16506"/>
  <c r="DV118" i="16506"/>
  <c r="DU118" i="16506"/>
  <c r="DT118" i="16506"/>
  <c r="DS118" i="16506"/>
  <c r="DR118" i="16506"/>
  <c r="DQ118" i="16506"/>
  <c r="DP118" i="16506"/>
  <c r="DO118" i="16506"/>
  <c r="DN118" i="16506"/>
  <c r="DM118" i="16506"/>
  <c r="DL118" i="16506"/>
  <c r="DK118" i="16506"/>
  <c r="DJ118" i="16506"/>
  <c r="DI118" i="16506"/>
  <c r="DH118" i="16506"/>
  <c r="DG118" i="16506"/>
  <c r="DF118" i="16506"/>
  <c r="DE118" i="16506"/>
  <c r="DD118" i="16506"/>
  <c r="DC118" i="16506"/>
  <c r="DB118" i="16506"/>
  <c r="DA118" i="16506"/>
  <c r="EZ117" i="16506"/>
  <c r="EY117" i="16506"/>
  <c r="EX117" i="16506"/>
  <c r="EW117" i="16506"/>
  <c r="EV117" i="16506"/>
  <c r="EU117" i="16506"/>
  <c r="ET117" i="16506"/>
  <c r="ES117" i="16506"/>
  <c r="ER117" i="16506"/>
  <c r="EQ117" i="16506"/>
  <c r="EP117" i="16506"/>
  <c r="EO117" i="16506"/>
  <c r="EN117" i="16506"/>
  <c r="EM117" i="16506"/>
  <c r="EL117" i="16506"/>
  <c r="EK117" i="16506"/>
  <c r="EJ117" i="16506"/>
  <c r="EI117" i="16506"/>
  <c r="EH117" i="16506"/>
  <c r="EG117" i="16506"/>
  <c r="EF117" i="16506"/>
  <c r="ED117" i="16506"/>
  <c r="DX117" i="16506"/>
  <c r="DW117" i="16506"/>
  <c r="DV117" i="16506"/>
  <c r="DU117" i="16506"/>
  <c r="DT117" i="16506"/>
  <c r="DS117" i="16506"/>
  <c r="DR117" i="16506"/>
  <c r="DQ117" i="16506"/>
  <c r="DP117" i="16506"/>
  <c r="DO117" i="16506"/>
  <c r="DN117" i="16506"/>
  <c r="DM117" i="16506"/>
  <c r="DL117" i="16506"/>
  <c r="DK117" i="16506"/>
  <c r="DJ117" i="16506"/>
  <c r="DI117" i="16506"/>
  <c r="DH117" i="16506"/>
  <c r="DG117" i="16506"/>
  <c r="DF117" i="16506"/>
  <c r="DE117" i="16506"/>
  <c r="DD117" i="16506"/>
  <c r="DC117" i="16506"/>
  <c r="DB117" i="16506"/>
  <c r="DA117" i="16506"/>
  <c r="E114" i="16506"/>
  <c r="E111" i="16506"/>
  <c r="E110" i="16506"/>
  <c r="EZ109" i="16506"/>
  <c r="EY109" i="16506"/>
  <c r="EX109" i="16506"/>
  <c r="EW109" i="16506"/>
  <c r="EV109" i="16506"/>
  <c r="EU109" i="16506"/>
  <c r="ET109" i="16506"/>
  <c r="ES109" i="16506"/>
  <c r="ER109" i="16506"/>
  <c r="EQ109" i="16506"/>
  <c r="EP109" i="16506"/>
  <c r="EO109" i="16506"/>
  <c r="EN109" i="16506"/>
  <c r="EM109" i="16506"/>
  <c r="EL109" i="16506"/>
  <c r="EK109" i="16506"/>
  <c r="EJ109" i="16506"/>
  <c r="EI109" i="16506"/>
  <c r="EH109" i="16506"/>
  <c r="EG109" i="16506"/>
  <c r="EF109" i="16506"/>
  <c r="ED109" i="16506"/>
  <c r="DX109" i="16506"/>
  <c r="DW109" i="16506"/>
  <c r="DV109" i="16506"/>
  <c r="DU109" i="16506"/>
  <c r="DT109" i="16506"/>
  <c r="DS109" i="16506"/>
  <c r="DR109" i="16506"/>
  <c r="DQ109" i="16506"/>
  <c r="DP109" i="16506"/>
  <c r="DO109" i="16506"/>
  <c r="DN109" i="16506"/>
  <c r="DM109" i="16506"/>
  <c r="DL109" i="16506"/>
  <c r="DK109" i="16506"/>
  <c r="DJ109" i="16506"/>
  <c r="DI109" i="16506"/>
  <c r="DH109" i="16506"/>
  <c r="DG109" i="16506"/>
  <c r="DF109" i="16506"/>
  <c r="DE109" i="16506"/>
  <c r="DD109" i="16506"/>
  <c r="DC109" i="16506"/>
  <c r="DB109" i="16506"/>
  <c r="DA109" i="16506"/>
  <c r="E106" i="16506"/>
  <c r="E102" i="16506"/>
  <c r="BT101" i="16506"/>
  <c r="BN101" i="16506"/>
  <c r="BM101" i="16506"/>
  <c r="BL101" i="16506"/>
  <c r="BK101" i="16506"/>
  <c r="BJ101" i="16506"/>
  <c r="BI101" i="16506"/>
  <c r="BH101" i="16506"/>
  <c r="BG101" i="16506"/>
  <c r="BF101" i="16506"/>
  <c r="BE101" i="16506"/>
  <c r="BD101" i="16506"/>
  <c r="BC101" i="16506"/>
  <c r="BB101" i="16506"/>
  <c r="BA101" i="16506"/>
  <c r="AZ101" i="16506"/>
  <c r="AY101" i="16506"/>
  <c r="AX101" i="16506"/>
  <c r="AW101" i="16506"/>
  <c r="AV101" i="16506"/>
  <c r="AU101" i="16506"/>
  <c r="AT101" i="16506"/>
  <c r="AS101" i="16506"/>
  <c r="AR101" i="16506"/>
  <c r="AQ101" i="16506"/>
  <c r="E100" i="16506"/>
  <c r="BT99" i="16506"/>
  <c r="BN99" i="16506"/>
  <c r="BM99" i="16506"/>
  <c r="BL99" i="16506"/>
  <c r="BK99" i="16506"/>
  <c r="BJ99" i="16506"/>
  <c r="BI99" i="16506"/>
  <c r="BH99" i="16506"/>
  <c r="BG99" i="16506"/>
  <c r="BF99" i="16506"/>
  <c r="BE99" i="16506"/>
  <c r="BD99" i="16506"/>
  <c r="BC99" i="16506"/>
  <c r="BB99" i="16506"/>
  <c r="BA99" i="16506"/>
  <c r="AY99" i="16506"/>
  <c r="AX99" i="16506"/>
  <c r="AW99" i="16506"/>
  <c r="AV99" i="16506"/>
  <c r="AU99" i="16506"/>
  <c r="AT99" i="16506"/>
  <c r="AS99" i="16506"/>
  <c r="AR99" i="16506"/>
  <c r="E98" i="16506"/>
  <c r="E97" i="16506"/>
  <c r="EZ93" i="16506"/>
  <c r="EY93" i="16506"/>
  <c r="EX93" i="16506"/>
  <c r="EW93" i="16506"/>
  <c r="EV93" i="16506"/>
  <c r="EU93" i="16506"/>
  <c r="ET93" i="16506"/>
  <c r="ES93" i="16506"/>
  <c r="ER93" i="16506"/>
  <c r="EQ93" i="16506"/>
  <c r="EP93" i="16506"/>
  <c r="EO93" i="16506"/>
  <c r="EN93" i="16506"/>
  <c r="EM93" i="16506"/>
  <c r="EL93" i="16506"/>
  <c r="EK93" i="16506"/>
  <c r="EJ93" i="16506"/>
  <c r="EI93" i="16506"/>
  <c r="EH93" i="16506"/>
  <c r="EG93" i="16506"/>
  <c r="EF93" i="16506"/>
  <c r="ED93" i="16506"/>
  <c r="DX93" i="16506"/>
  <c r="DW93" i="16506"/>
  <c r="DV93" i="16506"/>
  <c r="DU93" i="16506"/>
  <c r="DT93" i="16506"/>
  <c r="DS93" i="16506"/>
  <c r="DR93" i="16506"/>
  <c r="DQ93" i="16506"/>
  <c r="DP93" i="16506"/>
  <c r="DO93" i="16506"/>
  <c r="DN93" i="16506"/>
  <c r="DM93" i="16506"/>
  <c r="DL93" i="16506"/>
  <c r="DK93" i="16506"/>
  <c r="DJ93" i="16506"/>
  <c r="DI93" i="16506"/>
  <c r="DH93" i="16506"/>
  <c r="DG93" i="16506"/>
  <c r="DF93" i="16506"/>
  <c r="DE93" i="16506"/>
  <c r="DD93" i="16506"/>
  <c r="DC93" i="16506"/>
  <c r="DB93" i="16506"/>
  <c r="DA93" i="16506"/>
  <c r="E83" i="16506"/>
  <c r="E80" i="16506"/>
  <c r="E76" i="16506"/>
  <c r="E73" i="16506"/>
  <c r="E70" i="16506"/>
  <c r="E67" i="16506"/>
  <c r="E66" i="16506"/>
  <c r="EZ65" i="16506"/>
  <c r="EY65" i="16506"/>
  <c r="EX65" i="16506"/>
  <c r="EW65" i="16506"/>
  <c r="EV65" i="16506"/>
  <c r="EU65" i="16506"/>
  <c r="ET65" i="16506"/>
  <c r="ES65" i="16506"/>
  <c r="ER65" i="16506"/>
  <c r="EQ65" i="16506"/>
  <c r="EP65" i="16506"/>
  <c r="EO65" i="16506"/>
  <c r="EN65" i="16506"/>
  <c r="EM65" i="16506"/>
  <c r="EL65" i="16506"/>
  <c r="EK65" i="16506"/>
  <c r="EJ65" i="16506"/>
  <c r="EI65" i="16506"/>
  <c r="EH65" i="16506"/>
  <c r="EG65" i="16506"/>
  <c r="EF65" i="16506"/>
  <c r="ED65" i="16506"/>
  <c r="DX65" i="16506"/>
  <c r="DW65" i="16506"/>
  <c r="DV65" i="16506"/>
  <c r="DU65" i="16506"/>
  <c r="DT65" i="16506"/>
  <c r="DS65" i="16506"/>
  <c r="DR65" i="16506"/>
  <c r="DQ65" i="16506"/>
  <c r="DP65" i="16506"/>
  <c r="DO65" i="16506"/>
  <c r="DN65" i="16506"/>
  <c r="DM65" i="16506"/>
  <c r="DL65" i="16506"/>
  <c r="DK65" i="16506"/>
  <c r="DJ65" i="16506"/>
  <c r="DI65" i="16506"/>
  <c r="DH65" i="16506"/>
  <c r="DG65" i="16506"/>
  <c r="DF65" i="16506"/>
  <c r="DE65" i="16506"/>
  <c r="DD65" i="16506"/>
  <c r="DC65" i="16506"/>
  <c r="DB65" i="16506"/>
  <c r="DA65" i="16506"/>
  <c r="E62" i="16506"/>
  <c r="E60" i="16506"/>
  <c r="E57" i="16506"/>
  <c r="E55" i="16506"/>
  <c r="E52" i="16506"/>
  <c r="E49" i="16506"/>
  <c r="E47" i="16506"/>
  <c r="E45" i="16506"/>
  <c r="E44" i="16506"/>
  <c r="EZ43" i="16506"/>
  <c r="EY43" i="16506"/>
  <c r="EX43" i="16506"/>
  <c r="EW43" i="16506"/>
  <c r="EV43" i="16506"/>
  <c r="EU43" i="16506"/>
  <c r="ET43" i="16506"/>
  <c r="ES43" i="16506"/>
  <c r="ER43" i="16506"/>
  <c r="EQ43" i="16506"/>
  <c r="EP43" i="16506"/>
  <c r="EO43" i="16506"/>
  <c r="EN43" i="16506"/>
  <c r="EM43" i="16506"/>
  <c r="EL43" i="16506"/>
  <c r="EK43" i="16506"/>
  <c r="EJ43" i="16506"/>
  <c r="EI43" i="16506"/>
  <c r="EH43" i="16506"/>
  <c r="EG43" i="16506"/>
  <c r="EF43" i="16506"/>
  <c r="ED43" i="16506"/>
  <c r="DX43" i="16506"/>
  <c r="DW43" i="16506"/>
  <c r="DV43" i="16506"/>
  <c r="DU43" i="16506"/>
  <c r="DT43" i="16506"/>
  <c r="DS43" i="16506"/>
  <c r="DR43" i="16506"/>
  <c r="DQ43" i="16506"/>
  <c r="DP43" i="16506"/>
  <c r="DO43" i="16506"/>
  <c r="DN43" i="16506"/>
  <c r="DM43" i="16506"/>
  <c r="DL43" i="16506"/>
  <c r="DK43" i="16506"/>
  <c r="DJ43" i="16506"/>
  <c r="DI43" i="16506"/>
  <c r="DH43" i="16506"/>
  <c r="DG43" i="16506"/>
  <c r="DF43" i="16506"/>
  <c r="DE43" i="16506"/>
  <c r="DD43" i="16506"/>
  <c r="DC43" i="16506"/>
  <c r="DB43" i="16506"/>
  <c r="DA43" i="16506"/>
  <c r="E32" i="16506"/>
  <c r="E27" i="16506"/>
  <c r="AQ24" i="16506"/>
  <c r="E23" i="16506"/>
  <c r="EZ22" i="16506"/>
  <c r="EY22" i="16506"/>
  <c r="EX22" i="16506"/>
  <c r="EW22" i="16506"/>
  <c r="EV22" i="16506"/>
  <c r="EU22" i="16506"/>
  <c r="ET22" i="16506"/>
  <c r="ES22" i="16506"/>
  <c r="ER22" i="16506"/>
  <c r="EQ22" i="16506"/>
  <c r="EP22" i="16506"/>
  <c r="EO22" i="16506"/>
  <c r="EN22" i="16506"/>
  <c r="EM22" i="16506"/>
  <c r="EL22" i="16506"/>
  <c r="EK22" i="16506"/>
  <c r="EJ22" i="16506"/>
  <c r="EI22" i="16506"/>
  <c r="EH22" i="16506"/>
  <c r="EG22" i="16506"/>
  <c r="EF22" i="16506"/>
  <c r="ED22" i="16506"/>
  <c r="DX22" i="16506"/>
  <c r="DW22" i="16506"/>
  <c r="DV22" i="16506"/>
  <c r="DU22" i="16506"/>
  <c r="DT22" i="16506"/>
  <c r="DS22" i="16506"/>
  <c r="DR22" i="16506"/>
  <c r="DQ22" i="16506"/>
  <c r="DP22" i="16506"/>
  <c r="DO22" i="16506"/>
  <c r="DN22" i="16506"/>
  <c r="DM22" i="16506"/>
  <c r="DL22" i="16506"/>
  <c r="DK22" i="16506"/>
  <c r="DJ22" i="16506"/>
  <c r="DI22" i="16506"/>
  <c r="DH22" i="16506"/>
  <c r="DG22" i="16506"/>
  <c r="DF22" i="16506"/>
  <c r="DE22" i="16506"/>
  <c r="DD22" i="16506"/>
  <c r="DC22" i="16506"/>
  <c r="DB22" i="16506"/>
  <c r="DA22" i="16506"/>
  <c r="E14" i="16506"/>
  <c r="E7" i="16506"/>
  <c r="AS24" i="16506" l="1"/>
  <c r="BC24" i="16506"/>
  <c r="AR16" i="16506"/>
  <c r="BN90" i="16506"/>
  <c r="AT90" i="16506"/>
  <c r="BL90" i="16506"/>
  <c r="BD90" i="16506"/>
  <c r="AV90" i="16506"/>
  <c r="BJ90" i="16506"/>
  <c r="BF90" i="16506"/>
  <c r="BB90" i="16506"/>
  <c r="AX90" i="16506"/>
  <c r="BK24" i="16506"/>
  <c r="BG24" i="16506"/>
  <c r="AY24" i="16506"/>
  <c r="AU24" i="16506"/>
  <c r="BL16" i="16506"/>
  <c r="BH16" i="16506"/>
  <c r="BD16" i="16506"/>
  <c r="AZ16" i="16506"/>
  <c r="AV16" i="16506"/>
  <c r="BT90" i="16506"/>
  <c r="BN16" i="16506"/>
  <c r="BJ16" i="16506"/>
  <c r="BF16" i="16506"/>
  <c r="BB16" i="16506"/>
  <c r="AX16" i="16506"/>
  <c r="AT16" i="16506"/>
  <c r="BH90" i="16506"/>
  <c r="AZ90" i="16506"/>
  <c r="AR90" i="16506"/>
  <c r="BT24" i="16506"/>
  <c r="AA11" i="16460"/>
  <c r="BM24" i="16506"/>
  <c r="BI24" i="16506"/>
  <c r="BE24" i="16506"/>
  <c r="BA24" i="16506"/>
  <c r="AW24" i="16506"/>
  <c r="AQ51" i="16506"/>
  <c r="BL51" i="16506"/>
  <c r="BD51" i="16506"/>
  <c r="AV51" i="16506"/>
  <c r="AR51" i="16506"/>
  <c r="AR24" i="16506"/>
  <c r="CI121" i="16506"/>
  <c r="CJ121" i="16506" s="1"/>
  <c r="BH51" i="16506"/>
  <c r="AZ51" i="16506"/>
  <c r="BN51" i="16506"/>
  <c r="BJ51" i="16506"/>
  <c r="BF51" i="16506"/>
  <c r="BB51" i="16506"/>
  <c r="AX51" i="16506"/>
  <c r="AT51" i="16506"/>
  <c r="BM90" i="16506"/>
  <c r="BK90" i="16506"/>
  <c r="BI90" i="16506"/>
  <c r="BG90" i="16506"/>
  <c r="BE90" i="16506"/>
  <c r="BC90" i="16506"/>
  <c r="BA90" i="16506"/>
  <c r="AY90" i="16506"/>
  <c r="AW90" i="16506"/>
  <c r="AU90" i="16506"/>
  <c r="AS90" i="16506"/>
  <c r="AQ16" i="16506"/>
  <c r="BT51" i="16506"/>
  <c r="BN24" i="16506"/>
  <c r="BL24" i="16506"/>
  <c r="BJ24" i="16506"/>
  <c r="BH24" i="16506"/>
  <c r="BF24" i="16506"/>
  <c r="BD24" i="16506"/>
  <c r="BB24" i="16506"/>
  <c r="AZ24" i="16506"/>
  <c r="AX24" i="16506"/>
  <c r="AV24" i="16506"/>
  <c r="AT24" i="16506"/>
  <c r="BM51" i="16506"/>
  <c r="BK51" i="16506"/>
  <c r="BI51" i="16506"/>
  <c r="BG51" i="16506"/>
  <c r="BE51" i="16506"/>
  <c r="BC51" i="16506"/>
  <c r="BA51" i="16506"/>
  <c r="AY51" i="16506"/>
  <c r="AW51" i="16506"/>
  <c r="AU51" i="16506"/>
  <c r="AS51" i="16506"/>
  <c r="BM16" i="16506"/>
  <c r="BK16" i="16506"/>
  <c r="BI16" i="16506"/>
  <c r="BG16" i="16506"/>
  <c r="BE16" i="16506"/>
  <c r="BC16" i="16506"/>
  <c r="BA16" i="16506"/>
  <c r="AY16" i="16506"/>
  <c r="AW16" i="16506"/>
  <c r="AU16" i="16506"/>
  <c r="AS16" i="16506"/>
  <c r="BV99" i="16506"/>
  <c r="BW99" i="16506" s="1"/>
  <c r="BT16" i="16506"/>
  <c r="DA101" i="16506"/>
  <c r="DA100" i="16506" s="1"/>
  <c r="DC101" i="16506"/>
  <c r="DC100" i="16506" s="1"/>
  <c r="DE101" i="16506"/>
  <c r="DE100" i="16506" s="1"/>
  <c r="DG101" i="16506"/>
  <c r="DG100" i="16506" s="1"/>
  <c r="DI101" i="16506"/>
  <c r="DI100" i="16506" s="1"/>
  <c r="DK101" i="16506"/>
  <c r="DK100" i="16506" s="1"/>
  <c r="DM101" i="16506"/>
  <c r="DM100" i="16506" s="1"/>
  <c r="DO101" i="16506"/>
  <c r="DO100" i="16506" s="1"/>
  <c r="DQ101" i="16506"/>
  <c r="DQ100" i="16506" s="1"/>
  <c r="DS101" i="16506"/>
  <c r="DS100" i="16506" s="1"/>
  <c r="DU101" i="16506"/>
  <c r="DU100" i="16506" s="1"/>
  <c r="DW101" i="16506"/>
  <c r="DW100" i="16506" s="1"/>
  <c r="ED101" i="16506"/>
  <c r="ED100" i="16506" s="1"/>
  <c r="DB101" i="16506"/>
  <c r="DB100" i="16506" s="1"/>
  <c r="DD101" i="16506"/>
  <c r="DD100" i="16506" s="1"/>
  <c r="DF101" i="16506"/>
  <c r="DF100" i="16506" s="1"/>
  <c r="DH101" i="16506"/>
  <c r="DH100" i="16506" s="1"/>
  <c r="DJ101" i="16506"/>
  <c r="DJ100" i="16506" s="1"/>
  <c r="DL101" i="16506"/>
  <c r="DL100" i="16506" s="1"/>
  <c r="DN101" i="16506"/>
  <c r="DN100" i="16506" s="1"/>
  <c r="DP101" i="16506"/>
  <c r="DP100" i="16506" s="1"/>
  <c r="DR101" i="16506"/>
  <c r="DR100" i="16506" s="1"/>
  <c r="DT101" i="16506"/>
  <c r="DT100" i="16506" s="1"/>
  <c r="DV101" i="16506"/>
  <c r="DV100" i="16506" s="1"/>
  <c r="DX101" i="16506"/>
  <c r="DX100" i="16506" s="1"/>
  <c r="BV101" i="16506"/>
  <c r="EF101" i="16506" s="1"/>
  <c r="EF100" i="16506" s="1"/>
  <c r="BV120" i="16506"/>
  <c r="BW120" i="16506" s="1"/>
  <c r="H100" i="16506" l="1"/>
  <c r="BV24" i="16506"/>
  <c r="BV90" i="16506"/>
  <c r="AB11" i="16460"/>
  <c r="BV51" i="16506"/>
  <c r="BW51" i="16506" s="1"/>
  <c r="CK121" i="16506"/>
  <c r="CL121" i="16506" s="1"/>
  <c r="AL49" i="16504"/>
  <c r="AE91" i="16513" s="1"/>
  <c r="BX99" i="16506"/>
  <c r="BY99" i="16506" s="1"/>
  <c r="BX120" i="16506"/>
  <c r="BY120" i="16506" s="1"/>
  <c r="BW101" i="16506"/>
  <c r="AK41" i="16504"/>
  <c r="AD89" i="16513" s="1"/>
  <c r="BW90" i="16506" l="1"/>
  <c r="BX90" i="16506" s="1"/>
  <c r="BW24" i="16506"/>
  <c r="AO49" i="16504"/>
  <c r="AH91" i="16513" s="1"/>
  <c r="P26" i="16504"/>
  <c r="T26" i="16504"/>
  <c r="X26" i="16504"/>
  <c r="AB26" i="16504"/>
  <c r="AF26" i="16504"/>
  <c r="AJ26" i="16504"/>
  <c r="AN26" i="16504"/>
  <c r="AP26" i="16504"/>
  <c r="R26" i="16504"/>
  <c r="W26" i="16504"/>
  <c r="AC26" i="16504"/>
  <c r="AH26" i="16504"/>
  <c r="AM26" i="16504"/>
  <c r="N26" i="16504"/>
  <c r="S26" i="16504"/>
  <c r="Y26" i="16504"/>
  <c r="AD26" i="16504"/>
  <c r="AI26" i="16504"/>
  <c r="AO26" i="16504"/>
  <c r="O26" i="16504"/>
  <c r="U26" i="16504"/>
  <c r="Z26" i="16504"/>
  <c r="AE26" i="16504"/>
  <c r="AK26" i="16504"/>
  <c r="V26" i="16504"/>
  <c r="AA26" i="16504"/>
  <c r="AG26" i="16504"/>
  <c r="Q26" i="16504"/>
  <c r="AL26" i="16504"/>
  <c r="AK49" i="16504"/>
  <c r="AD91" i="16513" s="1"/>
  <c r="AN49" i="16504"/>
  <c r="AG91" i="16513" s="1"/>
  <c r="AC11" i="16460"/>
  <c r="AM49" i="16504"/>
  <c r="AF91" i="16513" s="1"/>
  <c r="AP49" i="16504"/>
  <c r="AI91" i="16513" s="1"/>
  <c r="CM121" i="16506"/>
  <c r="AL41" i="16504"/>
  <c r="AE89" i="16513" s="1"/>
  <c r="BZ99" i="16506"/>
  <c r="CA99" i="16506" s="1"/>
  <c r="BX51" i="16506"/>
  <c r="EG101" i="16506"/>
  <c r="EG100" i="16506" s="1"/>
  <c r="BX101" i="16506"/>
  <c r="BZ120" i="16506"/>
  <c r="AM41" i="16504"/>
  <c r="AF89" i="16513" s="1"/>
  <c r="BX24" i="16506" l="1"/>
  <c r="BY24" i="16506" s="1"/>
  <c r="AD11" i="16460"/>
  <c r="CN121" i="16506"/>
  <c r="CO121" i="16506" s="1"/>
  <c r="CB99" i="16506"/>
  <c r="CC99" i="16506" s="1"/>
  <c r="BY90" i="16506"/>
  <c r="BZ90" i="16506" s="1"/>
  <c r="BY51" i="16506"/>
  <c r="EH101" i="16506"/>
  <c r="EH100" i="16506" s="1"/>
  <c r="CA120" i="16506"/>
  <c r="BY101" i="16506"/>
  <c r="BZ101" i="16506" s="1"/>
  <c r="AN41" i="16504"/>
  <c r="AG89" i="16513" s="1"/>
  <c r="BZ24" i="16506" l="1"/>
  <c r="AE11" i="16460"/>
  <c r="CP121" i="16506"/>
  <c r="CQ121" i="16506" s="1"/>
  <c r="CD99" i="16506"/>
  <c r="CE99" i="16506" s="1"/>
  <c r="CF99" i="16506" s="1"/>
  <c r="BZ51" i="16506"/>
  <c r="CA90" i="16506"/>
  <c r="CB90" i="16506" s="1"/>
  <c r="EI101" i="16506"/>
  <c r="EI100" i="16506" s="1"/>
  <c r="CA101" i="16506"/>
  <c r="CB120" i="16506"/>
  <c r="EJ101" i="16506"/>
  <c r="EJ100" i="16506" s="1"/>
  <c r="AO41" i="16504"/>
  <c r="AH89" i="16513" s="1"/>
  <c r="CA24" i="16506" l="1"/>
  <c r="AF11" i="16460"/>
  <c r="CR121" i="16506"/>
  <c r="CS121" i="16506" s="1"/>
  <c r="AP41" i="16504"/>
  <c r="AI89" i="16513" s="1"/>
  <c r="CG99" i="16506"/>
  <c r="CA51" i="16506"/>
  <c r="CB51" i="16506" s="1"/>
  <c r="CC90" i="16506"/>
  <c r="EK101" i="16506"/>
  <c r="EK100" i="16506" s="1"/>
  <c r="CC120" i="16506"/>
  <c r="CB101" i="16506"/>
  <c r="CC101" i="16506" s="1"/>
  <c r="CB24" i="16506" l="1"/>
  <c r="AG11" i="16460"/>
  <c r="CT121" i="16506"/>
  <c r="CU121" i="16506" s="1"/>
  <c r="CH99" i="16506"/>
  <c r="CI99" i="16506" s="1"/>
  <c r="CD90" i="16506"/>
  <c r="CD101" i="16506"/>
  <c r="EM101" i="16506"/>
  <c r="EM100" i="16506" s="1"/>
  <c r="EL101" i="16506"/>
  <c r="EL100" i="16506" s="1"/>
  <c r="CC51" i="16506"/>
  <c r="CD120" i="16506"/>
  <c r="CE120" i="16506" s="1"/>
  <c r="L115" i="16506"/>
  <c r="M113" i="16506"/>
  <c r="N113" i="16506"/>
  <c r="O113" i="16506"/>
  <c r="P113" i="16506"/>
  <c r="Q113" i="16506"/>
  <c r="R113" i="16506"/>
  <c r="S113" i="16506"/>
  <c r="T113" i="16506"/>
  <c r="U113" i="16506"/>
  <c r="V113" i="16506"/>
  <c r="W113" i="16506"/>
  <c r="X113" i="16506"/>
  <c r="Y113" i="16506"/>
  <c r="Z113" i="16506"/>
  <c r="AA113" i="16506"/>
  <c r="AB113" i="16506"/>
  <c r="AC113" i="16506"/>
  <c r="AD113" i="16506"/>
  <c r="AE113" i="16506"/>
  <c r="AF113" i="16506"/>
  <c r="AG113" i="16506"/>
  <c r="AH113" i="16506"/>
  <c r="AI113" i="16506"/>
  <c r="AJ113" i="16506"/>
  <c r="AK113" i="16506"/>
  <c r="AL113" i="16506"/>
  <c r="AM113" i="16506"/>
  <c r="AN113" i="16506"/>
  <c r="AO113" i="16506"/>
  <c r="L113" i="16506"/>
  <c r="M112" i="16506"/>
  <c r="N112" i="16506"/>
  <c r="O112" i="16506"/>
  <c r="P112" i="16506"/>
  <c r="Q112" i="16506"/>
  <c r="R112" i="16506"/>
  <c r="S112" i="16506"/>
  <c r="T112" i="16506"/>
  <c r="U112" i="16506"/>
  <c r="V112" i="16506"/>
  <c r="W112" i="16506"/>
  <c r="X112" i="16506"/>
  <c r="Y112" i="16506"/>
  <c r="Z112" i="16506"/>
  <c r="AA112" i="16506"/>
  <c r="AB112" i="16506"/>
  <c r="AC112" i="16506"/>
  <c r="AD112" i="16506"/>
  <c r="AE112" i="16506"/>
  <c r="AF112" i="16506"/>
  <c r="AG112" i="16506"/>
  <c r="AH112" i="16506"/>
  <c r="AI112" i="16506"/>
  <c r="AJ112" i="16506"/>
  <c r="AK112" i="16506"/>
  <c r="AL112" i="16506"/>
  <c r="AM112" i="16506"/>
  <c r="AN112" i="16506"/>
  <c r="AO112" i="16506"/>
  <c r="L112" i="16506"/>
  <c r="CC24" i="16506" l="1"/>
  <c r="AH11" i="16460"/>
  <c r="CV121" i="16506"/>
  <c r="BM112" i="16506"/>
  <c r="BT116" i="16506"/>
  <c r="BT112" i="16506"/>
  <c r="BT113" i="16506"/>
  <c r="BK112" i="16506"/>
  <c r="BI112" i="16506"/>
  <c r="BG112" i="16506"/>
  <c r="BE112" i="16506"/>
  <c r="BC112" i="16506"/>
  <c r="BA112" i="16506"/>
  <c r="AY112" i="16506"/>
  <c r="BM113" i="16506"/>
  <c r="BK113" i="16506"/>
  <c r="BI113" i="16506"/>
  <c r="BG113" i="16506"/>
  <c r="BE113" i="16506"/>
  <c r="BC113" i="16506"/>
  <c r="BA113" i="16506"/>
  <c r="AY113" i="16506"/>
  <c r="AU113" i="16506"/>
  <c r="AS113" i="16506"/>
  <c r="BN116" i="16506"/>
  <c r="BL116" i="16506"/>
  <c r="BJ116" i="16506"/>
  <c r="BH116" i="16506"/>
  <c r="BF116" i="16506"/>
  <c r="BD116" i="16506"/>
  <c r="BB116" i="16506"/>
  <c r="AZ116" i="16506"/>
  <c r="AX116" i="16506"/>
  <c r="AV116" i="16506"/>
  <c r="CJ99" i="16506"/>
  <c r="AQ112" i="16506"/>
  <c r="AW112" i="16506"/>
  <c r="AU112" i="16506"/>
  <c r="AS112" i="16506"/>
  <c r="AQ113" i="16506"/>
  <c r="AW113" i="16506"/>
  <c r="AQ115" i="16506"/>
  <c r="AT116" i="16506"/>
  <c r="AR116" i="16506"/>
  <c r="AX112" i="16506"/>
  <c r="AR112" i="16506"/>
  <c r="AX113" i="16506"/>
  <c r="AV113" i="16506"/>
  <c r="AT113" i="16506"/>
  <c r="AR113" i="16506"/>
  <c r="AQ116" i="16506"/>
  <c r="AW116" i="16506"/>
  <c r="AU116" i="16506"/>
  <c r="AS116" i="16506"/>
  <c r="BN112" i="16506"/>
  <c r="BL112" i="16506"/>
  <c r="BJ112" i="16506"/>
  <c r="BH112" i="16506"/>
  <c r="BF112" i="16506"/>
  <c r="BD112" i="16506"/>
  <c r="BB112" i="16506"/>
  <c r="AZ112" i="16506"/>
  <c r="AV112" i="16506"/>
  <c r="AT112" i="16506"/>
  <c r="BN113" i="16506"/>
  <c r="BL113" i="16506"/>
  <c r="BJ113" i="16506"/>
  <c r="BH113" i="16506"/>
  <c r="BF113" i="16506"/>
  <c r="BD113" i="16506"/>
  <c r="BB113" i="16506"/>
  <c r="AZ113" i="16506"/>
  <c r="BM116" i="16506"/>
  <c r="BK116" i="16506"/>
  <c r="BI116" i="16506"/>
  <c r="BG116" i="16506"/>
  <c r="BE116" i="16506"/>
  <c r="BC116" i="16506"/>
  <c r="BA116" i="16506"/>
  <c r="AY116" i="16506"/>
  <c r="CE90" i="16506"/>
  <c r="EN101" i="16506"/>
  <c r="EN100" i="16506" s="1"/>
  <c r="CE101" i="16506"/>
  <c r="CF120" i="16506"/>
  <c r="CD51" i="16506"/>
  <c r="CD24" i="16506" l="1"/>
  <c r="AI11" i="16460"/>
  <c r="CW121" i="16506"/>
  <c r="CX121" i="16506" s="1"/>
  <c r="CY121" i="16506" s="1"/>
  <c r="CK99" i="16506"/>
  <c r="CL99" i="16506" s="1"/>
  <c r="BV116" i="16506"/>
  <c r="BV113" i="16506"/>
  <c r="BV112" i="16506"/>
  <c r="CF90" i="16506"/>
  <c r="CE51" i="16506"/>
  <c r="CF51" i="16506" s="1"/>
  <c r="EO101" i="16506"/>
  <c r="EO100" i="16506" s="1"/>
  <c r="CF101" i="16506"/>
  <c r="CG101" i="16506" s="1"/>
  <c r="CG120" i="16506"/>
  <c r="L84" i="16506"/>
  <c r="CE24" i="16506" l="1"/>
  <c r="AJ11" i="16460"/>
  <c r="CM99" i="16506"/>
  <c r="CN99" i="16506" s="1"/>
  <c r="BW112" i="16506"/>
  <c r="AQ84" i="16506"/>
  <c r="BW116" i="16506"/>
  <c r="BX116" i="16506" s="1"/>
  <c r="BW113" i="16506"/>
  <c r="CG90" i="16506"/>
  <c r="CH90" i="16506" s="1"/>
  <c r="CI90" i="16506" s="1"/>
  <c r="CJ90" i="16506" s="1"/>
  <c r="CK90" i="16506" s="1"/>
  <c r="CL90" i="16506" s="1"/>
  <c r="CM90" i="16506" s="1"/>
  <c r="CN90" i="16506" s="1"/>
  <c r="CO90" i="16506" s="1"/>
  <c r="CP90" i="16506" s="1"/>
  <c r="CQ90" i="16506" s="1"/>
  <c r="CR90" i="16506" s="1"/>
  <c r="CS90" i="16506" s="1"/>
  <c r="CT90" i="16506" s="1"/>
  <c r="CU90" i="16506" s="1"/>
  <c r="CV90" i="16506" s="1"/>
  <c r="CW90" i="16506" s="1"/>
  <c r="EQ101" i="16506"/>
  <c r="EQ100" i="16506" s="1"/>
  <c r="EP101" i="16506"/>
  <c r="EP100" i="16506" s="1"/>
  <c r="CH101" i="16506"/>
  <c r="CI101" i="16506" s="1"/>
  <c r="CG51" i="16506"/>
  <c r="CH51" i="16506" s="1"/>
  <c r="CH120" i="16506"/>
  <c r="M63" i="16506"/>
  <c r="N63" i="16506"/>
  <c r="O63" i="16506"/>
  <c r="P63" i="16506"/>
  <c r="Q63" i="16506"/>
  <c r="R63" i="16506"/>
  <c r="S63" i="16506"/>
  <c r="T63" i="16506"/>
  <c r="U63" i="16506"/>
  <c r="V63" i="16506"/>
  <c r="W63" i="16506"/>
  <c r="X63" i="16506"/>
  <c r="Y63" i="16506"/>
  <c r="Z63" i="16506"/>
  <c r="AA63" i="16506"/>
  <c r="AB63" i="16506"/>
  <c r="AC63" i="16506"/>
  <c r="AD63" i="16506"/>
  <c r="AE63" i="16506"/>
  <c r="AF63" i="16506"/>
  <c r="AG63" i="16506"/>
  <c r="AH63" i="16506"/>
  <c r="AI63" i="16506"/>
  <c r="AJ63" i="16506"/>
  <c r="AK63" i="16506"/>
  <c r="AL63" i="16506"/>
  <c r="AM63" i="16506"/>
  <c r="AN63" i="16506"/>
  <c r="AO63" i="16506"/>
  <c r="M64" i="16506"/>
  <c r="N64" i="16506"/>
  <c r="O64" i="16506"/>
  <c r="P64" i="16506"/>
  <c r="Q64" i="16506"/>
  <c r="R64" i="16506"/>
  <c r="S64" i="16506"/>
  <c r="T64" i="16506"/>
  <c r="U64" i="16506"/>
  <c r="V64" i="16506"/>
  <c r="W64" i="16506"/>
  <c r="X64" i="16506"/>
  <c r="Y64" i="16506"/>
  <c r="Z64" i="16506"/>
  <c r="AA64" i="16506"/>
  <c r="AB64" i="16506"/>
  <c r="AC64" i="16506"/>
  <c r="AD64" i="16506"/>
  <c r="AE64" i="16506"/>
  <c r="AF64" i="16506"/>
  <c r="AG64" i="16506"/>
  <c r="AH64" i="16506"/>
  <c r="AI64" i="16506"/>
  <c r="AJ64" i="16506"/>
  <c r="AK64" i="16506"/>
  <c r="AL64" i="16506"/>
  <c r="AM64" i="16506"/>
  <c r="AN64" i="16506"/>
  <c r="AO64" i="16506"/>
  <c r="L63" i="16506"/>
  <c r="L64" i="16506"/>
  <c r="AI61" i="16506"/>
  <c r="AJ61" i="16506"/>
  <c r="AK61" i="16506"/>
  <c r="AL61" i="16506"/>
  <c r="AM61" i="16506"/>
  <c r="AN61" i="16506"/>
  <c r="AO61" i="16506"/>
  <c r="M61" i="16506"/>
  <c r="N61" i="16506"/>
  <c r="O61" i="16506"/>
  <c r="P61" i="16506"/>
  <c r="Q61" i="16506"/>
  <c r="R61" i="16506"/>
  <c r="S61" i="16506"/>
  <c r="T61" i="16506"/>
  <c r="U61" i="16506"/>
  <c r="V61" i="16506"/>
  <c r="W61" i="16506"/>
  <c r="X61" i="16506"/>
  <c r="Y61" i="16506"/>
  <c r="Z61" i="16506"/>
  <c r="AA61" i="16506"/>
  <c r="AB61" i="16506"/>
  <c r="AC61" i="16506"/>
  <c r="AD61" i="16506"/>
  <c r="AE61" i="16506"/>
  <c r="AF61" i="16506"/>
  <c r="AG61" i="16506"/>
  <c r="AH61" i="16506"/>
  <c r="L61" i="16506"/>
  <c r="M58" i="16506"/>
  <c r="N58" i="16506"/>
  <c r="O58" i="16506"/>
  <c r="P58" i="16506"/>
  <c r="Q58" i="16506"/>
  <c r="R58" i="16506"/>
  <c r="S58" i="16506"/>
  <c r="T58" i="16506"/>
  <c r="U58" i="16506"/>
  <c r="V58" i="16506"/>
  <c r="W58" i="16506"/>
  <c r="X58" i="16506"/>
  <c r="Y58" i="16506"/>
  <c r="Z58" i="16506"/>
  <c r="AA58" i="16506"/>
  <c r="AB58" i="16506"/>
  <c r="AC58" i="16506"/>
  <c r="AD58" i="16506"/>
  <c r="AE58" i="16506"/>
  <c r="AF58" i="16506"/>
  <c r="AG58" i="16506"/>
  <c r="AH58" i="16506"/>
  <c r="AI58" i="16506"/>
  <c r="AJ58" i="16506"/>
  <c r="AK58" i="16506"/>
  <c r="AL58" i="16506"/>
  <c r="AM58" i="16506"/>
  <c r="AN58" i="16506"/>
  <c r="AO58" i="16506"/>
  <c r="L58" i="16506"/>
  <c r="M56" i="16506"/>
  <c r="N56" i="16506"/>
  <c r="O56" i="16506"/>
  <c r="P56" i="16506"/>
  <c r="Q56" i="16506"/>
  <c r="R56" i="16506"/>
  <c r="S56" i="16506"/>
  <c r="T56" i="16506"/>
  <c r="U56" i="16506"/>
  <c r="V56" i="16506"/>
  <c r="W56" i="16506"/>
  <c r="X56" i="16506"/>
  <c r="Y56" i="16506"/>
  <c r="Z56" i="16506"/>
  <c r="AA56" i="16506"/>
  <c r="AB56" i="16506"/>
  <c r="AC56" i="16506"/>
  <c r="AD56" i="16506"/>
  <c r="AE56" i="16506"/>
  <c r="AF56" i="16506"/>
  <c r="AG56" i="16506"/>
  <c r="AH56" i="16506"/>
  <c r="AI56" i="16506"/>
  <c r="AJ56" i="16506"/>
  <c r="AK56" i="16506"/>
  <c r="AL56" i="16506"/>
  <c r="AM56" i="16506"/>
  <c r="AN56" i="16506"/>
  <c r="AO56" i="16506"/>
  <c r="L56" i="16506"/>
  <c r="M53" i="16506"/>
  <c r="N53" i="16506"/>
  <c r="O53" i="16506"/>
  <c r="P53" i="16506"/>
  <c r="Q53" i="16506"/>
  <c r="R53" i="16506"/>
  <c r="S53" i="16506"/>
  <c r="T53" i="16506"/>
  <c r="U53" i="16506"/>
  <c r="V53" i="16506"/>
  <c r="W53" i="16506"/>
  <c r="X53" i="16506"/>
  <c r="Y53" i="16506"/>
  <c r="Z53" i="16506"/>
  <c r="AA53" i="16506"/>
  <c r="AB53" i="16506"/>
  <c r="AC53" i="16506"/>
  <c r="AD53" i="16506"/>
  <c r="AE53" i="16506"/>
  <c r="AF53" i="16506"/>
  <c r="AG53" i="16506"/>
  <c r="AH53" i="16506"/>
  <c r="AI53" i="16506"/>
  <c r="AJ53" i="16506"/>
  <c r="AK53" i="16506"/>
  <c r="AL53" i="16506"/>
  <c r="AM53" i="16506"/>
  <c r="AN53" i="16506"/>
  <c r="AO53" i="16506"/>
  <c r="L53" i="16506"/>
  <c r="AQ53" i="16506" s="1"/>
  <c r="M48" i="16506"/>
  <c r="N48" i="16506"/>
  <c r="O48" i="16506"/>
  <c r="P48" i="16506"/>
  <c r="Q48" i="16506"/>
  <c r="R48" i="16506"/>
  <c r="S48" i="16506"/>
  <c r="T48" i="16506"/>
  <c r="U48" i="16506"/>
  <c r="V48" i="16506"/>
  <c r="W48" i="16506"/>
  <c r="X48" i="16506"/>
  <c r="Y48" i="16506"/>
  <c r="Z48" i="16506"/>
  <c r="AA48" i="16506"/>
  <c r="AB48" i="16506"/>
  <c r="AC48" i="16506"/>
  <c r="AD48" i="16506"/>
  <c r="AE48" i="16506"/>
  <c r="AF48" i="16506"/>
  <c r="AG48" i="16506"/>
  <c r="AH48" i="16506"/>
  <c r="AI48" i="16506"/>
  <c r="AJ48" i="16506"/>
  <c r="AK48" i="16506"/>
  <c r="AL48" i="16506"/>
  <c r="AM48" i="16506"/>
  <c r="AN48" i="16506"/>
  <c r="AO48" i="16506"/>
  <c r="M50" i="16506"/>
  <c r="N50" i="16506"/>
  <c r="O50" i="16506"/>
  <c r="P50" i="16506"/>
  <c r="Q50" i="16506"/>
  <c r="R50" i="16506"/>
  <c r="S50" i="16506"/>
  <c r="T50" i="16506"/>
  <c r="U50" i="16506"/>
  <c r="V50" i="16506"/>
  <c r="W50" i="16506"/>
  <c r="X50" i="16506"/>
  <c r="Y50" i="16506"/>
  <c r="Z50" i="16506"/>
  <c r="AA50" i="16506"/>
  <c r="AB50" i="16506"/>
  <c r="AC50" i="16506"/>
  <c r="AD50" i="16506"/>
  <c r="AE50" i="16506"/>
  <c r="AF50" i="16506"/>
  <c r="AG50" i="16506"/>
  <c r="AH50" i="16506"/>
  <c r="AI50" i="16506"/>
  <c r="AJ50" i="16506"/>
  <c r="AK50" i="16506"/>
  <c r="AL50" i="16506"/>
  <c r="AM50" i="16506"/>
  <c r="AN50" i="16506"/>
  <c r="AO50" i="16506"/>
  <c r="L50" i="16506"/>
  <c r="L48" i="16506"/>
  <c r="M46" i="16506"/>
  <c r="N46" i="16506"/>
  <c r="O46" i="16506"/>
  <c r="P46" i="16506"/>
  <c r="Q46" i="16506"/>
  <c r="R46" i="16506"/>
  <c r="S46" i="16506"/>
  <c r="T46" i="16506"/>
  <c r="U46" i="16506"/>
  <c r="V46" i="16506"/>
  <c r="W46" i="16506"/>
  <c r="X46" i="16506"/>
  <c r="Y46" i="16506"/>
  <c r="Z46" i="16506"/>
  <c r="AA46" i="16506"/>
  <c r="AB46" i="16506"/>
  <c r="AC46" i="16506"/>
  <c r="AD46" i="16506"/>
  <c r="AE46" i="16506"/>
  <c r="AF46" i="16506"/>
  <c r="AG46" i="16506"/>
  <c r="AH46" i="16506"/>
  <c r="AI46" i="16506"/>
  <c r="AJ46" i="16506"/>
  <c r="AK46" i="16506"/>
  <c r="AL46" i="16506"/>
  <c r="AM46" i="16506"/>
  <c r="AN46" i="16506"/>
  <c r="AO46" i="16506"/>
  <c r="CF24" i="16506" l="1"/>
  <c r="AS58" i="16506"/>
  <c r="AK11" i="16460"/>
  <c r="AU58" i="16506"/>
  <c r="AT58" i="16506"/>
  <c r="AR58" i="16506"/>
  <c r="BT48" i="16506"/>
  <c r="BT53" i="16506"/>
  <c r="BT61" i="16506"/>
  <c r="BT63" i="16506"/>
  <c r="BT50" i="16506"/>
  <c r="AQ64" i="16506"/>
  <c r="BT64" i="16506"/>
  <c r="BT46" i="16506"/>
  <c r="BA46" i="16506"/>
  <c r="AY46" i="16506"/>
  <c r="AW46" i="16506"/>
  <c r="AS46" i="16506"/>
  <c r="AR50" i="16506"/>
  <c r="BM53" i="16506"/>
  <c r="BK53" i="16506"/>
  <c r="BI53" i="16506"/>
  <c r="BG53" i="16506"/>
  <c r="BE53" i="16506"/>
  <c r="BA53" i="16506"/>
  <c r="AY53" i="16506"/>
  <c r="AS53" i="16506"/>
  <c r="BT58" i="16506"/>
  <c r="BA58" i="16506"/>
  <c r="AY58" i="16506"/>
  <c r="AW58" i="16506"/>
  <c r="BL61" i="16506"/>
  <c r="BJ61" i="16506"/>
  <c r="BH61" i="16506"/>
  <c r="BF61" i="16506"/>
  <c r="BB61" i="16506"/>
  <c r="AZ61" i="16506"/>
  <c r="AT61" i="16506"/>
  <c r="BN64" i="16506"/>
  <c r="BL64" i="16506"/>
  <c r="BJ64" i="16506"/>
  <c r="BH64" i="16506"/>
  <c r="BF64" i="16506"/>
  <c r="BD64" i="16506"/>
  <c r="BB64" i="16506"/>
  <c r="AZ64" i="16506"/>
  <c r="AX64" i="16506"/>
  <c r="AV64" i="16506"/>
  <c r="AT64" i="16506"/>
  <c r="BK46" i="16506"/>
  <c r="BE46" i="16506"/>
  <c r="BN46" i="16506"/>
  <c r="BL46" i="16506"/>
  <c r="BJ46" i="16506"/>
  <c r="BH46" i="16506"/>
  <c r="BF46" i="16506"/>
  <c r="BD46" i="16506"/>
  <c r="BB46" i="16506"/>
  <c r="AZ46" i="16506"/>
  <c r="AX46" i="16506"/>
  <c r="AV46" i="16506"/>
  <c r="AT46" i="16506"/>
  <c r="BN58" i="16506"/>
  <c r="BL58" i="16506"/>
  <c r="BJ58" i="16506"/>
  <c r="BH58" i="16506"/>
  <c r="BF58" i="16506"/>
  <c r="BD58" i="16506"/>
  <c r="BB58" i="16506"/>
  <c r="AZ58" i="16506"/>
  <c r="AX58" i="16506"/>
  <c r="AV58" i="16506"/>
  <c r="BM46" i="16506"/>
  <c r="BI46" i="16506"/>
  <c r="BG46" i="16506"/>
  <c r="BC46" i="16506"/>
  <c r="AU46" i="16506"/>
  <c r="BM58" i="16506"/>
  <c r="BK58" i="16506"/>
  <c r="BI58" i="16506"/>
  <c r="BG58" i="16506"/>
  <c r="BE58" i="16506"/>
  <c r="BC58" i="16506"/>
  <c r="CO99" i="16506"/>
  <c r="CP99" i="16506" s="1"/>
  <c r="BX112" i="16506"/>
  <c r="BL48" i="16506"/>
  <c r="BK48" i="16506"/>
  <c r="BH48" i="16506"/>
  <c r="BG48" i="16506"/>
  <c r="BD48" i="16506"/>
  <c r="BC48" i="16506"/>
  <c r="AZ48" i="16506"/>
  <c r="AY48" i="16506"/>
  <c r="AV48" i="16506"/>
  <c r="AU48" i="16506"/>
  <c r="AQ50" i="16506"/>
  <c r="BN50" i="16506"/>
  <c r="BM50" i="16506"/>
  <c r="BL50" i="16506"/>
  <c r="BK50" i="16506"/>
  <c r="BJ50" i="16506"/>
  <c r="BI50" i="16506"/>
  <c r="BH50" i="16506"/>
  <c r="BG50" i="16506"/>
  <c r="BF50" i="16506"/>
  <c r="BE50" i="16506"/>
  <c r="BD50" i="16506"/>
  <c r="BC50" i="16506"/>
  <c r="BB50" i="16506"/>
  <c r="BA50" i="16506"/>
  <c r="AZ50" i="16506"/>
  <c r="AY50" i="16506"/>
  <c r="AX50" i="16506"/>
  <c r="AW50" i="16506"/>
  <c r="AV50" i="16506"/>
  <c r="AU50" i="16506"/>
  <c r="AT50" i="16506"/>
  <c r="AS50" i="16506"/>
  <c r="AR48" i="16506"/>
  <c r="BD53" i="16506"/>
  <c r="AZ53" i="16506"/>
  <c r="AV53" i="16506"/>
  <c r="AT53" i="16506"/>
  <c r="AR53" i="16506"/>
  <c r="BT56" i="16506"/>
  <c r="BM56" i="16506"/>
  <c r="BL56" i="16506"/>
  <c r="BK56" i="16506"/>
  <c r="BJ56" i="16506"/>
  <c r="BI56" i="16506"/>
  <c r="BH56" i="16506"/>
  <c r="BG56" i="16506"/>
  <c r="BF56" i="16506"/>
  <c r="BE56" i="16506"/>
  <c r="BD56" i="16506"/>
  <c r="BC56" i="16506"/>
  <c r="BB56" i="16506"/>
  <c r="BA56" i="16506"/>
  <c r="AZ56" i="16506"/>
  <c r="AY56" i="16506"/>
  <c r="AX56" i="16506"/>
  <c r="AW56" i="16506"/>
  <c r="AV56" i="16506"/>
  <c r="AU56" i="16506"/>
  <c r="AT56" i="16506"/>
  <c r="AS56" i="16506"/>
  <c r="AR56" i="16506"/>
  <c r="BC61" i="16506"/>
  <c r="BA61" i="16506"/>
  <c r="AW61" i="16506"/>
  <c r="AU61" i="16506"/>
  <c r="AQ63" i="16506"/>
  <c r="BM63" i="16506"/>
  <c r="BL63" i="16506"/>
  <c r="BK63" i="16506"/>
  <c r="BJ63" i="16506"/>
  <c r="BI63" i="16506"/>
  <c r="BH63" i="16506"/>
  <c r="BG63" i="16506"/>
  <c r="BF63" i="16506"/>
  <c r="BE63" i="16506"/>
  <c r="BD63" i="16506"/>
  <c r="BC63" i="16506"/>
  <c r="BB63" i="16506"/>
  <c r="BA63" i="16506"/>
  <c r="AZ63" i="16506"/>
  <c r="AY63" i="16506"/>
  <c r="AX63" i="16506"/>
  <c r="AW63" i="16506"/>
  <c r="AV63" i="16506"/>
  <c r="AU63" i="16506"/>
  <c r="AT63" i="16506"/>
  <c r="AS63" i="16506"/>
  <c r="AR63" i="16506"/>
  <c r="AR46" i="16506"/>
  <c r="BN53" i="16506"/>
  <c r="BL53" i="16506"/>
  <c r="BJ53" i="16506"/>
  <c r="BH53" i="16506"/>
  <c r="BF53" i="16506"/>
  <c r="BB53" i="16506"/>
  <c r="AX53" i="16506"/>
  <c r="BN56" i="16506"/>
  <c r="BM61" i="16506"/>
  <c r="BK61" i="16506"/>
  <c r="BI61" i="16506"/>
  <c r="BG61" i="16506"/>
  <c r="BE61" i="16506"/>
  <c r="AY61" i="16506"/>
  <c r="AS61" i="16506"/>
  <c r="BN61" i="16506"/>
  <c r="BM64" i="16506"/>
  <c r="BK64" i="16506"/>
  <c r="BI64" i="16506"/>
  <c r="BG64" i="16506"/>
  <c r="BE64" i="16506"/>
  <c r="BC64" i="16506"/>
  <c r="BA64" i="16506"/>
  <c r="AY64" i="16506"/>
  <c r="AW64" i="16506"/>
  <c r="AU64" i="16506"/>
  <c r="AS64" i="16506"/>
  <c r="BN63" i="16506"/>
  <c r="AQ46" i="16506"/>
  <c r="AQ48" i="16506"/>
  <c r="BN48" i="16506"/>
  <c r="BM48" i="16506"/>
  <c r="BJ48" i="16506"/>
  <c r="BI48" i="16506"/>
  <c r="BF48" i="16506"/>
  <c r="BE48" i="16506"/>
  <c r="BB48" i="16506"/>
  <c r="BA48" i="16506"/>
  <c r="AX48" i="16506"/>
  <c r="AW48" i="16506"/>
  <c r="AT48" i="16506"/>
  <c r="AS48" i="16506"/>
  <c r="BC53" i="16506"/>
  <c r="AW53" i="16506"/>
  <c r="AU53" i="16506"/>
  <c r="AQ56" i="16506"/>
  <c r="AQ58" i="16506"/>
  <c r="AQ61" i="16506"/>
  <c r="BD61" i="16506"/>
  <c r="AX61" i="16506"/>
  <c r="AV61" i="16506"/>
  <c r="AR61" i="16506"/>
  <c r="BX113" i="16506"/>
  <c r="BY113" i="16506" s="1"/>
  <c r="BY116" i="16506"/>
  <c r="AR64" i="16506"/>
  <c r="ES101" i="16506"/>
  <c r="ES100" i="16506" s="1"/>
  <c r="CJ101" i="16506"/>
  <c r="ER101" i="16506"/>
  <c r="ER100" i="16506" s="1"/>
  <c r="CI120" i="16506"/>
  <c r="CI51" i="16506"/>
  <c r="CJ51" i="16506" s="1"/>
  <c r="CG24" i="16506" l="1"/>
  <c r="AL11" i="16460"/>
  <c r="BV46" i="16506"/>
  <c r="BW46" i="16506" s="1"/>
  <c r="CQ99" i="16506"/>
  <c r="BY112" i="16506"/>
  <c r="M25" i="16457"/>
  <c r="L28" i="16506"/>
  <c r="BV61" i="16506"/>
  <c r="BV56" i="16506"/>
  <c r="BW56" i="16506" s="1"/>
  <c r="BV50" i="16506"/>
  <c r="BZ113" i="16506"/>
  <c r="CA113" i="16506" s="1"/>
  <c r="BV63" i="16506"/>
  <c r="BZ116" i="16506"/>
  <c r="ET101" i="16506"/>
  <c r="ET100" i="16506" s="1"/>
  <c r="CK101" i="16506"/>
  <c r="CK51" i="16506"/>
  <c r="CJ120" i="16506"/>
  <c r="CK120" i="16506" s="1"/>
  <c r="M17" i="16506"/>
  <c r="N17" i="16506"/>
  <c r="O17" i="16506"/>
  <c r="P17" i="16506"/>
  <c r="Q17" i="16506"/>
  <c r="R17" i="16506"/>
  <c r="S17" i="16506"/>
  <c r="T17" i="16506"/>
  <c r="U17" i="16506"/>
  <c r="V17" i="16506"/>
  <c r="W17" i="16506"/>
  <c r="X17" i="16506"/>
  <c r="Y17" i="16506"/>
  <c r="Z17" i="16506"/>
  <c r="AA17" i="16506"/>
  <c r="AB17" i="16506"/>
  <c r="AC17" i="16506"/>
  <c r="AD17" i="16506"/>
  <c r="AE17" i="16506"/>
  <c r="AF17" i="16506"/>
  <c r="AG17" i="16506"/>
  <c r="AH17" i="16506"/>
  <c r="AI17" i="16506"/>
  <c r="AJ17" i="16506"/>
  <c r="AK17" i="16506"/>
  <c r="AL17" i="16506"/>
  <c r="AM17" i="16506"/>
  <c r="AN17" i="16506"/>
  <c r="AO17" i="16506"/>
  <c r="M18" i="16506"/>
  <c r="N18" i="16506"/>
  <c r="O18" i="16506"/>
  <c r="P18" i="16506"/>
  <c r="Q18" i="16506"/>
  <c r="R18" i="16506"/>
  <c r="S18" i="16506"/>
  <c r="T18" i="16506"/>
  <c r="U18" i="16506"/>
  <c r="V18" i="16506"/>
  <c r="W18" i="16506"/>
  <c r="X18" i="16506"/>
  <c r="Y18" i="16506"/>
  <c r="Z18" i="16506"/>
  <c r="AA18" i="16506"/>
  <c r="AB18" i="16506"/>
  <c r="AC18" i="16506"/>
  <c r="AD18" i="16506"/>
  <c r="AE18" i="16506"/>
  <c r="AF18" i="16506"/>
  <c r="AG18" i="16506"/>
  <c r="AH18" i="16506"/>
  <c r="AI18" i="16506"/>
  <c r="AJ18" i="16506"/>
  <c r="AK18" i="16506"/>
  <c r="AL18" i="16506"/>
  <c r="AM18" i="16506"/>
  <c r="AN18" i="16506"/>
  <c r="AO18" i="16506"/>
  <c r="M19" i="16506"/>
  <c r="N19" i="16506"/>
  <c r="O19" i="16506"/>
  <c r="P19" i="16506"/>
  <c r="Q19" i="16506"/>
  <c r="R19" i="16506"/>
  <c r="S19" i="16506"/>
  <c r="T19" i="16506"/>
  <c r="U19" i="16506"/>
  <c r="V19" i="16506"/>
  <c r="W19" i="16506"/>
  <c r="X19" i="16506"/>
  <c r="Y19" i="16506"/>
  <c r="Z19" i="16506"/>
  <c r="AA19" i="16506"/>
  <c r="AB19" i="16506"/>
  <c r="AC19" i="16506"/>
  <c r="AD19" i="16506"/>
  <c r="AE19" i="16506"/>
  <c r="AF19" i="16506"/>
  <c r="AG19" i="16506"/>
  <c r="AH19" i="16506"/>
  <c r="AI19" i="16506"/>
  <c r="AJ19" i="16506"/>
  <c r="AK19" i="16506"/>
  <c r="AL19" i="16506"/>
  <c r="AM19" i="16506"/>
  <c r="AN19" i="16506"/>
  <c r="AO19" i="16506"/>
  <c r="M20" i="16506"/>
  <c r="N20" i="16506"/>
  <c r="O20" i="16506"/>
  <c r="P20" i="16506"/>
  <c r="Q20" i="16506"/>
  <c r="R20" i="16506"/>
  <c r="S20" i="16506"/>
  <c r="T20" i="16506"/>
  <c r="U20" i="16506"/>
  <c r="V20" i="16506"/>
  <c r="W20" i="16506"/>
  <c r="X20" i="16506"/>
  <c r="Y20" i="16506"/>
  <c r="Z20" i="16506"/>
  <c r="AA20" i="16506"/>
  <c r="AB20" i="16506"/>
  <c r="AC20" i="16506"/>
  <c r="AD20" i="16506"/>
  <c r="AE20" i="16506"/>
  <c r="AF20" i="16506"/>
  <c r="AG20" i="16506"/>
  <c r="AH20" i="16506"/>
  <c r="AI20" i="16506"/>
  <c r="AJ20" i="16506"/>
  <c r="AK20" i="16506"/>
  <c r="AL20" i="16506"/>
  <c r="AM20" i="16506"/>
  <c r="AN20" i="16506"/>
  <c r="AO20" i="16506"/>
  <c r="M21" i="16506"/>
  <c r="N21" i="16506"/>
  <c r="O21" i="16506"/>
  <c r="P21" i="16506"/>
  <c r="Q21" i="16506"/>
  <c r="R21" i="16506"/>
  <c r="S21" i="16506"/>
  <c r="T21" i="16506"/>
  <c r="U21" i="16506"/>
  <c r="V21" i="16506"/>
  <c r="W21" i="16506"/>
  <c r="X21" i="16506"/>
  <c r="Y21" i="16506"/>
  <c r="Z21" i="16506"/>
  <c r="AA21" i="16506"/>
  <c r="AB21" i="16506"/>
  <c r="AC21" i="16506"/>
  <c r="AD21" i="16506"/>
  <c r="AE21" i="16506"/>
  <c r="AF21" i="16506"/>
  <c r="AG21" i="16506"/>
  <c r="AH21" i="16506"/>
  <c r="AI21" i="16506"/>
  <c r="AJ21" i="16506"/>
  <c r="AK21" i="16506"/>
  <c r="AL21" i="16506"/>
  <c r="AM21" i="16506"/>
  <c r="AN21" i="16506"/>
  <c r="AO21" i="16506"/>
  <c r="L21" i="16506"/>
  <c r="L20" i="16506"/>
  <c r="L19" i="16506"/>
  <c r="L18" i="16506"/>
  <c r="L17" i="16506"/>
  <c r="CH24" i="16506" l="1"/>
  <c r="BT21" i="16506"/>
  <c r="BT19" i="16506"/>
  <c r="BT17" i="16506"/>
  <c r="BT20" i="16506"/>
  <c r="BT18" i="16506"/>
  <c r="BX56" i="16506"/>
  <c r="BM21" i="16506"/>
  <c r="BK21" i="16506"/>
  <c r="BI21" i="16506"/>
  <c r="BG21" i="16506"/>
  <c r="BE21" i="16506"/>
  <c r="BC21" i="16506"/>
  <c r="BN20" i="16506"/>
  <c r="BN18" i="16506"/>
  <c r="CR99" i="16506"/>
  <c r="BZ112" i="16506"/>
  <c r="CB113" i="16506"/>
  <c r="CC113" i="16506" s="1"/>
  <c r="AQ17" i="16506"/>
  <c r="AQ21" i="16506"/>
  <c r="AY21" i="16506"/>
  <c r="BK20" i="16506"/>
  <c r="BJ20" i="16506"/>
  <c r="BG20" i="16506"/>
  <c r="BF20" i="16506"/>
  <c r="BC20" i="16506"/>
  <c r="BB20" i="16506"/>
  <c r="AW20" i="16506"/>
  <c r="AV20" i="16506"/>
  <c r="AS20" i="16506"/>
  <c r="AR20" i="16506"/>
  <c r="BN19" i="16506"/>
  <c r="BM19" i="16506"/>
  <c r="BJ19" i="16506"/>
  <c r="BI19" i="16506"/>
  <c r="BF19" i="16506"/>
  <c r="BE19" i="16506"/>
  <c r="BB19" i="16506"/>
  <c r="BA19" i="16506"/>
  <c r="AZ19" i="16506"/>
  <c r="AY19" i="16506"/>
  <c r="AV19" i="16506"/>
  <c r="AU19" i="16506"/>
  <c r="AT19" i="16506"/>
  <c r="AS19" i="16506"/>
  <c r="BK18" i="16506"/>
  <c r="BJ18" i="16506"/>
  <c r="BG18" i="16506"/>
  <c r="BF18" i="16506"/>
  <c r="BC18" i="16506"/>
  <c r="BB18" i="16506"/>
  <c r="AY18" i="16506"/>
  <c r="AX18" i="16506"/>
  <c r="AU18" i="16506"/>
  <c r="AT18" i="16506"/>
  <c r="BN17" i="16506"/>
  <c r="BM17" i="16506"/>
  <c r="BJ17" i="16506"/>
  <c r="BI17" i="16506"/>
  <c r="BF17" i="16506"/>
  <c r="BE17" i="16506"/>
  <c r="BB17" i="16506"/>
  <c r="BA17" i="16506"/>
  <c r="AX17" i="16506"/>
  <c r="AW17" i="16506"/>
  <c r="AT17" i="16506"/>
  <c r="AS17" i="16506"/>
  <c r="AQ18" i="16506"/>
  <c r="AQ20" i="16506"/>
  <c r="BB21" i="16506"/>
  <c r="AZ21" i="16506"/>
  <c r="AX21" i="16506"/>
  <c r="AV21" i="16506"/>
  <c r="AR21" i="16506"/>
  <c r="AR19" i="16506"/>
  <c r="AR17" i="16506"/>
  <c r="BW50" i="16506"/>
  <c r="BX50" i="16506" s="1"/>
  <c r="AQ28" i="16506"/>
  <c r="BN21" i="16506"/>
  <c r="BL21" i="16506"/>
  <c r="BJ21" i="16506"/>
  <c r="BH21" i="16506"/>
  <c r="BF21" i="16506"/>
  <c r="BD21" i="16506"/>
  <c r="AT21" i="16506"/>
  <c r="BW61" i="16506"/>
  <c r="AQ19" i="16506"/>
  <c r="BA21" i="16506"/>
  <c r="AW21" i="16506"/>
  <c r="AU21" i="16506"/>
  <c r="AS21" i="16506"/>
  <c r="BM20" i="16506"/>
  <c r="BL20" i="16506"/>
  <c r="BI20" i="16506"/>
  <c r="BH20" i="16506"/>
  <c r="BE20" i="16506"/>
  <c r="BD20" i="16506"/>
  <c r="BA20" i="16506"/>
  <c r="AZ20" i="16506"/>
  <c r="AY20" i="16506"/>
  <c r="AX20" i="16506"/>
  <c r="AU20" i="16506"/>
  <c r="AT20" i="16506"/>
  <c r="BL19" i="16506"/>
  <c r="BK19" i="16506"/>
  <c r="BH19" i="16506"/>
  <c r="BG19" i="16506"/>
  <c r="BD19" i="16506"/>
  <c r="BC19" i="16506"/>
  <c r="AX19" i="16506"/>
  <c r="AW19" i="16506"/>
  <c r="BM18" i="16506"/>
  <c r="BL18" i="16506"/>
  <c r="BI18" i="16506"/>
  <c r="BH18" i="16506"/>
  <c r="BE18" i="16506"/>
  <c r="BD18" i="16506"/>
  <c r="BA18" i="16506"/>
  <c r="AZ18" i="16506"/>
  <c r="AW18" i="16506"/>
  <c r="AV18" i="16506"/>
  <c r="AS18" i="16506"/>
  <c r="AR18" i="16506"/>
  <c r="BL17" i="16506"/>
  <c r="BK17" i="16506"/>
  <c r="BH17" i="16506"/>
  <c r="BG17" i="16506"/>
  <c r="BD17" i="16506"/>
  <c r="BC17" i="16506"/>
  <c r="AZ17" i="16506"/>
  <c r="AY17" i="16506"/>
  <c r="AV17" i="16506"/>
  <c r="AU17" i="16506"/>
  <c r="CA116" i="16506"/>
  <c r="CB116" i="16506" s="1"/>
  <c r="BX46" i="16506"/>
  <c r="BY46" i="16506" s="1"/>
  <c r="N25" i="16457"/>
  <c r="M28" i="16506"/>
  <c r="BW63" i="16506"/>
  <c r="EU101" i="16506"/>
  <c r="EU100" i="16506" s="1"/>
  <c r="CL101" i="16506"/>
  <c r="CL120" i="16506"/>
  <c r="CL51" i="16506"/>
  <c r="CM51" i="16506" s="1"/>
  <c r="CI24" i="16506" l="1"/>
  <c r="CS99" i="16506"/>
  <c r="BY56" i="16506"/>
  <c r="BY50" i="16506"/>
  <c r="BZ50" i="16506" s="1"/>
  <c r="CA112" i="16506"/>
  <c r="CB112" i="16506" s="1"/>
  <c r="O25" i="16457"/>
  <c r="N28" i="16506"/>
  <c r="CD113" i="16506"/>
  <c r="BX63" i="16506"/>
  <c r="BY63" i="16506" s="1"/>
  <c r="BZ46" i="16506"/>
  <c r="CA46" i="16506" s="1"/>
  <c r="AR28" i="16506"/>
  <c r="BX61" i="16506"/>
  <c r="BV19" i="16506"/>
  <c r="BV20" i="16506"/>
  <c r="BV17" i="16506"/>
  <c r="CC116" i="16506"/>
  <c r="CN51" i="16506"/>
  <c r="EV101" i="16506"/>
  <c r="EV100" i="16506" s="1"/>
  <c r="CM101" i="16506"/>
  <c r="CN101" i="16506" s="1"/>
  <c r="CM120" i="16506"/>
  <c r="CJ24" i="16506" l="1"/>
  <c r="CK24" i="16506" s="1"/>
  <c r="CL24" i="16506" s="1"/>
  <c r="CT99" i="16506"/>
  <c r="AS28" i="16506"/>
  <c r="BZ56" i="16506"/>
  <c r="CN120" i="16506"/>
  <c r="CO120" i="16506" s="1"/>
  <c r="BZ63" i="16506"/>
  <c r="CA63" i="16506" s="1"/>
  <c r="CB63" i="16506" s="1"/>
  <c r="BW20" i="16506"/>
  <c r="BW19" i="16506"/>
  <c r="CC112" i="16506"/>
  <c r="CD116" i="16506"/>
  <c r="CE116" i="16506" s="1"/>
  <c r="BY61" i="16506"/>
  <c r="CA50" i="16506"/>
  <c r="CB46" i="16506"/>
  <c r="CE113" i="16506"/>
  <c r="P25" i="16457"/>
  <c r="O28" i="16506"/>
  <c r="BW17" i="16506"/>
  <c r="CO51" i="16506"/>
  <c r="EX101" i="16506"/>
  <c r="EX100" i="16506" s="1"/>
  <c r="CO101" i="16506"/>
  <c r="EY101" i="16506" s="1"/>
  <c r="EY100" i="16506" s="1"/>
  <c r="EW101" i="16506"/>
  <c r="EW100" i="16506" s="1"/>
  <c r="CM24" i="16506" l="1"/>
  <c r="CN24" i="16506" s="1"/>
  <c r="CO24" i="16506" s="1"/>
  <c r="CU99" i="16506"/>
  <c r="AT28" i="16506"/>
  <c r="CA56" i="16506"/>
  <c r="CB56" i="16506" s="1"/>
  <c r="BX19" i="16506"/>
  <c r="BY19" i="16506" s="1"/>
  <c r="BX20" i="16506"/>
  <c r="BY20" i="16506" s="1"/>
  <c r="CP120" i="16506"/>
  <c r="CQ120" i="16506" s="1"/>
  <c r="CP51" i="16506"/>
  <c r="CQ51" i="16506" s="1"/>
  <c r="CF116" i="16506"/>
  <c r="CG116" i="16506" s="1"/>
  <c r="CP101" i="16506"/>
  <c r="EZ101" i="16506" s="1"/>
  <c r="EZ100" i="16506" s="1"/>
  <c r="CD112" i="16506"/>
  <c r="BX17" i="16506"/>
  <c r="Q25" i="16457"/>
  <c r="P28" i="16506"/>
  <c r="CC46" i="16506"/>
  <c r="CB50" i="16506"/>
  <c r="CC50" i="16506" s="1"/>
  <c r="CF113" i="16506"/>
  <c r="CC63" i="16506"/>
  <c r="CD63" i="16506" s="1"/>
  <c r="BZ61" i="16506"/>
  <c r="CP24" i="16506" l="1"/>
  <c r="CQ24" i="16506" s="1"/>
  <c r="CR24" i="16506" s="1"/>
  <c r="CS24" i="16506" s="1"/>
  <c r="CT24" i="16506" s="1"/>
  <c r="CU24" i="16506" s="1"/>
  <c r="CV24" i="16506" s="1"/>
  <c r="CW24" i="16506" s="1"/>
  <c r="CX24" i="16506" s="1"/>
  <c r="CY24" i="16506" s="1"/>
  <c r="CV99" i="16506"/>
  <c r="CC56" i="16506"/>
  <c r="CQ101" i="16506"/>
  <c r="FA101" i="16506" s="1"/>
  <c r="FA100" i="16506" s="1"/>
  <c r="BZ19" i="16506"/>
  <c r="CA19" i="16506" s="1"/>
  <c r="CR120" i="16506"/>
  <c r="CG113" i="16506"/>
  <c r="CH113" i="16506" s="1"/>
  <c r="CR51" i="16506"/>
  <c r="CE112" i="16506"/>
  <c r="BZ20" i="16506"/>
  <c r="AU28" i="16506"/>
  <c r="CA61" i="16506"/>
  <c r="CD50" i="16506"/>
  <c r="CH116" i="16506"/>
  <c r="CD46" i="16506"/>
  <c r="R25" i="16457"/>
  <c r="Q28" i="16506"/>
  <c r="BY17" i="16506"/>
  <c r="CE63" i="16506"/>
  <c r="CS120" i="16506" l="1"/>
  <c r="CS51" i="16506"/>
  <c r="CW99" i="16506"/>
  <c r="AV28" i="16506"/>
  <c r="CB19" i="16506"/>
  <c r="CC19" i="16506" s="1"/>
  <c r="CD19" i="16506" s="1"/>
  <c r="CD56" i="16506"/>
  <c r="CR101" i="16506"/>
  <c r="FB101" i="16506" s="1"/>
  <c r="FB100" i="16506" s="1"/>
  <c r="CI113" i="16506"/>
  <c r="CJ113" i="16506" s="1"/>
  <c r="CF63" i="16506"/>
  <c r="CG63" i="16506" s="1"/>
  <c r="CH63" i="16506" s="1"/>
  <c r="CF112" i="16506"/>
  <c r="BZ17" i="16506"/>
  <c r="S25" i="16457"/>
  <c r="R28" i="16506"/>
  <c r="CE46" i="16506"/>
  <c r="CE50" i="16506"/>
  <c r="CA20" i="16506"/>
  <c r="CI116" i="16506"/>
  <c r="CB61" i="16506"/>
  <c r="CT51" i="16506" l="1"/>
  <c r="CU51" i="16506" s="1"/>
  <c r="CT120" i="16506"/>
  <c r="CU120" i="16506" s="1"/>
  <c r="CV120" i="16506" s="1"/>
  <c r="CX99" i="16506"/>
  <c r="CE56" i="16506"/>
  <c r="CS101" i="16506"/>
  <c r="FC101" i="16506" s="1"/>
  <c r="FC100" i="16506" s="1"/>
  <c r="CJ116" i="16506"/>
  <c r="CK116" i="16506" s="1"/>
  <c r="CG112" i="16506"/>
  <c r="CI63" i="16506"/>
  <c r="CK113" i="16506"/>
  <c r="CE19" i="16506"/>
  <c r="CF50" i="16506"/>
  <c r="CF46" i="16506"/>
  <c r="CG46" i="16506" s="1"/>
  <c r="T25" i="16457"/>
  <c r="S28" i="16506"/>
  <c r="CC61" i="16506"/>
  <c r="CB20" i="16506"/>
  <c r="AW28" i="16506"/>
  <c r="CA17" i="16506"/>
  <c r="CB17" i="16506" s="1"/>
  <c r="CY101" i="16506" l="1"/>
  <c r="FI101" i="16506" s="1"/>
  <c r="FI100" i="16506" s="1"/>
  <c r="I100" i="16506" s="1"/>
  <c r="CV51" i="16506"/>
  <c r="CW51" i="16506" s="1"/>
  <c r="CW120" i="16506"/>
  <c r="CY99" i="16506"/>
  <c r="CF56" i="16506"/>
  <c r="CL116" i="16506"/>
  <c r="CM116" i="16506" s="1"/>
  <c r="CH112" i="16506"/>
  <c r="CI112" i="16506" s="1"/>
  <c r="CC17" i="16506"/>
  <c r="CD61" i="16506"/>
  <c r="AX28" i="16506"/>
  <c r="CL113" i="16506"/>
  <c r="CJ63" i="16506"/>
  <c r="CC20" i="16506"/>
  <c r="U25" i="16457"/>
  <c r="T28" i="16506"/>
  <c r="CG50" i="16506"/>
  <c r="CF19" i="16506"/>
  <c r="CH46" i="16506"/>
  <c r="AK17" i="16461"/>
  <c r="AL17" i="16461"/>
  <c r="AM17" i="16461"/>
  <c r="AN17" i="16461"/>
  <c r="AO17" i="16461"/>
  <c r="AP17" i="16461"/>
  <c r="CV41" i="16457"/>
  <c r="CW41" i="16457"/>
  <c r="CX41" i="16457"/>
  <c r="CY41" i="16457"/>
  <c r="CZ41" i="16457"/>
  <c r="DA41" i="16457"/>
  <c r="CV43" i="16457"/>
  <c r="CW43" i="16457"/>
  <c r="CX43" i="16457"/>
  <c r="CY43" i="16457"/>
  <c r="CZ43" i="16457"/>
  <c r="DA43" i="16457"/>
  <c r="CX120" i="16506" l="1"/>
  <c r="CX51" i="16506"/>
  <c r="CG56" i="16506"/>
  <c r="CH56" i="16506" s="1"/>
  <c r="CN116" i="16506"/>
  <c r="CJ112" i="16506"/>
  <c r="V25" i="16457"/>
  <c r="U28" i="16506"/>
  <c r="CD20" i="16506"/>
  <c r="CK63" i="16506"/>
  <c r="CM113" i="16506"/>
  <c r="CN113" i="16506" s="1"/>
  <c r="CG19" i="16506"/>
  <c r="CH50" i="16506"/>
  <c r="AY28" i="16506"/>
  <c r="CE61" i="16506"/>
  <c r="CD17" i="16506"/>
  <c r="CI46" i="16506"/>
  <c r="CV48" i="16457"/>
  <c r="CV138" i="16457" s="1"/>
  <c r="CV161" i="16457" s="1"/>
  <c r="CW48" i="16457"/>
  <c r="CW138" i="16457" s="1"/>
  <c r="CW161" i="16457" s="1"/>
  <c r="CX48" i="16457"/>
  <c r="CX138" i="16457" s="1"/>
  <c r="CX161" i="16457" s="1"/>
  <c r="CY48" i="16457"/>
  <c r="CY138" i="16457" s="1"/>
  <c r="CY161" i="16457" s="1"/>
  <c r="CZ48" i="16457"/>
  <c r="CZ138" i="16457" s="1"/>
  <c r="CZ161" i="16457" s="1"/>
  <c r="DA48" i="16457"/>
  <c r="DA138" i="16457" s="1"/>
  <c r="DA161" i="16457" s="1"/>
  <c r="CY51" i="16506" l="1"/>
  <c r="CY120" i="16506"/>
  <c r="AZ28" i="16506"/>
  <c r="CI56" i="16506"/>
  <c r="CJ56" i="16506" s="1"/>
  <c r="CO113" i="16506"/>
  <c r="CP113" i="16506" s="1"/>
  <c r="CQ113" i="16506" s="1"/>
  <c r="CO116" i="16506"/>
  <c r="CK112" i="16506"/>
  <c r="CL112" i="16506" s="1"/>
  <c r="CI50" i="16506"/>
  <c r="CF61" i="16506"/>
  <c r="CH19" i="16506"/>
  <c r="CI19" i="16506" s="1"/>
  <c r="CJ19" i="16506" s="1"/>
  <c r="CK19" i="16506" s="1"/>
  <c r="CL19" i="16506" s="1"/>
  <c r="CM19" i="16506" s="1"/>
  <c r="CN19" i="16506" s="1"/>
  <c r="CO19" i="16506" s="1"/>
  <c r="CP19" i="16506" s="1"/>
  <c r="CQ19" i="16506" s="1"/>
  <c r="CR19" i="16506" s="1"/>
  <c r="CS19" i="16506" s="1"/>
  <c r="CT19" i="16506" s="1"/>
  <c r="CU19" i="16506" s="1"/>
  <c r="CV19" i="16506" s="1"/>
  <c r="CW19" i="16506" s="1"/>
  <c r="CX19" i="16506" s="1"/>
  <c r="CY19" i="16506" s="1"/>
  <c r="CL63" i="16506"/>
  <c r="CE20" i="16506"/>
  <c r="W25" i="16457"/>
  <c r="V28" i="16506"/>
  <c r="CJ46" i="16506"/>
  <c r="CE17" i="16506"/>
  <c r="CV53" i="16457"/>
  <c r="CW53" i="16457"/>
  <c r="CX53" i="16457"/>
  <c r="CY53" i="16457"/>
  <c r="CZ53" i="16457"/>
  <c r="DA53" i="16457"/>
  <c r="CV56" i="16457"/>
  <c r="CV141" i="16457" s="1"/>
  <c r="CV164" i="16457" s="1"/>
  <c r="CW56" i="16457"/>
  <c r="CW141" i="16457" s="1"/>
  <c r="CW164" i="16457" s="1"/>
  <c r="CX56" i="16457"/>
  <c r="CX141" i="16457" s="1"/>
  <c r="CX164" i="16457" s="1"/>
  <c r="CY56" i="16457"/>
  <c r="CY141" i="16457" s="1"/>
  <c r="CY164" i="16457" s="1"/>
  <c r="CZ56" i="16457"/>
  <c r="CZ141" i="16457" s="1"/>
  <c r="CZ164" i="16457" s="1"/>
  <c r="DA56" i="16457"/>
  <c r="DA141" i="16457" s="1"/>
  <c r="DA164" i="16457" s="1"/>
  <c r="CV58" i="16457"/>
  <c r="CW58" i="16457"/>
  <c r="CX58" i="16457"/>
  <c r="CY58" i="16457"/>
  <c r="CZ58" i="16457"/>
  <c r="DA58" i="16457"/>
  <c r="CX140" i="16457" l="1"/>
  <c r="CX163" i="16457" s="1"/>
  <c r="ED53" i="16457"/>
  <c r="DA140" i="16457"/>
  <c r="DA163" i="16457" s="1"/>
  <c r="EG53" i="16457"/>
  <c r="CW140" i="16457"/>
  <c r="CW163" i="16457" s="1"/>
  <c r="EC53" i="16457"/>
  <c r="CY140" i="16457"/>
  <c r="CY163" i="16457" s="1"/>
  <c r="EE53" i="16457"/>
  <c r="CZ140" i="16457"/>
  <c r="CZ163" i="16457" s="1"/>
  <c r="EF53" i="16457"/>
  <c r="CV140" i="16457"/>
  <c r="CV163" i="16457" s="1"/>
  <c r="EB53" i="16457"/>
  <c r="CR113" i="16506"/>
  <c r="BA28" i="16506"/>
  <c r="CK56" i="16506"/>
  <c r="CJ50" i="16506"/>
  <c r="CK50" i="16506" s="1"/>
  <c r="CM112" i="16506"/>
  <c r="CN112" i="16506" s="1"/>
  <c r="CP116" i="16506"/>
  <c r="CM63" i="16506"/>
  <c r="CF17" i="16506"/>
  <c r="CK46" i="16506"/>
  <c r="X25" i="16457"/>
  <c r="W28" i="16506"/>
  <c r="CF20" i="16506"/>
  <c r="CG61" i="16506"/>
  <c r="CS113" i="16506" l="1"/>
  <c r="CL56" i="16506"/>
  <c r="CM56" i="16506" s="1"/>
  <c r="CO112" i="16506"/>
  <c r="CQ116" i="16506"/>
  <c r="CL50" i="16506"/>
  <c r="CH61" i="16506"/>
  <c r="BB28" i="16506"/>
  <c r="CG20" i="16506"/>
  <c r="Y25" i="16457"/>
  <c r="X28" i="16506"/>
  <c r="CL46" i="16506"/>
  <c r="CG17" i="16506"/>
  <c r="CN63" i="16506"/>
  <c r="CO63" i="16506" s="1"/>
  <c r="CR116" i="16506" l="1"/>
  <c r="CT113" i="16506"/>
  <c r="CU113" i="16506" s="1"/>
  <c r="CN56" i="16506"/>
  <c r="CO56" i="16506" s="1"/>
  <c r="CP112" i="16506"/>
  <c r="CM46" i="16506"/>
  <c r="Z25" i="16457"/>
  <c r="Y28" i="16506"/>
  <c r="CH20" i="16506"/>
  <c r="CI20" i="16506" s="1"/>
  <c r="CJ20" i="16506" s="1"/>
  <c r="CK20" i="16506" s="1"/>
  <c r="CL20" i="16506" s="1"/>
  <c r="CM20" i="16506" s="1"/>
  <c r="CN20" i="16506" s="1"/>
  <c r="CO20" i="16506" s="1"/>
  <c r="CP20" i="16506" s="1"/>
  <c r="CQ20" i="16506" s="1"/>
  <c r="CR20" i="16506" s="1"/>
  <c r="CS20" i="16506" s="1"/>
  <c r="CT20" i="16506" s="1"/>
  <c r="CU20" i="16506" s="1"/>
  <c r="CV20" i="16506" s="1"/>
  <c r="CW20" i="16506" s="1"/>
  <c r="CX20" i="16506" s="1"/>
  <c r="CY20" i="16506" s="1"/>
  <c r="CM50" i="16506"/>
  <c r="CP63" i="16506"/>
  <c r="CH17" i="16506"/>
  <c r="CI17" i="16506" s="1"/>
  <c r="CJ17" i="16506" s="1"/>
  <c r="CK17" i="16506" s="1"/>
  <c r="CL17" i="16506" s="1"/>
  <c r="CM17" i="16506" s="1"/>
  <c r="CN17" i="16506" s="1"/>
  <c r="CO17" i="16506" s="1"/>
  <c r="CP17" i="16506" s="1"/>
  <c r="CQ17" i="16506" s="1"/>
  <c r="CR17" i="16506" s="1"/>
  <c r="CS17" i="16506" s="1"/>
  <c r="CT17" i="16506" s="1"/>
  <c r="CU17" i="16506" s="1"/>
  <c r="CV17" i="16506" s="1"/>
  <c r="CW17" i="16506" s="1"/>
  <c r="CX17" i="16506" s="1"/>
  <c r="CY17" i="16506" s="1"/>
  <c r="BC28" i="16506"/>
  <c r="CI61" i="16506"/>
  <c r="CV76" i="16457"/>
  <c r="CW76" i="16457"/>
  <c r="CX76" i="16457"/>
  <c r="CY76" i="16457"/>
  <c r="CZ76" i="16457"/>
  <c r="DA76" i="16457"/>
  <c r="CV80" i="16457"/>
  <c r="CW80" i="16457"/>
  <c r="CX80" i="16457"/>
  <c r="CY80" i="16457"/>
  <c r="CZ80" i="16457"/>
  <c r="DA80" i="16457"/>
  <c r="CV95" i="16457"/>
  <c r="EB95" i="16457" s="1"/>
  <c r="CW95" i="16457"/>
  <c r="EC95" i="16457" s="1"/>
  <c r="CX95" i="16457"/>
  <c r="ED95" i="16457" s="1"/>
  <c r="CY95" i="16457"/>
  <c r="EE95" i="16457" s="1"/>
  <c r="CZ95" i="16457"/>
  <c r="EF95" i="16457" s="1"/>
  <c r="DA95" i="16457"/>
  <c r="EG95" i="16457" s="1"/>
  <c r="CV97" i="16457"/>
  <c r="EB97" i="16457" s="1"/>
  <c r="CW97" i="16457"/>
  <c r="EC97" i="16457" s="1"/>
  <c r="CX97" i="16457"/>
  <c r="ED97" i="16457" s="1"/>
  <c r="CY97" i="16457"/>
  <c r="EE97" i="16457" s="1"/>
  <c r="CZ97" i="16457"/>
  <c r="EF97" i="16457" s="1"/>
  <c r="DA97" i="16457"/>
  <c r="EG97" i="16457" s="1"/>
  <c r="CV99" i="16457"/>
  <c r="CW99" i="16457"/>
  <c r="CX99" i="16457"/>
  <c r="CY99" i="16457"/>
  <c r="CZ99" i="16457"/>
  <c r="DA99" i="16457"/>
  <c r="CV103" i="16457"/>
  <c r="CW103" i="16457"/>
  <c r="CX103" i="16457"/>
  <c r="CY103" i="16457"/>
  <c r="CZ103" i="16457"/>
  <c r="DA103" i="16457"/>
  <c r="CV108" i="16457"/>
  <c r="CW108" i="16457"/>
  <c r="CX108" i="16457"/>
  <c r="CY108" i="16457"/>
  <c r="CZ108" i="16457"/>
  <c r="DA108" i="16457"/>
  <c r="CS116" i="16506" l="1"/>
  <c r="CT116" i="16506" s="1"/>
  <c r="CV113" i="16506"/>
  <c r="CW113" i="16506" s="1"/>
  <c r="CP56" i="16506"/>
  <c r="CQ112" i="16506"/>
  <c r="CQ63" i="16506"/>
  <c r="CJ61" i="16506"/>
  <c r="AA25" i="16457"/>
  <c r="Z28" i="16506"/>
  <c r="CN50" i="16506"/>
  <c r="BD28" i="16506"/>
  <c r="CN46" i="16506"/>
  <c r="CR63" i="16506" l="1"/>
  <c r="CX113" i="16506"/>
  <c r="CU116" i="16506"/>
  <c r="CR112" i="16506"/>
  <c r="CQ56" i="16506"/>
  <c r="CO50" i="16506"/>
  <c r="CP50" i="16506" s="1"/>
  <c r="BE28" i="16506"/>
  <c r="CO46" i="16506"/>
  <c r="AB25" i="16457"/>
  <c r="AA28" i="16506"/>
  <c r="CK61" i="16506"/>
  <c r="CL61" i="16506" s="1"/>
  <c r="CM61" i="16506" s="1"/>
  <c r="CN61" i="16506" s="1"/>
  <c r="CO61" i="16506" s="1"/>
  <c r="CP61" i="16506" s="1"/>
  <c r="CQ61" i="16506" s="1"/>
  <c r="CR61" i="16506" s="1"/>
  <c r="CS61" i="16506" s="1"/>
  <c r="CT61" i="16506" s="1"/>
  <c r="CU61" i="16506" s="1"/>
  <c r="CV61" i="16506" s="1"/>
  <c r="CW61" i="16506" s="1"/>
  <c r="CX61" i="16506" s="1"/>
  <c r="CY61" i="16506" s="1"/>
  <c r="H8" i="16506" l="1"/>
  <c r="I8" i="16506" s="1"/>
  <c r="DG24" i="16506"/>
  <c r="DG23" i="16506" s="1"/>
  <c r="DO24" i="16506"/>
  <c r="DO23" i="16506" s="1"/>
  <c r="DW24" i="16506"/>
  <c r="DW23" i="16506" s="1"/>
  <c r="DL24" i="16506"/>
  <c r="DL23" i="16506" s="1"/>
  <c r="DE24" i="16506"/>
  <c r="DE23" i="16506" s="1"/>
  <c r="DM24" i="16506"/>
  <c r="DM23" i="16506" s="1"/>
  <c r="DA24" i="16506"/>
  <c r="DA23" i="16506" s="1"/>
  <c r="DI24" i="16506"/>
  <c r="DI23" i="16506" s="1"/>
  <c r="DQ24" i="16506"/>
  <c r="DQ23" i="16506" s="1"/>
  <c r="ED24" i="16506"/>
  <c r="ED23" i="16506" s="1"/>
  <c r="DU24" i="16506"/>
  <c r="DU23" i="16506" s="1"/>
  <c r="DB24" i="16506"/>
  <c r="DB23" i="16506" s="1"/>
  <c r="DC24" i="16506"/>
  <c r="DC23" i="16506" s="1"/>
  <c r="DK24" i="16506"/>
  <c r="DK23" i="16506" s="1"/>
  <c r="DS24" i="16506"/>
  <c r="DS23" i="16506" s="1"/>
  <c r="DF24" i="16506"/>
  <c r="DF23" i="16506" s="1"/>
  <c r="DX24" i="16506"/>
  <c r="DX23" i="16506" s="1"/>
  <c r="DD24" i="16506"/>
  <c r="DD23" i="16506" s="1"/>
  <c r="DV24" i="16506"/>
  <c r="DV23" i="16506" s="1"/>
  <c r="DJ24" i="16506"/>
  <c r="DJ23" i="16506" s="1"/>
  <c r="DT24" i="16506"/>
  <c r="DT23" i="16506" s="1"/>
  <c r="DN24" i="16506"/>
  <c r="DN23" i="16506" s="1"/>
  <c r="DH24" i="16506"/>
  <c r="DH23" i="16506" s="1"/>
  <c r="DR24" i="16506"/>
  <c r="DR23" i="16506" s="1"/>
  <c r="DP24" i="16506"/>
  <c r="DP23" i="16506" s="1"/>
  <c r="H59" i="16506"/>
  <c r="I59" i="16506" s="1"/>
  <c r="H54" i="16506"/>
  <c r="CS63" i="16506"/>
  <c r="CT63" i="16506" s="1"/>
  <c r="CV116" i="16506"/>
  <c r="CW116" i="16506" s="1"/>
  <c r="CS112" i="16506"/>
  <c r="CR56" i="16506"/>
  <c r="CY113" i="16506"/>
  <c r="BF28" i="16506"/>
  <c r="CQ50" i="16506"/>
  <c r="CP46" i="16506"/>
  <c r="AC25" i="16457"/>
  <c r="AB28" i="16506"/>
  <c r="EF24" i="16506" l="1"/>
  <c r="EG24" i="16506"/>
  <c r="EH24" i="16506"/>
  <c r="EI24" i="16506"/>
  <c r="EL24" i="16506"/>
  <c r="EJ24" i="16506"/>
  <c r="EK24" i="16506"/>
  <c r="EM24" i="16506"/>
  <c r="EN24" i="16506"/>
  <c r="EO24" i="16506"/>
  <c r="EP24" i="16506"/>
  <c r="EQ24" i="16506"/>
  <c r="ES24" i="16506"/>
  <c r="ER24" i="16506"/>
  <c r="ET24" i="16506"/>
  <c r="EU24" i="16506"/>
  <c r="EV24" i="16506"/>
  <c r="EW24" i="16506"/>
  <c r="EX24" i="16506"/>
  <c r="EY24" i="16506"/>
  <c r="FA24" i="16506"/>
  <c r="EZ24" i="16506"/>
  <c r="FB24" i="16506"/>
  <c r="FC24" i="16506"/>
  <c r="FD24" i="16506"/>
  <c r="FE24" i="16506"/>
  <c r="FF24" i="16506"/>
  <c r="FG24" i="16506"/>
  <c r="FH24" i="16506"/>
  <c r="FI24" i="16506"/>
  <c r="DB31" i="16506"/>
  <c r="DR31" i="16506"/>
  <c r="DG31" i="16506"/>
  <c r="DW31" i="16506"/>
  <c r="DP31" i="16506"/>
  <c r="DE31" i="16506"/>
  <c r="DU31" i="16506"/>
  <c r="DF31" i="16506"/>
  <c r="DV31" i="16506"/>
  <c r="DK31" i="16506"/>
  <c r="DD31" i="16506"/>
  <c r="DT31" i="16506"/>
  <c r="DI31" i="16506"/>
  <c r="ED31" i="16506"/>
  <c r="DX31" i="16506"/>
  <c r="DJ31" i="16506"/>
  <c r="DO31" i="16506"/>
  <c r="DH31" i="16506"/>
  <c r="DM31" i="16506"/>
  <c r="DN31" i="16506"/>
  <c r="DC31" i="16506"/>
  <c r="DS31" i="16506"/>
  <c r="DL31" i="16506"/>
  <c r="DA31" i="16506"/>
  <c r="DQ31" i="16506"/>
  <c r="H23" i="16506"/>
  <c r="DB54" i="16506"/>
  <c r="DD54" i="16506"/>
  <c r="DF54" i="16506"/>
  <c r="DC54" i="16506"/>
  <c r="DE54" i="16506"/>
  <c r="DA54" i="16506"/>
  <c r="I54" i="16506"/>
  <c r="BR50" i="16457"/>
  <c r="ED50" i="16457" s="1"/>
  <c r="BN50" i="16457"/>
  <c r="DZ50" i="16457" s="1"/>
  <c r="BJ50" i="16457"/>
  <c r="DV50" i="16457" s="1"/>
  <c r="BF50" i="16457"/>
  <c r="DR50" i="16457" s="1"/>
  <c r="BB50" i="16457"/>
  <c r="DN50" i="16457" s="1"/>
  <c r="AX50" i="16457"/>
  <c r="DJ50" i="16457" s="1"/>
  <c r="AT50" i="16457"/>
  <c r="DF50" i="16457" s="1"/>
  <c r="BS50" i="16457"/>
  <c r="EE50" i="16457" s="1"/>
  <c r="BO50" i="16457"/>
  <c r="EA50" i="16457" s="1"/>
  <c r="BK50" i="16457"/>
  <c r="DW50" i="16457" s="1"/>
  <c r="BG50" i="16457"/>
  <c r="DS50" i="16457" s="1"/>
  <c r="BC50" i="16457"/>
  <c r="DO50" i="16457" s="1"/>
  <c r="AY50" i="16457"/>
  <c r="DK50" i="16457" s="1"/>
  <c r="AU50" i="16457"/>
  <c r="DG50" i="16457" s="1"/>
  <c r="AW50" i="16457"/>
  <c r="DI50" i="16457" s="1"/>
  <c r="AS50" i="16457"/>
  <c r="DE50" i="16457" s="1"/>
  <c r="BT50" i="16457"/>
  <c r="EF50" i="16457" s="1"/>
  <c r="BP50" i="16457"/>
  <c r="EB50" i="16457" s="1"/>
  <c r="BL50" i="16457"/>
  <c r="DX50" i="16457" s="1"/>
  <c r="BH50" i="16457"/>
  <c r="DT50" i="16457" s="1"/>
  <c r="BD50" i="16457"/>
  <c r="DP50" i="16457" s="1"/>
  <c r="AZ50" i="16457"/>
  <c r="DL50" i="16457" s="1"/>
  <c r="AV50" i="16457"/>
  <c r="DH50" i="16457" s="1"/>
  <c r="AR50" i="16457"/>
  <c r="DD50" i="16457" s="1"/>
  <c r="BU50" i="16457"/>
  <c r="EG50" i="16457" s="1"/>
  <c r="BQ50" i="16457"/>
  <c r="EC50" i="16457" s="1"/>
  <c r="BM50" i="16457"/>
  <c r="DY50" i="16457" s="1"/>
  <c r="BI50" i="16457"/>
  <c r="DU50" i="16457" s="1"/>
  <c r="BE50" i="16457"/>
  <c r="DQ50" i="16457" s="1"/>
  <c r="BA50" i="16457"/>
  <c r="DM50" i="16457" s="1"/>
  <c r="CS56" i="16506"/>
  <c r="CT112" i="16506"/>
  <c r="CU112" i="16506" s="1"/>
  <c r="CV112" i="16506" s="1"/>
  <c r="CU63" i="16506"/>
  <c r="CV63" i="16506" s="1"/>
  <c r="CR50" i="16506"/>
  <c r="CX116" i="16506"/>
  <c r="CQ46" i="16506"/>
  <c r="BG28" i="16506"/>
  <c r="AD25" i="16457"/>
  <c r="AC28" i="16506"/>
  <c r="FG23" i="16506" l="1"/>
  <c r="FC23" i="16506"/>
  <c r="EY23" i="16506"/>
  <c r="EU23" i="16506"/>
  <c r="EQ23" i="16506"/>
  <c r="EM23" i="16506"/>
  <c r="EI23" i="16506"/>
  <c r="FF23" i="16506"/>
  <c r="FB23" i="16506"/>
  <c r="EX23" i="16506"/>
  <c r="ET23" i="16506"/>
  <c r="EP23" i="16506"/>
  <c r="EK23" i="16506"/>
  <c r="EH23" i="16506"/>
  <c r="FI23" i="16506"/>
  <c r="FE23" i="16506"/>
  <c r="EZ23" i="16506"/>
  <c r="EW23" i="16506"/>
  <c r="ER23" i="16506"/>
  <c r="EO23" i="16506"/>
  <c r="EJ23" i="16506"/>
  <c r="EG23" i="16506"/>
  <c r="FH23" i="16506"/>
  <c r="FD23" i="16506"/>
  <c r="FA23" i="16506"/>
  <c r="EV23" i="16506"/>
  <c r="ES23" i="16506"/>
  <c r="EN23" i="16506"/>
  <c r="EL23" i="16506"/>
  <c r="EF23" i="16506"/>
  <c r="EF31" i="16506"/>
  <c r="EG31" i="16506"/>
  <c r="EH31" i="16506"/>
  <c r="EI31" i="16506"/>
  <c r="EK31" i="16506"/>
  <c r="EJ31" i="16506"/>
  <c r="EM31" i="16506"/>
  <c r="EL31" i="16506"/>
  <c r="EN31" i="16506"/>
  <c r="EO31" i="16506"/>
  <c r="EP31" i="16506"/>
  <c r="EQ31" i="16506"/>
  <c r="ER31" i="16506"/>
  <c r="ES31" i="16506"/>
  <c r="ET31" i="16506"/>
  <c r="EU31" i="16506"/>
  <c r="EV31" i="16506"/>
  <c r="EW31" i="16506"/>
  <c r="EX31" i="16506"/>
  <c r="EY31" i="16506"/>
  <c r="EZ31" i="16506"/>
  <c r="FA31" i="16506"/>
  <c r="FB31" i="16506"/>
  <c r="FC31" i="16506"/>
  <c r="FD31" i="16506"/>
  <c r="FE31" i="16506"/>
  <c r="FF31" i="16506"/>
  <c r="FG31" i="16506"/>
  <c r="FH31" i="16506"/>
  <c r="FI31" i="16506"/>
  <c r="EG54" i="16506"/>
  <c r="EH54" i="16506"/>
  <c r="EI54" i="16506"/>
  <c r="EJ54" i="16506"/>
  <c r="EK54" i="16506"/>
  <c r="EL54" i="16506"/>
  <c r="EM54" i="16506"/>
  <c r="EN54" i="16506"/>
  <c r="EO54" i="16506"/>
  <c r="EP54" i="16506"/>
  <c r="EQ54" i="16506"/>
  <c r="ER54" i="16506"/>
  <c r="ES54" i="16506"/>
  <c r="ET54" i="16506"/>
  <c r="EU54" i="16506"/>
  <c r="EV54" i="16506"/>
  <c r="EW54" i="16506"/>
  <c r="EX54" i="16506"/>
  <c r="EY54" i="16506"/>
  <c r="EZ54" i="16506"/>
  <c r="FA54" i="16506"/>
  <c r="FB54" i="16506"/>
  <c r="FC54" i="16506"/>
  <c r="FD54" i="16506"/>
  <c r="FE54" i="16506"/>
  <c r="FF54" i="16506"/>
  <c r="FG54" i="16506"/>
  <c r="FH54" i="16506"/>
  <c r="FI54" i="16506"/>
  <c r="AQ50" i="16457"/>
  <c r="DC50" i="16457" s="1"/>
  <c r="CT56" i="16506"/>
  <c r="CU56" i="16506" s="1"/>
  <c r="CW63" i="16506"/>
  <c r="CS50" i="16506"/>
  <c r="CR46" i="16506"/>
  <c r="CY116" i="16506"/>
  <c r="CW112" i="16506"/>
  <c r="BH28" i="16506"/>
  <c r="AE25" i="16457"/>
  <c r="AD28" i="16506"/>
  <c r="I48" i="16502"/>
  <c r="K48" i="16502" s="1"/>
  <c r="I17" i="16502"/>
  <c r="K17" i="16502" s="1"/>
  <c r="I23" i="16506" l="1"/>
  <c r="L48" i="16502"/>
  <c r="M48" i="16502" s="1"/>
  <c r="N48" i="16502" s="1"/>
  <c r="O48" i="16502" s="1"/>
  <c r="P48" i="16502" s="1"/>
  <c r="Q48" i="16502" s="1"/>
  <c r="R48" i="16502" s="1"/>
  <c r="S48" i="16502" s="1"/>
  <c r="T48" i="16502" s="1"/>
  <c r="U48" i="16502" s="1"/>
  <c r="V48" i="16502" s="1"/>
  <c r="W48" i="16502" s="1"/>
  <c r="X48" i="16502" s="1"/>
  <c r="Y48" i="16502" s="1"/>
  <c r="Z48" i="16502" s="1"/>
  <c r="AA48" i="16502" s="1"/>
  <c r="AB48" i="16502" s="1"/>
  <c r="AC48" i="16502" s="1"/>
  <c r="AD48" i="16502" s="1"/>
  <c r="AE48" i="16502" s="1"/>
  <c r="AF48" i="16502" s="1"/>
  <c r="AG48" i="16502" s="1"/>
  <c r="AH48" i="16502" s="1"/>
  <c r="AI48" i="16502" s="1"/>
  <c r="AJ48" i="16502" s="1"/>
  <c r="AK48" i="16502" s="1"/>
  <c r="AL48" i="16502" s="1"/>
  <c r="AM48" i="16502" s="1"/>
  <c r="AN48" i="16502" s="1"/>
  <c r="L17" i="16502"/>
  <c r="I418" i="16508"/>
  <c r="J418" i="16508" s="1"/>
  <c r="J417" i="16508" s="1"/>
  <c r="J178" i="16508"/>
  <c r="J177" i="16508" s="1"/>
  <c r="I367" i="16508"/>
  <c r="J367" i="16508" s="1"/>
  <c r="J366" i="16508" s="1"/>
  <c r="I220" i="16508"/>
  <c r="J220" i="16508" s="1"/>
  <c r="J219" i="16508" s="1"/>
  <c r="J323" i="16508"/>
  <c r="J279" i="16508"/>
  <c r="J278" i="16508" s="1"/>
  <c r="J120" i="16508"/>
  <c r="I341" i="16508"/>
  <c r="J341" i="16508" s="1"/>
  <c r="J251" i="16508"/>
  <c r="J198" i="16508"/>
  <c r="I397" i="16508"/>
  <c r="J397" i="16508" s="1"/>
  <c r="J99" i="16508"/>
  <c r="J132" i="16508"/>
  <c r="J131" i="16508" s="1"/>
  <c r="J96" i="16508"/>
  <c r="J149" i="16508"/>
  <c r="J150" i="16508"/>
  <c r="J22" i="16508"/>
  <c r="J91" i="16508"/>
  <c r="I396" i="16508"/>
  <c r="J396" i="16508" s="1"/>
  <c r="J68" i="16508"/>
  <c r="J67" i="16508" s="1"/>
  <c r="J129" i="16508"/>
  <c r="J128" i="16508" s="1"/>
  <c r="I421" i="16508"/>
  <c r="J421" i="16508" s="1"/>
  <c r="J420" i="16508" s="1"/>
  <c r="I223" i="16508"/>
  <c r="J223" i="16508" s="1"/>
  <c r="J222" i="16508" s="1"/>
  <c r="J181" i="16508"/>
  <c r="J180" i="16508" s="1"/>
  <c r="J23" i="16508"/>
  <c r="J92" i="16508"/>
  <c r="I9" i="16502"/>
  <c r="J9" i="16502" s="1"/>
  <c r="CX63" i="16506"/>
  <c r="CV56" i="16506"/>
  <c r="CS46" i="16506"/>
  <c r="CT50" i="16506"/>
  <c r="CU50" i="16506" s="1"/>
  <c r="CX112" i="16506"/>
  <c r="BI28" i="16506"/>
  <c r="AF25" i="16457"/>
  <c r="AE28" i="16506"/>
  <c r="N41" i="16504"/>
  <c r="G89" i="16513" s="1"/>
  <c r="O41" i="16504"/>
  <c r="H89" i="16513" s="1"/>
  <c r="R41" i="16504"/>
  <c r="K89" i="16513" s="1"/>
  <c r="S41" i="16504"/>
  <c r="L89" i="16513" s="1"/>
  <c r="V41" i="16504"/>
  <c r="O89" i="16513" s="1"/>
  <c r="W41" i="16504"/>
  <c r="P89" i="16513" s="1"/>
  <c r="Z41" i="16504"/>
  <c r="S89" i="16513" s="1"/>
  <c r="AA41" i="16504"/>
  <c r="T89" i="16513" s="1"/>
  <c r="AD41" i="16504"/>
  <c r="W89" i="16513" s="1"/>
  <c r="AE41" i="16504"/>
  <c r="X89" i="16513" s="1"/>
  <c r="AH41" i="16504"/>
  <c r="AA89" i="16513" s="1"/>
  <c r="AI41" i="16504"/>
  <c r="AB89" i="16513" s="1"/>
  <c r="P41" i="16504"/>
  <c r="I89" i="16513" s="1"/>
  <c r="Q41" i="16504"/>
  <c r="J89" i="16513" s="1"/>
  <c r="T41" i="16504"/>
  <c r="M89" i="16513" s="1"/>
  <c r="U41" i="16504"/>
  <c r="N89" i="16513" s="1"/>
  <c r="X41" i="16504"/>
  <c r="Q89" i="16513" s="1"/>
  <c r="Y41" i="16504"/>
  <c r="R89" i="16513" s="1"/>
  <c r="AB41" i="16504"/>
  <c r="U89" i="16513" s="1"/>
  <c r="AC41" i="16504"/>
  <c r="V89" i="16513" s="1"/>
  <c r="AF41" i="16504"/>
  <c r="Y89" i="16513" s="1"/>
  <c r="AG41" i="16504"/>
  <c r="Z89" i="16513" s="1"/>
  <c r="AJ41" i="16504"/>
  <c r="AC89" i="16513" s="1"/>
  <c r="N49" i="16504"/>
  <c r="G91" i="16513" s="1"/>
  <c r="O49" i="16504"/>
  <c r="H91" i="16513" s="1"/>
  <c r="P49" i="16504"/>
  <c r="I91" i="16513" s="1"/>
  <c r="Q49" i="16504"/>
  <c r="J91" i="16513" s="1"/>
  <c r="R49" i="16504"/>
  <c r="K91" i="16513" s="1"/>
  <c r="S49" i="16504"/>
  <c r="L91" i="16513" s="1"/>
  <c r="T49" i="16504"/>
  <c r="M91" i="16513" s="1"/>
  <c r="U49" i="16504"/>
  <c r="N91" i="16513" s="1"/>
  <c r="V49" i="16504"/>
  <c r="O91" i="16513" s="1"/>
  <c r="W49" i="16504"/>
  <c r="P91" i="16513" s="1"/>
  <c r="X49" i="16504"/>
  <c r="Q91" i="16513" s="1"/>
  <c r="Y49" i="16504"/>
  <c r="R91" i="16513" s="1"/>
  <c r="Z49" i="16504"/>
  <c r="S91" i="16513" s="1"/>
  <c r="AA49" i="16504"/>
  <c r="T91" i="16513" s="1"/>
  <c r="AB49" i="16504"/>
  <c r="U91" i="16513" s="1"/>
  <c r="AC49" i="16504"/>
  <c r="V91" i="16513" s="1"/>
  <c r="AD49" i="16504"/>
  <c r="W91" i="16513" s="1"/>
  <c r="AE49" i="16504"/>
  <c r="X91" i="16513" s="1"/>
  <c r="AF49" i="16504"/>
  <c r="Y91" i="16513" s="1"/>
  <c r="AG49" i="16504"/>
  <c r="Z91" i="16513" s="1"/>
  <c r="AH49" i="16504"/>
  <c r="AA91" i="16513" s="1"/>
  <c r="AI49" i="16504"/>
  <c r="AB91" i="16513" s="1"/>
  <c r="AJ49" i="16504"/>
  <c r="AC91" i="16513" s="1"/>
  <c r="N17" i="16502" l="1"/>
  <c r="M17" i="16502"/>
  <c r="J48" i="16502"/>
  <c r="CY63" i="16506"/>
  <c r="CW56" i="16506"/>
  <c r="CX56" i="16506" s="1"/>
  <c r="CV50" i="16506"/>
  <c r="CT46" i="16506"/>
  <c r="CU46" i="16506" s="1"/>
  <c r="BJ28" i="16506"/>
  <c r="CY112" i="16506"/>
  <c r="AG25" i="16457"/>
  <c r="AF28" i="16506"/>
  <c r="L26" i="16504"/>
  <c r="L41" i="16504"/>
  <c r="L49" i="16504"/>
  <c r="H11" i="16502"/>
  <c r="I11" i="16502" s="1"/>
  <c r="K11" i="16502" s="1"/>
  <c r="H12" i="16502"/>
  <c r="I12" i="16502" s="1"/>
  <c r="H13" i="16502"/>
  <c r="I13" i="16502" s="1"/>
  <c r="H14" i="16502"/>
  <c r="I14" i="16502" s="1"/>
  <c r="K14" i="16502" s="1"/>
  <c r="H15" i="16502"/>
  <c r="I15" i="16502" s="1"/>
  <c r="K15" i="16502" s="1"/>
  <c r="H18" i="16502"/>
  <c r="I18" i="16502" s="1"/>
  <c r="K18" i="16502" s="1"/>
  <c r="I19" i="16502"/>
  <c r="K19" i="16502" s="1"/>
  <c r="H20" i="16502"/>
  <c r="I20" i="16502" s="1"/>
  <c r="K20" i="16502" s="1"/>
  <c r="H21" i="16502"/>
  <c r="I21" i="16502" s="1"/>
  <c r="K21" i="16502" s="1"/>
  <c r="H22" i="16502"/>
  <c r="I22" i="16502" s="1"/>
  <c r="H24" i="16502"/>
  <c r="I24" i="16502" s="1"/>
  <c r="K24" i="16502" s="1"/>
  <c r="H26" i="16502"/>
  <c r="I26" i="16502" s="1"/>
  <c r="H33" i="16502"/>
  <c r="I33" i="16502" s="1"/>
  <c r="H34" i="16502"/>
  <c r="I34" i="16502" s="1"/>
  <c r="H35" i="16502"/>
  <c r="I35" i="16502" s="1"/>
  <c r="H47" i="16502"/>
  <c r="O17" i="16502" l="1"/>
  <c r="P17" i="16502"/>
  <c r="K34" i="16502"/>
  <c r="L34" i="16502"/>
  <c r="N34" i="16502" s="1"/>
  <c r="P34" i="16502" s="1"/>
  <c r="R34" i="16502" s="1"/>
  <c r="T34" i="16502" s="1"/>
  <c r="V34" i="16502" s="1"/>
  <c r="X34" i="16502" s="1"/>
  <c r="Z34" i="16502" s="1"/>
  <c r="AB34" i="16502" s="1"/>
  <c r="AD34" i="16502" s="1"/>
  <c r="AF34" i="16502" s="1"/>
  <c r="AH34" i="16502" s="1"/>
  <c r="AJ34" i="16502" s="1"/>
  <c r="AL34" i="16502" s="1"/>
  <c r="AN34" i="16502" s="1"/>
  <c r="K22" i="16502"/>
  <c r="L22" i="16502"/>
  <c r="N22" i="16502" s="1"/>
  <c r="P22" i="16502" s="1"/>
  <c r="R22" i="16502" s="1"/>
  <c r="T22" i="16502" s="1"/>
  <c r="V22" i="16502" s="1"/>
  <c r="X22" i="16502" s="1"/>
  <c r="Z22" i="16502" s="1"/>
  <c r="AB22" i="16502" s="1"/>
  <c r="AD22" i="16502" s="1"/>
  <c r="AF22" i="16502" s="1"/>
  <c r="AH22" i="16502" s="1"/>
  <c r="AJ22" i="16502" s="1"/>
  <c r="AL22" i="16502" s="1"/>
  <c r="AN22" i="16502" s="1"/>
  <c r="L18" i="16502"/>
  <c r="M18" i="16502" s="1"/>
  <c r="K12" i="16502"/>
  <c r="L12" i="16502"/>
  <c r="N12" i="16502" s="1"/>
  <c r="P12" i="16502" s="1"/>
  <c r="R12" i="16502" s="1"/>
  <c r="T12" i="16502" s="1"/>
  <c r="V12" i="16502" s="1"/>
  <c r="X12" i="16502" s="1"/>
  <c r="Z12" i="16502" s="1"/>
  <c r="AB12" i="16502" s="1"/>
  <c r="AD12" i="16502" s="1"/>
  <c r="AF12" i="16502" s="1"/>
  <c r="AH12" i="16502" s="1"/>
  <c r="AJ12" i="16502" s="1"/>
  <c r="AL12" i="16502" s="1"/>
  <c r="AN12" i="16502" s="1"/>
  <c r="K33" i="16502"/>
  <c r="L33" i="16502"/>
  <c r="N33" i="16502" s="1"/>
  <c r="P33" i="16502" s="1"/>
  <c r="R33" i="16502" s="1"/>
  <c r="T33" i="16502" s="1"/>
  <c r="V33" i="16502" s="1"/>
  <c r="X33" i="16502" s="1"/>
  <c r="Z33" i="16502" s="1"/>
  <c r="AB33" i="16502" s="1"/>
  <c r="AD33" i="16502" s="1"/>
  <c r="AF33" i="16502" s="1"/>
  <c r="AH33" i="16502" s="1"/>
  <c r="AJ33" i="16502" s="1"/>
  <c r="AL33" i="16502" s="1"/>
  <c r="AN33" i="16502" s="1"/>
  <c r="L21" i="16502"/>
  <c r="N21" i="16502" s="1"/>
  <c r="P21" i="16502" s="1"/>
  <c r="R21" i="16502" s="1"/>
  <c r="T21" i="16502" s="1"/>
  <c r="V21" i="16502" s="1"/>
  <c r="X21" i="16502" s="1"/>
  <c r="Z21" i="16502" s="1"/>
  <c r="AB21" i="16502" s="1"/>
  <c r="AD21" i="16502" s="1"/>
  <c r="AF21" i="16502" s="1"/>
  <c r="AH21" i="16502" s="1"/>
  <c r="AJ21" i="16502" s="1"/>
  <c r="AL21" i="16502" s="1"/>
  <c r="AN21" i="16502" s="1"/>
  <c r="L15" i="16502"/>
  <c r="N15" i="16502" s="1"/>
  <c r="P15" i="16502" s="1"/>
  <c r="R15" i="16502" s="1"/>
  <c r="T15" i="16502" s="1"/>
  <c r="V15" i="16502" s="1"/>
  <c r="X15" i="16502" s="1"/>
  <c r="Z15" i="16502" s="1"/>
  <c r="AB15" i="16502" s="1"/>
  <c r="AD15" i="16502" s="1"/>
  <c r="AF15" i="16502" s="1"/>
  <c r="AH15" i="16502" s="1"/>
  <c r="AJ15" i="16502" s="1"/>
  <c r="AL15" i="16502" s="1"/>
  <c r="AN15" i="16502" s="1"/>
  <c r="L11" i="16502"/>
  <c r="K26" i="16502"/>
  <c r="L26" i="16502"/>
  <c r="N26" i="16502" s="1"/>
  <c r="P26" i="16502" s="1"/>
  <c r="R26" i="16502" s="1"/>
  <c r="T26" i="16502" s="1"/>
  <c r="V26" i="16502" s="1"/>
  <c r="X26" i="16502" s="1"/>
  <c r="Z26" i="16502" s="1"/>
  <c r="AB26" i="16502" s="1"/>
  <c r="AD26" i="16502" s="1"/>
  <c r="AF26" i="16502" s="1"/>
  <c r="AH26" i="16502" s="1"/>
  <c r="AJ26" i="16502" s="1"/>
  <c r="AL26" i="16502" s="1"/>
  <c r="AN26" i="16502" s="1"/>
  <c r="L20" i="16502"/>
  <c r="N20" i="16502" s="1"/>
  <c r="P20" i="16502" s="1"/>
  <c r="R20" i="16502" s="1"/>
  <c r="T20" i="16502" s="1"/>
  <c r="V20" i="16502" s="1"/>
  <c r="X20" i="16502" s="1"/>
  <c r="Z20" i="16502" s="1"/>
  <c r="AB20" i="16502" s="1"/>
  <c r="AD20" i="16502" s="1"/>
  <c r="AF20" i="16502" s="1"/>
  <c r="AH20" i="16502" s="1"/>
  <c r="AJ20" i="16502" s="1"/>
  <c r="AL20" i="16502" s="1"/>
  <c r="AN20" i="16502" s="1"/>
  <c r="L14" i="16502"/>
  <c r="N14" i="16502" s="1"/>
  <c r="P14" i="16502" s="1"/>
  <c r="R14" i="16502" s="1"/>
  <c r="T14" i="16502" s="1"/>
  <c r="V14" i="16502" s="1"/>
  <c r="X14" i="16502" s="1"/>
  <c r="Z14" i="16502" s="1"/>
  <c r="AB14" i="16502" s="1"/>
  <c r="AD14" i="16502" s="1"/>
  <c r="AF14" i="16502" s="1"/>
  <c r="AH14" i="16502" s="1"/>
  <c r="AJ14" i="16502" s="1"/>
  <c r="AL14" i="16502" s="1"/>
  <c r="AN14" i="16502" s="1"/>
  <c r="L35" i="16502"/>
  <c r="N35" i="16502" s="1"/>
  <c r="K35" i="16502"/>
  <c r="L24" i="16502"/>
  <c r="N24" i="16502" s="1"/>
  <c r="P24" i="16502" s="1"/>
  <c r="R24" i="16502" s="1"/>
  <c r="T24" i="16502" s="1"/>
  <c r="V24" i="16502" s="1"/>
  <c r="X24" i="16502" s="1"/>
  <c r="Z24" i="16502" s="1"/>
  <c r="AB24" i="16502" s="1"/>
  <c r="AD24" i="16502" s="1"/>
  <c r="AF24" i="16502" s="1"/>
  <c r="AH24" i="16502" s="1"/>
  <c r="AJ24" i="16502" s="1"/>
  <c r="AL24" i="16502" s="1"/>
  <c r="AN24" i="16502" s="1"/>
  <c r="L19" i="16502"/>
  <c r="L13" i="16502"/>
  <c r="N13" i="16502" s="1"/>
  <c r="P13" i="16502" s="1"/>
  <c r="R13" i="16502" s="1"/>
  <c r="T13" i="16502" s="1"/>
  <c r="V13" i="16502" s="1"/>
  <c r="X13" i="16502" s="1"/>
  <c r="Z13" i="16502" s="1"/>
  <c r="AB13" i="16502" s="1"/>
  <c r="AD13" i="16502" s="1"/>
  <c r="AF13" i="16502" s="1"/>
  <c r="AH13" i="16502" s="1"/>
  <c r="AJ13" i="16502" s="1"/>
  <c r="AL13" i="16502" s="1"/>
  <c r="AN13" i="16502" s="1"/>
  <c r="K13" i="16502"/>
  <c r="I47" i="16502"/>
  <c r="K47" i="16502" s="1"/>
  <c r="CY56" i="16506"/>
  <c r="CV46" i="16506"/>
  <c r="CW50" i="16506"/>
  <c r="AH25" i="16457"/>
  <c r="AG28" i="16506"/>
  <c r="BK28" i="16506"/>
  <c r="H54" i="16501"/>
  <c r="I54" i="16501" s="1"/>
  <c r="J54" i="16501" s="1"/>
  <c r="K54" i="16501" s="1"/>
  <c r="L54" i="16501" s="1"/>
  <c r="M54" i="16501" s="1"/>
  <c r="N54" i="16501" s="1"/>
  <c r="O54" i="16501" s="1"/>
  <c r="P54" i="16501" s="1"/>
  <c r="Q54" i="16501" s="1"/>
  <c r="R54" i="16501" s="1"/>
  <c r="S54" i="16501" s="1"/>
  <c r="T54" i="16501" s="1"/>
  <c r="U54" i="16501" s="1"/>
  <c r="V54" i="16501" s="1"/>
  <c r="W54" i="16501" s="1"/>
  <c r="X54" i="16501" s="1"/>
  <c r="Y54" i="16501" s="1"/>
  <c r="Z54" i="16501" s="1"/>
  <c r="AA54" i="16501" s="1"/>
  <c r="AB54" i="16501" s="1"/>
  <c r="AC54" i="16501" s="1"/>
  <c r="AD54" i="16501" s="1"/>
  <c r="AE54" i="16501" s="1"/>
  <c r="AF54" i="16501" s="1"/>
  <c r="AG54" i="16501" s="1"/>
  <c r="AH54" i="16501" s="1"/>
  <c r="AI54" i="16501" s="1"/>
  <c r="AJ54" i="16501" s="1"/>
  <c r="H29" i="16501"/>
  <c r="I29" i="16501" s="1"/>
  <c r="J29" i="16501" s="1"/>
  <c r="K29" i="16501" s="1"/>
  <c r="L29" i="16501" s="1"/>
  <c r="M29" i="16501" s="1"/>
  <c r="N29" i="16501" s="1"/>
  <c r="O29" i="16501" s="1"/>
  <c r="P29" i="16501" s="1"/>
  <c r="Q29" i="16501" s="1"/>
  <c r="R29" i="16501" s="1"/>
  <c r="S29" i="16501" s="1"/>
  <c r="T29" i="16501" s="1"/>
  <c r="U29" i="16501" s="1"/>
  <c r="V29" i="16501" s="1"/>
  <c r="W29" i="16501" s="1"/>
  <c r="X29" i="16501" s="1"/>
  <c r="Y29" i="16501" s="1"/>
  <c r="Z29" i="16501" s="1"/>
  <c r="AA29" i="16501" s="1"/>
  <c r="AB29" i="16501" s="1"/>
  <c r="AC29" i="16501" s="1"/>
  <c r="AD29" i="16501" s="1"/>
  <c r="AE29" i="16501" s="1"/>
  <c r="AF29" i="16501" s="1"/>
  <c r="AG29" i="16501" s="1"/>
  <c r="AH29" i="16501" s="1"/>
  <c r="AI29" i="16501" s="1"/>
  <c r="AJ29" i="16501" s="1"/>
  <c r="AR6" i="16501"/>
  <c r="AS6" i="16501" s="1"/>
  <c r="AT6" i="16501" s="1"/>
  <c r="AU6" i="16501" s="1"/>
  <c r="AV6" i="16501" s="1"/>
  <c r="AW6" i="16501" s="1"/>
  <c r="AX6" i="16501" s="1"/>
  <c r="AY6" i="16501" s="1"/>
  <c r="AZ6" i="16501" s="1"/>
  <c r="BA6" i="16501" s="1"/>
  <c r="BB6" i="16501" s="1"/>
  <c r="BC6" i="16501" s="1"/>
  <c r="BD6" i="16501" s="1"/>
  <c r="BE6" i="16501" s="1"/>
  <c r="BF6" i="16501" s="1"/>
  <c r="BG6" i="16501" s="1"/>
  <c r="BH6" i="16501" s="1"/>
  <c r="BI6" i="16501" s="1"/>
  <c r="BJ6" i="16501" s="1"/>
  <c r="BK6" i="16501" s="1"/>
  <c r="BL6" i="16501" s="1"/>
  <c r="BM6" i="16501" s="1"/>
  <c r="BN6" i="16501" s="1"/>
  <c r="BO6" i="16501" s="1"/>
  <c r="BP6" i="16501" s="1"/>
  <c r="BQ6" i="16501" s="1"/>
  <c r="BR6" i="16501" s="1"/>
  <c r="BS6" i="16501" s="1"/>
  <c r="BT6" i="16501" s="1"/>
  <c r="H6" i="16501"/>
  <c r="N19" i="16502" l="1"/>
  <c r="P19" i="16502" s="1"/>
  <c r="R19" i="16502" s="1"/>
  <c r="T19" i="16502" s="1"/>
  <c r="V19" i="16502" s="1"/>
  <c r="X19" i="16502" s="1"/>
  <c r="Z19" i="16502" s="1"/>
  <c r="AB19" i="16502" s="1"/>
  <c r="AD19" i="16502" s="1"/>
  <c r="AF19" i="16502" s="1"/>
  <c r="AH19" i="16502" s="1"/>
  <c r="AJ19" i="16502" s="1"/>
  <c r="AL19" i="16502" s="1"/>
  <c r="AN19" i="16502" s="1"/>
  <c r="M19" i="16502"/>
  <c r="O19" i="16502" s="1"/>
  <c r="Q19" i="16502" s="1"/>
  <c r="S19" i="16502" s="1"/>
  <c r="U19" i="16502" s="1"/>
  <c r="W19" i="16502" s="1"/>
  <c r="Y19" i="16502" s="1"/>
  <c r="AA19" i="16502" s="1"/>
  <c r="AC19" i="16502" s="1"/>
  <c r="AE19" i="16502" s="1"/>
  <c r="AG19" i="16502" s="1"/>
  <c r="AI19" i="16502" s="1"/>
  <c r="AK19" i="16502" s="1"/>
  <c r="AM19" i="16502" s="1"/>
  <c r="N18" i="16502"/>
  <c r="R17" i="16502"/>
  <c r="Q17" i="16502"/>
  <c r="L47" i="16502"/>
  <c r="M13" i="16502"/>
  <c r="O13" i="16502" s="1"/>
  <c r="Q13" i="16502" s="1"/>
  <c r="S13" i="16502" s="1"/>
  <c r="U13" i="16502" s="1"/>
  <c r="W13" i="16502" s="1"/>
  <c r="Y13" i="16502" s="1"/>
  <c r="AA13" i="16502" s="1"/>
  <c r="AC13" i="16502" s="1"/>
  <c r="AE13" i="16502" s="1"/>
  <c r="AG13" i="16502" s="1"/>
  <c r="AI13" i="16502" s="1"/>
  <c r="AK13" i="16502" s="1"/>
  <c r="AM13" i="16502" s="1"/>
  <c r="M24" i="16502"/>
  <c r="O24" i="16502" s="1"/>
  <c r="Q24" i="16502" s="1"/>
  <c r="S24" i="16502" s="1"/>
  <c r="U24" i="16502" s="1"/>
  <c r="W24" i="16502" s="1"/>
  <c r="Y24" i="16502" s="1"/>
  <c r="AA24" i="16502" s="1"/>
  <c r="AC24" i="16502" s="1"/>
  <c r="AE24" i="16502" s="1"/>
  <c r="AG24" i="16502" s="1"/>
  <c r="AI24" i="16502" s="1"/>
  <c r="AK24" i="16502" s="1"/>
  <c r="AM24" i="16502" s="1"/>
  <c r="M21" i="16502"/>
  <c r="O21" i="16502" s="1"/>
  <c r="Q21" i="16502" s="1"/>
  <c r="S21" i="16502" s="1"/>
  <c r="U21" i="16502" s="1"/>
  <c r="W21" i="16502" s="1"/>
  <c r="Y21" i="16502" s="1"/>
  <c r="AA21" i="16502" s="1"/>
  <c r="AC21" i="16502" s="1"/>
  <c r="AE21" i="16502" s="1"/>
  <c r="AG21" i="16502" s="1"/>
  <c r="AI21" i="16502" s="1"/>
  <c r="AK21" i="16502" s="1"/>
  <c r="AM21" i="16502" s="1"/>
  <c r="M20" i="16502"/>
  <c r="O20" i="16502" s="1"/>
  <c r="Q20" i="16502" s="1"/>
  <c r="S20" i="16502" s="1"/>
  <c r="U20" i="16502" s="1"/>
  <c r="W20" i="16502" s="1"/>
  <c r="Y20" i="16502" s="1"/>
  <c r="AA20" i="16502" s="1"/>
  <c r="AC20" i="16502" s="1"/>
  <c r="AE20" i="16502" s="1"/>
  <c r="AG20" i="16502" s="1"/>
  <c r="AI20" i="16502" s="1"/>
  <c r="AK20" i="16502" s="1"/>
  <c r="AM20" i="16502" s="1"/>
  <c r="M12" i="16502"/>
  <c r="O12" i="16502" s="1"/>
  <c r="Q12" i="16502" s="1"/>
  <c r="S12" i="16502" s="1"/>
  <c r="U12" i="16502" s="1"/>
  <c r="W12" i="16502" s="1"/>
  <c r="Y12" i="16502" s="1"/>
  <c r="AA12" i="16502" s="1"/>
  <c r="AC12" i="16502" s="1"/>
  <c r="AE12" i="16502" s="1"/>
  <c r="AG12" i="16502" s="1"/>
  <c r="AI12" i="16502" s="1"/>
  <c r="AK12" i="16502" s="1"/>
  <c r="AM12" i="16502" s="1"/>
  <c r="M22" i="16502"/>
  <c r="O22" i="16502" s="1"/>
  <c r="Q22" i="16502" s="1"/>
  <c r="S22" i="16502" s="1"/>
  <c r="U22" i="16502" s="1"/>
  <c r="W22" i="16502" s="1"/>
  <c r="Y22" i="16502" s="1"/>
  <c r="AA22" i="16502" s="1"/>
  <c r="AC22" i="16502" s="1"/>
  <c r="AE22" i="16502" s="1"/>
  <c r="AG22" i="16502" s="1"/>
  <c r="AI22" i="16502" s="1"/>
  <c r="AK22" i="16502" s="1"/>
  <c r="AM22" i="16502" s="1"/>
  <c r="M35" i="16502"/>
  <c r="O35" i="16502" s="1"/>
  <c r="M14" i="16502"/>
  <c r="O14" i="16502" s="1"/>
  <c r="Q14" i="16502" s="1"/>
  <c r="S14" i="16502" s="1"/>
  <c r="U14" i="16502" s="1"/>
  <c r="W14" i="16502" s="1"/>
  <c r="Y14" i="16502" s="1"/>
  <c r="AA14" i="16502" s="1"/>
  <c r="AC14" i="16502" s="1"/>
  <c r="AE14" i="16502" s="1"/>
  <c r="AG14" i="16502" s="1"/>
  <c r="AI14" i="16502" s="1"/>
  <c r="AK14" i="16502" s="1"/>
  <c r="AM14" i="16502" s="1"/>
  <c r="M26" i="16502"/>
  <c r="O26" i="16502" s="1"/>
  <c r="Q26" i="16502" s="1"/>
  <c r="S26" i="16502" s="1"/>
  <c r="U26" i="16502" s="1"/>
  <c r="W26" i="16502" s="1"/>
  <c r="Y26" i="16502" s="1"/>
  <c r="AA26" i="16502" s="1"/>
  <c r="AC26" i="16502" s="1"/>
  <c r="AE26" i="16502" s="1"/>
  <c r="AG26" i="16502" s="1"/>
  <c r="AI26" i="16502" s="1"/>
  <c r="AK26" i="16502" s="1"/>
  <c r="AM26" i="16502" s="1"/>
  <c r="M15" i="16502"/>
  <c r="O15" i="16502" s="1"/>
  <c r="Q15" i="16502" s="1"/>
  <c r="S15" i="16502" s="1"/>
  <c r="U15" i="16502" s="1"/>
  <c r="W15" i="16502" s="1"/>
  <c r="Y15" i="16502" s="1"/>
  <c r="AA15" i="16502" s="1"/>
  <c r="AC15" i="16502" s="1"/>
  <c r="AE15" i="16502" s="1"/>
  <c r="AG15" i="16502" s="1"/>
  <c r="AI15" i="16502" s="1"/>
  <c r="AK15" i="16502" s="1"/>
  <c r="AM15" i="16502" s="1"/>
  <c r="M33" i="16502"/>
  <c r="O33" i="16502" s="1"/>
  <c r="Q33" i="16502" s="1"/>
  <c r="S33" i="16502" s="1"/>
  <c r="U33" i="16502" s="1"/>
  <c r="W33" i="16502" s="1"/>
  <c r="Y33" i="16502" s="1"/>
  <c r="AA33" i="16502" s="1"/>
  <c r="AC33" i="16502" s="1"/>
  <c r="AE33" i="16502" s="1"/>
  <c r="AG33" i="16502" s="1"/>
  <c r="AI33" i="16502" s="1"/>
  <c r="AK33" i="16502" s="1"/>
  <c r="AM33" i="16502" s="1"/>
  <c r="M34" i="16502"/>
  <c r="O34" i="16502" s="1"/>
  <c r="Q34" i="16502" s="1"/>
  <c r="S34" i="16502" s="1"/>
  <c r="U34" i="16502" s="1"/>
  <c r="W34" i="16502" s="1"/>
  <c r="Y34" i="16502" s="1"/>
  <c r="AA34" i="16502" s="1"/>
  <c r="AC34" i="16502" s="1"/>
  <c r="AE34" i="16502" s="1"/>
  <c r="AG34" i="16502" s="1"/>
  <c r="AI34" i="16502" s="1"/>
  <c r="AK34" i="16502" s="1"/>
  <c r="AM34" i="16502" s="1"/>
  <c r="M11" i="16502"/>
  <c r="N11" i="16502"/>
  <c r="I6" i="16501"/>
  <c r="J6" i="16501" s="1"/>
  <c r="K6" i="16501" s="1"/>
  <c r="L6" i="16501" s="1"/>
  <c r="M6" i="16501" s="1"/>
  <c r="N6" i="16501" s="1"/>
  <c r="O6" i="16501" s="1"/>
  <c r="P6" i="16501" s="1"/>
  <c r="Q6" i="16501" s="1"/>
  <c r="R6" i="16501" s="1"/>
  <c r="S6" i="16501" s="1"/>
  <c r="T6" i="16501" s="1"/>
  <c r="U6" i="16501" s="1"/>
  <c r="V6" i="16501" s="1"/>
  <c r="W6" i="16501" s="1"/>
  <c r="X6" i="16501" s="1"/>
  <c r="Y6" i="16501" s="1"/>
  <c r="Z6" i="16501" s="1"/>
  <c r="AA6" i="16501" s="1"/>
  <c r="AB6" i="16501" s="1"/>
  <c r="AC6" i="16501" s="1"/>
  <c r="AD6" i="16501" s="1"/>
  <c r="AE6" i="16501" s="1"/>
  <c r="AF6" i="16501" s="1"/>
  <c r="AG6" i="16501" s="1"/>
  <c r="AH6" i="16501" s="1"/>
  <c r="AI6" i="16501" s="1"/>
  <c r="AJ6" i="16501" s="1"/>
  <c r="CW46" i="16506"/>
  <c r="CX50" i="16506"/>
  <c r="BL28" i="16506"/>
  <c r="AI25" i="16457"/>
  <c r="AH28" i="16506"/>
  <c r="O18" i="16502" l="1"/>
  <c r="P18" i="16502"/>
  <c r="S17" i="16502"/>
  <c r="T17" i="16502"/>
  <c r="J19" i="16502"/>
  <c r="J12" i="16502"/>
  <c r="J20" i="16502"/>
  <c r="J21" i="16502"/>
  <c r="J47" i="16502"/>
  <c r="J24" i="16502"/>
  <c r="J34" i="16502"/>
  <c r="J15" i="16502"/>
  <c r="J35" i="16502"/>
  <c r="J22" i="16502"/>
  <c r="J13" i="16502"/>
  <c r="J33" i="16502"/>
  <c r="J26" i="16502"/>
  <c r="J14" i="16502"/>
  <c r="P11" i="16502"/>
  <c r="O11" i="16502"/>
  <c r="CY50" i="16506"/>
  <c r="CX46" i="16506"/>
  <c r="AJ25" i="16457"/>
  <c r="AI28" i="16506"/>
  <c r="BM28" i="16506"/>
  <c r="R18" i="16502" l="1"/>
  <c r="Q18" i="16502"/>
  <c r="V17" i="16502"/>
  <c r="U17" i="16502"/>
  <c r="Q11" i="16502"/>
  <c r="R11" i="16502"/>
  <c r="CY46" i="16506"/>
  <c r="BN28" i="16506"/>
  <c r="AK25" i="16457"/>
  <c r="AJ28" i="16506"/>
  <c r="CU99" i="16457"/>
  <c r="CT99" i="16457"/>
  <c r="CS99" i="16457"/>
  <c r="CR99" i="16457"/>
  <c r="CQ99" i="16457"/>
  <c r="CP99" i="16457"/>
  <c r="CO99" i="16457"/>
  <c r="CN99" i="16457"/>
  <c r="CM99" i="16457"/>
  <c r="CL99" i="16457"/>
  <c r="CK99" i="16457"/>
  <c r="CJ99" i="16457"/>
  <c r="CI99" i="16457"/>
  <c r="CH99" i="16457"/>
  <c r="CG99" i="16457"/>
  <c r="CF99" i="16457"/>
  <c r="CE99" i="16457"/>
  <c r="CD99" i="16457"/>
  <c r="CC99" i="16457"/>
  <c r="CB99" i="16457"/>
  <c r="CA99" i="16457"/>
  <c r="BZ99" i="16457"/>
  <c r="BY99" i="16457"/>
  <c r="BX99" i="16457"/>
  <c r="CU80" i="16457"/>
  <c r="CT80" i="16457"/>
  <c r="CS80" i="16457"/>
  <c r="CR80" i="16457"/>
  <c r="CQ80" i="16457"/>
  <c r="CP80" i="16457"/>
  <c r="CO80" i="16457"/>
  <c r="CN80" i="16457"/>
  <c r="CM80" i="16457"/>
  <c r="CL80" i="16457"/>
  <c r="CK80" i="16457"/>
  <c r="CJ80" i="16457"/>
  <c r="CI80" i="16457"/>
  <c r="CH80" i="16457"/>
  <c r="CG80" i="16457"/>
  <c r="CF80" i="16457"/>
  <c r="CE80" i="16457"/>
  <c r="CD80" i="16457"/>
  <c r="CC80" i="16457"/>
  <c r="CB80" i="16457"/>
  <c r="CA80" i="16457"/>
  <c r="BZ80" i="16457"/>
  <c r="BY80" i="16457"/>
  <c r="BX80" i="16457"/>
  <c r="CU76" i="16457"/>
  <c r="CT76" i="16457"/>
  <c r="CS76" i="16457"/>
  <c r="CR76" i="16457"/>
  <c r="CQ76" i="16457"/>
  <c r="CP76" i="16457"/>
  <c r="CO76" i="16457"/>
  <c r="CN76" i="16457"/>
  <c r="CM76" i="16457"/>
  <c r="CL76" i="16457"/>
  <c r="CK76" i="16457"/>
  <c r="CJ76" i="16457"/>
  <c r="CI76" i="16457"/>
  <c r="CH76" i="16457"/>
  <c r="CG76" i="16457"/>
  <c r="CF76" i="16457"/>
  <c r="CE76" i="16457"/>
  <c r="CD76" i="16457"/>
  <c r="CC76" i="16457"/>
  <c r="CB76" i="16457"/>
  <c r="CA76" i="16457"/>
  <c r="BZ76" i="16457"/>
  <c r="BY76" i="16457"/>
  <c r="BX76" i="16457"/>
  <c r="BW76" i="16457"/>
  <c r="CU108" i="16457"/>
  <c r="CT108" i="16457"/>
  <c r="CS108" i="16457"/>
  <c r="CR108" i="16457"/>
  <c r="CQ108" i="16457"/>
  <c r="CP108" i="16457"/>
  <c r="CO108" i="16457"/>
  <c r="CN108" i="16457"/>
  <c r="CM108" i="16457"/>
  <c r="CL108" i="16457"/>
  <c r="CK108" i="16457"/>
  <c r="CJ108" i="16457"/>
  <c r="CI108" i="16457"/>
  <c r="CH108" i="16457"/>
  <c r="CG108" i="16457"/>
  <c r="CF108" i="16457"/>
  <c r="CE108" i="16457"/>
  <c r="CD108" i="16457"/>
  <c r="CC108" i="16457"/>
  <c r="CB108" i="16457"/>
  <c r="CA108" i="16457"/>
  <c r="BZ108" i="16457"/>
  <c r="BY108" i="16457"/>
  <c r="BX108" i="16457"/>
  <c r="CU103" i="16457"/>
  <c r="CT103" i="16457"/>
  <c r="CS103" i="16457"/>
  <c r="CR103" i="16457"/>
  <c r="CQ103" i="16457"/>
  <c r="CP103" i="16457"/>
  <c r="CO103" i="16457"/>
  <c r="CN103" i="16457"/>
  <c r="CM103" i="16457"/>
  <c r="CL103" i="16457"/>
  <c r="CK103" i="16457"/>
  <c r="CJ103" i="16457"/>
  <c r="CI103" i="16457"/>
  <c r="CH103" i="16457"/>
  <c r="CG103" i="16457"/>
  <c r="CF103" i="16457"/>
  <c r="CE103" i="16457"/>
  <c r="CD103" i="16457"/>
  <c r="CC103" i="16457"/>
  <c r="CB103" i="16457"/>
  <c r="CA103" i="16457"/>
  <c r="BZ103" i="16457"/>
  <c r="BY103" i="16457"/>
  <c r="BX103" i="16457"/>
  <c r="CU58" i="16457"/>
  <c r="CT58" i="16457"/>
  <c r="CS58" i="16457"/>
  <c r="CR58" i="16457"/>
  <c r="CQ58" i="16457"/>
  <c r="CP58" i="16457"/>
  <c r="CO58" i="16457"/>
  <c r="CN58" i="16457"/>
  <c r="CM58" i="16457"/>
  <c r="CL58" i="16457"/>
  <c r="CK58" i="16457"/>
  <c r="CJ58" i="16457"/>
  <c r="CI58" i="16457"/>
  <c r="CH58" i="16457"/>
  <c r="CG58" i="16457"/>
  <c r="CF58" i="16457"/>
  <c r="CE58" i="16457"/>
  <c r="CD58" i="16457"/>
  <c r="CC58" i="16457"/>
  <c r="CB58" i="16457"/>
  <c r="CA58" i="16457"/>
  <c r="BZ58" i="16457"/>
  <c r="BY58" i="16457"/>
  <c r="BX58" i="16457"/>
  <c r="CU97" i="16457"/>
  <c r="EA97" i="16457" s="1"/>
  <c r="CT97" i="16457"/>
  <c r="DZ97" i="16457" s="1"/>
  <c r="CS97" i="16457"/>
  <c r="DY97" i="16457" s="1"/>
  <c r="CR97" i="16457"/>
  <c r="DX97" i="16457" s="1"/>
  <c r="CQ97" i="16457"/>
  <c r="DW97" i="16457" s="1"/>
  <c r="CP97" i="16457"/>
  <c r="DV97" i="16457" s="1"/>
  <c r="CO97" i="16457"/>
  <c r="DU97" i="16457" s="1"/>
  <c r="CN97" i="16457"/>
  <c r="DT97" i="16457" s="1"/>
  <c r="CM97" i="16457"/>
  <c r="DS97" i="16457" s="1"/>
  <c r="CL97" i="16457"/>
  <c r="DR97" i="16457" s="1"/>
  <c r="CK97" i="16457"/>
  <c r="DQ97" i="16457" s="1"/>
  <c r="CJ97" i="16457"/>
  <c r="DP97" i="16457" s="1"/>
  <c r="CI97" i="16457"/>
  <c r="DO97" i="16457" s="1"/>
  <c r="CH97" i="16457"/>
  <c r="DN97" i="16457" s="1"/>
  <c r="CG97" i="16457"/>
  <c r="DM97" i="16457" s="1"/>
  <c r="CF97" i="16457"/>
  <c r="DL97" i="16457" s="1"/>
  <c r="CE97" i="16457"/>
  <c r="DK97" i="16457" s="1"/>
  <c r="CD97" i="16457"/>
  <c r="DJ97" i="16457" s="1"/>
  <c r="CC97" i="16457"/>
  <c r="DI97" i="16457" s="1"/>
  <c r="CB97" i="16457"/>
  <c r="DH97" i="16457" s="1"/>
  <c r="CA97" i="16457"/>
  <c r="DG97" i="16457" s="1"/>
  <c r="BZ97" i="16457"/>
  <c r="DF97" i="16457" s="1"/>
  <c r="BY97" i="16457"/>
  <c r="DE97" i="16457" s="1"/>
  <c r="BX97" i="16457"/>
  <c r="DD97" i="16457" s="1"/>
  <c r="CU95" i="16457"/>
  <c r="EA95" i="16457" s="1"/>
  <c r="CT95" i="16457"/>
  <c r="DZ95" i="16457" s="1"/>
  <c r="CS95" i="16457"/>
  <c r="DY95" i="16457" s="1"/>
  <c r="CR95" i="16457"/>
  <c r="DX95" i="16457" s="1"/>
  <c r="CQ95" i="16457"/>
  <c r="DW95" i="16457" s="1"/>
  <c r="CP95" i="16457"/>
  <c r="DV95" i="16457" s="1"/>
  <c r="CO95" i="16457"/>
  <c r="DU95" i="16457" s="1"/>
  <c r="CN95" i="16457"/>
  <c r="DT95" i="16457" s="1"/>
  <c r="CM95" i="16457"/>
  <c r="DS95" i="16457" s="1"/>
  <c r="CL95" i="16457"/>
  <c r="DR95" i="16457" s="1"/>
  <c r="CK95" i="16457"/>
  <c r="DQ95" i="16457" s="1"/>
  <c r="CJ95" i="16457"/>
  <c r="DP95" i="16457" s="1"/>
  <c r="CI95" i="16457"/>
  <c r="DO95" i="16457" s="1"/>
  <c r="CH95" i="16457"/>
  <c r="DN95" i="16457" s="1"/>
  <c r="CG95" i="16457"/>
  <c r="DM95" i="16457" s="1"/>
  <c r="CF95" i="16457"/>
  <c r="DL95" i="16457" s="1"/>
  <c r="CE95" i="16457"/>
  <c r="DK95" i="16457" s="1"/>
  <c r="CD95" i="16457"/>
  <c r="DJ95" i="16457" s="1"/>
  <c r="CC95" i="16457"/>
  <c r="DI95" i="16457" s="1"/>
  <c r="CB95" i="16457"/>
  <c r="DH95" i="16457" s="1"/>
  <c r="CA95" i="16457"/>
  <c r="DG95" i="16457" s="1"/>
  <c r="BZ95" i="16457"/>
  <c r="DF95" i="16457" s="1"/>
  <c r="BY95" i="16457"/>
  <c r="DE95" i="16457" s="1"/>
  <c r="BX95" i="16457"/>
  <c r="DD95" i="16457" s="1"/>
  <c r="CU56" i="16457"/>
  <c r="CU141" i="16457" s="1"/>
  <c r="CU164" i="16457" s="1"/>
  <c r="CT56" i="16457"/>
  <c r="CT141" i="16457" s="1"/>
  <c r="CT164" i="16457" s="1"/>
  <c r="CS56" i="16457"/>
  <c r="CS141" i="16457" s="1"/>
  <c r="CS164" i="16457" s="1"/>
  <c r="CR56" i="16457"/>
  <c r="CR141" i="16457" s="1"/>
  <c r="CR164" i="16457" s="1"/>
  <c r="CQ56" i="16457"/>
  <c r="CQ141" i="16457" s="1"/>
  <c r="CQ164" i="16457" s="1"/>
  <c r="CP56" i="16457"/>
  <c r="CP141" i="16457" s="1"/>
  <c r="CP164" i="16457" s="1"/>
  <c r="CO56" i="16457"/>
  <c r="CO141" i="16457" s="1"/>
  <c r="CO164" i="16457" s="1"/>
  <c r="CN56" i="16457"/>
  <c r="CN141" i="16457" s="1"/>
  <c r="CN164" i="16457" s="1"/>
  <c r="CM56" i="16457"/>
  <c r="CM141" i="16457" s="1"/>
  <c r="CM164" i="16457" s="1"/>
  <c r="CL56" i="16457"/>
  <c r="CL141" i="16457" s="1"/>
  <c r="CL164" i="16457" s="1"/>
  <c r="CK56" i="16457"/>
  <c r="CK141" i="16457" s="1"/>
  <c r="CK164" i="16457" s="1"/>
  <c r="CJ56" i="16457"/>
  <c r="CJ141" i="16457" s="1"/>
  <c r="CJ164" i="16457" s="1"/>
  <c r="CI56" i="16457"/>
  <c r="CI141" i="16457" s="1"/>
  <c r="CI164" i="16457" s="1"/>
  <c r="CH56" i="16457"/>
  <c r="CH141" i="16457" s="1"/>
  <c r="CH164" i="16457" s="1"/>
  <c r="CG56" i="16457"/>
  <c r="CG141" i="16457" s="1"/>
  <c r="CG164" i="16457" s="1"/>
  <c r="CF56" i="16457"/>
  <c r="CF141" i="16457" s="1"/>
  <c r="CF164" i="16457" s="1"/>
  <c r="CE56" i="16457"/>
  <c r="CE141" i="16457" s="1"/>
  <c r="CE164" i="16457" s="1"/>
  <c r="CD56" i="16457"/>
  <c r="CD141" i="16457" s="1"/>
  <c r="CD164" i="16457" s="1"/>
  <c r="CC56" i="16457"/>
  <c r="CC141" i="16457" s="1"/>
  <c r="CC164" i="16457" s="1"/>
  <c r="CB56" i="16457"/>
  <c r="CB141" i="16457" s="1"/>
  <c r="CB164" i="16457" s="1"/>
  <c r="CA56" i="16457"/>
  <c r="CA141" i="16457" s="1"/>
  <c r="CA164" i="16457" s="1"/>
  <c r="BZ56" i="16457"/>
  <c r="BZ141" i="16457" s="1"/>
  <c r="BZ164" i="16457" s="1"/>
  <c r="BY56" i="16457"/>
  <c r="BY141" i="16457" s="1"/>
  <c r="BY164" i="16457" s="1"/>
  <c r="BX56" i="16457"/>
  <c r="BX141" i="16457" s="1"/>
  <c r="BX164" i="16457" s="1"/>
  <c r="CU53" i="16457"/>
  <c r="CT53" i="16457"/>
  <c r="CS53" i="16457"/>
  <c r="CR53" i="16457"/>
  <c r="CQ53" i="16457"/>
  <c r="CP53" i="16457"/>
  <c r="CO53" i="16457"/>
  <c r="CN53" i="16457"/>
  <c r="CM53" i="16457"/>
  <c r="CL53" i="16457"/>
  <c r="CK53" i="16457"/>
  <c r="CJ53" i="16457"/>
  <c r="CI53" i="16457"/>
  <c r="CH53" i="16457"/>
  <c r="CG53" i="16457"/>
  <c r="CF53" i="16457"/>
  <c r="CE53" i="16457"/>
  <c r="CD53" i="16457"/>
  <c r="CC53" i="16457"/>
  <c r="CB53" i="16457"/>
  <c r="CA53" i="16457"/>
  <c r="BZ53" i="16457"/>
  <c r="BY53" i="16457"/>
  <c r="BX140" i="16457"/>
  <c r="BX163" i="16457" s="1"/>
  <c r="CU48" i="16457"/>
  <c r="CU138" i="16457" s="1"/>
  <c r="CU161" i="16457" s="1"/>
  <c r="CT48" i="16457"/>
  <c r="CT138" i="16457" s="1"/>
  <c r="CT161" i="16457" s="1"/>
  <c r="CS48" i="16457"/>
  <c r="CS138" i="16457" s="1"/>
  <c r="CS161" i="16457" s="1"/>
  <c r="CR48" i="16457"/>
  <c r="CR138" i="16457" s="1"/>
  <c r="CR161" i="16457" s="1"/>
  <c r="CQ48" i="16457"/>
  <c r="CQ138" i="16457" s="1"/>
  <c r="CQ161" i="16457" s="1"/>
  <c r="CP48" i="16457"/>
  <c r="CP138" i="16457" s="1"/>
  <c r="CP161" i="16457" s="1"/>
  <c r="CO48" i="16457"/>
  <c r="CO138" i="16457" s="1"/>
  <c r="CO161" i="16457" s="1"/>
  <c r="CN48" i="16457"/>
  <c r="CN138" i="16457" s="1"/>
  <c r="CN161" i="16457" s="1"/>
  <c r="CM48" i="16457"/>
  <c r="CM138" i="16457" s="1"/>
  <c r="CM161" i="16457" s="1"/>
  <c r="CL48" i="16457"/>
  <c r="CL138" i="16457" s="1"/>
  <c r="CL161" i="16457" s="1"/>
  <c r="CK48" i="16457"/>
  <c r="CK138" i="16457" s="1"/>
  <c r="CK161" i="16457" s="1"/>
  <c r="CJ48" i="16457"/>
  <c r="CJ138" i="16457" s="1"/>
  <c r="CJ161" i="16457" s="1"/>
  <c r="CI48" i="16457"/>
  <c r="CI138" i="16457" s="1"/>
  <c r="CI161" i="16457" s="1"/>
  <c r="CH48" i="16457"/>
  <c r="CH138" i="16457" s="1"/>
  <c r="CH161" i="16457" s="1"/>
  <c r="CG48" i="16457"/>
  <c r="CG138" i="16457" s="1"/>
  <c r="CG161" i="16457" s="1"/>
  <c r="CF48" i="16457"/>
  <c r="CF138" i="16457" s="1"/>
  <c r="CF161" i="16457" s="1"/>
  <c r="CE48" i="16457"/>
  <c r="CE138" i="16457" s="1"/>
  <c r="CE161" i="16457" s="1"/>
  <c r="CD48" i="16457"/>
  <c r="CD138" i="16457" s="1"/>
  <c r="CD161" i="16457" s="1"/>
  <c r="CC48" i="16457"/>
  <c r="CC138" i="16457" s="1"/>
  <c r="CC161" i="16457" s="1"/>
  <c r="CB48" i="16457"/>
  <c r="CB138" i="16457" s="1"/>
  <c r="CB161" i="16457" s="1"/>
  <c r="CA48" i="16457"/>
  <c r="CA138" i="16457" s="1"/>
  <c r="CA161" i="16457" s="1"/>
  <c r="BZ48" i="16457"/>
  <c r="BZ138" i="16457" s="1"/>
  <c r="BZ161" i="16457" s="1"/>
  <c r="BY48" i="16457"/>
  <c r="BY138" i="16457" s="1"/>
  <c r="BY161" i="16457" s="1"/>
  <c r="BX48" i="16457"/>
  <c r="BX138" i="16457" s="1"/>
  <c r="BX161" i="16457" s="1"/>
  <c r="CU43" i="16457"/>
  <c r="CT43" i="16457"/>
  <c r="CS43" i="16457"/>
  <c r="CR43" i="16457"/>
  <c r="CQ43" i="16457"/>
  <c r="CP43" i="16457"/>
  <c r="CO43" i="16457"/>
  <c r="CN43" i="16457"/>
  <c r="CM43" i="16457"/>
  <c r="CL43" i="16457"/>
  <c r="CK43" i="16457"/>
  <c r="CJ43" i="16457"/>
  <c r="CI43" i="16457"/>
  <c r="CH43" i="16457"/>
  <c r="CG43" i="16457"/>
  <c r="CF43" i="16457"/>
  <c r="CE43" i="16457"/>
  <c r="CD43" i="16457"/>
  <c r="CC43" i="16457"/>
  <c r="CB43" i="16457"/>
  <c r="CA43" i="16457"/>
  <c r="BZ43" i="16457"/>
  <c r="BY43" i="16457"/>
  <c r="BX43" i="16457"/>
  <c r="CU41" i="16457"/>
  <c r="CT41" i="16457"/>
  <c r="CS41" i="16457"/>
  <c r="CR41" i="16457"/>
  <c r="CQ41" i="16457"/>
  <c r="CP41" i="16457"/>
  <c r="CO41" i="16457"/>
  <c r="CN41" i="16457"/>
  <c r="CM41" i="16457"/>
  <c r="CL41" i="16457"/>
  <c r="CK41" i="16457"/>
  <c r="CJ41" i="16457"/>
  <c r="CI41" i="16457"/>
  <c r="CH41" i="16457"/>
  <c r="CG41" i="16457"/>
  <c r="CF41" i="16457"/>
  <c r="CE41" i="16457"/>
  <c r="CD41" i="16457"/>
  <c r="CC41" i="16457"/>
  <c r="CB41" i="16457"/>
  <c r="CA41" i="16457"/>
  <c r="BZ41" i="16457"/>
  <c r="BY41" i="16457"/>
  <c r="BX41" i="16457"/>
  <c r="DA20" i="16457"/>
  <c r="CU20" i="16457"/>
  <c r="CT20" i="16457"/>
  <c r="CS20" i="16457"/>
  <c r="CR20" i="16457"/>
  <c r="CQ20" i="16457"/>
  <c r="CP20" i="16457"/>
  <c r="CO20" i="16457"/>
  <c r="CN20" i="16457"/>
  <c r="CM20" i="16457"/>
  <c r="CL20" i="16457"/>
  <c r="CK20" i="16457"/>
  <c r="CJ20" i="16457"/>
  <c r="CI20" i="16457"/>
  <c r="CH20" i="16457"/>
  <c r="CG20" i="16457"/>
  <c r="CF20" i="16457"/>
  <c r="CE20" i="16457"/>
  <c r="CD20" i="16457"/>
  <c r="CC20" i="16457"/>
  <c r="CB20" i="16457"/>
  <c r="CA20" i="16457"/>
  <c r="BZ20" i="16457"/>
  <c r="BY20" i="16457"/>
  <c r="BX20" i="16457"/>
  <c r="BW20" i="16457"/>
  <c r="DA7" i="16457"/>
  <c r="CU7" i="16457"/>
  <c r="CT7" i="16457"/>
  <c r="CS7" i="16457"/>
  <c r="CR7" i="16457"/>
  <c r="CQ7" i="16457"/>
  <c r="CP7" i="16457"/>
  <c r="CO7" i="16457"/>
  <c r="CN7" i="16457"/>
  <c r="CM7" i="16457"/>
  <c r="CL7" i="16457"/>
  <c r="CK7" i="16457"/>
  <c r="CJ7" i="16457"/>
  <c r="CI7" i="16457"/>
  <c r="CH7" i="16457"/>
  <c r="CG7" i="16457"/>
  <c r="CF7" i="16457"/>
  <c r="CE7" i="16457"/>
  <c r="CD7" i="16457"/>
  <c r="CC7" i="16457"/>
  <c r="CB7" i="16457"/>
  <c r="CA7" i="16457"/>
  <c r="BZ7" i="16457"/>
  <c r="BY7" i="16457"/>
  <c r="BX7" i="16457"/>
  <c r="BW7" i="16457"/>
  <c r="DA11" i="16457"/>
  <c r="CU11" i="16457"/>
  <c r="CT11" i="16457"/>
  <c r="CS11" i="16457"/>
  <c r="CR11" i="16457"/>
  <c r="CQ11" i="16457"/>
  <c r="CP11" i="16457"/>
  <c r="CO11" i="16457"/>
  <c r="CN11" i="16457"/>
  <c r="CM11" i="16457"/>
  <c r="CL11" i="16457"/>
  <c r="CK11" i="16457"/>
  <c r="CJ11" i="16457"/>
  <c r="CI11" i="16457"/>
  <c r="CH11" i="16457"/>
  <c r="CG11" i="16457"/>
  <c r="CF11" i="16457"/>
  <c r="CE11" i="16457"/>
  <c r="CD11" i="16457"/>
  <c r="CC11" i="16457"/>
  <c r="CB11" i="16457"/>
  <c r="CA11" i="16457"/>
  <c r="BZ11" i="16457"/>
  <c r="BY11" i="16457"/>
  <c r="BX11" i="16457"/>
  <c r="S18" i="16502" l="1"/>
  <c r="T18" i="16502"/>
  <c r="W17" i="16502"/>
  <c r="X17" i="16502"/>
  <c r="BZ140" i="16457"/>
  <c r="BZ163" i="16457" s="1"/>
  <c r="DF53" i="16457"/>
  <c r="CD140" i="16457"/>
  <c r="CD163" i="16457" s="1"/>
  <c r="DJ53" i="16457"/>
  <c r="CH140" i="16457"/>
  <c r="CH163" i="16457" s="1"/>
  <c r="DN53" i="16457"/>
  <c r="CL140" i="16457"/>
  <c r="CL163" i="16457" s="1"/>
  <c r="DR53" i="16457"/>
  <c r="CP140" i="16457"/>
  <c r="CP163" i="16457" s="1"/>
  <c r="DV53" i="16457"/>
  <c r="CT140" i="16457"/>
  <c r="CT163" i="16457" s="1"/>
  <c r="DZ53" i="16457"/>
  <c r="CA140" i="16457"/>
  <c r="CA163" i="16457" s="1"/>
  <c r="DG53" i="16457"/>
  <c r="CE140" i="16457"/>
  <c r="CE163" i="16457" s="1"/>
  <c r="DK53" i="16457"/>
  <c r="CI140" i="16457"/>
  <c r="CI163" i="16457" s="1"/>
  <c r="DO53" i="16457"/>
  <c r="CM140" i="16457"/>
  <c r="CM163" i="16457" s="1"/>
  <c r="DS53" i="16457"/>
  <c r="CQ140" i="16457"/>
  <c r="CQ163" i="16457" s="1"/>
  <c r="DW53" i="16457"/>
  <c r="CU140" i="16457"/>
  <c r="CU163" i="16457" s="1"/>
  <c r="EA53" i="16457"/>
  <c r="CB140" i="16457"/>
  <c r="CB163" i="16457" s="1"/>
  <c r="DH53" i="16457"/>
  <c r="CF140" i="16457"/>
  <c r="CF163" i="16457" s="1"/>
  <c r="DL53" i="16457"/>
  <c r="CJ140" i="16457"/>
  <c r="CJ163" i="16457" s="1"/>
  <c r="DP53" i="16457"/>
  <c r="CN140" i="16457"/>
  <c r="CN163" i="16457" s="1"/>
  <c r="DT53" i="16457"/>
  <c r="CR140" i="16457"/>
  <c r="CR163" i="16457" s="1"/>
  <c r="DX53" i="16457"/>
  <c r="BY140" i="16457"/>
  <c r="BY163" i="16457" s="1"/>
  <c r="DE53" i="16457"/>
  <c r="CC140" i="16457"/>
  <c r="CC163" i="16457" s="1"/>
  <c r="DI53" i="16457"/>
  <c r="CG140" i="16457"/>
  <c r="CG163" i="16457" s="1"/>
  <c r="DM53" i="16457"/>
  <c r="CK140" i="16457"/>
  <c r="CK163" i="16457" s="1"/>
  <c r="DQ53" i="16457"/>
  <c r="CO140" i="16457"/>
  <c r="CO163" i="16457" s="1"/>
  <c r="DU53" i="16457"/>
  <c r="CS140" i="16457"/>
  <c r="CS163" i="16457" s="1"/>
  <c r="DY53" i="16457"/>
  <c r="T11" i="16502"/>
  <c r="S11" i="16502"/>
  <c r="AL25" i="16457"/>
  <c r="AK28" i="16506"/>
  <c r="V18" i="16502" l="1"/>
  <c r="U18" i="16502"/>
  <c r="Z17" i="16502"/>
  <c r="Y17" i="16502"/>
  <c r="U11" i="16502"/>
  <c r="V11" i="16502"/>
  <c r="AM25" i="16457"/>
  <c r="AL28" i="16506"/>
  <c r="W18" i="16502" l="1"/>
  <c r="X18" i="16502"/>
  <c r="AA17" i="16502"/>
  <c r="AB17" i="16502"/>
  <c r="X11" i="16502"/>
  <c r="W11" i="16502"/>
  <c r="AN25" i="16457"/>
  <c r="AM28" i="16506"/>
  <c r="Z18" i="16502" l="1"/>
  <c r="Y18" i="16502"/>
  <c r="AD17" i="16502"/>
  <c r="AC17" i="16502"/>
  <c r="Y11" i="16502"/>
  <c r="Z11" i="16502"/>
  <c r="AO25" i="16457"/>
  <c r="AN28" i="16506"/>
  <c r="AA18" i="16502" l="1"/>
  <c r="AB18" i="16502"/>
  <c r="AE17" i="16502"/>
  <c r="AF17" i="16502"/>
  <c r="AB11" i="16502"/>
  <c r="AA11" i="16502"/>
  <c r="AO28" i="16506"/>
  <c r="AD18" i="16502" l="1"/>
  <c r="AC18" i="16502"/>
  <c r="AH17" i="16502"/>
  <c r="AG17" i="16502"/>
  <c r="AC11" i="16502"/>
  <c r="AD11" i="16502"/>
  <c r="BT28" i="16506"/>
  <c r="BV28" i="16506" s="1"/>
  <c r="AE18" i="16502" l="1"/>
  <c r="AF18" i="16502"/>
  <c r="AI17" i="16502"/>
  <c r="AJ17" i="16502"/>
  <c r="AF11" i="16502"/>
  <c r="AE11" i="16502"/>
  <c r="BW28" i="16506"/>
  <c r="AH18" i="16502" l="1"/>
  <c r="AG18" i="16502"/>
  <c r="AL17" i="16502"/>
  <c r="AK17" i="16502"/>
  <c r="AG11" i="16502"/>
  <c r="AH11" i="16502"/>
  <c r="BX28" i="16506"/>
  <c r="AI18" i="16502" l="1"/>
  <c r="AJ18" i="16502"/>
  <c r="AM17" i="16502"/>
  <c r="AN17" i="16502"/>
  <c r="AJ11" i="16502"/>
  <c r="AI11" i="16502"/>
  <c r="BY28" i="16506"/>
  <c r="AL18" i="16502" l="1"/>
  <c r="AK18" i="16502"/>
  <c r="J17" i="16502"/>
  <c r="AK11" i="16502"/>
  <c r="AL11" i="16502"/>
  <c r="BZ28" i="16506"/>
  <c r="AM18" i="16502" l="1"/>
  <c r="AN18" i="16502"/>
  <c r="AN11" i="16502"/>
  <c r="AM11" i="16502"/>
  <c r="CA28" i="16506"/>
  <c r="J18" i="16502" l="1"/>
  <c r="J11" i="16502"/>
  <c r="CB28" i="16506"/>
  <c r="CC28" i="16506" l="1"/>
  <c r="CD28" i="16506" s="1"/>
  <c r="CE28" i="16506" l="1"/>
  <c r="CF28" i="16506" s="1"/>
  <c r="CG28" i="16506" l="1"/>
  <c r="CH28" i="16506" s="1"/>
  <c r="CI28" i="16506" l="1"/>
  <c r="CJ28" i="16506" l="1"/>
  <c r="CK28" i="16506" l="1"/>
  <c r="CL28" i="16506" l="1"/>
  <c r="CM28" i="16506" l="1"/>
  <c r="CN28" i="16506" l="1"/>
  <c r="CO28" i="16506" l="1"/>
  <c r="CP28" i="16506" l="1"/>
  <c r="CQ28" i="16506" l="1"/>
  <c r="CR28" i="16506" l="1"/>
  <c r="CS28" i="16506" l="1"/>
  <c r="CT28" i="16506" l="1"/>
  <c r="CU28" i="16506" l="1"/>
  <c r="CV28" i="16506" l="1"/>
  <c r="CW28" i="16506" l="1"/>
  <c r="H108" i="16506"/>
  <c r="I108" i="16506" s="1"/>
  <c r="H105" i="16506"/>
  <c r="I105" i="16506" s="1"/>
  <c r="H104" i="16506"/>
  <c r="I104" i="16506" s="1"/>
  <c r="H103" i="16506"/>
  <c r="I103" i="16506" s="1"/>
  <c r="H99" i="16506"/>
  <c r="I99" i="16506" s="1"/>
  <c r="H115" i="16506"/>
  <c r="I115" i="16506" s="1"/>
  <c r="H113" i="16506"/>
  <c r="H112" i="16506"/>
  <c r="H91" i="16506"/>
  <c r="I91" i="16506" s="1"/>
  <c r="H90" i="16506"/>
  <c r="I90" i="16506" s="1"/>
  <c r="H84" i="16506"/>
  <c r="I84" i="16506" s="1"/>
  <c r="H89" i="16506"/>
  <c r="I89" i="16506" s="1"/>
  <c r="H88" i="16506"/>
  <c r="I88" i="16506" s="1"/>
  <c r="H87" i="16506"/>
  <c r="I87" i="16506" s="1"/>
  <c r="H86" i="16506"/>
  <c r="I86" i="16506" s="1"/>
  <c r="H85" i="16506"/>
  <c r="I85" i="16506" s="1"/>
  <c r="H64" i="16506"/>
  <c r="H63" i="16506"/>
  <c r="I63" i="16506" s="1"/>
  <c r="H58" i="16506"/>
  <c r="FC90" i="16506" l="1"/>
  <c r="FD90" i="16506"/>
  <c r="FE90" i="16506"/>
  <c r="CX28" i="16506"/>
  <c r="I58" i="16506"/>
  <c r="DF58" i="16506"/>
  <c r="DF57" i="16506" s="1"/>
  <c r="DV58" i="16506"/>
  <c r="DV57" i="16506" s="1"/>
  <c r="DR58" i="16506"/>
  <c r="DR57" i="16506" s="1"/>
  <c r="DN58" i="16506"/>
  <c r="DN57" i="16506" s="1"/>
  <c r="DJ58" i="16506"/>
  <c r="DJ57" i="16506" s="1"/>
  <c r="DI58" i="16506"/>
  <c r="DI57" i="16506" s="1"/>
  <c r="DC58" i="16506"/>
  <c r="DC57" i="16506" s="1"/>
  <c r="ED58" i="16506"/>
  <c r="ED57" i="16506" s="1"/>
  <c r="DH58" i="16506"/>
  <c r="DH57" i="16506" s="1"/>
  <c r="DX58" i="16506"/>
  <c r="DX57" i="16506" s="1"/>
  <c r="DT58" i="16506"/>
  <c r="DT57" i="16506" s="1"/>
  <c r="DP58" i="16506"/>
  <c r="DP57" i="16506" s="1"/>
  <c r="DL58" i="16506"/>
  <c r="DL57" i="16506" s="1"/>
  <c r="DK58" i="16506"/>
  <c r="DK57" i="16506" s="1"/>
  <c r="DG58" i="16506"/>
  <c r="DG57" i="16506" s="1"/>
  <c r="DM58" i="16506"/>
  <c r="DM57" i="16506" s="1"/>
  <c r="DU58" i="16506"/>
  <c r="DU57" i="16506" s="1"/>
  <c r="DE58" i="16506"/>
  <c r="DE57" i="16506" s="1"/>
  <c r="DO58" i="16506"/>
  <c r="DO57" i="16506" s="1"/>
  <c r="DW58" i="16506"/>
  <c r="DW57" i="16506" s="1"/>
  <c r="DD58" i="16506"/>
  <c r="DD57" i="16506" s="1"/>
  <c r="DQ58" i="16506"/>
  <c r="DQ57" i="16506" s="1"/>
  <c r="DA58" i="16506"/>
  <c r="DA57" i="16506" s="1"/>
  <c r="DB58" i="16506"/>
  <c r="DB57" i="16506" s="1"/>
  <c r="DS58" i="16506"/>
  <c r="DS57" i="16506" s="1"/>
  <c r="I64" i="16506"/>
  <c r="DA64" i="16506"/>
  <c r="ED64" i="16506"/>
  <c r="DG64" i="16506"/>
  <c r="DO64" i="16506"/>
  <c r="DW64" i="16506"/>
  <c r="DJ64" i="16506"/>
  <c r="DR64" i="16506"/>
  <c r="DI64" i="16506"/>
  <c r="DQ64" i="16506"/>
  <c r="DD64" i="16506"/>
  <c r="DL64" i="16506"/>
  <c r="DT64" i="16506"/>
  <c r="DC64" i="16506"/>
  <c r="DK64" i="16506"/>
  <c r="DS64" i="16506"/>
  <c r="DF64" i="16506"/>
  <c r="DN64" i="16506"/>
  <c r="DV64" i="16506"/>
  <c r="DB64" i="16506"/>
  <c r="DE64" i="16506"/>
  <c r="DM64" i="16506"/>
  <c r="DU64" i="16506"/>
  <c r="DH64" i="16506"/>
  <c r="DP64" i="16506"/>
  <c r="DX64" i="16506"/>
  <c r="DA90" i="16506"/>
  <c r="DE90" i="16506"/>
  <c r="DI90" i="16506"/>
  <c r="DM90" i="16506"/>
  <c r="DQ90" i="16506"/>
  <c r="DU90" i="16506"/>
  <c r="ED90" i="16506"/>
  <c r="DD90" i="16506"/>
  <c r="DH90" i="16506"/>
  <c r="DL90" i="16506"/>
  <c r="DP90" i="16506"/>
  <c r="DT90" i="16506"/>
  <c r="DX90" i="16506"/>
  <c r="DC90" i="16506"/>
  <c r="DG90" i="16506"/>
  <c r="DK90" i="16506"/>
  <c r="DO90" i="16506"/>
  <c r="DS90" i="16506"/>
  <c r="DW90" i="16506"/>
  <c r="DB90" i="16506"/>
  <c r="DF90" i="16506"/>
  <c r="DJ90" i="16506"/>
  <c r="DN90" i="16506"/>
  <c r="DR90" i="16506"/>
  <c r="DV90" i="16506"/>
  <c r="I112" i="16506"/>
  <c r="DS112" i="16506"/>
  <c r="DK112" i="16506"/>
  <c r="DQ112" i="16506"/>
  <c r="DI112" i="16506"/>
  <c r="ED112" i="16506"/>
  <c r="DW112" i="16506"/>
  <c r="DO112" i="16506"/>
  <c r="DU112" i="16506"/>
  <c r="DM112" i="16506"/>
  <c r="DF112" i="16506"/>
  <c r="DP112" i="16506"/>
  <c r="DX112" i="16506"/>
  <c r="DB112" i="16506"/>
  <c r="DG112" i="16506"/>
  <c r="DJ112" i="16506"/>
  <c r="DR112" i="16506"/>
  <c r="DH112" i="16506"/>
  <c r="DA112" i="16506"/>
  <c r="DL112" i="16506"/>
  <c r="DT112" i="16506"/>
  <c r="DC112" i="16506"/>
  <c r="DD112" i="16506"/>
  <c r="DN112" i="16506"/>
  <c r="DV112" i="16506"/>
  <c r="DE112" i="16506"/>
  <c r="DA115" i="16506"/>
  <c r="ED107" i="16506"/>
  <c r="DM107" i="16506"/>
  <c r="DU107" i="16506"/>
  <c r="DE107" i="16506"/>
  <c r="DH107" i="16506"/>
  <c r="DP107" i="16506"/>
  <c r="DX107" i="16506"/>
  <c r="DD107" i="16506"/>
  <c r="DI107" i="16506"/>
  <c r="DS107" i="16506"/>
  <c r="DG107" i="16506"/>
  <c r="DJ107" i="16506"/>
  <c r="DR107" i="16506"/>
  <c r="DC107" i="16506"/>
  <c r="DQ107" i="16506"/>
  <c r="DK107" i="16506"/>
  <c r="DL107" i="16506"/>
  <c r="DT107" i="16506"/>
  <c r="DO107" i="16506"/>
  <c r="DW107" i="16506"/>
  <c r="DF107" i="16506"/>
  <c r="DN107" i="16506"/>
  <c r="DV107" i="16506"/>
  <c r="ED63" i="16506"/>
  <c r="DD63" i="16506"/>
  <c r="DH63" i="16506"/>
  <c r="DL63" i="16506"/>
  <c r="DP63" i="16506"/>
  <c r="DT63" i="16506"/>
  <c r="DA63" i="16506"/>
  <c r="DX63" i="16506"/>
  <c r="DC63" i="16506"/>
  <c r="DG63" i="16506"/>
  <c r="DK63" i="16506"/>
  <c r="DO63" i="16506"/>
  <c r="DS63" i="16506"/>
  <c r="DW63" i="16506"/>
  <c r="DB63" i="16506"/>
  <c r="DF63" i="16506"/>
  <c r="DJ63" i="16506"/>
  <c r="DN63" i="16506"/>
  <c r="DR63" i="16506"/>
  <c r="DV63" i="16506"/>
  <c r="DE63" i="16506"/>
  <c r="DI63" i="16506"/>
  <c r="DM63" i="16506"/>
  <c r="DQ63" i="16506"/>
  <c r="DU63" i="16506"/>
  <c r="DA84" i="16506"/>
  <c r="I113" i="16506"/>
  <c r="DQ113" i="16506"/>
  <c r="DI113" i="16506"/>
  <c r="DS113" i="16506"/>
  <c r="DK113" i="16506"/>
  <c r="DU113" i="16506"/>
  <c r="DM113" i="16506"/>
  <c r="DC113" i="16506"/>
  <c r="DW113" i="16506"/>
  <c r="DO113" i="16506"/>
  <c r="DE113" i="16506"/>
  <c r="ED113" i="16506"/>
  <c r="DJ113" i="16506"/>
  <c r="DR113" i="16506"/>
  <c r="DB113" i="16506"/>
  <c r="DG113" i="16506"/>
  <c r="DP113" i="16506"/>
  <c r="DX113" i="16506"/>
  <c r="DD113" i="16506"/>
  <c r="DA113" i="16506"/>
  <c r="DN113" i="16506"/>
  <c r="DV113" i="16506"/>
  <c r="DF113" i="16506"/>
  <c r="DL113" i="16506"/>
  <c r="DT113" i="16506"/>
  <c r="DH113" i="16506"/>
  <c r="DA99" i="16506"/>
  <c r="DE99" i="16506"/>
  <c r="DI99" i="16506"/>
  <c r="DM99" i="16506"/>
  <c r="DQ99" i="16506"/>
  <c r="DU99" i="16506"/>
  <c r="ED99" i="16506"/>
  <c r="ED98" i="16506" s="1"/>
  <c r="DB99" i="16506"/>
  <c r="DB98" i="16506" s="1"/>
  <c r="DF99" i="16506"/>
  <c r="DF98" i="16506" s="1"/>
  <c r="DJ99" i="16506"/>
  <c r="DJ98" i="16506" s="1"/>
  <c r="DN99" i="16506"/>
  <c r="DN98" i="16506" s="1"/>
  <c r="DR99" i="16506"/>
  <c r="DV99" i="16506"/>
  <c r="DV98" i="16506" s="1"/>
  <c r="DC99" i="16506"/>
  <c r="DC98" i="16506" s="1"/>
  <c r="DG99" i="16506"/>
  <c r="DK99" i="16506"/>
  <c r="DK98" i="16506" s="1"/>
  <c r="DO99" i="16506"/>
  <c r="DS99" i="16506"/>
  <c r="DW99" i="16506"/>
  <c r="DD99" i="16506"/>
  <c r="DH99" i="16506"/>
  <c r="DH98" i="16506" s="1"/>
  <c r="DL99" i="16506"/>
  <c r="DL98" i="16506" s="1"/>
  <c r="DP99" i="16506"/>
  <c r="DP98" i="16506" s="1"/>
  <c r="DT99" i="16506"/>
  <c r="DT98" i="16506" s="1"/>
  <c r="DX99" i="16506"/>
  <c r="DX98" i="16506" s="1"/>
  <c r="DX62" i="16506" l="1"/>
  <c r="DN62" i="16506"/>
  <c r="DW62" i="16506"/>
  <c r="DG111" i="16506"/>
  <c r="DU62" i="16506"/>
  <c r="DJ62" i="16506"/>
  <c r="DP62" i="16506"/>
  <c r="DL62" i="16506"/>
  <c r="DR62" i="16506"/>
  <c r="DB62" i="16506"/>
  <c r="DA62" i="16506"/>
  <c r="FA112" i="16506"/>
  <c r="FB112" i="16506"/>
  <c r="FC112" i="16506"/>
  <c r="FF112" i="16506"/>
  <c r="FE112" i="16506"/>
  <c r="FD112" i="16506"/>
  <c r="FG112" i="16506"/>
  <c r="FH112" i="16506"/>
  <c r="FI112" i="16506"/>
  <c r="FA90" i="16506"/>
  <c r="FB90" i="16506"/>
  <c r="FF90" i="16506"/>
  <c r="FG90" i="16506"/>
  <c r="FH90" i="16506"/>
  <c r="FI90" i="16506"/>
  <c r="FA64" i="16506"/>
  <c r="FC64" i="16506"/>
  <c r="FE64" i="16506"/>
  <c r="FG64" i="16506"/>
  <c r="FI64" i="16506"/>
  <c r="FB64" i="16506"/>
  <c r="FD64" i="16506"/>
  <c r="FF64" i="16506"/>
  <c r="FH64" i="16506"/>
  <c r="FA99" i="16506"/>
  <c r="FB99" i="16506"/>
  <c r="FC99" i="16506"/>
  <c r="FD99" i="16506"/>
  <c r="FE99" i="16506"/>
  <c r="FF99" i="16506"/>
  <c r="FG99" i="16506"/>
  <c r="FH99" i="16506"/>
  <c r="FI99" i="16506"/>
  <c r="FA113" i="16506"/>
  <c r="FB113" i="16506"/>
  <c r="FC113" i="16506"/>
  <c r="FE113" i="16506"/>
  <c r="FD113" i="16506"/>
  <c r="FF113" i="16506"/>
  <c r="FG113" i="16506"/>
  <c r="FH113" i="16506"/>
  <c r="FI113" i="16506"/>
  <c r="FA63" i="16506"/>
  <c r="FB63" i="16506"/>
  <c r="FD63" i="16506"/>
  <c r="FC63" i="16506"/>
  <c r="FF63" i="16506"/>
  <c r="FE63" i="16506"/>
  <c r="FG63" i="16506"/>
  <c r="FH63" i="16506"/>
  <c r="FI63" i="16506"/>
  <c r="CY28" i="16506"/>
  <c r="DH62" i="16506"/>
  <c r="DV62" i="16506"/>
  <c r="DF62" i="16506"/>
  <c r="DT62" i="16506"/>
  <c r="DD62" i="16506"/>
  <c r="DD98" i="16506"/>
  <c r="DS98" i="16506"/>
  <c r="DR98" i="16506"/>
  <c r="DU98" i="16506"/>
  <c r="DM98" i="16506"/>
  <c r="DE98" i="16506"/>
  <c r="EF99" i="16506"/>
  <c r="EH99" i="16506"/>
  <c r="EG99" i="16506"/>
  <c r="EI99" i="16506"/>
  <c r="EJ99" i="16506"/>
  <c r="EK99" i="16506"/>
  <c r="EL99" i="16506"/>
  <c r="EM99" i="16506"/>
  <c r="EN99" i="16506"/>
  <c r="EO99" i="16506"/>
  <c r="EP99" i="16506"/>
  <c r="EQ99" i="16506"/>
  <c r="ER99" i="16506"/>
  <c r="ES99" i="16506"/>
  <c r="ET99" i="16506"/>
  <c r="EU99" i="16506"/>
  <c r="EV99" i="16506"/>
  <c r="EW99" i="16506"/>
  <c r="EX99" i="16506"/>
  <c r="EY99" i="16506"/>
  <c r="EZ99" i="16506"/>
  <c r="EF113" i="16506"/>
  <c r="EG113" i="16506"/>
  <c r="EH113" i="16506"/>
  <c r="EI113" i="16506"/>
  <c r="EK113" i="16506"/>
  <c r="EL113" i="16506"/>
  <c r="EJ113" i="16506"/>
  <c r="EM113" i="16506"/>
  <c r="EN113" i="16506"/>
  <c r="EO113" i="16506"/>
  <c r="EP113" i="16506"/>
  <c r="EQ113" i="16506"/>
  <c r="ER113" i="16506"/>
  <c r="ES113" i="16506"/>
  <c r="ET113" i="16506"/>
  <c r="EU113" i="16506"/>
  <c r="EV113" i="16506"/>
  <c r="EX113" i="16506"/>
  <c r="EW113" i="16506"/>
  <c r="EY113" i="16506"/>
  <c r="EZ113" i="16506"/>
  <c r="EF63" i="16506"/>
  <c r="EG63" i="16506"/>
  <c r="EI63" i="16506"/>
  <c r="EH63" i="16506"/>
  <c r="EJ63" i="16506"/>
  <c r="EL63" i="16506"/>
  <c r="EK63" i="16506"/>
  <c r="EN63" i="16506"/>
  <c r="EM63" i="16506"/>
  <c r="EO63" i="16506"/>
  <c r="EP63" i="16506"/>
  <c r="ER63" i="16506"/>
  <c r="EQ63" i="16506"/>
  <c r="ES63" i="16506"/>
  <c r="ET63" i="16506"/>
  <c r="EU63" i="16506"/>
  <c r="EV63" i="16506"/>
  <c r="EW63" i="16506"/>
  <c r="EX63" i="16506"/>
  <c r="EY63" i="16506"/>
  <c r="EZ63" i="16506"/>
  <c r="EF112" i="16506"/>
  <c r="EG112" i="16506"/>
  <c r="EH112" i="16506"/>
  <c r="EI112" i="16506"/>
  <c r="EJ112" i="16506"/>
  <c r="EK112" i="16506"/>
  <c r="EL112" i="16506"/>
  <c r="EM112" i="16506"/>
  <c r="EN112" i="16506"/>
  <c r="EO112" i="16506"/>
  <c r="EP112" i="16506"/>
  <c r="ER112" i="16506"/>
  <c r="EQ112" i="16506"/>
  <c r="ES112" i="16506"/>
  <c r="ET112" i="16506"/>
  <c r="EU112" i="16506"/>
  <c r="EV112" i="16506"/>
  <c r="EW112" i="16506"/>
  <c r="EX112" i="16506"/>
  <c r="EY112" i="16506"/>
  <c r="EZ112" i="16506"/>
  <c r="EF90" i="16506"/>
  <c r="EG90" i="16506"/>
  <c r="EH90" i="16506"/>
  <c r="EI90" i="16506"/>
  <c r="EJ90" i="16506"/>
  <c r="EK90" i="16506"/>
  <c r="EL90" i="16506"/>
  <c r="EM90" i="16506"/>
  <c r="EN90" i="16506"/>
  <c r="EO90" i="16506"/>
  <c r="EP90" i="16506"/>
  <c r="EQ90" i="16506"/>
  <c r="ER90" i="16506"/>
  <c r="ES90" i="16506"/>
  <c r="ET90" i="16506"/>
  <c r="EU90" i="16506"/>
  <c r="EV90" i="16506"/>
  <c r="EW90" i="16506"/>
  <c r="EX90" i="16506"/>
  <c r="EY90" i="16506"/>
  <c r="EZ90" i="16506"/>
  <c r="EL64" i="16506"/>
  <c r="ET64" i="16506"/>
  <c r="EW64" i="16506"/>
  <c r="ES64" i="16506"/>
  <c r="EO64" i="16506"/>
  <c r="EK64" i="16506"/>
  <c r="EG64" i="16506"/>
  <c r="EJ64" i="16506"/>
  <c r="ER64" i="16506"/>
  <c r="EZ64" i="16506"/>
  <c r="EH64" i="16506"/>
  <c r="EP64" i="16506"/>
  <c r="EX64" i="16506"/>
  <c r="EY64" i="16506"/>
  <c r="EU64" i="16506"/>
  <c r="EQ64" i="16506"/>
  <c r="EM64" i="16506"/>
  <c r="EI64" i="16506"/>
  <c r="EF64" i="16506"/>
  <c r="EN64" i="16506"/>
  <c r="EV64" i="16506"/>
  <c r="DV111" i="16506"/>
  <c r="DD111" i="16506"/>
  <c r="DT111" i="16506"/>
  <c r="DA111" i="16506"/>
  <c r="DR111" i="16506"/>
  <c r="DX111" i="16506"/>
  <c r="DF111" i="16506"/>
  <c r="DU111" i="16506"/>
  <c r="DW111" i="16506"/>
  <c r="DI111" i="16506"/>
  <c r="DK111" i="16506"/>
  <c r="DE62" i="16506"/>
  <c r="DK62" i="16506"/>
  <c r="DI62" i="16506"/>
  <c r="DO62" i="16506"/>
  <c r="ED62" i="16506"/>
  <c r="DW98" i="16506"/>
  <c r="DO98" i="16506"/>
  <c r="DG98" i="16506"/>
  <c r="DQ98" i="16506"/>
  <c r="DI98" i="16506"/>
  <c r="DA98" i="16506"/>
  <c r="DE111" i="16506"/>
  <c r="DN111" i="16506"/>
  <c r="DC111" i="16506"/>
  <c r="DL111" i="16506"/>
  <c r="DH111" i="16506"/>
  <c r="DJ111" i="16506"/>
  <c r="DB111" i="16506"/>
  <c r="DP111" i="16506"/>
  <c r="DM111" i="16506"/>
  <c r="DO111" i="16506"/>
  <c r="ED111" i="16506"/>
  <c r="DQ111" i="16506"/>
  <c r="DS111" i="16506"/>
  <c r="DM62" i="16506"/>
  <c r="DS62" i="16506"/>
  <c r="DC62" i="16506"/>
  <c r="DQ62" i="16506"/>
  <c r="DG62" i="16506"/>
  <c r="H57" i="16506"/>
  <c r="FG62" i="16506" l="1"/>
  <c r="EX98" i="16506"/>
  <c r="ET98" i="16506"/>
  <c r="EP98" i="16506"/>
  <c r="EL98" i="16506"/>
  <c r="FH98" i="16506"/>
  <c r="FD98" i="16506"/>
  <c r="EW98" i="16506"/>
  <c r="ES98" i="16506"/>
  <c r="EO98" i="16506"/>
  <c r="EK98" i="16506"/>
  <c r="FG98" i="16506"/>
  <c r="FC98" i="16506"/>
  <c r="EZ98" i="16506"/>
  <c r="EV98" i="16506"/>
  <c r="ER98" i="16506"/>
  <c r="EN98" i="16506"/>
  <c r="EJ98" i="16506"/>
  <c r="FF98" i="16506"/>
  <c r="FB98" i="16506"/>
  <c r="EY98" i="16506"/>
  <c r="EU98" i="16506"/>
  <c r="EQ98" i="16506"/>
  <c r="EM98" i="16506"/>
  <c r="EI98" i="16506"/>
  <c r="FI98" i="16506"/>
  <c r="FE98" i="16506"/>
  <c r="FA98" i="16506"/>
  <c r="FF62" i="16506"/>
  <c r="FC62" i="16506"/>
  <c r="FB62" i="16506"/>
  <c r="FE62" i="16506"/>
  <c r="ET111" i="16506"/>
  <c r="EP111" i="16506"/>
  <c r="EH111" i="16506"/>
  <c r="EU111" i="16506"/>
  <c r="EM111" i="16506"/>
  <c r="EI111" i="16506"/>
  <c r="ES111" i="16506"/>
  <c r="EO111" i="16506"/>
  <c r="EV111" i="16506"/>
  <c r="EN111" i="16506"/>
  <c r="EF111" i="16506"/>
  <c r="FI62" i="16506"/>
  <c r="FA62" i="16506"/>
  <c r="FH62" i="16506"/>
  <c r="FD62" i="16506"/>
  <c r="FI111" i="16506"/>
  <c r="FG111" i="16506"/>
  <c r="FE111" i="16506"/>
  <c r="FC111" i="16506"/>
  <c r="FA111" i="16506"/>
  <c r="FH111" i="16506"/>
  <c r="FD111" i="16506"/>
  <c r="FF111" i="16506"/>
  <c r="FB111" i="16506"/>
  <c r="EJ111" i="16506"/>
  <c r="H98" i="16506"/>
  <c r="H62" i="16506"/>
  <c r="EY111" i="16506"/>
  <c r="EW111" i="16506"/>
  <c r="ER111" i="16506"/>
  <c r="EK111" i="16506"/>
  <c r="EZ111" i="16506"/>
  <c r="EX111" i="16506"/>
  <c r="EQ111" i="16506"/>
  <c r="EL111" i="16506"/>
  <c r="H111" i="16506"/>
  <c r="EG98" i="16506"/>
  <c r="EF98" i="16506"/>
  <c r="EZ62" i="16506"/>
  <c r="EX62" i="16506"/>
  <c r="EV62" i="16506"/>
  <c r="ET62" i="16506"/>
  <c r="EQ62" i="16506"/>
  <c r="EP62" i="16506"/>
  <c r="EM62" i="16506"/>
  <c r="EK62" i="16506"/>
  <c r="EJ62" i="16506"/>
  <c r="EI62" i="16506"/>
  <c r="EF62" i="16506"/>
  <c r="EH98" i="16506"/>
  <c r="EY62" i="16506"/>
  <c r="EW62" i="16506"/>
  <c r="EU62" i="16506"/>
  <c r="ES62" i="16506"/>
  <c r="ER62" i="16506"/>
  <c r="EO62" i="16506"/>
  <c r="EN62" i="16506"/>
  <c r="EL62" i="16506"/>
  <c r="EH62" i="16506"/>
  <c r="EG62" i="16506"/>
  <c r="EG111" i="16506"/>
  <c r="I111" i="16506" l="1"/>
  <c r="I62" i="16506"/>
  <c r="I98" i="16506"/>
  <c r="BW25" i="16457" l="1"/>
  <c r="BW62" i="16457"/>
  <c r="BW106" i="16457"/>
  <c r="BW105" i="16457"/>
  <c r="BW104" i="16457"/>
  <c r="DC104" i="16457" s="1"/>
  <c r="BW102" i="16457"/>
  <c r="BW101" i="16457"/>
  <c r="BW100" i="16457"/>
  <c r="BW98" i="16457"/>
  <c r="BW96" i="16457"/>
  <c r="BW94" i="16457"/>
  <c r="BW112" i="16457"/>
  <c r="BW110" i="16457"/>
  <c r="BW109" i="16457"/>
  <c r="BW107" i="16457"/>
  <c r="BW93" i="16457"/>
  <c r="BW89" i="16457"/>
  <c r="BW88" i="16457"/>
  <c r="BW87" i="16457"/>
  <c r="DC87" i="16457" s="1"/>
  <c r="BW86" i="16457"/>
  <c r="BW85" i="16457"/>
  <c r="BW84" i="16457"/>
  <c r="BW83" i="16457"/>
  <c r="BW82" i="16457"/>
  <c r="BW81" i="16457"/>
  <c r="BW61" i="16457"/>
  <c r="BW60" i="16457"/>
  <c r="DC60" i="16457" s="1"/>
  <c r="BW59" i="16457"/>
  <c r="BW140" i="16457"/>
  <c r="BW163" i="16457" s="1"/>
  <c r="BW57" i="16457"/>
  <c r="BW56" i="16457" s="1"/>
  <c r="BW141" i="16457" s="1"/>
  <c r="BW164" i="16457" s="1"/>
  <c r="BW49" i="16457"/>
  <c r="BW48" i="16457" s="1"/>
  <c r="BW138" i="16457" s="1"/>
  <c r="BW161" i="16457" s="1"/>
  <c r="BW46" i="16457"/>
  <c r="BW44" i="16457"/>
  <c r="BW42" i="16457"/>
  <c r="BW41" i="16457" s="1"/>
  <c r="BW40" i="16457"/>
  <c r="BW39" i="16457"/>
  <c r="BW19" i="16457"/>
  <c r="DC19" i="16457" s="1"/>
  <c r="BW18" i="16457"/>
  <c r="BW17" i="16457"/>
  <c r="BW16" i="16457"/>
  <c r="BW15" i="16457"/>
  <c r="DC15" i="16457" s="1"/>
  <c r="BW14" i="16457"/>
  <c r="BW13" i="16457"/>
  <c r="DC13" i="16457" s="1"/>
  <c r="BW95" i="16457" l="1"/>
  <c r="DC95" i="16457" s="1"/>
  <c r="DC96" i="16457"/>
  <c r="BW97" i="16457"/>
  <c r="DC97" i="16457" s="1"/>
  <c r="DC98" i="16457"/>
  <c r="BW43" i="16457"/>
  <c r="DC44" i="16457"/>
  <c r="BW103" i="16457"/>
  <c r="BW58" i="16457"/>
  <c r="BW108" i="16457"/>
  <c r="BW80" i="16457"/>
  <c r="BW99" i="16457"/>
  <c r="BW12" i="16457"/>
  <c r="BW11" i="16457" l="1"/>
  <c r="DC12" i="16457"/>
  <c r="J103" i="16508"/>
  <c r="J175" i="16508"/>
  <c r="J174" i="16508" s="1"/>
  <c r="I404" i="16508" l="1"/>
  <c r="J404" i="16508" s="1"/>
  <c r="I351" i="16508"/>
  <c r="J351" i="16508" s="1"/>
  <c r="J300" i="16508"/>
  <c r="J256" i="16508"/>
  <c r="I204" i="16508"/>
  <c r="J204" i="16508" s="1"/>
  <c r="J155" i="16508"/>
  <c r="J102" i="16508"/>
  <c r="I347" i="16508"/>
  <c r="J347" i="16508" s="1"/>
  <c r="J87" i="16508"/>
  <c r="I392" i="16508"/>
  <c r="J392" i="16508" s="1"/>
  <c r="I337" i="16508"/>
  <c r="J337" i="16508" s="1"/>
  <c r="J293" i="16508"/>
  <c r="J76" i="16508"/>
  <c r="J246" i="16508"/>
  <c r="J194" i="16508"/>
  <c r="J146" i="16508"/>
  <c r="J86" i="16508"/>
  <c r="J312" i="16508"/>
  <c r="I213" i="16508"/>
  <c r="J213" i="16508" s="1"/>
  <c r="J112" i="16508"/>
  <c r="I360" i="16508"/>
  <c r="J360" i="16508" s="1"/>
  <c r="J268" i="16508"/>
  <c r="J171" i="16508"/>
  <c r="J49" i="16508"/>
  <c r="J53" i="16508"/>
  <c r="J116" i="16508"/>
  <c r="J199" i="16508"/>
  <c r="J152" i="16508"/>
  <c r="J93" i="16508"/>
  <c r="I399" i="16508"/>
  <c r="J399" i="16508" s="1"/>
  <c r="I342" i="16508"/>
  <c r="J342" i="16508" s="1"/>
  <c r="J252" i="16508"/>
  <c r="J24" i="16508"/>
  <c r="J125" i="16508"/>
  <c r="J64" i="16508"/>
  <c r="I398" i="16508"/>
  <c r="J398" i="16508" s="1"/>
  <c r="J297" i="16508"/>
  <c r="J296" i="16508" s="1"/>
  <c r="I201" i="16508"/>
  <c r="J201" i="16508" s="1"/>
  <c r="J95" i="16508"/>
  <c r="I401" i="16508"/>
  <c r="J401" i="16508" s="1"/>
  <c r="J151" i="16508"/>
  <c r="J301" i="16508"/>
  <c r="J257" i="16508"/>
  <c r="I205" i="16508"/>
  <c r="J205" i="16508" s="1"/>
  <c r="J156" i="16508"/>
  <c r="I405" i="16508"/>
  <c r="J405" i="16508" s="1"/>
  <c r="I352" i="16508"/>
  <c r="J352" i="16508" s="1"/>
  <c r="J247" i="16508"/>
  <c r="J195" i="16508"/>
  <c r="I393" i="16508"/>
  <c r="J393" i="16508" s="1"/>
  <c r="I338" i="16508"/>
  <c r="J338" i="16508" s="1"/>
  <c r="J294" i="16508"/>
  <c r="J77" i="16508"/>
  <c r="J245" i="16508"/>
  <c r="J193" i="16508"/>
  <c r="J144" i="16508"/>
  <c r="I391" i="16508"/>
  <c r="J391" i="16508" s="1"/>
  <c r="I336" i="16508"/>
  <c r="J336" i="16508" s="1"/>
  <c r="J292" i="16508"/>
  <c r="J75" i="16508"/>
  <c r="I348" i="16508"/>
  <c r="J348" i="16508" s="1"/>
  <c r="J88" i="16508"/>
  <c r="I209" i="16508"/>
  <c r="J209" i="16508" s="1"/>
  <c r="I412" i="16508"/>
  <c r="I361" i="16508"/>
  <c r="J361" i="16508" s="1"/>
  <c r="J269" i="16508"/>
  <c r="J172" i="16508"/>
  <c r="J115" i="16508"/>
  <c r="J313" i="16508"/>
  <c r="I214" i="16508"/>
  <c r="J214" i="16508" s="1"/>
  <c r="J114" i="16508"/>
  <c r="J52" i="16508"/>
  <c r="J51" i="16508"/>
  <c r="J118" i="16508"/>
  <c r="J124" i="16508"/>
  <c r="J63" i="16508"/>
  <c r="J320" i="16508"/>
  <c r="J319" i="16508" s="1"/>
  <c r="I217" i="16508"/>
  <c r="J217" i="16508" s="1"/>
  <c r="J216" i="16508" s="1"/>
  <c r="I415" i="16508"/>
  <c r="J415" i="16508" s="1"/>
  <c r="J414" i="16508" s="1"/>
  <c r="I364" i="16508"/>
  <c r="J364" i="16508" s="1"/>
  <c r="J363" i="16508" s="1"/>
  <c r="J276" i="16508"/>
  <c r="J275" i="16508" s="1"/>
  <c r="I359" i="16508"/>
  <c r="J359" i="16508" s="1"/>
  <c r="J170" i="16508"/>
  <c r="J48" i="16508"/>
  <c r="I411" i="16508"/>
  <c r="J411" i="16508" s="1"/>
  <c r="J410" i="16508" s="1"/>
  <c r="I212" i="16508"/>
  <c r="J212" i="16508" s="1"/>
  <c r="J111" i="16508"/>
  <c r="J126" i="16508"/>
  <c r="J65" i="16508"/>
  <c r="I400" i="16508"/>
  <c r="J400" i="16508" s="1"/>
  <c r="I343" i="16508"/>
  <c r="J343" i="16508" s="1"/>
  <c r="J25" i="16508"/>
  <c r="I200" i="16508"/>
  <c r="J200" i="16508" s="1"/>
  <c r="J94" i="16508"/>
  <c r="J123" i="16508"/>
  <c r="J62" i="16508"/>
  <c r="J85" i="16508"/>
  <c r="I346" i="16508"/>
  <c r="J346" i="16508" s="1"/>
  <c r="J165" i="16508" l="1"/>
  <c r="J46" i="16508"/>
  <c r="J79" i="16508"/>
  <c r="J310" i="16508"/>
  <c r="J15" i="16508"/>
  <c r="J109" i="16508"/>
  <c r="J358" i="16508"/>
  <c r="J291" i="16508"/>
  <c r="J335" i="16508"/>
  <c r="J266" i="16508"/>
  <c r="J74" i="16508"/>
  <c r="J390" i="16508"/>
  <c r="J211" i="16508"/>
  <c r="J345" i="16508"/>
  <c r="J61" i="16508"/>
  <c r="J122" i="16508"/>
  <c r="J192" i="16508"/>
  <c r="J143" i="16508"/>
  <c r="J244" i="16508"/>
  <c r="J148" i="16508"/>
  <c r="J21" i="16508"/>
  <c r="J249" i="16508"/>
  <c r="J395" i="16508"/>
  <c r="J340" i="16508"/>
  <c r="J90" i="16508"/>
  <c r="J197" i="16508"/>
  <c r="AQ62" i="16457" l="1"/>
  <c r="DC62" i="16457" s="1"/>
  <c r="AQ106" i="16457"/>
  <c r="DC106" i="16457" s="1"/>
  <c r="AQ107" i="16457"/>
  <c r="DC107" i="16457" s="1"/>
  <c r="AQ93" i="16457"/>
  <c r="AQ61" i="16457"/>
  <c r="DC61" i="16457" s="1"/>
  <c r="AQ40" i="16457"/>
  <c r="DC40" i="16457" s="1"/>
  <c r="AQ39" i="16457"/>
  <c r="DC39" i="16457" s="1"/>
  <c r="DC93" i="16457" l="1"/>
  <c r="AQ91" i="16457"/>
  <c r="DC91" i="16457" s="1"/>
  <c r="E29" i="16457"/>
  <c r="E35" i="16457"/>
  <c r="E36" i="16457"/>
  <c r="H192" i="16460" l="1"/>
  <c r="H191" i="16460"/>
  <c r="H190" i="16460"/>
  <c r="L30" i="16457" l="1"/>
  <c r="L31" i="16457"/>
  <c r="F24" i="16509" s="1"/>
  <c r="H24" i="16509" s="1"/>
  <c r="I24" i="16509" s="1"/>
  <c r="L36" i="16506"/>
  <c r="AQ36" i="16506" s="1"/>
  <c r="L37" i="16506"/>
  <c r="AQ37" i="16506" s="1"/>
  <c r="L39" i="16506"/>
  <c r="AQ39" i="16506" s="1"/>
  <c r="M37" i="16506"/>
  <c r="M39" i="16506"/>
  <c r="M36" i="16506"/>
  <c r="F22" i="16509" l="1"/>
  <c r="H22" i="16509" s="1"/>
  <c r="I22" i="16509" s="1"/>
  <c r="M31" i="16457"/>
  <c r="N31" i="16457" s="1"/>
  <c r="L34" i="16506"/>
  <c r="AQ34" i="16506" s="1"/>
  <c r="M30" i="16457"/>
  <c r="L35" i="16506"/>
  <c r="AQ35" i="16506" s="1"/>
  <c r="AR37" i="16506"/>
  <c r="AR36" i="16506"/>
  <c r="AR39" i="16506"/>
  <c r="N36" i="16506"/>
  <c r="N39" i="16506"/>
  <c r="N37" i="16506"/>
  <c r="N35" i="16506" l="1"/>
  <c r="M34" i="16506"/>
  <c r="AR34" i="16506" s="1"/>
  <c r="M35" i="16506"/>
  <c r="AR35" i="16506" s="1"/>
  <c r="N30" i="16457"/>
  <c r="AS37" i="16506"/>
  <c r="AS39" i="16506"/>
  <c r="AS36" i="16506"/>
  <c r="O37" i="16506"/>
  <c r="O39" i="16506"/>
  <c r="O31" i="16457"/>
  <c r="O36" i="16506"/>
  <c r="AS35" i="16506" l="1"/>
  <c r="O35" i="16506"/>
  <c r="AT35" i="16506" s="1"/>
  <c r="N34" i="16506"/>
  <c r="AS34" i="16506" s="1"/>
  <c r="O30" i="16457"/>
  <c r="AT36" i="16506"/>
  <c r="AT39" i="16506"/>
  <c r="AT37" i="16506"/>
  <c r="P31" i="16457"/>
  <c r="P37" i="16506"/>
  <c r="P36" i="16506"/>
  <c r="P39" i="16506"/>
  <c r="O34" i="16506" l="1"/>
  <c r="AT34" i="16506" s="1"/>
  <c r="P35" i="16506"/>
  <c r="AU35" i="16506" s="1"/>
  <c r="P30" i="16457"/>
  <c r="AU36" i="16506"/>
  <c r="AU39" i="16506"/>
  <c r="AU37" i="16506"/>
  <c r="Q36" i="16506"/>
  <c r="Q31" i="16457"/>
  <c r="Q39" i="16506"/>
  <c r="Q37" i="16506"/>
  <c r="P34" i="16506" l="1"/>
  <c r="AU34" i="16506" s="1"/>
  <c r="Q35" i="16506"/>
  <c r="AV35" i="16506" s="1"/>
  <c r="Q30" i="16457"/>
  <c r="AV37" i="16506"/>
  <c r="AV39" i="16506"/>
  <c r="AV36" i="16506"/>
  <c r="R39" i="16506"/>
  <c r="R36" i="16506"/>
  <c r="R37" i="16506"/>
  <c r="R31" i="16457"/>
  <c r="R35" i="16506" l="1"/>
  <c r="AW35" i="16506" s="1"/>
  <c r="Q34" i="16506"/>
  <c r="AV34" i="16506" s="1"/>
  <c r="R30" i="16457"/>
  <c r="AW36" i="16506"/>
  <c r="AW37" i="16506"/>
  <c r="AW39" i="16506"/>
  <c r="S31" i="16457"/>
  <c r="S36" i="16506"/>
  <c r="S37" i="16506"/>
  <c r="S39" i="16506"/>
  <c r="R34" i="16506" l="1"/>
  <c r="AW34" i="16506" s="1"/>
  <c r="S35" i="16506"/>
  <c r="AX35" i="16506" s="1"/>
  <c r="S30" i="16457"/>
  <c r="AX37" i="16506"/>
  <c r="AX36" i="16506"/>
  <c r="AX39" i="16506"/>
  <c r="T39" i="16506"/>
  <c r="T31" i="16457"/>
  <c r="T37" i="16506"/>
  <c r="T36" i="16506"/>
  <c r="S34" i="16506" l="1"/>
  <c r="AX34" i="16506" s="1"/>
  <c r="T35" i="16506"/>
  <c r="AY35" i="16506" s="1"/>
  <c r="T30" i="16457"/>
  <c r="AY36" i="16506"/>
  <c r="AY37" i="16506"/>
  <c r="AY39" i="16506"/>
  <c r="U36" i="16506"/>
  <c r="U31" i="16457"/>
  <c r="U39" i="16506"/>
  <c r="U37" i="16506"/>
  <c r="T34" i="16506" l="1"/>
  <c r="AY34" i="16506" s="1"/>
  <c r="U35" i="16506"/>
  <c r="AZ35" i="16506" s="1"/>
  <c r="U30" i="16457"/>
  <c r="AZ37" i="16506"/>
  <c r="AZ36" i="16506"/>
  <c r="AZ39" i="16506"/>
  <c r="V39" i="16506"/>
  <c r="V36" i="16506"/>
  <c r="V37" i="16506"/>
  <c r="V31" i="16457"/>
  <c r="U34" i="16506" l="1"/>
  <c r="AZ34" i="16506" s="1"/>
  <c r="V35" i="16506"/>
  <c r="BA35" i="16506" s="1"/>
  <c r="V30" i="16457"/>
  <c r="BA37" i="16506"/>
  <c r="BA36" i="16506"/>
  <c r="BA39" i="16506"/>
  <c r="W37" i="16506"/>
  <c r="W39" i="16506"/>
  <c r="W31" i="16457"/>
  <c r="W36" i="16506"/>
  <c r="V34" i="16506" l="1"/>
  <c r="BA34" i="16506" s="1"/>
  <c r="W35" i="16506"/>
  <c r="BB35" i="16506" s="1"/>
  <c r="W30" i="16457"/>
  <c r="BB37" i="16506"/>
  <c r="BB36" i="16506"/>
  <c r="BB39" i="16506"/>
  <c r="X31" i="16457"/>
  <c r="X37" i="16506"/>
  <c r="X36" i="16506"/>
  <c r="X39" i="16506"/>
  <c r="X35" i="16506" l="1"/>
  <c r="BC35" i="16506" s="1"/>
  <c r="W34" i="16506"/>
  <c r="BB34" i="16506" s="1"/>
  <c r="X30" i="16457"/>
  <c r="BC36" i="16506"/>
  <c r="BC39" i="16506"/>
  <c r="BC37" i="16506"/>
  <c r="Y36" i="16506"/>
  <c r="Y31" i="16457"/>
  <c r="Y39" i="16506"/>
  <c r="Y37" i="16506"/>
  <c r="X34" i="16506" l="1"/>
  <c r="BC34" i="16506" s="1"/>
  <c r="Y35" i="16506"/>
  <c r="BD35" i="16506" s="1"/>
  <c r="Y30" i="16457"/>
  <c r="BD39" i="16506"/>
  <c r="BD36" i="16506"/>
  <c r="BD37" i="16506"/>
  <c r="Z39" i="16506"/>
  <c r="Z36" i="16506"/>
  <c r="Z37" i="16506"/>
  <c r="Z31" i="16457"/>
  <c r="Y34" i="16506" l="1"/>
  <c r="BD34" i="16506" s="1"/>
  <c r="Z35" i="16506"/>
  <c r="BE35" i="16506" s="1"/>
  <c r="Z30" i="16457"/>
  <c r="BE37" i="16506"/>
  <c r="BE39" i="16506"/>
  <c r="BE36" i="16506"/>
  <c r="AA31" i="16457"/>
  <c r="AA36" i="16506"/>
  <c r="AA37" i="16506"/>
  <c r="AA39" i="16506"/>
  <c r="Z34" i="16506" l="1"/>
  <c r="BE34" i="16506" s="1"/>
  <c r="AA35" i="16506"/>
  <c r="BF35" i="16506" s="1"/>
  <c r="AA30" i="16457"/>
  <c r="BF37" i="16506"/>
  <c r="BF36" i="16506"/>
  <c r="BF39" i="16506"/>
  <c r="AB37" i="16506"/>
  <c r="AB36" i="16506"/>
  <c r="AB39" i="16506"/>
  <c r="AB31" i="16457"/>
  <c r="AA34" i="16506" l="1"/>
  <c r="BF34" i="16506" s="1"/>
  <c r="AB35" i="16506"/>
  <c r="BG35" i="16506" s="1"/>
  <c r="AB30" i="16457"/>
  <c r="BG37" i="16506"/>
  <c r="BG36" i="16506"/>
  <c r="BG39" i="16506"/>
  <c r="AC36" i="16506"/>
  <c r="AC31" i="16457"/>
  <c r="AC39" i="16506"/>
  <c r="AC37" i="16506"/>
  <c r="AC35" i="16506" l="1"/>
  <c r="BH35" i="16506" s="1"/>
  <c r="AB34" i="16506"/>
  <c r="BG34" i="16506" s="1"/>
  <c r="AC30" i="16457"/>
  <c r="BH36" i="16506"/>
  <c r="BH37" i="16506"/>
  <c r="BH39" i="16506"/>
  <c r="AD39" i="16506"/>
  <c r="AD36" i="16506"/>
  <c r="AD37" i="16506"/>
  <c r="AD31" i="16457"/>
  <c r="AD35" i="16506" l="1"/>
  <c r="BI35" i="16506" s="1"/>
  <c r="AC34" i="16506"/>
  <c r="BH34" i="16506" s="1"/>
  <c r="AD30" i="16457"/>
  <c r="BI37" i="16506"/>
  <c r="BI36" i="16506"/>
  <c r="BI39" i="16506"/>
  <c r="AE31" i="16457"/>
  <c r="AE36" i="16506"/>
  <c r="AE37" i="16506"/>
  <c r="AE39" i="16506"/>
  <c r="AE35" i="16506" l="1"/>
  <c r="BJ35" i="16506" s="1"/>
  <c r="AD34" i="16506"/>
  <c r="BI34" i="16506" s="1"/>
  <c r="AE30" i="16457"/>
  <c r="BJ39" i="16506"/>
  <c r="BJ37" i="16506"/>
  <c r="BJ36" i="16506"/>
  <c r="AF37" i="16506"/>
  <c r="AF36" i="16506"/>
  <c r="AF39" i="16506"/>
  <c r="AF31" i="16457"/>
  <c r="AE34" i="16506" l="1"/>
  <c r="BJ34" i="16506" s="1"/>
  <c r="AF35" i="16506"/>
  <c r="BK35" i="16506" s="1"/>
  <c r="AF30" i="16457"/>
  <c r="BK36" i="16506"/>
  <c r="BK39" i="16506"/>
  <c r="BK37" i="16506"/>
  <c r="AG36" i="16506"/>
  <c r="AG31" i="16457"/>
  <c r="AG39" i="16506"/>
  <c r="AG37" i="16506"/>
  <c r="AF34" i="16506" l="1"/>
  <c r="BK34" i="16506" s="1"/>
  <c r="AG35" i="16506"/>
  <c r="BL35" i="16506" s="1"/>
  <c r="AG30" i="16457"/>
  <c r="BL37" i="16506"/>
  <c r="BL39" i="16506"/>
  <c r="BL36" i="16506"/>
  <c r="AH39" i="16506"/>
  <c r="AH36" i="16506"/>
  <c r="AH37" i="16506"/>
  <c r="AH31" i="16457"/>
  <c r="AG34" i="16506" l="1"/>
  <c r="BL34" i="16506" s="1"/>
  <c r="AH35" i="16506"/>
  <c r="BM35" i="16506" s="1"/>
  <c r="AH30" i="16457"/>
  <c r="BM36" i="16506"/>
  <c r="BM37" i="16506"/>
  <c r="BM39" i="16506"/>
  <c r="AI31" i="16457"/>
  <c r="AH34" i="16506" l="1"/>
  <c r="BM34" i="16506" s="1"/>
  <c r="AI30" i="16457"/>
  <c r="AI37" i="16506"/>
  <c r="AI39" i="16506"/>
  <c r="AJ31" i="16457"/>
  <c r="AI35" i="16506"/>
  <c r="AI36" i="16506"/>
  <c r="M17" i="16461"/>
  <c r="N17" i="16461"/>
  <c r="O17" i="16461"/>
  <c r="P17" i="16461"/>
  <c r="Q17" i="16461"/>
  <c r="R17" i="16461"/>
  <c r="S17" i="16461"/>
  <c r="T17" i="16461"/>
  <c r="U17" i="16461"/>
  <c r="V17" i="16461"/>
  <c r="W17" i="16461"/>
  <c r="X17" i="16461"/>
  <c r="Y17" i="16461"/>
  <c r="Z17" i="16461"/>
  <c r="AA17" i="16461"/>
  <c r="AB17" i="16461"/>
  <c r="AC17" i="16461"/>
  <c r="AD17" i="16461"/>
  <c r="AE17" i="16461"/>
  <c r="AF17" i="16461"/>
  <c r="AG17" i="16461"/>
  <c r="AH17" i="16461"/>
  <c r="AI17" i="16461"/>
  <c r="AJ17" i="16461"/>
  <c r="AN155" i="16460"/>
  <c r="J121" i="16460"/>
  <c r="J120" i="16460"/>
  <c r="K118" i="16460"/>
  <c r="J117" i="16460"/>
  <c r="J116" i="16460"/>
  <c r="J113" i="16460"/>
  <c r="J111" i="16460"/>
  <c r="J110" i="16460"/>
  <c r="K107" i="16460"/>
  <c r="K96" i="16460"/>
  <c r="J94" i="16460"/>
  <c r="K91" i="16460"/>
  <c r="K90" i="16460"/>
  <c r="J88" i="16460"/>
  <c r="J87" i="16460"/>
  <c r="J85" i="16460"/>
  <c r="J84" i="16460"/>
  <c r="J81" i="16460"/>
  <c r="J80" i="16460"/>
  <c r="K78" i="16460"/>
  <c r="K76" i="16460"/>
  <c r="K71" i="16460"/>
  <c r="J70" i="16460"/>
  <c r="K63" i="16460"/>
  <c r="J62" i="16460"/>
  <c r="J61" i="16460"/>
  <c r="J60" i="16460"/>
  <c r="J58" i="16460"/>
  <c r="K55" i="16460"/>
  <c r="J54" i="16460"/>
  <c r="J52" i="16460"/>
  <c r="K50" i="16460"/>
  <c r="J49" i="16460"/>
  <c r="J44" i="16460"/>
  <c r="J43" i="16460"/>
  <c r="J39" i="16460"/>
  <c r="J36" i="16460"/>
  <c r="J18" i="16460"/>
  <c r="J14" i="16460"/>
  <c r="J10" i="16460"/>
  <c r="J15" i="16460"/>
  <c r="J46" i="16460"/>
  <c r="K64" i="16460"/>
  <c r="J68" i="16460"/>
  <c r="K73" i="16460"/>
  <c r="K82" i="16460"/>
  <c r="J114" i="16460"/>
  <c r="J176" i="16460"/>
  <c r="K176" i="16460" s="1"/>
  <c r="L176" i="16460" s="1"/>
  <c r="M176" i="16460" s="1"/>
  <c r="N176" i="16460" s="1"/>
  <c r="O176" i="16460" s="1"/>
  <c r="P176" i="16460" s="1"/>
  <c r="Q176" i="16460" s="1"/>
  <c r="R176" i="16460" s="1"/>
  <c r="S176" i="16460" s="1"/>
  <c r="T176" i="16460" s="1"/>
  <c r="U176" i="16460" s="1"/>
  <c r="V176" i="16460" s="1"/>
  <c r="W176" i="16460" s="1"/>
  <c r="X176" i="16460" s="1"/>
  <c r="Y176" i="16460" s="1"/>
  <c r="Z176" i="16460" s="1"/>
  <c r="AA176" i="16460" s="1"/>
  <c r="AB176" i="16460" s="1"/>
  <c r="AC176" i="16460" s="1"/>
  <c r="AD176" i="16460" s="1"/>
  <c r="AE176" i="16460" s="1"/>
  <c r="AF176" i="16460" s="1"/>
  <c r="AG176" i="16460" s="1"/>
  <c r="AH176" i="16460" s="1"/>
  <c r="AI176" i="16460" s="1"/>
  <c r="AJ176" i="16460" s="1"/>
  <c r="AK176" i="16460" s="1"/>
  <c r="AL176" i="16460" s="1"/>
  <c r="K177" i="16460"/>
  <c r="L177" i="16460" s="1"/>
  <c r="M177" i="16460" s="1"/>
  <c r="K178" i="16460"/>
  <c r="L178" i="16460" s="1"/>
  <c r="M178" i="16460" s="1"/>
  <c r="N178" i="16460" s="1"/>
  <c r="O178" i="16460" s="1"/>
  <c r="P178" i="16460" s="1"/>
  <c r="Q178" i="16460" s="1"/>
  <c r="R178" i="16460" s="1"/>
  <c r="S178" i="16460" s="1"/>
  <c r="T178" i="16460" s="1"/>
  <c r="U178" i="16460" s="1"/>
  <c r="V178" i="16460" s="1"/>
  <c r="W178" i="16460" s="1"/>
  <c r="X178" i="16460" s="1"/>
  <c r="Y178" i="16460" s="1"/>
  <c r="Z178" i="16460" s="1"/>
  <c r="AA178" i="16460" s="1"/>
  <c r="AB178" i="16460" s="1"/>
  <c r="AC178" i="16460" s="1"/>
  <c r="AD178" i="16460" s="1"/>
  <c r="AE178" i="16460" s="1"/>
  <c r="AF178" i="16460" s="1"/>
  <c r="AG178" i="16460" s="1"/>
  <c r="AH178" i="16460" s="1"/>
  <c r="AI178" i="16460" s="1"/>
  <c r="AJ178" i="16460" s="1"/>
  <c r="AK178" i="16460" s="1"/>
  <c r="AL178" i="16460" s="1"/>
  <c r="J179" i="16460"/>
  <c r="K179" i="16460" s="1"/>
  <c r="L179" i="16460" s="1"/>
  <c r="M179" i="16460" s="1"/>
  <c r="N179" i="16460" s="1"/>
  <c r="O179" i="16460" s="1"/>
  <c r="P179" i="16460" s="1"/>
  <c r="Q179" i="16460" s="1"/>
  <c r="R179" i="16460" s="1"/>
  <c r="S179" i="16460" s="1"/>
  <c r="T179" i="16460" s="1"/>
  <c r="U179" i="16460" s="1"/>
  <c r="V179" i="16460" s="1"/>
  <c r="W179" i="16460" s="1"/>
  <c r="X179" i="16460" s="1"/>
  <c r="Y179" i="16460" s="1"/>
  <c r="Z179" i="16460" s="1"/>
  <c r="AA179" i="16460" s="1"/>
  <c r="AB179" i="16460" s="1"/>
  <c r="AC179" i="16460" s="1"/>
  <c r="AD179" i="16460" s="1"/>
  <c r="AE179" i="16460" s="1"/>
  <c r="AF179" i="16460" s="1"/>
  <c r="AG179" i="16460" s="1"/>
  <c r="AH179" i="16460" s="1"/>
  <c r="AI179" i="16460" s="1"/>
  <c r="AJ179" i="16460" s="1"/>
  <c r="AK179" i="16460" s="1"/>
  <c r="AL179" i="16460" s="1"/>
  <c r="K181" i="16460"/>
  <c r="L181" i="16460" s="1"/>
  <c r="M181" i="16460" s="1"/>
  <c r="N181" i="16460" s="1"/>
  <c r="O181" i="16460" s="1"/>
  <c r="P181" i="16460" s="1"/>
  <c r="Q181" i="16460" s="1"/>
  <c r="R181" i="16460" s="1"/>
  <c r="S181" i="16460" s="1"/>
  <c r="T181" i="16460" s="1"/>
  <c r="U181" i="16460" s="1"/>
  <c r="V181" i="16460" s="1"/>
  <c r="W181" i="16460" s="1"/>
  <c r="X181" i="16460" s="1"/>
  <c r="Y181" i="16460" s="1"/>
  <c r="Z181" i="16460" s="1"/>
  <c r="AA181" i="16460" s="1"/>
  <c r="AB181" i="16460" s="1"/>
  <c r="AC181" i="16460" s="1"/>
  <c r="AD181" i="16460" s="1"/>
  <c r="AE181" i="16460" s="1"/>
  <c r="AF181" i="16460" s="1"/>
  <c r="AG181" i="16460" s="1"/>
  <c r="AH181" i="16460" s="1"/>
  <c r="AI181" i="16460" s="1"/>
  <c r="AJ181" i="16460" s="1"/>
  <c r="AK181" i="16460" s="1"/>
  <c r="AL181" i="16460" s="1"/>
  <c r="AR174" i="16460"/>
  <c r="AR155" i="16460"/>
  <c r="AR154" i="16460"/>
  <c r="AR137" i="16460"/>
  <c r="AR132" i="16460"/>
  <c r="AR119" i="16460"/>
  <c r="AR109" i="16460"/>
  <c r="AR105" i="16460"/>
  <c r="AR99" i="16460"/>
  <c r="AR93" i="16460"/>
  <c r="AR89" i="16460"/>
  <c r="AR79" i="16460"/>
  <c r="AR74" i="16460"/>
  <c r="AR69" i="16460"/>
  <c r="AR59" i="16460"/>
  <c r="AR53" i="16460"/>
  <c r="AR47" i="16460"/>
  <c r="AR42" i="16460"/>
  <c r="AR34" i="16460"/>
  <c r="AR31" i="16460"/>
  <c r="AR28" i="16460"/>
  <c r="AR25" i="16460"/>
  <c r="AR20" i="16460"/>
  <c r="H189" i="16460"/>
  <c r="L29" i="16457" s="1"/>
  <c r="AQ187" i="16460"/>
  <c r="AO187" i="16460"/>
  <c r="AM187" i="16460"/>
  <c r="G187" i="16460"/>
  <c r="I9" i="16460"/>
  <c r="I83" i="16460"/>
  <c r="I86" i="16460"/>
  <c r="AK31" i="16457" l="1"/>
  <c r="AL31" i="16457" s="1"/>
  <c r="AJ30" i="16457"/>
  <c r="AJ34" i="16506" s="1"/>
  <c r="AI34" i="16506"/>
  <c r="BN34" i="16506" s="1"/>
  <c r="K70" i="16460"/>
  <c r="L96" i="16460"/>
  <c r="K116" i="16460"/>
  <c r="L116" i="16460" s="1"/>
  <c r="K120" i="16460"/>
  <c r="L73" i="16460"/>
  <c r="L55" i="16460"/>
  <c r="K61" i="16460"/>
  <c r="K85" i="16460"/>
  <c r="L91" i="16460"/>
  <c r="K113" i="16460"/>
  <c r="K117" i="16460"/>
  <c r="K121" i="16460"/>
  <c r="K114" i="16460"/>
  <c r="L64" i="16460"/>
  <c r="K14" i="16460"/>
  <c r="L50" i="16460"/>
  <c r="K62" i="16460"/>
  <c r="K94" i="16460"/>
  <c r="K110" i="16460"/>
  <c r="K15" i="16460"/>
  <c r="K44" i="16460"/>
  <c r="K52" i="16460"/>
  <c r="K58" i="16460"/>
  <c r="L63" i="16460"/>
  <c r="K88" i="16460"/>
  <c r="K106" i="16460"/>
  <c r="L118" i="16460"/>
  <c r="M118" i="16460" s="1"/>
  <c r="N118" i="16460" s="1"/>
  <c r="O118" i="16460" s="1"/>
  <c r="P118" i="16460" s="1"/>
  <c r="Q118" i="16460" s="1"/>
  <c r="R118" i="16460" s="1"/>
  <c r="S118" i="16460" s="1"/>
  <c r="T118" i="16460" s="1"/>
  <c r="U118" i="16460" s="1"/>
  <c r="V118" i="16460" s="1"/>
  <c r="W118" i="16460" s="1"/>
  <c r="X118" i="16460" s="1"/>
  <c r="Y118" i="16460" s="1"/>
  <c r="Z118" i="16460" s="1"/>
  <c r="AA118" i="16460" s="1"/>
  <c r="AB118" i="16460" s="1"/>
  <c r="AC118" i="16460" s="1"/>
  <c r="AD118" i="16460" s="1"/>
  <c r="AE118" i="16460" s="1"/>
  <c r="AF118" i="16460" s="1"/>
  <c r="AG118" i="16460" s="1"/>
  <c r="AH118" i="16460" s="1"/>
  <c r="AI118" i="16460" s="1"/>
  <c r="AJ118" i="16460" s="1"/>
  <c r="AK118" i="16460" s="1"/>
  <c r="AL118" i="16460" s="1"/>
  <c r="K49" i="16460"/>
  <c r="K39" i="16460"/>
  <c r="K43" i="16460"/>
  <c r="L43" i="16460" s="1"/>
  <c r="K54" i="16460"/>
  <c r="K60" i="16460"/>
  <c r="K80" i="16460"/>
  <c r="K84" i="16460"/>
  <c r="L84" i="16460" s="1"/>
  <c r="K87" i="16460"/>
  <c r="J248" i="16460"/>
  <c r="K81" i="16460"/>
  <c r="J258" i="16460"/>
  <c r="K77" i="16460"/>
  <c r="J257" i="16460"/>
  <c r="J255" i="16460"/>
  <c r="K36" i="16460"/>
  <c r="J259" i="16460"/>
  <c r="L82" i="16460"/>
  <c r="K18" i="16460"/>
  <c r="L18" i="16460" s="1"/>
  <c r="L40" i="16506"/>
  <c r="AQ40" i="16506" s="1"/>
  <c r="L38" i="16506"/>
  <c r="AQ38" i="16506" s="1"/>
  <c r="L33" i="16506"/>
  <c r="AQ33" i="16506" s="1"/>
  <c r="L107" i="16460"/>
  <c r="J256" i="16460"/>
  <c r="K68" i="16460"/>
  <c r="K46" i="16460"/>
  <c r="AK39" i="16506"/>
  <c r="AK37" i="16506"/>
  <c r="AJ36" i="16506"/>
  <c r="AJ35" i="16506"/>
  <c r="AJ39" i="16506"/>
  <c r="AJ37" i="16506"/>
  <c r="AK36" i="16506"/>
  <c r="BN36" i="16506"/>
  <c r="BN35" i="16506"/>
  <c r="BN39" i="16506"/>
  <c r="BN37" i="16506"/>
  <c r="J83" i="16460"/>
  <c r="M33" i="16506"/>
  <c r="M40" i="16506"/>
  <c r="M38" i="16506"/>
  <c r="K10" i="16460"/>
  <c r="J9" i="16460"/>
  <c r="H19" i="16506"/>
  <c r="I19" i="16506" s="1"/>
  <c r="H50" i="16506"/>
  <c r="I50" i="16506" s="1"/>
  <c r="H46" i="16506"/>
  <c r="I46" i="16506" s="1"/>
  <c r="H20" i="16506"/>
  <c r="I20" i="16506" s="1"/>
  <c r="H16" i="16506"/>
  <c r="I16" i="16506" s="1"/>
  <c r="H53" i="16506"/>
  <c r="H48" i="16506"/>
  <c r="J86" i="16460"/>
  <c r="H76" i="16506"/>
  <c r="H92" i="16506"/>
  <c r="I92" i="16506" s="1"/>
  <c r="L17" i="16461"/>
  <c r="N177" i="16460"/>
  <c r="O177" i="16460" s="1"/>
  <c r="P177" i="16460" s="1"/>
  <c r="Q177" i="16460" s="1"/>
  <c r="R177" i="16460" s="1"/>
  <c r="S177" i="16460" s="1"/>
  <c r="T177" i="16460" s="1"/>
  <c r="U177" i="16460" s="1"/>
  <c r="V177" i="16460" s="1"/>
  <c r="W177" i="16460" s="1"/>
  <c r="X177" i="16460" s="1"/>
  <c r="Y177" i="16460" s="1"/>
  <c r="Z177" i="16460" s="1"/>
  <c r="AA177" i="16460" s="1"/>
  <c r="AB177" i="16460" s="1"/>
  <c r="AC177" i="16460" s="1"/>
  <c r="AD177" i="16460" s="1"/>
  <c r="AE177" i="16460" s="1"/>
  <c r="AF177" i="16460" s="1"/>
  <c r="AG177" i="16460" s="1"/>
  <c r="AH177" i="16460" s="1"/>
  <c r="AI177" i="16460" s="1"/>
  <c r="AJ177" i="16460" s="1"/>
  <c r="AK177" i="16460" s="1"/>
  <c r="AL177" i="16460" s="1"/>
  <c r="W108" i="16460"/>
  <c r="L49" i="16460"/>
  <c r="L71" i="16460"/>
  <c r="L76" i="16460"/>
  <c r="L78" i="16460"/>
  <c r="L90" i="16460"/>
  <c r="K111" i="16460"/>
  <c r="L113" i="16460"/>
  <c r="L62" i="16460"/>
  <c r="L121" i="16460"/>
  <c r="CU47" i="16457"/>
  <c r="DA52" i="16457"/>
  <c r="CV47" i="16457"/>
  <c r="BX30" i="16457"/>
  <c r="CK47" i="16457"/>
  <c r="CW47" i="16457"/>
  <c r="CB47" i="16457"/>
  <c r="CO47" i="16457"/>
  <c r="CM47" i="16457"/>
  <c r="CT47" i="16457"/>
  <c r="CV113" i="16457"/>
  <c r="CI47" i="16457"/>
  <c r="CW52" i="16457"/>
  <c r="CV31" i="16457"/>
  <c r="BX31" i="16457"/>
  <c r="DA47" i="16457"/>
  <c r="CF47" i="16457"/>
  <c r="CA47" i="16457"/>
  <c r="CX31" i="16457"/>
  <c r="CJ47" i="16457"/>
  <c r="CX113" i="16457"/>
  <c r="BZ47" i="16457"/>
  <c r="CS47" i="16457"/>
  <c r="CQ47" i="16457"/>
  <c r="CX47" i="16457"/>
  <c r="CL47" i="16457"/>
  <c r="BX52" i="16457"/>
  <c r="CP47" i="16457"/>
  <c r="CN47" i="16457"/>
  <c r="DA113" i="16457"/>
  <c r="CG47" i="16457"/>
  <c r="CZ113" i="16457"/>
  <c r="CW113" i="16457"/>
  <c r="BY47" i="16457"/>
  <c r="CY52" i="16457"/>
  <c r="CW31" i="16457"/>
  <c r="CE47" i="16457"/>
  <c r="BX113" i="16457"/>
  <c r="CD47" i="16457"/>
  <c r="CH47" i="16457"/>
  <c r="BX47" i="16457"/>
  <c r="CZ47" i="16457"/>
  <c r="CX52" i="16457"/>
  <c r="CZ52" i="16457"/>
  <c r="CV52" i="16457"/>
  <c r="CY47" i="16457"/>
  <c r="CC47" i="16457"/>
  <c r="CV30" i="16457"/>
  <c r="CY113" i="16457"/>
  <c r="CR47" i="16457"/>
  <c r="AK35" i="16506" l="1"/>
  <c r="AK30" i="16457"/>
  <c r="L77" i="16460"/>
  <c r="L106" i="16460"/>
  <c r="L14" i="16460"/>
  <c r="M64" i="16460"/>
  <c r="L120" i="16460"/>
  <c r="M63" i="16460"/>
  <c r="L52" i="16460"/>
  <c r="L15" i="16460"/>
  <c r="L94" i="16460"/>
  <c r="M50" i="16460"/>
  <c r="L114" i="16460"/>
  <c r="L117" i="16460"/>
  <c r="L85" i="16460"/>
  <c r="L61" i="16460"/>
  <c r="AL108" i="16460"/>
  <c r="L81" i="16460"/>
  <c r="L88" i="16460"/>
  <c r="M73" i="16460"/>
  <c r="L46" i="16460"/>
  <c r="L58" i="16460"/>
  <c r="L44" i="16460"/>
  <c r="L110" i="16460"/>
  <c r="M91" i="16460"/>
  <c r="N91" i="16460" s="1"/>
  <c r="O91" i="16460" s="1"/>
  <c r="P91" i="16460" s="1"/>
  <c r="Q91" i="16460" s="1"/>
  <c r="R91" i="16460" s="1"/>
  <c r="S91" i="16460" s="1"/>
  <c r="T91" i="16460" s="1"/>
  <c r="U91" i="16460" s="1"/>
  <c r="V91" i="16460" s="1"/>
  <c r="W91" i="16460" s="1"/>
  <c r="X91" i="16460" s="1"/>
  <c r="Y91" i="16460" s="1"/>
  <c r="Z91" i="16460" s="1"/>
  <c r="AA91" i="16460" s="1"/>
  <c r="AB91" i="16460" s="1"/>
  <c r="AC91" i="16460" s="1"/>
  <c r="AD91" i="16460" s="1"/>
  <c r="AE91" i="16460" s="1"/>
  <c r="AF91" i="16460" s="1"/>
  <c r="AG91" i="16460" s="1"/>
  <c r="AH91" i="16460" s="1"/>
  <c r="AI91" i="16460" s="1"/>
  <c r="AJ91" i="16460" s="1"/>
  <c r="AK91" i="16460" s="1"/>
  <c r="AL91" i="16460" s="1"/>
  <c r="M55" i="16460"/>
  <c r="M96" i="16460"/>
  <c r="L70" i="16460"/>
  <c r="L60" i="16460"/>
  <c r="M60" i="16460" s="1"/>
  <c r="L54" i="16460"/>
  <c r="L87" i="16460"/>
  <c r="M87" i="16460" s="1"/>
  <c r="N87" i="16460" s="1"/>
  <c r="O87" i="16460" s="1"/>
  <c r="P87" i="16460" s="1"/>
  <c r="Q87" i="16460" s="1"/>
  <c r="R87" i="16460" s="1"/>
  <c r="S87" i="16460" s="1"/>
  <c r="T87" i="16460" s="1"/>
  <c r="U87" i="16460" s="1"/>
  <c r="V87" i="16460" s="1"/>
  <c r="W87" i="16460" s="1"/>
  <c r="X87" i="16460" s="1"/>
  <c r="Y87" i="16460" s="1"/>
  <c r="Z87" i="16460" s="1"/>
  <c r="AA87" i="16460" s="1"/>
  <c r="AB87" i="16460" s="1"/>
  <c r="AC87" i="16460" s="1"/>
  <c r="AD87" i="16460" s="1"/>
  <c r="AE87" i="16460" s="1"/>
  <c r="AF87" i="16460" s="1"/>
  <c r="AG87" i="16460" s="1"/>
  <c r="AH87" i="16460" s="1"/>
  <c r="AI87" i="16460" s="1"/>
  <c r="AJ87" i="16460" s="1"/>
  <c r="AK87" i="16460" s="1"/>
  <c r="AL87" i="16460" s="1"/>
  <c r="L80" i="16460"/>
  <c r="M80" i="16460" s="1"/>
  <c r="L39" i="16460"/>
  <c r="M39" i="16460" s="1"/>
  <c r="K83" i="16460"/>
  <c r="K258" i="16460"/>
  <c r="K248" i="16460"/>
  <c r="K257" i="16460"/>
  <c r="K255" i="16460"/>
  <c r="L257" i="16460"/>
  <c r="K256" i="16460"/>
  <c r="L36" i="16460"/>
  <c r="K259" i="16460"/>
  <c r="M82" i="16460"/>
  <c r="L10" i="16460"/>
  <c r="M107" i="16460"/>
  <c r="N107" i="16460" s="1"/>
  <c r="O107" i="16460" s="1"/>
  <c r="P107" i="16460" s="1"/>
  <c r="Q107" i="16460" s="1"/>
  <c r="R107" i="16460" s="1"/>
  <c r="S107" i="16460" s="1"/>
  <c r="T107" i="16460" s="1"/>
  <c r="U107" i="16460" s="1"/>
  <c r="V107" i="16460" s="1"/>
  <c r="W107" i="16460" s="1"/>
  <c r="X107" i="16460" s="1"/>
  <c r="Y107" i="16460" s="1"/>
  <c r="Z107" i="16460" s="1"/>
  <c r="AA107" i="16460" s="1"/>
  <c r="AB107" i="16460" s="1"/>
  <c r="AC107" i="16460" s="1"/>
  <c r="AD107" i="16460" s="1"/>
  <c r="AE107" i="16460" s="1"/>
  <c r="AF107" i="16460" s="1"/>
  <c r="AG107" i="16460" s="1"/>
  <c r="AH107" i="16460" s="1"/>
  <c r="AI107" i="16460" s="1"/>
  <c r="AJ107" i="16460" s="1"/>
  <c r="AK107" i="16460" s="1"/>
  <c r="AL107" i="16460" s="1"/>
  <c r="DC53" i="16506"/>
  <c r="DC52" i="16506" s="1"/>
  <c r="DE53" i="16506"/>
  <c r="DE52" i="16506" s="1"/>
  <c r="DA53" i="16506"/>
  <c r="DA52" i="16506" s="1"/>
  <c r="H52" i="16506"/>
  <c r="DB53" i="16506"/>
  <c r="DB52" i="16506" s="1"/>
  <c r="DD53" i="16506"/>
  <c r="DD52" i="16506" s="1"/>
  <c r="DF53" i="16506"/>
  <c r="DF52" i="16506" s="1"/>
  <c r="I76" i="16506"/>
  <c r="DB77" i="16506"/>
  <c r="DB76" i="16506" s="1"/>
  <c r="DD77" i="16506"/>
  <c r="DD76" i="16506" s="1"/>
  <c r="DF77" i="16506"/>
  <c r="DF76" i="16506" s="1"/>
  <c r="DH77" i="16506"/>
  <c r="DH76" i="16506" s="1"/>
  <c r="DJ77" i="16506"/>
  <c r="DJ76" i="16506" s="1"/>
  <c r="DL77" i="16506"/>
  <c r="DL76" i="16506" s="1"/>
  <c r="DN77" i="16506"/>
  <c r="DN76" i="16506" s="1"/>
  <c r="DP77" i="16506"/>
  <c r="DP76" i="16506" s="1"/>
  <c r="DR77" i="16506"/>
  <c r="DR76" i="16506" s="1"/>
  <c r="DT77" i="16506"/>
  <c r="DT76" i="16506" s="1"/>
  <c r="DV77" i="16506"/>
  <c r="DV76" i="16506" s="1"/>
  <c r="DX77" i="16506"/>
  <c r="DX76" i="16506" s="1"/>
  <c r="DA77" i="16506"/>
  <c r="DA76" i="16506" s="1"/>
  <c r="DC77" i="16506"/>
  <c r="DC76" i="16506" s="1"/>
  <c r="DE77" i="16506"/>
  <c r="DE76" i="16506" s="1"/>
  <c r="DG77" i="16506"/>
  <c r="DG76" i="16506" s="1"/>
  <c r="DI77" i="16506"/>
  <c r="DI76" i="16506" s="1"/>
  <c r="DK77" i="16506"/>
  <c r="DK76" i="16506" s="1"/>
  <c r="DM77" i="16506"/>
  <c r="DM76" i="16506" s="1"/>
  <c r="DO77" i="16506"/>
  <c r="DO76" i="16506" s="1"/>
  <c r="DQ77" i="16506"/>
  <c r="DQ76" i="16506" s="1"/>
  <c r="DS77" i="16506"/>
  <c r="DS76" i="16506" s="1"/>
  <c r="DU77" i="16506"/>
  <c r="DU76" i="16506" s="1"/>
  <c r="DW77" i="16506"/>
  <c r="DW76" i="16506" s="1"/>
  <c r="ED77" i="16506"/>
  <c r="ED76" i="16506" s="1"/>
  <c r="L68" i="16460"/>
  <c r="DX36" i="16506"/>
  <c r="DA38" i="16506"/>
  <c r="H121" i="16506"/>
  <c r="I121" i="16506" s="1"/>
  <c r="DD36" i="16506"/>
  <c r="DF36" i="16506"/>
  <c r="DL36" i="16506"/>
  <c r="DL53" i="16506"/>
  <c r="DL52" i="16506" s="1"/>
  <c r="DO53" i="16506"/>
  <c r="DO52" i="16506" s="1"/>
  <c r="DW53" i="16506"/>
  <c r="DW52" i="16506" s="1"/>
  <c r="DM53" i="16506"/>
  <c r="DM52" i="16506" s="1"/>
  <c r="DP53" i="16506"/>
  <c r="DP52" i="16506" s="1"/>
  <c r="DX53" i="16506"/>
  <c r="DX52" i="16506" s="1"/>
  <c r="DQ53" i="16506"/>
  <c r="DQ52" i="16506" s="1"/>
  <c r="DR53" i="16506"/>
  <c r="DR52" i="16506" s="1"/>
  <c r="DI53" i="16506"/>
  <c r="DI52" i="16506" s="1"/>
  <c r="DG53" i="16506"/>
  <c r="DG52" i="16506" s="1"/>
  <c r="DV53" i="16506"/>
  <c r="DV52" i="16506" s="1"/>
  <c r="DS53" i="16506"/>
  <c r="DS52" i="16506" s="1"/>
  <c r="DH53" i="16506"/>
  <c r="DH52" i="16506" s="1"/>
  <c r="DT53" i="16506"/>
  <c r="DT52" i="16506" s="1"/>
  <c r="DN53" i="16506"/>
  <c r="DN52" i="16506" s="1"/>
  <c r="DK53" i="16506"/>
  <c r="DK52" i="16506" s="1"/>
  <c r="DU53" i="16506"/>
  <c r="DU52" i="16506" s="1"/>
  <c r="DJ53" i="16506"/>
  <c r="DJ52" i="16506" s="1"/>
  <c r="ED53" i="16506"/>
  <c r="ED52" i="16506" s="1"/>
  <c r="AR40" i="16506"/>
  <c r="DB40" i="16506" s="1"/>
  <c r="AR38" i="16506"/>
  <c r="AR33" i="16506"/>
  <c r="DB33" i="16506" s="1"/>
  <c r="CZ51" i="16457"/>
  <c r="CW51" i="16457"/>
  <c r="CY51" i="16457"/>
  <c r="CV51" i="16457"/>
  <c r="CX51" i="16457"/>
  <c r="DA51" i="16457"/>
  <c r="DA45" i="16457"/>
  <c r="EG45" i="16457" s="1"/>
  <c r="CX45" i="16457"/>
  <c r="CV45" i="16457"/>
  <c r="CY45" i="16457"/>
  <c r="CW45" i="16457"/>
  <c r="CZ45" i="16457"/>
  <c r="CV111" i="16457"/>
  <c r="CW111" i="16457"/>
  <c r="DA111" i="16457"/>
  <c r="CY111" i="16457"/>
  <c r="CX111" i="16457"/>
  <c r="CZ111" i="16457"/>
  <c r="H42" i="16506"/>
  <c r="I42" i="16506" s="1"/>
  <c r="I48" i="16506"/>
  <c r="ED48" i="16506"/>
  <c r="ED47" i="16506" s="1"/>
  <c r="DC48" i="16506"/>
  <c r="DC47" i="16506" s="1"/>
  <c r="DK48" i="16506"/>
  <c r="DK47" i="16506" s="1"/>
  <c r="DS48" i="16506"/>
  <c r="DS47" i="16506" s="1"/>
  <c r="DA48" i="16506"/>
  <c r="DA47" i="16506" s="1"/>
  <c r="DJ48" i="16506"/>
  <c r="DJ47" i="16506" s="1"/>
  <c r="DR48" i="16506"/>
  <c r="DR47" i="16506" s="1"/>
  <c r="DD48" i="16506"/>
  <c r="DD47" i="16506" s="1"/>
  <c r="DL48" i="16506"/>
  <c r="DL47" i="16506" s="1"/>
  <c r="DT48" i="16506"/>
  <c r="DT47" i="16506" s="1"/>
  <c r="DI48" i="16506"/>
  <c r="DI47" i="16506" s="1"/>
  <c r="DQ48" i="16506"/>
  <c r="DQ47" i="16506" s="1"/>
  <c r="DG48" i="16506"/>
  <c r="DG47" i="16506" s="1"/>
  <c r="DO48" i="16506"/>
  <c r="DO47" i="16506" s="1"/>
  <c r="DW48" i="16506"/>
  <c r="DW47" i="16506" s="1"/>
  <c r="DF48" i="16506"/>
  <c r="DF47" i="16506" s="1"/>
  <c r="DN48" i="16506"/>
  <c r="DN47" i="16506" s="1"/>
  <c r="DV48" i="16506"/>
  <c r="DV47" i="16506" s="1"/>
  <c r="DH48" i="16506"/>
  <c r="DH47" i="16506" s="1"/>
  <c r="DP48" i="16506"/>
  <c r="DP47" i="16506" s="1"/>
  <c r="DX48" i="16506"/>
  <c r="DX47" i="16506" s="1"/>
  <c r="DB48" i="16506"/>
  <c r="DB47" i="16506" s="1"/>
  <c r="DE48" i="16506"/>
  <c r="DE47" i="16506" s="1"/>
  <c r="DM48" i="16506"/>
  <c r="DM47" i="16506" s="1"/>
  <c r="DU48" i="16506"/>
  <c r="DU47" i="16506" s="1"/>
  <c r="DG46" i="16506"/>
  <c r="DH46" i="16506"/>
  <c r="DD46" i="16506"/>
  <c r="DV46" i="16506"/>
  <c r="DR46" i="16506"/>
  <c r="DR45" i="16506" s="1"/>
  <c r="DN46" i="16506"/>
  <c r="DN45" i="16506" s="1"/>
  <c r="DC46" i="16506"/>
  <c r="ED46" i="16506"/>
  <c r="ED45" i="16506" s="1"/>
  <c r="DI46" i="16506"/>
  <c r="DJ46" i="16506"/>
  <c r="DF46" i="16506"/>
  <c r="DX46" i="16506"/>
  <c r="DT46" i="16506"/>
  <c r="DP46" i="16506"/>
  <c r="DP45" i="16506" s="1"/>
  <c r="DL46" i="16506"/>
  <c r="DL45" i="16506" s="1"/>
  <c r="DK46" i="16506"/>
  <c r="DQ46" i="16506"/>
  <c r="DU46" i="16506"/>
  <c r="DA46" i="16506"/>
  <c r="DS46" i="16506"/>
  <c r="DE46" i="16506"/>
  <c r="DW46" i="16506"/>
  <c r="DB46" i="16506"/>
  <c r="DB45" i="16506" s="1"/>
  <c r="DM46" i="16506"/>
  <c r="DO46" i="16506"/>
  <c r="BM57" i="16457"/>
  <c r="H61" i="16506"/>
  <c r="I61" i="16506" s="1"/>
  <c r="BN14" i="16457"/>
  <c r="DZ14" i="16457" s="1"/>
  <c r="H17" i="16506"/>
  <c r="I17" i="16506" s="1"/>
  <c r="ED21" i="16506"/>
  <c r="DE21" i="16506"/>
  <c r="DD21" i="16506"/>
  <c r="DT21" i="16506"/>
  <c r="DF21" i="16506"/>
  <c r="DQ21" i="16506"/>
  <c r="DC21" i="16506"/>
  <c r="DR21" i="16506"/>
  <c r="DH21" i="16506"/>
  <c r="DI21" i="16506"/>
  <c r="DS21" i="16506"/>
  <c r="DK21" i="16506"/>
  <c r="DP21" i="16506"/>
  <c r="DX21" i="16506"/>
  <c r="DJ21" i="16506"/>
  <c r="DA21" i="16506"/>
  <c r="DM21" i="16506"/>
  <c r="DU21" i="16506"/>
  <c r="DG21" i="16506"/>
  <c r="DN21" i="16506"/>
  <c r="DV21" i="16506"/>
  <c r="DB21" i="16506"/>
  <c r="DL21" i="16506"/>
  <c r="DO21" i="16506"/>
  <c r="DW21" i="16506"/>
  <c r="DX37" i="16506"/>
  <c r="BQ110" i="16457"/>
  <c r="EC110" i="16457" s="1"/>
  <c r="BS110" i="16457"/>
  <c r="EE110" i="16457" s="1"/>
  <c r="BU110" i="16457"/>
  <c r="EG110" i="16457" s="1"/>
  <c r="BP110" i="16457"/>
  <c r="EB110" i="16457" s="1"/>
  <c r="BR110" i="16457"/>
  <c r="ED110" i="16457" s="1"/>
  <c r="BT110" i="16457"/>
  <c r="EF110" i="16457" s="1"/>
  <c r="BO25" i="16457"/>
  <c r="EA25" i="16457" s="1"/>
  <c r="H28" i="16506"/>
  <c r="I28" i="16506" s="1"/>
  <c r="H39" i="16506"/>
  <c r="DX39" i="16506" s="1"/>
  <c r="H34" i="16506"/>
  <c r="I34" i="16506" s="1"/>
  <c r="I53" i="16506"/>
  <c r="ED20" i="16506"/>
  <c r="DE20" i="16506"/>
  <c r="DK20" i="16506"/>
  <c r="DS20" i="16506"/>
  <c r="DA20" i="16506"/>
  <c r="DC20" i="16506"/>
  <c r="DM20" i="16506"/>
  <c r="DU20" i="16506"/>
  <c r="DD20" i="16506"/>
  <c r="DJ20" i="16506"/>
  <c r="DR20" i="16506"/>
  <c r="DF20" i="16506"/>
  <c r="DP20" i="16506"/>
  <c r="DX20" i="16506"/>
  <c r="DI20" i="16506"/>
  <c r="DO20" i="16506"/>
  <c r="DW20" i="16506"/>
  <c r="DG20" i="16506"/>
  <c r="DQ20" i="16506"/>
  <c r="DH20" i="16506"/>
  <c r="DN20" i="16506"/>
  <c r="DV20" i="16506"/>
  <c r="DB20" i="16506"/>
  <c r="DL20" i="16506"/>
  <c r="DT20" i="16506"/>
  <c r="DB50" i="16506"/>
  <c r="ED50" i="16506"/>
  <c r="DC50" i="16506"/>
  <c r="DG50" i="16506"/>
  <c r="DK50" i="16506"/>
  <c r="DO50" i="16506"/>
  <c r="DS50" i="16506"/>
  <c r="DW50" i="16506"/>
  <c r="DD50" i="16506"/>
  <c r="DH50" i="16506"/>
  <c r="DL50" i="16506"/>
  <c r="DP50" i="16506"/>
  <c r="DT50" i="16506"/>
  <c r="DX50" i="16506"/>
  <c r="DE50" i="16506"/>
  <c r="DI50" i="16506"/>
  <c r="DM50" i="16506"/>
  <c r="DQ50" i="16506"/>
  <c r="DU50" i="16506"/>
  <c r="DA50" i="16506"/>
  <c r="DF50" i="16506"/>
  <c r="DJ50" i="16506"/>
  <c r="DN50" i="16506"/>
  <c r="DR50" i="16506"/>
  <c r="DV50" i="16506"/>
  <c r="ED15" i="16506"/>
  <c r="DF15" i="16506"/>
  <c r="DL15" i="16506"/>
  <c r="DP15" i="16506"/>
  <c r="DT15" i="16506"/>
  <c r="DX15" i="16506"/>
  <c r="DE15" i="16506"/>
  <c r="DI15" i="16506"/>
  <c r="DM15" i="16506"/>
  <c r="DQ15" i="16506"/>
  <c r="DU15" i="16506"/>
  <c r="DD15" i="16506"/>
  <c r="DJ15" i="16506"/>
  <c r="DN15" i="16506"/>
  <c r="DR15" i="16506"/>
  <c r="DV15" i="16506"/>
  <c r="DC15" i="16506"/>
  <c r="DG15" i="16506"/>
  <c r="DK15" i="16506"/>
  <c r="DO15" i="16506"/>
  <c r="DS15" i="16506"/>
  <c r="DW15" i="16506"/>
  <c r="DH15" i="16506"/>
  <c r="ED19" i="16506"/>
  <c r="DH19" i="16506"/>
  <c r="DR19" i="16506"/>
  <c r="DF19" i="16506"/>
  <c r="DL19" i="16506"/>
  <c r="DT19" i="16506"/>
  <c r="DG19" i="16506"/>
  <c r="DQ19" i="16506"/>
  <c r="DA19" i="16506"/>
  <c r="DC19" i="16506"/>
  <c r="DI19" i="16506"/>
  <c r="DO19" i="16506"/>
  <c r="DW19" i="16506"/>
  <c r="DN19" i="16506"/>
  <c r="DV19" i="16506"/>
  <c r="DB19" i="16506"/>
  <c r="DD19" i="16506"/>
  <c r="DJ19" i="16506"/>
  <c r="DP19" i="16506"/>
  <c r="DX19" i="16506"/>
  <c r="DM19" i="16506"/>
  <c r="DU19" i="16506"/>
  <c r="DE19" i="16506"/>
  <c r="DK19" i="16506"/>
  <c r="DS19" i="16506"/>
  <c r="H41" i="16506"/>
  <c r="I41" i="16506" s="1"/>
  <c r="AL36" i="16506"/>
  <c r="AL37" i="16506"/>
  <c r="AL35" i="16506"/>
  <c r="AL39" i="16506"/>
  <c r="DA40" i="16506"/>
  <c r="DA33" i="16506"/>
  <c r="AM31" i="16457"/>
  <c r="CT45" i="16457"/>
  <c r="CR45" i="16457"/>
  <c r="CP45" i="16457"/>
  <c r="CN45" i="16457"/>
  <c r="CL45" i="16457"/>
  <c r="CJ45" i="16457"/>
  <c r="CH45" i="16457"/>
  <c r="CF45" i="16457"/>
  <c r="CD45" i="16457"/>
  <c r="CB45" i="16457"/>
  <c r="BZ45" i="16457"/>
  <c r="BX45" i="16457"/>
  <c r="BW47" i="16457"/>
  <c r="CU45" i="16457"/>
  <c r="CS45" i="16457"/>
  <c r="CQ45" i="16457"/>
  <c r="CO45" i="16457"/>
  <c r="CM45" i="16457"/>
  <c r="CK45" i="16457"/>
  <c r="CI45" i="16457"/>
  <c r="CG45" i="16457"/>
  <c r="CE45" i="16457"/>
  <c r="CC45" i="16457"/>
  <c r="CA45" i="16457"/>
  <c r="BY45" i="16457"/>
  <c r="BN113" i="16457"/>
  <c r="AN108" i="16460"/>
  <c r="AR81" i="16457"/>
  <c r="DD81" i="16457" s="1"/>
  <c r="AU57" i="16457"/>
  <c r="BF113" i="16457"/>
  <c r="AV113" i="16457"/>
  <c r="BK113" i="16457"/>
  <c r="AY113" i="16457"/>
  <c r="BK25" i="16457"/>
  <c r="DW25" i="16457" s="1"/>
  <c r="BC25" i="16457"/>
  <c r="DO25" i="16457" s="1"/>
  <c r="AU25" i="16457"/>
  <c r="DG25" i="16457" s="1"/>
  <c r="BD25" i="16457"/>
  <c r="DP25" i="16457" s="1"/>
  <c r="BN25" i="16457"/>
  <c r="DZ25" i="16457" s="1"/>
  <c r="AX25" i="16457"/>
  <c r="DJ25" i="16457" s="1"/>
  <c r="BN110" i="16457"/>
  <c r="DZ110" i="16457" s="1"/>
  <c r="BL110" i="16457"/>
  <c r="DX110" i="16457" s="1"/>
  <c r="BJ110" i="16457"/>
  <c r="DV110" i="16457" s="1"/>
  <c r="BH110" i="16457"/>
  <c r="DT110" i="16457" s="1"/>
  <c r="BF110" i="16457"/>
  <c r="DR110" i="16457" s="1"/>
  <c r="BD110" i="16457"/>
  <c r="DP110" i="16457" s="1"/>
  <c r="BB110" i="16457"/>
  <c r="DN110" i="16457" s="1"/>
  <c r="AZ110" i="16457"/>
  <c r="DL110" i="16457" s="1"/>
  <c r="AX110" i="16457"/>
  <c r="DJ110" i="16457" s="1"/>
  <c r="AV110" i="16457"/>
  <c r="DH110" i="16457" s="1"/>
  <c r="AT110" i="16457"/>
  <c r="DF110" i="16457" s="1"/>
  <c r="AR110" i="16457"/>
  <c r="DD110" i="16457" s="1"/>
  <c r="BO110" i="16457"/>
  <c r="EA110" i="16457" s="1"/>
  <c r="BM110" i="16457"/>
  <c r="DY110" i="16457" s="1"/>
  <c r="BK110" i="16457"/>
  <c r="DW110" i="16457" s="1"/>
  <c r="BI110" i="16457"/>
  <c r="DU110" i="16457" s="1"/>
  <c r="BG110" i="16457"/>
  <c r="DS110" i="16457" s="1"/>
  <c r="BE110" i="16457"/>
  <c r="DQ110" i="16457" s="1"/>
  <c r="BC110" i="16457"/>
  <c r="DO110" i="16457" s="1"/>
  <c r="BA110" i="16457"/>
  <c r="DM110" i="16457" s="1"/>
  <c r="AY110" i="16457"/>
  <c r="DK110" i="16457" s="1"/>
  <c r="AW110" i="16457"/>
  <c r="DI110" i="16457" s="1"/>
  <c r="AU110" i="16457"/>
  <c r="DG110" i="16457" s="1"/>
  <c r="AS110" i="16457"/>
  <c r="DE110" i="16457" s="1"/>
  <c r="BL14" i="16457"/>
  <c r="DX14" i="16457" s="1"/>
  <c r="BH14" i="16457"/>
  <c r="DT14" i="16457" s="1"/>
  <c r="BD14" i="16457"/>
  <c r="DP14" i="16457" s="1"/>
  <c r="AZ14" i="16457"/>
  <c r="DL14" i="16457" s="1"/>
  <c r="AV14" i="16457"/>
  <c r="DH14" i="16457" s="1"/>
  <c r="AR14" i="16457"/>
  <c r="DD14" i="16457" s="1"/>
  <c r="BM14" i="16457"/>
  <c r="DY14" i="16457" s="1"/>
  <c r="BI14" i="16457"/>
  <c r="DU14" i="16457" s="1"/>
  <c r="BE14" i="16457"/>
  <c r="DQ14" i="16457" s="1"/>
  <c r="BA14" i="16457"/>
  <c r="DM14" i="16457" s="1"/>
  <c r="AW14" i="16457"/>
  <c r="DI14" i="16457" s="1"/>
  <c r="AS14" i="16457"/>
  <c r="DE14" i="16457" s="1"/>
  <c r="N38" i="16506"/>
  <c r="N33" i="16506"/>
  <c r="K9" i="16460"/>
  <c r="F117" i="16457"/>
  <c r="AN107" i="16460"/>
  <c r="AR107" i="16460"/>
  <c r="M54" i="16460"/>
  <c r="K11" i="16461"/>
  <c r="M116" i="16460"/>
  <c r="M113" i="16460"/>
  <c r="L111" i="16460"/>
  <c r="K86" i="16460"/>
  <c r="M90" i="16460"/>
  <c r="M84" i="16460"/>
  <c r="L83" i="16460"/>
  <c r="M78" i="16460"/>
  <c r="M76" i="16460"/>
  <c r="M71" i="16460"/>
  <c r="M49" i="16460"/>
  <c r="M43" i="16460"/>
  <c r="M121" i="16460"/>
  <c r="M62" i="16460"/>
  <c r="M18" i="16460"/>
  <c r="CY31" i="16457"/>
  <c r="CW30" i="16457"/>
  <c r="AL30" i="16457" l="1"/>
  <c r="BR30" i="16457" s="1"/>
  <c r="AK34" i="16506"/>
  <c r="L258" i="16460"/>
  <c r="AU56" i="16457"/>
  <c r="DG57" i="16457"/>
  <c r="BM56" i="16457"/>
  <c r="DY57" i="16457"/>
  <c r="BW45" i="16457"/>
  <c r="BW130" i="16457" s="1"/>
  <c r="L256" i="16460"/>
  <c r="DV36" i="16506"/>
  <c r="DR36" i="16506"/>
  <c r="DN36" i="16506"/>
  <c r="DB36" i="16506"/>
  <c r="DT36" i="16506"/>
  <c r="DJ36" i="16506"/>
  <c r="DP36" i="16506"/>
  <c r="DH36" i="16506"/>
  <c r="AX21" i="16457"/>
  <c r="DJ21" i="16457" s="1"/>
  <c r="AX24" i="16457"/>
  <c r="BC21" i="16457"/>
  <c r="BC24" i="16457"/>
  <c r="BR26" i="16457"/>
  <c r="BN26" i="16457"/>
  <c r="BJ26" i="16457"/>
  <c r="BF26" i="16457"/>
  <c r="BB26" i="16457"/>
  <c r="AX26" i="16457"/>
  <c r="AT26" i="16457"/>
  <c r="BU26" i="16457"/>
  <c r="BQ26" i="16457"/>
  <c r="BM26" i="16457"/>
  <c r="BI26" i="16457"/>
  <c r="BE26" i="16457"/>
  <c r="BA26" i="16457"/>
  <c r="AW26" i="16457"/>
  <c r="AS26" i="16457"/>
  <c r="BT26" i="16457"/>
  <c r="BP26" i="16457"/>
  <c r="BL26" i="16457"/>
  <c r="BH26" i="16457"/>
  <c r="BD26" i="16457"/>
  <c r="AZ26" i="16457"/>
  <c r="AV26" i="16457"/>
  <c r="BS26" i="16457"/>
  <c r="BO26" i="16457"/>
  <c r="BK26" i="16457"/>
  <c r="BG26" i="16457"/>
  <c r="BC26" i="16457"/>
  <c r="AY26" i="16457"/>
  <c r="AU26" i="16457"/>
  <c r="BN21" i="16457"/>
  <c r="BN24" i="16457"/>
  <c r="BK21" i="16457"/>
  <c r="BK24" i="16457"/>
  <c r="BO21" i="16457"/>
  <c r="BO24" i="16457"/>
  <c r="BD21" i="16457"/>
  <c r="BD24" i="16457"/>
  <c r="AU21" i="16457"/>
  <c r="AU24" i="16457"/>
  <c r="CC130" i="16457"/>
  <c r="CK130" i="16457"/>
  <c r="CS130" i="16457"/>
  <c r="BZ130" i="16457"/>
  <c r="CH130" i="16457"/>
  <c r="CP130" i="16457"/>
  <c r="CY130" i="16457"/>
  <c r="CE130" i="16457"/>
  <c r="CM130" i="16457"/>
  <c r="CU130" i="16457"/>
  <c r="CB130" i="16457"/>
  <c r="CJ130" i="16457"/>
  <c r="CR130" i="16457"/>
  <c r="CV130" i="16457"/>
  <c r="BY130" i="16457"/>
  <c r="CG130" i="16457"/>
  <c r="CO130" i="16457"/>
  <c r="CD130" i="16457"/>
  <c r="CL130" i="16457"/>
  <c r="CT130" i="16457"/>
  <c r="CZ130" i="16457"/>
  <c r="CX130" i="16457"/>
  <c r="CA130" i="16457"/>
  <c r="CI130" i="16457"/>
  <c r="CQ130" i="16457"/>
  <c r="BX130" i="16457"/>
  <c r="CF130" i="16457"/>
  <c r="CN130" i="16457"/>
  <c r="CW130" i="16457"/>
  <c r="DA130" i="16457"/>
  <c r="CZ132" i="16457"/>
  <c r="CW132" i="16457"/>
  <c r="CX132" i="16457"/>
  <c r="CV132" i="16457"/>
  <c r="CY132" i="16457"/>
  <c r="DA132" i="16457"/>
  <c r="DA139" i="16457"/>
  <c r="DA162" i="16457" s="1"/>
  <c r="DA131" i="16457"/>
  <c r="CW139" i="16457"/>
  <c r="CW162" i="16457" s="1"/>
  <c r="CW131" i="16457"/>
  <c r="CX139" i="16457"/>
  <c r="CX162" i="16457" s="1"/>
  <c r="CX131" i="16457"/>
  <c r="CZ139" i="16457"/>
  <c r="CZ162" i="16457" s="1"/>
  <c r="CZ131" i="16457"/>
  <c r="CV139" i="16457"/>
  <c r="CV162" i="16457" s="1"/>
  <c r="CV131" i="16457"/>
  <c r="CY139" i="16457"/>
  <c r="CY162" i="16457" s="1"/>
  <c r="CY131" i="16457"/>
  <c r="AR108" i="16460"/>
  <c r="AT57" i="16457"/>
  <c r="BC57" i="16457"/>
  <c r="BB57" i="16457"/>
  <c r="BK57" i="16457"/>
  <c r="BJ57" i="16457"/>
  <c r="O101" i="16460"/>
  <c r="N62" i="16460"/>
  <c r="N50" i="16460"/>
  <c r="M15" i="16460"/>
  <c r="M70" i="16460"/>
  <c r="N55" i="16460"/>
  <c r="M44" i="16460"/>
  <c r="N73" i="16460"/>
  <c r="M81" i="16460"/>
  <c r="M258" i="16460" s="1"/>
  <c r="M85" i="16460"/>
  <c r="M83" i="16460" s="1"/>
  <c r="M114" i="16460"/>
  <c r="N63" i="16460"/>
  <c r="M120" i="16460"/>
  <c r="N64" i="16460"/>
  <c r="M77" i="16460"/>
  <c r="M257" i="16460" s="1"/>
  <c r="L9" i="16460"/>
  <c r="M94" i="16460"/>
  <c r="AN94" i="16460" s="1"/>
  <c r="N121" i="16460"/>
  <c r="L255" i="16460"/>
  <c r="M110" i="16460"/>
  <c r="M58" i="16460"/>
  <c r="M46" i="16460"/>
  <c r="M88" i="16460"/>
  <c r="M61" i="16460"/>
  <c r="M117" i="16460"/>
  <c r="M52" i="16460"/>
  <c r="M14" i="16460"/>
  <c r="M106" i="16460"/>
  <c r="N106" i="16460" s="1"/>
  <c r="O106" i="16460" s="1"/>
  <c r="P106" i="16460" s="1"/>
  <c r="Q106" i="16460" s="1"/>
  <c r="R106" i="16460" s="1"/>
  <c r="S106" i="16460" s="1"/>
  <c r="T106" i="16460" s="1"/>
  <c r="U106" i="16460" s="1"/>
  <c r="V106" i="16460" s="1"/>
  <c r="W106" i="16460" s="1"/>
  <c r="X106" i="16460" s="1"/>
  <c r="Y106" i="16460" s="1"/>
  <c r="Z106" i="16460" s="1"/>
  <c r="AA106" i="16460" s="1"/>
  <c r="AB106" i="16460" s="1"/>
  <c r="AC106" i="16460" s="1"/>
  <c r="AD106" i="16460" s="1"/>
  <c r="AE106" i="16460" s="1"/>
  <c r="AF106" i="16460" s="1"/>
  <c r="AG106" i="16460" s="1"/>
  <c r="AH106" i="16460" s="1"/>
  <c r="AI106" i="16460" s="1"/>
  <c r="AJ106" i="16460" s="1"/>
  <c r="AK106" i="16460" s="1"/>
  <c r="AL106" i="16460" s="1"/>
  <c r="L248" i="16460"/>
  <c r="AU14" i="16457"/>
  <c r="DG14" i="16457" s="1"/>
  <c r="BC14" i="16457"/>
  <c r="DO14" i="16457" s="1"/>
  <c r="BK14" i="16457"/>
  <c r="DW14" i="16457" s="1"/>
  <c r="AT14" i="16457"/>
  <c r="DF14" i="16457" s="1"/>
  <c r="BB14" i="16457"/>
  <c r="DN14" i="16457" s="1"/>
  <c r="BJ14" i="16457"/>
  <c r="DV14" i="16457" s="1"/>
  <c r="BF25" i="16457"/>
  <c r="DR25" i="16457" s="1"/>
  <c r="BL25" i="16457"/>
  <c r="DX25" i="16457" s="1"/>
  <c r="BG25" i="16457"/>
  <c r="DS25" i="16457" s="1"/>
  <c r="AX57" i="16457"/>
  <c r="BN57" i="16457"/>
  <c r="BG57" i="16457"/>
  <c r="DW36" i="16506"/>
  <c r="DS36" i="16506"/>
  <c r="DO36" i="16506"/>
  <c r="DK36" i="16506"/>
  <c r="DG36" i="16506"/>
  <c r="DC36" i="16506"/>
  <c r="AY14" i="16457"/>
  <c r="DK14" i="16457" s="1"/>
  <c r="BG14" i="16457"/>
  <c r="DS14" i="16457" s="1"/>
  <c r="BO14" i="16457"/>
  <c r="EA14" i="16457" s="1"/>
  <c r="AX14" i="16457"/>
  <c r="DJ14" i="16457" s="1"/>
  <c r="BF14" i="16457"/>
  <c r="DR14" i="16457" s="1"/>
  <c r="AV25" i="16457"/>
  <c r="DH25" i="16457" s="1"/>
  <c r="AY25" i="16457"/>
  <c r="DK25" i="16457" s="1"/>
  <c r="BF57" i="16457"/>
  <c r="AY57" i="16457"/>
  <c r="BO57" i="16457"/>
  <c r="DU36" i="16506"/>
  <c r="DQ36" i="16506"/>
  <c r="DM36" i="16506"/>
  <c r="DI36" i="16506"/>
  <c r="DE36" i="16506"/>
  <c r="DA36" i="16506"/>
  <c r="AU113" i="16457"/>
  <c r="BE113" i="16457"/>
  <c r="BO113" i="16457"/>
  <c r="BB113" i="16457"/>
  <c r="BL113" i="16457"/>
  <c r="AW113" i="16457"/>
  <c r="BC113" i="16457"/>
  <c r="BG113" i="16457"/>
  <c r="BM113" i="16457"/>
  <c r="AT113" i="16457"/>
  <c r="AX113" i="16457"/>
  <c r="BD113" i="16457"/>
  <c r="BJ113" i="16457"/>
  <c r="DB38" i="16506"/>
  <c r="L259" i="16460"/>
  <c r="M36" i="16460"/>
  <c r="M10" i="16460"/>
  <c r="BT77" i="16457"/>
  <c r="EF77" i="16457" s="1"/>
  <c r="BR77" i="16457"/>
  <c r="ED77" i="16457" s="1"/>
  <c r="BP77" i="16457"/>
  <c r="EB77" i="16457" s="1"/>
  <c r="BN77" i="16457"/>
  <c r="DZ77" i="16457" s="1"/>
  <c r="BL77" i="16457"/>
  <c r="DX77" i="16457" s="1"/>
  <c r="BJ77" i="16457"/>
  <c r="DV77" i="16457" s="1"/>
  <c r="BH77" i="16457"/>
  <c r="DT77" i="16457" s="1"/>
  <c r="BF77" i="16457"/>
  <c r="DR77" i="16457" s="1"/>
  <c r="BD77" i="16457"/>
  <c r="DP77" i="16457" s="1"/>
  <c r="BB77" i="16457"/>
  <c r="DN77" i="16457" s="1"/>
  <c r="AZ77" i="16457"/>
  <c r="DL77" i="16457" s="1"/>
  <c r="AX77" i="16457"/>
  <c r="DJ77" i="16457" s="1"/>
  <c r="AV77" i="16457"/>
  <c r="DH77" i="16457" s="1"/>
  <c r="AT77" i="16457"/>
  <c r="DF77" i="16457" s="1"/>
  <c r="AR77" i="16457"/>
  <c r="DD77" i="16457" s="1"/>
  <c r="BU77" i="16457"/>
  <c r="EG77" i="16457" s="1"/>
  <c r="BS77" i="16457"/>
  <c r="EE77" i="16457" s="1"/>
  <c r="BQ77" i="16457"/>
  <c r="EC77" i="16457" s="1"/>
  <c r="BO77" i="16457"/>
  <c r="EA77" i="16457" s="1"/>
  <c r="BM77" i="16457"/>
  <c r="DY77" i="16457" s="1"/>
  <c r="BK77" i="16457"/>
  <c r="DW77" i="16457" s="1"/>
  <c r="BI77" i="16457"/>
  <c r="DU77" i="16457" s="1"/>
  <c r="BG77" i="16457"/>
  <c r="DS77" i="16457" s="1"/>
  <c r="BE77" i="16457"/>
  <c r="DQ77" i="16457" s="1"/>
  <c r="BC77" i="16457"/>
  <c r="DO77" i="16457" s="1"/>
  <c r="BA77" i="16457"/>
  <c r="DM77" i="16457" s="1"/>
  <c r="AY77" i="16457"/>
  <c r="DK77" i="16457" s="1"/>
  <c r="AW77" i="16457"/>
  <c r="DI77" i="16457" s="1"/>
  <c r="AU77" i="16457"/>
  <c r="DG77" i="16457" s="1"/>
  <c r="AS77" i="16457"/>
  <c r="DE77" i="16457" s="1"/>
  <c r="DB8" i="16506"/>
  <c r="DF8" i="16506"/>
  <c r="DJ8" i="16506"/>
  <c r="DN8" i="16506"/>
  <c r="DR8" i="16506"/>
  <c r="DV8" i="16506"/>
  <c r="DZ8" i="16506"/>
  <c r="ED8" i="16506"/>
  <c r="DE8" i="16506"/>
  <c r="DI8" i="16506"/>
  <c r="DM8" i="16506"/>
  <c r="DQ8" i="16506"/>
  <c r="DU8" i="16506"/>
  <c r="DY8" i="16506"/>
  <c r="EC8" i="16506"/>
  <c r="DD8" i="16506"/>
  <c r="DH8" i="16506"/>
  <c r="DL8" i="16506"/>
  <c r="DP8" i="16506"/>
  <c r="DT8" i="16506"/>
  <c r="DX8" i="16506"/>
  <c r="EB8" i="16506"/>
  <c r="DC8" i="16506"/>
  <c r="DG8" i="16506"/>
  <c r="DK8" i="16506"/>
  <c r="DO8" i="16506"/>
  <c r="DS8" i="16506"/>
  <c r="DW8" i="16506"/>
  <c r="EA8" i="16506"/>
  <c r="DA8" i="16506"/>
  <c r="DC81" i="16506"/>
  <c r="DB81" i="16506"/>
  <c r="DA81" i="16506"/>
  <c r="BT78" i="16457"/>
  <c r="EF78" i="16457" s="1"/>
  <c r="BR78" i="16457"/>
  <c r="ED78" i="16457" s="1"/>
  <c r="BP78" i="16457"/>
  <c r="EB78" i="16457" s="1"/>
  <c r="BN78" i="16457"/>
  <c r="DZ78" i="16457" s="1"/>
  <c r="BL78" i="16457"/>
  <c r="DX78" i="16457" s="1"/>
  <c r="BJ78" i="16457"/>
  <c r="DV78" i="16457" s="1"/>
  <c r="BH78" i="16457"/>
  <c r="DT78" i="16457" s="1"/>
  <c r="BF78" i="16457"/>
  <c r="DR78" i="16457" s="1"/>
  <c r="BD78" i="16457"/>
  <c r="DP78" i="16457" s="1"/>
  <c r="BB78" i="16457"/>
  <c r="DN78" i="16457" s="1"/>
  <c r="AZ78" i="16457"/>
  <c r="DL78" i="16457" s="1"/>
  <c r="AX78" i="16457"/>
  <c r="DJ78" i="16457" s="1"/>
  <c r="AV78" i="16457"/>
  <c r="DH78" i="16457" s="1"/>
  <c r="AT78" i="16457"/>
  <c r="DF78" i="16457" s="1"/>
  <c r="AR78" i="16457"/>
  <c r="DD78" i="16457" s="1"/>
  <c r="BU78" i="16457"/>
  <c r="EG78" i="16457" s="1"/>
  <c r="BS78" i="16457"/>
  <c r="EE78" i="16457" s="1"/>
  <c r="BQ78" i="16457"/>
  <c r="EC78" i="16457" s="1"/>
  <c r="BO78" i="16457"/>
  <c r="EA78" i="16457" s="1"/>
  <c r="BM78" i="16457"/>
  <c r="DY78" i="16457" s="1"/>
  <c r="BK78" i="16457"/>
  <c r="DW78" i="16457" s="1"/>
  <c r="BI78" i="16457"/>
  <c r="DU78" i="16457" s="1"/>
  <c r="BG78" i="16457"/>
  <c r="DS78" i="16457" s="1"/>
  <c r="BE78" i="16457"/>
  <c r="DQ78" i="16457" s="1"/>
  <c r="BC78" i="16457"/>
  <c r="DO78" i="16457" s="1"/>
  <c r="BA78" i="16457"/>
  <c r="DM78" i="16457" s="1"/>
  <c r="AY78" i="16457"/>
  <c r="DK78" i="16457" s="1"/>
  <c r="AW78" i="16457"/>
  <c r="DI78" i="16457" s="1"/>
  <c r="AU78" i="16457"/>
  <c r="DG78" i="16457" s="1"/>
  <c r="AS78" i="16457"/>
  <c r="DE78" i="16457" s="1"/>
  <c r="H7" i="16506"/>
  <c r="DC9" i="16506"/>
  <c r="DG9" i="16506"/>
  <c r="DK9" i="16506"/>
  <c r="DO9" i="16506"/>
  <c r="DS9" i="16506"/>
  <c r="DW9" i="16506"/>
  <c r="EA9" i="16506"/>
  <c r="DA9" i="16506"/>
  <c r="DD9" i="16506"/>
  <c r="DH9" i="16506"/>
  <c r="DL9" i="16506"/>
  <c r="DP9" i="16506"/>
  <c r="DT9" i="16506"/>
  <c r="DX9" i="16506"/>
  <c r="EB9" i="16506"/>
  <c r="DE9" i="16506"/>
  <c r="DI9" i="16506"/>
  <c r="DM9" i="16506"/>
  <c r="DQ9" i="16506"/>
  <c r="DU9" i="16506"/>
  <c r="DY9" i="16506"/>
  <c r="EC9" i="16506"/>
  <c r="DB9" i="16506"/>
  <c r="DF9" i="16506"/>
  <c r="DJ9" i="16506"/>
  <c r="DN9" i="16506"/>
  <c r="DR9" i="16506"/>
  <c r="DV9" i="16506"/>
  <c r="DZ9" i="16506"/>
  <c r="ED9" i="16506"/>
  <c r="DA82" i="16506"/>
  <c r="DC82" i="16506"/>
  <c r="DB82" i="16506"/>
  <c r="EG77" i="16506"/>
  <c r="EF77" i="16506"/>
  <c r="EH77" i="16506"/>
  <c r="EI77" i="16506"/>
  <c r="EJ77" i="16506"/>
  <c r="EK77" i="16506"/>
  <c r="EM77" i="16506"/>
  <c r="EL77" i="16506"/>
  <c r="EO77" i="16506"/>
  <c r="EN77" i="16506"/>
  <c r="EP77" i="16506"/>
  <c r="EQ77" i="16506"/>
  <c r="ES77" i="16506"/>
  <c r="ER77" i="16506"/>
  <c r="ET77" i="16506"/>
  <c r="EU77" i="16506"/>
  <c r="EV77" i="16506"/>
  <c r="EW77" i="16506"/>
  <c r="EY77" i="16506"/>
  <c r="EX77" i="16506"/>
  <c r="EZ77" i="16506"/>
  <c r="FA77" i="16506"/>
  <c r="FB77" i="16506"/>
  <c r="FC77" i="16506"/>
  <c r="FD77" i="16506"/>
  <c r="FE77" i="16506"/>
  <c r="FF77" i="16506"/>
  <c r="FG77" i="16506"/>
  <c r="FH77" i="16506"/>
  <c r="FI77" i="16506"/>
  <c r="I39" i="16506"/>
  <c r="FA56" i="16506"/>
  <c r="FA55" i="16506" s="1"/>
  <c r="M248" i="16460"/>
  <c r="M68" i="16460"/>
  <c r="DX35" i="16506"/>
  <c r="DX34" i="16506"/>
  <c r="AR57" i="16457"/>
  <c r="AV57" i="16457"/>
  <c r="AZ57" i="16457"/>
  <c r="BD57" i="16457"/>
  <c r="BH57" i="16457"/>
  <c r="BL57" i="16457"/>
  <c r="AS57" i="16457"/>
  <c r="AW57" i="16457"/>
  <c r="BA57" i="16457"/>
  <c r="BE57" i="16457"/>
  <c r="BI57" i="16457"/>
  <c r="AT116" i="16457"/>
  <c r="AV116" i="16457"/>
  <c r="AX116" i="16457"/>
  <c r="AZ116" i="16457"/>
  <c r="BB116" i="16457"/>
  <c r="BD116" i="16457"/>
  <c r="BF116" i="16457"/>
  <c r="BH116" i="16457"/>
  <c r="BJ116" i="16457"/>
  <c r="BL116" i="16457"/>
  <c r="BN116" i="16457"/>
  <c r="BP116" i="16457"/>
  <c r="BR116" i="16457"/>
  <c r="BT116" i="16457"/>
  <c r="AR116" i="16457"/>
  <c r="AS116" i="16457"/>
  <c r="AU116" i="16457"/>
  <c r="AW116" i="16457"/>
  <c r="AY116" i="16457"/>
  <c r="BA116" i="16457"/>
  <c r="BC116" i="16457"/>
  <c r="BE116" i="16457"/>
  <c r="BG116" i="16457"/>
  <c r="BI116" i="16457"/>
  <c r="BK116" i="16457"/>
  <c r="BM116" i="16457"/>
  <c r="BO116" i="16457"/>
  <c r="BQ116" i="16457"/>
  <c r="BS116" i="16457"/>
  <c r="BU116" i="16457"/>
  <c r="FA53" i="16506"/>
  <c r="FA52" i="16506" s="1"/>
  <c r="FB53" i="16506"/>
  <c r="FB52" i="16506" s="1"/>
  <c r="FC53" i="16506"/>
  <c r="FC52" i="16506" s="1"/>
  <c r="FD53" i="16506"/>
  <c r="FD52" i="16506" s="1"/>
  <c r="FE53" i="16506"/>
  <c r="FE52" i="16506" s="1"/>
  <c r="FF53" i="16506"/>
  <c r="FF52" i="16506" s="1"/>
  <c r="FG53" i="16506"/>
  <c r="FG52" i="16506" s="1"/>
  <c r="FH53" i="16506"/>
  <c r="FH52" i="16506" s="1"/>
  <c r="FI53" i="16506"/>
  <c r="FI52" i="16506" s="1"/>
  <c r="FA21" i="16506"/>
  <c r="DV132" i="16506" s="1"/>
  <c r="FB21" i="16506"/>
  <c r="DW132" i="16506" s="1"/>
  <c r="FD21" i="16506"/>
  <c r="DY132" i="16506" s="1"/>
  <c r="FC21" i="16506"/>
  <c r="DX132" i="16506" s="1"/>
  <c r="FE21" i="16506"/>
  <c r="DZ132" i="16506" s="1"/>
  <c r="FF21" i="16506"/>
  <c r="EA132" i="16506" s="1"/>
  <c r="FG21" i="16506"/>
  <c r="EB132" i="16506" s="1"/>
  <c r="FI21" i="16506"/>
  <c r="ED132" i="16506" s="1"/>
  <c r="FH21" i="16506"/>
  <c r="EC132" i="16506" s="1"/>
  <c r="FA46" i="16506"/>
  <c r="FA45" i="16506" s="1"/>
  <c r="FB46" i="16506"/>
  <c r="FB45" i="16506" s="1"/>
  <c r="FC46" i="16506"/>
  <c r="FC45" i="16506" s="1"/>
  <c r="FE46" i="16506"/>
  <c r="FE45" i="16506" s="1"/>
  <c r="FD46" i="16506"/>
  <c r="FD45" i="16506" s="1"/>
  <c r="FF46" i="16506"/>
  <c r="FF45" i="16506" s="1"/>
  <c r="FG46" i="16506"/>
  <c r="FH46" i="16506"/>
  <c r="FH45" i="16506" s="1"/>
  <c r="FI46" i="16506"/>
  <c r="DX121" i="16506"/>
  <c r="DV121" i="16506"/>
  <c r="DT121" i="16506"/>
  <c r="DR121" i="16506"/>
  <c r="DP121" i="16506"/>
  <c r="DN121" i="16506"/>
  <c r="DL121" i="16506"/>
  <c r="DJ121" i="16506"/>
  <c r="DH121" i="16506"/>
  <c r="DF121" i="16506"/>
  <c r="DD121" i="16506"/>
  <c r="DB121" i="16506"/>
  <c r="ED121" i="16506"/>
  <c r="DW121" i="16506"/>
  <c r="DU121" i="16506"/>
  <c r="DS121" i="16506"/>
  <c r="DQ121" i="16506"/>
  <c r="DO121" i="16506"/>
  <c r="DM121" i="16506"/>
  <c r="DK121" i="16506"/>
  <c r="DI121" i="16506"/>
  <c r="DG121" i="16506"/>
  <c r="DE121" i="16506"/>
  <c r="DC121" i="16506"/>
  <c r="DA121" i="16506"/>
  <c r="AS117" i="16457"/>
  <c r="AU117" i="16457"/>
  <c r="AW117" i="16457"/>
  <c r="AY117" i="16457"/>
  <c r="BA117" i="16457"/>
  <c r="BC117" i="16457"/>
  <c r="BE117" i="16457"/>
  <c r="BG117" i="16457"/>
  <c r="BI117" i="16457"/>
  <c r="BK117" i="16457"/>
  <c r="BM117" i="16457"/>
  <c r="BO117" i="16457"/>
  <c r="BQ117" i="16457"/>
  <c r="BS117" i="16457"/>
  <c r="BU117" i="16457"/>
  <c r="AT117" i="16457"/>
  <c r="AV117" i="16457"/>
  <c r="AX117" i="16457"/>
  <c r="AZ117" i="16457"/>
  <c r="BB117" i="16457"/>
  <c r="BD117" i="16457"/>
  <c r="BF117" i="16457"/>
  <c r="BH117" i="16457"/>
  <c r="BJ117" i="16457"/>
  <c r="BL117" i="16457"/>
  <c r="BN117" i="16457"/>
  <c r="BP117" i="16457"/>
  <c r="BR117" i="16457"/>
  <c r="BT117" i="16457"/>
  <c r="AR117" i="16457"/>
  <c r="FA19" i="16506"/>
  <c r="FB19" i="16506"/>
  <c r="FC19" i="16506"/>
  <c r="FD19" i="16506"/>
  <c r="FE19" i="16506"/>
  <c r="FF19" i="16506"/>
  <c r="FG19" i="16506"/>
  <c r="FH19" i="16506"/>
  <c r="FI19" i="16506"/>
  <c r="FA50" i="16506"/>
  <c r="FB50" i="16506"/>
  <c r="FC50" i="16506"/>
  <c r="FE50" i="16506"/>
  <c r="FD50" i="16506"/>
  <c r="FF50" i="16506"/>
  <c r="FG50" i="16506"/>
  <c r="FH50" i="16506"/>
  <c r="FI50" i="16506"/>
  <c r="FA20" i="16506"/>
  <c r="FB20" i="16506"/>
  <c r="FC20" i="16506"/>
  <c r="FD20" i="16506"/>
  <c r="FE20" i="16506"/>
  <c r="FF20" i="16506"/>
  <c r="FG20" i="16506"/>
  <c r="FH20" i="16506"/>
  <c r="FI20" i="16506"/>
  <c r="FA48" i="16506"/>
  <c r="FA47" i="16506" s="1"/>
  <c r="FB48" i="16506"/>
  <c r="FB47" i="16506" s="1"/>
  <c r="FC48" i="16506"/>
  <c r="FC47" i="16506" s="1"/>
  <c r="FD48" i="16506"/>
  <c r="FD47" i="16506" s="1"/>
  <c r="FE48" i="16506"/>
  <c r="FE47" i="16506" s="1"/>
  <c r="FF48" i="16506"/>
  <c r="FF47" i="16506" s="1"/>
  <c r="FG48" i="16506"/>
  <c r="FG47" i="16506" s="1"/>
  <c r="FH48" i="16506"/>
  <c r="FH47" i="16506" s="1"/>
  <c r="FI48" i="16506"/>
  <c r="FI47" i="16506" s="1"/>
  <c r="EG53" i="16506"/>
  <c r="EG52" i="16506" s="1"/>
  <c r="EH53" i="16506"/>
  <c r="EH52" i="16506" s="1"/>
  <c r="EI53" i="16506"/>
  <c r="EI52" i="16506" s="1"/>
  <c r="EJ53" i="16506"/>
  <c r="EJ52" i="16506" s="1"/>
  <c r="EK53" i="16506"/>
  <c r="EK52" i="16506" s="1"/>
  <c r="EL53" i="16506"/>
  <c r="EL52" i="16506" s="1"/>
  <c r="EM53" i="16506"/>
  <c r="EM52" i="16506" s="1"/>
  <c r="EN53" i="16506"/>
  <c r="EN52" i="16506" s="1"/>
  <c r="EO53" i="16506"/>
  <c r="EO52" i="16506" s="1"/>
  <c r="AS33" i="16506"/>
  <c r="DC33" i="16506" s="1"/>
  <c r="AS38" i="16506"/>
  <c r="DC38" i="16506" s="1"/>
  <c r="BQ109" i="16457"/>
  <c r="BS109" i="16457"/>
  <c r="BU109" i="16457"/>
  <c r="BP109" i="16457"/>
  <c r="BR109" i="16457"/>
  <c r="BT109" i="16457"/>
  <c r="BQ16" i="16457"/>
  <c r="EC16" i="16457" s="1"/>
  <c r="BS16" i="16457"/>
  <c r="EE16" i="16457" s="1"/>
  <c r="BU16" i="16457"/>
  <c r="EG16" i="16457" s="1"/>
  <c r="BP16" i="16457"/>
  <c r="EB16" i="16457" s="1"/>
  <c r="BR16" i="16457"/>
  <c r="ED16" i="16457" s="1"/>
  <c r="BT16" i="16457"/>
  <c r="EF16" i="16457" s="1"/>
  <c r="BP30" i="16457"/>
  <c r="EB30" i="16457" s="1"/>
  <c r="BQ30" i="16457"/>
  <c r="EC30" i="16457" s="1"/>
  <c r="BQ42" i="16457"/>
  <c r="BS42" i="16457"/>
  <c r="BU42" i="16457"/>
  <c r="BP42" i="16457"/>
  <c r="BR42" i="16457"/>
  <c r="BT42" i="16457"/>
  <c r="AS31" i="16457"/>
  <c r="BQ31" i="16457"/>
  <c r="EC31" i="16457" s="1"/>
  <c r="BP31" i="16457"/>
  <c r="EB31" i="16457" s="1"/>
  <c r="AT8" i="16457"/>
  <c r="DF8" i="16457" s="1"/>
  <c r="AV8" i="16457"/>
  <c r="DH8" i="16457" s="1"/>
  <c r="AX8" i="16457"/>
  <c r="DJ8" i="16457" s="1"/>
  <c r="AZ8" i="16457"/>
  <c r="DL8" i="16457" s="1"/>
  <c r="BB8" i="16457"/>
  <c r="DN8" i="16457" s="1"/>
  <c r="BD8" i="16457"/>
  <c r="DP8" i="16457" s="1"/>
  <c r="BF8" i="16457"/>
  <c r="DR8" i="16457" s="1"/>
  <c r="BH8" i="16457"/>
  <c r="DT8" i="16457" s="1"/>
  <c r="BJ8" i="16457"/>
  <c r="DV8" i="16457" s="1"/>
  <c r="BL8" i="16457"/>
  <c r="DX8" i="16457" s="1"/>
  <c r="BN8" i="16457"/>
  <c r="DZ8" i="16457" s="1"/>
  <c r="BP8" i="16457"/>
  <c r="EB8" i="16457" s="1"/>
  <c r="BR8" i="16457"/>
  <c r="ED8" i="16457" s="1"/>
  <c r="BT8" i="16457"/>
  <c r="EF8" i="16457" s="1"/>
  <c r="AR8" i="16457"/>
  <c r="DD8" i="16457" s="1"/>
  <c r="AS8" i="16457"/>
  <c r="DE8" i="16457" s="1"/>
  <c r="AU8" i="16457"/>
  <c r="DG8" i="16457" s="1"/>
  <c r="AW8" i="16457"/>
  <c r="DI8" i="16457" s="1"/>
  <c r="AY8" i="16457"/>
  <c r="DK8" i="16457" s="1"/>
  <c r="BA8" i="16457"/>
  <c r="DM8" i="16457" s="1"/>
  <c r="BC8" i="16457"/>
  <c r="DO8" i="16457" s="1"/>
  <c r="BE8" i="16457"/>
  <c r="DQ8" i="16457" s="1"/>
  <c r="BG8" i="16457"/>
  <c r="DS8" i="16457" s="1"/>
  <c r="BI8" i="16457"/>
  <c r="DU8" i="16457" s="1"/>
  <c r="BK8" i="16457"/>
  <c r="DW8" i="16457" s="1"/>
  <c r="BM8" i="16457"/>
  <c r="DY8" i="16457" s="1"/>
  <c r="BO8" i="16457"/>
  <c r="EA8" i="16457" s="1"/>
  <c r="BQ8" i="16457"/>
  <c r="EC8" i="16457" s="1"/>
  <c r="BS8" i="16457"/>
  <c r="EE8" i="16457" s="1"/>
  <c r="BU8" i="16457"/>
  <c r="EG8" i="16457" s="1"/>
  <c r="EF19" i="16506"/>
  <c r="EG19" i="16506"/>
  <c r="EI19" i="16506"/>
  <c r="EH19" i="16506"/>
  <c r="EL19" i="16506"/>
  <c r="EK19" i="16506"/>
  <c r="EJ19" i="16506"/>
  <c r="EM19" i="16506"/>
  <c r="EN19" i="16506"/>
  <c r="EO19" i="16506"/>
  <c r="EP19" i="16506"/>
  <c r="EQ19" i="16506"/>
  <c r="ER19" i="16506"/>
  <c r="ES19" i="16506"/>
  <c r="ET19" i="16506"/>
  <c r="EU19" i="16506"/>
  <c r="EV19" i="16506"/>
  <c r="EW19" i="16506"/>
  <c r="EX19" i="16506"/>
  <c r="EY19" i="16506"/>
  <c r="EZ19" i="16506"/>
  <c r="EF50" i="16506"/>
  <c r="EI50" i="16506"/>
  <c r="EH50" i="16506"/>
  <c r="EG50" i="16506"/>
  <c r="EJ50" i="16506"/>
  <c r="EK50" i="16506"/>
  <c r="EM50" i="16506"/>
  <c r="EL50" i="16506"/>
  <c r="EN50" i="16506"/>
  <c r="EO50" i="16506"/>
  <c r="EP50" i="16506"/>
  <c r="EQ50" i="16506"/>
  <c r="ER50" i="16506"/>
  <c r="ES50" i="16506"/>
  <c r="ET50" i="16506"/>
  <c r="EU50" i="16506"/>
  <c r="EV50" i="16506"/>
  <c r="EW50" i="16506"/>
  <c r="EX50" i="16506"/>
  <c r="EY50" i="16506"/>
  <c r="EZ50" i="16506"/>
  <c r="EF20" i="16506"/>
  <c r="EG20" i="16506"/>
  <c r="EH20" i="16506"/>
  <c r="EI20" i="16506"/>
  <c r="EJ20" i="16506"/>
  <c r="EK20" i="16506"/>
  <c r="EL20" i="16506"/>
  <c r="EM20" i="16506"/>
  <c r="EN20" i="16506"/>
  <c r="EO20" i="16506"/>
  <c r="EP20" i="16506"/>
  <c r="EQ20" i="16506"/>
  <c r="ER20" i="16506"/>
  <c r="ES20" i="16506"/>
  <c r="ET20" i="16506"/>
  <c r="EU20" i="16506"/>
  <c r="EV20" i="16506"/>
  <c r="EW20" i="16506"/>
  <c r="EX20" i="16506"/>
  <c r="EY20" i="16506"/>
  <c r="EZ20" i="16506"/>
  <c r="EF53" i="16506"/>
  <c r="EF52" i="16506" s="1"/>
  <c r="EP53" i="16506"/>
  <c r="EP52" i="16506" s="1"/>
  <c r="EQ53" i="16506"/>
  <c r="EQ52" i="16506" s="1"/>
  <c r="ER53" i="16506"/>
  <c r="ER52" i="16506" s="1"/>
  <c r="ES53" i="16506"/>
  <c r="ES52" i="16506" s="1"/>
  <c r="ET53" i="16506"/>
  <c r="ET52" i="16506" s="1"/>
  <c r="EU53" i="16506"/>
  <c r="EU52" i="16506" s="1"/>
  <c r="EV53" i="16506"/>
  <c r="EV52" i="16506" s="1"/>
  <c r="EW53" i="16506"/>
  <c r="EW52" i="16506" s="1"/>
  <c r="EX53" i="16506"/>
  <c r="EX52" i="16506" s="1"/>
  <c r="EY53" i="16506"/>
  <c r="EY52" i="16506" s="1"/>
  <c r="EZ53" i="16506"/>
  <c r="EZ52" i="16506" s="1"/>
  <c r="ED18" i="16506"/>
  <c r="DC18" i="16506"/>
  <c r="DK18" i="16506"/>
  <c r="DS18" i="16506"/>
  <c r="DE18" i="16506"/>
  <c r="DM18" i="16506"/>
  <c r="DU18" i="16506"/>
  <c r="DX18" i="16506"/>
  <c r="DB18" i="16506"/>
  <c r="DJ18" i="16506"/>
  <c r="DR18" i="16506"/>
  <c r="DA18" i="16506"/>
  <c r="DH18" i="16506"/>
  <c r="DP18" i="16506"/>
  <c r="DG18" i="16506"/>
  <c r="DO18" i="16506"/>
  <c r="DW18" i="16506"/>
  <c r="DI18" i="16506"/>
  <c r="DQ18" i="16506"/>
  <c r="DF18" i="16506"/>
  <c r="DN18" i="16506"/>
  <c r="DV18" i="16506"/>
  <c r="DD18" i="16506"/>
  <c r="DL18" i="16506"/>
  <c r="DT18" i="16506"/>
  <c r="ED51" i="16506"/>
  <c r="ED49" i="16506" s="1"/>
  <c r="DU51" i="16506"/>
  <c r="DU49" i="16506" s="1"/>
  <c r="DQ51" i="16506"/>
  <c r="DQ49" i="16506" s="1"/>
  <c r="DM51" i="16506"/>
  <c r="DM49" i="16506" s="1"/>
  <c r="DI51" i="16506"/>
  <c r="DI49" i="16506" s="1"/>
  <c r="DE51" i="16506"/>
  <c r="DE49" i="16506" s="1"/>
  <c r="DA51" i="16506"/>
  <c r="DA49" i="16506" s="1"/>
  <c r="DH51" i="16506"/>
  <c r="DH49" i="16506" s="1"/>
  <c r="DP51" i="16506"/>
  <c r="DP49" i="16506" s="1"/>
  <c r="DX51" i="16506"/>
  <c r="DX49" i="16506" s="1"/>
  <c r="DF51" i="16506"/>
  <c r="DF49" i="16506" s="1"/>
  <c r="DN51" i="16506"/>
  <c r="DN49" i="16506" s="1"/>
  <c r="DV51" i="16506"/>
  <c r="DV49" i="16506" s="1"/>
  <c r="DW51" i="16506"/>
  <c r="DW49" i="16506" s="1"/>
  <c r="DS51" i="16506"/>
  <c r="DS49" i="16506" s="1"/>
  <c r="DO51" i="16506"/>
  <c r="DO49" i="16506" s="1"/>
  <c r="DK51" i="16506"/>
  <c r="DK49" i="16506" s="1"/>
  <c r="DG51" i="16506"/>
  <c r="DG49" i="16506" s="1"/>
  <c r="DC51" i="16506"/>
  <c r="DC49" i="16506" s="1"/>
  <c r="DD51" i="16506"/>
  <c r="DD49" i="16506" s="1"/>
  <c r="DL51" i="16506"/>
  <c r="DL49" i="16506" s="1"/>
  <c r="DT51" i="16506"/>
  <c r="DT49" i="16506" s="1"/>
  <c r="DB51" i="16506"/>
  <c r="DB49" i="16506" s="1"/>
  <c r="DJ51" i="16506"/>
  <c r="DJ49" i="16506" s="1"/>
  <c r="DR51" i="16506"/>
  <c r="DR49" i="16506" s="1"/>
  <c r="DB39" i="16506"/>
  <c r="DA39" i="16506"/>
  <c r="DC39" i="16506"/>
  <c r="DD39" i="16506"/>
  <c r="DE39" i="16506"/>
  <c r="DF39" i="16506"/>
  <c r="DG39" i="16506"/>
  <c r="DH39" i="16506"/>
  <c r="DI39" i="16506"/>
  <c r="DJ39" i="16506"/>
  <c r="DK39" i="16506"/>
  <c r="DL39" i="16506"/>
  <c r="DN39" i="16506"/>
  <c r="DM39" i="16506"/>
  <c r="DO39" i="16506"/>
  <c r="DP39" i="16506"/>
  <c r="DQ39" i="16506"/>
  <c r="DR39" i="16506"/>
  <c r="DS39" i="16506"/>
  <c r="DT39" i="16506"/>
  <c r="DV39" i="16506"/>
  <c r="DU39" i="16506"/>
  <c r="DW39" i="16506"/>
  <c r="DA28" i="16506"/>
  <c r="DA27" i="16506" s="1"/>
  <c r="DB28" i="16506"/>
  <c r="DB27" i="16506" s="1"/>
  <c r="DC28" i="16506"/>
  <c r="DC27" i="16506" s="1"/>
  <c r="DD28" i="16506"/>
  <c r="DD27" i="16506" s="1"/>
  <c r="DF28" i="16506"/>
  <c r="DF27" i="16506" s="1"/>
  <c r="DE28" i="16506"/>
  <c r="DE27" i="16506" s="1"/>
  <c r="DG28" i="16506"/>
  <c r="DG27" i="16506" s="1"/>
  <c r="DH28" i="16506"/>
  <c r="DH27" i="16506" s="1"/>
  <c r="DI28" i="16506"/>
  <c r="DI27" i="16506" s="1"/>
  <c r="DJ28" i="16506"/>
  <c r="DJ27" i="16506" s="1"/>
  <c r="DK28" i="16506"/>
  <c r="DK27" i="16506" s="1"/>
  <c r="DL28" i="16506"/>
  <c r="DL27" i="16506" s="1"/>
  <c r="DM28" i="16506"/>
  <c r="DM27" i="16506" s="1"/>
  <c r="DN28" i="16506"/>
  <c r="DN27" i="16506" s="1"/>
  <c r="DO28" i="16506"/>
  <c r="DO27" i="16506" s="1"/>
  <c r="DP28" i="16506"/>
  <c r="DP27" i="16506" s="1"/>
  <c r="DQ28" i="16506"/>
  <c r="DQ27" i="16506" s="1"/>
  <c r="DR28" i="16506"/>
  <c r="DR27" i="16506" s="1"/>
  <c r="DT28" i="16506"/>
  <c r="DT27" i="16506" s="1"/>
  <c r="DS28" i="16506"/>
  <c r="DS27" i="16506" s="1"/>
  <c r="DU28" i="16506"/>
  <c r="DU27" i="16506" s="1"/>
  <c r="DV28" i="16506"/>
  <c r="DV27" i="16506" s="1"/>
  <c r="DW28" i="16506"/>
  <c r="DW27" i="16506" s="1"/>
  <c r="DX28" i="16506"/>
  <c r="DX27" i="16506" s="1"/>
  <c r="ED28" i="16506"/>
  <c r="ED27" i="16506" s="1"/>
  <c r="BP25" i="16457"/>
  <c r="EB25" i="16457" s="1"/>
  <c r="BQ25" i="16457"/>
  <c r="EC25" i="16457" s="1"/>
  <c r="BR25" i="16457"/>
  <c r="ED25" i="16457" s="1"/>
  <c r="BS25" i="16457"/>
  <c r="EE25" i="16457" s="1"/>
  <c r="BT25" i="16457"/>
  <c r="EF25" i="16457" s="1"/>
  <c r="BU25" i="16457"/>
  <c r="EG25" i="16457" s="1"/>
  <c r="ED17" i="16506"/>
  <c r="DJ17" i="16506"/>
  <c r="DR17" i="16506"/>
  <c r="DD17" i="16506"/>
  <c r="DL17" i="16506"/>
  <c r="DT17" i="16506"/>
  <c r="DI17" i="16506"/>
  <c r="DQ17" i="16506"/>
  <c r="DB17" i="16506"/>
  <c r="DG17" i="16506"/>
  <c r="DO17" i="16506"/>
  <c r="DW17" i="16506"/>
  <c r="DF17" i="16506"/>
  <c r="DN17" i="16506"/>
  <c r="DV17" i="16506"/>
  <c r="DH17" i="16506"/>
  <c r="DP17" i="16506"/>
  <c r="DX17" i="16506"/>
  <c r="DE17" i="16506"/>
  <c r="DM17" i="16506"/>
  <c r="DU17" i="16506"/>
  <c r="DC17" i="16506"/>
  <c r="DK17" i="16506"/>
  <c r="DS17" i="16506"/>
  <c r="DA17" i="16506"/>
  <c r="DV61" i="16506"/>
  <c r="DV60" i="16506" s="1"/>
  <c r="ED61" i="16506"/>
  <c r="ED60" i="16506" s="1"/>
  <c r="DT61" i="16506"/>
  <c r="DT60" i="16506" s="1"/>
  <c r="DH61" i="16506"/>
  <c r="DH60" i="16506" s="1"/>
  <c r="DO61" i="16506"/>
  <c r="DO60" i="16506" s="1"/>
  <c r="DW61" i="16506"/>
  <c r="DW60" i="16506" s="1"/>
  <c r="DM61" i="16506"/>
  <c r="DM60" i="16506" s="1"/>
  <c r="DD61" i="16506"/>
  <c r="DD60" i="16506" s="1"/>
  <c r="DR61" i="16506"/>
  <c r="DR60" i="16506" s="1"/>
  <c r="DF61" i="16506"/>
  <c r="DF60" i="16506" s="1"/>
  <c r="DX61" i="16506"/>
  <c r="DX60" i="16506" s="1"/>
  <c r="DQ61" i="16506"/>
  <c r="DQ60" i="16506" s="1"/>
  <c r="DK61" i="16506"/>
  <c r="DK60" i="16506" s="1"/>
  <c r="DJ61" i="16506"/>
  <c r="DJ60" i="16506" s="1"/>
  <c r="DB61" i="16506"/>
  <c r="DB60" i="16506" s="1"/>
  <c r="DA61" i="16506"/>
  <c r="DA60" i="16506" s="1"/>
  <c r="DC61" i="16506"/>
  <c r="DC60" i="16506" s="1"/>
  <c r="DS61" i="16506"/>
  <c r="DS60" i="16506" s="1"/>
  <c r="DG61" i="16506"/>
  <c r="DG60" i="16506" s="1"/>
  <c r="DL61" i="16506"/>
  <c r="DL60" i="16506" s="1"/>
  <c r="DN61" i="16506"/>
  <c r="DN60" i="16506" s="1"/>
  <c r="DI61" i="16506"/>
  <c r="DI60" i="16506" s="1"/>
  <c r="DU61" i="16506"/>
  <c r="DU60" i="16506" s="1"/>
  <c r="DE61" i="16506"/>
  <c r="DE60" i="16506" s="1"/>
  <c r="DP61" i="16506"/>
  <c r="DP60" i="16506" s="1"/>
  <c r="DO45" i="16506"/>
  <c r="DE45" i="16506"/>
  <c r="DA45" i="16506"/>
  <c r="DQ45" i="16506"/>
  <c r="DT45" i="16506"/>
  <c r="DF45" i="16506"/>
  <c r="DI45" i="16506"/>
  <c r="DC45" i="16506"/>
  <c r="DD45" i="16506"/>
  <c r="DG45" i="16506"/>
  <c r="DH16" i="16506"/>
  <c r="DP16" i="16506"/>
  <c r="DX16" i="16506"/>
  <c r="DB16" i="16506"/>
  <c r="DJ16" i="16506"/>
  <c r="DR16" i="16506"/>
  <c r="DU16" i="16506"/>
  <c r="DQ16" i="16506"/>
  <c r="DM16" i="16506"/>
  <c r="DI16" i="16506"/>
  <c r="DE16" i="16506"/>
  <c r="DD16" i="16506"/>
  <c r="DL16" i="16506"/>
  <c r="DT16" i="16506"/>
  <c r="DA16" i="16506"/>
  <c r="DF16" i="16506"/>
  <c r="DN16" i="16506"/>
  <c r="DV16" i="16506"/>
  <c r="DW16" i="16506"/>
  <c r="DS16" i="16506"/>
  <c r="DO16" i="16506"/>
  <c r="DK16" i="16506"/>
  <c r="DG16" i="16506"/>
  <c r="DC16" i="16506"/>
  <c r="ED16" i="16506"/>
  <c r="DA56" i="16506"/>
  <c r="DC56" i="16506"/>
  <c r="DC55" i="16506" s="1"/>
  <c r="DG56" i="16506"/>
  <c r="DG55" i="16506" s="1"/>
  <c r="DK56" i="16506"/>
  <c r="DK55" i="16506" s="1"/>
  <c r="DO56" i="16506"/>
  <c r="DO55" i="16506" s="1"/>
  <c r="DS56" i="16506"/>
  <c r="DS55" i="16506" s="1"/>
  <c r="DW56" i="16506"/>
  <c r="DW55" i="16506" s="1"/>
  <c r="ED56" i="16506"/>
  <c r="ED55" i="16506" s="1"/>
  <c r="DX56" i="16506"/>
  <c r="DX55" i="16506" s="1"/>
  <c r="DB56" i="16506"/>
  <c r="DB55" i="16506" s="1"/>
  <c r="DF56" i="16506"/>
  <c r="DF55" i="16506" s="1"/>
  <c r="DJ56" i="16506"/>
  <c r="DJ55" i="16506" s="1"/>
  <c r="DN56" i="16506"/>
  <c r="DN55" i="16506" s="1"/>
  <c r="DR56" i="16506"/>
  <c r="DR55" i="16506" s="1"/>
  <c r="DV56" i="16506"/>
  <c r="DV55" i="16506" s="1"/>
  <c r="DE56" i="16506"/>
  <c r="DE55" i="16506" s="1"/>
  <c r="DI56" i="16506"/>
  <c r="DI55" i="16506" s="1"/>
  <c r="DM56" i="16506"/>
  <c r="DM55" i="16506" s="1"/>
  <c r="DQ56" i="16506"/>
  <c r="DQ55" i="16506" s="1"/>
  <c r="DU56" i="16506"/>
  <c r="DU55" i="16506" s="1"/>
  <c r="DD56" i="16506"/>
  <c r="DD55" i="16506" s="1"/>
  <c r="DH56" i="16506"/>
  <c r="DH55" i="16506" s="1"/>
  <c r="DL56" i="16506"/>
  <c r="DL55" i="16506" s="1"/>
  <c r="DP56" i="16506"/>
  <c r="DP55" i="16506" s="1"/>
  <c r="DT56" i="16506"/>
  <c r="DT55" i="16506" s="1"/>
  <c r="BR31" i="16457"/>
  <c r="ED31" i="16457" s="1"/>
  <c r="H47" i="16506"/>
  <c r="BQ18" i="16457"/>
  <c r="EC18" i="16457" s="1"/>
  <c r="BS18" i="16457"/>
  <c r="EE18" i="16457" s="1"/>
  <c r="BU18" i="16457"/>
  <c r="EG18" i="16457" s="1"/>
  <c r="BP18" i="16457"/>
  <c r="EB18" i="16457" s="1"/>
  <c r="BR18" i="16457"/>
  <c r="ED18" i="16457" s="1"/>
  <c r="BT18" i="16457"/>
  <c r="EF18" i="16457" s="1"/>
  <c r="BQ52" i="16457"/>
  <c r="BS52" i="16457"/>
  <c r="BU52" i="16457"/>
  <c r="BP52" i="16457"/>
  <c r="BR52" i="16457"/>
  <c r="BT52" i="16457"/>
  <c r="BQ59" i="16457"/>
  <c r="EC59" i="16457" s="1"/>
  <c r="BS59" i="16457"/>
  <c r="EE59" i="16457" s="1"/>
  <c r="BU59" i="16457"/>
  <c r="EG59" i="16457" s="1"/>
  <c r="BP59" i="16457"/>
  <c r="BR59" i="16457"/>
  <c r="ED59" i="16457" s="1"/>
  <c r="BT59" i="16457"/>
  <c r="EF59" i="16457" s="1"/>
  <c r="BQ49" i="16457"/>
  <c r="BS49" i="16457"/>
  <c r="BU49" i="16457"/>
  <c r="BP49" i="16457"/>
  <c r="BR49" i="16457"/>
  <c r="BT49" i="16457"/>
  <c r="BQ46" i="16457"/>
  <c r="EC46" i="16457" s="1"/>
  <c r="BS46" i="16457"/>
  <c r="EE46" i="16457" s="1"/>
  <c r="BU46" i="16457"/>
  <c r="EG46" i="16457" s="1"/>
  <c r="BP46" i="16457"/>
  <c r="EB46" i="16457" s="1"/>
  <c r="BR46" i="16457"/>
  <c r="ED46" i="16457" s="1"/>
  <c r="BT46" i="16457"/>
  <c r="EF46" i="16457" s="1"/>
  <c r="BQ43" i="16457"/>
  <c r="EC43" i="16457" s="1"/>
  <c r="BS43" i="16457"/>
  <c r="EE43" i="16457" s="1"/>
  <c r="BU43" i="16457"/>
  <c r="EG43" i="16457" s="1"/>
  <c r="BP43" i="16457"/>
  <c r="EB43" i="16457" s="1"/>
  <c r="BR43" i="16457"/>
  <c r="ED43" i="16457" s="1"/>
  <c r="BT43" i="16457"/>
  <c r="EF43" i="16457" s="1"/>
  <c r="BQ17" i="16457"/>
  <c r="EC17" i="16457" s="1"/>
  <c r="BS17" i="16457"/>
  <c r="EE17" i="16457" s="1"/>
  <c r="BU17" i="16457"/>
  <c r="EG17" i="16457" s="1"/>
  <c r="BP17" i="16457"/>
  <c r="EB17" i="16457" s="1"/>
  <c r="BR17" i="16457"/>
  <c r="ED17" i="16457" s="1"/>
  <c r="BT17" i="16457"/>
  <c r="EF17" i="16457" s="1"/>
  <c r="BQ47" i="16457"/>
  <c r="EC47" i="16457" s="1"/>
  <c r="BS47" i="16457"/>
  <c r="EE47" i="16457" s="1"/>
  <c r="BU47" i="16457"/>
  <c r="EG47" i="16457" s="1"/>
  <c r="BQ113" i="16457"/>
  <c r="EC113" i="16457" s="1"/>
  <c r="BS113" i="16457"/>
  <c r="EE113" i="16457" s="1"/>
  <c r="BU113" i="16457"/>
  <c r="EG113" i="16457" s="1"/>
  <c r="BP47" i="16457"/>
  <c r="EB47" i="16457" s="1"/>
  <c r="BR47" i="16457"/>
  <c r="ED47" i="16457" s="1"/>
  <c r="BT47" i="16457"/>
  <c r="EF47" i="16457" s="1"/>
  <c r="BP113" i="16457"/>
  <c r="EB113" i="16457" s="1"/>
  <c r="BR113" i="16457"/>
  <c r="ED113" i="16457" s="1"/>
  <c r="BT113" i="16457"/>
  <c r="EF113" i="16457" s="1"/>
  <c r="DB34" i="16506"/>
  <c r="DA34" i="16506"/>
  <c r="DC34" i="16506"/>
  <c r="DD34" i="16506"/>
  <c r="DE34" i="16506"/>
  <c r="DF34" i="16506"/>
  <c r="DG34" i="16506"/>
  <c r="DH34" i="16506"/>
  <c r="DI34" i="16506"/>
  <c r="DJ34" i="16506"/>
  <c r="DK34" i="16506"/>
  <c r="DL34" i="16506"/>
  <c r="DM34" i="16506"/>
  <c r="DN34" i="16506"/>
  <c r="DO34" i="16506"/>
  <c r="DP34" i="16506"/>
  <c r="DQ34" i="16506"/>
  <c r="DR34" i="16506"/>
  <c r="DS34" i="16506"/>
  <c r="DT34" i="16506"/>
  <c r="DU34" i="16506"/>
  <c r="DV34" i="16506"/>
  <c r="DW34" i="16506"/>
  <c r="ED116" i="16506"/>
  <c r="DV116" i="16506"/>
  <c r="DR116" i="16506"/>
  <c r="DN116" i="16506"/>
  <c r="DJ116" i="16506"/>
  <c r="DF116" i="16506"/>
  <c r="DX116" i="16506"/>
  <c r="DT116" i="16506"/>
  <c r="DP116" i="16506"/>
  <c r="DL116" i="16506"/>
  <c r="DH116" i="16506"/>
  <c r="DI116" i="16506"/>
  <c r="DQ116" i="16506"/>
  <c r="DC116" i="16506"/>
  <c r="DO116" i="16506"/>
  <c r="DW116" i="16506"/>
  <c r="DE116" i="16506"/>
  <c r="DB116" i="16506"/>
  <c r="DM116" i="16506"/>
  <c r="DU116" i="16506"/>
  <c r="DG116" i="16506"/>
  <c r="DD116" i="16506"/>
  <c r="DK116" i="16506"/>
  <c r="DS116" i="16506"/>
  <c r="DA116" i="16506"/>
  <c r="DA114" i="16506" s="1"/>
  <c r="DA35" i="16506"/>
  <c r="DB35" i="16506"/>
  <c r="DC35" i="16506"/>
  <c r="DD35" i="16506"/>
  <c r="DE35" i="16506"/>
  <c r="DF35" i="16506"/>
  <c r="DG35" i="16506"/>
  <c r="DH35" i="16506"/>
  <c r="DI35" i="16506"/>
  <c r="DJ35" i="16506"/>
  <c r="DK35" i="16506"/>
  <c r="DL35" i="16506"/>
  <c r="DM35" i="16506"/>
  <c r="DN35" i="16506"/>
  <c r="DO35" i="16506"/>
  <c r="DP35" i="16506"/>
  <c r="DQ35" i="16506"/>
  <c r="DR35" i="16506"/>
  <c r="DS35" i="16506"/>
  <c r="DT35" i="16506"/>
  <c r="DU35" i="16506"/>
  <c r="DV35" i="16506"/>
  <c r="DW35" i="16506"/>
  <c r="DX120" i="16506"/>
  <c r="DA120" i="16506"/>
  <c r="DE120" i="16506"/>
  <c r="DI120" i="16506"/>
  <c r="DM120" i="16506"/>
  <c r="DQ120" i="16506"/>
  <c r="DU120" i="16506"/>
  <c r="ED120" i="16506"/>
  <c r="DB120" i="16506"/>
  <c r="DF120" i="16506"/>
  <c r="DJ120" i="16506"/>
  <c r="DN120" i="16506"/>
  <c r="DR120" i="16506"/>
  <c r="DV120" i="16506"/>
  <c r="DC120" i="16506"/>
  <c r="DG120" i="16506"/>
  <c r="DK120" i="16506"/>
  <c r="DO120" i="16506"/>
  <c r="DS120" i="16506"/>
  <c r="DW120" i="16506"/>
  <c r="DD120" i="16506"/>
  <c r="DH120" i="16506"/>
  <c r="DL120" i="16506"/>
  <c r="DP120" i="16506"/>
  <c r="DT120" i="16506"/>
  <c r="EF21" i="16506"/>
  <c r="DA132" i="16506" s="1"/>
  <c r="EG21" i="16506"/>
  <c r="DB132" i="16506" s="1"/>
  <c r="EH21" i="16506"/>
  <c r="DC132" i="16506" s="1"/>
  <c r="EI21" i="16506"/>
  <c r="DD132" i="16506" s="1"/>
  <c r="EJ21" i="16506"/>
  <c r="DE132" i="16506" s="1"/>
  <c r="EK21" i="16506"/>
  <c r="DF132" i="16506" s="1"/>
  <c r="EL21" i="16506"/>
  <c r="DG132" i="16506" s="1"/>
  <c r="EM21" i="16506"/>
  <c r="DH132" i="16506" s="1"/>
  <c r="EN21" i="16506"/>
  <c r="DI132" i="16506" s="1"/>
  <c r="EO21" i="16506"/>
  <c r="DJ132" i="16506" s="1"/>
  <c r="EP21" i="16506"/>
  <c r="DK132" i="16506" s="1"/>
  <c r="EQ21" i="16506"/>
  <c r="DL132" i="16506" s="1"/>
  <c r="ER21" i="16506"/>
  <c r="DM132" i="16506" s="1"/>
  <c r="ES21" i="16506"/>
  <c r="DN132" i="16506" s="1"/>
  <c r="ET21" i="16506"/>
  <c r="DO132" i="16506" s="1"/>
  <c r="EU21" i="16506"/>
  <c r="DP132" i="16506" s="1"/>
  <c r="EV21" i="16506"/>
  <c r="DQ132" i="16506" s="1"/>
  <c r="EX21" i="16506"/>
  <c r="DS132" i="16506" s="1"/>
  <c r="EW21" i="16506"/>
  <c r="DR132" i="16506" s="1"/>
  <c r="EY21" i="16506"/>
  <c r="DT132" i="16506" s="1"/>
  <c r="EZ21" i="16506"/>
  <c r="DU132" i="16506" s="1"/>
  <c r="BQ14" i="16457"/>
  <c r="EC14" i="16457" s="1"/>
  <c r="BS14" i="16457"/>
  <c r="EE14" i="16457" s="1"/>
  <c r="BU14" i="16457"/>
  <c r="EG14" i="16457" s="1"/>
  <c r="BP14" i="16457"/>
  <c r="EB14" i="16457" s="1"/>
  <c r="BR14" i="16457"/>
  <c r="ED14" i="16457" s="1"/>
  <c r="BT14" i="16457"/>
  <c r="EF14" i="16457" s="1"/>
  <c r="BQ57" i="16457"/>
  <c r="BS57" i="16457"/>
  <c r="BU57" i="16457"/>
  <c r="BP57" i="16457"/>
  <c r="BR57" i="16457"/>
  <c r="BT57" i="16457"/>
  <c r="DM45" i="16506"/>
  <c r="DW45" i="16506"/>
  <c r="DS45" i="16506"/>
  <c r="DU45" i="16506"/>
  <c r="DK45" i="16506"/>
  <c r="DX45" i="16506"/>
  <c r="DJ45" i="16506"/>
  <c r="DV45" i="16506"/>
  <c r="DH45" i="16506"/>
  <c r="EF46" i="16506"/>
  <c r="EG46" i="16506"/>
  <c r="EH46" i="16506"/>
  <c r="EI46" i="16506"/>
  <c r="EI45" i="16506" s="1"/>
  <c r="EK46" i="16506"/>
  <c r="EK45" i="16506" s="1"/>
  <c r="EJ46" i="16506"/>
  <c r="EJ45" i="16506" s="1"/>
  <c r="EL46" i="16506"/>
  <c r="EL45" i="16506" s="1"/>
  <c r="EM46" i="16506"/>
  <c r="EN46" i="16506"/>
  <c r="EN45" i="16506" s="1"/>
  <c r="EO46" i="16506"/>
  <c r="EO45" i="16506" s="1"/>
  <c r="EP46" i="16506"/>
  <c r="EP45" i="16506" s="1"/>
  <c r="EQ46" i="16506"/>
  <c r="EQ45" i="16506" s="1"/>
  <c r="ER46" i="16506"/>
  <c r="ER45" i="16506" s="1"/>
  <c r="ES46" i="16506"/>
  <c r="ES45" i="16506" s="1"/>
  <c r="ET46" i="16506"/>
  <c r="ET45" i="16506" s="1"/>
  <c r="EU46" i="16506"/>
  <c r="EU45" i="16506" s="1"/>
  <c r="EV46" i="16506"/>
  <c r="EV45" i="16506" s="1"/>
  <c r="EW46" i="16506"/>
  <c r="EW45" i="16506" s="1"/>
  <c r="EX46" i="16506"/>
  <c r="EX45" i="16506" s="1"/>
  <c r="EY46" i="16506"/>
  <c r="EY45" i="16506" s="1"/>
  <c r="EZ46" i="16506"/>
  <c r="EZ45" i="16506" s="1"/>
  <c r="EF48" i="16506"/>
  <c r="EF47" i="16506" s="1"/>
  <c r="EG48" i="16506"/>
  <c r="EG47" i="16506" s="1"/>
  <c r="EH48" i="16506"/>
  <c r="EH47" i="16506" s="1"/>
  <c r="EJ48" i="16506"/>
  <c r="EJ47" i="16506" s="1"/>
  <c r="EI48" i="16506"/>
  <c r="EI47" i="16506" s="1"/>
  <c r="EL48" i="16506"/>
  <c r="EL47" i="16506" s="1"/>
  <c r="EK48" i="16506"/>
  <c r="EK47" i="16506" s="1"/>
  <c r="EM48" i="16506"/>
  <c r="EM47" i="16506" s="1"/>
  <c r="EN48" i="16506"/>
  <c r="EN47" i="16506" s="1"/>
  <c r="EO48" i="16506"/>
  <c r="EO47" i="16506" s="1"/>
  <c r="EP48" i="16506"/>
  <c r="EP47" i="16506" s="1"/>
  <c r="ER48" i="16506"/>
  <c r="ER47" i="16506" s="1"/>
  <c r="EQ48" i="16506"/>
  <c r="EQ47" i="16506" s="1"/>
  <c r="ES48" i="16506"/>
  <c r="ES47" i="16506" s="1"/>
  <c r="ET48" i="16506"/>
  <c r="ET47" i="16506" s="1"/>
  <c r="EV48" i="16506"/>
  <c r="EV47" i="16506" s="1"/>
  <c r="EU48" i="16506"/>
  <c r="EU47" i="16506" s="1"/>
  <c r="EW48" i="16506"/>
  <c r="EW47" i="16506" s="1"/>
  <c r="EX48" i="16506"/>
  <c r="EX47" i="16506" s="1"/>
  <c r="EY48" i="16506"/>
  <c r="EY47" i="16506" s="1"/>
  <c r="EZ48" i="16506"/>
  <c r="EZ47" i="16506" s="1"/>
  <c r="DB37" i="16506"/>
  <c r="DA37" i="16506"/>
  <c r="DC37" i="16506"/>
  <c r="DD37" i="16506"/>
  <c r="DE37" i="16506"/>
  <c r="DF37" i="16506"/>
  <c r="DG37" i="16506"/>
  <c r="DH37" i="16506"/>
  <c r="DI37" i="16506"/>
  <c r="DJ37" i="16506"/>
  <c r="DK37" i="16506"/>
  <c r="DL37" i="16506"/>
  <c r="DM37" i="16506"/>
  <c r="DN37" i="16506"/>
  <c r="DO37" i="16506"/>
  <c r="DQ37" i="16506"/>
  <c r="DP37" i="16506"/>
  <c r="DR37" i="16506"/>
  <c r="DS37" i="16506"/>
  <c r="DT37" i="16506"/>
  <c r="DV37" i="16506"/>
  <c r="DU37" i="16506"/>
  <c r="DW37" i="16506"/>
  <c r="AT25" i="16457"/>
  <c r="DF25" i="16457" s="1"/>
  <c r="BB25" i="16457"/>
  <c r="DN25" i="16457" s="1"/>
  <c r="BJ25" i="16457"/>
  <c r="DV25" i="16457" s="1"/>
  <c r="AR25" i="16457"/>
  <c r="DD25" i="16457" s="1"/>
  <c r="AZ25" i="16457"/>
  <c r="DL25" i="16457" s="1"/>
  <c r="BH25" i="16457"/>
  <c r="DT25" i="16457" s="1"/>
  <c r="AS25" i="16457"/>
  <c r="DE25" i="16457" s="1"/>
  <c r="AW25" i="16457"/>
  <c r="DI25" i="16457" s="1"/>
  <c r="BA25" i="16457"/>
  <c r="DM25" i="16457" s="1"/>
  <c r="BE25" i="16457"/>
  <c r="DQ25" i="16457" s="1"/>
  <c r="BI25" i="16457"/>
  <c r="DU25" i="16457" s="1"/>
  <c r="BM25" i="16457"/>
  <c r="DY25" i="16457" s="1"/>
  <c r="K10" i="16461"/>
  <c r="O40" i="16506"/>
  <c r="N40" i="16506"/>
  <c r="AM37" i="16506"/>
  <c r="AM39" i="16506"/>
  <c r="BS31" i="16457"/>
  <c r="EE31" i="16457" s="1"/>
  <c r="AM35" i="16506"/>
  <c r="AM36" i="16506"/>
  <c r="AL11" i="16461"/>
  <c r="AN11" i="16461"/>
  <c r="AP11" i="16461"/>
  <c r="AK11" i="16461"/>
  <c r="AM11" i="16461"/>
  <c r="AO11" i="16461"/>
  <c r="AN31" i="16457"/>
  <c r="BB31" i="16457"/>
  <c r="AS113" i="16457"/>
  <c r="BA113" i="16457"/>
  <c r="BI113" i="16457"/>
  <c r="AR113" i="16457"/>
  <c r="DD113" i="16457" s="1"/>
  <c r="AZ113" i="16457"/>
  <c r="BH113" i="16457"/>
  <c r="BO47" i="16457"/>
  <c r="EA47" i="16457" s="1"/>
  <c r="BM47" i="16457"/>
  <c r="DY47" i="16457" s="1"/>
  <c r="BK47" i="16457"/>
  <c r="DW47" i="16457" s="1"/>
  <c r="BI47" i="16457"/>
  <c r="DU47" i="16457" s="1"/>
  <c r="BG47" i="16457"/>
  <c r="DS47" i="16457" s="1"/>
  <c r="BE47" i="16457"/>
  <c r="DQ47" i="16457" s="1"/>
  <c r="BC47" i="16457"/>
  <c r="DO47" i="16457" s="1"/>
  <c r="BA47" i="16457"/>
  <c r="DM47" i="16457" s="1"/>
  <c r="AY47" i="16457"/>
  <c r="DK47" i="16457" s="1"/>
  <c r="AW47" i="16457"/>
  <c r="DI47" i="16457" s="1"/>
  <c r="AU47" i="16457"/>
  <c r="DG47" i="16457" s="1"/>
  <c r="AS47" i="16457"/>
  <c r="DE47" i="16457" s="1"/>
  <c r="BN47" i="16457"/>
  <c r="DZ47" i="16457" s="1"/>
  <c r="BL47" i="16457"/>
  <c r="DX47" i="16457" s="1"/>
  <c r="BJ47" i="16457"/>
  <c r="DV47" i="16457" s="1"/>
  <c r="BH47" i="16457"/>
  <c r="DT47" i="16457" s="1"/>
  <c r="BF47" i="16457"/>
  <c r="DR47" i="16457" s="1"/>
  <c r="BD47" i="16457"/>
  <c r="DP47" i="16457" s="1"/>
  <c r="BB47" i="16457"/>
  <c r="DN47" i="16457" s="1"/>
  <c r="AZ47" i="16457"/>
  <c r="DL47" i="16457" s="1"/>
  <c r="AX47" i="16457"/>
  <c r="DJ47" i="16457" s="1"/>
  <c r="AV47" i="16457"/>
  <c r="DH47" i="16457" s="1"/>
  <c r="AT47" i="16457"/>
  <c r="DF47" i="16457" s="1"/>
  <c r="AR47" i="16457"/>
  <c r="DD47" i="16457" s="1"/>
  <c r="AX31" i="16457"/>
  <c r="BJ31" i="16457"/>
  <c r="AT31" i="16457"/>
  <c r="BN31" i="16457"/>
  <c r="BF31" i="16457"/>
  <c r="BL31" i="16457"/>
  <c r="BH31" i="16457"/>
  <c r="BD31" i="16457"/>
  <c r="AZ31" i="16457"/>
  <c r="AV31" i="16457"/>
  <c r="AR31" i="16457"/>
  <c r="DD31" i="16457" s="1"/>
  <c r="BO31" i="16457"/>
  <c r="BK31" i="16457"/>
  <c r="BG31" i="16457"/>
  <c r="BC31" i="16457"/>
  <c r="AY31" i="16457"/>
  <c r="AU31" i="16457"/>
  <c r="BM31" i="16457"/>
  <c r="BI31" i="16457"/>
  <c r="BE31" i="16457"/>
  <c r="BA31" i="16457"/>
  <c r="AW31" i="16457"/>
  <c r="BO18" i="16457"/>
  <c r="EA18" i="16457" s="1"/>
  <c r="BM18" i="16457"/>
  <c r="DY18" i="16457" s="1"/>
  <c r="BK18" i="16457"/>
  <c r="DW18" i="16457" s="1"/>
  <c r="BI18" i="16457"/>
  <c r="DU18" i="16457" s="1"/>
  <c r="BG18" i="16457"/>
  <c r="DS18" i="16457" s="1"/>
  <c r="BE18" i="16457"/>
  <c r="DQ18" i="16457" s="1"/>
  <c r="BC18" i="16457"/>
  <c r="DO18" i="16457" s="1"/>
  <c r="BA18" i="16457"/>
  <c r="DM18" i="16457" s="1"/>
  <c r="AY18" i="16457"/>
  <c r="DK18" i="16457" s="1"/>
  <c r="AW18" i="16457"/>
  <c r="DI18" i="16457" s="1"/>
  <c r="AU18" i="16457"/>
  <c r="DG18" i="16457" s="1"/>
  <c r="AS18" i="16457"/>
  <c r="DE18" i="16457" s="1"/>
  <c r="BN18" i="16457"/>
  <c r="DZ18" i="16457" s="1"/>
  <c r="BL18" i="16457"/>
  <c r="DX18" i="16457" s="1"/>
  <c r="BJ18" i="16457"/>
  <c r="DV18" i="16457" s="1"/>
  <c r="BH18" i="16457"/>
  <c r="DT18" i="16457" s="1"/>
  <c r="BF18" i="16457"/>
  <c r="DR18" i="16457" s="1"/>
  <c r="BD18" i="16457"/>
  <c r="DP18" i="16457" s="1"/>
  <c r="BB18" i="16457"/>
  <c r="DN18" i="16457" s="1"/>
  <c r="AZ18" i="16457"/>
  <c r="DL18" i="16457" s="1"/>
  <c r="AX18" i="16457"/>
  <c r="DJ18" i="16457" s="1"/>
  <c r="AV18" i="16457"/>
  <c r="DH18" i="16457" s="1"/>
  <c r="AT18" i="16457"/>
  <c r="DF18" i="16457" s="1"/>
  <c r="AR18" i="16457"/>
  <c r="DD18" i="16457" s="1"/>
  <c r="BO109" i="16457"/>
  <c r="BM109" i="16457"/>
  <c r="BK109" i="16457"/>
  <c r="BI109" i="16457"/>
  <c r="BG109" i="16457"/>
  <c r="BE109" i="16457"/>
  <c r="BC109" i="16457"/>
  <c r="BA109" i="16457"/>
  <c r="AY109" i="16457"/>
  <c r="AW109" i="16457"/>
  <c r="AU109" i="16457"/>
  <c r="AS109" i="16457"/>
  <c r="BN109" i="16457"/>
  <c r="BL109" i="16457"/>
  <c r="BJ109" i="16457"/>
  <c r="BH109" i="16457"/>
  <c r="BF109" i="16457"/>
  <c r="BD109" i="16457"/>
  <c r="BB109" i="16457"/>
  <c r="AZ109" i="16457"/>
  <c r="AX109" i="16457"/>
  <c r="AV109" i="16457"/>
  <c r="AT109" i="16457"/>
  <c r="AR109" i="16457"/>
  <c r="BN49" i="16457"/>
  <c r="BL49" i="16457"/>
  <c r="BJ49" i="16457"/>
  <c r="BH49" i="16457"/>
  <c r="BF49" i="16457"/>
  <c r="BD49" i="16457"/>
  <c r="BB49" i="16457"/>
  <c r="AZ49" i="16457"/>
  <c r="AX49" i="16457"/>
  <c r="AV49" i="16457"/>
  <c r="AT49" i="16457"/>
  <c r="AR49" i="16457"/>
  <c r="BO49" i="16457"/>
  <c r="BM49" i="16457"/>
  <c r="BK49" i="16457"/>
  <c r="BI49" i="16457"/>
  <c r="BG49" i="16457"/>
  <c r="BE49" i="16457"/>
  <c r="BC49" i="16457"/>
  <c r="BA49" i="16457"/>
  <c r="AY49" i="16457"/>
  <c r="AW49" i="16457"/>
  <c r="AU49" i="16457"/>
  <c r="AS49" i="16457"/>
  <c r="BN46" i="16457"/>
  <c r="DZ46" i="16457" s="1"/>
  <c r="BL46" i="16457"/>
  <c r="DX46" i="16457" s="1"/>
  <c r="BJ46" i="16457"/>
  <c r="DV46" i="16457" s="1"/>
  <c r="BH46" i="16457"/>
  <c r="DT46" i="16457" s="1"/>
  <c r="BF46" i="16457"/>
  <c r="DR46" i="16457" s="1"/>
  <c r="BD46" i="16457"/>
  <c r="DP46" i="16457" s="1"/>
  <c r="BB46" i="16457"/>
  <c r="DN46" i="16457" s="1"/>
  <c r="AZ46" i="16457"/>
  <c r="DL46" i="16457" s="1"/>
  <c r="AX46" i="16457"/>
  <c r="DJ46" i="16457" s="1"/>
  <c r="AV46" i="16457"/>
  <c r="DH46" i="16457" s="1"/>
  <c r="AT46" i="16457"/>
  <c r="DF46" i="16457" s="1"/>
  <c r="AR46" i="16457"/>
  <c r="DD46" i="16457" s="1"/>
  <c r="BO46" i="16457"/>
  <c r="EA46" i="16457" s="1"/>
  <c r="BM46" i="16457"/>
  <c r="DY46" i="16457" s="1"/>
  <c r="BK46" i="16457"/>
  <c r="DW46" i="16457" s="1"/>
  <c r="BI46" i="16457"/>
  <c r="DU46" i="16457" s="1"/>
  <c r="BG46" i="16457"/>
  <c r="DS46" i="16457" s="1"/>
  <c r="BE46" i="16457"/>
  <c r="DQ46" i="16457" s="1"/>
  <c r="BC46" i="16457"/>
  <c r="DO46" i="16457" s="1"/>
  <c r="BA46" i="16457"/>
  <c r="DM46" i="16457" s="1"/>
  <c r="AY46" i="16457"/>
  <c r="DK46" i="16457" s="1"/>
  <c r="AW46" i="16457"/>
  <c r="DI46" i="16457" s="1"/>
  <c r="AU46" i="16457"/>
  <c r="DG46" i="16457" s="1"/>
  <c r="AS46" i="16457"/>
  <c r="DE46" i="16457" s="1"/>
  <c r="AR30" i="16457"/>
  <c r="DD30" i="16457" s="1"/>
  <c r="AS30" i="16457"/>
  <c r="AT30" i="16457"/>
  <c r="AU30" i="16457"/>
  <c r="AV30" i="16457"/>
  <c r="AW30" i="16457"/>
  <c r="AX30" i="16457"/>
  <c r="AY30" i="16457"/>
  <c r="AZ30" i="16457"/>
  <c r="BA30" i="16457"/>
  <c r="BB30" i="16457"/>
  <c r="BC30" i="16457"/>
  <c r="BD30" i="16457"/>
  <c r="BE30" i="16457"/>
  <c r="BF30" i="16457"/>
  <c r="BG30" i="16457"/>
  <c r="BH30" i="16457"/>
  <c r="BI30" i="16457"/>
  <c r="BJ30" i="16457"/>
  <c r="BK30" i="16457"/>
  <c r="BL30" i="16457"/>
  <c r="BM30" i="16457"/>
  <c r="BN30" i="16457"/>
  <c r="BO30" i="16457"/>
  <c r="BN42" i="16457"/>
  <c r="BL42" i="16457"/>
  <c r="BJ42" i="16457"/>
  <c r="BH42" i="16457"/>
  <c r="BF42" i="16457"/>
  <c r="BD42" i="16457"/>
  <c r="BB42" i="16457"/>
  <c r="AZ42" i="16457"/>
  <c r="AX42" i="16457"/>
  <c r="AV42" i="16457"/>
  <c r="AT42" i="16457"/>
  <c r="AR42" i="16457"/>
  <c r="BO42" i="16457"/>
  <c r="BM42" i="16457"/>
  <c r="BK42" i="16457"/>
  <c r="BI42" i="16457"/>
  <c r="BG42" i="16457"/>
  <c r="BE42" i="16457"/>
  <c r="BC42" i="16457"/>
  <c r="BA42" i="16457"/>
  <c r="AY42" i="16457"/>
  <c r="AW42" i="16457"/>
  <c r="AU42" i="16457"/>
  <c r="AS42" i="16457"/>
  <c r="BN59" i="16457"/>
  <c r="DZ59" i="16457" s="1"/>
  <c r="BL59" i="16457"/>
  <c r="DX59" i="16457" s="1"/>
  <c r="BJ59" i="16457"/>
  <c r="DV59" i="16457" s="1"/>
  <c r="BH59" i="16457"/>
  <c r="DT59" i="16457" s="1"/>
  <c r="BF59" i="16457"/>
  <c r="DR59" i="16457" s="1"/>
  <c r="BD59" i="16457"/>
  <c r="DP59" i="16457" s="1"/>
  <c r="BB59" i="16457"/>
  <c r="DN59" i="16457" s="1"/>
  <c r="AZ59" i="16457"/>
  <c r="DL59" i="16457" s="1"/>
  <c r="AX59" i="16457"/>
  <c r="DJ59" i="16457" s="1"/>
  <c r="AV59" i="16457"/>
  <c r="DH59" i="16457" s="1"/>
  <c r="AT59" i="16457"/>
  <c r="DF59" i="16457" s="1"/>
  <c r="AR59" i="16457"/>
  <c r="DD59" i="16457" s="1"/>
  <c r="BO59" i="16457"/>
  <c r="EA59" i="16457" s="1"/>
  <c r="BM59" i="16457"/>
  <c r="DY59" i="16457" s="1"/>
  <c r="BK59" i="16457"/>
  <c r="DW59" i="16457" s="1"/>
  <c r="BI59" i="16457"/>
  <c r="DU59" i="16457" s="1"/>
  <c r="BG59" i="16457"/>
  <c r="DS59" i="16457" s="1"/>
  <c r="BE59" i="16457"/>
  <c r="DQ59" i="16457" s="1"/>
  <c r="BC59" i="16457"/>
  <c r="DO59" i="16457" s="1"/>
  <c r="BA59" i="16457"/>
  <c r="DM59" i="16457" s="1"/>
  <c r="AY59" i="16457"/>
  <c r="DK59" i="16457" s="1"/>
  <c r="AW59" i="16457"/>
  <c r="DI59" i="16457" s="1"/>
  <c r="AU59" i="16457"/>
  <c r="DG59" i="16457" s="1"/>
  <c r="AS59" i="16457"/>
  <c r="DE59" i="16457" s="1"/>
  <c r="BO16" i="16457"/>
  <c r="EA16" i="16457" s="1"/>
  <c r="BM16" i="16457"/>
  <c r="DY16" i="16457" s="1"/>
  <c r="BK16" i="16457"/>
  <c r="DW16" i="16457" s="1"/>
  <c r="BI16" i="16457"/>
  <c r="DU16" i="16457" s="1"/>
  <c r="BG16" i="16457"/>
  <c r="DS16" i="16457" s="1"/>
  <c r="BE16" i="16457"/>
  <c r="DQ16" i="16457" s="1"/>
  <c r="BC16" i="16457"/>
  <c r="DO16" i="16457" s="1"/>
  <c r="BA16" i="16457"/>
  <c r="DM16" i="16457" s="1"/>
  <c r="AY16" i="16457"/>
  <c r="DK16" i="16457" s="1"/>
  <c r="AW16" i="16457"/>
  <c r="DI16" i="16457" s="1"/>
  <c r="BN16" i="16457"/>
  <c r="DZ16" i="16457" s="1"/>
  <c r="BL16" i="16457"/>
  <c r="DX16" i="16457" s="1"/>
  <c r="BJ16" i="16457"/>
  <c r="DV16" i="16457" s="1"/>
  <c r="BH16" i="16457"/>
  <c r="DT16" i="16457" s="1"/>
  <c r="BF16" i="16457"/>
  <c r="DR16" i="16457" s="1"/>
  <c r="BD16" i="16457"/>
  <c r="DP16" i="16457" s="1"/>
  <c r="BB16" i="16457"/>
  <c r="DN16" i="16457" s="1"/>
  <c r="AZ16" i="16457"/>
  <c r="DL16" i="16457" s="1"/>
  <c r="AX16" i="16457"/>
  <c r="DJ16" i="16457" s="1"/>
  <c r="AV16" i="16457"/>
  <c r="DH16" i="16457" s="1"/>
  <c r="AT16" i="16457"/>
  <c r="DF16" i="16457" s="1"/>
  <c r="AR16" i="16457"/>
  <c r="DD16" i="16457" s="1"/>
  <c r="AU16" i="16457"/>
  <c r="DG16" i="16457" s="1"/>
  <c r="AS16" i="16457"/>
  <c r="DE16" i="16457" s="1"/>
  <c r="AR112" i="16457"/>
  <c r="DD112" i="16457" s="1"/>
  <c r="BO43" i="16457"/>
  <c r="EA43" i="16457" s="1"/>
  <c r="BM43" i="16457"/>
  <c r="DY43" i="16457" s="1"/>
  <c r="BK43" i="16457"/>
  <c r="DW43" i="16457" s="1"/>
  <c r="BI43" i="16457"/>
  <c r="DU43" i="16457" s="1"/>
  <c r="BG43" i="16457"/>
  <c r="DS43" i="16457" s="1"/>
  <c r="BE43" i="16457"/>
  <c r="DQ43" i="16457" s="1"/>
  <c r="BC43" i="16457"/>
  <c r="DO43" i="16457" s="1"/>
  <c r="BA43" i="16457"/>
  <c r="DM43" i="16457" s="1"/>
  <c r="AY43" i="16457"/>
  <c r="DK43" i="16457" s="1"/>
  <c r="AW43" i="16457"/>
  <c r="DI43" i="16457" s="1"/>
  <c r="AU43" i="16457"/>
  <c r="DG43" i="16457" s="1"/>
  <c r="AS43" i="16457"/>
  <c r="DE43" i="16457" s="1"/>
  <c r="BN43" i="16457"/>
  <c r="DZ43" i="16457" s="1"/>
  <c r="BL43" i="16457"/>
  <c r="DX43" i="16457" s="1"/>
  <c r="BJ43" i="16457"/>
  <c r="DV43" i="16457" s="1"/>
  <c r="BH43" i="16457"/>
  <c r="DT43" i="16457" s="1"/>
  <c r="BF43" i="16457"/>
  <c r="DR43" i="16457" s="1"/>
  <c r="BD43" i="16457"/>
  <c r="DP43" i="16457" s="1"/>
  <c r="BB43" i="16457"/>
  <c r="DN43" i="16457" s="1"/>
  <c r="AZ43" i="16457"/>
  <c r="DL43" i="16457" s="1"/>
  <c r="AX43" i="16457"/>
  <c r="DJ43" i="16457" s="1"/>
  <c r="AV43" i="16457"/>
  <c r="DH43" i="16457" s="1"/>
  <c r="AT43" i="16457"/>
  <c r="DF43" i="16457" s="1"/>
  <c r="AR43" i="16457"/>
  <c r="DD43" i="16457" s="1"/>
  <c r="BN52" i="16457"/>
  <c r="BN51" i="16457" s="1"/>
  <c r="BL52" i="16457"/>
  <c r="BL51" i="16457" s="1"/>
  <c r="BJ52" i="16457"/>
  <c r="BJ51" i="16457" s="1"/>
  <c r="BH52" i="16457"/>
  <c r="BH51" i="16457" s="1"/>
  <c r="BF52" i="16457"/>
  <c r="BF51" i="16457" s="1"/>
  <c r="BD52" i="16457"/>
  <c r="BD51" i="16457" s="1"/>
  <c r="BB52" i="16457"/>
  <c r="BB51" i="16457" s="1"/>
  <c r="AZ52" i="16457"/>
  <c r="AZ51" i="16457" s="1"/>
  <c r="AX52" i="16457"/>
  <c r="AX51" i="16457" s="1"/>
  <c r="AV52" i="16457"/>
  <c r="AV51" i="16457" s="1"/>
  <c r="AT52" i="16457"/>
  <c r="AT51" i="16457" s="1"/>
  <c r="AR52" i="16457"/>
  <c r="BO52" i="16457"/>
  <c r="BO51" i="16457" s="1"/>
  <c r="BM52" i="16457"/>
  <c r="BM51" i="16457" s="1"/>
  <c r="BK52" i="16457"/>
  <c r="BK51" i="16457" s="1"/>
  <c r="BI52" i="16457"/>
  <c r="BI51" i="16457" s="1"/>
  <c r="BG52" i="16457"/>
  <c r="BG51" i="16457" s="1"/>
  <c r="BE52" i="16457"/>
  <c r="BE51" i="16457" s="1"/>
  <c r="BC52" i="16457"/>
  <c r="BC51" i="16457" s="1"/>
  <c r="BA52" i="16457"/>
  <c r="BA51" i="16457" s="1"/>
  <c r="AY52" i="16457"/>
  <c r="AY51" i="16457" s="1"/>
  <c r="AW52" i="16457"/>
  <c r="AW51" i="16457" s="1"/>
  <c r="AU52" i="16457"/>
  <c r="AU51" i="16457" s="1"/>
  <c r="AS52" i="16457"/>
  <c r="AS51" i="16457" s="1"/>
  <c r="BN17" i="16457"/>
  <c r="DZ17" i="16457" s="1"/>
  <c r="BL17" i="16457"/>
  <c r="DX17" i="16457" s="1"/>
  <c r="BJ17" i="16457"/>
  <c r="DV17" i="16457" s="1"/>
  <c r="BH17" i="16457"/>
  <c r="DT17" i="16457" s="1"/>
  <c r="BF17" i="16457"/>
  <c r="DR17" i="16457" s="1"/>
  <c r="BD17" i="16457"/>
  <c r="DP17" i="16457" s="1"/>
  <c r="BB17" i="16457"/>
  <c r="DN17" i="16457" s="1"/>
  <c r="AZ17" i="16457"/>
  <c r="DL17" i="16457" s="1"/>
  <c r="AX17" i="16457"/>
  <c r="DJ17" i="16457" s="1"/>
  <c r="AV17" i="16457"/>
  <c r="DH17" i="16457" s="1"/>
  <c r="AT17" i="16457"/>
  <c r="DF17" i="16457" s="1"/>
  <c r="AR17" i="16457"/>
  <c r="DD17" i="16457" s="1"/>
  <c r="BO17" i="16457"/>
  <c r="EA17" i="16457" s="1"/>
  <c r="BM17" i="16457"/>
  <c r="DY17" i="16457" s="1"/>
  <c r="BK17" i="16457"/>
  <c r="DW17" i="16457" s="1"/>
  <c r="BI17" i="16457"/>
  <c r="DU17" i="16457" s="1"/>
  <c r="BG17" i="16457"/>
  <c r="DS17" i="16457" s="1"/>
  <c r="BE17" i="16457"/>
  <c r="DQ17" i="16457" s="1"/>
  <c r="BC17" i="16457"/>
  <c r="DO17" i="16457" s="1"/>
  <c r="BA17" i="16457"/>
  <c r="DM17" i="16457" s="1"/>
  <c r="AY17" i="16457"/>
  <c r="DK17" i="16457" s="1"/>
  <c r="AW17" i="16457"/>
  <c r="DI17" i="16457" s="1"/>
  <c r="AU17" i="16457"/>
  <c r="DG17" i="16457" s="1"/>
  <c r="AS17" i="16457"/>
  <c r="DE17" i="16457" s="1"/>
  <c r="O33" i="16506"/>
  <c r="O38" i="16506"/>
  <c r="AQ110" i="16457"/>
  <c r="DC110" i="16457" s="1"/>
  <c r="G117" i="16457"/>
  <c r="L86" i="16460"/>
  <c r="O49" i="16460"/>
  <c r="N71" i="16460"/>
  <c r="N76" i="16460"/>
  <c r="O78" i="16460"/>
  <c r="O80" i="16460"/>
  <c r="N90" i="16460"/>
  <c r="O54" i="16460"/>
  <c r="O60" i="16460"/>
  <c r="N18" i="16460"/>
  <c r="M111" i="16460"/>
  <c r="N113" i="16460"/>
  <c r="N116" i="16460"/>
  <c r="M11" i="16461"/>
  <c r="O11" i="16461"/>
  <c r="Q11" i="16461"/>
  <c r="S11" i="16461"/>
  <c r="U11" i="16461"/>
  <c r="W11" i="16461"/>
  <c r="Y11" i="16461"/>
  <c r="AA11" i="16461"/>
  <c r="AC11" i="16461"/>
  <c r="AE11" i="16461"/>
  <c r="AG11" i="16461"/>
  <c r="AI11" i="16461"/>
  <c r="N11" i="16461"/>
  <c r="R11" i="16461"/>
  <c r="V11" i="16461"/>
  <c r="Z11" i="16461"/>
  <c r="AD11" i="16461"/>
  <c r="AH11" i="16461"/>
  <c r="P11" i="16461"/>
  <c r="T11" i="16461"/>
  <c r="X11" i="16461"/>
  <c r="AB11" i="16461"/>
  <c r="AF11" i="16461"/>
  <c r="AJ11" i="16461"/>
  <c r="CZ31" i="16457"/>
  <c r="CX30" i="16457"/>
  <c r="AL34" i="16506" l="1"/>
  <c r="AM30" i="16457"/>
  <c r="ED30" i="16457"/>
  <c r="DY7" i="16506"/>
  <c r="DI7" i="16506"/>
  <c r="AX20" i="16457"/>
  <c r="DJ20" i="16457" s="1"/>
  <c r="AX108" i="16457"/>
  <c r="DJ108" i="16457" s="1"/>
  <c r="DJ109" i="16457"/>
  <c r="BF108" i="16457"/>
  <c r="DR108" i="16457" s="1"/>
  <c r="DR109" i="16457"/>
  <c r="BN108" i="16457"/>
  <c r="DZ108" i="16457" s="1"/>
  <c r="DZ109" i="16457"/>
  <c r="AY108" i="16457"/>
  <c r="DK108" i="16457" s="1"/>
  <c r="DK109" i="16457"/>
  <c r="BG108" i="16457"/>
  <c r="DS108" i="16457" s="1"/>
  <c r="DS109" i="16457"/>
  <c r="BO108" i="16457"/>
  <c r="EA108" i="16457" s="1"/>
  <c r="EA109" i="16457"/>
  <c r="BR108" i="16457"/>
  <c r="ED108" i="16457" s="1"/>
  <c r="ED109" i="16457"/>
  <c r="BQ108" i="16457"/>
  <c r="EC108" i="16457" s="1"/>
  <c r="EC109" i="16457"/>
  <c r="CV117" i="16457"/>
  <c r="EB117" i="16457" s="1"/>
  <c r="CN117" i="16457"/>
  <c r="DT117" i="16457" s="1"/>
  <c r="CF117" i="16457"/>
  <c r="DL117" i="16457" s="1"/>
  <c r="DA117" i="16457"/>
  <c r="EG117" i="16457" s="1"/>
  <c r="CS117" i="16457"/>
  <c r="DY117" i="16457" s="1"/>
  <c r="CK117" i="16457"/>
  <c r="DQ117" i="16457" s="1"/>
  <c r="CC117" i="16457"/>
  <c r="DI117" i="16457" s="1"/>
  <c r="CY116" i="16457"/>
  <c r="EE116" i="16457" s="1"/>
  <c r="CQ116" i="16457"/>
  <c r="DW116" i="16457" s="1"/>
  <c r="CI116" i="16457"/>
  <c r="DO116" i="16457" s="1"/>
  <c r="CA116" i="16457"/>
  <c r="DG116" i="16457" s="1"/>
  <c r="CX116" i="16457"/>
  <c r="ED116" i="16457" s="1"/>
  <c r="CP116" i="16457"/>
  <c r="DV116" i="16457" s="1"/>
  <c r="CH116" i="16457"/>
  <c r="DN116" i="16457" s="1"/>
  <c r="BZ116" i="16457"/>
  <c r="DF116" i="16457" s="1"/>
  <c r="AR108" i="16457"/>
  <c r="DD108" i="16457" s="1"/>
  <c r="DD109" i="16457"/>
  <c r="AZ108" i="16457"/>
  <c r="DL108" i="16457" s="1"/>
  <c r="DL109" i="16457"/>
  <c r="BH108" i="16457"/>
  <c r="DT108" i="16457" s="1"/>
  <c r="DT109" i="16457"/>
  <c r="AS108" i="16457"/>
  <c r="DE108" i="16457" s="1"/>
  <c r="DE109" i="16457"/>
  <c r="BA108" i="16457"/>
  <c r="DM108" i="16457" s="1"/>
  <c r="DM109" i="16457"/>
  <c r="BI108" i="16457"/>
  <c r="DU108" i="16457" s="1"/>
  <c r="DU109" i="16457"/>
  <c r="BP108" i="16457"/>
  <c r="EB108" i="16457" s="1"/>
  <c r="EB109" i="16457"/>
  <c r="BX117" i="16457"/>
  <c r="DD117" i="16457" s="1"/>
  <c r="CT117" i="16457"/>
  <c r="DZ117" i="16457" s="1"/>
  <c r="CL117" i="16457"/>
  <c r="DR117" i="16457" s="1"/>
  <c r="CD117" i="16457"/>
  <c r="DJ117" i="16457" s="1"/>
  <c r="CY117" i="16457"/>
  <c r="EE117" i="16457" s="1"/>
  <c r="CQ117" i="16457"/>
  <c r="DW117" i="16457" s="1"/>
  <c r="CI117" i="16457"/>
  <c r="DO117" i="16457" s="1"/>
  <c r="CA117" i="16457"/>
  <c r="DG117" i="16457" s="1"/>
  <c r="CW116" i="16457"/>
  <c r="EC116" i="16457" s="1"/>
  <c r="CO116" i="16457"/>
  <c r="DU116" i="16457" s="1"/>
  <c r="CG116" i="16457"/>
  <c r="DM116" i="16457" s="1"/>
  <c r="BY116" i="16457"/>
  <c r="DE116" i="16457" s="1"/>
  <c r="CV116" i="16457"/>
  <c r="EB116" i="16457" s="1"/>
  <c r="CN116" i="16457"/>
  <c r="DT116" i="16457" s="1"/>
  <c r="CF116" i="16457"/>
  <c r="DL116" i="16457" s="1"/>
  <c r="AT108" i="16457"/>
  <c r="DF108" i="16457" s="1"/>
  <c r="DF109" i="16457"/>
  <c r="BB108" i="16457"/>
  <c r="DN108" i="16457" s="1"/>
  <c r="DN109" i="16457"/>
  <c r="BJ108" i="16457"/>
  <c r="DV108" i="16457" s="1"/>
  <c r="DV109" i="16457"/>
  <c r="AU108" i="16457"/>
  <c r="DG108" i="16457" s="1"/>
  <c r="DG109" i="16457"/>
  <c r="BC108" i="16457"/>
  <c r="DO108" i="16457" s="1"/>
  <c r="DO109" i="16457"/>
  <c r="BK108" i="16457"/>
  <c r="DW108" i="16457" s="1"/>
  <c r="DW109" i="16457"/>
  <c r="BU108" i="16457"/>
  <c r="EG108" i="16457" s="1"/>
  <c r="EG109" i="16457"/>
  <c r="CZ117" i="16457"/>
  <c r="EF117" i="16457" s="1"/>
  <c r="CR117" i="16457"/>
  <c r="DX117" i="16457" s="1"/>
  <c r="CJ117" i="16457"/>
  <c r="DP117" i="16457" s="1"/>
  <c r="CB117" i="16457"/>
  <c r="DH117" i="16457" s="1"/>
  <c r="CW117" i="16457"/>
  <c r="EC117" i="16457" s="1"/>
  <c r="CO117" i="16457"/>
  <c r="DU117" i="16457" s="1"/>
  <c r="CG117" i="16457"/>
  <c r="DM117" i="16457" s="1"/>
  <c r="BY117" i="16457"/>
  <c r="DE117" i="16457" s="1"/>
  <c r="CU116" i="16457"/>
  <c r="EA116" i="16457" s="1"/>
  <c r="CM116" i="16457"/>
  <c r="DS116" i="16457" s="1"/>
  <c r="CE116" i="16457"/>
  <c r="DK116" i="16457" s="1"/>
  <c r="BX116" i="16457"/>
  <c r="DD116" i="16457" s="1"/>
  <c r="CT116" i="16457"/>
  <c r="DZ116" i="16457" s="1"/>
  <c r="CL116" i="16457"/>
  <c r="DR116" i="16457" s="1"/>
  <c r="CD116" i="16457"/>
  <c r="DJ116" i="16457" s="1"/>
  <c r="AV108" i="16457"/>
  <c r="DH108" i="16457" s="1"/>
  <c r="DH109" i="16457"/>
  <c r="BD108" i="16457"/>
  <c r="DP108" i="16457" s="1"/>
  <c r="DP109" i="16457"/>
  <c r="BL108" i="16457"/>
  <c r="DX108" i="16457" s="1"/>
  <c r="DX109" i="16457"/>
  <c r="AW108" i="16457"/>
  <c r="DI108" i="16457" s="1"/>
  <c r="DI109" i="16457"/>
  <c r="BE108" i="16457"/>
  <c r="DQ108" i="16457" s="1"/>
  <c r="DQ109" i="16457"/>
  <c r="BM108" i="16457"/>
  <c r="DY108" i="16457" s="1"/>
  <c r="DY109" i="16457"/>
  <c r="BT108" i="16457"/>
  <c r="EF108" i="16457" s="1"/>
  <c r="EF109" i="16457"/>
  <c r="BS108" i="16457"/>
  <c r="EE108" i="16457" s="1"/>
  <c r="EE109" i="16457"/>
  <c r="CX117" i="16457"/>
  <c r="ED117" i="16457" s="1"/>
  <c r="CP117" i="16457"/>
  <c r="DV117" i="16457" s="1"/>
  <c r="CH117" i="16457"/>
  <c r="DN117" i="16457" s="1"/>
  <c r="BZ117" i="16457"/>
  <c r="DF117" i="16457" s="1"/>
  <c r="CU117" i="16457"/>
  <c r="EA117" i="16457" s="1"/>
  <c r="CM117" i="16457"/>
  <c r="DS117" i="16457" s="1"/>
  <c r="CE117" i="16457"/>
  <c r="DK117" i="16457" s="1"/>
  <c r="DA116" i="16457"/>
  <c r="EG116" i="16457" s="1"/>
  <c r="CS116" i="16457"/>
  <c r="DY116" i="16457" s="1"/>
  <c r="CK116" i="16457"/>
  <c r="DQ116" i="16457" s="1"/>
  <c r="CC116" i="16457"/>
  <c r="DI116" i="16457" s="1"/>
  <c r="CZ116" i="16457"/>
  <c r="EF116" i="16457" s="1"/>
  <c r="CR116" i="16457"/>
  <c r="DX116" i="16457" s="1"/>
  <c r="CJ116" i="16457"/>
  <c r="DP116" i="16457" s="1"/>
  <c r="CB116" i="16457"/>
  <c r="DH116" i="16457" s="1"/>
  <c r="AY41" i="16457"/>
  <c r="DK41" i="16457" s="1"/>
  <c r="DK42" i="16457"/>
  <c r="BG41" i="16457"/>
  <c r="DS41" i="16457" s="1"/>
  <c r="DS42" i="16457"/>
  <c r="BO41" i="16457"/>
  <c r="EA41" i="16457" s="1"/>
  <c r="EA42" i="16457"/>
  <c r="AX41" i="16457"/>
  <c r="DJ41" i="16457" s="1"/>
  <c r="DJ42" i="16457"/>
  <c r="BF41" i="16457"/>
  <c r="DR41" i="16457" s="1"/>
  <c r="DR42" i="16457"/>
  <c r="BN41" i="16457"/>
  <c r="DZ41" i="16457" s="1"/>
  <c r="DZ42" i="16457"/>
  <c r="AY48" i="16457"/>
  <c r="AY45" i="16457" s="1"/>
  <c r="DK45" i="16457" s="1"/>
  <c r="DK49" i="16457"/>
  <c r="BG48" i="16457"/>
  <c r="BG45" i="16457" s="1"/>
  <c r="DS45" i="16457" s="1"/>
  <c r="DS49" i="16457"/>
  <c r="BO48" i="16457"/>
  <c r="BO45" i="16457" s="1"/>
  <c r="EA45" i="16457" s="1"/>
  <c r="EA49" i="16457"/>
  <c r="AX48" i="16457"/>
  <c r="AX45" i="16457" s="1"/>
  <c r="DJ45" i="16457" s="1"/>
  <c r="DJ49" i="16457"/>
  <c r="BF48" i="16457"/>
  <c r="BF45" i="16457" s="1"/>
  <c r="DR45" i="16457" s="1"/>
  <c r="DR49" i="16457"/>
  <c r="BN48" i="16457"/>
  <c r="BN45" i="16457" s="1"/>
  <c r="DZ45" i="16457" s="1"/>
  <c r="DZ49" i="16457"/>
  <c r="BP56" i="16457"/>
  <c r="EB57" i="16457"/>
  <c r="BP48" i="16457"/>
  <c r="BP45" i="16457" s="1"/>
  <c r="EB45" i="16457" s="1"/>
  <c r="EB49" i="16457"/>
  <c r="BP51" i="16457"/>
  <c r="EB51" i="16457" s="1"/>
  <c r="EB131" i="16457" s="1"/>
  <c r="EB52" i="16457"/>
  <c r="BU41" i="16457"/>
  <c r="EG41" i="16457" s="1"/>
  <c r="EG42" i="16457"/>
  <c r="BA56" i="16457"/>
  <c r="DM57" i="16457"/>
  <c r="BH56" i="16457"/>
  <c r="DT57" i="16457"/>
  <c r="AR56" i="16457"/>
  <c r="DD57" i="16457"/>
  <c r="BB56" i="16457"/>
  <c r="DN57" i="16457"/>
  <c r="BD20" i="16457"/>
  <c r="DP20" i="16457" s="1"/>
  <c r="DP21" i="16457"/>
  <c r="BK20" i="16457"/>
  <c r="DW20" i="16457" s="1"/>
  <c r="DW21" i="16457"/>
  <c r="AS41" i="16457"/>
  <c r="DE41" i="16457" s="1"/>
  <c r="DE42" i="16457"/>
  <c r="BA41" i="16457"/>
  <c r="DM41" i="16457" s="1"/>
  <c r="DM42" i="16457"/>
  <c r="BI41" i="16457"/>
  <c r="DU41" i="16457" s="1"/>
  <c r="DU42" i="16457"/>
  <c r="AR41" i="16457"/>
  <c r="DD41" i="16457" s="1"/>
  <c r="DD42" i="16457"/>
  <c r="AZ41" i="16457"/>
  <c r="DL41" i="16457" s="1"/>
  <c r="DL42" i="16457"/>
  <c r="BH41" i="16457"/>
  <c r="DT41" i="16457" s="1"/>
  <c r="DT42" i="16457"/>
  <c r="AS48" i="16457"/>
  <c r="AS45" i="16457" s="1"/>
  <c r="DE45" i="16457" s="1"/>
  <c r="DE49" i="16457"/>
  <c r="BA48" i="16457"/>
  <c r="BA45" i="16457" s="1"/>
  <c r="DM45" i="16457" s="1"/>
  <c r="DM49" i="16457"/>
  <c r="BI48" i="16457"/>
  <c r="BI45" i="16457" s="1"/>
  <c r="DU45" i="16457" s="1"/>
  <c r="DU49" i="16457"/>
  <c r="AR48" i="16457"/>
  <c r="AR45" i="16457" s="1"/>
  <c r="DD45" i="16457" s="1"/>
  <c r="DD49" i="16457"/>
  <c r="AZ48" i="16457"/>
  <c r="AZ45" i="16457" s="1"/>
  <c r="DL45" i="16457" s="1"/>
  <c r="DL49" i="16457"/>
  <c r="BH48" i="16457"/>
  <c r="BH45" i="16457" s="1"/>
  <c r="DT45" i="16457" s="1"/>
  <c r="DT49" i="16457"/>
  <c r="BU56" i="16457"/>
  <c r="EG57" i="16457"/>
  <c r="BU48" i="16457"/>
  <c r="EG49" i="16457"/>
  <c r="BU51" i="16457"/>
  <c r="EG51" i="16457" s="1"/>
  <c r="EG131" i="16457" s="1"/>
  <c r="EG52" i="16457"/>
  <c r="BT41" i="16457"/>
  <c r="EF41" i="16457" s="1"/>
  <c r="EF42" i="16457"/>
  <c r="BS41" i="16457"/>
  <c r="EE41" i="16457" s="1"/>
  <c r="EE42" i="16457"/>
  <c r="AW56" i="16457"/>
  <c r="DI57" i="16457"/>
  <c r="BD56" i="16457"/>
  <c r="DP57" i="16457"/>
  <c r="BO56" i="16457"/>
  <c r="EA57" i="16457"/>
  <c r="BG56" i="16457"/>
  <c r="DS57" i="16457"/>
  <c r="BC56" i="16457"/>
  <c r="DO57" i="16457"/>
  <c r="BC20" i="16457"/>
  <c r="DO20" i="16457" s="1"/>
  <c r="DO21" i="16457"/>
  <c r="AU41" i="16457"/>
  <c r="DG41" i="16457" s="1"/>
  <c r="DG42" i="16457"/>
  <c r="BC41" i="16457"/>
  <c r="DO41" i="16457" s="1"/>
  <c r="DO42" i="16457"/>
  <c r="BK41" i="16457"/>
  <c r="DW41" i="16457" s="1"/>
  <c r="DW42" i="16457"/>
  <c r="AT41" i="16457"/>
  <c r="DF41" i="16457" s="1"/>
  <c r="DF42" i="16457"/>
  <c r="BB41" i="16457"/>
  <c r="DN41" i="16457" s="1"/>
  <c r="DN42" i="16457"/>
  <c r="BJ41" i="16457"/>
  <c r="DV41" i="16457" s="1"/>
  <c r="DV42" i="16457"/>
  <c r="AU48" i="16457"/>
  <c r="AU45" i="16457" s="1"/>
  <c r="DG45" i="16457" s="1"/>
  <c r="DG49" i="16457"/>
  <c r="BC48" i="16457"/>
  <c r="BC45" i="16457" s="1"/>
  <c r="DO45" i="16457" s="1"/>
  <c r="DO49" i="16457"/>
  <c r="BK48" i="16457"/>
  <c r="BK45" i="16457" s="1"/>
  <c r="DW45" i="16457" s="1"/>
  <c r="DW49" i="16457"/>
  <c r="AT48" i="16457"/>
  <c r="AT45" i="16457" s="1"/>
  <c r="DF45" i="16457" s="1"/>
  <c r="DF49" i="16457"/>
  <c r="BB48" i="16457"/>
  <c r="BB45" i="16457" s="1"/>
  <c r="DN45" i="16457" s="1"/>
  <c r="DN49" i="16457"/>
  <c r="BJ48" i="16457"/>
  <c r="BJ45" i="16457" s="1"/>
  <c r="DV45" i="16457" s="1"/>
  <c r="DV49" i="16457"/>
  <c r="BT56" i="16457"/>
  <c r="EF57" i="16457"/>
  <c r="BS56" i="16457"/>
  <c r="EE57" i="16457"/>
  <c r="BT48" i="16457"/>
  <c r="BT45" i="16457" s="1"/>
  <c r="EF45" i="16457" s="1"/>
  <c r="EF49" i="16457"/>
  <c r="BS48" i="16457"/>
  <c r="BS45" i="16457" s="1"/>
  <c r="EE45" i="16457" s="1"/>
  <c r="EE49" i="16457"/>
  <c r="BP58" i="16457"/>
  <c r="EB58" i="16457" s="1"/>
  <c r="EB59" i="16457"/>
  <c r="BT51" i="16457"/>
  <c r="EF51" i="16457" s="1"/>
  <c r="EF131" i="16457" s="1"/>
  <c r="EF52" i="16457"/>
  <c r="BS51" i="16457"/>
  <c r="EE51" i="16457" s="1"/>
  <c r="EE131" i="16457" s="1"/>
  <c r="EE52" i="16457"/>
  <c r="BR41" i="16457"/>
  <c r="ED41" i="16457" s="1"/>
  <c r="ED42" i="16457"/>
  <c r="BQ41" i="16457"/>
  <c r="EC41" i="16457" s="1"/>
  <c r="EC42" i="16457"/>
  <c r="BI56" i="16457"/>
  <c r="DU57" i="16457"/>
  <c r="AS56" i="16457"/>
  <c r="DE57" i="16457"/>
  <c r="AZ56" i="16457"/>
  <c r="DL57" i="16457"/>
  <c r="AY56" i="16457"/>
  <c r="DK57" i="16457"/>
  <c r="BN56" i="16457"/>
  <c r="DZ57" i="16457"/>
  <c r="BJ56" i="16457"/>
  <c r="DV57" i="16457"/>
  <c r="AT56" i="16457"/>
  <c r="DF57" i="16457"/>
  <c r="AU20" i="16457"/>
  <c r="DG20" i="16457" s="1"/>
  <c r="DG21" i="16457"/>
  <c r="BO20" i="16457"/>
  <c r="EA20" i="16457" s="1"/>
  <c r="EA21" i="16457"/>
  <c r="BN20" i="16457"/>
  <c r="DZ20" i="16457" s="1"/>
  <c r="DZ21" i="16457"/>
  <c r="BM141" i="16457"/>
  <c r="BM164" i="16457" s="1"/>
  <c r="AB68" i="16501" s="1"/>
  <c r="DY56" i="16457"/>
  <c r="AU141" i="16457"/>
  <c r="AU164" i="16457" s="1"/>
  <c r="J68" i="16501" s="1"/>
  <c r="DG56" i="16457"/>
  <c r="AR51" i="16457"/>
  <c r="DD52" i="16457"/>
  <c r="AW41" i="16457"/>
  <c r="DI41" i="16457" s="1"/>
  <c r="DI42" i="16457"/>
  <c r="BE41" i="16457"/>
  <c r="DQ41" i="16457" s="1"/>
  <c r="DQ42" i="16457"/>
  <c r="BM41" i="16457"/>
  <c r="DY41" i="16457" s="1"/>
  <c r="DY42" i="16457"/>
  <c r="AV41" i="16457"/>
  <c r="DH41" i="16457" s="1"/>
  <c r="DH42" i="16457"/>
  <c r="BD41" i="16457"/>
  <c r="DP41" i="16457" s="1"/>
  <c r="DP42" i="16457"/>
  <c r="BL41" i="16457"/>
  <c r="DX41" i="16457" s="1"/>
  <c r="DX42" i="16457"/>
  <c r="AW48" i="16457"/>
  <c r="AW45" i="16457" s="1"/>
  <c r="DI45" i="16457" s="1"/>
  <c r="DI49" i="16457"/>
  <c r="BE48" i="16457"/>
  <c r="BE45" i="16457" s="1"/>
  <c r="DQ45" i="16457" s="1"/>
  <c r="DQ49" i="16457"/>
  <c r="BM48" i="16457"/>
  <c r="BM45" i="16457" s="1"/>
  <c r="DY45" i="16457" s="1"/>
  <c r="DY49" i="16457"/>
  <c r="AV48" i="16457"/>
  <c r="AV45" i="16457" s="1"/>
  <c r="DH45" i="16457" s="1"/>
  <c r="DH49" i="16457"/>
  <c r="BD48" i="16457"/>
  <c r="BD45" i="16457" s="1"/>
  <c r="DP45" i="16457" s="1"/>
  <c r="DP49" i="16457"/>
  <c r="BL48" i="16457"/>
  <c r="BL45" i="16457" s="1"/>
  <c r="DX45" i="16457" s="1"/>
  <c r="DX49" i="16457"/>
  <c r="BR56" i="16457"/>
  <c r="ED57" i="16457"/>
  <c r="BQ56" i="16457"/>
  <c r="EC57" i="16457"/>
  <c r="BR48" i="16457"/>
  <c r="BR45" i="16457" s="1"/>
  <c r="ED45" i="16457" s="1"/>
  <c r="ED49" i="16457"/>
  <c r="BQ48" i="16457"/>
  <c r="BQ45" i="16457" s="1"/>
  <c r="EC45" i="16457" s="1"/>
  <c r="EC49" i="16457"/>
  <c r="BR51" i="16457"/>
  <c r="ED51" i="16457" s="1"/>
  <c r="ED131" i="16457" s="1"/>
  <c r="ED52" i="16457"/>
  <c r="BQ51" i="16457"/>
  <c r="EC51" i="16457" s="1"/>
  <c r="EC131" i="16457" s="1"/>
  <c r="EC52" i="16457"/>
  <c r="BP41" i="16457"/>
  <c r="EB41" i="16457" s="1"/>
  <c r="EB42" i="16457"/>
  <c r="BE56" i="16457"/>
  <c r="DQ57" i="16457"/>
  <c r="BL56" i="16457"/>
  <c r="DX57" i="16457"/>
  <c r="AV56" i="16457"/>
  <c r="DH57" i="16457"/>
  <c r="BF56" i="16457"/>
  <c r="DR57" i="16457"/>
  <c r="AX56" i="16457"/>
  <c r="DJ57" i="16457"/>
  <c r="BK56" i="16457"/>
  <c r="DW57" i="16457"/>
  <c r="AR94" i="16460"/>
  <c r="EC7" i="16506"/>
  <c r="DM7" i="16506"/>
  <c r="DU7" i="16506"/>
  <c r="DE7" i="16506"/>
  <c r="DQ7" i="16506"/>
  <c r="FG76" i="16506"/>
  <c r="FH76" i="16506"/>
  <c r="FC76" i="16506"/>
  <c r="EX76" i="16506"/>
  <c r="EU76" i="16506"/>
  <c r="EQ76" i="16506"/>
  <c r="EL76" i="16506"/>
  <c r="EI76" i="16506"/>
  <c r="FF76" i="16506"/>
  <c r="FB76" i="16506"/>
  <c r="EY76" i="16506"/>
  <c r="ET76" i="16506"/>
  <c r="EP76" i="16506"/>
  <c r="EM76" i="16506"/>
  <c r="EH76" i="16506"/>
  <c r="FE76" i="16506"/>
  <c r="FA76" i="16506"/>
  <c r="EW76" i="16506"/>
  <c r="ER76" i="16506"/>
  <c r="EN76" i="16506"/>
  <c r="EK76" i="16506"/>
  <c r="FD76" i="16506"/>
  <c r="EZ76" i="16506"/>
  <c r="EV76" i="16506"/>
  <c r="ES76" i="16506"/>
  <c r="EO76" i="16506"/>
  <c r="EJ76" i="16506"/>
  <c r="EG76" i="16506"/>
  <c r="EF76" i="16506"/>
  <c r="DW119" i="16506"/>
  <c r="DG119" i="16506"/>
  <c r="DN119" i="16506"/>
  <c r="FH56" i="16506"/>
  <c r="FH55" i="16506" s="1"/>
  <c r="FC56" i="16506"/>
  <c r="FC55" i="16506" s="1"/>
  <c r="DA80" i="16506"/>
  <c r="EB7" i="16506"/>
  <c r="DL7" i="16506"/>
  <c r="DT119" i="16506"/>
  <c r="DD119" i="16506"/>
  <c r="DM119" i="16506"/>
  <c r="DL119" i="16506"/>
  <c r="DU119" i="16506"/>
  <c r="DE119" i="16506"/>
  <c r="DX119" i="16506"/>
  <c r="DA119" i="16506"/>
  <c r="BP142" i="16457"/>
  <c r="BP165" i="16457" s="1"/>
  <c r="BT58" i="16457"/>
  <c r="EF58" i="16457" s="1"/>
  <c r="BT142" i="16457"/>
  <c r="BT165" i="16457" s="1"/>
  <c r="BM21" i="16457"/>
  <c r="BM24" i="16457"/>
  <c r="AW21" i="16457"/>
  <c r="AW24" i="16457"/>
  <c r="AR21" i="16457"/>
  <c r="AR24" i="16457"/>
  <c r="BT21" i="16457"/>
  <c r="BT24" i="16457"/>
  <c r="BP21" i="16457"/>
  <c r="BP24" i="16457"/>
  <c r="AV21" i="16457"/>
  <c r="AV24" i="16457"/>
  <c r="BL21" i="16457"/>
  <c r="BL24" i="16457"/>
  <c r="BI21" i="16457"/>
  <c r="BI24" i="16457"/>
  <c r="AS21" i="16457"/>
  <c r="AS24" i="16457"/>
  <c r="BJ21" i="16457"/>
  <c r="BJ24" i="16457"/>
  <c r="BS21" i="16457"/>
  <c r="BS24" i="16457"/>
  <c r="BF21" i="16457"/>
  <c r="BF24" i="16457"/>
  <c r="AQ26" i="16457"/>
  <c r="AR26" i="16457"/>
  <c r="BE21" i="16457"/>
  <c r="BE24" i="16457"/>
  <c r="BH21" i="16457"/>
  <c r="BH24" i="16457"/>
  <c r="BB21" i="16457"/>
  <c r="BB24" i="16457"/>
  <c r="BR21" i="16457"/>
  <c r="BR24" i="16457"/>
  <c r="BA21" i="16457"/>
  <c r="BA24" i="16457"/>
  <c r="AZ21" i="16457"/>
  <c r="AZ24" i="16457"/>
  <c r="AT21" i="16457"/>
  <c r="AT24" i="16457"/>
  <c r="BU21" i="16457"/>
  <c r="BU24" i="16457"/>
  <c r="BQ21" i="16457"/>
  <c r="BQ24" i="16457"/>
  <c r="AY21" i="16457"/>
  <c r="AY24" i="16457"/>
  <c r="BG21" i="16457"/>
  <c r="BG24" i="16457"/>
  <c r="BR58" i="16457"/>
  <c r="BG131" i="16457"/>
  <c r="BC131" i="16457"/>
  <c r="BD131" i="16457"/>
  <c r="AX131" i="16457"/>
  <c r="AV131" i="16457"/>
  <c r="AY131" i="16457"/>
  <c r="BF131" i="16457"/>
  <c r="BK131" i="16457"/>
  <c r="AU131" i="16457"/>
  <c r="BN131" i="16457"/>
  <c r="BO131" i="16457"/>
  <c r="M256" i="16460"/>
  <c r="DX14" i="16506"/>
  <c r="DT7" i="16506"/>
  <c r="DD7" i="16506"/>
  <c r="DO119" i="16506"/>
  <c r="DV119" i="16506"/>
  <c r="DF119" i="16506"/>
  <c r="FG56" i="16506"/>
  <c r="FG55" i="16506" s="1"/>
  <c r="FE56" i="16506"/>
  <c r="FE55" i="16506" s="1"/>
  <c r="FF56" i="16506"/>
  <c r="FF55" i="16506" s="1"/>
  <c r="FB56" i="16506"/>
  <c r="FB55" i="16506" s="1"/>
  <c r="FI56" i="16506"/>
  <c r="FI55" i="16506" s="1"/>
  <c r="FD56" i="16506"/>
  <c r="FD55" i="16506" s="1"/>
  <c r="DB80" i="16506"/>
  <c r="DZ7" i="16506"/>
  <c r="DJ7" i="16506"/>
  <c r="DS7" i="16506"/>
  <c r="DC7" i="16506"/>
  <c r="DC80" i="16506"/>
  <c r="DP7" i="16506"/>
  <c r="DR7" i="16506"/>
  <c r="DB7" i="16506"/>
  <c r="EA7" i="16506"/>
  <c r="DK7" i="16506"/>
  <c r="DJ14" i="16506"/>
  <c r="DC14" i="16506"/>
  <c r="P60" i="16460"/>
  <c r="P78" i="16460"/>
  <c r="P49" i="16460"/>
  <c r="N117" i="16460"/>
  <c r="N46" i="16460"/>
  <c r="N77" i="16460"/>
  <c r="N257" i="16460" s="1"/>
  <c r="O64" i="16460"/>
  <c r="N85" i="16460"/>
  <c r="N83" i="16460" s="1"/>
  <c r="N81" i="16460"/>
  <c r="O55" i="16460"/>
  <c r="O62" i="16460"/>
  <c r="AN106" i="16460"/>
  <c r="AR106" i="16460"/>
  <c r="N61" i="16460"/>
  <c r="O63" i="16460"/>
  <c r="N44" i="16460"/>
  <c r="N70" i="16460"/>
  <c r="N15" i="16460"/>
  <c r="N12" i="16460" s="1"/>
  <c r="O50" i="16460"/>
  <c r="N111" i="16460"/>
  <c r="P54" i="16460"/>
  <c r="O90" i="16460"/>
  <c r="DK14" i="16506"/>
  <c r="O14" i="16460"/>
  <c r="N88" i="16460"/>
  <c r="N120" i="16460"/>
  <c r="N114" i="16460"/>
  <c r="O73" i="16460"/>
  <c r="P80" i="16460"/>
  <c r="O71" i="16460"/>
  <c r="N52" i="16460"/>
  <c r="N58" i="16460"/>
  <c r="N110" i="16460"/>
  <c r="O121" i="16460"/>
  <c r="AW58" i="16457"/>
  <c r="BE58" i="16457"/>
  <c r="BM58" i="16457"/>
  <c r="AV58" i="16457"/>
  <c r="BD58" i="16457"/>
  <c r="BL58" i="16457"/>
  <c r="DK119" i="16506"/>
  <c r="DR119" i="16506"/>
  <c r="DB119" i="16506"/>
  <c r="BQ58" i="16457"/>
  <c r="DX7" i="16506"/>
  <c r="DH7" i="16506"/>
  <c r="DS14" i="16506"/>
  <c r="AS58" i="16457"/>
  <c r="BA58" i="16457"/>
  <c r="BI58" i="16457"/>
  <c r="AZ58" i="16457"/>
  <c r="BH58" i="16457"/>
  <c r="DS119" i="16506"/>
  <c r="DC119" i="16506"/>
  <c r="DJ119" i="16506"/>
  <c r="BU58" i="16457"/>
  <c r="AU58" i="16457"/>
  <c r="AY58" i="16457"/>
  <c r="BC58" i="16457"/>
  <c r="BG58" i="16457"/>
  <c r="BK58" i="16457"/>
  <c r="BO58" i="16457"/>
  <c r="AT58" i="16457"/>
  <c r="AX58" i="16457"/>
  <c r="BB58" i="16457"/>
  <c r="BF58" i="16457"/>
  <c r="BJ58" i="16457"/>
  <c r="BN58" i="16457"/>
  <c r="M255" i="16460"/>
  <c r="DH14" i="16506"/>
  <c r="DV14" i="16506"/>
  <c r="DF14" i="16506"/>
  <c r="ED7" i="16506"/>
  <c r="DV7" i="16506"/>
  <c r="DN7" i="16506"/>
  <c r="DF7" i="16506"/>
  <c r="DA7" i="16506"/>
  <c r="DW7" i="16506"/>
  <c r="DO7" i="16506"/>
  <c r="DG7" i="16506"/>
  <c r="DD14" i="16506"/>
  <c r="AR58" i="16457"/>
  <c r="DD58" i="16457" s="1"/>
  <c r="BS58" i="16457"/>
  <c r="P101" i="16460"/>
  <c r="N36" i="16460"/>
  <c r="M259" i="16460"/>
  <c r="AQ25" i="16457"/>
  <c r="O82" i="16460"/>
  <c r="N258" i="16460"/>
  <c r="M9" i="16460"/>
  <c r="N10" i="16460"/>
  <c r="R10" i="16461" s="1"/>
  <c r="O76" i="16460"/>
  <c r="I52" i="16506"/>
  <c r="AT76" i="16457"/>
  <c r="DF76" i="16457" s="1"/>
  <c r="AX76" i="16457"/>
  <c r="DJ76" i="16457" s="1"/>
  <c r="BB76" i="16457"/>
  <c r="DN76" i="16457" s="1"/>
  <c r="BF76" i="16457"/>
  <c r="DR76" i="16457" s="1"/>
  <c r="BJ76" i="16457"/>
  <c r="DV76" i="16457" s="1"/>
  <c r="BN76" i="16457"/>
  <c r="DZ76" i="16457" s="1"/>
  <c r="BR76" i="16457"/>
  <c r="ED76" i="16457" s="1"/>
  <c r="AU76" i="16457"/>
  <c r="DG76" i="16457" s="1"/>
  <c r="AY76" i="16457"/>
  <c r="DK76" i="16457" s="1"/>
  <c r="BC76" i="16457"/>
  <c r="DO76" i="16457" s="1"/>
  <c r="BG76" i="16457"/>
  <c r="DS76" i="16457" s="1"/>
  <c r="BK76" i="16457"/>
  <c r="DW76" i="16457" s="1"/>
  <c r="BO76" i="16457"/>
  <c r="EA76" i="16457" s="1"/>
  <c r="BS76" i="16457"/>
  <c r="EE76" i="16457" s="1"/>
  <c r="AV76" i="16457"/>
  <c r="DH76" i="16457" s="1"/>
  <c r="AZ76" i="16457"/>
  <c r="DL76" i="16457" s="1"/>
  <c r="BD76" i="16457"/>
  <c r="DP76" i="16457" s="1"/>
  <c r="BH76" i="16457"/>
  <c r="DT76" i="16457" s="1"/>
  <c r="BL76" i="16457"/>
  <c r="DX76" i="16457" s="1"/>
  <c r="BP76" i="16457"/>
  <c r="EB76" i="16457" s="1"/>
  <c r="BT76" i="16457"/>
  <c r="EF76" i="16457" s="1"/>
  <c r="AS76" i="16457"/>
  <c r="DE76" i="16457" s="1"/>
  <c r="AW76" i="16457"/>
  <c r="DI76" i="16457" s="1"/>
  <c r="BA76" i="16457"/>
  <c r="DM76" i="16457" s="1"/>
  <c r="BE76" i="16457"/>
  <c r="DQ76" i="16457" s="1"/>
  <c r="BI76" i="16457"/>
  <c r="DU76" i="16457" s="1"/>
  <c r="BM76" i="16457"/>
  <c r="DY76" i="16457" s="1"/>
  <c r="BQ76" i="16457"/>
  <c r="EC76" i="16457" s="1"/>
  <c r="BU76" i="16457"/>
  <c r="EG76" i="16457" s="1"/>
  <c r="EF81" i="16506"/>
  <c r="EG81" i="16506"/>
  <c r="EH81" i="16506"/>
  <c r="EI81" i="16506"/>
  <c r="EJ81" i="16506"/>
  <c r="EK81" i="16506"/>
  <c r="EL81" i="16506"/>
  <c r="EM81" i="16506"/>
  <c r="EN81" i="16506"/>
  <c r="EO81" i="16506"/>
  <c r="EP81" i="16506"/>
  <c r="EQ81" i="16506"/>
  <c r="ER81" i="16506"/>
  <c r="ES81" i="16506"/>
  <c r="ET81" i="16506"/>
  <c r="EU81" i="16506"/>
  <c r="EV81" i="16506"/>
  <c r="EW81" i="16506"/>
  <c r="EX81" i="16506"/>
  <c r="EY81" i="16506"/>
  <c r="EZ81" i="16506"/>
  <c r="FA81" i="16506"/>
  <c r="FB81" i="16506"/>
  <c r="FC81" i="16506"/>
  <c r="FD81" i="16506"/>
  <c r="FE81" i="16506"/>
  <c r="FF81" i="16506"/>
  <c r="FG81" i="16506"/>
  <c r="FH81" i="16506"/>
  <c r="FI81" i="16506"/>
  <c r="EF8" i="16506"/>
  <c r="EG8" i="16506"/>
  <c r="EH8" i="16506"/>
  <c r="EI8" i="16506"/>
  <c r="EJ8" i="16506"/>
  <c r="EK8" i="16506"/>
  <c r="EL8" i="16506"/>
  <c r="EM8" i="16506"/>
  <c r="EN8" i="16506"/>
  <c r="EO8" i="16506"/>
  <c r="EQ8" i="16506"/>
  <c r="EP8" i="16506"/>
  <c r="ER8" i="16506"/>
  <c r="ES8" i="16506"/>
  <c r="EV8" i="16506"/>
  <c r="ET8" i="16506"/>
  <c r="EU8" i="16506"/>
  <c r="EW8" i="16506"/>
  <c r="EX8" i="16506"/>
  <c r="EY8" i="16506"/>
  <c r="EZ8" i="16506"/>
  <c r="FA8" i="16506"/>
  <c r="FB8" i="16506"/>
  <c r="FD8" i="16506"/>
  <c r="FC8" i="16506"/>
  <c r="FE8" i="16506"/>
  <c r="FG8" i="16506"/>
  <c r="FF8" i="16506"/>
  <c r="FH8" i="16506"/>
  <c r="FI8" i="16506"/>
  <c r="AQ77" i="16457"/>
  <c r="DC77" i="16457" s="1"/>
  <c r="EF82" i="16506"/>
  <c r="EG82" i="16506"/>
  <c r="EH82" i="16506"/>
  <c r="EI82" i="16506"/>
  <c r="EK82" i="16506"/>
  <c r="EJ82" i="16506"/>
  <c r="EL82" i="16506"/>
  <c r="EM82" i="16506"/>
  <c r="EN82" i="16506"/>
  <c r="EO82" i="16506"/>
  <c r="EQ82" i="16506"/>
  <c r="EP82" i="16506"/>
  <c r="ER82" i="16506"/>
  <c r="ES82" i="16506"/>
  <c r="ET82" i="16506"/>
  <c r="EU82" i="16506"/>
  <c r="EW82" i="16506"/>
  <c r="EV82" i="16506"/>
  <c r="EX82" i="16506"/>
  <c r="EY82" i="16506"/>
  <c r="EZ82" i="16506"/>
  <c r="FA82" i="16506"/>
  <c r="FB82" i="16506"/>
  <c r="FC82" i="16506"/>
  <c r="FD82" i="16506"/>
  <c r="FE82" i="16506"/>
  <c r="FF82" i="16506"/>
  <c r="FG82" i="16506"/>
  <c r="FH82" i="16506"/>
  <c r="FI82" i="16506"/>
  <c r="AQ78" i="16457"/>
  <c r="DC78" i="16457" s="1"/>
  <c r="AR76" i="16457"/>
  <c r="DD76" i="16457" s="1"/>
  <c r="EG9" i="16506"/>
  <c r="EF9" i="16506"/>
  <c r="EH9" i="16506"/>
  <c r="EI9" i="16506"/>
  <c r="EJ9" i="16506"/>
  <c r="EL9" i="16506"/>
  <c r="EK9" i="16506"/>
  <c r="EM9" i="16506"/>
  <c r="EO9" i="16506"/>
  <c r="EN9" i="16506"/>
  <c r="EP9" i="16506"/>
  <c r="ER9" i="16506"/>
  <c r="EQ9" i="16506"/>
  <c r="ES9" i="16506"/>
  <c r="ET9" i="16506"/>
  <c r="EU9" i="16506"/>
  <c r="EW9" i="16506"/>
  <c r="EV9" i="16506"/>
  <c r="EX9" i="16506"/>
  <c r="EY9" i="16506"/>
  <c r="EZ9" i="16506"/>
  <c r="FA9" i="16506"/>
  <c r="FB9" i="16506"/>
  <c r="FC9" i="16506"/>
  <c r="FE9" i="16506"/>
  <c r="FD9" i="16506"/>
  <c r="FF9" i="16506"/>
  <c r="FG9" i="16506"/>
  <c r="FH9" i="16506"/>
  <c r="FI9" i="16506"/>
  <c r="DA55" i="16506"/>
  <c r="H55" i="16506" s="1"/>
  <c r="DK44" i="16506"/>
  <c r="DS44" i="16506"/>
  <c r="DM44" i="16506"/>
  <c r="N248" i="16460"/>
  <c r="N68" i="16460"/>
  <c r="DE44" i="16506"/>
  <c r="DU44" i="16506"/>
  <c r="DC44" i="16506"/>
  <c r="AR111" i="16457"/>
  <c r="AQ57" i="16457"/>
  <c r="DP119" i="16506"/>
  <c r="DH119" i="16506"/>
  <c r="ED119" i="16506"/>
  <c r="DQ119" i="16506"/>
  <c r="DI119" i="16506"/>
  <c r="FA61" i="16506"/>
  <c r="FA60" i="16506" s="1"/>
  <c r="FB61" i="16506"/>
  <c r="FB60" i="16506" s="1"/>
  <c r="FC61" i="16506"/>
  <c r="FC60" i="16506" s="1"/>
  <c r="FE61" i="16506"/>
  <c r="FE60" i="16506" s="1"/>
  <c r="FD61" i="16506"/>
  <c r="FD60" i="16506" s="1"/>
  <c r="FF61" i="16506"/>
  <c r="FF60" i="16506" s="1"/>
  <c r="FG61" i="16506"/>
  <c r="FG60" i="16506" s="1"/>
  <c r="FH61" i="16506"/>
  <c r="FH60" i="16506" s="1"/>
  <c r="FI61" i="16506"/>
  <c r="FI60" i="16506" s="1"/>
  <c r="FA17" i="16506"/>
  <c r="FB17" i="16506"/>
  <c r="FC17" i="16506"/>
  <c r="FE17" i="16506"/>
  <c r="FD17" i="16506"/>
  <c r="FF17" i="16506"/>
  <c r="FG17" i="16506"/>
  <c r="FH17" i="16506"/>
  <c r="FI17" i="16506"/>
  <c r="FA28" i="16506"/>
  <c r="FB28" i="16506"/>
  <c r="FC28" i="16506"/>
  <c r="FD28" i="16506"/>
  <c r="FE28" i="16506"/>
  <c r="FF28" i="16506"/>
  <c r="FG28" i="16506"/>
  <c r="FH28" i="16506"/>
  <c r="FI28" i="16506"/>
  <c r="FA51" i="16506"/>
  <c r="FB51" i="16506"/>
  <c r="FC51" i="16506"/>
  <c r="FD51" i="16506"/>
  <c r="FE51" i="16506"/>
  <c r="FG51" i="16506"/>
  <c r="FF51" i="16506"/>
  <c r="FH51" i="16506"/>
  <c r="FI51" i="16506"/>
  <c r="FA18" i="16506"/>
  <c r="FB18" i="16506"/>
  <c r="FC18" i="16506"/>
  <c r="FD18" i="16506"/>
  <c r="FE18" i="16506"/>
  <c r="FF18" i="16506"/>
  <c r="FG18" i="16506"/>
  <c r="FH18" i="16506"/>
  <c r="FI18" i="16506"/>
  <c r="AQ117" i="16457"/>
  <c r="FA121" i="16506"/>
  <c r="FB121" i="16506"/>
  <c r="FC121" i="16506"/>
  <c r="FD121" i="16506"/>
  <c r="FE121" i="16506"/>
  <c r="FF121" i="16506"/>
  <c r="FG121" i="16506"/>
  <c r="FI121" i="16506"/>
  <c r="FH121" i="16506"/>
  <c r="EZ121" i="16506"/>
  <c r="EX121" i="16506"/>
  <c r="EV121" i="16506"/>
  <c r="ET121" i="16506"/>
  <c r="ER121" i="16506"/>
  <c r="EP121" i="16506"/>
  <c r="EN121" i="16506"/>
  <c r="EL121" i="16506"/>
  <c r="EJ121" i="16506"/>
  <c r="EH121" i="16506"/>
  <c r="EF121" i="16506"/>
  <c r="EY121" i="16506"/>
  <c r="EW121" i="16506"/>
  <c r="EU121" i="16506"/>
  <c r="ES121" i="16506"/>
  <c r="EQ121" i="16506"/>
  <c r="EO121" i="16506"/>
  <c r="EM121" i="16506"/>
  <c r="EK121" i="16506"/>
  <c r="EI121" i="16506"/>
  <c r="EG121" i="16506"/>
  <c r="FI45" i="16506"/>
  <c r="FG45" i="16506"/>
  <c r="AQ116" i="16457"/>
  <c r="FA116" i="16506"/>
  <c r="FB116" i="16506"/>
  <c r="FC116" i="16506"/>
  <c r="FD116" i="16506"/>
  <c r="FE116" i="16506"/>
  <c r="FF116" i="16506"/>
  <c r="FG116" i="16506"/>
  <c r="FH116" i="16506"/>
  <c r="FI116" i="16506"/>
  <c r="FA120" i="16506"/>
  <c r="FB120" i="16506"/>
  <c r="FC120" i="16506"/>
  <c r="FD120" i="16506"/>
  <c r="FE120" i="16506"/>
  <c r="FF120" i="16506"/>
  <c r="FG120" i="16506"/>
  <c r="FH120" i="16506"/>
  <c r="FI120" i="16506"/>
  <c r="AT38" i="16506"/>
  <c r="DD38" i="16506" s="1"/>
  <c r="AT33" i="16506"/>
  <c r="DD33" i="16506" s="1"/>
  <c r="AS40" i="16506"/>
  <c r="DC40" i="16506" s="1"/>
  <c r="DW44" i="16506"/>
  <c r="DJ44" i="16506"/>
  <c r="DP14" i="16506"/>
  <c r="DI14" i="16506"/>
  <c r="DR14" i="16506"/>
  <c r="ED14" i="16506"/>
  <c r="DT14" i="16506"/>
  <c r="DN14" i="16506"/>
  <c r="DW14" i="16506"/>
  <c r="AQ14" i="16457"/>
  <c r="DC14" i="16457" s="1"/>
  <c r="DH44" i="16506"/>
  <c r="DX44" i="16506"/>
  <c r="DD44" i="16506"/>
  <c r="DT44" i="16506"/>
  <c r="DF44" i="16506"/>
  <c r="DV44" i="16506"/>
  <c r="DG44" i="16506"/>
  <c r="DI44" i="16506"/>
  <c r="DO14" i="16506"/>
  <c r="P40" i="16506"/>
  <c r="DE14" i="16506"/>
  <c r="DL14" i="16506"/>
  <c r="DG14" i="16506"/>
  <c r="DQ44" i="16506"/>
  <c r="DO44" i="16506"/>
  <c r="H27" i="16506"/>
  <c r="EM45" i="16506"/>
  <c r="EG45" i="16506"/>
  <c r="DA110" i="16506"/>
  <c r="BR115" i="16457"/>
  <c r="BS115" i="16457"/>
  <c r="EG56" i="16506"/>
  <c r="EG55" i="16506" s="1"/>
  <c r="EF56" i="16506"/>
  <c r="EF55" i="16506" s="1"/>
  <c r="EH56" i="16506"/>
  <c r="EI56" i="16506"/>
  <c r="EI55" i="16506" s="1"/>
  <c r="EJ56" i="16506"/>
  <c r="EJ55" i="16506" s="1"/>
  <c r="EK56" i="16506"/>
  <c r="EK55" i="16506" s="1"/>
  <c r="EL56" i="16506"/>
  <c r="EL55" i="16506" s="1"/>
  <c r="EM56" i="16506"/>
  <c r="EM55" i="16506" s="1"/>
  <c r="EN56" i="16506"/>
  <c r="EN55" i="16506" s="1"/>
  <c r="EO56" i="16506"/>
  <c r="EO55" i="16506" s="1"/>
  <c r="EP56" i="16506"/>
  <c r="EP55" i="16506" s="1"/>
  <c r="EQ56" i="16506"/>
  <c r="EQ55" i="16506" s="1"/>
  <c r="ER56" i="16506"/>
  <c r="ER55" i="16506" s="1"/>
  <c r="ES56" i="16506"/>
  <c r="ES55" i="16506" s="1"/>
  <c r="ET56" i="16506"/>
  <c r="ET55" i="16506" s="1"/>
  <c r="EU56" i="16506"/>
  <c r="EU55" i="16506" s="1"/>
  <c r="EV56" i="16506"/>
  <c r="EV55" i="16506" s="1"/>
  <c r="EW56" i="16506"/>
  <c r="EW55" i="16506" s="1"/>
  <c r="EY56" i="16506"/>
  <c r="EY55" i="16506" s="1"/>
  <c r="EX56" i="16506"/>
  <c r="EX55" i="16506" s="1"/>
  <c r="EZ56" i="16506"/>
  <c r="EZ55" i="16506" s="1"/>
  <c r="EF61" i="16506"/>
  <c r="EF60" i="16506" s="1"/>
  <c r="EG61" i="16506"/>
  <c r="EG60" i="16506" s="1"/>
  <c r="EH61" i="16506"/>
  <c r="EH60" i="16506" s="1"/>
  <c r="EI61" i="16506"/>
  <c r="EI60" i="16506" s="1"/>
  <c r="EJ61" i="16506"/>
  <c r="EJ60" i="16506" s="1"/>
  <c r="EK61" i="16506"/>
  <c r="EK60" i="16506" s="1"/>
  <c r="EL61" i="16506"/>
  <c r="EL60" i="16506" s="1"/>
  <c r="EM61" i="16506"/>
  <c r="EM60" i="16506" s="1"/>
  <c r="EN61" i="16506"/>
  <c r="EN60" i="16506" s="1"/>
  <c r="EO61" i="16506"/>
  <c r="EO60" i="16506" s="1"/>
  <c r="EP61" i="16506"/>
  <c r="EP60" i="16506" s="1"/>
  <c r="EQ61" i="16506"/>
  <c r="EQ60" i="16506" s="1"/>
  <c r="ER61" i="16506"/>
  <c r="ER60" i="16506" s="1"/>
  <c r="ES61" i="16506"/>
  <c r="ES60" i="16506" s="1"/>
  <c r="ET61" i="16506"/>
  <c r="ET60" i="16506" s="1"/>
  <c r="EU61" i="16506"/>
  <c r="EU60" i="16506" s="1"/>
  <c r="EV61" i="16506"/>
  <c r="EV60" i="16506" s="1"/>
  <c r="EW61" i="16506"/>
  <c r="EW60" i="16506" s="1"/>
  <c r="EX61" i="16506"/>
  <c r="EX60" i="16506" s="1"/>
  <c r="EY61" i="16506"/>
  <c r="EY60" i="16506" s="1"/>
  <c r="EZ61" i="16506"/>
  <c r="EZ60" i="16506" s="1"/>
  <c r="EF17" i="16506"/>
  <c r="EG17" i="16506"/>
  <c r="EH17" i="16506"/>
  <c r="EI17" i="16506"/>
  <c r="EJ17" i="16506"/>
  <c r="EL17" i="16506"/>
  <c r="EK17" i="16506"/>
  <c r="EM17" i="16506"/>
  <c r="EN17" i="16506"/>
  <c r="EO17" i="16506"/>
  <c r="EP17" i="16506"/>
  <c r="EQ17" i="16506"/>
  <c r="ER17" i="16506"/>
  <c r="ES17" i="16506"/>
  <c r="ET17" i="16506"/>
  <c r="EU17" i="16506"/>
  <c r="EV17" i="16506"/>
  <c r="EW17" i="16506"/>
  <c r="EY17" i="16506"/>
  <c r="EX17" i="16506"/>
  <c r="EZ17" i="16506"/>
  <c r="EF28" i="16506"/>
  <c r="EG28" i="16506"/>
  <c r="EH28" i="16506"/>
  <c r="EI28" i="16506"/>
  <c r="EJ28" i="16506"/>
  <c r="EK28" i="16506"/>
  <c r="EL28" i="16506"/>
  <c r="EN28" i="16506"/>
  <c r="EM28" i="16506"/>
  <c r="EO28" i="16506"/>
  <c r="EP28" i="16506"/>
  <c r="ER28" i="16506"/>
  <c r="EQ28" i="16506"/>
  <c r="ES28" i="16506"/>
  <c r="ET28" i="16506"/>
  <c r="EU28" i="16506"/>
  <c r="EV28" i="16506"/>
  <c r="EW28" i="16506"/>
  <c r="EX28" i="16506"/>
  <c r="EY28" i="16506"/>
  <c r="EZ28" i="16506"/>
  <c r="EF51" i="16506"/>
  <c r="EG51" i="16506"/>
  <c r="EH51" i="16506"/>
  <c r="EI51" i="16506"/>
  <c r="EJ51" i="16506"/>
  <c r="EK51" i="16506"/>
  <c r="EL51" i="16506"/>
  <c r="EM51" i="16506"/>
  <c r="EN51" i="16506"/>
  <c r="EP51" i="16506"/>
  <c r="EO51" i="16506"/>
  <c r="ER51" i="16506"/>
  <c r="EQ51" i="16506"/>
  <c r="ES51" i="16506"/>
  <c r="ET51" i="16506"/>
  <c r="EU51" i="16506"/>
  <c r="EW51" i="16506"/>
  <c r="EV51" i="16506"/>
  <c r="EX51" i="16506"/>
  <c r="EY51" i="16506"/>
  <c r="EZ51" i="16506"/>
  <c r="EF18" i="16506"/>
  <c r="EG18" i="16506"/>
  <c r="EH18" i="16506"/>
  <c r="EI18" i="16506"/>
  <c r="EJ18" i="16506"/>
  <c r="EK18" i="16506"/>
  <c r="EL18" i="16506"/>
  <c r="EM18" i="16506"/>
  <c r="EN18" i="16506"/>
  <c r="EO18" i="16506"/>
  <c r="EP18" i="16506"/>
  <c r="EQ18" i="16506"/>
  <c r="ER18" i="16506"/>
  <c r="ES18" i="16506"/>
  <c r="ET18" i="16506"/>
  <c r="EV18" i="16506"/>
  <c r="EU18" i="16506"/>
  <c r="EW18" i="16506"/>
  <c r="EX18" i="16506"/>
  <c r="EY18" i="16506"/>
  <c r="EZ18" i="16506"/>
  <c r="AQ8" i="16457"/>
  <c r="DC8" i="16457" s="1"/>
  <c r="AR7" i="16457"/>
  <c r="DD7" i="16457" s="1"/>
  <c r="BT11" i="16457"/>
  <c r="EF11" i="16457" s="1"/>
  <c r="BP11" i="16457"/>
  <c r="EB11" i="16457" s="1"/>
  <c r="BS11" i="16457"/>
  <c r="EE11" i="16457" s="1"/>
  <c r="DP44" i="16506"/>
  <c r="DR44" i="16506"/>
  <c r="ED44" i="16506"/>
  <c r="H45" i="16506"/>
  <c r="H60" i="16506"/>
  <c r="DM14" i="16506"/>
  <c r="DQ14" i="16506"/>
  <c r="BS7" i="16457"/>
  <c r="EE7" i="16457" s="1"/>
  <c r="BO7" i="16457"/>
  <c r="EA7" i="16457" s="1"/>
  <c r="BK7" i="16457"/>
  <c r="DW7" i="16457" s="1"/>
  <c r="BG7" i="16457"/>
  <c r="DS7" i="16457" s="1"/>
  <c r="BC7" i="16457"/>
  <c r="DO7" i="16457" s="1"/>
  <c r="AY7" i="16457"/>
  <c r="DK7" i="16457" s="1"/>
  <c r="AU7" i="16457"/>
  <c r="DG7" i="16457" s="1"/>
  <c r="BR7" i="16457"/>
  <c r="ED7" i="16457" s="1"/>
  <c r="BN7" i="16457"/>
  <c r="DZ7" i="16457" s="1"/>
  <c r="BJ7" i="16457"/>
  <c r="DV7" i="16457" s="1"/>
  <c r="BF7" i="16457"/>
  <c r="DR7" i="16457" s="1"/>
  <c r="BB7" i="16457"/>
  <c r="DN7" i="16457" s="1"/>
  <c r="AX7" i="16457"/>
  <c r="DJ7" i="16457" s="1"/>
  <c r="AT7" i="16457"/>
  <c r="DF7" i="16457" s="1"/>
  <c r="EH45" i="16506"/>
  <c r="EF45" i="16506"/>
  <c r="EF120" i="16506"/>
  <c r="EG120" i="16506"/>
  <c r="EH120" i="16506"/>
  <c r="EI120" i="16506"/>
  <c r="EJ120" i="16506"/>
  <c r="EK120" i="16506"/>
  <c r="EL120" i="16506"/>
  <c r="EM120" i="16506"/>
  <c r="EO120" i="16506"/>
  <c r="EN120" i="16506"/>
  <c r="EP120" i="16506"/>
  <c r="EQ120" i="16506"/>
  <c r="ER120" i="16506"/>
  <c r="ES120" i="16506"/>
  <c r="EU120" i="16506"/>
  <c r="ET120" i="16506"/>
  <c r="EV120" i="16506"/>
  <c r="EW120" i="16506"/>
  <c r="EY120" i="16506"/>
  <c r="EX120" i="16506"/>
  <c r="EZ120" i="16506"/>
  <c r="EF116" i="16506"/>
  <c r="EH116" i="16506"/>
  <c r="EG116" i="16506"/>
  <c r="EI116" i="16506"/>
  <c r="EJ116" i="16506"/>
  <c r="EL116" i="16506"/>
  <c r="EK116" i="16506"/>
  <c r="EM116" i="16506"/>
  <c r="EN116" i="16506"/>
  <c r="EO116" i="16506"/>
  <c r="EP116" i="16506"/>
  <c r="EQ116" i="16506"/>
  <c r="ER116" i="16506"/>
  <c r="ES116" i="16506"/>
  <c r="ET116" i="16506"/>
  <c r="EU116" i="16506"/>
  <c r="EW116" i="16506"/>
  <c r="EV116" i="16506"/>
  <c r="EX116" i="16506"/>
  <c r="EY116" i="16506"/>
  <c r="EZ116" i="16506"/>
  <c r="BT115" i="16457"/>
  <c r="BP115" i="16457"/>
  <c r="BU115" i="16457"/>
  <c r="BQ115" i="16457"/>
  <c r="I47" i="16506"/>
  <c r="BR11" i="16457"/>
  <c r="ED11" i="16457" s="1"/>
  <c r="BU11" i="16457"/>
  <c r="EG11" i="16457" s="1"/>
  <c r="BQ11" i="16457"/>
  <c r="EC11" i="16457" s="1"/>
  <c r="H49" i="16506"/>
  <c r="DL44" i="16506"/>
  <c r="DN44" i="16506"/>
  <c r="DU14" i="16506"/>
  <c r="BU7" i="16457"/>
  <c r="EG7" i="16457" s="1"/>
  <c r="BQ7" i="16457"/>
  <c r="EC7" i="16457" s="1"/>
  <c r="BM7" i="16457"/>
  <c r="DY7" i="16457" s="1"/>
  <c r="BI7" i="16457"/>
  <c r="DU7" i="16457" s="1"/>
  <c r="BE7" i="16457"/>
  <c r="DQ7" i="16457" s="1"/>
  <c r="BA7" i="16457"/>
  <c r="DM7" i="16457" s="1"/>
  <c r="AW7" i="16457"/>
  <c r="DI7" i="16457" s="1"/>
  <c r="AS7" i="16457"/>
  <c r="DE7" i="16457" s="1"/>
  <c r="BT7" i="16457"/>
  <c r="EF7" i="16457" s="1"/>
  <c r="BP7" i="16457"/>
  <c r="EB7" i="16457" s="1"/>
  <c r="BL7" i="16457"/>
  <c r="DX7" i="16457" s="1"/>
  <c r="BH7" i="16457"/>
  <c r="DT7" i="16457" s="1"/>
  <c r="BD7" i="16457"/>
  <c r="DP7" i="16457" s="1"/>
  <c r="AZ7" i="16457"/>
  <c r="DL7" i="16457" s="1"/>
  <c r="AV7" i="16457"/>
  <c r="DH7" i="16457" s="1"/>
  <c r="BT31" i="16457"/>
  <c r="EF31" i="16457" s="1"/>
  <c r="AN35" i="16506"/>
  <c r="AT40" i="16506"/>
  <c r="DD40" i="16506" s="1"/>
  <c r="AN37" i="16506"/>
  <c r="AN36" i="16506"/>
  <c r="AN39" i="16506"/>
  <c r="P10" i="16461"/>
  <c r="AO31" i="16457"/>
  <c r="AQ113" i="16457"/>
  <c r="N10" i="16461"/>
  <c r="M10" i="16461"/>
  <c r="Q10" i="16461"/>
  <c r="O10" i="16461"/>
  <c r="AQ47" i="16457"/>
  <c r="DC47" i="16457" s="1"/>
  <c r="AS115" i="16457"/>
  <c r="BA115" i="16457"/>
  <c r="BI115" i="16457"/>
  <c r="BF115" i="16457"/>
  <c r="BD115" i="16457"/>
  <c r="BO115" i="16457"/>
  <c r="AU11" i="16457"/>
  <c r="DG11" i="16457" s="1"/>
  <c r="AY11" i="16457"/>
  <c r="DK11" i="16457" s="1"/>
  <c r="BC11" i="16457"/>
  <c r="DO11" i="16457" s="1"/>
  <c r="BG11" i="16457"/>
  <c r="DS11" i="16457" s="1"/>
  <c r="BK11" i="16457"/>
  <c r="DW11" i="16457" s="1"/>
  <c r="BO11" i="16457"/>
  <c r="EA11" i="16457" s="1"/>
  <c r="AT11" i="16457"/>
  <c r="DF11" i="16457" s="1"/>
  <c r="AX11" i="16457"/>
  <c r="DJ11" i="16457" s="1"/>
  <c r="BB11" i="16457"/>
  <c r="DN11" i="16457" s="1"/>
  <c r="BF11" i="16457"/>
  <c r="DR11" i="16457" s="1"/>
  <c r="BJ11" i="16457"/>
  <c r="DV11" i="16457" s="1"/>
  <c r="BN11" i="16457"/>
  <c r="DZ11" i="16457" s="1"/>
  <c r="BM115" i="16457"/>
  <c r="BC115" i="16457"/>
  <c r="BH115" i="16457"/>
  <c r="AT115" i="16457"/>
  <c r="AW115" i="16457"/>
  <c r="BE115" i="16457"/>
  <c r="AX115" i="16457"/>
  <c r="BL115" i="16457"/>
  <c r="AV115" i="16457"/>
  <c r="BK115" i="16457"/>
  <c r="AS11" i="16457"/>
  <c r="DE11" i="16457" s="1"/>
  <c r="AW11" i="16457"/>
  <c r="DI11" i="16457" s="1"/>
  <c r="BA11" i="16457"/>
  <c r="DM11" i="16457" s="1"/>
  <c r="BE11" i="16457"/>
  <c r="DQ11" i="16457" s="1"/>
  <c r="BI11" i="16457"/>
  <c r="DU11" i="16457" s="1"/>
  <c r="BM11" i="16457"/>
  <c r="DY11" i="16457" s="1"/>
  <c r="AV11" i="16457"/>
  <c r="DH11" i="16457" s="1"/>
  <c r="AZ11" i="16457"/>
  <c r="DL11" i="16457" s="1"/>
  <c r="BD11" i="16457"/>
  <c r="DP11" i="16457" s="1"/>
  <c r="BH11" i="16457"/>
  <c r="DT11" i="16457" s="1"/>
  <c r="BL11" i="16457"/>
  <c r="DX11" i="16457" s="1"/>
  <c r="BN115" i="16457"/>
  <c r="BJ115" i="16457"/>
  <c r="AR115" i="16457"/>
  <c r="BB115" i="16457"/>
  <c r="AU115" i="16457"/>
  <c r="AZ115" i="16457"/>
  <c r="AY115" i="16457"/>
  <c r="BG115" i="16457"/>
  <c r="AQ59" i="16457"/>
  <c r="DC59" i="16457" s="1"/>
  <c r="AQ42" i="16457"/>
  <c r="AQ43" i="16457"/>
  <c r="DC43" i="16457" s="1"/>
  <c r="P33" i="16506"/>
  <c r="P38" i="16506"/>
  <c r="AQ52" i="16457"/>
  <c r="AQ51" i="16457" s="1"/>
  <c r="AQ18" i="16457"/>
  <c r="DC18" i="16457" s="1"/>
  <c r="AQ109" i="16457"/>
  <c r="AQ46" i="16457"/>
  <c r="DC46" i="16457" s="1"/>
  <c r="AQ49" i="16457"/>
  <c r="AQ17" i="16457"/>
  <c r="DC17" i="16457" s="1"/>
  <c r="AQ16" i="16457"/>
  <c r="DC16" i="16457" s="1"/>
  <c r="O43" i="16460"/>
  <c r="N250" i="16460"/>
  <c r="O116" i="16460"/>
  <c r="O113" i="16460"/>
  <c r="L11" i="16461"/>
  <c r="O84" i="16460"/>
  <c r="O18" i="16460"/>
  <c r="O13" i="16460"/>
  <c r="M86" i="16460"/>
  <c r="O39" i="16460"/>
  <c r="DA31" i="16457"/>
  <c r="CY30" i="16457"/>
  <c r="AN30" i="16457" l="1"/>
  <c r="BS30" i="16457"/>
  <c r="EE30" i="16457" s="1"/>
  <c r="AM34" i="16506"/>
  <c r="N86" i="16460"/>
  <c r="N38" i="16460"/>
  <c r="CR115" i="16457"/>
  <c r="CR137" i="16457" s="1"/>
  <c r="CR160" i="16457" s="1"/>
  <c r="CJ115" i="16457"/>
  <c r="CJ137" i="16457" s="1"/>
  <c r="CJ160" i="16457" s="1"/>
  <c r="CK115" i="16457"/>
  <c r="CK137" i="16457" s="1"/>
  <c r="CK160" i="16457" s="1"/>
  <c r="CN115" i="16457"/>
  <c r="CN137" i="16457" s="1"/>
  <c r="CN160" i="16457" s="1"/>
  <c r="CO115" i="16457"/>
  <c r="CO137" i="16457" s="1"/>
  <c r="CO160" i="16457" s="1"/>
  <c r="CM115" i="16457"/>
  <c r="CM137" i="16457" s="1"/>
  <c r="CM160" i="16457" s="1"/>
  <c r="N256" i="16460"/>
  <c r="CB115" i="16457"/>
  <c r="CB137" i="16457" s="1"/>
  <c r="CB160" i="16457" s="1"/>
  <c r="CI115" i="16457"/>
  <c r="CI137" i="16457" s="1"/>
  <c r="CI160" i="16457" s="1"/>
  <c r="CX115" i="16457"/>
  <c r="CX137" i="16457" s="1"/>
  <c r="CX160" i="16457" s="1"/>
  <c r="CE115" i="16457"/>
  <c r="CE137" i="16457" s="1"/>
  <c r="CE160" i="16457" s="1"/>
  <c r="CH115" i="16457"/>
  <c r="CH137" i="16457" s="1"/>
  <c r="CH160" i="16457" s="1"/>
  <c r="CY115" i="16457"/>
  <c r="CY137" i="16457" s="1"/>
  <c r="CY160" i="16457" s="1"/>
  <c r="CC115" i="16457"/>
  <c r="CC137" i="16457" s="1"/>
  <c r="CC160" i="16457" s="1"/>
  <c r="CL115" i="16457"/>
  <c r="CL137" i="16457" s="1"/>
  <c r="CL160" i="16457" s="1"/>
  <c r="CG115" i="16457"/>
  <c r="CG137" i="16457" s="1"/>
  <c r="CG160" i="16457" s="1"/>
  <c r="CF115" i="16457"/>
  <c r="CF137" i="16457" s="1"/>
  <c r="CF160" i="16457" s="1"/>
  <c r="CQ115" i="16457"/>
  <c r="CQ137" i="16457" s="1"/>
  <c r="CQ160" i="16457" s="1"/>
  <c r="CZ115" i="16457"/>
  <c r="CZ137" i="16457" s="1"/>
  <c r="CZ160" i="16457" s="1"/>
  <c r="CU115" i="16457"/>
  <c r="CU137" i="16457" s="1"/>
  <c r="CU160" i="16457" s="1"/>
  <c r="BW116" i="16457"/>
  <c r="DC116" i="16457" s="1"/>
  <c r="DA115" i="16457"/>
  <c r="DA137" i="16457" s="1"/>
  <c r="DA160" i="16457" s="1"/>
  <c r="CT115" i="16457"/>
  <c r="CT137" i="16457" s="1"/>
  <c r="CT160" i="16457" s="1"/>
  <c r="CS115" i="16457"/>
  <c r="CS137" i="16457" s="1"/>
  <c r="CS160" i="16457" s="1"/>
  <c r="CD115" i="16457"/>
  <c r="CD137" i="16457" s="1"/>
  <c r="CD160" i="16457" s="1"/>
  <c r="CW115" i="16457"/>
  <c r="CW137" i="16457" s="1"/>
  <c r="CW160" i="16457" s="1"/>
  <c r="BY115" i="16457"/>
  <c r="BY137" i="16457" s="1"/>
  <c r="BY160" i="16457" s="1"/>
  <c r="CV115" i="16457"/>
  <c r="CV137" i="16457" s="1"/>
  <c r="CV160" i="16457" s="1"/>
  <c r="CA115" i="16457"/>
  <c r="CA137" i="16457" s="1"/>
  <c r="CA160" i="16457" s="1"/>
  <c r="CP115" i="16457"/>
  <c r="CP137" i="16457" s="1"/>
  <c r="CP160" i="16457" s="1"/>
  <c r="BZ115" i="16457"/>
  <c r="BZ137" i="16457" s="1"/>
  <c r="BZ160" i="16457" s="1"/>
  <c r="BW117" i="16457"/>
  <c r="DC117" i="16457" s="1"/>
  <c r="AQ108" i="16457"/>
  <c r="DC108" i="16457" s="1"/>
  <c r="DC109" i="16457"/>
  <c r="AQ56" i="16457"/>
  <c r="DC57" i="16457"/>
  <c r="AQ24" i="16457"/>
  <c r="DC25" i="16457"/>
  <c r="BS142" i="16457"/>
  <c r="BS165" i="16457" s="1"/>
  <c r="EE58" i="16457"/>
  <c r="BF142" i="16457"/>
  <c r="BF165" i="16457" s="1"/>
  <c r="DR58" i="16457"/>
  <c r="BO142" i="16457"/>
  <c r="BO165" i="16457" s="1"/>
  <c r="EA58" i="16457"/>
  <c r="AY142" i="16457"/>
  <c r="AY165" i="16457" s="1"/>
  <c r="DK58" i="16457"/>
  <c r="BI142" i="16457"/>
  <c r="BI165" i="16457" s="1"/>
  <c r="DU58" i="16457"/>
  <c r="AV142" i="16457"/>
  <c r="AV165" i="16457" s="1"/>
  <c r="DH58" i="16457"/>
  <c r="AQ48" i="16457"/>
  <c r="AQ45" i="16457" s="1"/>
  <c r="DC45" i="16457" s="1"/>
  <c r="DC49" i="16457"/>
  <c r="BB142" i="16457"/>
  <c r="BB165" i="16457" s="1"/>
  <c r="DN58" i="16457"/>
  <c r="BK142" i="16457"/>
  <c r="BK165" i="16457" s="1"/>
  <c r="DW58" i="16457"/>
  <c r="AU142" i="16457"/>
  <c r="AU165" i="16457" s="1"/>
  <c r="DG58" i="16457"/>
  <c r="BA142" i="16457"/>
  <c r="BA165" i="16457" s="1"/>
  <c r="DM58" i="16457"/>
  <c r="BM142" i="16457"/>
  <c r="BM165" i="16457" s="1"/>
  <c r="DY58" i="16457"/>
  <c r="BG20" i="16457"/>
  <c r="DS20" i="16457" s="1"/>
  <c r="DS21" i="16457"/>
  <c r="BQ20" i="16457"/>
  <c r="EC21" i="16457"/>
  <c r="AT20" i="16457"/>
  <c r="DF21" i="16457"/>
  <c r="BA20" i="16457"/>
  <c r="DM21" i="16457"/>
  <c r="BB20" i="16457"/>
  <c r="DN21" i="16457"/>
  <c r="BE20" i="16457"/>
  <c r="DQ21" i="16457"/>
  <c r="BF20" i="16457"/>
  <c r="DR20" i="16457" s="1"/>
  <c r="DR21" i="16457"/>
  <c r="BJ20" i="16457"/>
  <c r="DV21" i="16457"/>
  <c r="BI20" i="16457"/>
  <c r="DU21" i="16457"/>
  <c r="AV20" i="16457"/>
  <c r="DH20" i="16457" s="1"/>
  <c r="DH21" i="16457"/>
  <c r="BT20" i="16457"/>
  <c r="EF21" i="16457"/>
  <c r="AW20" i="16457"/>
  <c r="DI21" i="16457"/>
  <c r="BK141" i="16457"/>
  <c r="BK164" i="16457" s="1"/>
  <c r="Z68" i="16501" s="1"/>
  <c r="DW56" i="16457"/>
  <c r="BF141" i="16457"/>
  <c r="BF164" i="16457" s="1"/>
  <c r="U68" i="16501" s="1"/>
  <c r="DR56" i="16457"/>
  <c r="BL141" i="16457"/>
  <c r="BL164" i="16457" s="1"/>
  <c r="AA68" i="16501" s="1"/>
  <c r="DX56" i="16457"/>
  <c r="BR138" i="16457"/>
  <c r="BR161" i="16457" s="1"/>
  <c r="AG64" i="16501" s="1"/>
  <c r="ED48" i="16457"/>
  <c r="BR141" i="16457"/>
  <c r="BR164" i="16457" s="1"/>
  <c r="AG68" i="16501" s="1"/>
  <c r="ED56" i="16457"/>
  <c r="BD138" i="16457"/>
  <c r="BD161" i="16457" s="1"/>
  <c r="S64" i="16501" s="1"/>
  <c r="DP48" i="16457"/>
  <c r="BM138" i="16457"/>
  <c r="BM161" i="16457" s="1"/>
  <c r="AB64" i="16501" s="1"/>
  <c r="DY48" i="16457"/>
  <c r="AW138" i="16457"/>
  <c r="AW161" i="16457" s="1"/>
  <c r="L64" i="16501" s="1"/>
  <c r="DI48" i="16457"/>
  <c r="BJ141" i="16457"/>
  <c r="BJ164" i="16457" s="1"/>
  <c r="Y68" i="16501" s="1"/>
  <c r="DV56" i="16457"/>
  <c r="AY141" i="16457"/>
  <c r="AY164" i="16457" s="1"/>
  <c r="N68" i="16501" s="1"/>
  <c r="DK56" i="16457"/>
  <c r="AS141" i="16457"/>
  <c r="AS164" i="16457" s="1"/>
  <c r="H68" i="16501" s="1"/>
  <c r="DE56" i="16457"/>
  <c r="BT138" i="16457"/>
  <c r="BT161" i="16457" s="1"/>
  <c r="AI64" i="16501" s="1"/>
  <c r="EF48" i="16457"/>
  <c r="BT141" i="16457"/>
  <c r="BT164" i="16457" s="1"/>
  <c r="AI68" i="16501" s="1"/>
  <c r="EF56" i="16457"/>
  <c r="BB138" i="16457"/>
  <c r="BB161" i="16457" s="1"/>
  <c r="Q64" i="16501" s="1"/>
  <c r="DN48" i="16457"/>
  <c r="BK138" i="16457"/>
  <c r="BK161" i="16457" s="1"/>
  <c r="Z64" i="16501" s="1"/>
  <c r="DW48" i="16457"/>
  <c r="AU138" i="16457"/>
  <c r="AU161" i="16457" s="1"/>
  <c r="J64" i="16501" s="1"/>
  <c r="DG48" i="16457"/>
  <c r="BC141" i="16457"/>
  <c r="BC164" i="16457" s="1"/>
  <c r="R68" i="16501" s="1"/>
  <c r="DO56" i="16457"/>
  <c r="BO141" i="16457"/>
  <c r="BO164" i="16457" s="1"/>
  <c r="AD68" i="16501" s="1"/>
  <c r="EA56" i="16457"/>
  <c r="AW141" i="16457"/>
  <c r="AW164" i="16457" s="1"/>
  <c r="L68" i="16501" s="1"/>
  <c r="DI56" i="16457"/>
  <c r="BU138" i="16457"/>
  <c r="BU161" i="16457" s="1"/>
  <c r="AJ64" i="16501" s="1"/>
  <c r="EG48" i="16457"/>
  <c r="BH138" i="16457"/>
  <c r="BH161" i="16457" s="1"/>
  <c r="W64" i="16501" s="1"/>
  <c r="DT48" i="16457"/>
  <c r="AR138" i="16457"/>
  <c r="AR161" i="16457" s="1"/>
  <c r="G64" i="16501" s="1"/>
  <c r="DD48" i="16457"/>
  <c r="BA138" i="16457"/>
  <c r="BA161" i="16457" s="1"/>
  <c r="P64" i="16501" s="1"/>
  <c r="DM48" i="16457"/>
  <c r="BB141" i="16457"/>
  <c r="BB164" i="16457" s="1"/>
  <c r="Q68" i="16501" s="1"/>
  <c r="DN56" i="16457"/>
  <c r="BH141" i="16457"/>
  <c r="BH164" i="16457" s="1"/>
  <c r="W68" i="16501" s="1"/>
  <c r="DT56" i="16457"/>
  <c r="BP138" i="16457"/>
  <c r="BP161" i="16457" s="1"/>
  <c r="AE64" i="16501" s="1"/>
  <c r="EB48" i="16457"/>
  <c r="BN138" i="16457"/>
  <c r="BN161" i="16457" s="1"/>
  <c r="AC64" i="16501" s="1"/>
  <c r="DZ48" i="16457"/>
  <c r="AX138" i="16457"/>
  <c r="AX161" i="16457" s="1"/>
  <c r="M64" i="16501" s="1"/>
  <c r="DJ48" i="16457"/>
  <c r="BG138" i="16457"/>
  <c r="BG161" i="16457" s="1"/>
  <c r="V64" i="16501" s="1"/>
  <c r="DS48" i="16457"/>
  <c r="AQ41" i="16457"/>
  <c r="DC41" i="16457" s="1"/>
  <c r="DC42" i="16457"/>
  <c r="BN142" i="16457"/>
  <c r="BN165" i="16457" s="1"/>
  <c r="DZ58" i="16457"/>
  <c r="AX142" i="16457"/>
  <c r="AX165" i="16457" s="1"/>
  <c r="DJ58" i="16457"/>
  <c r="BG142" i="16457"/>
  <c r="BG165" i="16457" s="1"/>
  <c r="DS58" i="16457"/>
  <c r="BU142" i="16457"/>
  <c r="BU165" i="16457" s="1"/>
  <c r="EG58" i="16457"/>
  <c r="BH142" i="16457"/>
  <c r="BH165" i="16457" s="1"/>
  <c r="DT58" i="16457"/>
  <c r="AS142" i="16457"/>
  <c r="AS165" i="16457" s="1"/>
  <c r="DE58" i="16457"/>
  <c r="BQ142" i="16457"/>
  <c r="BQ165" i="16457" s="1"/>
  <c r="EC58" i="16457"/>
  <c r="BL142" i="16457"/>
  <c r="BL165" i="16457" s="1"/>
  <c r="DX58" i="16457"/>
  <c r="BE142" i="16457"/>
  <c r="BE165" i="16457" s="1"/>
  <c r="DQ58" i="16457"/>
  <c r="BJ142" i="16457"/>
  <c r="BJ165" i="16457" s="1"/>
  <c r="DV58" i="16457"/>
  <c r="AT142" i="16457"/>
  <c r="AT165" i="16457" s="1"/>
  <c r="DF58" i="16457"/>
  <c r="BC142" i="16457"/>
  <c r="BC165" i="16457" s="1"/>
  <c r="DO58" i="16457"/>
  <c r="AZ142" i="16457"/>
  <c r="AZ165" i="16457" s="1"/>
  <c r="DL58" i="16457"/>
  <c r="BD142" i="16457"/>
  <c r="BD165" i="16457" s="1"/>
  <c r="DP58" i="16457"/>
  <c r="AW142" i="16457"/>
  <c r="AW165" i="16457" s="1"/>
  <c r="DI58" i="16457"/>
  <c r="BR142" i="16457"/>
  <c r="BR165" i="16457" s="1"/>
  <c r="ED58" i="16457"/>
  <c r="AY20" i="16457"/>
  <c r="DK20" i="16457" s="1"/>
  <c r="DK21" i="16457"/>
  <c r="BU20" i="16457"/>
  <c r="EG21" i="16457"/>
  <c r="AZ20" i="16457"/>
  <c r="DL21" i="16457"/>
  <c r="BR20" i="16457"/>
  <c r="ED21" i="16457"/>
  <c r="BH20" i="16457"/>
  <c r="DT21" i="16457"/>
  <c r="BS20" i="16457"/>
  <c r="EE21" i="16457"/>
  <c r="AS20" i="16457"/>
  <c r="DE21" i="16457"/>
  <c r="BL20" i="16457"/>
  <c r="DX21" i="16457"/>
  <c r="BP20" i="16457"/>
  <c r="EB21" i="16457"/>
  <c r="AR20" i="16457"/>
  <c r="DD20" i="16457" s="1"/>
  <c r="DD21" i="16457"/>
  <c r="BM20" i="16457"/>
  <c r="DY21" i="16457"/>
  <c r="AX141" i="16457"/>
  <c r="AX164" i="16457" s="1"/>
  <c r="M68" i="16501" s="1"/>
  <c r="DJ56" i="16457"/>
  <c r="AV141" i="16457"/>
  <c r="AV164" i="16457" s="1"/>
  <c r="K68" i="16501" s="1"/>
  <c r="DH56" i="16457"/>
  <c r="BE141" i="16457"/>
  <c r="BE164" i="16457" s="1"/>
  <c r="T68" i="16501" s="1"/>
  <c r="DQ56" i="16457"/>
  <c r="BQ138" i="16457"/>
  <c r="BQ161" i="16457" s="1"/>
  <c r="AF64" i="16501" s="1"/>
  <c r="EC48" i="16457"/>
  <c r="BQ141" i="16457"/>
  <c r="BQ164" i="16457" s="1"/>
  <c r="AF68" i="16501" s="1"/>
  <c r="EC56" i="16457"/>
  <c r="BL138" i="16457"/>
  <c r="BL161" i="16457" s="1"/>
  <c r="AA64" i="16501" s="1"/>
  <c r="DX48" i="16457"/>
  <c r="AV138" i="16457"/>
  <c r="AV161" i="16457" s="1"/>
  <c r="K64" i="16501" s="1"/>
  <c r="DH48" i="16457"/>
  <c r="BE138" i="16457"/>
  <c r="BE161" i="16457" s="1"/>
  <c r="T64" i="16501" s="1"/>
  <c r="DQ48" i="16457"/>
  <c r="AT141" i="16457"/>
  <c r="AT164" i="16457" s="1"/>
  <c r="I68" i="16501" s="1"/>
  <c r="DF56" i="16457"/>
  <c r="BN141" i="16457"/>
  <c r="BN164" i="16457" s="1"/>
  <c r="AC68" i="16501" s="1"/>
  <c r="DZ56" i="16457"/>
  <c r="AZ141" i="16457"/>
  <c r="AZ164" i="16457" s="1"/>
  <c r="O68" i="16501" s="1"/>
  <c r="DL56" i="16457"/>
  <c r="BI141" i="16457"/>
  <c r="BI164" i="16457" s="1"/>
  <c r="X68" i="16501" s="1"/>
  <c r="DU56" i="16457"/>
  <c r="BS138" i="16457"/>
  <c r="BS161" i="16457" s="1"/>
  <c r="AH64" i="16501" s="1"/>
  <c r="EE48" i="16457"/>
  <c r="BS141" i="16457"/>
  <c r="BS164" i="16457" s="1"/>
  <c r="AH68" i="16501" s="1"/>
  <c r="EE56" i="16457"/>
  <c r="BJ138" i="16457"/>
  <c r="BJ161" i="16457" s="1"/>
  <c r="Y64" i="16501" s="1"/>
  <c r="DV48" i="16457"/>
  <c r="AT138" i="16457"/>
  <c r="AT161" i="16457" s="1"/>
  <c r="I64" i="16501" s="1"/>
  <c r="DF48" i="16457"/>
  <c r="BC138" i="16457"/>
  <c r="BC161" i="16457" s="1"/>
  <c r="R64" i="16501" s="1"/>
  <c r="DO48" i="16457"/>
  <c r="BG141" i="16457"/>
  <c r="BG164" i="16457" s="1"/>
  <c r="V68" i="16501" s="1"/>
  <c r="DS56" i="16457"/>
  <c r="BD141" i="16457"/>
  <c r="BD164" i="16457" s="1"/>
  <c r="S68" i="16501" s="1"/>
  <c r="DP56" i="16457"/>
  <c r="BU141" i="16457"/>
  <c r="BU164" i="16457" s="1"/>
  <c r="AJ68" i="16501" s="1"/>
  <c r="EG56" i="16457"/>
  <c r="AZ138" i="16457"/>
  <c r="AZ161" i="16457" s="1"/>
  <c r="O64" i="16501" s="1"/>
  <c r="DL48" i="16457"/>
  <c r="BI138" i="16457"/>
  <c r="BI161" i="16457" s="1"/>
  <c r="X64" i="16501" s="1"/>
  <c r="DU48" i="16457"/>
  <c r="AS138" i="16457"/>
  <c r="AS161" i="16457" s="1"/>
  <c r="H64" i="16501" s="1"/>
  <c r="DE48" i="16457"/>
  <c r="AR141" i="16457"/>
  <c r="AR164" i="16457" s="1"/>
  <c r="G68" i="16501" s="1"/>
  <c r="DD56" i="16457"/>
  <c r="BA141" i="16457"/>
  <c r="BA164" i="16457" s="1"/>
  <c r="P68" i="16501" s="1"/>
  <c r="DM56" i="16457"/>
  <c r="BP141" i="16457"/>
  <c r="BP164" i="16457" s="1"/>
  <c r="AE68" i="16501" s="1"/>
  <c r="EB56" i="16457"/>
  <c r="BF138" i="16457"/>
  <c r="BF161" i="16457" s="1"/>
  <c r="U64" i="16501" s="1"/>
  <c r="DR48" i="16457"/>
  <c r="BO138" i="16457"/>
  <c r="BO161" i="16457" s="1"/>
  <c r="AD64" i="16501" s="1"/>
  <c r="EA48" i="16457"/>
  <c r="AY138" i="16457"/>
  <c r="AY161" i="16457" s="1"/>
  <c r="N64" i="16501" s="1"/>
  <c r="DK48" i="16457"/>
  <c r="EK49" i="16506"/>
  <c r="EZ49" i="16506"/>
  <c r="EW49" i="16506"/>
  <c r="EQ49" i="16506"/>
  <c r="EN49" i="16506"/>
  <c r="EJ49" i="16506"/>
  <c r="FG49" i="16506"/>
  <c r="FB49" i="16506"/>
  <c r="EY49" i="16506"/>
  <c r="EU49" i="16506"/>
  <c r="ER49" i="16506"/>
  <c r="EM49" i="16506"/>
  <c r="EI49" i="16506"/>
  <c r="EI44" i="16506" s="1"/>
  <c r="FI49" i="16506"/>
  <c r="FE49" i="16506"/>
  <c r="FA49" i="16506"/>
  <c r="EX49" i="16506"/>
  <c r="ET49" i="16506"/>
  <c r="EO49" i="16506"/>
  <c r="EL49" i="16506"/>
  <c r="EH49" i="16506"/>
  <c r="FH49" i="16506"/>
  <c r="FD49" i="16506"/>
  <c r="EV49" i="16506"/>
  <c r="ES49" i="16506"/>
  <c r="EP49" i="16506"/>
  <c r="FF49" i="16506"/>
  <c r="FC49" i="16506"/>
  <c r="EF49" i="16506"/>
  <c r="EF44" i="16506" s="1"/>
  <c r="EZ27" i="16506"/>
  <c r="EV27" i="16506"/>
  <c r="EQ27" i="16506"/>
  <c r="EM27" i="16506"/>
  <c r="EJ27" i="16506"/>
  <c r="FF27" i="16506"/>
  <c r="FB27" i="16506"/>
  <c r="EY27" i="16506"/>
  <c r="EU27" i="16506"/>
  <c r="ER27" i="16506"/>
  <c r="EN27" i="16506"/>
  <c r="EI27" i="16506"/>
  <c r="FI27" i="16506"/>
  <c r="FE27" i="16506"/>
  <c r="FA27" i="16506"/>
  <c r="EX27" i="16506"/>
  <c r="ET27" i="16506"/>
  <c r="EP27" i="16506"/>
  <c r="EL27" i="16506"/>
  <c r="EH27" i="16506"/>
  <c r="FH27" i="16506"/>
  <c r="FD27" i="16506"/>
  <c r="EW27" i="16506"/>
  <c r="ES27" i="16506"/>
  <c r="EO27" i="16506"/>
  <c r="EK27" i="16506"/>
  <c r="EG27" i="16506"/>
  <c r="FG27" i="16506"/>
  <c r="FC27" i="16506"/>
  <c r="EF27" i="16506"/>
  <c r="EF7" i="16506"/>
  <c r="EN7" i="16506"/>
  <c r="N255" i="16460"/>
  <c r="H80" i="16506"/>
  <c r="AR142" i="16457"/>
  <c r="AR165" i="16457" s="1"/>
  <c r="EK7" i="16506"/>
  <c r="FG7" i="16506"/>
  <c r="BP137" i="16457"/>
  <c r="BP160" i="16457" s="1"/>
  <c r="BS137" i="16457"/>
  <c r="BS160" i="16457" s="1"/>
  <c r="AR132" i="16457"/>
  <c r="BT137" i="16457"/>
  <c r="BT160" i="16457" s="1"/>
  <c r="BR137" i="16457"/>
  <c r="BR160" i="16457" s="1"/>
  <c r="AT137" i="16457"/>
  <c r="AT160" i="16457" s="1"/>
  <c r="BH137" i="16457"/>
  <c r="BH160" i="16457" s="1"/>
  <c r="BA137" i="16457"/>
  <c r="BA160" i="16457" s="1"/>
  <c r="BD137" i="16457"/>
  <c r="BD160" i="16457" s="1"/>
  <c r="BK137" i="16457"/>
  <c r="BK160" i="16457" s="1"/>
  <c r="BN137" i="16457"/>
  <c r="BN160" i="16457" s="1"/>
  <c r="BM137" i="16457"/>
  <c r="BM160" i="16457" s="1"/>
  <c r="BU137" i="16457"/>
  <c r="BU160" i="16457" s="1"/>
  <c r="BO137" i="16457"/>
  <c r="BO160" i="16457" s="1"/>
  <c r="AZ137" i="16457"/>
  <c r="AZ160" i="16457" s="1"/>
  <c r="AS137" i="16457"/>
  <c r="AS160" i="16457" s="1"/>
  <c r="AV137" i="16457"/>
  <c r="AV160" i="16457" s="1"/>
  <c r="BC137" i="16457"/>
  <c r="BC160" i="16457" s="1"/>
  <c r="BF137" i="16457"/>
  <c r="BF160" i="16457" s="1"/>
  <c r="BE137" i="16457"/>
  <c r="BE160" i="16457" s="1"/>
  <c r="BJ137" i="16457"/>
  <c r="BJ160" i="16457" s="1"/>
  <c r="BG137" i="16457"/>
  <c r="BG160" i="16457" s="1"/>
  <c r="AR137" i="16457"/>
  <c r="AR160" i="16457" s="1"/>
  <c r="AU137" i="16457"/>
  <c r="AU160" i="16457" s="1"/>
  <c r="AX137" i="16457"/>
  <c r="AX160" i="16457" s="1"/>
  <c r="AW137" i="16457"/>
  <c r="AW160" i="16457" s="1"/>
  <c r="BB137" i="16457"/>
  <c r="BB160" i="16457" s="1"/>
  <c r="AY137" i="16457"/>
  <c r="AY160" i="16457" s="1"/>
  <c r="BI137" i="16457"/>
  <c r="BI160" i="16457" s="1"/>
  <c r="BL137" i="16457"/>
  <c r="BL160" i="16457" s="1"/>
  <c r="BQ137" i="16457"/>
  <c r="BQ160" i="16457" s="1"/>
  <c r="AQ58" i="16457"/>
  <c r="H119" i="16506"/>
  <c r="O100" i="16460"/>
  <c r="P71" i="16460"/>
  <c r="Q54" i="16460"/>
  <c r="O15" i="16460"/>
  <c r="O12" i="16460" s="1"/>
  <c r="O70" i="16460"/>
  <c r="O44" i="16460"/>
  <c r="O81" i="16460"/>
  <c r="O258" i="16460" s="1"/>
  <c r="O85" i="16460"/>
  <c r="O83" i="16460" s="1"/>
  <c r="P113" i="16460"/>
  <c r="O52" i="16460"/>
  <c r="O114" i="16460"/>
  <c r="O120" i="16460"/>
  <c r="O61" i="16460"/>
  <c r="P62" i="16460"/>
  <c r="P64" i="16460"/>
  <c r="O77" i="16460"/>
  <c r="O257" i="16460" s="1"/>
  <c r="Q49" i="16460"/>
  <c r="Q60" i="16460"/>
  <c r="Q80" i="16460"/>
  <c r="P73" i="16460"/>
  <c r="O88" i="16460"/>
  <c r="P14" i="16460"/>
  <c r="P90" i="16460"/>
  <c r="O111" i="16460"/>
  <c r="P50" i="16460"/>
  <c r="P63" i="16460"/>
  <c r="P55" i="16460"/>
  <c r="O46" i="16460"/>
  <c r="O117" i="16460"/>
  <c r="P116" i="16460"/>
  <c r="P121" i="16460"/>
  <c r="O110" i="16460"/>
  <c r="O58" i="16460"/>
  <c r="O102" i="16460"/>
  <c r="Q78" i="16460"/>
  <c r="N249" i="16460"/>
  <c r="FC7" i="16506"/>
  <c r="EU7" i="16506"/>
  <c r="ER7" i="16506"/>
  <c r="FE7" i="16506"/>
  <c r="EW7" i="16506"/>
  <c r="EO7" i="16506"/>
  <c r="EG7" i="16506"/>
  <c r="FF7" i="16506"/>
  <c r="ET7" i="16506"/>
  <c r="EP7" i="16506"/>
  <c r="EV7" i="16506"/>
  <c r="EL7" i="16506"/>
  <c r="O249" i="16460"/>
  <c r="FI80" i="16506"/>
  <c r="FG80" i="16506"/>
  <c r="FE80" i="16506"/>
  <c r="FC80" i="16506"/>
  <c r="FA80" i="16506"/>
  <c r="EY80" i="16506"/>
  <c r="EU80" i="16506"/>
  <c r="ES80" i="16506"/>
  <c r="EO80" i="16506"/>
  <c r="EM80" i="16506"/>
  <c r="EI80" i="16506"/>
  <c r="EG80" i="16506"/>
  <c r="Q101" i="16460"/>
  <c r="O36" i="16460"/>
  <c r="N259" i="16460"/>
  <c r="N252" i="16460"/>
  <c r="P82" i="16460"/>
  <c r="N247" i="16460"/>
  <c r="O10" i="16460"/>
  <c r="N9" i="16460"/>
  <c r="P76" i="16460"/>
  <c r="FH7" i="16506"/>
  <c r="FB7" i="16506"/>
  <c r="EZ7" i="16506"/>
  <c r="EX7" i="16506"/>
  <c r="EQ7" i="16506"/>
  <c r="EJ7" i="16506"/>
  <c r="EH7" i="16506"/>
  <c r="EV80" i="16506"/>
  <c r="EP80" i="16506"/>
  <c r="EJ80" i="16506"/>
  <c r="FI7" i="16506"/>
  <c r="FD7" i="16506"/>
  <c r="FA7" i="16506"/>
  <c r="EY7" i="16506"/>
  <c r="ES7" i="16506"/>
  <c r="EM7" i="16506"/>
  <c r="EI7" i="16506"/>
  <c r="EW80" i="16506"/>
  <c r="EQ80" i="16506"/>
  <c r="EK80" i="16506"/>
  <c r="FH80" i="16506"/>
  <c r="FF80" i="16506"/>
  <c r="FD80" i="16506"/>
  <c r="FB80" i="16506"/>
  <c r="EZ80" i="16506"/>
  <c r="EX80" i="16506"/>
  <c r="ET80" i="16506"/>
  <c r="ER80" i="16506"/>
  <c r="EN80" i="16506"/>
  <c r="EL80" i="16506"/>
  <c r="EH80" i="16506"/>
  <c r="EF80" i="16506"/>
  <c r="AQ76" i="16457"/>
  <c r="DC76" i="16457" s="1"/>
  <c r="EH55" i="16506"/>
  <c r="EG49" i="16506"/>
  <c r="EG44" i="16506" s="1"/>
  <c r="O248" i="16460"/>
  <c r="O68" i="16460"/>
  <c r="N251" i="16460"/>
  <c r="BX115" i="16457"/>
  <c r="DD115" i="16457" s="1"/>
  <c r="DD137" i="16457" s="1"/>
  <c r="AQ21" i="16457"/>
  <c r="DC21" i="16457" s="1"/>
  <c r="AQ7" i="16457"/>
  <c r="DC7" i="16457" s="1"/>
  <c r="AR131" i="16457"/>
  <c r="EZ119" i="16506"/>
  <c r="EV119" i="16506"/>
  <c r="ER119" i="16506"/>
  <c r="EO119" i="16506"/>
  <c r="EJ119" i="16506"/>
  <c r="EF119" i="16506"/>
  <c r="FI119" i="16506"/>
  <c r="EX119" i="16506"/>
  <c r="ET119" i="16506"/>
  <c r="EQ119" i="16506"/>
  <c r="EM119" i="16506"/>
  <c r="EI119" i="16506"/>
  <c r="FG119" i="16506"/>
  <c r="FE119" i="16506"/>
  <c r="FC119" i="16506"/>
  <c r="FA119" i="16506"/>
  <c r="EW119" i="16506"/>
  <c r="ES119" i="16506"/>
  <c r="EN119" i="16506"/>
  <c r="EK119" i="16506"/>
  <c r="EG119" i="16506"/>
  <c r="FF119" i="16506"/>
  <c r="FD119" i="16506"/>
  <c r="FB119" i="16506"/>
  <c r="EY119" i="16506"/>
  <c r="EU119" i="16506"/>
  <c r="EP119" i="16506"/>
  <c r="EL119" i="16506"/>
  <c r="EH119" i="16506"/>
  <c r="FH119" i="16506"/>
  <c r="AU38" i="16506"/>
  <c r="DE38" i="16506" s="1"/>
  <c r="AU40" i="16506"/>
  <c r="DE40" i="16506" s="1"/>
  <c r="AU33" i="16506"/>
  <c r="DE33" i="16506" s="1"/>
  <c r="Q40" i="16506"/>
  <c r="AQ115" i="16457"/>
  <c r="I45" i="16506"/>
  <c r="I60" i="16506"/>
  <c r="AO36" i="16506"/>
  <c r="BU31" i="16457"/>
  <c r="EG31" i="16457" s="1"/>
  <c r="AO35" i="16506"/>
  <c r="AO39" i="16506"/>
  <c r="AO37" i="16506"/>
  <c r="N16" i="16460"/>
  <c r="Q38" i="16506"/>
  <c r="Q33" i="16506"/>
  <c r="P43" i="16460"/>
  <c r="P39" i="16460"/>
  <c r="P18" i="16460"/>
  <c r="P84" i="16460"/>
  <c r="P13" i="16460"/>
  <c r="CZ30" i="16457"/>
  <c r="BT30" i="16457" l="1"/>
  <c r="EF30" i="16457" s="1"/>
  <c r="AN34" i="16506"/>
  <c r="AO30" i="16457"/>
  <c r="N63" i="16501"/>
  <c r="M63" i="16501"/>
  <c r="K63" i="16501"/>
  <c r="X63" i="16501"/>
  <c r="L63" i="16501"/>
  <c r="T63" i="16501"/>
  <c r="DU115" i="16457"/>
  <c r="DU137" i="16457" s="1"/>
  <c r="V63" i="16501"/>
  <c r="AA63" i="16501"/>
  <c r="AH63" i="16501"/>
  <c r="S63" i="16501"/>
  <c r="DP115" i="16457"/>
  <c r="DP137" i="16457" s="1"/>
  <c r="DT115" i="16457"/>
  <c r="DT137" i="16457" s="1"/>
  <c r="DX115" i="16457"/>
  <c r="DX137" i="16457" s="1"/>
  <c r="DS115" i="16457"/>
  <c r="DS137" i="16457" s="1"/>
  <c r="DK115" i="16457"/>
  <c r="DK137" i="16457" s="1"/>
  <c r="DY115" i="16457"/>
  <c r="DY137" i="16457" s="1"/>
  <c r="DZ115" i="16457"/>
  <c r="DZ137" i="16457" s="1"/>
  <c r="W63" i="16501"/>
  <c r="DI115" i="16457"/>
  <c r="DI137" i="16457" s="1"/>
  <c r="DH115" i="16457"/>
  <c r="DH137" i="16457" s="1"/>
  <c r="U63" i="16501"/>
  <c r="Z63" i="16501"/>
  <c r="DR115" i="16457"/>
  <c r="DR137" i="16457" s="1"/>
  <c r="P63" i="16501"/>
  <c r="DQ115" i="16457"/>
  <c r="DQ137" i="16457" s="1"/>
  <c r="O86" i="16460"/>
  <c r="DM115" i="16457"/>
  <c r="DM137" i="16457" s="1"/>
  <c r="DO115" i="16457"/>
  <c r="DO137" i="16457" s="1"/>
  <c r="Q63" i="16501"/>
  <c r="R63" i="16501"/>
  <c r="AC63" i="16501"/>
  <c r="J63" i="16501"/>
  <c r="O63" i="16501"/>
  <c r="AI63" i="16501"/>
  <c r="EE115" i="16457"/>
  <c r="EE137" i="16457" s="1"/>
  <c r="DL115" i="16457"/>
  <c r="DL137" i="16457" s="1"/>
  <c r="AG63" i="16501"/>
  <c r="ED115" i="16457"/>
  <c r="ED137" i="16457" s="1"/>
  <c r="DN115" i="16457"/>
  <c r="DN137" i="16457" s="1"/>
  <c r="EA115" i="16457"/>
  <c r="EA137" i="16457" s="1"/>
  <c r="AF63" i="16501"/>
  <c r="AD63" i="16501"/>
  <c r="EF115" i="16457"/>
  <c r="EF137" i="16457" s="1"/>
  <c r="DW115" i="16457"/>
  <c r="DW137" i="16457" s="1"/>
  <c r="H63" i="16501"/>
  <c r="AJ63" i="16501"/>
  <c r="I63" i="16501"/>
  <c r="EG115" i="16457"/>
  <c r="EG137" i="16457" s="1"/>
  <c r="AE63" i="16501"/>
  <c r="DJ115" i="16457"/>
  <c r="DJ137" i="16457" s="1"/>
  <c r="EC115" i="16457"/>
  <c r="EC137" i="16457" s="1"/>
  <c r="DF115" i="16457"/>
  <c r="DF137" i="16457" s="1"/>
  <c r="AB63" i="16501"/>
  <c r="DE115" i="16457"/>
  <c r="DE137" i="16457" s="1"/>
  <c r="EB115" i="16457"/>
  <c r="EB137" i="16457" s="1"/>
  <c r="DV115" i="16457"/>
  <c r="DV137" i="16457" s="1"/>
  <c r="Y63" i="16501"/>
  <c r="DG115" i="16457"/>
  <c r="DG137" i="16457" s="1"/>
  <c r="EH44" i="16506"/>
  <c r="AQ142" i="16457"/>
  <c r="AQ165" i="16457" s="1"/>
  <c r="DC58" i="16457"/>
  <c r="BL131" i="16457"/>
  <c r="DX20" i="16457"/>
  <c r="BS131" i="16457"/>
  <c r="EE20" i="16457"/>
  <c r="BR131" i="16457"/>
  <c r="ED20" i="16457"/>
  <c r="BU131" i="16457"/>
  <c r="EG20" i="16457"/>
  <c r="AQ20" i="16457"/>
  <c r="BT131" i="16457"/>
  <c r="EF20" i="16457"/>
  <c r="BI131" i="16457"/>
  <c r="DU20" i="16457"/>
  <c r="BB131" i="16457"/>
  <c r="DN20" i="16457"/>
  <c r="AT131" i="16457"/>
  <c r="DF20" i="16457"/>
  <c r="BM131" i="16457"/>
  <c r="DY20" i="16457"/>
  <c r="BP131" i="16457"/>
  <c r="EB20" i="16457"/>
  <c r="AS131" i="16457"/>
  <c r="DE20" i="16457"/>
  <c r="BH131" i="16457"/>
  <c r="DT20" i="16457"/>
  <c r="AZ131" i="16457"/>
  <c r="DL20" i="16457"/>
  <c r="F64" i="16501"/>
  <c r="AQ138" i="16457"/>
  <c r="DC48" i="16457"/>
  <c r="AQ141" i="16457"/>
  <c r="DC56" i="16457"/>
  <c r="F68" i="16501"/>
  <c r="AW131" i="16457"/>
  <c r="DI20" i="16457"/>
  <c r="BJ131" i="16457"/>
  <c r="DV20" i="16457"/>
  <c r="BE131" i="16457"/>
  <c r="DQ20" i="16457"/>
  <c r="BA131" i="16457"/>
  <c r="DM20" i="16457"/>
  <c r="BQ131" i="16457"/>
  <c r="EC20" i="16457"/>
  <c r="AQ31" i="16457"/>
  <c r="N8" i="16460"/>
  <c r="O256" i="16460"/>
  <c r="I27" i="16506"/>
  <c r="I7" i="16506"/>
  <c r="O255" i="16460"/>
  <c r="AQ137" i="16457"/>
  <c r="AQ160" i="16457" s="1"/>
  <c r="BW115" i="16457"/>
  <c r="BW137" i="16457" s="1"/>
  <c r="BW160" i="16457" s="1"/>
  <c r="BX137" i="16457"/>
  <c r="BX160" i="16457" s="1"/>
  <c r="G63" i="16501" s="1"/>
  <c r="P102" i="16460"/>
  <c r="P58" i="16460"/>
  <c r="P46" i="16460"/>
  <c r="P111" i="16460"/>
  <c r="Q14" i="16460"/>
  <c r="Q73" i="16460"/>
  <c r="R49" i="16460"/>
  <c r="P52" i="16460"/>
  <c r="Q113" i="16460"/>
  <c r="R78" i="16460"/>
  <c r="Q121" i="16460"/>
  <c r="Q55" i="16460"/>
  <c r="Q64" i="16460"/>
  <c r="Q62" i="16460"/>
  <c r="P114" i="16460"/>
  <c r="P81" i="16460"/>
  <c r="P258" i="16460" s="1"/>
  <c r="P44" i="16460"/>
  <c r="P15" i="16460"/>
  <c r="P12" i="16460" s="1"/>
  <c r="Q116" i="16460"/>
  <c r="P117" i="16460"/>
  <c r="Q63" i="16460"/>
  <c r="Q50" i="16460"/>
  <c r="Q90" i="16460"/>
  <c r="P88" i="16460"/>
  <c r="R80" i="16460"/>
  <c r="R60" i="16460"/>
  <c r="P61" i="16460"/>
  <c r="P120" i="16460"/>
  <c r="Q71" i="16460"/>
  <c r="Q43" i="16460"/>
  <c r="R43" i="16460" s="1"/>
  <c r="P110" i="16460"/>
  <c r="P77" i="16460"/>
  <c r="P257" i="16460" s="1"/>
  <c r="P85" i="16460"/>
  <c r="P83" i="16460" s="1"/>
  <c r="P70" i="16460"/>
  <c r="R54" i="16460"/>
  <c r="P100" i="16460"/>
  <c r="O250" i="16460"/>
  <c r="I55" i="16506"/>
  <c r="I49" i="16506"/>
  <c r="R101" i="16460"/>
  <c r="P36" i="16460"/>
  <c r="O259" i="16460"/>
  <c r="Q82" i="16460"/>
  <c r="O247" i="16460"/>
  <c r="S10" i="16461"/>
  <c r="P10" i="16460"/>
  <c r="O9" i="16460"/>
  <c r="Q76" i="16460"/>
  <c r="I80" i="16506"/>
  <c r="P248" i="16460"/>
  <c r="P68" i="16460"/>
  <c r="I119" i="16506"/>
  <c r="AV33" i="16506"/>
  <c r="DF33" i="16506" s="1"/>
  <c r="AV38" i="16506"/>
  <c r="DF38" i="16506" s="1"/>
  <c r="AV40" i="16506"/>
  <c r="DF40" i="16506" s="1"/>
  <c r="BT36" i="16506"/>
  <c r="BT37" i="16506"/>
  <c r="BT39" i="16506"/>
  <c r="BT35" i="16506"/>
  <c r="BV35" i="16506" s="1"/>
  <c r="R33" i="16506"/>
  <c r="R38" i="16506"/>
  <c r="Q13" i="16460"/>
  <c r="Q84" i="16460"/>
  <c r="Q39" i="16460"/>
  <c r="Q18" i="16460"/>
  <c r="DA30" i="16457"/>
  <c r="AO34" i="16506" l="1"/>
  <c r="BT34" i="16506" s="1"/>
  <c r="ED34" i="16506" s="1"/>
  <c r="BU30" i="16457"/>
  <c r="F63" i="16501"/>
  <c r="P86" i="16460"/>
  <c r="DC115" i="16457"/>
  <c r="DC137" i="16457" s="1"/>
  <c r="AQ161" i="16457"/>
  <c r="G138" i="16457"/>
  <c r="AQ131" i="16457"/>
  <c r="DC20" i="16457"/>
  <c r="G141" i="16457"/>
  <c r="AQ164" i="16457"/>
  <c r="P256" i="16460"/>
  <c r="BW35" i="16506"/>
  <c r="G137" i="16457"/>
  <c r="P249" i="16460"/>
  <c r="P250" i="16460"/>
  <c r="Q100" i="16460"/>
  <c r="Q120" i="16460"/>
  <c r="R63" i="16460"/>
  <c r="Q117" i="16460"/>
  <c r="Q44" i="16460"/>
  <c r="Q81" i="16460"/>
  <c r="Q258" i="16460" s="1"/>
  <c r="R62" i="16460"/>
  <c r="R121" i="16460"/>
  <c r="R113" i="16460"/>
  <c r="Q85" i="16460"/>
  <c r="Q83" i="16460" s="1"/>
  <c r="Q110" i="16460"/>
  <c r="Q61" i="16460"/>
  <c r="S60" i="16460"/>
  <c r="S80" i="16460"/>
  <c r="R50" i="16460"/>
  <c r="Q15" i="16460"/>
  <c r="Q12" i="16460" s="1"/>
  <c r="Q52" i="16460"/>
  <c r="R73" i="16460"/>
  <c r="R14" i="16460"/>
  <c r="Q46" i="16460"/>
  <c r="Q77" i="16460"/>
  <c r="Q257" i="16460" s="1"/>
  <c r="R71" i="16460"/>
  <c r="Q88" i="16460"/>
  <c r="R90" i="16460"/>
  <c r="R116" i="16460"/>
  <c r="P255" i="16460"/>
  <c r="Q114" i="16460"/>
  <c r="Q102" i="16460"/>
  <c r="S54" i="16460"/>
  <c r="Q70" i="16460"/>
  <c r="R64" i="16460"/>
  <c r="R55" i="16460"/>
  <c r="S78" i="16460"/>
  <c r="S49" i="16460"/>
  <c r="Q111" i="16460"/>
  <c r="Q58" i="16460"/>
  <c r="S101" i="16460"/>
  <c r="Q36" i="16460"/>
  <c r="P259" i="16460"/>
  <c r="R82" i="16460"/>
  <c r="P247" i="16460"/>
  <c r="P9" i="16460"/>
  <c r="T10" i="16461"/>
  <c r="Q10" i="16460"/>
  <c r="R76" i="16460"/>
  <c r="Q248" i="16460"/>
  <c r="Q68" i="16460"/>
  <c r="AW38" i="16506"/>
  <c r="DG38" i="16506" s="1"/>
  <c r="AW33" i="16506"/>
  <c r="DG33" i="16506" s="1"/>
  <c r="R40" i="16506"/>
  <c r="T40" i="16506"/>
  <c r="ED39" i="16506"/>
  <c r="ED35" i="16506"/>
  <c r="ED37" i="16506"/>
  <c r="ED36" i="16506"/>
  <c r="S38" i="16506"/>
  <c r="S33" i="16506"/>
  <c r="S43" i="16460"/>
  <c r="R18" i="16460"/>
  <c r="R39" i="16460"/>
  <c r="R84" i="16460"/>
  <c r="R13" i="16460"/>
  <c r="BZ31" i="16457"/>
  <c r="BZ113" i="16457"/>
  <c r="CK52" i="16457"/>
  <c r="CL113" i="16457"/>
  <c r="CP113" i="16457"/>
  <c r="CM113" i="16457"/>
  <c r="CO30" i="16457"/>
  <c r="BZ52" i="16457"/>
  <c r="CJ52" i="16457"/>
  <c r="CQ31" i="16457"/>
  <c r="CO52" i="16457"/>
  <c r="CT30" i="16457"/>
  <c r="CQ113" i="16457"/>
  <c r="CR52" i="16457"/>
  <c r="BY31" i="16457"/>
  <c r="BZ30" i="16457"/>
  <c r="CH52" i="16457"/>
  <c r="CP31" i="16457"/>
  <c r="CR113" i="16457"/>
  <c r="CU113" i="16457"/>
  <c r="CF113" i="16457"/>
  <c r="CD113" i="16457"/>
  <c r="CK30" i="16457"/>
  <c r="CG31" i="16457"/>
  <c r="CH113" i="16457"/>
  <c r="CC52" i="16457"/>
  <c r="CN52" i="16457"/>
  <c r="CE31" i="16457"/>
  <c r="BY52" i="16457"/>
  <c r="CE30" i="16457"/>
  <c r="CL30" i="16457"/>
  <c r="CP30" i="16457"/>
  <c r="CD31" i="16457"/>
  <c r="CO113" i="16457"/>
  <c r="CN31" i="16457"/>
  <c r="CL31" i="16457"/>
  <c r="CR31" i="16457"/>
  <c r="CM30" i="16457"/>
  <c r="CD52" i="16457"/>
  <c r="CA30" i="16457"/>
  <c r="CS52" i="16457"/>
  <c r="CC113" i="16457"/>
  <c r="CB30" i="16457"/>
  <c r="CH31" i="16457"/>
  <c r="CQ30" i="16457"/>
  <c r="CI31" i="16457"/>
  <c r="CH30" i="16457"/>
  <c r="CF31" i="16457"/>
  <c r="CA31" i="16457"/>
  <c r="CI52" i="16457"/>
  <c r="CI113" i="16457"/>
  <c r="CE113" i="16457"/>
  <c r="CS113" i="16457"/>
  <c r="CG113" i="16457"/>
  <c r="CT31" i="16457"/>
  <c r="CM52" i="16457"/>
  <c r="CC31" i="16457"/>
  <c r="CU52" i="16457"/>
  <c r="CC30" i="16457"/>
  <c r="CN113" i="16457"/>
  <c r="CG52" i="16457"/>
  <c r="CD30" i="16457"/>
  <c r="CF52" i="16457"/>
  <c r="CK31" i="16457"/>
  <c r="CU31" i="16457"/>
  <c r="CT52" i="16457"/>
  <c r="CM31" i="16457"/>
  <c r="CK113" i="16457"/>
  <c r="CN30" i="16457"/>
  <c r="BY113" i="16457"/>
  <c r="CS30" i="16457"/>
  <c r="CG30" i="16457"/>
  <c r="CF30" i="16457"/>
  <c r="CB113" i="16457"/>
  <c r="CJ113" i="16457"/>
  <c r="CR30" i="16457"/>
  <c r="CA52" i="16457"/>
  <c r="CS31" i="16457"/>
  <c r="CB31" i="16457"/>
  <c r="CJ31" i="16457"/>
  <c r="CU30" i="16457"/>
  <c r="CI30" i="16457"/>
  <c r="CQ52" i="16457"/>
  <c r="CA113" i="16457"/>
  <c r="CJ30" i="16457"/>
  <c r="CO31" i="16457"/>
  <c r="CB52" i="16457"/>
  <c r="CP52" i="16457"/>
  <c r="CL52" i="16457"/>
  <c r="BY30" i="16457"/>
  <c r="CE52" i="16457"/>
  <c r="CT113" i="16457"/>
  <c r="BV34" i="16506" l="1"/>
  <c r="BW34" i="16506" s="1"/>
  <c r="EG30" i="16457"/>
  <c r="AQ30" i="16457"/>
  <c r="BX35" i="16506"/>
  <c r="BY35" i="16506" s="1"/>
  <c r="BZ35" i="16506" s="1"/>
  <c r="Q256" i="16460"/>
  <c r="DL113" i="16457"/>
  <c r="DO52" i="16457"/>
  <c r="DG113" i="16457"/>
  <c r="DG31" i="16457"/>
  <c r="DM52" i="16457"/>
  <c r="DR30" i="16457"/>
  <c r="EA52" i="16457"/>
  <c r="DK30" i="16457"/>
  <c r="DN31" i="16457"/>
  <c r="DR52" i="16457"/>
  <c r="DJ52" i="16457"/>
  <c r="DJ31" i="16457"/>
  <c r="DS52" i="16457"/>
  <c r="DV113" i="16457"/>
  <c r="DV30" i="16457"/>
  <c r="DK113" i="16457"/>
  <c r="DI31" i="16457"/>
  <c r="DM30" i="16457"/>
  <c r="DV31" i="16457"/>
  <c r="DP30" i="16457"/>
  <c r="DJ30" i="16457"/>
  <c r="DG52" i="16457"/>
  <c r="DP31" i="16457"/>
  <c r="DW113" i="16457"/>
  <c r="DQ113" i="16457"/>
  <c r="DT31" i="16457"/>
  <c r="DO113" i="16457"/>
  <c r="DO31" i="16457"/>
  <c r="DF52" i="16457"/>
  <c r="DX113" i="16457"/>
  <c r="DY52" i="16457"/>
  <c r="DR113" i="16457"/>
  <c r="DI30" i="16457"/>
  <c r="DM31" i="16457"/>
  <c r="DF113" i="16457"/>
  <c r="DH31" i="16457"/>
  <c r="DZ31" i="16457"/>
  <c r="DO30" i="16457"/>
  <c r="DQ52" i="16457"/>
  <c r="DI52" i="16457"/>
  <c r="DF30" i="16457"/>
  <c r="DZ52" i="16457"/>
  <c r="DU31" i="16457"/>
  <c r="DU30" i="16457"/>
  <c r="DS113" i="16457"/>
  <c r="DS30" i="16457"/>
  <c r="DG30" i="16457"/>
  <c r="DE31" i="16457"/>
  <c r="DY31" i="16457"/>
  <c r="DR31" i="16457"/>
  <c r="DT52" i="16457"/>
  <c r="DQ30" i="16457"/>
  <c r="DQ31" i="16457"/>
  <c r="DM113" i="16457"/>
  <c r="DW30" i="16457"/>
  <c r="DT30" i="16457"/>
  <c r="DE52" i="16457"/>
  <c r="DN52" i="16457"/>
  <c r="DI113" i="16457"/>
  <c r="DT113" i="16457"/>
  <c r="DH113" i="16457"/>
  <c r="DY30" i="16457"/>
  <c r="DZ113" i="16457"/>
  <c r="DF31" i="16457"/>
  <c r="DN30" i="16457"/>
  <c r="DW31" i="16457"/>
  <c r="EA31" i="16457"/>
  <c r="EA30" i="16457"/>
  <c r="DE113" i="16457"/>
  <c r="DX52" i="16457"/>
  <c r="DP52" i="16457"/>
  <c r="DZ30" i="16457"/>
  <c r="DL52" i="16457"/>
  <c r="DN113" i="16457"/>
  <c r="EA113" i="16457"/>
  <c r="DK31" i="16457"/>
  <c r="DX30" i="16457"/>
  <c r="DU52" i="16457"/>
  <c r="DH30" i="16457"/>
  <c r="DL30" i="16457"/>
  <c r="DJ113" i="16457"/>
  <c r="DX31" i="16457"/>
  <c r="DP113" i="16457"/>
  <c r="DE30" i="16457"/>
  <c r="DY113" i="16457"/>
  <c r="DW52" i="16457"/>
  <c r="DU113" i="16457"/>
  <c r="DK52" i="16457"/>
  <c r="DL31" i="16457"/>
  <c r="DH52" i="16457"/>
  <c r="DV52" i="16457"/>
  <c r="DS31" i="16457"/>
  <c r="Q86" i="16460"/>
  <c r="R111" i="16460"/>
  <c r="T49" i="16460"/>
  <c r="T54" i="16460"/>
  <c r="S116" i="16460"/>
  <c r="S73" i="16460"/>
  <c r="S50" i="16460"/>
  <c r="T80" i="16460"/>
  <c r="R110" i="16460"/>
  <c r="S121" i="16460"/>
  <c r="S62" i="16460"/>
  <c r="R81" i="16460"/>
  <c r="R258" i="16460" s="1"/>
  <c r="S63" i="16460"/>
  <c r="R100" i="16460"/>
  <c r="S55" i="16460"/>
  <c r="S64" i="16460"/>
  <c r="R88" i="16460"/>
  <c r="R249" i="16460"/>
  <c r="R77" i="16460"/>
  <c r="R257" i="16460" s="1"/>
  <c r="R61" i="16460"/>
  <c r="R117" i="16460"/>
  <c r="R58" i="16460"/>
  <c r="T78" i="16460"/>
  <c r="R70" i="16460"/>
  <c r="R102" i="16460"/>
  <c r="R46" i="16460"/>
  <c r="S14" i="16460"/>
  <c r="R52" i="16460"/>
  <c r="T60" i="16460"/>
  <c r="R85" i="16460"/>
  <c r="S113" i="16460"/>
  <c r="R120" i="16460"/>
  <c r="R114" i="16460"/>
  <c r="S90" i="16460"/>
  <c r="S71" i="16460"/>
  <c r="Q249" i="16460"/>
  <c r="R15" i="16460"/>
  <c r="R12" i="16460" s="1"/>
  <c r="R44" i="16460"/>
  <c r="Q255" i="16460"/>
  <c r="Q250" i="16460"/>
  <c r="T101" i="16460"/>
  <c r="R36" i="16460"/>
  <c r="Q259" i="16460"/>
  <c r="S82" i="16460"/>
  <c r="Q247" i="16460"/>
  <c r="R10" i="16460"/>
  <c r="U10" i="16461"/>
  <c r="Q9" i="16460"/>
  <c r="S76" i="16460"/>
  <c r="R248" i="16460"/>
  <c r="R68" i="16460"/>
  <c r="CU51" i="16457"/>
  <c r="EA51" i="16457" s="1"/>
  <c r="EA131" i="16457" s="1"/>
  <c r="CO51" i="16457"/>
  <c r="DU51" i="16457" s="1"/>
  <c r="DU131" i="16457" s="1"/>
  <c r="CE111" i="16457"/>
  <c r="CH51" i="16457"/>
  <c r="DN51" i="16457" s="1"/>
  <c r="DN131" i="16457" s="1"/>
  <c r="CJ111" i="16457"/>
  <c r="CF51" i="16457"/>
  <c r="DL51" i="16457" s="1"/>
  <c r="DL131" i="16457" s="1"/>
  <c r="BZ51" i="16457"/>
  <c r="DF51" i="16457" s="1"/>
  <c r="DF131" i="16457" s="1"/>
  <c r="BW30" i="16457"/>
  <c r="CR51" i="16457"/>
  <c r="DX51" i="16457" s="1"/>
  <c r="DX131" i="16457" s="1"/>
  <c r="BX28" i="16457"/>
  <c r="BX26" i="16457" s="1"/>
  <c r="DD26" i="16457" s="1"/>
  <c r="DD142" i="16457" s="1"/>
  <c r="CB111" i="16457"/>
  <c r="CL51" i="16457"/>
  <c r="DR51" i="16457" s="1"/>
  <c r="DR131" i="16457" s="1"/>
  <c r="CK51" i="16457"/>
  <c r="DQ51" i="16457" s="1"/>
  <c r="DQ131" i="16457" s="1"/>
  <c r="CH111" i="16457"/>
  <c r="BY51" i="16457"/>
  <c r="DE51" i="16457" s="1"/>
  <c r="DE131" i="16457" s="1"/>
  <c r="BZ28" i="16457"/>
  <c r="BZ26" i="16457" s="1"/>
  <c r="DF26" i="16457" s="1"/>
  <c r="DF142" i="16457" s="1"/>
  <c r="BY111" i="16457"/>
  <c r="CP51" i="16457"/>
  <c r="DV51" i="16457" s="1"/>
  <c r="DV131" i="16457" s="1"/>
  <c r="CQ111" i="16457"/>
  <c r="CT111" i="16457"/>
  <c r="BW31" i="16457"/>
  <c r="DC31" i="16457" s="1"/>
  <c r="CN111" i="16457"/>
  <c r="CK111" i="16457"/>
  <c r="CB51" i="16457"/>
  <c r="DH51" i="16457" s="1"/>
  <c r="DH131" i="16457" s="1"/>
  <c r="CD111" i="16457"/>
  <c r="CS111" i="16457"/>
  <c r="CI51" i="16457"/>
  <c r="DO51" i="16457" s="1"/>
  <c r="DO131" i="16457" s="1"/>
  <c r="CA111" i="16457"/>
  <c r="CT51" i="16457"/>
  <c r="DZ51" i="16457" s="1"/>
  <c r="DZ131" i="16457" s="1"/>
  <c r="CB28" i="16457"/>
  <c r="CB26" i="16457" s="1"/>
  <c r="DH26" i="16457" s="1"/>
  <c r="DH142" i="16457" s="1"/>
  <c r="CA28" i="16457"/>
  <c r="CA26" i="16457" s="1"/>
  <c r="DG26" i="16457" s="1"/>
  <c r="DG142" i="16457" s="1"/>
  <c r="CM51" i="16457"/>
  <c r="DS51" i="16457" s="1"/>
  <c r="DS131" i="16457" s="1"/>
  <c r="CA51" i="16457"/>
  <c r="DG51" i="16457" s="1"/>
  <c r="DG131" i="16457" s="1"/>
  <c r="BX51" i="16457"/>
  <c r="DD51" i="16457" s="1"/>
  <c r="DD131" i="16457" s="1"/>
  <c r="BW52" i="16457"/>
  <c r="CS51" i="16457"/>
  <c r="DY51" i="16457" s="1"/>
  <c r="DY131" i="16457" s="1"/>
  <c r="CR111" i="16457"/>
  <c r="CQ51" i="16457"/>
  <c r="DW51" i="16457" s="1"/>
  <c r="DW131" i="16457" s="1"/>
  <c r="CG111" i="16457"/>
  <c r="CU111" i="16457"/>
  <c r="CI111" i="16457"/>
  <c r="CN51" i="16457"/>
  <c r="DT51" i="16457" s="1"/>
  <c r="DT131" i="16457" s="1"/>
  <c r="BZ111" i="16457"/>
  <c r="CM111" i="16457"/>
  <c r="CD51" i="16457"/>
  <c r="DJ51" i="16457" s="1"/>
  <c r="DJ131" i="16457" s="1"/>
  <c r="CG51" i="16457"/>
  <c r="DM51" i="16457" s="1"/>
  <c r="DM131" i="16457" s="1"/>
  <c r="CO111" i="16457"/>
  <c r="CE51" i="16457"/>
  <c r="DK51" i="16457" s="1"/>
  <c r="DK131" i="16457" s="1"/>
  <c r="CC111" i="16457"/>
  <c r="CF111" i="16457"/>
  <c r="CP111" i="16457"/>
  <c r="BX111" i="16457"/>
  <c r="DD111" i="16457" s="1"/>
  <c r="DD132" i="16457" s="1"/>
  <c r="BW113" i="16457"/>
  <c r="CL111" i="16457"/>
  <c r="BY28" i="16457"/>
  <c r="BY26" i="16457" s="1"/>
  <c r="DE26" i="16457" s="1"/>
  <c r="DE142" i="16457" s="1"/>
  <c r="CC51" i="16457"/>
  <c r="DI51" i="16457" s="1"/>
  <c r="DI131" i="16457" s="1"/>
  <c r="CJ51" i="16457"/>
  <c r="DP51" i="16457" s="1"/>
  <c r="DP131" i="16457" s="1"/>
  <c r="AW40" i="16506"/>
  <c r="DG40" i="16506" s="1"/>
  <c r="AX33" i="16506"/>
  <c r="DH33" i="16506" s="1"/>
  <c r="AX38" i="16506"/>
  <c r="DH38" i="16506" s="1"/>
  <c r="CC28" i="16457"/>
  <c r="CC26" i="16457" s="1"/>
  <c r="DI26" i="16457" s="1"/>
  <c r="DI142" i="16457" s="1"/>
  <c r="S40" i="16506"/>
  <c r="EG35" i="16506"/>
  <c r="DB128" i="16506" s="1"/>
  <c r="EF39" i="16506"/>
  <c r="EF37" i="16506"/>
  <c r="EF36" i="16506"/>
  <c r="EF35" i="16506"/>
  <c r="DA128" i="16506" s="1"/>
  <c r="EG36" i="16506"/>
  <c r="CD28" i="16457"/>
  <c r="CD26" i="16457" s="1"/>
  <c r="DJ26" i="16457" s="1"/>
  <c r="DJ142" i="16457" s="1"/>
  <c r="T33" i="16506"/>
  <c r="T38" i="16506"/>
  <c r="T43" i="16460"/>
  <c r="U40" i="16506"/>
  <c r="S18" i="16460"/>
  <c r="R83" i="16460"/>
  <c r="S84" i="16460"/>
  <c r="S13" i="16460"/>
  <c r="S39" i="16460"/>
  <c r="EF34" i="16506" l="1"/>
  <c r="DC30" i="16457"/>
  <c r="CA35" i="16506"/>
  <c r="CB35" i="16506" s="1"/>
  <c r="R86" i="16460"/>
  <c r="BW111" i="16457"/>
  <c r="DC113" i="16457"/>
  <c r="BW51" i="16457"/>
  <c r="DC51" i="16457" s="1"/>
  <c r="DC131" i="16457" s="1"/>
  <c r="DC52" i="16457"/>
  <c r="BX34" i="16506"/>
  <c r="BY34" i="16506" s="1"/>
  <c r="R256" i="16460"/>
  <c r="CC24" i="16457"/>
  <c r="CC142" i="16457"/>
  <c r="CC165" i="16457" s="1"/>
  <c r="L69" i="16501" s="1"/>
  <c r="BY24" i="16457"/>
  <c r="BY142" i="16457"/>
  <c r="BY165" i="16457" s="1"/>
  <c r="H69" i="16501" s="1"/>
  <c r="CA24" i="16457"/>
  <c r="CA142" i="16457"/>
  <c r="CA165" i="16457" s="1"/>
  <c r="J69" i="16501" s="1"/>
  <c r="BZ24" i="16457"/>
  <c r="BZ142" i="16457"/>
  <c r="BZ165" i="16457" s="1"/>
  <c r="I69" i="16501" s="1"/>
  <c r="CB24" i="16457"/>
  <c r="CB142" i="16457"/>
  <c r="CB165" i="16457" s="1"/>
  <c r="K69" i="16501" s="1"/>
  <c r="BX24" i="16457"/>
  <c r="BX142" i="16457"/>
  <c r="BX165" i="16457" s="1"/>
  <c r="G69" i="16501" s="1"/>
  <c r="CD24" i="16457"/>
  <c r="CD142" i="16457"/>
  <c r="CD165" i="16457" s="1"/>
  <c r="M69" i="16501" s="1"/>
  <c r="CC132" i="16457"/>
  <c r="CI132" i="16457"/>
  <c r="CR132" i="16457"/>
  <c r="CS132" i="16457"/>
  <c r="CN132" i="16457"/>
  <c r="CH132" i="16457"/>
  <c r="BX132" i="16457"/>
  <c r="CM132" i="16457"/>
  <c r="CU132" i="16457"/>
  <c r="CD132" i="16457"/>
  <c r="BY132" i="16457"/>
  <c r="CJ132" i="16457"/>
  <c r="CP132" i="16457"/>
  <c r="CO132" i="16457"/>
  <c r="BZ132" i="16457"/>
  <c r="CG132" i="16457"/>
  <c r="CA132" i="16457"/>
  <c r="CT132" i="16457"/>
  <c r="CL132" i="16457"/>
  <c r="CF132" i="16457"/>
  <c r="CK132" i="16457"/>
  <c r="CQ132" i="16457"/>
  <c r="CB132" i="16457"/>
  <c r="CE132" i="16457"/>
  <c r="CC139" i="16457"/>
  <c r="CC162" i="16457" s="1"/>
  <c r="CC131" i="16457"/>
  <c r="CD139" i="16457"/>
  <c r="CD162" i="16457" s="1"/>
  <c r="CD131" i="16457"/>
  <c r="CA139" i="16457"/>
  <c r="CA162" i="16457" s="1"/>
  <c r="CA131" i="16457"/>
  <c r="CP139" i="16457"/>
  <c r="CP162" i="16457" s="1"/>
  <c r="CP131" i="16457"/>
  <c r="CF139" i="16457"/>
  <c r="CF162" i="16457" s="1"/>
  <c r="CF131" i="16457"/>
  <c r="CE139" i="16457"/>
  <c r="CE162" i="16457" s="1"/>
  <c r="CE131" i="16457"/>
  <c r="CS139" i="16457"/>
  <c r="CS162" i="16457" s="1"/>
  <c r="CS131" i="16457"/>
  <c r="CM139" i="16457"/>
  <c r="CM162" i="16457" s="1"/>
  <c r="CM131" i="16457"/>
  <c r="CT139" i="16457"/>
  <c r="CT162" i="16457" s="1"/>
  <c r="CT131" i="16457"/>
  <c r="CK139" i="16457"/>
  <c r="CK162" i="16457" s="1"/>
  <c r="CK131" i="16457"/>
  <c r="CR139" i="16457"/>
  <c r="CR162" i="16457" s="1"/>
  <c r="CR131" i="16457"/>
  <c r="CO139" i="16457"/>
  <c r="CO162" i="16457" s="1"/>
  <c r="CO131" i="16457"/>
  <c r="BW139" i="16457"/>
  <c r="BW162" i="16457" s="1"/>
  <c r="CB139" i="16457"/>
  <c r="CB162" i="16457" s="1"/>
  <c r="CB131" i="16457"/>
  <c r="CL139" i="16457"/>
  <c r="CL162" i="16457" s="1"/>
  <c r="CL131" i="16457"/>
  <c r="CH139" i="16457"/>
  <c r="CH162" i="16457" s="1"/>
  <c r="CH131" i="16457"/>
  <c r="CU139" i="16457"/>
  <c r="CU162" i="16457" s="1"/>
  <c r="CU131" i="16457"/>
  <c r="CJ139" i="16457"/>
  <c r="CJ162" i="16457" s="1"/>
  <c r="CJ131" i="16457"/>
  <c r="CG139" i="16457"/>
  <c r="CG162" i="16457" s="1"/>
  <c r="CG131" i="16457"/>
  <c r="CN139" i="16457"/>
  <c r="CN162" i="16457" s="1"/>
  <c r="CN131" i="16457"/>
  <c r="CQ139" i="16457"/>
  <c r="CQ162" i="16457" s="1"/>
  <c r="CQ131" i="16457"/>
  <c r="BX139" i="16457"/>
  <c r="BX162" i="16457" s="1"/>
  <c r="BX131" i="16457"/>
  <c r="CI139" i="16457"/>
  <c r="CI162" i="16457" s="1"/>
  <c r="CI131" i="16457"/>
  <c r="BY139" i="16457"/>
  <c r="BY162" i="16457" s="1"/>
  <c r="BY131" i="16457"/>
  <c r="BZ139" i="16457"/>
  <c r="BZ162" i="16457" s="1"/>
  <c r="BZ131" i="16457"/>
  <c r="S44" i="16460"/>
  <c r="S15" i="16460"/>
  <c r="S12" i="16460" s="1"/>
  <c r="R255" i="16460"/>
  <c r="T14" i="16460"/>
  <c r="S61" i="16460"/>
  <c r="T55" i="16460"/>
  <c r="S100" i="16460"/>
  <c r="S81" i="16460"/>
  <c r="S258" i="16460" s="1"/>
  <c r="T121" i="16460"/>
  <c r="U54" i="16460"/>
  <c r="S114" i="16460"/>
  <c r="T113" i="16460"/>
  <c r="S85" i="16460"/>
  <c r="S83" i="16460" s="1"/>
  <c r="S77" i="16460"/>
  <c r="S257" i="16460" s="1"/>
  <c r="S88" i="16460"/>
  <c r="T64" i="16460"/>
  <c r="T73" i="16460"/>
  <c r="U49" i="16460"/>
  <c r="T71" i="16460"/>
  <c r="T90" i="16460"/>
  <c r="S120" i="16460"/>
  <c r="U60" i="16460"/>
  <c r="S52" i="16460"/>
  <c r="S70" i="16460"/>
  <c r="S58" i="16460"/>
  <c r="S117" i="16460"/>
  <c r="T63" i="16460"/>
  <c r="T62" i="16460"/>
  <c r="R250" i="16460"/>
  <c r="S46" i="16460"/>
  <c r="S102" i="16460"/>
  <c r="U78" i="16460"/>
  <c r="S110" i="16460"/>
  <c r="U80" i="16460"/>
  <c r="T50" i="16460"/>
  <c r="T116" i="16460"/>
  <c r="S111" i="16460"/>
  <c r="S249" i="16460"/>
  <c r="U101" i="16460"/>
  <c r="S36" i="16460"/>
  <c r="R259" i="16460"/>
  <c r="T82" i="16460"/>
  <c r="R247" i="16460"/>
  <c r="S10" i="16460"/>
  <c r="R9" i="16460"/>
  <c r="V10" i="16461"/>
  <c r="T76" i="16460"/>
  <c r="S248" i="16460"/>
  <c r="S68" i="16460"/>
  <c r="AZ40" i="16506"/>
  <c r="DJ40" i="16506" s="1"/>
  <c r="AY38" i="16506"/>
  <c r="DI38" i="16506" s="1"/>
  <c r="AY33" i="16506"/>
  <c r="DI33" i="16506" s="1"/>
  <c r="AX40" i="16506"/>
  <c r="DH40" i="16506" s="1"/>
  <c r="AY40" i="16506"/>
  <c r="DI40" i="16506" s="1"/>
  <c r="EG39" i="16506"/>
  <c r="EH37" i="16506"/>
  <c r="CE28" i="16457"/>
  <c r="CE26" i="16457" s="1"/>
  <c r="DK26" i="16457" s="1"/>
  <c r="DK142" i="16457" s="1"/>
  <c r="EG37" i="16506"/>
  <c r="EG34" i="16506"/>
  <c r="EI39" i="16506"/>
  <c r="EH39" i="16506"/>
  <c r="U38" i="16506"/>
  <c r="U33" i="16506"/>
  <c r="U43" i="16460"/>
  <c r="V40" i="16506"/>
  <c r="T39" i="16460"/>
  <c r="T84" i="16460"/>
  <c r="T13" i="16460"/>
  <c r="T18" i="16460"/>
  <c r="CC35" i="16506" l="1"/>
  <c r="CD35" i="16506" s="1"/>
  <c r="CE35" i="16506" s="1"/>
  <c r="BW131" i="16457"/>
  <c r="G131" i="16457" s="1"/>
  <c r="BW132" i="16457"/>
  <c r="BX133" i="16457"/>
  <c r="BX156" i="16457" s="1"/>
  <c r="DD24" i="16457"/>
  <c r="DD133" i="16457" s="1"/>
  <c r="BZ133" i="16457"/>
  <c r="BZ156" i="16457" s="1"/>
  <c r="DF24" i="16457"/>
  <c r="DF133" i="16457" s="1"/>
  <c r="BY133" i="16457"/>
  <c r="BY156" i="16457" s="1"/>
  <c r="DE24" i="16457"/>
  <c r="DE133" i="16457" s="1"/>
  <c r="CD133" i="16457"/>
  <c r="CD156" i="16457" s="1"/>
  <c r="DJ24" i="16457"/>
  <c r="DJ133" i="16457" s="1"/>
  <c r="CB133" i="16457"/>
  <c r="CB156" i="16457" s="1"/>
  <c r="DH24" i="16457"/>
  <c r="DH133" i="16457" s="1"/>
  <c r="CA133" i="16457"/>
  <c r="CA156" i="16457" s="1"/>
  <c r="DG24" i="16457"/>
  <c r="DG133" i="16457" s="1"/>
  <c r="CC133" i="16457"/>
  <c r="CC156" i="16457" s="1"/>
  <c r="DI24" i="16457"/>
  <c r="DI133" i="16457" s="1"/>
  <c r="EH34" i="16506"/>
  <c r="BZ34" i="16506"/>
  <c r="CA34" i="16506" s="1"/>
  <c r="CB34" i="16506" s="1"/>
  <c r="S86" i="16460"/>
  <c r="S256" i="16460"/>
  <c r="CE24" i="16457"/>
  <c r="CE142" i="16457"/>
  <c r="CE165" i="16457" s="1"/>
  <c r="N69" i="16501" s="1"/>
  <c r="T111" i="16460"/>
  <c r="U116" i="16460"/>
  <c r="U50" i="16460"/>
  <c r="T110" i="16460"/>
  <c r="U63" i="16460"/>
  <c r="T117" i="16460"/>
  <c r="V60" i="16460"/>
  <c r="U90" i="16460"/>
  <c r="U73" i="16460"/>
  <c r="T88" i="16460"/>
  <c r="T85" i="16460"/>
  <c r="T83" i="16460" s="1"/>
  <c r="U113" i="16460"/>
  <c r="U121" i="16460"/>
  <c r="T81" i="16460"/>
  <c r="T258" i="16460" s="1"/>
  <c r="U14" i="16460"/>
  <c r="T46" i="16460"/>
  <c r="U62" i="16460"/>
  <c r="T52" i="16460"/>
  <c r="T120" i="16460"/>
  <c r="V49" i="16460"/>
  <c r="V54" i="16460"/>
  <c r="U55" i="16460"/>
  <c r="T61" i="16460"/>
  <c r="V80" i="16460"/>
  <c r="T102" i="16460"/>
  <c r="T58" i="16460"/>
  <c r="T70" i="16460"/>
  <c r="U71" i="16460"/>
  <c r="U64" i="16460"/>
  <c r="V78" i="16460"/>
  <c r="S255" i="16460"/>
  <c r="T77" i="16460"/>
  <c r="T257" i="16460" s="1"/>
  <c r="T114" i="16460"/>
  <c r="T100" i="16460"/>
  <c r="T15" i="16460"/>
  <c r="T12" i="16460" s="1"/>
  <c r="T44" i="16460"/>
  <c r="EJ37" i="16506"/>
  <c r="S250" i="16460"/>
  <c r="V101" i="16460"/>
  <c r="T36" i="16460"/>
  <c r="S259" i="16460"/>
  <c r="U82" i="16460"/>
  <c r="S247" i="16460"/>
  <c r="T10" i="16460"/>
  <c r="W10" i="16461"/>
  <c r="S9" i="16460"/>
  <c r="U76" i="16460"/>
  <c r="T248" i="16460"/>
  <c r="T68" i="16460"/>
  <c r="BA40" i="16506"/>
  <c r="DK40" i="16506" s="1"/>
  <c r="AZ33" i="16506"/>
  <c r="DJ33" i="16506" s="1"/>
  <c r="AZ38" i="16506"/>
  <c r="DJ38" i="16506" s="1"/>
  <c r="EI34" i="16506"/>
  <c r="EH36" i="16506"/>
  <c r="EH35" i="16506"/>
  <c r="DC128" i="16506" s="1"/>
  <c r="CF28" i="16457"/>
  <c r="CF26" i="16457" s="1"/>
  <c r="DL26" i="16457" s="1"/>
  <c r="DL142" i="16457" s="1"/>
  <c r="EJ39" i="16506"/>
  <c r="V33" i="16506"/>
  <c r="V38" i="16506"/>
  <c r="V43" i="16460"/>
  <c r="W40" i="16506"/>
  <c r="U18" i="16460"/>
  <c r="U13" i="16460"/>
  <c r="U39" i="16460"/>
  <c r="U84" i="16460"/>
  <c r="CF35" i="16506" l="1"/>
  <c r="CG35" i="16506" s="1"/>
  <c r="CE133" i="16457"/>
  <c r="CE156" i="16457" s="1"/>
  <c r="DK24" i="16457"/>
  <c r="DK133" i="16457" s="1"/>
  <c r="T86" i="16460"/>
  <c r="CC34" i="16506"/>
  <c r="CD34" i="16506" s="1"/>
  <c r="T256" i="16460"/>
  <c r="CF24" i="16457"/>
  <c r="CF142" i="16457"/>
  <c r="CF165" i="16457" s="1"/>
  <c r="O69" i="16501" s="1"/>
  <c r="T249" i="16460"/>
  <c r="EI37" i="16506"/>
  <c r="U114" i="16460"/>
  <c r="U77" i="16460"/>
  <c r="U257" i="16460" s="1"/>
  <c r="V64" i="16460"/>
  <c r="V71" i="16460"/>
  <c r="V55" i="16460"/>
  <c r="W49" i="16460"/>
  <c r="V62" i="16460"/>
  <c r="V121" i="16460"/>
  <c r="V113" i="16460"/>
  <c r="V90" i="16460"/>
  <c r="W60" i="16460"/>
  <c r="U117" i="16460"/>
  <c r="U15" i="16460"/>
  <c r="U12" i="16460" s="1"/>
  <c r="U100" i="16460"/>
  <c r="U58" i="16460"/>
  <c r="W80" i="16460"/>
  <c r="U52" i="16460"/>
  <c r="U81" i="16460"/>
  <c r="U258" i="16460" s="1"/>
  <c r="U88" i="16460"/>
  <c r="V50" i="16460"/>
  <c r="U111" i="16460"/>
  <c r="T250" i="16460"/>
  <c r="W78" i="16460"/>
  <c r="U102" i="16460"/>
  <c r="U61" i="16460"/>
  <c r="W54" i="16460"/>
  <c r="U120" i="16460"/>
  <c r="U46" i="16460"/>
  <c r="V14" i="16460"/>
  <c r="V73" i="16460"/>
  <c r="U110" i="16460"/>
  <c r="U44" i="16460"/>
  <c r="U70" i="16460"/>
  <c r="T255" i="16460"/>
  <c r="U85" i="16460"/>
  <c r="U83" i="16460" s="1"/>
  <c r="V63" i="16460"/>
  <c r="V116" i="16460"/>
  <c r="EK37" i="16506"/>
  <c r="U249" i="16460"/>
  <c r="W101" i="16460"/>
  <c r="U36" i="16460"/>
  <c r="T259" i="16460"/>
  <c r="V82" i="16460"/>
  <c r="T247" i="16460"/>
  <c r="T9" i="16460"/>
  <c r="X10" i="16461"/>
  <c r="U10" i="16460"/>
  <c r="V76" i="16460"/>
  <c r="U248" i="16460"/>
  <c r="U68" i="16460"/>
  <c r="EI35" i="16506"/>
  <c r="DD128" i="16506" s="1"/>
  <c r="EI36" i="16506"/>
  <c r="CG28" i="16457"/>
  <c r="CG26" i="16457" s="1"/>
  <c r="DM26" i="16457" s="1"/>
  <c r="DM142" i="16457" s="1"/>
  <c r="BB40" i="16506"/>
  <c r="DL40" i="16506" s="1"/>
  <c r="EK39" i="16506"/>
  <c r="BA38" i="16506"/>
  <c r="DK38" i="16506" s="1"/>
  <c r="BA33" i="16506"/>
  <c r="DK33" i="16506" s="1"/>
  <c r="EL39" i="16506"/>
  <c r="W33" i="16506"/>
  <c r="W38" i="16506"/>
  <c r="W43" i="16460"/>
  <c r="X40" i="16506"/>
  <c r="V84" i="16460"/>
  <c r="V39" i="16460"/>
  <c r="V13" i="16460"/>
  <c r="V18" i="16460"/>
  <c r="CF133" i="16457" l="1"/>
  <c r="CF156" i="16457" s="1"/>
  <c r="DL24" i="16457"/>
  <c r="DL133" i="16457" s="1"/>
  <c r="CE34" i="16506"/>
  <c r="CF34" i="16506" s="1"/>
  <c r="CG34" i="16506" s="1"/>
  <c r="CH35" i="16506"/>
  <c r="EM34" i="16506"/>
  <c r="U86" i="16460"/>
  <c r="CG24" i="16457"/>
  <c r="CG142" i="16457"/>
  <c r="CG165" i="16457" s="1"/>
  <c r="P69" i="16501" s="1"/>
  <c r="U256" i="16460"/>
  <c r="W116" i="16460"/>
  <c r="V85" i="16460"/>
  <c r="V83" i="16460" s="1"/>
  <c r="V70" i="16460"/>
  <c r="V110" i="16460"/>
  <c r="V46" i="16460"/>
  <c r="W50" i="16460"/>
  <c r="V52" i="16460"/>
  <c r="X80" i="16460"/>
  <c r="V58" i="16460"/>
  <c r="V15" i="16460"/>
  <c r="V12" i="16460" s="1"/>
  <c r="W62" i="16460"/>
  <c r="W64" i="16460"/>
  <c r="V114" i="16460"/>
  <c r="W63" i="16460"/>
  <c r="V44" i="16460"/>
  <c r="V256" i="16460" s="1"/>
  <c r="W73" i="16460"/>
  <c r="X54" i="16460"/>
  <c r="V61" i="16460"/>
  <c r="V102" i="16460"/>
  <c r="V88" i="16460"/>
  <c r="V81" i="16460"/>
  <c r="V258" i="16460" s="1"/>
  <c r="X60" i="16460"/>
  <c r="W121" i="16460"/>
  <c r="W55" i="16460"/>
  <c r="U250" i="16460"/>
  <c r="V111" i="16460"/>
  <c r="V100" i="16460"/>
  <c r="W113" i="16460"/>
  <c r="X49" i="16460"/>
  <c r="W71" i="16460"/>
  <c r="V77" i="16460"/>
  <c r="V257" i="16460" s="1"/>
  <c r="W14" i="16460"/>
  <c r="V120" i="16460"/>
  <c r="X78" i="16460"/>
  <c r="U255" i="16460"/>
  <c r="V117" i="16460"/>
  <c r="W90" i="16460"/>
  <c r="EL37" i="16506"/>
  <c r="X101" i="16460"/>
  <c r="V36" i="16460"/>
  <c r="U259" i="16460"/>
  <c r="W82" i="16460"/>
  <c r="U247" i="16460"/>
  <c r="V10" i="16460"/>
  <c r="Y10" i="16461"/>
  <c r="U9" i="16460"/>
  <c r="W76" i="16460"/>
  <c r="V248" i="16460"/>
  <c r="V68" i="16460"/>
  <c r="EK34" i="16506"/>
  <c r="EN34" i="16506"/>
  <c r="EJ34" i="16506"/>
  <c r="EL34" i="16506"/>
  <c r="EK35" i="16506"/>
  <c r="DF128" i="16506" s="1"/>
  <c r="EJ36" i="16506"/>
  <c r="EL35" i="16506"/>
  <c r="DG128" i="16506" s="1"/>
  <c r="EJ35" i="16506"/>
  <c r="DE128" i="16506" s="1"/>
  <c r="CH28" i="16457"/>
  <c r="CH26" i="16457" s="1"/>
  <c r="DN26" i="16457" s="1"/>
  <c r="DN142" i="16457" s="1"/>
  <c r="BC40" i="16506"/>
  <c r="DM40" i="16506" s="1"/>
  <c r="BB38" i="16506"/>
  <c r="DL38" i="16506" s="1"/>
  <c r="BB33" i="16506"/>
  <c r="DL33" i="16506" s="1"/>
  <c r="EN39" i="16506"/>
  <c r="EM39" i="16506"/>
  <c r="X33" i="16506"/>
  <c r="X38" i="16506"/>
  <c r="X43" i="16460"/>
  <c r="Y40" i="16506"/>
  <c r="W18" i="16460"/>
  <c r="X126" i="16460"/>
  <c r="W13" i="16460"/>
  <c r="W39" i="16460"/>
  <c r="W84" i="16460"/>
  <c r="CG133" i="16457" l="1"/>
  <c r="CG156" i="16457" s="1"/>
  <c r="DM24" i="16457"/>
  <c r="DM133" i="16457" s="1"/>
  <c r="V86" i="16460"/>
  <c r="CH34" i="16506"/>
  <c r="CI34" i="16506" s="1"/>
  <c r="CJ34" i="16506" s="1"/>
  <c r="CI35" i="16506"/>
  <c r="CJ35" i="16506" s="1"/>
  <c r="CH24" i="16457"/>
  <c r="CH142" i="16457"/>
  <c r="CH165" i="16457" s="1"/>
  <c r="Q69" i="16501" s="1"/>
  <c r="Y49" i="16460"/>
  <c r="X113" i="16460"/>
  <c r="W111" i="16460"/>
  <c r="X121" i="16460"/>
  <c r="W81" i="16460"/>
  <c r="W102" i="16460"/>
  <c r="W114" i="16460"/>
  <c r="X64" i="16460"/>
  <c r="W46" i="16460"/>
  <c r="W85" i="16460"/>
  <c r="W83" i="16460" s="1"/>
  <c r="X90" i="16460"/>
  <c r="X71" i="16460"/>
  <c r="W249" i="16460"/>
  <c r="X55" i="16460"/>
  <c r="Y54" i="16460"/>
  <c r="W44" i="16460"/>
  <c r="V255" i="16460"/>
  <c r="W15" i="16460"/>
  <c r="W12" i="16460" s="1"/>
  <c r="Y80" i="16460"/>
  <c r="X50" i="16460"/>
  <c r="W110" i="16460"/>
  <c r="W70" i="16460"/>
  <c r="V250" i="16460"/>
  <c r="V249" i="16460"/>
  <c r="X14" i="16460"/>
  <c r="W100" i="16460"/>
  <c r="Y60" i="16460"/>
  <c r="W88" i="16460"/>
  <c r="W61" i="16460"/>
  <c r="X116" i="16460"/>
  <c r="W117" i="16460"/>
  <c r="Y78" i="16460"/>
  <c r="W120" i="16460"/>
  <c r="W77" i="16460"/>
  <c r="W257" i="16460" s="1"/>
  <c r="X73" i="16460"/>
  <c r="X63" i="16460"/>
  <c r="X62" i="16460"/>
  <c r="W58" i="16460"/>
  <c r="W52" i="16460"/>
  <c r="EN37" i="16506"/>
  <c r="Y101" i="16460"/>
  <c r="W36" i="16460"/>
  <c r="V259" i="16460"/>
  <c r="X82" i="16460"/>
  <c r="W258" i="16460"/>
  <c r="V247" i="16460"/>
  <c r="W10" i="16460"/>
  <c r="V9" i="16460"/>
  <c r="Z10" i="16461"/>
  <c r="X76" i="16460"/>
  <c r="W248" i="16460"/>
  <c r="W68" i="16460"/>
  <c r="EP34" i="16506"/>
  <c r="CI28" i="16457"/>
  <c r="CI26" i="16457" s="1"/>
  <c r="DO26" i="16457" s="1"/>
  <c r="DO142" i="16457" s="1"/>
  <c r="EK36" i="16506"/>
  <c r="BC33" i="16506"/>
  <c r="DM33" i="16506" s="1"/>
  <c r="BD40" i="16506"/>
  <c r="DN40" i="16506" s="1"/>
  <c r="BC38" i="16506"/>
  <c r="DM38" i="16506" s="1"/>
  <c r="EO39" i="16506"/>
  <c r="EQ39" i="16506"/>
  <c r="Y38" i="16506"/>
  <c r="Y33" i="16506"/>
  <c r="Y43" i="16460"/>
  <c r="Z40" i="16506"/>
  <c r="X84" i="16460"/>
  <c r="X13" i="16460"/>
  <c r="X39" i="16460"/>
  <c r="Y126" i="16460"/>
  <c r="X18" i="16460"/>
  <c r="W256" i="16460" l="1"/>
  <c r="CH133" i="16457"/>
  <c r="CH156" i="16457" s="1"/>
  <c r="DN24" i="16457"/>
  <c r="DN133" i="16457" s="1"/>
  <c r="W86" i="16460"/>
  <c r="CK34" i="16506"/>
  <c r="CL34" i="16506" s="1"/>
  <c r="CK35" i="16506"/>
  <c r="CI24" i="16457"/>
  <c r="CI142" i="16457"/>
  <c r="CI165" i="16457" s="1"/>
  <c r="R69" i="16501" s="1"/>
  <c r="W255" i="16460"/>
  <c r="X52" i="16460"/>
  <c r="Y116" i="16460"/>
  <c r="Z80" i="16460"/>
  <c r="Y55" i="16460"/>
  <c r="Y71" i="16460"/>
  <c r="Y63" i="16460"/>
  <c r="Y73" i="16460"/>
  <c r="X77" i="16460"/>
  <c r="X257" i="16460" s="1"/>
  <c r="X120" i="16460"/>
  <c r="Z78" i="16460"/>
  <c r="Z60" i="16460"/>
  <c r="Y14" i="16460"/>
  <c r="X110" i="16460"/>
  <c r="Y50" i="16460"/>
  <c r="X44" i="16460"/>
  <c r="X46" i="16460"/>
  <c r="Y64" i="16460"/>
  <c r="X102" i="16460"/>
  <c r="X81" i="16460"/>
  <c r="X258" i="16460" s="1"/>
  <c r="Z49" i="16460"/>
  <c r="W250" i="16460"/>
  <c r="X58" i="16460"/>
  <c r="X15" i="16460"/>
  <c r="X12" i="16460" s="1"/>
  <c r="Z54" i="16460"/>
  <c r="Y90" i="16460"/>
  <c r="Y62" i="16460"/>
  <c r="X117" i="16460"/>
  <c r="X61" i="16460"/>
  <c r="X88" i="16460"/>
  <c r="X100" i="16460"/>
  <c r="X70" i="16460"/>
  <c r="X85" i="16460"/>
  <c r="X83" i="16460" s="1"/>
  <c r="X114" i="16460"/>
  <c r="Y121" i="16460"/>
  <c r="X111" i="16460"/>
  <c r="Y113" i="16460"/>
  <c r="EO37" i="16506"/>
  <c r="EM37" i="16506"/>
  <c r="Z101" i="16460"/>
  <c r="X36" i="16460"/>
  <c r="W259" i="16460"/>
  <c r="Y82" i="16460"/>
  <c r="W247" i="16460"/>
  <c r="X10" i="16460"/>
  <c r="AA10" i="16461"/>
  <c r="W9" i="16460"/>
  <c r="Y76" i="16460"/>
  <c r="X248" i="16460"/>
  <c r="X68" i="16460"/>
  <c r="ER34" i="16506"/>
  <c r="EO34" i="16506"/>
  <c r="CJ28" i="16457"/>
  <c r="CJ26" i="16457" s="1"/>
  <c r="DP26" i="16457" s="1"/>
  <c r="DP142" i="16457" s="1"/>
  <c r="EN35" i="16506"/>
  <c r="DI128" i="16506" s="1"/>
  <c r="EM35" i="16506"/>
  <c r="DH128" i="16506" s="1"/>
  <c r="EM36" i="16506"/>
  <c r="EL36" i="16506"/>
  <c r="BD38" i="16506"/>
  <c r="DN38" i="16506" s="1"/>
  <c r="BE40" i="16506"/>
  <c r="DO40" i="16506" s="1"/>
  <c r="EP39" i="16506"/>
  <c r="BD33" i="16506"/>
  <c r="DN33" i="16506" s="1"/>
  <c r="Z38" i="16506"/>
  <c r="Z33" i="16506"/>
  <c r="Z43" i="16460"/>
  <c r="AA40" i="16506"/>
  <c r="Y39" i="16460"/>
  <c r="Y84" i="16460"/>
  <c r="Z126" i="16460"/>
  <c r="Y18" i="16460"/>
  <c r="Y13" i="16460"/>
  <c r="X256" i="16460" l="1"/>
  <c r="CI133" i="16457"/>
  <c r="CI156" i="16457" s="1"/>
  <c r="DO24" i="16457"/>
  <c r="DO133" i="16457" s="1"/>
  <c r="CL35" i="16506"/>
  <c r="CM34" i="16506"/>
  <c r="CN34" i="16506" s="1"/>
  <c r="X86" i="16460"/>
  <c r="CJ24" i="16457"/>
  <c r="CJ142" i="16457"/>
  <c r="CJ165" i="16457" s="1"/>
  <c r="S69" i="16501" s="1"/>
  <c r="X249" i="16460"/>
  <c r="Y15" i="16460"/>
  <c r="Y12" i="16460" s="1"/>
  <c r="Z50" i="16460"/>
  <c r="AA78" i="16460"/>
  <c r="Y77" i="16460"/>
  <c r="Y257" i="16460" s="1"/>
  <c r="Z73" i="16460"/>
  <c r="X250" i="16460"/>
  <c r="Z113" i="16460"/>
  <c r="Z121" i="16460"/>
  <c r="Y114" i="16460"/>
  <c r="Y70" i="16460"/>
  <c r="Y100" i="16460"/>
  <c r="Y61" i="16460"/>
  <c r="Y58" i="16460"/>
  <c r="Y81" i="16460"/>
  <c r="Y258" i="16460" s="1"/>
  <c r="Z64" i="16460"/>
  <c r="Z14" i="16460"/>
  <c r="Z55" i="16460"/>
  <c r="AA80" i="16460"/>
  <c r="Z62" i="16460"/>
  <c r="AA54" i="16460"/>
  <c r="Y44" i="16460"/>
  <c r="Y110" i="16460"/>
  <c r="Y120" i="16460"/>
  <c r="Z63" i="16460"/>
  <c r="Z116" i="16460"/>
  <c r="Y52" i="16460"/>
  <c r="Y111" i="16460"/>
  <c r="Y85" i="16460"/>
  <c r="Y83" i="16460" s="1"/>
  <c r="Y88" i="16460"/>
  <c r="Y117" i="16460"/>
  <c r="Z90" i="16460"/>
  <c r="X255" i="16460"/>
  <c r="AA49" i="16460"/>
  <c r="Y102" i="16460"/>
  <c r="Y46" i="16460"/>
  <c r="AA60" i="16460"/>
  <c r="Z71" i="16460"/>
  <c r="EP37" i="16506"/>
  <c r="AA101" i="16460"/>
  <c r="Y36" i="16460"/>
  <c r="X259" i="16460"/>
  <c r="Z82" i="16460"/>
  <c r="X247" i="16460"/>
  <c r="X9" i="16460"/>
  <c r="AB10" i="16461"/>
  <c r="Y10" i="16460"/>
  <c r="Z76" i="16460"/>
  <c r="Y248" i="16460"/>
  <c r="Y68" i="16460"/>
  <c r="EQ34" i="16506"/>
  <c r="BF40" i="16506"/>
  <c r="DP40" i="16506" s="1"/>
  <c r="EQ35" i="16506"/>
  <c r="DL128" i="16506" s="1"/>
  <c r="EN36" i="16506"/>
  <c r="CK28" i="16457"/>
  <c r="CK26" i="16457" s="1"/>
  <c r="DQ26" i="16457" s="1"/>
  <c r="DQ142" i="16457" s="1"/>
  <c r="BE33" i="16506"/>
  <c r="DO33" i="16506" s="1"/>
  <c r="BE38" i="16506"/>
  <c r="DO38" i="16506" s="1"/>
  <c r="ER39" i="16506"/>
  <c r="AA33" i="16506"/>
  <c r="AA38" i="16506"/>
  <c r="AA43" i="16460"/>
  <c r="AB40" i="16506"/>
  <c r="AA126" i="16460"/>
  <c r="Z84" i="16460"/>
  <c r="Z13" i="16460"/>
  <c r="Z18" i="16460"/>
  <c r="Z39" i="16460"/>
  <c r="CJ133" i="16457" l="1"/>
  <c r="CJ156" i="16457" s="1"/>
  <c r="DP24" i="16457"/>
  <c r="DP133" i="16457" s="1"/>
  <c r="Y86" i="16460"/>
  <c r="CO34" i="16506"/>
  <c r="CM35" i="16506"/>
  <c r="CK24" i="16457"/>
  <c r="CK142" i="16457"/>
  <c r="CK165" i="16457" s="1"/>
  <c r="T69" i="16501" s="1"/>
  <c r="Y256" i="16460"/>
  <c r="Y255" i="16460"/>
  <c r="Y250" i="16460"/>
  <c r="AA71" i="16460"/>
  <c r="AB60" i="16460"/>
  <c r="Z46" i="16460"/>
  <c r="Z110" i="16460"/>
  <c r="AB54" i="16460"/>
  <c r="AA64" i="16460"/>
  <c r="Z58" i="16460"/>
  <c r="Z61" i="16460"/>
  <c r="Z100" i="16460"/>
  <c r="Z114" i="16460"/>
  <c r="AA113" i="16460"/>
  <c r="Z77" i="16460"/>
  <c r="Z257" i="16460" s="1"/>
  <c r="AA50" i="16460"/>
  <c r="AA90" i="16460"/>
  <c r="Z117" i="16460"/>
  <c r="Z52" i="16460"/>
  <c r="AA63" i="16460"/>
  <c r="Z120" i="16460"/>
  <c r="AA62" i="16460"/>
  <c r="AA55" i="16460"/>
  <c r="Y249" i="16460"/>
  <c r="Z102" i="16460"/>
  <c r="AB49" i="16460"/>
  <c r="Z44" i="16460"/>
  <c r="AA14" i="16460"/>
  <c r="Z81" i="16460"/>
  <c r="Z258" i="16460" s="1"/>
  <c r="Z70" i="16460"/>
  <c r="AA121" i="16460"/>
  <c r="AA73" i="16460"/>
  <c r="AB78" i="16460"/>
  <c r="Z15" i="16460"/>
  <c r="Z12" i="16460" s="1"/>
  <c r="Z88" i="16460"/>
  <c r="Z85" i="16460"/>
  <c r="Z83" i="16460" s="1"/>
  <c r="Z111" i="16460"/>
  <c r="AA116" i="16460"/>
  <c r="AB80" i="16460"/>
  <c r="ER37" i="16506"/>
  <c r="Z249" i="16460"/>
  <c r="AB101" i="16460"/>
  <c r="Z36" i="16460"/>
  <c r="Y259" i="16460"/>
  <c r="AA82" i="16460"/>
  <c r="Y247" i="16460"/>
  <c r="Z10" i="16460"/>
  <c r="AC10" i="16461"/>
  <c r="Y9" i="16460"/>
  <c r="AA76" i="16460"/>
  <c r="Z248" i="16460"/>
  <c r="Z68" i="16460"/>
  <c r="ES34" i="16506"/>
  <c r="BF33" i="16506"/>
  <c r="DP33" i="16506" s="1"/>
  <c r="EO35" i="16506"/>
  <c r="DJ128" i="16506" s="1"/>
  <c r="EP36" i="16506"/>
  <c r="EP35" i="16506"/>
  <c r="DK128" i="16506" s="1"/>
  <c r="CL28" i="16457"/>
  <c r="CL26" i="16457" s="1"/>
  <c r="DR26" i="16457" s="1"/>
  <c r="DR142" i="16457" s="1"/>
  <c r="BF38" i="16506"/>
  <c r="DP38" i="16506" s="1"/>
  <c r="ET34" i="16506"/>
  <c r="BG40" i="16506"/>
  <c r="DQ40" i="16506" s="1"/>
  <c r="ET39" i="16506"/>
  <c r="ES39" i="16506"/>
  <c r="EU34" i="16506"/>
  <c r="AB33" i="16506"/>
  <c r="AB38" i="16506"/>
  <c r="AB43" i="16460"/>
  <c r="AC40" i="16506"/>
  <c r="AB126" i="16460"/>
  <c r="AA13" i="16460"/>
  <c r="AA39" i="16460"/>
  <c r="AA18" i="16460"/>
  <c r="AA84" i="16460"/>
  <c r="Z256" i="16460" l="1"/>
  <c r="CK133" i="16457"/>
  <c r="CK156" i="16457" s="1"/>
  <c r="DQ24" i="16457"/>
  <c r="DQ133" i="16457" s="1"/>
  <c r="CN35" i="16506"/>
  <c r="CO35" i="16506" s="1"/>
  <c r="CP34" i="16506"/>
  <c r="Z86" i="16460"/>
  <c r="CL24" i="16457"/>
  <c r="CL142" i="16457"/>
  <c r="CL165" i="16457" s="1"/>
  <c r="U69" i="16501" s="1"/>
  <c r="Z250" i="16460"/>
  <c r="AC80" i="16460"/>
  <c r="AC49" i="16460"/>
  <c r="AA120" i="16460"/>
  <c r="AA52" i="16460"/>
  <c r="AA117" i="16460"/>
  <c r="AB50" i="16460"/>
  <c r="AB113" i="16460"/>
  <c r="AA100" i="16460"/>
  <c r="AA58" i="16460"/>
  <c r="AB64" i="16460"/>
  <c r="AC60" i="16460"/>
  <c r="AB116" i="16460"/>
  <c r="AA85" i="16460"/>
  <c r="AA83" i="16460" s="1"/>
  <c r="AA88" i="16460"/>
  <c r="AA15" i="16460"/>
  <c r="AB73" i="16460"/>
  <c r="AA70" i="16460"/>
  <c r="AA81" i="16460"/>
  <c r="AA258" i="16460" s="1"/>
  <c r="AB62" i="16460"/>
  <c r="AA110" i="16460"/>
  <c r="AA102" i="16460"/>
  <c r="AB63" i="16460"/>
  <c r="AB90" i="16460"/>
  <c r="AA77" i="16460"/>
  <c r="AA114" i="16460"/>
  <c r="AA61" i="16460"/>
  <c r="AA46" i="16460"/>
  <c r="AB71" i="16460"/>
  <c r="AA111" i="16460"/>
  <c r="Z255" i="16460"/>
  <c r="AC78" i="16460"/>
  <c r="AB121" i="16460"/>
  <c r="AB14" i="16460"/>
  <c r="AA44" i="16460"/>
  <c r="AB55" i="16460"/>
  <c r="AC54" i="16460"/>
  <c r="EQ37" i="16506"/>
  <c r="ES37" i="16506"/>
  <c r="AC101" i="16460"/>
  <c r="AA36" i="16460"/>
  <c r="Z259" i="16460"/>
  <c r="AB82" i="16460"/>
  <c r="Z247" i="16460"/>
  <c r="AA10" i="16460"/>
  <c r="Z9" i="16460"/>
  <c r="AD10" i="16461"/>
  <c r="AB76" i="16460"/>
  <c r="AA248" i="16460"/>
  <c r="AA68" i="16460"/>
  <c r="EO36" i="16506"/>
  <c r="ER36" i="16506"/>
  <c r="ER35" i="16506"/>
  <c r="DM128" i="16506" s="1"/>
  <c r="CM28" i="16457"/>
  <c r="CM26" i="16457" s="1"/>
  <c r="DS26" i="16457" s="1"/>
  <c r="DS142" i="16457" s="1"/>
  <c r="BG38" i="16506"/>
  <c r="DQ38" i="16506" s="1"/>
  <c r="BG33" i="16506"/>
  <c r="DQ33" i="16506" s="1"/>
  <c r="BH40" i="16506"/>
  <c r="DR40" i="16506" s="1"/>
  <c r="EW34" i="16506"/>
  <c r="EU39" i="16506"/>
  <c r="EV34" i="16506"/>
  <c r="AC33" i="16506"/>
  <c r="AC38" i="16506"/>
  <c r="AC43" i="16460"/>
  <c r="AD40" i="16506"/>
  <c r="AB39" i="16460"/>
  <c r="AB84" i="16460"/>
  <c r="AB18" i="16460"/>
  <c r="AB13" i="16460"/>
  <c r="AC126" i="16460"/>
  <c r="CL133" i="16457" l="1"/>
  <c r="CL156" i="16457" s="1"/>
  <c r="DR24" i="16457"/>
  <c r="DR133" i="16457" s="1"/>
  <c r="AA86" i="16460"/>
  <c r="AA256" i="16460"/>
  <c r="CP35" i="16506"/>
  <c r="CQ34" i="16506"/>
  <c r="CR34" i="16506" s="1"/>
  <c r="CM24" i="16457"/>
  <c r="CM142" i="16457"/>
  <c r="CM165" i="16457" s="1"/>
  <c r="V69" i="16501" s="1"/>
  <c r="AA250" i="16460"/>
  <c r="AB44" i="16460"/>
  <c r="AC116" i="16460"/>
  <c r="AB46" i="16460"/>
  <c r="AB61" i="16460"/>
  <c r="AB77" i="16460"/>
  <c r="AB257" i="16460" s="1"/>
  <c r="AC63" i="16460"/>
  <c r="AB102" i="16460"/>
  <c r="AC62" i="16460"/>
  <c r="AB70" i="16460"/>
  <c r="AB15" i="16460"/>
  <c r="AB12" i="16460" s="1"/>
  <c r="AB88" i="16460"/>
  <c r="AB58" i="16460"/>
  <c r="AB100" i="16460"/>
  <c r="AC50" i="16460"/>
  <c r="AB120" i="16460"/>
  <c r="AD49" i="16460"/>
  <c r="AA12" i="16460"/>
  <c r="AA249" i="16460"/>
  <c r="AB111" i="16460"/>
  <c r="AB110" i="16460"/>
  <c r="AD78" i="16460"/>
  <c r="AA257" i="16460"/>
  <c r="AD54" i="16460"/>
  <c r="AC55" i="16460"/>
  <c r="AC14" i="16460"/>
  <c r="AC121" i="16460"/>
  <c r="AC71" i="16460"/>
  <c r="AB114" i="16460"/>
  <c r="AC90" i="16460"/>
  <c r="AB81" i="16460"/>
  <c r="AB258" i="16460" s="1"/>
  <c r="AC73" i="16460"/>
  <c r="AB85" i="16460"/>
  <c r="AB83" i="16460" s="1"/>
  <c r="AD60" i="16460"/>
  <c r="AC64" i="16460"/>
  <c r="AC113" i="16460"/>
  <c r="AB117" i="16460"/>
  <c r="AB52" i="16460"/>
  <c r="AD80" i="16460"/>
  <c r="AA255" i="16460"/>
  <c r="ET37" i="16506"/>
  <c r="AD101" i="16460"/>
  <c r="AB36" i="16460"/>
  <c r="AA259" i="16460"/>
  <c r="AC82" i="16460"/>
  <c r="AA247" i="16460"/>
  <c r="AB10" i="16460"/>
  <c r="AE10" i="16461"/>
  <c r="AA9" i="16460"/>
  <c r="AC76" i="16460"/>
  <c r="AB248" i="16460"/>
  <c r="AB68" i="16460"/>
  <c r="BH33" i="16506"/>
  <c r="DR33" i="16506" s="1"/>
  <c r="EQ36" i="16506"/>
  <c r="ES35" i="16506"/>
  <c r="DN128" i="16506" s="1"/>
  <c r="ES36" i="16506"/>
  <c r="CN28" i="16457"/>
  <c r="CN26" i="16457" s="1"/>
  <c r="DT26" i="16457" s="1"/>
  <c r="DT142" i="16457" s="1"/>
  <c r="BH38" i="16506"/>
  <c r="DR38" i="16506" s="1"/>
  <c r="BI40" i="16506"/>
  <c r="DS40" i="16506" s="1"/>
  <c r="EV39" i="16506"/>
  <c r="EY39" i="16506"/>
  <c r="EX34" i="16506"/>
  <c r="EW39" i="16506"/>
  <c r="AD38" i="16506"/>
  <c r="AD33" i="16506"/>
  <c r="AD43" i="16460"/>
  <c r="AE40" i="16506"/>
  <c r="AD126" i="16460"/>
  <c r="AC13" i="16460"/>
  <c r="AC18" i="16460"/>
  <c r="AC84" i="16460"/>
  <c r="AC39" i="16460"/>
  <c r="AB256" i="16460" l="1"/>
  <c r="CM133" i="16457"/>
  <c r="CM156" i="16457" s="1"/>
  <c r="DS24" i="16457"/>
  <c r="DS133" i="16457" s="1"/>
  <c r="CS34" i="16506"/>
  <c r="CT34" i="16506" s="1"/>
  <c r="CQ35" i="16506"/>
  <c r="AB86" i="16460"/>
  <c r="CN24" i="16457"/>
  <c r="CN142" i="16457"/>
  <c r="CN165" i="16457" s="1"/>
  <c r="W69" i="16501" s="1"/>
  <c r="AB250" i="16460"/>
  <c r="AE80" i="16460"/>
  <c r="AC52" i="16460"/>
  <c r="AE60" i="16460"/>
  <c r="AD71" i="16460"/>
  <c r="AC120" i="16460"/>
  <c r="AC100" i="16460"/>
  <c r="AC15" i="16460"/>
  <c r="AC12" i="16460" s="1"/>
  <c r="AD62" i="16460"/>
  <c r="AD63" i="16460"/>
  <c r="AC61" i="16460"/>
  <c r="AC46" i="16460"/>
  <c r="AD55" i="16460"/>
  <c r="AE78" i="16460"/>
  <c r="EU37" i="16506"/>
  <c r="AC117" i="16460"/>
  <c r="AD113" i="16460"/>
  <c r="AD64" i="16460"/>
  <c r="AC85" i="16460"/>
  <c r="AC83" i="16460" s="1"/>
  <c r="AD73" i="16460"/>
  <c r="AC81" i="16460"/>
  <c r="AC258" i="16460" s="1"/>
  <c r="AD90" i="16460"/>
  <c r="AC114" i="16460"/>
  <c r="AB249" i="16460"/>
  <c r="AC110" i="16460"/>
  <c r="AC111" i="16460"/>
  <c r="AE49" i="16460"/>
  <c r="AD50" i="16460"/>
  <c r="AC58" i="16460"/>
  <c r="AC88" i="16460"/>
  <c r="AC70" i="16460"/>
  <c r="AC102" i="16460"/>
  <c r="AC77" i="16460"/>
  <c r="AC257" i="16460" s="1"/>
  <c r="AD116" i="16460"/>
  <c r="AC44" i="16460"/>
  <c r="AB255" i="16460"/>
  <c r="AD121" i="16460"/>
  <c r="AD14" i="16460"/>
  <c r="AE54" i="16460"/>
  <c r="AC249" i="16460"/>
  <c r="AE101" i="16460"/>
  <c r="AC36" i="16460"/>
  <c r="AB259" i="16460"/>
  <c r="AD82" i="16460"/>
  <c r="AB247" i="16460"/>
  <c r="AB9" i="16460"/>
  <c r="AF10" i="16461"/>
  <c r="AC10" i="16460"/>
  <c r="AD76" i="16460"/>
  <c r="AC248" i="16460"/>
  <c r="AC68" i="16460"/>
  <c r="ET36" i="16506"/>
  <c r="ET35" i="16506"/>
  <c r="DO128" i="16506" s="1"/>
  <c r="CO28" i="16457"/>
  <c r="CO26" i="16457" s="1"/>
  <c r="DU26" i="16457" s="1"/>
  <c r="DU142" i="16457" s="1"/>
  <c r="BI33" i="16506"/>
  <c r="DS33" i="16506" s="1"/>
  <c r="BI38" i="16506"/>
  <c r="DS38" i="16506" s="1"/>
  <c r="BJ40" i="16506"/>
  <c r="DT40" i="16506" s="1"/>
  <c r="EY34" i="16506"/>
  <c r="EX39" i="16506"/>
  <c r="AE33" i="16506"/>
  <c r="AE38" i="16506"/>
  <c r="AE43" i="16460"/>
  <c r="AF40" i="16506"/>
  <c r="AD18" i="16460"/>
  <c r="AD39" i="16460"/>
  <c r="AD84" i="16460"/>
  <c r="AD13" i="16460"/>
  <c r="AE126" i="16460"/>
  <c r="AC256" i="16460" l="1"/>
  <c r="CN133" i="16457"/>
  <c r="CN156" i="16457" s="1"/>
  <c r="DT24" i="16457"/>
  <c r="DT133" i="16457" s="1"/>
  <c r="CR35" i="16506"/>
  <c r="CU34" i="16506"/>
  <c r="CV34" i="16506" s="1"/>
  <c r="AC86" i="16460"/>
  <c r="CO24" i="16457"/>
  <c r="CO142" i="16457"/>
  <c r="CO165" i="16457" s="1"/>
  <c r="X69" i="16501" s="1"/>
  <c r="EV37" i="16506"/>
  <c r="AD44" i="16460"/>
  <c r="AD88" i="16460"/>
  <c r="AE50" i="16460"/>
  <c r="AF49" i="16460"/>
  <c r="AD110" i="16460"/>
  <c r="AD46" i="16460"/>
  <c r="AE62" i="16460"/>
  <c r="AD15" i="16460"/>
  <c r="AD12" i="16460" s="1"/>
  <c r="AD100" i="16460"/>
  <c r="AD120" i="16460"/>
  <c r="AE71" i="16460"/>
  <c r="AD52" i="16460"/>
  <c r="AE14" i="16460"/>
  <c r="AD114" i="16460"/>
  <c r="AE73" i="16460"/>
  <c r="AE64" i="16460"/>
  <c r="AD117" i="16460"/>
  <c r="AE55" i="16460"/>
  <c r="AC250" i="16460"/>
  <c r="AE116" i="16460"/>
  <c r="AD77" i="16460"/>
  <c r="AD257" i="16460" s="1"/>
  <c r="AD102" i="16460"/>
  <c r="AD70" i="16460"/>
  <c r="AD58" i="16460"/>
  <c r="AD111" i="16460"/>
  <c r="AF78" i="16460"/>
  <c r="AD61" i="16460"/>
  <c r="AE63" i="16460"/>
  <c r="AD249" i="16460"/>
  <c r="AF60" i="16460"/>
  <c r="AF80" i="16460"/>
  <c r="AF54" i="16460"/>
  <c r="AE121" i="16460"/>
  <c r="AE90" i="16460"/>
  <c r="AD81" i="16460"/>
  <c r="AD258" i="16460" s="1"/>
  <c r="AD85" i="16460"/>
  <c r="AD83" i="16460" s="1"/>
  <c r="AE113" i="16460"/>
  <c r="AC255" i="16460"/>
  <c r="AF101" i="16460"/>
  <c r="AD36" i="16460"/>
  <c r="AC259" i="16460"/>
  <c r="AE82" i="16460"/>
  <c r="AC247" i="16460"/>
  <c r="AC9" i="16460"/>
  <c r="AD10" i="16460"/>
  <c r="AG10" i="16461"/>
  <c r="AE76" i="16460"/>
  <c r="AD248" i="16460"/>
  <c r="AD68" i="16460"/>
  <c r="CP28" i="16457"/>
  <c r="CP26" i="16457" s="1"/>
  <c r="DV26" i="16457" s="1"/>
  <c r="DV142" i="16457" s="1"/>
  <c r="EW36" i="16506"/>
  <c r="EU35" i="16506"/>
  <c r="DP128" i="16506" s="1"/>
  <c r="BK40" i="16506"/>
  <c r="DU40" i="16506" s="1"/>
  <c r="BJ38" i="16506"/>
  <c r="DT38" i="16506" s="1"/>
  <c r="BJ33" i="16506"/>
  <c r="DT33" i="16506" s="1"/>
  <c r="EZ34" i="16506"/>
  <c r="FA39" i="16506"/>
  <c r="EZ39" i="16506"/>
  <c r="AF33" i="16506"/>
  <c r="AF38" i="16506"/>
  <c r="AF43" i="16460"/>
  <c r="AG40" i="16506"/>
  <c r="AF126" i="16460"/>
  <c r="AE39" i="16460"/>
  <c r="AE13" i="16460"/>
  <c r="AE84" i="16460"/>
  <c r="AE18" i="16460"/>
  <c r="CO133" i="16457" l="1"/>
  <c r="CO156" i="16457" s="1"/>
  <c r="DU24" i="16457"/>
  <c r="DU133" i="16457" s="1"/>
  <c r="AD86" i="16460"/>
  <c r="AD256" i="16460"/>
  <c r="CW34" i="16506"/>
  <c r="CX34" i="16506" s="1"/>
  <c r="CY34" i="16506" s="1"/>
  <c r="CS35" i="16506"/>
  <c r="CP24" i="16457"/>
  <c r="CP142" i="16457"/>
  <c r="CP165" i="16457" s="1"/>
  <c r="Y69" i="16501" s="1"/>
  <c r="EW37" i="16506"/>
  <c r="AD250" i="16460"/>
  <c r="AG126" i="16460"/>
  <c r="AF64" i="16460"/>
  <c r="AF71" i="16460"/>
  <c r="AE120" i="16460"/>
  <c r="AE15" i="16460"/>
  <c r="AE12" i="16460" s="1"/>
  <c r="AE110" i="16460"/>
  <c r="AF50" i="16460"/>
  <c r="AE85" i="16460"/>
  <c r="AE83" i="16460" s="1"/>
  <c r="AF90" i="16460"/>
  <c r="AF121" i="16460"/>
  <c r="AF63" i="16460"/>
  <c r="AE111" i="16460"/>
  <c r="AE58" i="16460"/>
  <c r="AE102" i="16460"/>
  <c r="AF116" i="16460"/>
  <c r="AF14" i="16460"/>
  <c r="AG43" i="16460"/>
  <c r="AF55" i="16460"/>
  <c r="AE117" i="16460"/>
  <c r="AF73" i="16460"/>
  <c r="AE114" i="16460"/>
  <c r="AE52" i="16460"/>
  <c r="AE100" i="16460"/>
  <c r="AF62" i="16460"/>
  <c r="AE46" i="16460"/>
  <c r="AG49" i="16460"/>
  <c r="AE88" i="16460"/>
  <c r="AE44" i="16460"/>
  <c r="AD255" i="16460"/>
  <c r="AF113" i="16460"/>
  <c r="AE81" i="16460"/>
  <c r="AE258" i="16460" s="1"/>
  <c r="AG54" i="16460"/>
  <c r="AG80" i="16460"/>
  <c r="AG60" i="16460"/>
  <c r="AE249" i="16460"/>
  <c r="AE61" i="16460"/>
  <c r="AG78" i="16460"/>
  <c r="AE70" i="16460"/>
  <c r="AE77" i="16460"/>
  <c r="AE257" i="16460" s="1"/>
  <c r="AG101" i="16460"/>
  <c r="AE36" i="16460"/>
  <c r="AD259" i="16460"/>
  <c r="AF82" i="16460"/>
  <c r="AD247" i="16460"/>
  <c r="AD9" i="16460"/>
  <c r="AH10" i="16461"/>
  <c r="AE10" i="16460"/>
  <c r="AF76" i="16460"/>
  <c r="AE248" i="16460"/>
  <c r="AE68" i="16460"/>
  <c r="EU36" i="16506"/>
  <c r="EX36" i="16506"/>
  <c r="EV36" i="16506"/>
  <c r="FB34" i="16506"/>
  <c r="FA34" i="16506"/>
  <c r="BK33" i="16506"/>
  <c r="DU33" i="16506" s="1"/>
  <c r="CQ28" i="16457"/>
  <c r="CQ26" i="16457" s="1"/>
  <c r="DW26" i="16457" s="1"/>
  <c r="DW142" i="16457" s="1"/>
  <c r="EX35" i="16506"/>
  <c r="DS128" i="16506" s="1"/>
  <c r="EV35" i="16506"/>
  <c r="DQ128" i="16506" s="1"/>
  <c r="EW35" i="16506"/>
  <c r="DR128" i="16506" s="1"/>
  <c r="BL40" i="16506"/>
  <c r="DV40" i="16506" s="1"/>
  <c r="BK38" i="16506"/>
  <c r="DU38" i="16506" s="1"/>
  <c r="AG38" i="16506"/>
  <c r="AG33" i="16506"/>
  <c r="AH40" i="16506"/>
  <c r="AF18" i="16460"/>
  <c r="AF84" i="16460"/>
  <c r="AF13" i="16460"/>
  <c r="AF39" i="16460"/>
  <c r="AE256" i="16460" l="1"/>
  <c r="AE86" i="16460"/>
  <c r="CP133" i="16457"/>
  <c r="CP156" i="16457" s="1"/>
  <c r="DV24" i="16457"/>
  <c r="DV133" i="16457" s="1"/>
  <c r="CT35" i="16506"/>
  <c r="CQ24" i="16457"/>
  <c r="CQ142" i="16457"/>
  <c r="CQ165" i="16457" s="1"/>
  <c r="Z69" i="16501" s="1"/>
  <c r="EX37" i="16506"/>
  <c r="AG84" i="16460"/>
  <c r="AH84" i="16460" s="1"/>
  <c r="AG13" i="16460"/>
  <c r="AH13" i="16460" s="1"/>
  <c r="AE250" i="16460"/>
  <c r="AF70" i="16460"/>
  <c r="AH78" i="16460"/>
  <c r="AH60" i="16460"/>
  <c r="AH54" i="16460"/>
  <c r="AF81" i="16460"/>
  <c r="AF258" i="16460" s="1"/>
  <c r="AF44" i="16460"/>
  <c r="AF88" i="16460"/>
  <c r="AG62" i="16460"/>
  <c r="AF114" i="16460"/>
  <c r="AF117" i="16460"/>
  <c r="AG50" i="16460"/>
  <c r="AG39" i="16460"/>
  <c r="AG116" i="16460"/>
  <c r="AF58" i="16460"/>
  <c r="AG90" i="16460"/>
  <c r="AF120" i="16460"/>
  <c r="AG64" i="16460"/>
  <c r="AF77" i="16460"/>
  <c r="AF257" i="16460" s="1"/>
  <c r="AF61" i="16460"/>
  <c r="AH80" i="16460"/>
  <c r="AG113" i="16460"/>
  <c r="AH49" i="16460"/>
  <c r="AF46" i="16460"/>
  <c r="AF100" i="16460"/>
  <c r="AF52" i="16460"/>
  <c r="AG73" i="16460"/>
  <c r="AG55" i="16460"/>
  <c r="AE255" i="16460"/>
  <c r="AF110" i="16460"/>
  <c r="AH43" i="16460"/>
  <c r="AG14" i="16460"/>
  <c r="AF102" i="16460"/>
  <c r="AF111" i="16460"/>
  <c r="AG63" i="16460"/>
  <c r="AG121" i="16460"/>
  <c r="AF85" i="16460"/>
  <c r="AF83" i="16460" s="1"/>
  <c r="AF15" i="16460"/>
  <c r="AF12" i="16460" s="1"/>
  <c r="AG71" i="16460"/>
  <c r="AH126" i="16460"/>
  <c r="AH101" i="16460"/>
  <c r="AF36" i="16460"/>
  <c r="AE259" i="16460"/>
  <c r="AG82" i="16460"/>
  <c r="AG18" i="16460"/>
  <c r="AH18" i="16460" s="1"/>
  <c r="AF249" i="16460"/>
  <c r="AE247" i="16460"/>
  <c r="AE9" i="16460"/>
  <c r="AF10" i="16460"/>
  <c r="AI10" i="16461"/>
  <c r="AG76" i="16460"/>
  <c r="AF248" i="16460"/>
  <c r="AF68" i="16460"/>
  <c r="EZ36" i="16506"/>
  <c r="FC34" i="16506"/>
  <c r="FC39" i="16506"/>
  <c r="FB39" i="16506"/>
  <c r="CR28" i="16457"/>
  <c r="CR26" i="16457" s="1"/>
  <c r="DX26" i="16457" s="1"/>
  <c r="DX142" i="16457" s="1"/>
  <c r="BM40" i="16506"/>
  <c r="DW40" i="16506" s="1"/>
  <c r="BL33" i="16506"/>
  <c r="DV33" i="16506" s="1"/>
  <c r="BL38" i="16506"/>
  <c r="DV38" i="16506" s="1"/>
  <c r="AH33" i="16506"/>
  <c r="AH38" i="16506"/>
  <c r="CQ133" i="16457" l="1"/>
  <c r="CQ156" i="16457" s="1"/>
  <c r="DW24" i="16457"/>
  <c r="DW133" i="16457" s="1"/>
  <c r="AF256" i="16460"/>
  <c r="CU35" i="16506"/>
  <c r="AF86" i="16460"/>
  <c r="CR24" i="16457"/>
  <c r="CR142" i="16457"/>
  <c r="CR165" i="16457" s="1"/>
  <c r="AA69" i="16501" s="1"/>
  <c r="AF255" i="16460"/>
  <c r="EY37" i="16506"/>
  <c r="AF250" i="16460"/>
  <c r="AG15" i="16460"/>
  <c r="AH121" i="16460"/>
  <c r="AG111" i="16460"/>
  <c r="AH14" i="16460"/>
  <c r="AH55" i="16460"/>
  <c r="AG52" i="16460"/>
  <c r="AG100" i="16460"/>
  <c r="AI49" i="16460"/>
  <c r="AG61" i="16460"/>
  <c r="AG77" i="16460"/>
  <c r="AG257" i="16460" s="1"/>
  <c r="AG120" i="16460"/>
  <c r="AH90" i="16460"/>
  <c r="AH116" i="16460"/>
  <c r="AH50" i="16460"/>
  <c r="AG117" i="16460"/>
  <c r="AH62" i="16460"/>
  <c r="AG88" i="16460"/>
  <c r="AN122" i="16460"/>
  <c r="AR122" i="16460"/>
  <c r="AI54" i="16460"/>
  <c r="AI78" i="16460"/>
  <c r="AG110" i="16460"/>
  <c r="AI126" i="16460"/>
  <c r="AH71" i="16460"/>
  <c r="AG85" i="16460"/>
  <c r="AH63" i="16460"/>
  <c r="AG102" i="16460"/>
  <c r="AI43" i="16460"/>
  <c r="AH73" i="16460"/>
  <c r="AG46" i="16460"/>
  <c r="AH113" i="16460"/>
  <c r="AI80" i="16460"/>
  <c r="AH64" i="16460"/>
  <c r="AG58" i="16460"/>
  <c r="AH39" i="16460"/>
  <c r="AG114" i="16460"/>
  <c r="AG44" i="16460"/>
  <c r="AG81" i="16460"/>
  <c r="AI60" i="16460"/>
  <c r="AG70" i="16460"/>
  <c r="AG250" i="16460"/>
  <c r="AI101" i="16460"/>
  <c r="AG36" i="16460"/>
  <c r="AF259" i="16460"/>
  <c r="AH82" i="16460"/>
  <c r="AF247" i="16460"/>
  <c r="AJ10" i="16461"/>
  <c r="AG10" i="16460"/>
  <c r="AF9" i="16460"/>
  <c r="AH76" i="16460"/>
  <c r="AG248" i="16460"/>
  <c r="AG68" i="16460"/>
  <c r="FB36" i="16506"/>
  <c r="EY36" i="16506"/>
  <c r="FE34" i="16506"/>
  <c r="FD39" i="16506"/>
  <c r="AI84" i="16460"/>
  <c r="AI18" i="16460"/>
  <c r="FA35" i="16506"/>
  <c r="DV128" i="16506" s="1"/>
  <c r="EY35" i="16506"/>
  <c r="DT128" i="16506" s="1"/>
  <c r="CS28" i="16457"/>
  <c r="CS26" i="16457" s="1"/>
  <c r="DY26" i="16457" s="1"/>
  <c r="DY142" i="16457" s="1"/>
  <c r="BM38" i="16506"/>
  <c r="DW38" i="16506" s="1"/>
  <c r="BM33" i="16506"/>
  <c r="DW33" i="16506" s="1"/>
  <c r="AI40" i="16506"/>
  <c r="AI13" i="16460"/>
  <c r="CR133" i="16457" l="1"/>
  <c r="CR156" i="16457" s="1"/>
  <c r="DX24" i="16457"/>
  <c r="DX133" i="16457" s="1"/>
  <c r="CV35" i="16506"/>
  <c r="CW35" i="16506" s="1"/>
  <c r="AG256" i="16460"/>
  <c r="CS24" i="16457"/>
  <c r="CS142" i="16457"/>
  <c r="CS165" i="16457" s="1"/>
  <c r="AB69" i="16501" s="1"/>
  <c r="EZ37" i="16506"/>
  <c r="AH81" i="16460"/>
  <c r="AH258" i="16460" s="1"/>
  <c r="AR115" i="16460"/>
  <c r="AN115" i="16460"/>
  <c r="AI39" i="16460"/>
  <c r="AN118" i="16460"/>
  <c r="AR118" i="16460"/>
  <c r="AJ126" i="16460"/>
  <c r="AJ78" i="16460"/>
  <c r="AH88" i="16460"/>
  <c r="AG255" i="16460"/>
  <c r="AG86" i="16460"/>
  <c r="AI50" i="16460"/>
  <c r="AI116" i="16460"/>
  <c r="AH61" i="16460"/>
  <c r="AJ49" i="16460"/>
  <c r="AH52" i="16460"/>
  <c r="AI14" i="16460"/>
  <c r="AH15" i="16460"/>
  <c r="AG12" i="16460"/>
  <c r="AG258" i="16460"/>
  <c r="AH70" i="16460"/>
  <c r="AJ60" i="16460"/>
  <c r="AH44" i="16460"/>
  <c r="AR92" i="16460"/>
  <c r="AH58" i="16460"/>
  <c r="AI64" i="16460"/>
  <c r="AI113" i="16460"/>
  <c r="AH46" i="16460"/>
  <c r="AI73" i="16460"/>
  <c r="AJ43" i="16460"/>
  <c r="AI63" i="16460"/>
  <c r="AH85" i="16460"/>
  <c r="AG83" i="16460"/>
  <c r="AH110" i="16460"/>
  <c r="AH250" i="16460"/>
  <c r="AH102" i="16460"/>
  <c r="AI71" i="16460"/>
  <c r="AI62" i="16460"/>
  <c r="AH117" i="16460"/>
  <c r="AI90" i="16460"/>
  <c r="AH120" i="16460"/>
  <c r="AH77" i="16460"/>
  <c r="AH257" i="16460" s="1"/>
  <c r="AN98" i="16460"/>
  <c r="AR98" i="16460"/>
  <c r="AH100" i="16460"/>
  <c r="AI55" i="16460"/>
  <c r="AH111" i="16460"/>
  <c r="AI121" i="16460"/>
  <c r="AG249" i="16460"/>
  <c r="AH114" i="16460"/>
  <c r="AJ80" i="16460"/>
  <c r="AJ54" i="16460"/>
  <c r="AH249" i="16460"/>
  <c r="AJ101" i="16460"/>
  <c r="AH36" i="16460"/>
  <c r="AG259" i="16460"/>
  <c r="AI82" i="16460"/>
  <c r="AJ18" i="16460"/>
  <c r="AK18" i="16460" s="1"/>
  <c r="AH10" i="16460"/>
  <c r="AG247" i="16460"/>
  <c r="AG9" i="16460"/>
  <c r="AK10" i="16461"/>
  <c r="AI76" i="16460"/>
  <c r="AH248" i="16460"/>
  <c r="AH68" i="16460"/>
  <c r="FA36" i="16506"/>
  <c r="FD34" i="16506"/>
  <c r="FC36" i="16506"/>
  <c r="FE39" i="16506"/>
  <c r="FF34" i="16506"/>
  <c r="AJ84" i="16460"/>
  <c r="EZ35" i="16506"/>
  <c r="DU128" i="16506" s="1"/>
  <c r="FB35" i="16506"/>
  <c r="DW128" i="16506" s="1"/>
  <c r="CT28" i="16457"/>
  <c r="CT26" i="16457" s="1"/>
  <c r="DZ26" i="16457" s="1"/>
  <c r="DZ142" i="16457" s="1"/>
  <c r="AI33" i="16506"/>
  <c r="AI38" i="16506"/>
  <c r="AJ40" i="16506"/>
  <c r="AK40" i="16506"/>
  <c r="BN40" i="16506"/>
  <c r="DX40" i="16506" s="1"/>
  <c r="AJ13" i="16460"/>
  <c r="AH256" i="16460" l="1"/>
  <c r="CS133" i="16457"/>
  <c r="CS156" i="16457" s="1"/>
  <c r="DY24" i="16457"/>
  <c r="DY133" i="16457" s="1"/>
  <c r="CX35" i="16506"/>
  <c r="CY35" i="16506" s="1"/>
  <c r="CT24" i="16457"/>
  <c r="CT142" i="16457"/>
  <c r="CT165" i="16457" s="1"/>
  <c r="AC69" i="16501" s="1"/>
  <c r="FA37" i="16506"/>
  <c r="AI120" i="16460"/>
  <c r="AJ62" i="16460"/>
  <c r="AI110" i="16460"/>
  <c r="AI15" i="16460"/>
  <c r="AH12" i="16460"/>
  <c r="AJ14" i="16460"/>
  <c r="AK49" i="16460"/>
  <c r="AI61" i="16460"/>
  <c r="AJ50" i="16460"/>
  <c r="AJ39" i="16460"/>
  <c r="AI250" i="16460"/>
  <c r="AK54" i="16460"/>
  <c r="AK80" i="16460"/>
  <c r="AI114" i="16460"/>
  <c r="AJ121" i="16460"/>
  <c r="AJ55" i="16460"/>
  <c r="AI85" i="16460"/>
  <c r="AH83" i="16460"/>
  <c r="AJ73" i="16460"/>
  <c r="AJ113" i="16460"/>
  <c r="AJ64" i="16460"/>
  <c r="AI44" i="16460"/>
  <c r="AI70" i="16460"/>
  <c r="AK78" i="16460"/>
  <c r="AK126" i="16460"/>
  <c r="AI81" i="16460"/>
  <c r="AI258" i="16460" s="1"/>
  <c r="AI77" i="16460"/>
  <c r="AI257" i="16460" s="1"/>
  <c r="AJ90" i="16460"/>
  <c r="AI117" i="16460"/>
  <c r="AI52" i="16460"/>
  <c r="AJ116" i="16460"/>
  <c r="AI88" i="16460"/>
  <c r="AH255" i="16460"/>
  <c r="AH86" i="16460"/>
  <c r="AI111" i="16460"/>
  <c r="AI100" i="16460"/>
  <c r="AJ71" i="16460"/>
  <c r="AI102" i="16460"/>
  <c r="AJ63" i="16460"/>
  <c r="AK43" i="16460"/>
  <c r="AI46" i="16460"/>
  <c r="AI58" i="16460"/>
  <c r="AK60" i="16460"/>
  <c r="AK101" i="16460"/>
  <c r="AI36" i="16460"/>
  <c r="AH259" i="16460"/>
  <c r="AJ82" i="16460"/>
  <c r="AH247" i="16460"/>
  <c r="AI10" i="16460"/>
  <c r="AL10" i="16461"/>
  <c r="AH9" i="16460"/>
  <c r="AJ76" i="16460"/>
  <c r="AI248" i="16460"/>
  <c r="AI68" i="16460"/>
  <c r="FG34" i="16506"/>
  <c r="FD36" i="16506"/>
  <c r="FF39" i="16506"/>
  <c r="AL18" i="16460"/>
  <c r="AK84" i="16460"/>
  <c r="FC35" i="16506"/>
  <c r="DX128" i="16506" s="1"/>
  <c r="AK33" i="16506"/>
  <c r="AL40" i="16506"/>
  <c r="AJ38" i="16506"/>
  <c r="AJ33" i="16506"/>
  <c r="AK38" i="16506"/>
  <c r="BN38" i="16506"/>
  <c r="DX38" i="16506" s="1"/>
  <c r="BN33" i="16506"/>
  <c r="DX33" i="16506" s="1"/>
  <c r="CU28" i="16457"/>
  <c r="CU26" i="16457" s="1"/>
  <c r="EA26" i="16457" s="1"/>
  <c r="EA142" i="16457" s="1"/>
  <c r="AK13" i="16460"/>
  <c r="CW28" i="16457"/>
  <c r="CW26" i="16457" s="1"/>
  <c r="EC26" i="16457" s="1"/>
  <c r="EC142" i="16457" s="1"/>
  <c r="CT133" i="16457" l="1"/>
  <c r="CT156" i="16457" s="1"/>
  <c r="DZ24" i="16457"/>
  <c r="DZ133" i="16457" s="1"/>
  <c r="AI256" i="16460"/>
  <c r="CW24" i="16457"/>
  <c r="CW142" i="16457"/>
  <c r="CW165" i="16457" s="1"/>
  <c r="AF69" i="16501" s="1"/>
  <c r="CU24" i="16457"/>
  <c r="CU142" i="16457"/>
  <c r="CU165" i="16457" s="1"/>
  <c r="AD69" i="16501" s="1"/>
  <c r="FB37" i="16506"/>
  <c r="AJ46" i="16460"/>
  <c r="AK63" i="16460"/>
  <c r="AJ102" i="16460"/>
  <c r="AJ100" i="16460"/>
  <c r="AJ88" i="16460"/>
  <c r="AI255" i="16460"/>
  <c r="AI86" i="16460"/>
  <c r="AK116" i="16460"/>
  <c r="AJ52" i="16460"/>
  <c r="AL126" i="16460"/>
  <c r="AK55" i="16460"/>
  <c r="AJ114" i="16460"/>
  <c r="AL54" i="16460"/>
  <c r="AL49" i="16460"/>
  <c r="AK62" i="16460"/>
  <c r="AJ120" i="16460"/>
  <c r="AK71" i="16460"/>
  <c r="AJ117" i="16460"/>
  <c r="AJ77" i="16460"/>
  <c r="AJ257" i="16460" s="1"/>
  <c r="AJ70" i="16460"/>
  <c r="AK113" i="16460"/>
  <c r="AJ15" i="16460"/>
  <c r="AI12" i="16460"/>
  <c r="AJ250" i="16460"/>
  <c r="AL60" i="16460"/>
  <c r="AJ58" i="16460"/>
  <c r="AL43" i="16460"/>
  <c r="AN43" i="16460" s="1"/>
  <c r="AJ111" i="16460"/>
  <c r="AN19" i="16460"/>
  <c r="AP19" i="16460" s="1"/>
  <c r="AJ81" i="16460"/>
  <c r="AJ258" i="16460" s="1"/>
  <c r="AL78" i="16460"/>
  <c r="AJ85" i="16460"/>
  <c r="AI83" i="16460"/>
  <c r="AK121" i="16460"/>
  <c r="AL80" i="16460"/>
  <c r="AK50" i="16460"/>
  <c r="AJ61" i="16460"/>
  <c r="AK14" i="16460"/>
  <c r="AJ110" i="16460"/>
  <c r="AI249" i="16460"/>
  <c r="AK90" i="16460"/>
  <c r="AJ44" i="16460"/>
  <c r="AK64" i="16460"/>
  <c r="AK73" i="16460"/>
  <c r="AK39" i="16460"/>
  <c r="AR19" i="16460"/>
  <c r="AN18" i="16460"/>
  <c r="AP18" i="16460" s="1"/>
  <c r="AL101" i="16460"/>
  <c r="AJ36" i="16460"/>
  <c r="AI259" i="16460"/>
  <c r="AK82" i="16460"/>
  <c r="AR18" i="16460"/>
  <c r="AI247" i="16460"/>
  <c r="AJ10" i="16460"/>
  <c r="AI9" i="16460"/>
  <c r="AM10" i="16461"/>
  <c r="AK76" i="16460"/>
  <c r="AJ248" i="16460"/>
  <c r="AJ68" i="16460"/>
  <c r="FH34" i="16506"/>
  <c r="FE36" i="16506"/>
  <c r="FG39" i="16506"/>
  <c r="CV28" i="16457"/>
  <c r="CV26" i="16457" s="1"/>
  <c r="EB26" i="16457" s="1"/>
  <c r="EB142" i="16457" s="1"/>
  <c r="AL84" i="16460"/>
  <c r="AL33" i="16506"/>
  <c r="AM40" i="16506"/>
  <c r="AL38" i="16506"/>
  <c r="AL13" i="16460"/>
  <c r="AJ256" i="16460" l="1"/>
  <c r="CW133" i="16457"/>
  <c r="CW156" i="16457" s="1"/>
  <c r="EC24" i="16457"/>
  <c r="EC133" i="16457" s="1"/>
  <c r="CU133" i="16457"/>
  <c r="CU156" i="16457" s="1"/>
  <c r="EA24" i="16457"/>
  <c r="EA133" i="16457" s="1"/>
  <c r="CV24" i="16457"/>
  <c r="CV142" i="16457"/>
  <c r="CV165" i="16457" s="1"/>
  <c r="AE69" i="16501" s="1"/>
  <c r="FC37" i="16506"/>
  <c r="AJ249" i="16460"/>
  <c r="AL14" i="16460"/>
  <c r="AL50" i="16460"/>
  <c r="AL121" i="16460"/>
  <c r="AK81" i="16460"/>
  <c r="AK258" i="16460" s="1"/>
  <c r="AK58" i="16460"/>
  <c r="AK15" i="16460"/>
  <c r="AJ12" i="16460"/>
  <c r="AK117" i="16460"/>
  <c r="AL71" i="16460"/>
  <c r="AR54" i="16460"/>
  <c r="AN54" i="16460"/>
  <c r="AL55" i="16460"/>
  <c r="AR126" i="16460"/>
  <c r="AK102" i="16460"/>
  <c r="AK46" i="16460"/>
  <c r="AL73" i="16460"/>
  <c r="AK44" i="16460"/>
  <c r="AK256" i="16460" s="1"/>
  <c r="AR37" i="16460"/>
  <c r="AN37" i="16460"/>
  <c r="AL62" i="16460"/>
  <c r="AK250" i="16460"/>
  <c r="AL90" i="16460"/>
  <c r="AK110" i="16460"/>
  <c r="AK61" i="16460"/>
  <c r="AN80" i="16460"/>
  <c r="AR80" i="16460"/>
  <c r="AN78" i="16460"/>
  <c r="AR78" i="16460"/>
  <c r="AK111" i="16460"/>
  <c r="AN60" i="16460"/>
  <c r="AR60" i="16460"/>
  <c r="AL113" i="16460"/>
  <c r="AK70" i="16460"/>
  <c r="AK77" i="16460"/>
  <c r="AK257" i="16460" s="1"/>
  <c r="AK114" i="16460"/>
  <c r="AN126" i="16460"/>
  <c r="AK52" i="16460"/>
  <c r="AL116" i="16460"/>
  <c r="AK88" i="16460"/>
  <c r="AJ86" i="16460"/>
  <c r="AJ255" i="16460"/>
  <c r="AK100" i="16460"/>
  <c r="AL63" i="16460"/>
  <c r="AR127" i="16460"/>
  <c r="AL39" i="16460"/>
  <c r="AN39" i="16460" s="1"/>
  <c r="AL64" i="16460"/>
  <c r="AN91" i="16460"/>
  <c r="AR91" i="16460"/>
  <c r="AK85" i="16460"/>
  <c r="AJ83" i="16460"/>
  <c r="AK120" i="16460"/>
  <c r="AN49" i="16460"/>
  <c r="AR49" i="16460"/>
  <c r="AR43" i="16460"/>
  <c r="AN101" i="16460"/>
  <c r="AR101" i="16460"/>
  <c r="AK36" i="16460"/>
  <c r="AJ259" i="16460"/>
  <c r="AL82" i="16460"/>
  <c r="AN82" i="16460" s="1"/>
  <c r="AJ247" i="16460"/>
  <c r="AK10" i="16460"/>
  <c r="AJ9" i="16460"/>
  <c r="AN10" i="16461"/>
  <c r="AL76" i="16460"/>
  <c r="AK248" i="16460"/>
  <c r="AK68" i="16460"/>
  <c r="FI34" i="16506"/>
  <c r="FF36" i="16506"/>
  <c r="FH39" i="16506"/>
  <c r="FE35" i="16506"/>
  <c r="DZ128" i="16506" s="1"/>
  <c r="FD35" i="16506"/>
  <c r="DY128" i="16506" s="1"/>
  <c r="AN84" i="16460"/>
  <c r="AR84" i="16460"/>
  <c r="AR87" i="16460"/>
  <c r="AN87" i="16460"/>
  <c r="AM38" i="16506"/>
  <c r="AM33" i="16506"/>
  <c r="AN40" i="16506"/>
  <c r="CX28" i="16457"/>
  <c r="CX26" i="16457" s="1"/>
  <c r="ED26" i="16457" s="1"/>
  <c r="ED142" i="16457" s="1"/>
  <c r="CV133" i="16457" l="1"/>
  <c r="CV156" i="16457" s="1"/>
  <c r="EB24" i="16457"/>
  <c r="EB133" i="16457" s="1"/>
  <c r="CX24" i="16457"/>
  <c r="CX142" i="16457"/>
  <c r="CX165" i="16457" s="1"/>
  <c r="AG69" i="16501" s="1"/>
  <c r="FD37" i="16506"/>
  <c r="AR39" i="16460"/>
  <c r="AL70" i="16460"/>
  <c r="AL110" i="16460"/>
  <c r="AL46" i="16460"/>
  <c r="AR55" i="16460"/>
  <c r="AN55" i="16460"/>
  <c r="AL58" i="16460"/>
  <c r="AN56" i="16460"/>
  <c r="AR56" i="16460"/>
  <c r="AL100" i="16460"/>
  <c r="AN116" i="16460"/>
  <c r="AR116" i="16460"/>
  <c r="AL111" i="16460"/>
  <c r="AR21" i="16460"/>
  <c r="AN21" i="16460"/>
  <c r="AP21" i="16460" s="1"/>
  <c r="AR62" i="16460"/>
  <c r="AN62" i="16460"/>
  <c r="AR33" i="16460"/>
  <c r="AN33" i="16460"/>
  <c r="AL81" i="16460"/>
  <c r="AL258" i="16460" s="1"/>
  <c r="H258" i="16460" s="1"/>
  <c r="AL120" i="16460"/>
  <c r="AL85" i="16460"/>
  <c r="AK83" i="16460"/>
  <c r="AL114" i="16460"/>
  <c r="AL77" i="16460"/>
  <c r="AN113" i="16460"/>
  <c r="AR113" i="16460"/>
  <c r="AL61" i="16460"/>
  <c r="AN90" i="16460"/>
  <c r="AR90" i="16460"/>
  <c r="AL44" i="16460"/>
  <c r="AN24" i="16460"/>
  <c r="AP24" i="16460" s="1"/>
  <c r="AR24" i="16460"/>
  <c r="AL102" i="16460"/>
  <c r="AR51" i="16460"/>
  <c r="AN51" i="16460"/>
  <c r="AL15" i="16460"/>
  <c r="AK12" i="16460"/>
  <c r="AK249" i="16460"/>
  <c r="AN123" i="16460"/>
  <c r="AR123" i="16460"/>
  <c r="AR64" i="16460"/>
  <c r="AN127" i="16460"/>
  <c r="AN63" i="16460"/>
  <c r="AR63" i="16460"/>
  <c r="AR57" i="16460"/>
  <c r="AN57" i="16460"/>
  <c r="AL88" i="16460"/>
  <c r="AK255" i="16460"/>
  <c r="AK86" i="16460"/>
  <c r="AL52" i="16460"/>
  <c r="AR29" i="16460"/>
  <c r="AN29" i="16460"/>
  <c r="AP29" i="16460" s="1"/>
  <c r="AR35" i="16460"/>
  <c r="AN35" i="16460"/>
  <c r="AN75" i="16460"/>
  <c r="AR75" i="16460"/>
  <c r="AL117" i="16460"/>
  <c r="AR104" i="16460"/>
  <c r="AN104" i="16460"/>
  <c r="AR121" i="16460"/>
  <c r="AN121" i="16460"/>
  <c r="AN14" i="16460"/>
  <c r="AP14" i="16460" s="1"/>
  <c r="AR14" i="16460"/>
  <c r="AL250" i="16460"/>
  <c r="AL36" i="16460"/>
  <c r="AK259" i="16460"/>
  <c r="AR82" i="16460"/>
  <c r="AK247" i="16460"/>
  <c r="AL10" i="16460"/>
  <c r="AO10" i="16461"/>
  <c r="AK9" i="16460"/>
  <c r="AL257" i="16460"/>
  <c r="H257" i="16460" s="1"/>
  <c r="AN76" i="16460"/>
  <c r="AR76" i="16460"/>
  <c r="AR45" i="16460"/>
  <c r="AN45" i="16460"/>
  <c r="AL248" i="16460"/>
  <c r="AN30" i="16460"/>
  <c r="AP30" i="16460" s="1"/>
  <c r="AR30" i="16460"/>
  <c r="AL68" i="16460"/>
  <c r="FG36" i="16506"/>
  <c r="FI39" i="16506"/>
  <c r="FF35" i="16506"/>
  <c r="EA128" i="16506" s="1"/>
  <c r="AN33" i="16506"/>
  <c r="AN38" i="16506"/>
  <c r="AO40" i="16506"/>
  <c r="CY28" i="16457"/>
  <c r="CY26" i="16457" s="1"/>
  <c r="EE26" i="16457" s="1"/>
  <c r="EE142" i="16457" s="1"/>
  <c r="BW38" i="16457"/>
  <c r="AL256" i="16460" l="1"/>
  <c r="H256" i="16460" s="1"/>
  <c r="CX133" i="16457"/>
  <c r="CX156" i="16457" s="1"/>
  <c r="ED24" i="16457"/>
  <c r="ED133" i="16457" s="1"/>
  <c r="CY24" i="16457"/>
  <c r="CY142" i="16457"/>
  <c r="CY165" i="16457" s="1"/>
  <c r="AH69" i="16501" s="1"/>
  <c r="AR117" i="16460"/>
  <c r="AN117" i="16460"/>
  <c r="AR52" i="16460"/>
  <c r="AN52" i="16460"/>
  <c r="AN88" i="16460"/>
  <c r="AR88" i="16460"/>
  <c r="AL86" i="16460"/>
  <c r="AL255" i="16460"/>
  <c r="H255" i="16460" s="1"/>
  <c r="AR81" i="16460"/>
  <c r="AN81" i="16460"/>
  <c r="AR70" i="16460"/>
  <c r="AN70" i="16460"/>
  <c r="AR40" i="16460"/>
  <c r="AL249" i="16460"/>
  <c r="AR44" i="16460"/>
  <c r="AN44" i="16460"/>
  <c r="AN77" i="16460"/>
  <c r="AR77" i="16460"/>
  <c r="AR120" i="16460"/>
  <c r="AN120" i="16460"/>
  <c r="AR41" i="16460"/>
  <c r="AN41" i="16460"/>
  <c r="AN102" i="16460"/>
  <c r="AR102" i="16460"/>
  <c r="AN100" i="16460"/>
  <c r="AR100" i="16460"/>
  <c r="AL12" i="16460"/>
  <c r="AN61" i="16460"/>
  <c r="AR61" i="16460"/>
  <c r="AR114" i="16460"/>
  <c r="AN85" i="16460"/>
  <c r="AR85" i="16460"/>
  <c r="AL83" i="16460"/>
  <c r="AN58" i="16460"/>
  <c r="AR58" i="16460"/>
  <c r="AN46" i="16460"/>
  <c r="AR46" i="16460"/>
  <c r="AR110" i="16460"/>
  <c r="AN110" i="16460"/>
  <c r="AR10" i="16460"/>
  <c r="AL259" i="16460"/>
  <c r="H259" i="16460" s="1"/>
  <c r="AR36" i="16460"/>
  <c r="AN36" i="16460"/>
  <c r="AR23" i="16460"/>
  <c r="AN23" i="16460"/>
  <c r="AP23" i="16460" s="1"/>
  <c r="AL247" i="16460"/>
  <c r="AL9" i="16460"/>
  <c r="AP10" i="16461"/>
  <c r="L10" i="16461" s="1"/>
  <c r="H248" i="16460"/>
  <c r="FH36" i="16506"/>
  <c r="FG35" i="16506"/>
  <c r="EB128" i="16506" s="1"/>
  <c r="AO38" i="16506"/>
  <c r="AO33" i="16506"/>
  <c r="BT40" i="16506"/>
  <c r="CZ28" i="16457"/>
  <c r="CZ26" i="16457" s="1"/>
  <c r="EF26" i="16457" s="1"/>
  <c r="EF142" i="16457" s="1"/>
  <c r="BW37" i="16457"/>
  <c r="CY133" i="16457" l="1"/>
  <c r="CY156" i="16457" s="1"/>
  <c r="EE24" i="16457"/>
  <c r="EE133" i="16457" s="1"/>
  <c r="CZ24" i="16457"/>
  <c r="CZ142" i="16457"/>
  <c r="CZ165" i="16457" s="1"/>
  <c r="AI69" i="16501" s="1"/>
  <c r="FE37" i="16506"/>
  <c r="FF37" i="16506"/>
  <c r="FI36" i="16506"/>
  <c r="FH35" i="16506"/>
  <c r="EC128" i="16506" s="1"/>
  <c r="ED40" i="16506"/>
  <c r="EF40" i="16506"/>
  <c r="BT33" i="16506"/>
  <c r="BT38" i="16506"/>
  <c r="DA28" i="16457"/>
  <c r="DA26" i="16457" s="1"/>
  <c r="BW28" i="16457"/>
  <c r="CZ133" i="16457" l="1"/>
  <c r="CZ156" i="16457" s="1"/>
  <c r="EF24" i="16457"/>
  <c r="EF133" i="16457" s="1"/>
  <c r="DA24" i="16457"/>
  <c r="EG24" i="16457" s="1"/>
  <c r="EG133" i="16457" s="1"/>
  <c r="EG26" i="16457"/>
  <c r="EG142" i="16457" s="1"/>
  <c r="BW26" i="16457"/>
  <c r="DA142" i="16457"/>
  <c r="DA165" i="16457" s="1"/>
  <c r="AJ69" i="16501" s="1"/>
  <c r="F69" i="16501" s="1"/>
  <c r="FH37" i="16506"/>
  <c r="FG37" i="16506"/>
  <c r="FI35" i="16506"/>
  <c r="ED128" i="16506" s="1"/>
  <c r="ED38" i="16506"/>
  <c r="EG40" i="16506"/>
  <c r="ED33" i="16506"/>
  <c r="DA133" i="16457" l="1"/>
  <c r="DA156" i="16457" s="1"/>
  <c r="BW142" i="16457"/>
  <c r="G142" i="16457" s="1"/>
  <c r="DC26" i="16457"/>
  <c r="DC142" i="16457" s="1"/>
  <c r="CZ128" i="16506"/>
  <c r="BW24" i="16457"/>
  <c r="FI37" i="16506"/>
  <c r="EG33" i="16506"/>
  <c r="EF38" i="16506"/>
  <c r="EF33" i="16506"/>
  <c r="BW165" i="16457" l="1"/>
  <c r="BW133" i="16457"/>
  <c r="BW156" i="16457" s="1"/>
  <c r="DC24" i="16457"/>
  <c r="DC133" i="16457" s="1"/>
  <c r="EH40" i="16506"/>
  <c r="EH38" i="16506"/>
  <c r="EG38" i="16506"/>
  <c r="EH33" i="16506" l="1"/>
  <c r="EI40" i="16506"/>
  <c r="EJ40" i="16506" l="1"/>
  <c r="EI38" i="16506"/>
  <c r="EI33" i="16506"/>
  <c r="EK40" i="16506" l="1"/>
  <c r="EJ33" i="16506"/>
  <c r="EL38" i="16506"/>
  <c r="EJ38" i="16506"/>
  <c r="EK33" i="16506" l="1"/>
  <c r="EK38" i="16506"/>
  <c r="EL40" i="16506"/>
  <c r="EN38" i="16506" l="1"/>
  <c r="EM38" i="16506"/>
  <c r="EM40" i="16506"/>
  <c r="EN40" i="16506"/>
  <c r="EL33" i="16506"/>
  <c r="EP38" i="16506" l="1"/>
  <c r="EM33" i="16506"/>
  <c r="EO38" i="16506" l="1"/>
  <c r="EQ38" i="16506"/>
  <c r="EN33" i="16506"/>
  <c r="EQ33" i="16506"/>
  <c r="EO40" i="16506"/>
  <c r="EO33" i="16506"/>
  <c r="ES38" i="16506" l="1"/>
  <c r="EP40" i="16506"/>
  <c r="ES40" i="16506"/>
  <c r="EQ40" i="16506"/>
  <c r="EP33" i="16506"/>
  <c r="ET38" i="16506" l="1"/>
  <c r="ER38" i="16506"/>
  <c r="ET33" i="16506"/>
  <c r="ER33" i="16506"/>
  <c r="ER40" i="16506"/>
  <c r="EU38" i="16506" l="1"/>
  <c r="ES33" i="16506"/>
  <c r="ET40" i="16506"/>
  <c r="EW40" i="16506" l="1"/>
  <c r="EU40" i="16506"/>
  <c r="EU33" i="16506"/>
  <c r="EV38" i="16506" l="1"/>
  <c r="EW38" i="16506"/>
  <c r="EV33" i="16506"/>
  <c r="EV40" i="16506"/>
  <c r="EX38" i="16506" l="1"/>
  <c r="EW33" i="16506"/>
  <c r="EY33" i="16506"/>
  <c r="EY40" i="16506"/>
  <c r="EX40" i="16506"/>
  <c r="FA40" i="16506" l="1"/>
  <c r="EY38" i="16506"/>
  <c r="EZ38" i="16506"/>
  <c r="EX33" i="16506"/>
  <c r="EZ40" i="16506" l="1"/>
  <c r="FA38" i="16506"/>
  <c r="EZ33" i="16506"/>
  <c r="FB33" i="16506" l="1"/>
  <c r="FA33" i="16506"/>
  <c r="FC40" i="16506"/>
  <c r="FB40" i="16506"/>
  <c r="FD40" i="16506" l="1"/>
  <c r="FC33" i="16506"/>
  <c r="FC38" i="16506"/>
  <c r="FB38" i="16506"/>
  <c r="FE40" i="16506" l="1"/>
  <c r="FD33" i="16506"/>
  <c r="FD38" i="16506"/>
  <c r="FF40" i="16506" l="1"/>
  <c r="FF33" i="16506"/>
  <c r="FE38" i="16506"/>
  <c r="FG40" i="16506" l="1"/>
  <c r="FF38" i="16506"/>
  <c r="FG33" i="16506"/>
  <c r="FE33" i="16506"/>
  <c r="FH40" i="16506" l="1"/>
  <c r="FG38" i="16506"/>
  <c r="FH33" i="16506"/>
  <c r="FI40" i="16506" l="1"/>
  <c r="FH38" i="16506"/>
  <c r="FI33" i="16506"/>
  <c r="FI38" i="16506" l="1"/>
  <c r="I354" i="16508" l="1"/>
  <c r="J354" i="16508" s="1"/>
  <c r="J305" i="16508"/>
  <c r="J105" i="16508"/>
  <c r="I353" i="16508"/>
  <c r="J353" i="16508" s="1"/>
  <c r="J302" i="16508"/>
  <c r="J258" i="16508"/>
  <c r="I206" i="16508"/>
  <c r="J206" i="16508" s="1"/>
  <c r="J104" i="16508"/>
  <c r="I406" i="16508"/>
  <c r="J406" i="16508" s="1"/>
  <c r="J159" i="16508"/>
  <c r="J262" i="16508"/>
  <c r="I208" i="16508"/>
  <c r="J208" i="16508" s="1"/>
  <c r="I408" i="16508"/>
  <c r="J408" i="16508" s="1"/>
  <c r="J160" i="16508"/>
  <c r="I356" i="16508"/>
  <c r="J356" i="16508" s="1"/>
  <c r="J307" i="16508"/>
  <c r="J107" i="16508"/>
  <c r="I407" i="16508"/>
  <c r="J407" i="16508" s="1"/>
  <c r="I355" i="16508"/>
  <c r="J355" i="16508" s="1"/>
  <c r="J306" i="16508"/>
  <c r="J106" i="16508"/>
  <c r="J261" i="16508"/>
  <c r="I207" i="16508"/>
  <c r="J207" i="16508" s="1"/>
  <c r="AM75" i="16506"/>
  <c r="AO74" i="16506"/>
  <c r="AN75" i="16506"/>
  <c r="AL75" i="16506"/>
  <c r="AJ75" i="16506"/>
  <c r="AN74" i="16506"/>
  <c r="AL74" i="16506"/>
  <c r="AJ74" i="16506"/>
  <c r="AM68" i="16506"/>
  <c r="AJ68" i="16506"/>
  <c r="AO75" i="16506"/>
  <c r="AK75" i="16506"/>
  <c r="AM74" i="16506"/>
  <c r="AK74" i="16506"/>
  <c r="AO68" i="16506"/>
  <c r="AK68" i="16506"/>
  <c r="BQ146" i="16457" l="1"/>
  <c r="CZ153" i="16457"/>
  <c r="CX153" i="16457"/>
  <c r="DA153" i="16457"/>
  <c r="CW153" i="16457"/>
  <c r="CV153" i="16457"/>
  <c r="CY153" i="16457"/>
  <c r="CY146" i="16457"/>
  <c r="CX146" i="16457"/>
  <c r="CZ146" i="16457"/>
  <c r="DA146" i="16457"/>
  <c r="CW146" i="16457"/>
  <c r="CV146" i="16457"/>
  <c r="J403" i="16508"/>
  <c r="J424" i="16508" s="1"/>
  <c r="J203" i="16508"/>
  <c r="J225" i="16508" s="1"/>
  <c r="J255" i="16508"/>
  <c r="J281" i="16508" s="1"/>
  <c r="J282" i="16508" s="1"/>
  <c r="J350" i="16508"/>
  <c r="J369" i="16508" s="1"/>
  <c r="J370" i="16508" s="1"/>
  <c r="J154" i="16508"/>
  <c r="J101" i="16508"/>
  <c r="J134" i="16508" s="1"/>
  <c r="J135" i="16508" s="1"/>
  <c r="J299" i="16508"/>
  <c r="J325" i="16508" s="1"/>
  <c r="J326" i="16508" s="1"/>
  <c r="DA144" i="16457"/>
  <c r="DA167" i="16457" s="1"/>
  <c r="CY144" i="16457"/>
  <c r="CY167" i="16457" s="1"/>
  <c r="AN68" i="16506"/>
  <c r="AL68" i="16506"/>
  <c r="CW144" i="16457"/>
  <c r="CW167" i="16457" s="1"/>
  <c r="CV144" i="16457"/>
  <c r="CV167" i="16457" s="1"/>
  <c r="J183" i="16508" l="1"/>
  <c r="L183" i="16508" s="1"/>
  <c r="BS146" i="16457"/>
  <c r="BR146" i="16457"/>
  <c r="BU146" i="16457"/>
  <c r="BT146" i="16457"/>
  <c r="BP146" i="16457"/>
  <c r="J226" i="16508"/>
  <c r="CY154" i="16457"/>
  <c r="DA154" i="16457"/>
  <c r="BS144" i="16457"/>
  <c r="BS167" i="16457" s="1"/>
  <c r="AH71" i="16501" s="1"/>
  <c r="AH24" i="16501" s="1"/>
  <c r="BP144" i="16457"/>
  <c r="BP167" i="16457" s="1"/>
  <c r="AE71" i="16501" s="1"/>
  <c r="AE24" i="16501" s="1"/>
  <c r="CZ144" i="16457"/>
  <c r="CZ167" i="16457" s="1"/>
  <c r="CV154" i="16457"/>
  <c r="CW154" i="16457"/>
  <c r="BU144" i="16457"/>
  <c r="BU167" i="16457" s="1"/>
  <c r="AJ71" i="16501" s="1"/>
  <c r="AJ24" i="16501" s="1"/>
  <c r="BQ144" i="16457"/>
  <c r="BQ167" i="16457" s="1"/>
  <c r="AF71" i="16501" s="1"/>
  <c r="AF24" i="16501" s="1"/>
  <c r="CX144" i="16457"/>
  <c r="CX167" i="16457" s="1"/>
  <c r="J184" i="16508" l="1"/>
  <c r="J233" i="16508"/>
  <c r="J235" i="16508" s="1"/>
  <c r="J236" i="16508" s="1"/>
  <c r="BQ154" i="16457"/>
  <c r="CZ154" i="16457"/>
  <c r="BP154" i="16457"/>
  <c r="BS154" i="16457"/>
  <c r="BT144" i="16457"/>
  <c r="BT167" i="16457" s="1"/>
  <c r="AI71" i="16501" s="1"/>
  <c r="AI24" i="16501" s="1"/>
  <c r="BR144" i="16457"/>
  <c r="BR167" i="16457" s="1"/>
  <c r="AG71" i="16501" s="1"/>
  <c r="AG24" i="16501" s="1"/>
  <c r="CX154" i="16457"/>
  <c r="BU154" i="16457"/>
  <c r="BR154" i="16457" l="1"/>
  <c r="AH57" i="16501"/>
  <c r="AE57" i="16501"/>
  <c r="AF57" i="16501"/>
  <c r="BT154" i="16457"/>
  <c r="AJ57" i="16501"/>
  <c r="AG57" i="16501" l="1"/>
  <c r="AI57" i="16501"/>
  <c r="L75" i="16506" l="1"/>
  <c r="N75" i="16506"/>
  <c r="P75" i="16506"/>
  <c r="R75" i="16506"/>
  <c r="T75" i="16506"/>
  <c r="V75" i="16506"/>
  <c r="X75" i="16506"/>
  <c r="L74" i="16506"/>
  <c r="M74" i="16506"/>
  <c r="N74" i="16506"/>
  <c r="O74" i="16506"/>
  <c r="P74" i="16506"/>
  <c r="Q74" i="16506"/>
  <c r="R74" i="16506"/>
  <c r="S74" i="16506"/>
  <c r="T74" i="16506"/>
  <c r="U74" i="16506"/>
  <c r="V74" i="16506"/>
  <c r="W74" i="16506"/>
  <c r="X74" i="16506"/>
  <c r="Y74" i="16506"/>
  <c r="Z74" i="16506"/>
  <c r="AA74" i="16506"/>
  <c r="AB74" i="16506"/>
  <c r="AC74" i="16506"/>
  <c r="AD74" i="16506"/>
  <c r="AE74" i="16506"/>
  <c r="AF74" i="16506"/>
  <c r="AG74" i="16506"/>
  <c r="AH74" i="16506"/>
  <c r="AI74" i="16506"/>
  <c r="M75" i="16506"/>
  <c r="O75" i="16506"/>
  <c r="Q75" i="16506"/>
  <c r="S75" i="16506"/>
  <c r="U75" i="16506"/>
  <c r="W75" i="16506"/>
  <c r="Y75" i="16506"/>
  <c r="Z75" i="16506"/>
  <c r="AA75" i="16506"/>
  <c r="AB75" i="16506"/>
  <c r="AC75" i="16506"/>
  <c r="AD75" i="16506"/>
  <c r="AE75" i="16506"/>
  <c r="AF75" i="16506"/>
  <c r="AG75" i="16506"/>
  <c r="AH75" i="16506"/>
  <c r="AI75" i="16506"/>
  <c r="BP69" i="16513" l="1"/>
  <c r="AX146" i="16457"/>
  <c r="BB146" i="16457"/>
  <c r="AT146" i="16457"/>
  <c r="CC153" i="16457"/>
  <c r="CG153" i="16457"/>
  <c r="CA153" i="16457"/>
  <c r="CO153" i="16457"/>
  <c r="CB153" i="16457"/>
  <c r="BZ153" i="16457"/>
  <c r="BY153" i="16457"/>
  <c r="CP153" i="16457"/>
  <c r="CT153" i="16457"/>
  <c r="CS153" i="16457"/>
  <c r="CU153" i="16457"/>
  <c r="CQ153" i="16457"/>
  <c r="CD153" i="16457"/>
  <c r="CF153" i="16457"/>
  <c r="CK153" i="16457"/>
  <c r="CH153" i="16457"/>
  <c r="CN153" i="16457"/>
  <c r="CI153" i="16457"/>
  <c r="CJ153" i="16457"/>
  <c r="CL153" i="16457"/>
  <c r="CE153" i="16457"/>
  <c r="CM153" i="16457"/>
  <c r="CR153" i="16457"/>
  <c r="CU146" i="16457"/>
  <c r="CM146" i="16457"/>
  <c r="CI146" i="16457"/>
  <c r="CA146" i="16457"/>
  <c r="CT146" i="16457"/>
  <c r="CP146" i="16457"/>
  <c r="CL146" i="16457"/>
  <c r="CH146" i="16457"/>
  <c r="CD146" i="16457"/>
  <c r="BZ146" i="16457"/>
  <c r="CS146" i="16457"/>
  <c r="CO146" i="16457"/>
  <c r="CK146" i="16457"/>
  <c r="CG146" i="16457"/>
  <c r="CC146" i="16457"/>
  <c r="BY146" i="16457"/>
  <c r="CR146" i="16457"/>
  <c r="CN146" i="16457"/>
  <c r="CJ146" i="16457"/>
  <c r="CF146" i="16457"/>
  <c r="CB146" i="16457"/>
  <c r="BX146" i="16457"/>
  <c r="CQ146" i="16457"/>
  <c r="CE146" i="16457"/>
  <c r="BG75" i="16506"/>
  <c r="AZ75" i="16506"/>
  <c r="AT74" i="16506"/>
  <c r="AQ74" i="16457"/>
  <c r="AR72" i="16457"/>
  <c r="BM75" i="16506"/>
  <c r="BJ75" i="16506"/>
  <c r="BF75" i="16506"/>
  <c r="BE75" i="16506"/>
  <c r="BD75" i="16506"/>
  <c r="AX75" i="16506"/>
  <c r="AV75" i="16506"/>
  <c r="AT75" i="16506"/>
  <c r="AR75" i="16506"/>
  <c r="BN74" i="16506"/>
  <c r="BT74" i="16506"/>
  <c r="BM74" i="16506"/>
  <c r="BL74" i="16506"/>
  <c r="BK74" i="16506"/>
  <c r="BJ74" i="16506"/>
  <c r="BI74" i="16506"/>
  <c r="BH74" i="16506"/>
  <c r="BG74" i="16506"/>
  <c r="BF74" i="16506"/>
  <c r="BE74" i="16506"/>
  <c r="BD74" i="16506"/>
  <c r="BC74" i="16506"/>
  <c r="BB74" i="16506"/>
  <c r="BA74" i="16506"/>
  <c r="AZ74" i="16506"/>
  <c r="AY74" i="16506"/>
  <c r="AX74" i="16506"/>
  <c r="AW74" i="16506"/>
  <c r="AV74" i="16506"/>
  <c r="AU74" i="16506"/>
  <c r="AS74" i="16506"/>
  <c r="AR74" i="16506"/>
  <c r="AQ74" i="16506"/>
  <c r="BA75" i="16506"/>
  <c r="AY75" i="16506"/>
  <c r="AW75" i="16506"/>
  <c r="AU75" i="16506"/>
  <c r="AS75" i="16506"/>
  <c r="AQ75" i="16506"/>
  <c r="BC75" i="16506"/>
  <c r="BN75" i="16506"/>
  <c r="BT75" i="16506"/>
  <c r="BL75" i="16506"/>
  <c r="BK75" i="16506"/>
  <c r="BI75" i="16506"/>
  <c r="BH75" i="16506"/>
  <c r="BB75" i="16506"/>
  <c r="AU146" i="16457" l="1"/>
  <c r="BH146" i="16457"/>
  <c r="BC146" i="16457"/>
  <c r="BL146" i="16457"/>
  <c r="AW146" i="16457"/>
  <c r="BE146" i="16457"/>
  <c r="BI146" i="16457"/>
  <c r="BM146" i="16457"/>
  <c r="AR146" i="16457"/>
  <c r="AV146" i="16457"/>
  <c r="BF146" i="16457"/>
  <c r="BN146" i="16457"/>
  <c r="AY146" i="16457"/>
  <c r="BJ146" i="16457"/>
  <c r="AZ146" i="16457"/>
  <c r="AS146" i="16457"/>
  <c r="BA146" i="16457"/>
  <c r="BG146" i="16457"/>
  <c r="BK146" i="16457"/>
  <c r="BO146" i="16457"/>
  <c r="BD146" i="16457"/>
  <c r="BW146" i="16457"/>
  <c r="BX153" i="16457"/>
  <c r="AL72" i="16506"/>
  <c r="AJ72" i="16506"/>
  <c r="AO72" i="16506"/>
  <c r="AM72" i="16506"/>
  <c r="AN72" i="16506"/>
  <c r="BV75" i="16506"/>
  <c r="BW75" i="16506" s="1"/>
  <c r="BV74" i="16506"/>
  <c r="AK72" i="16506"/>
  <c r="AQ146" i="16457" l="1"/>
  <c r="G146" i="16457" s="1"/>
  <c r="BW153" i="16457"/>
  <c r="L71" i="16506"/>
  <c r="AD71" i="16506"/>
  <c r="P71" i="16506"/>
  <c r="Z71" i="16506"/>
  <c r="M71" i="16506"/>
  <c r="AH71" i="16506"/>
  <c r="Y72" i="16506"/>
  <c r="R72" i="16506"/>
  <c r="AH72" i="16506"/>
  <c r="X72" i="16506"/>
  <c r="S72" i="16506"/>
  <c r="AN71" i="16506"/>
  <c r="W71" i="16506"/>
  <c r="AC71" i="16506"/>
  <c r="AI71" i="16506"/>
  <c r="AF71" i="16506"/>
  <c r="O71" i="16506"/>
  <c r="Y71" i="16506"/>
  <c r="AE71" i="16506"/>
  <c r="V71" i="16506"/>
  <c r="U71" i="16506"/>
  <c r="S71" i="16506"/>
  <c r="AB71" i="16506"/>
  <c r="M72" i="16506"/>
  <c r="U72" i="16506"/>
  <c r="AC72" i="16506"/>
  <c r="N72" i="16506"/>
  <c r="V72" i="16506"/>
  <c r="AD72" i="16506"/>
  <c r="L72" i="16506"/>
  <c r="T72" i="16506"/>
  <c r="AB72" i="16506"/>
  <c r="O72" i="16506"/>
  <c r="W72" i="16506"/>
  <c r="AE72" i="16506"/>
  <c r="AO71" i="16506"/>
  <c r="AL71" i="16506"/>
  <c r="AM71" i="16506"/>
  <c r="BW74" i="16506"/>
  <c r="BX75" i="16506"/>
  <c r="AG71" i="16506"/>
  <c r="AA71" i="16506"/>
  <c r="X71" i="16506"/>
  <c r="N71" i="16506"/>
  <c r="T71" i="16506"/>
  <c r="R71" i="16506"/>
  <c r="Q72" i="16506"/>
  <c r="AG72" i="16506"/>
  <c r="Z72" i="16506"/>
  <c r="P72" i="16506"/>
  <c r="AF72" i="16506"/>
  <c r="AA72" i="16506"/>
  <c r="AI72" i="16506"/>
  <c r="Q71" i="16506"/>
  <c r="AJ71" i="16506"/>
  <c r="AK71" i="16506"/>
  <c r="AT145" i="16457" l="1"/>
  <c r="BD145" i="16457"/>
  <c r="BZ145" i="16457"/>
  <c r="CN145" i="16457"/>
  <c r="CQ145" i="16457"/>
  <c r="CU145" i="16457"/>
  <c r="CT145" i="16457"/>
  <c r="CP145" i="16457"/>
  <c r="CC145" i="16457"/>
  <c r="CJ145" i="16457"/>
  <c r="CE145" i="16457"/>
  <c r="CK145" i="16457"/>
  <c r="CO145" i="16457"/>
  <c r="BY145" i="16457"/>
  <c r="CD145" i="16457"/>
  <c r="CM145" i="16457"/>
  <c r="CG145" i="16457"/>
  <c r="CA145" i="16457"/>
  <c r="CI145" i="16457"/>
  <c r="CL145" i="16457"/>
  <c r="BX145" i="16457"/>
  <c r="CF145" i="16457"/>
  <c r="CS145" i="16457"/>
  <c r="CH145" i="16457"/>
  <c r="CR145" i="16457"/>
  <c r="CB145" i="16457"/>
  <c r="BT72" i="16506"/>
  <c r="BC71" i="16506"/>
  <c r="BJ72" i="16506"/>
  <c r="AY72" i="16506"/>
  <c r="AS72" i="16506"/>
  <c r="BJ71" i="16506"/>
  <c r="BN71" i="16506"/>
  <c r="BS145" i="16457"/>
  <c r="BS168" i="16457" s="1"/>
  <c r="BR145" i="16457"/>
  <c r="BR168" i="16457" s="1"/>
  <c r="Y68" i="16506"/>
  <c r="AV71" i="16506"/>
  <c r="BN72" i="16506"/>
  <c r="BF72" i="16506"/>
  <c r="BK72" i="16506"/>
  <c r="AU72" i="16506"/>
  <c r="BE72" i="16506"/>
  <c r="BL72" i="16506"/>
  <c r="AV72" i="16506"/>
  <c r="AW71" i="16506"/>
  <c r="AY71" i="16506"/>
  <c r="AS71" i="16506"/>
  <c r="BF71" i="16506"/>
  <c r="BL71" i="16506"/>
  <c r="BT71" i="16506"/>
  <c r="BB72" i="16506"/>
  <c r="AT72" i="16506"/>
  <c r="BG72" i="16506"/>
  <c r="AQ72" i="16506"/>
  <c r="BI72" i="16506"/>
  <c r="BA72" i="16506"/>
  <c r="BH72" i="16506"/>
  <c r="AZ72" i="16506"/>
  <c r="BG71" i="16506"/>
  <c r="AX71" i="16506"/>
  <c r="AZ71" i="16506"/>
  <c r="BA71" i="16506"/>
  <c r="BD71" i="16506"/>
  <c r="AT71" i="16506"/>
  <c r="BK71" i="16506"/>
  <c r="BB71" i="16506"/>
  <c r="AX72" i="16506"/>
  <c r="BC72" i="16506"/>
  <c r="BM72" i="16506"/>
  <c r="AW72" i="16506"/>
  <c r="BD72" i="16506"/>
  <c r="BM71" i="16506"/>
  <c r="AR71" i="16506"/>
  <c r="BE71" i="16506"/>
  <c r="AU71" i="16506"/>
  <c r="BI71" i="16506"/>
  <c r="AQ71" i="16506"/>
  <c r="CV145" i="16457"/>
  <c r="CV168" i="16457" s="1"/>
  <c r="CY145" i="16457"/>
  <c r="CY168" i="16457" s="1"/>
  <c r="DA145" i="16457"/>
  <c r="DA168" i="16457" s="1"/>
  <c r="BY75" i="16506"/>
  <c r="AR72" i="16506"/>
  <c r="BH71" i="16506"/>
  <c r="BQ145" i="16457"/>
  <c r="BQ168" i="16457" s="1"/>
  <c r="BP145" i="16457"/>
  <c r="BP168" i="16457" s="1"/>
  <c r="BX74" i="16506"/>
  <c r="BU145" i="16457"/>
  <c r="BU168" i="16457" s="1"/>
  <c r="BT145" i="16457"/>
  <c r="BT168" i="16457" s="1"/>
  <c r="CW145" i="16457"/>
  <c r="CW168" i="16457" s="1"/>
  <c r="CX145" i="16457"/>
  <c r="CX168" i="16457" s="1"/>
  <c r="CZ145" i="16457"/>
  <c r="CZ168" i="16457" s="1"/>
  <c r="AJ72" i="16501" l="1"/>
  <c r="AJ25" i="16501" s="1"/>
  <c r="AE72" i="16501"/>
  <c r="AE25" i="16501" s="1"/>
  <c r="AH72" i="16501"/>
  <c r="AH25" i="16501" s="1"/>
  <c r="CR155" i="16457"/>
  <c r="CR168" i="16457"/>
  <c r="CS155" i="16457"/>
  <c r="CS168" i="16457"/>
  <c r="BX155" i="16457"/>
  <c r="BX168" i="16457"/>
  <c r="CI155" i="16457"/>
  <c r="CI168" i="16457"/>
  <c r="CG155" i="16457"/>
  <c r="CG168" i="16457"/>
  <c r="CD155" i="16457"/>
  <c r="CD168" i="16457"/>
  <c r="CO155" i="16457"/>
  <c r="CO168" i="16457"/>
  <c r="CE155" i="16457"/>
  <c r="CE168" i="16457"/>
  <c r="CC155" i="16457"/>
  <c r="CC168" i="16457"/>
  <c r="CT155" i="16457"/>
  <c r="CT168" i="16457"/>
  <c r="CQ155" i="16457"/>
  <c r="CQ168" i="16457"/>
  <c r="BZ155" i="16457"/>
  <c r="BZ168" i="16457"/>
  <c r="AT168" i="16457"/>
  <c r="AF72" i="16501"/>
  <c r="AF25" i="16501" s="1"/>
  <c r="AI72" i="16501"/>
  <c r="AI25" i="16501" s="1"/>
  <c r="AG72" i="16501"/>
  <c r="AG25" i="16501" s="1"/>
  <c r="CB155" i="16457"/>
  <c r="CB168" i="16457"/>
  <c r="CH155" i="16457"/>
  <c r="CH168" i="16457"/>
  <c r="CF155" i="16457"/>
  <c r="CF168" i="16457"/>
  <c r="CL155" i="16457"/>
  <c r="CL168" i="16457"/>
  <c r="CA155" i="16457"/>
  <c r="CA168" i="16457"/>
  <c r="CM155" i="16457"/>
  <c r="CM168" i="16457"/>
  <c r="BY155" i="16457"/>
  <c r="BY168" i="16457"/>
  <c r="CK155" i="16457"/>
  <c r="CK168" i="16457"/>
  <c r="CJ155" i="16457"/>
  <c r="CJ168" i="16457"/>
  <c r="CP155" i="16457"/>
  <c r="CP168" i="16457"/>
  <c r="CU155" i="16457"/>
  <c r="CU168" i="16457"/>
  <c r="CN155" i="16457"/>
  <c r="CN168" i="16457"/>
  <c r="BD168" i="16457"/>
  <c r="BF145" i="16457"/>
  <c r="BI145" i="16457"/>
  <c r="BK145" i="16457"/>
  <c r="BH145" i="16457"/>
  <c r="AX145" i="16457"/>
  <c r="AZ145" i="16457"/>
  <c r="AS145" i="16457"/>
  <c r="BO145" i="16457"/>
  <c r="BB145" i="16457"/>
  <c r="AW145" i="16457"/>
  <c r="BJ145" i="16457"/>
  <c r="BN145" i="16457"/>
  <c r="BL145" i="16457"/>
  <c r="BA145" i="16457"/>
  <c r="BM145" i="16457"/>
  <c r="BE145" i="16457"/>
  <c r="AV145" i="16457"/>
  <c r="BC145" i="16457"/>
  <c r="AU145" i="16457"/>
  <c r="BG145" i="16457"/>
  <c r="AR145" i="16457"/>
  <c r="AY145" i="16457"/>
  <c r="BW145" i="16457"/>
  <c r="BW168" i="16457" s="1"/>
  <c r="BY74" i="16506"/>
  <c r="BZ74" i="16506" s="1"/>
  <c r="DA155" i="16457"/>
  <c r="CY155" i="16457"/>
  <c r="CV155" i="16457"/>
  <c r="O68" i="16506"/>
  <c r="AW69" i="16506"/>
  <c r="AB68" i="16506"/>
  <c r="L68" i="16506"/>
  <c r="AH68" i="16506"/>
  <c r="W68" i="16506"/>
  <c r="X68" i="16506"/>
  <c r="BD68" i="16506" s="1"/>
  <c r="AG68" i="16506"/>
  <c r="AE68" i="16506"/>
  <c r="U68" i="16506"/>
  <c r="S68" i="16506"/>
  <c r="AC68" i="16506"/>
  <c r="T68" i="16506"/>
  <c r="BW155" i="16457"/>
  <c r="N68" i="16506"/>
  <c r="BF69" i="16506"/>
  <c r="L69" i="16506"/>
  <c r="AY69" i="16506"/>
  <c r="AF68" i="16506"/>
  <c r="AA68" i="16506"/>
  <c r="AD68" i="16506"/>
  <c r="R68" i="16506"/>
  <c r="AI68" i="16506"/>
  <c r="Z68" i="16506"/>
  <c r="V68" i="16506"/>
  <c r="M68" i="16506"/>
  <c r="P68" i="16506"/>
  <c r="Q68" i="16506"/>
  <c r="CZ155" i="16457"/>
  <c r="CX155" i="16457"/>
  <c r="CW155" i="16457"/>
  <c r="AX69" i="16506"/>
  <c r="BZ75" i="16506"/>
  <c r="BV71" i="16506"/>
  <c r="BW71" i="16506" s="1"/>
  <c r="BV72" i="16506"/>
  <c r="S72" i="16501" l="1"/>
  <c r="S25" i="16501" s="1"/>
  <c r="I72" i="16501"/>
  <c r="I25" i="16501" s="1"/>
  <c r="AY168" i="16457"/>
  <c r="N72" i="16501" s="1"/>
  <c r="N25" i="16501" s="1"/>
  <c r="BG168" i="16457"/>
  <c r="V72" i="16501" s="1"/>
  <c r="V25" i="16501" s="1"/>
  <c r="BC168" i="16457"/>
  <c r="R72" i="16501" s="1"/>
  <c r="R25" i="16501" s="1"/>
  <c r="BE168" i="16457"/>
  <c r="T72" i="16501" s="1"/>
  <c r="T25" i="16501" s="1"/>
  <c r="BA168" i="16457"/>
  <c r="P72" i="16501" s="1"/>
  <c r="P25" i="16501" s="1"/>
  <c r="BN168" i="16457"/>
  <c r="AC72" i="16501" s="1"/>
  <c r="AC25" i="16501" s="1"/>
  <c r="AW168" i="16457"/>
  <c r="L72" i="16501" s="1"/>
  <c r="L25" i="16501" s="1"/>
  <c r="BO168" i="16457"/>
  <c r="AD72" i="16501" s="1"/>
  <c r="AD25" i="16501" s="1"/>
  <c r="AZ168" i="16457"/>
  <c r="O72" i="16501" s="1"/>
  <c r="O25" i="16501" s="1"/>
  <c r="BH168" i="16457"/>
  <c r="W72" i="16501" s="1"/>
  <c r="W25" i="16501" s="1"/>
  <c r="BI168" i="16457"/>
  <c r="X72" i="16501" s="1"/>
  <c r="X25" i="16501" s="1"/>
  <c r="AR155" i="16457"/>
  <c r="G58" i="16501" s="1"/>
  <c r="AR168" i="16457"/>
  <c r="G72" i="16501" s="1"/>
  <c r="AU168" i="16457"/>
  <c r="J72" i="16501" s="1"/>
  <c r="J25" i="16501" s="1"/>
  <c r="AV168" i="16457"/>
  <c r="K72" i="16501" s="1"/>
  <c r="K25" i="16501" s="1"/>
  <c r="BM168" i="16457"/>
  <c r="AB72" i="16501" s="1"/>
  <c r="AB25" i="16501" s="1"/>
  <c r="BL168" i="16457"/>
  <c r="AA72" i="16501" s="1"/>
  <c r="AA25" i="16501" s="1"/>
  <c r="BJ168" i="16457"/>
  <c r="Y72" i="16501" s="1"/>
  <c r="Y25" i="16501" s="1"/>
  <c r="BB168" i="16457"/>
  <c r="Q72" i="16501" s="1"/>
  <c r="Q25" i="16501" s="1"/>
  <c r="AS168" i="16457"/>
  <c r="H72" i="16501" s="1"/>
  <c r="H25" i="16501" s="1"/>
  <c r="AX168" i="16457"/>
  <c r="M72" i="16501" s="1"/>
  <c r="M25" i="16501" s="1"/>
  <c r="BK168" i="16457"/>
  <c r="Z72" i="16501" s="1"/>
  <c r="Z25" i="16501" s="1"/>
  <c r="BF168" i="16457"/>
  <c r="U72" i="16501" s="1"/>
  <c r="U25" i="16501" s="1"/>
  <c r="AQ145" i="16457"/>
  <c r="G145" i="16457" s="1"/>
  <c r="BL69" i="16506"/>
  <c r="AQ68" i="16506"/>
  <c r="BW72" i="16506"/>
  <c r="BE68" i="16506"/>
  <c r="BN68" i="16506"/>
  <c r="BT68" i="16506"/>
  <c r="AW68" i="16506"/>
  <c r="BI68" i="16506"/>
  <c r="BK68" i="16506"/>
  <c r="BC69" i="16506"/>
  <c r="AZ69" i="16506"/>
  <c r="BM69" i="16506"/>
  <c r="AQ69" i="16506"/>
  <c r="BG69" i="16506"/>
  <c r="AS69" i="16506"/>
  <c r="AT69" i="16506"/>
  <c r="BJ69" i="16506"/>
  <c r="AS68" i="16506"/>
  <c r="BB69" i="16506"/>
  <c r="BD69" i="16506"/>
  <c r="BK69" i="16506"/>
  <c r="CB144" i="16457"/>
  <c r="CB167" i="16457" s="1"/>
  <c r="CH144" i="16457"/>
  <c r="CH167" i="16457" s="1"/>
  <c r="CU144" i="16457"/>
  <c r="CU167" i="16457" s="1"/>
  <c r="CP144" i="16457"/>
  <c r="CP167" i="16457" s="1"/>
  <c r="CR144" i="16457"/>
  <c r="CR167" i="16457" s="1"/>
  <c r="BZ144" i="16457"/>
  <c r="BZ167" i="16457" s="1"/>
  <c r="CO144" i="16457"/>
  <c r="CO167" i="16457" s="1"/>
  <c r="CG144" i="16457"/>
  <c r="CG167" i="16457" s="1"/>
  <c r="CS144" i="16457"/>
  <c r="CS167" i="16457" s="1"/>
  <c r="CI144" i="16457"/>
  <c r="CI167" i="16457" s="1"/>
  <c r="BX144" i="16457"/>
  <c r="BX167" i="16457" s="1"/>
  <c r="CN144" i="16457"/>
  <c r="CN167" i="16457" s="1"/>
  <c r="CK144" i="16457"/>
  <c r="CK167" i="16457" s="1"/>
  <c r="BF68" i="16506"/>
  <c r="AU69" i="16506"/>
  <c r="CA74" i="16506"/>
  <c r="AV68" i="16506"/>
  <c r="AU68" i="16506"/>
  <c r="AR68" i="16506"/>
  <c r="BA68" i="16506"/>
  <c r="AY68" i="16506"/>
  <c r="BH68" i="16506"/>
  <c r="AX68" i="16506"/>
  <c r="BJ68" i="16506"/>
  <c r="BL68" i="16506"/>
  <c r="BC68" i="16506"/>
  <c r="BM68" i="16506"/>
  <c r="BG68" i="16506"/>
  <c r="BH69" i="16506"/>
  <c r="BI69" i="16506"/>
  <c r="AT68" i="16506"/>
  <c r="AV69" i="16506"/>
  <c r="BN69" i="16506"/>
  <c r="BT69" i="16506"/>
  <c r="BE69" i="16506"/>
  <c r="CC144" i="16457"/>
  <c r="CC167" i="16457" s="1"/>
  <c r="BY144" i="16457"/>
  <c r="BY167" i="16457" s="1"/>
  <c r="CL144" i="16457"/>
  <c r="CL167" i="16457" s="1"/>
  <c r="CD144" i="16457"/>
  <c r="CD167" i="16457" s="1"/>
  <c r="CM144" i="16457"/>
  <c r="CM167" i="16457" s="1"/>
  <c r="CF144" i="16457"/>
  <c r="CF167" i="16457" s="1"/>
  <c r="CE144" i="16457"/>
  <c r="CE167" i="16457" s="1"/>
  <c r="CQ144" i="16457"/>
  <c r="CQ167" i="16457" s="1"/>
  <c r="CJ144" i="16457"/>
  <c r="CJ167" i="16457" s="1"/>
  <c r="CT144" i="16457"/>
  <c r="CT167" i="16457" s="1"/>
  <c r="CA144" i="16457"/>
  <c r="CA167" i="16457" s="1"/>
  <c r="AZ68" i="16506"/>
  <c r="BB68" i="16506"/>
  <c r="AR69" i="16506"/>
  <c r="BA69" i="16506"/>
  <c r="BX71" i="16506"/>
  <c r="CA75" i="16506"/>
  <c r="BV68" i="16506" l="1"/>
  <c r="AQ168" i="16457"/>
  <c r="F72" i="16501"/>
  <c r="G25" i="16501"/>
  <c r="F25" i="16501" s="1"/>
  <c r="BW144" i="16457"/>
  <c r="BW167" i="16457" s="1"/>
  <c r="CA154" i="16457"/>
  <c r="CT154" i="16457"/>
  <c r="CJ154" i="16457"/>
  <c r="CQ154" i="16457"/>
  <c r="CE154" i="16457"/>
  <c r="CF154" i="16457"/>
  <c r="CM154" i="16457"/>
  <c r="CD154" i="16457"/>
  <c r="CL154" i="16457"/>
  <c r="BY154" i="16457"/>
  <c r="CC154" i="16457"/>
  <c r="CK154" i="16457"/>
  <c r="CN154" i="16457"/>
  <c r="BX154" i="16457"/>
  <c r="CI154" i="16457"/>
  <c r="CS154" i="16457"/>
  <c r="CG154" i="16457"/>
  <c r="CO154" i="16457"/>
  <c r="BZ154" i="16457"/>
  <c r="CR154" i="16457"/>
  <c r="CP154" i="16457"/>
  <c r="CU154" i="16457"/>
  <c r="CH154" i="16457"/>
  <c r="CB154" i="16457"/>
  <c r="AU144" i="16457"/>
  <c r="AU167" i="16457" s="1"/>
  <c r="J71" i="16501" s="1"/>
  <c r="J24" i="16501" s="1"/>
  <c r="BH144" i="16457"/>
  <c r="BH167" i="16457" s="1"/>
  <c r="W71" i="16501" s="1"/>
  <c r="W24" i="16501" s="1"/>
  <c r="BB144" i="16457"/>
  <c r="BB167" i="16457" s="1"/>
  <c r="Q71" i="16501" s="1"/>
  <c r="Q24" i="16501" s="1"/>
  <c r="AS144" i="16457"/>
  <c r="AS167" i="16457" s="1"/>
  <c r="H71" i="16501" s="1"/>
  <c r="H24" i="16501" s="1"/>
  <c r="AV144" i="16457"/>
  <c r="AV167" i="16457" s="1"/>
  <c r="K71" i="16501" s="1"/>
  <c r="K24" i="16501" s="1"/>
  <c r="AW144" i="16457"/>
  <c r="AW167" i="16457" s="1"/>
  <c r="L71" i="16501" s="1"/>
  <c r="L24" i="16501" s="1"/>
  <c r="CB75" i="16506"/>
  <c r="BY71" i="16506"/>
  <c r="BZ71" i="16506" s="1"/>
  <c r="AT144" i="16457"/>
  <c r="AT167" i="16457" s="1"/>
  <c r="I71" i="16501" s="1"/>
  <c r="I24" i="16501" s="1"/>
  <c r="BL144" i="16457"/>
  <c r="BL167" i="16457" s="1"/>
  <c r="AA71" i="16501" s="1"/>
  <c r="AA24" i="16501" s="1"/>
  <c r="BG144" i="16457"/>
  <c r="BG167" i="16457" s="1"/>
  <c r="V71" i="16501" s="1"/>
  <c r="V24" i="16501" s="1"/>
  <c r="BJ144" i="16457"/>
  <c r="BJ167" i="16457" s="1"/>
  <c r="Y71" i="16501" s="1"/>
  <c r="Y24" i="16501" s="1"/>
  <c r="AX144" i="16457"/>
  <c r="AX167" i="16457" s="1"/>
  <c r="M71" i="16501" s="1"/>
  <c r="M24" i="16501" s="1"/>
  <c r="BO144" i="16457"/>
  <c r="BO167" i="16457" s="1"/>
  <c r="AD71" i="16501" s="1"/>
  <c r="AD24" i="16501" s="1"/>
  <c r="BF144" i="16457"/>
  <c r="BF167" i="16457" s="1"/>
  <c r="U71" i="16501" s="1"/>
  <c r="U24" i="16501" s="1"/>
  <c r="BE144" i="16457"/>
  <c r="BE167" i="16457" s="1"/>
  <c r="T71" i="16501" s="1"/>
  <c r="T24" i="16501" s="1"/>
  <c r="AR144" i="16457"/>
  <c r="AR167" i="16457" s="1"/>
  <c r="G71" i="16501" s="1"/>
  <c r="BN144" i="16457"/>
  <c r="BN167" i="16457" s="1"/>
  <c r="AC71" i="16501" s="1"/>
  <c r="AC24" i="16501" s="1"/>
  <c r="BC144" i="16457"/>
  <c r="BC167" i="16457" s="1"/>
  <c r="R71" i="16501" s="1"/>
  <c r="R24" i="16501" s="1"/>
  <c r="BD144" i="16457"/>
  <c r="BD167" i="16457" s="1"/>
  <c r="S71" i="16501" s="1"/>
  <c r="S24" i="16501" s="1"/>
  <c r="BM144" i="16457"/>
  <c r="BM167" i="16457" s="1"/>
  <c r="AB71" i="16501" s="1"/>
  <c r="AB24" i="16501" s="1"/>
  <c r="BK144" i="16457"/>
  <c r="BK167" i="16457" s="1"/>
  <c r="Z71" i="16501" s="1"/>
  <c r="Z24" i="16501" s="1"/>
  <c r="BA144" i="16457"/>
  <c r="BA167" i="16457" s="1"/>
  <c r="P71" i="16501" s="1"/>
  <c r="P24" i="16501" s="1"/>
  <c r="AY144" i="16457"/>
  <c r="AY167" i="16457" s="1"/>
  <c r="N71" i="16501" s="1"/>
  <c r="N24" i="16501" s="1"/>
  <c r="BI144" i="16457"/>
  <c r="BI167" i="16457" s="1"/>
  <c r="X71" i="16501" s="1"/>
  <c r="X24" i="16501" s="1"/>
  <c r="AZ144" i="16457"/>
  <c r="AZ167" i="16457" s="1"/>
  <c r="O71" i="16501" s="1"/>
  <c r="O24" i="16501" s="1"/>
  <c r="BX72" i="16506"/>
  <c r="BY72" i="16506" s="1"/>
  <c r="BZ72" i="16506" s="1"/>
  <c r="CB74" i="16506"/>
  <c r="CC74" i="16506" s="1"/>
  <c r="BW68" i="16506" l="1"/>
  <c r="F71" i="16501"/>
  <c r="G24" i="16501"/>
  <c r="F24" i="16501" s="1"/>
  <c r="BE154" i="16457"/>
  <c r="T57" i="16501" s="1"/>
  <c r="BO154" i="16457"/>
  <c r="AD57" i="16501" s="1"/>
  <c r="BJ154" i="16457"/>
  <c r="Y57" i="16501" s="1"/>
  <c r="BL154" i="16457"/>
  <c r="AA57" i="16501" s="1"/>
  <c r="CA72" i="16506"/>
  <c r="AZ154" i="16457"/>
  <c r="O57" i="16501" s="1"/>
  <c r="BI154" i="16457"/>
  <c r="X57" i="16501" s="1"/>
  <c r="AY154" i="16457"/>
  <c r="N57" i="16501" s="1"/>
  <c r="BA154" i="16457"/>
  <c r="P57" i="16501" s="1"/>
  <c r="BK154" i="16457"/>
  <c r="Z57" i="16501" s="1"/>
  <c r="BM154" i="16457"/>
  <c r="AB57" i="16501" s="1"/>
  <c r="BD154" i="16457"/>
  <c r="S57" i="16501" s="1"/>
  <c r="BC154" i="16457"/>
  <c r="R57" i="16501" s="1"/>
  <c r="BN154" i="16457"/>
  <c r="AC57" i="16501" s="1"/>
  <c r="AR154" i="16457"/>
  <c r="G57" i="16501" s="1"/>
  <c r="AQ144" i="16457"/>
  <c r="CA71" i="16506"/>
  <c r="CB71" i="16506" s="1"/>
  <c r="CD74" i="16506"/>
  <c r="BF154" i="16457"/>
  <c r="U57" i="16501" s="1"/>
  <c r="AX154" i="16457"/>
  <c r="M57" i="16501" s="1"/>
  <c r="BG154" i="16457"/>
  <c r="V57" i="16501" s="1"/>
  <c r="AT154" i="16457"/>
  <c r="I57" i="16501" s="1"/>
  <c r="AW154" i="16457"/>
  <c r="L57" i="16501" s="1"/>
  <c r="AV154" i="16457"/>
  <c r="K57" i="16501" s="1"/>
  <c r="AS154" i="16457"/>
  <c r="H57" i="16501" s="1"/>
  <c r="BB154" i="16457"/>
  <c r="Q57" i="16501" s="1"/>
  <c r="BH154" i="16457"/>
  <c r="W57" i="16501" s="1"/>
  <c r="AU154" i="16457"/>
  <c r="J57" i="16501" s="1"/>
  <c r="BW154" i="16457"/>
  <c r="CC75" i="16506"/>
  <c r="BX68" i="16506" l="1"/>
  <c r="BY68" i="16506" s="1"/>
  <c r="G144" i="16457"/>
  <c r="AQ167" i="16457"/>
  <c r="CB72" i="16506"/>
  <c r="CC72" i="16506" s="1"/>
  <c r="CD75" i="16506"/>
  <c r="F57" i="16501"/>
  <c r="AQ154" i="16457"/>
  <c r="CE74" i="16506"/>
  <c r="CF74" i="16506" s="1"/>
  <c r="CC71" i="16506"/>
  <c r="BZ68" i="16506" l="1"/>
  <c r="CA68" i="16506" s="1"/>
  <c r="CE75" i="16506"/>
  <c r="CD71" i="16506"/>
  <c r="CG74" i="16506"/>
  <c r="CD72" i="16506"/>
  <c r="CE72" i="16506" s="1"/>
  <c r="CB68" i="16506" l="1"/>
  <c r="CF72" i="16506"/>
  <c r="CH74" i="16506"/>
  <c r="CI74" i="16506" s="1"/>
  <c r="CE71" i="16506"/>
  <c r="CF75" i="16506"/>
  <c r="CC68" i="16506" l="1"/>
  <c r="CJ74" i="16506"/>
  <c r="CF71" i="16506"/>
  <c r="CG71" i="16506" s="1"/>
  <c r="CG75" i="16506"/>
  <c r="CG72" i="16506"/>
  <c r="CH72" i="16506" s="1"/>
  <c r="CD68" i="16506" l="1"/>
  <c r="CE68" i="16506" s="1"/>
  <c r="CK74" i="16506"/>
  <c r="CH71" i="16506"/>
  <c r="CI71" i="16506" s="1"/>
  <c r="CJ71" i="16506" s="1"/>
  <c r="CH75" i="16506"/>
  <c r="CI72" i="16506"/>
  <c r="CF68" i="16506" l="1"/>
  <c r="CL74" i="16506"/>
  <c r="CM74" i="16506" s="1"/>
  <c r="CK71" i="16506"/>
  <c r="CL71" i="16506" s="1"/>
  <c r="CJ72" i="16506"/>
  <c r="CK72" i="16506" s="1"/>
  <c r="CI75" i="16506"/>
  <c r="CG68" i="16506" l="1"/>
  <c r="CN74" i="16506"/>
  <c r="CO74" i="16506" s="1"/>
  <c r="CP74" i="16506" s="1"/>
  <c r="CJ75" i="16506"/>
  <c r="CK75" i="16506" s="1"/>
  <c r="CL72" i="16506"/>
  <c r="CM71" i="16506"/>
  <c r="CN71" i="16506" s="1"/>
  <c r="CH68" i="16506" l="1"/>
  <c r="CL75" i="16506"/>
  <c r="CM75" i="16506" s="1"/>
  <c r="CO71" i="16506"/>
  <c r="CQ74" i="16506"/>
  <c r="CM72" i="16506"/>
  <c r="CI68" i="16506" l="1"/>
  <c r="CJ68" i="16506" s="1"/>
  <c r="CR74" i="16506"/>
  <c r="CS74" i="16506" s="1"/>
  <c r="CN72" i="16506"/>
  <c r="CP71" i="16506"/>
  <c r="CN75" i="16506"/>
  <c r="CO75" i="16506" s="1"/>
  <c r="CK68" i="16506" l="1"/>
  <c r="CL68" i="16506" s="1"/>
  <c r="CQ71" i="16506"/>
  <c r="CR71" i="16506" s="1"/>
  <c r="CO72" i="16506"/>
  <c r="CP72" i="16506" s="1"/>
  <c r="CQ72" i="16506" s="1"/>
  <c r="CT74" i="16506"/>
  <c r="CU74" i="16506" s="1"/>
  <c r="CP75" i="16506"/>
  <c r="CQ75" i="16506" s="1"/>
  <c r="CM68" i="16506" l="1"/>
  <c r="CS71" i="16506"/>
  <c r="CT71" i="16506" s="1"/>
  <c r="CU71" i="16506" s="1"/>
  <c r="CV74" i="16506"/>
  <c r="CW74" i="16506" s="1"/>
  <c r="CR72" i="16506"/>
  <c r="CS72" i="16506" s="1"/>
  <c r="CR75" i="16506"/>
  <c r="CN68" i="16506" l="1"/>
  <c r="CX74" i="16506"/>
  <c r="CV71" i="16506"/>
  <c r="CW71" i="16506" s="1"/>
  <c r="CT72" i="16506"/>
  <c r="CS75" i="16506"/>
  <c r="CO68" i="16506" l="1"/>
  <c r="CP68" i="16506" s="1"/>
  <c r="CY74" i="16506"/>
  <c r="CT75" i="16506"/>
  <c r="CX71" i="16506"/>
  <c r="CU72" i="16506"/>
  <c r="CQ68" i="16506" l="1"/>
  <c r="CY71" i="16506"/>
  <c r="CU75" i="16506"/>
  <c r="CV72" i="16506"/>
  <c r="CR68" i="16506" l="1"/>
  <c r="CV75" i="16506"/>
  <c r="CW72" i="16506"/>
  <c r="CS68" i="16506" l="1"/>
  <c r="CT68" i="16506" s="1"/>
  <c r="CW75" i="16506"/>
  <c r="CX72" i="16506"/>
  <c r="CU68" i="16506" l="1"/>
  <c r="CV68" i="16506" s="1"/>
  <c r="CX75" i="16506"/>
  <c r="CY72" i="16506"/>
  <c r="CW68" i="16506" l="1"/>
  <c r="CY75" i="16506"/>
  <c r="CX68" i="16506" l="1"/>
  <c r="CY68" i="16506" l="1"/>
  <c r="CZ132" i="16506"/>
  <c r="FI76" i="16506" l="1"/>
  <c r="L59" i="16506" l="1"/>
  <c r="M55" i="16457"/>
  <c r="AQ59" i="16506" l="1"/>
  <c r="DA59" i="16506" s="1"/>
  <c r="DA44" i="16506" s="1"/>
  <c r="N55" i="16457"/>
  <c r="M59" i="16506"/>
  <c r="AS140" i="16457" l="1"/>
  <c r="AS163" i="16457" s="1"/>
  <c r="H67" i="16501" s="1"/>
  <c r="N59" i="16506"/>
  <c r="O55" i="16457"/>
  <c r="AR59" i="16506"/>
  <c r="DB59" i="16506" s="1"/>
  <c r="DB44" i="16506" s="1"/>
  <c r="AR140" i="16457"/>
  <c r="AR163" i="16457" s="1"/>
  <c r="G67" i="16501" s="1"/>
  <c r="AT140" i="16457" l="1"/>
  <c r="AT163" i="16457" s="1"/>
  <c r="I67" i="16501" s="1"/>
  <c r="AS59" i="16506"/>
  <c r="P55" i="16457"/>
  <c r="O59" i="16506"/>
  <c r="AT59" i="16506" s="1"/>
  <c r="H44" i="16506"/>
  <c r="Q55" i="16457" l="1"/>
  <c r="P59" i="16506"/>
  <c r="AV140" i="16457" l="1"/>
  <c r="AV163" i="16457" s="1"/>
  <c r="K67" i="16501" s="1"/>
  <c r="Q59" i="16506"/>
  <c r="R55" i="16457"/>
  <c r="AU140" i="16457"/>
  <c r="AU163" i="16457" s="1"/>
  <c r="J67" i="16501" s="1"/>
  <c r="AU59" i="16506"/>
  <c r="AW140" i="16457" l="1"/>
  <c r="AW163" i="16457" s="1"/>
  <c r="L67" i="16501" s="1"/>
  <c r="R59" i="16506"/>
  <c r="S55" i="16457"/>
  <c r="S59" i="16506" l="1"/>
  <c r="T55" i="16457"/>
  <c r="AY140" i="16457" l="1"/>
  <c r="AY163" i="16457" s="1"/>
  <c r="N67" i="16501" s="1"/>
  <c r="AX140" i="16457"/>
  <c r="AX163" i="16457" s="1"/>
  <c r="M67" i="16501" s="1"/>
  <c r="T59" i="16506"/>
  <c r="U55" i="16457"/>
  <c r="U59" i="16506" l="1"/>
  <c r="V55" i="16457"/>
  <c r="AZ140" i="16457"/>
  <c r="AZ163" i="16457" s="1"/>
  <c r="O67" i="16501" s="1"/>
  <c r="V59" i="16506" l="1"/>
  <c r="W55" i="16457"/>
  <c r="BA140" i="16457"/>
  <c r="BA163" i="16457" s="1"/>
  <c r="P67" i="16501" s="1"/>
  <c r="W59" i="16506" l="1"/>
  <c r="X55" i="16457"/>
  <c r="BB140" i="16457"/>
  <c r="BB163" i="16457" s="1"/>
  <c r="Q67" i="16501" s="1"/>
  <c r="BC140" i="16457" l="1"/>
  <c r="BC163" i="16457" s="1"/>
  <c r="R67" i="16501" s="1"/>
  <c r="X59" i="16506"/>
  <c r="Y55" i="16457"/>
  <c r="Y59" i="16506" l="1"/>
  <c r="Z55" i="16457"/>
  <c r="BD140" i="16457"/>
  <c r="BD163" i="16457" s="1"/>
  <c r="S67" i="16501" s="1"/>
  <c r="BE140" i="16457" l="1"/>
  <c r="BE163" i="16457" s="1"/>
  <c r="T67" i="16501" s="1"/>
  <c r="Z59" i="16506"/>
  <c r="AA55" i="16457"/>
  <c r="BF140" i="16457" l="1"/>
  <c r="BF163" i="16457" s="1"/>
  <c r="U67" i="16501" s="1"/>
  <c r="AA59" i="16506"/>
  <c r="AB55" i="16457"/>
  <c r="AB59" i="16506" l="1"/>
  <c r="AC55" i="16457"/>
  <c r="BG140" i="16457"/>
  <c r="BG163" i="16457" s="1"/>
  <c r="V67" i="16501" s="1"/>
  <c r="BH140" i="16457" l="1"/>
  <c r="BH163" i="16457" s="1"/>
  <c r="W67" i="16501" s="1"/>
  <c r="AC59" i="16506"/>
  <c r="AD55" i="16457"/>
  <c r="BI140" i="16457" l="1"/>
  <c r="BI163" i="16457" s="1"/>
  <c r="X67" i="16501" s="1"/>
  <c r="AD59" i="16506"/>
  <c r="AE55" i="16457"/>
  <c r="BJ140" i="16457" l="1"/>
  <c r="BJ163" i="16457" s="1"/>
  <c r="Y67" i="16501" s="1"/>
  <c r="AE59" i="16506"/>
  <c r="AF55" i="16457"/>
  <c r="BK140" i="16457" l="1"/>
  <c r="BK163" i="16457" s="1"/>
  <c r="Z67" i="16501" s="1"/>
  <c r="AF59" i="16506"/>
  <c r="AG55" i="16457"/>
  <c r="BL140" i="16457" l="1"/>
  <c r="BL163" i="16457" s="1"/>
  <c r="AA67" i="16501" s="1"/>
  <c r="AG59" i="16506"/>
  <c r="AH55" i="16457"/>
  <c r="AH59" i="16506" l="1"/>
  <c r="AI55" i="16457"/>
  <c r="BM140" i="16457"/>
  <c r="BM163" i="16457" s="1"/>
  <c r="AB67" i="16501" s="1"/>
  <c r="BN140" i="16457" l="1"/>
  <c r="BN163" i="16457" s="1"/>
  <c r="AC67" i="16501" s="1"/>
  <c r="AI59" i="16506"/>
  <c r="AJ55" i="16457"/>
  <c r="AJ59" i="16506" l="1"/>
  <c r="AK55" i="16457"/>
  <c r="BO140" i="16457"/>
  <c r="BO163" i="16457" s="1"/>
  <c r="AD67" i="16501" s="1"/>
  <c r="BP140" i="16457" l="1"/>
  <c r="BP163" i="16457" s="1"/>
  <c r="AE67" i="16501" s="1"/>
  <c r="AK59" i="16506"/>
  <c r="AL55" i="16457"/>
  <c r="BQ140" i="16457" l="1"/>
  <c r="BQ163" i="16457" s="1"/>
  <c r="AF67" i="16501" s="1"/>
  <c r="AL59" i="16506"/>
  <c r="AM55" i="16457"/>
  <c r="AM59" i="16506" l="1"/>
  <c r="AN55" i="16457"/>
  <c r="BR140" i="16457"/>
  <c r="BR163" i="16457" s="1"/>
  <c r="AG67" i="16501" s="1"/>
  <c r="BS140" i="16457" l="1"/>
  <c r="BS163" i="16457" s="1"/>
  <c r="AH67" i="16501" s="1"/>
  <c r="AN59" i="16506"/>
  <c r="AO55" i="16457"/>
  <c r="AO59" i="16506" l="1"/>
  <c r="BT140" i="16457"/>
  <c r="BT163" i="16457" s="1"/>
  <c r="AI67" i="16501" s="1"/>
  <c r="BU140" i="16457" l="1"/>
  <c r="BU163" i="16457" s="1"/>
  <c r="AJ67" i="16501" s="1"/>
  <c r="AQ140" i="16457"/>
  <c r="AQ163" i="16457" s="1"/>
  <c r="F67" i="16501" l="1"/>
  <c r="G140" i="16457"/>
  <c r="EJ44" i="16506" l="1"/>
  <c r="EK44" i="16506" l="1"/>
  <c r="EL44" i="16506" l="1"/>
  <c r="EM44" i="16506" l="1"/>
  <c r="EN44" i="16506" l="1"/>
  <c r="EO44" i="16506" l="1"/>
  <c r="EP44" i="16506" l="1"/>
  <c r="EQ44" i="16506" l="1"/>
  <c r="ER44" i="16506" l="1"/>
  <c r="ES44" i="16506" l="1"/>
  <c r="ET44" i="16506" l="1"/>
  <c r="EU44" i="16506" l="1"/>
  <c r="EV44" i="16506" l="1"/>
  <c r="EW44" i="16506" l="1"/>
  <c r="EX44" i="16506" l="1"/>
  <c r="EY44" i="16506" l="1"/>
  <c r="EZ44" i="16506" l="1"/>
  <c r="FA44" i="16506" l="1"/>
  <c r="FB44" i="16506" l="1"/>
  <c r="FC44" i="16506" l="1"/>
  <c r="FD44" i="16506" l="1"/>
  <c r="FE44" i="16506" l="1"/>
  <c r="FF44" i="16506" l="1"/>
  <c r="FG44" i="16506" l="1"/>
  <c r="FH44" i="16506" l="1"/>
  <c r="FI44" i="16506"/>
  <c r="I44" i="16506" l="1"/>
  <c r="I12" i="16460"/>
  <c r="J13" i="16460"/>
  <c r="I247" i="16460"/>
  <c r="J12" i="16460" l="1"/>
  <c r="J247" i="16460"/>
  <c r="K13" i="16460"/>
  <c r="K12" i="16460" l="1"/>
  <c r="L13" i="16460"/>
  <c r="K247" i="16460"/>
  <c r="I252" i="16460"/>
  <c r="L247" i="16460" l="1"/>
  <c r="L12" i="16460"/>
  <c r="M13" i="16460"/>
  <c r="J252" i="16460"/>
  <c r="I249" i="16460"/>
  <c r="AR13" i="16460" l="1"/>
  <c r="M12" i="16460"/>
  <c r="M247" i="16460"/>
  <c r="H247" i="16460" s="1"/>
  <c r="AN13" i="16460"/>
  <c r="AP13" i="16460" s="1"/>
  <c r="K252" i="16460"/>
  <c r="J249" i="16460"/>
  <c r="K249" i="16460" l="1"/>
  <c r="L252" i="16460"/>
  <c r="L249" i="16460" l="1"/>
  <c r="M252" i="16460"/>
  <c r="O16" i="16460" l="1"/>
  <c r="O252" i="16460"/>
  <c r="M249" i="16460"/>
  <c r="AR32" i="16460"/>
  <c r="AN32" i="16460"/>
  <c r="P252" i="16460" l="1"/>
  <c r="P16" i="16460"/>
  <c r="H249" i="16460"/>
  <c r="P38" i="16460" l="1"/>
  <c r="P8" i="16460" s="1"/>
  <c r="P251" i="16460"/>
  <c r="Q252" i="16460"/>
  <c r="Q16" i="16460"/>
  <c r="O38" i="16460"/>
  <c r="O251" i="16460"/>
  <c r="I16" i="16460"/>
  <c r="I38" i="16460"/>
  <c r="I250" i="16460"/>
  <c r="I251" i="16460"/>
  <c r="J38" i="16460" l="1"/>
  <c r="J251" i="16460"/>
  <c r="I8" i="16460"/>
  <c r="Q38" i="16460"/>
  <c r="Q251" i="16460"/>
  <c r="O8" i="16460"/>
  <c r="R252" i="16460"/>
  <c r="R16" i="16460"/>
  <c r="Q8" i="16460" l="1"/>
  <c r="K38" i="16460"/>
  <c r="R38" i="16460"/>
  <c r="R251" i="16460"/>
  <c r="S16" i="16460"/>
  <c r="S252" i="16460"/>
  <c r="K251" i="16460"/>
  <c r="J250" i="16460"/>
  <c r="K250" i="16460"/>
  <c r="J16" i="16460"/>
  <c r="K16" i="16460"/>
  <c r="L250" i="16460" l="1"/>
  <c r="T252" i="16460"/>
  <c r="T16" i="16460"/>
  <c r="S38" i="16460"/>
  <c r="S251" i="16460"/>
  <c r="R8" i="16460"/>
  <c r="L38" i="16460"/>
  <c r="L251" i="16460"/>
  <c r="K8" i="16460"/>
  <c r="J8" i="16460"/>
  <c r="AN27" i="16460"/>
  <c r="AP27" i="16460" s="1"/>
  <c r="AN26" i="16460"/>
  <c r="AR26" i="16460"/>
  <c r="L16" i="16460"/>
  <c r="S8" i="16460" l="1"/>
  <c r="AR27" i="16460"/>
  <c r="T38" i="16460"/>
  <c r="T251" i="16460"/>
  <c r="U252" i="16460"/>
  <c r="U16" i="16460"/>
  <c r="M38" i="16460"/>
  <c r="M251" i="16460"/>
  <c r="L8" i="16460"/>
  <c r="M250" i="16460"/>
  <c r="AP26" i="16460"/>
  <c r="M16" i="16460"/>
  <c r="T8" i="16460" l="1"/>
  <c r="V252" i="16460"/>
  <c r="V16" i="16460"/>
  <c r="U38" i="16460"/>
  <c r="U251" i="16460"/>
  <c r="M8" i="16460"/>
  <c r="H250" i="16460"/>
  <c r="U8" i="16460" l="1"/>
  <c r="V38" i="16460"/>
  <c r="V251" i="16460"/>
  <c r="W252" i="16460"/>
  <c r="W16" i="16460"/>
  <c r="X16" i="16460" l="1"/>
  <c r="X252" i="16460"/>
  <c r="V8" i="16460"/>
  <c r="W38" i="16460"/>
  <c r="W251" i="16460"/>
  <c r="X38" i="16460" l="1"/>
  <c r="X251" i="16460"/>
  <c r="W8" i="16460"/>
  <c r="Y252" i="16460"/>
  <c r="Y16" i="16460"/>
  <c r="X8" i="16460" l="1"/>
  <c r="Y38" i="16460"/>
  <c r="Y251" i="16460"/>
  <c r="Z252" i="16460"/>
  <c r="Z16" i="16460"/>
  <c r="Y8" i="16460" l="1"/>
  <c r="Z38" i="16460"/>
  <c r="Z251" i="16460"/>
  <c r="AA16" i="16460"/>
  <c r="AA252" i="16460"/>
  <c r="Z8" i="16460" l="1"/>
  <c r="AB252" i="16460"/>
  <c r="AB16" i="16460"/>
  <c r="AA38" i="16460"/>
  <c r="AA251" i="16460"/>
  <c r="EI42" i="16506"/>
  <c r="AA8" i="16460" l="1"/>
  <c r="AC252" i="16460"/>
  <c r="AC16" i="16460"/>
  <c r="AB38" i="16460"/>
  <c r="AB251" i="16460"/>
  <c r="AD16" i="16460" l="1"/>
  <c r="AD252" i="16460"/>
  <c r="AC38" i="16460"/>
  <c r="AC8" i="16460" s="1"/>
  <c r="AC251" i="16460"/>
  <c r="AB8" i="16460"/>
  <c r="AE252" i="16460" l="1"/>
  <c r="AE16" i="16460"/>
  <c r="AD38" i="16460"/>
  <c r="AD251" i="16460"/>
  <c r="AD8" i="16460" l="1"/>
  <c r="AE38" i="16460"/>
  <c r="AE251" i="16460"/>
  <c r="AF252" i="16460"/>
  <c r="AF16" i="16460"/>
  <c r="AE8" i="16460" l="1"/>
  <c r="AG16" i="16460"/>
  <c r="AG252" i="16460"/>
  <c r="AF38" i="16460"/>
  <c r="AF251" i="16460"/>
  <c r="AH252" i="16460" l="1"/>
  <c r="AH16" i="16460"/>
  <c r="AG38" i="16460"/>
  <c r="AG251" i="16460"/>
  <c r="AF8" i="16460"/>
  <c r="AG8" i="16460" l="1"/>
  <c r="AI252" i="16460"/>
  <c r="AI16" i="16460"/>
  <c r="AH251" i="16460"/>
  <c r="AH38" i="16460"/>
  <c r="AH8" i="16460" l="1"/>
  <c r="AJ16" i="16460"/>
  <c r="AJ252" i="16460"/>
  <c r="AI38" i="16460"/>
  <c r="AI251" i="16460"/>
  <c r="AK16" i="16460" l="1"/>
  <c r="AK252" i="16460"/>
  <c r="AI8" i="16460"/>
  <c r="AJ251" i="16460"/>
  <c r="AJ38" i="16460"/>
  <c r="AJ8" i="16460" s="1"/>
  <c r="AL16" i="16460" l="1"/>
  <c r="AL252" i="16460"/>
  <c r="H252" i="16460" s="1"/>
  <c r="AR22" i="16460"/>
  <c r="AN22" i="16460"/>
  <c r="AK251" i="16460"/>
  <c r="AK38" i="16460"/>
  <c r="AK8" i="16460" s="1"/>
  <c r="AP22" i="16460" l="1"/>
  <c r="AP190" i="16460" s="1"/>
  <c r="AL251" i="16460"/>
  <c r="AL38" i="16460"/>
  <c r="AL8" i="16460" s="1"/>
  <c r="AN48" i="16460"/>
  <c r="AR48" i="16460"/>
  <c r="AP191" i="16460" l="1"/>
  <c r="AP192" i="16460"/>
  <c r="H251" i="16460"/>
  <c r="AR133" i="16457" l="1"/>
  <c r="AR156" i="16457" s="1"/>
  <c r="G59" i="16501" s="1"/>
  <c r="BG133" i="16457" l="1"/>
  <c r="BG156" i="16457" s="1"/>
  <c r="V59" i="16501" s="1"/>
  <c r="AY133" i="16457"/>
  <c r="AY156" i="16457" s="1"/>
  <c r="N59" i="16501" s="1"/>
  <c r="BA133" i="16457"/>
  <c r="BA156" i="16457" s="1"/>
  <c r="P59" i="16501" s="1"/>
  <c r="AQ133" i="16457"/>
  <c r="AQ156" i="16457" s="1"/>
  <c r="AT133" i="16457"/>
  <c r="AT156" i="16457" s="1"/>
  <c r="I59" i="16501" s="1"/>
  <c r="BH133" i="16457"/>
  <c r="BH156" i="16457" s="1"/>
  <c r="W59" i="16501" s="1"/>
  <c r="BU133" i="16457"/>
  <c r="BU156" i="16457" s="1"/>
  <c r="AJ59" i="16501" s="1"/>
  <c r="AX133" i="16457"/>
  <c r="AX156" i="16457" s="1"/>
  <c r="M59" i="16501" s="1"/>
  <c r="BI133" i="16457"/>
  <c r="BI156" i="16457" s="1"/>
  <c r="X59" i="16501" s="1"/>
  <c r="BJ133" i="16457"/>
  <c r="BJ156" i="16457" s="1"/>
  <c r="Y59" i="16501" s="1"/>
  <c r="BD133" i="16457"/>
  <c r="BD156" i="16457" s="1"/>
  <c r="S59" i="16501" s="1"/>
  <c r="AS133" i="16457"/>
  <c r="AS156" i="16457" s="1"/>
  <c r="H59" i="16501" s="1"/>
  <c r="BS133" i="16457"/>
  <c r="BS156" i="16457" s="1"/>
  <c r="AH59" i="16501" s="1"/>
  <c r="BN133" i="16457"/>
  <c r="BN156" i="16457" s="1"/>
  <c r="AC59" i="16501" s="1"/>
  <c r="BB133" i="16457"/>
  <c r="BB156" i="16457" s="1"/>
  <c r="Q59" i="16501" s="1"/>
  <c r="BO133" i="16457"/>
  <c r="BO156" i="16457" s="1"/>
  <c r="AD59" i="16501" s="1"/>
  <c r="AV133" i="16457"/>
  <c r="AV156" i="16457" s="1"/>
  <c r="K59" i="16501" s="1"/>
  <c r="BR133" i="16457"/>
  <c r="BR156" i="16457" s="1"/>
  <c r="AG59" i="16501" s="1"/>
  <c r="BC133" i="16457"/>
  <c r="BC156" i="16457" s="1"/>
  <c r="R59" i="16501" s="1"/>
  <c r="BK133" i="16457"/>
  <c r="BK156" i="16457" s="1"/>
  <c r="Z59" i="16501" s="1"/>
  <c r="BT133" i="16457"/>
  <c r="BT156" i="16457" s="1"/>
  <c r="AI59" i="16501" s="1"/>
  <c r="BM133" i="16457"/>
  <c r="BM156" i="16457" s="1"/>
  <c r="AB59" i="16501" s="1"/>
  <c r="BE133" i="16457"/>
  <c r="BE156" i="16457" s="1"/>
  <c r="T59" i="16501" s="1"/>
  <c r="BP133" i="16457"/>
  <c r="BP156" i="16457" s="1"/>
  <c r="AE59" i="16501" s="1"/>
  <c r="BL133" i="16457"/>
  <c r="BL156" i="16457" s="1"/>
  <c r="AA59" i="16501" s="1"/>
  <c r="AW133" i="16457"/>
  <c r="AW156" i="16457" s="1"/>
  <c r="L59" i="16501" s="1"/>
  <c r="AU133" i="16457"/>
  <c r="AU156" i="16457" s="1"/>
  <c r="J59" i="16501" s="1"/>
  <c r="AZ133" i="16457"/>
  <c r="AZ156" i="16457" s="1"/>
  <c r="O59" i="16501" s="1"/>
  <c r="BQ133" i="16457"/>
  <c r="BQ156" i="16457" s="1"/>
  <c r="AF59" i="16501" s="1"/>
  <c r="BF133" i="16457"/>
  <c r="BF156" i="16457" s="1"/>
  <c r="U59" i="16501" s="1"/>
  <c r="F59" i="16501" l="1"/>
  <c r="G133" i="16457"/>
  <c r="O181" i="16461" l="1"/>
  <c r="W181" i="16461"/>
  <c r="AE181" i="16461"/>
  <c r="AM181" i="16461"/>
  <c r="R181" i="16461"/>
  <c r="S181" i="16461"/>
  <c r="AA181" i="16461"/>
  <c r="AI181" i="16461"/>
  <c r="N181" i="16461"/>
  <c r="V181" i="16461"/>
  <c r="AD181" i="16461"/>
  <c r="AL181" i="16461"/>
  <c r="Y181" i="16461"/>
  <c r="AO181" i="16461"/>
  <c r="Z181" i="16461"/>
  <c r="AJ181" i="16461"/>
  <c r="M181" i="16461"/>
  <c r="AC181" i="16461"/>
  <c r="P181" i="16461"/>
  <c r="AB181" i="16461"/>
  <c r="AN181" i="16461"/>
  <c r="Q181" i="16461"/>
  <c r="AG181" i="16461"/>
  <c r="T181" i="16461"/>
  <c r="AF181" i="16461"/>
  <c r="AP181" i="16461"/>
  <c r="X181" i="16461"/>
  <c r="AH181" i="16461"/>
  <c r="U181" i="16461"/>
  <c r="AK181" i="16461"/>
  <c r="Q203" i="16461" l="1"/>
  <c r="AG203" i="16461"/>
  <c r="W203" i="16461"/>
  <c r="V203" i="16461"/>
  <c r="U203" i="16461"/>
  <c r="T203" i="16461"/>
  <c r="AP203" i="16461"/>
  <c r="P203" i="16461"/>
  <c r="AF203" i="16461"/>
  <c r="O203" i="16461"/>
  <c r="N203" i="16461"/>
  <c r="M203" i="16461"/>
  <c r="AI203" i="16461"/>
  <c r="AH203" i="16461"/>
  <c r="Y203" i="16461"/>
  <c r="AO203" i="16461"/>
  <c r="AM203" i="16461"/>
  <c r="AL203" i="16461"/>
  <c r="AK203" i="16461"/>
  <c r="AJ203" i="16461"/>
  <c r="AA203" i="16461"/>
  <c r="Z203" i="16461"/>
  <c r="X203" i="16461"/>
  <c r="AN203" i="16461"/>
  <c r="AE203" i="16461"/>
  <c r="AD203" i="16461"/>
  <c r="AC203" i="16461"/>
  <c r="AB203" i="16461"/>
  <c r="S203" i="16461"/>
  <c r="R203" i="16461"/>
  <c r="L181" i="16461"/>
  <c r="M49" i="16501" l="1"/>
  <c r="M48" i="16501"/>
  <c r="M50" i="16501"/>
  <c r="V49" i="16501"/>
  <c r="V48" i="16501"/>
  <c r="V50" i="16501"/>
  <c r="AH49" i="16501"/>
  <c r="AH48" i="16501"/>
  <c r="AH50" i="16501"/>
  <c r="AD49" i="16501"/>
  <c r="AD48" i="16501"/>
  <c r="AD50" i="16501"/>
  <c r="AI48" i="16501"/>
  <c r="AI50" i="16501"/>
  <c r="AI49" i="16501"/>
  <c r="G48" i="16501"/>
  <c r="G50" i="16501"/>
  <c r="G49" i="16501"/>
  <c r="J49" i="16501"/>
  <c r="J48" i="16501"/>
  <c r="J50" i="16501"/>
  <c r="P48" i="16501"/>
  <c r="P50" i="16501"/>
  <c r="P49" i="16501"/>
  <c r="W48" i="16501"/>
  <c r="W50" i="16501"/>
  <c r="W49" i="16501"/>
  <c r="AE48" i="16501"/>
  <c r="AE50" i="16501"/>
  <c r="AE49" i="16501"/>
  <c r="S48" i="16501"/>
  <c r="S50" i="16501"/>
  <c r="S49" i="16501"/>
  <c r="H48" i="16501"/>
  <c r="H50" i="16501"/>
  <c r="H49" i="16501"/>
  <c r="AJ48" i="16501"/>
  <c r="AJ50" i="16501"/>
  <c r="AJ49" i="16501"/>
  <c r="Q49" i="16501"/>
  <c r="Q48" i="16501"/>
  <c r="Q50" i="16501"/>
  <c r="L48" i="16501"/>
  <c r="L50" i="16501"/>
  <c r="L49" i="16501"/>
  <c r="X48" i="16501"/>
  <c r="X50" i="16501"/>
  <c r="X49" i="16501"/>
  <c r="T48" i="16501"/>
  <c r="T50" i="16501"/>
  <c r="T49" i="16501"/>
  <c r="AF48" i="16501"/>
  <c r="AF50" i="16501"/>
  <c r="AF49" i="16501"/>
  <c r="AB48" i="16501"/>
  <c r="AB50" i="16501"/>
  <c r="AB49" i="16501"/>
  <c r="I49" i="16501"/>
  <c r="I48" i="16501"/>
  <c r="I50" i="16501"/>
  <c r="N49" i="16501"/>
  <c r="N48" i="16501"/>
  <c r="N50" i="16501"/>
  <c r="AA48" i="16501"/>
  <c r="AA50" i="16501"/>
  <c r="AA49" i="16501"/>
  <c r="R49" i="16501"/>
  <c r="R48" i="16501"/>
  <c r="R50" i="16501"/>
  <c r="Y49" i="16501"/>
  <c r="Y48" i="16501"/>
  <c r="Y50" i="16501"/>
  <c r="U49" i="16501"/>
  <c r="U48" i="16501"/>
  <c r="U50" i="16501"/>
  <c r="AG49" i="16501"/>
  <c r="AG48" i="16501"/>
  <c r="AG50" i="16501"/>
  <c r="AC49" i="16501"/>
  <c r="AC48" i="16501"/>
  <c r="AC50" i="16501"/>
  <c r="Z49" i="16501"/>
  <c r="Z48" i="16501"/>
  <c r="Z50" i="16501"/>
  <c r="O48" i="16501"/>
  <c r="O50" i="16501"/>
  <c r="O49" i="16501"/>
  <c r="K48" i="16501"/>
  <c r="K50" i="16501"/>
  <c r="K49" i="16501"/>
  <c r="L203" i="16461"/>
  <c r="BD8" i="16501" s="1"/>
  <c r="F48" i="16501" l="1"/>
  <c r="F49" i="16501"/>
  <c r="F50" i="16501"/>
  <c r="AS24" i="16501"/>
  <c r="AU8" i="16501"/>
  <c r="BO8" i="16501"/>
  <c r="BK8" i="16501"/>
  <c r="BS8" i="16501"/>
  <c r="BA8" i="16501"/>
  <c r="BJ8" i="16501"/>
  <c r="BI8" i="16501"/>
  <c r="AS8" i="16501"/>
  <c r="BH8" i="16501"/>
  <c r="BC8" i="16501"/>
  <c r="BF8" i="16501"/>
  <c r="AY8" i="16501"/>
  <c r="BB8" i="16501"/>
  <c r="AX8" i="16501"/>
  <c r="BN8" i="16501"/>
  <c r="BT8" i="16501"/>
  <c r="BM8" i="16501"/>
  <c r="AW8" i="16501"/>
  <c r="BL8" i="16501"/>
  <c r="AV8" i="16501"/>
  <c r="AQ8" i="16501"/>
  <c r="AR8" i="16501"/>
  <c r="BG8" i="16501"/>
  <c r="AT8" i="16501"/>
  <c r="BR8" i="16501"/>
  <c r="BQ8" i="16501"/>
  <c r="BP8" i="16501"/>
  <c r="BE8" i="16501"/>
  <c r="AZ8" i="16501"/>
  <c r="L247" i="16461"/>
  <c r="BJ25" i="16501"/>
  <c r="BT24" i="16501" l="1"/>
  <c r="BI24" i="16501"/>
  <c r="BJ24" i="16501"/>
  <c r="AT24" i="16501"/>
  <c r="BA24" i="16501"/>
  <c r="AR24" i="16501"/>
  <c r="BD24" i="16501"/>
  <c r="BG24" i="16501"/>
  <c r="AZ24" i="16501"/>
  <c r="BL24" i="16501"/>
  <c r="AX24" i="16501"/>
  <c r="BK24" i="16501"/>
  <c r="BN24" i="16501"/>
  <c r="BC24" i="16501"/>
  <c r="AU24" i="16501"/>
  <c r="BP24" i="16501"/>
  <c r="AY24" i="16501"/>
  <c r="BF24" i="16501"/>
  <c r="BO24" i="16501"/>
  <c r="AW24" i="16501"/>
  <c r="BM24" i="16501"/>
  <c r="BQ24" i="16501"/>
  <c r="BH24" i="16501"/>
  <c r="BR24" i="16501"/>
  <c r="BS24" i="16501"/>
  <c r="AV24" i="16501"/>
  <c r="BE24" i="16501"/>
  <c r="AQ24" i="16501"/>
  <c r="BB24" i="16501"/>
  <c r="BA25" i="16501"/>
  <c r="BI25" i="16501"/>
  <c r="BP25" i="16501"/>
  <c r="BL25" i="16501"/>
  <c r="AU25" i="16501"/>
  <c r="AV25" i="16501"/>
  <c r="AX25" i="16501"/>
  <c r="BF25" i="16501"/>
  <c r="BR25" i="16501"/>
  <c r="BD25" i="16501"/>
  <c r="AY25" i="16501"/>
  <c r="BB25" i="16501"/>
  <c r="BN25" i="16501"/>
  <c r="BH25" i="16501"/>
  <c r="BS25" i="16501"/>
  <c r="BK25" i="16501"/>
  <c r="BC25" i="16501"/>
  <c r="BQ25" i="16501"/>
  <c r="AR25" i="16501"/>
  <c r="AZ25" i="16501"/>
  <c r="BG25" i="16501"/>
  <c r="BE25" i="16501"/>
  <c r="BO25" i="16501"/>
  <c r="AT25" i="16501"/>
  <c r="AQ25" i="16501"/>
  <c r="BM25" i="16501"/>
  <c r="AW25" i="16501"/>
  <c r="BT25" i="16501"/>
  <c r="AS25" i="16501"/>
  <c r="AR11" i="16457" l="1"/>
  <c r="DD11" i="16457" s="1"/>
  <c r="AQ11" i="16457" l="1"/>
  <c r="DC11" i="16457" s="1"/>
  <c r="DA15" i="16506" l="1"/>
  <c r="DA14" i="16506" s="1"/>
  <c r="DB15" i="16506"/>
  <c r="DB14" i="16506" s="1"/>
  <c r="H14" i="16506" l="1"/>
  <c r="EF15" i="16506"/>
  <c r="EF14" i="16506" s="1"/>
  <c r="EG15" i="16506" l="1"/>
  <c r="EG14" i="16506" s="1"/>
  <c r="EI15" i="16506" l="1"/>
  <c r="EI14" i="16506" s="1"/>
  <c r="EH15" i="16506"/>
  <c r="EH14" i="16506" s="1"/>
  <c r="B24" i="16507" l="1"/>
  <c r="EJ15" i="16506"/>
  <c r="EJ14" i="16506" s="1"/>
  <c r="EL15" i="16506" l="1"/>
  <c r="EL14" i="16506" s="1"/>
  <c r="EK15" i="16506"/>
  <c r="EK14" i="16506" s="1"/>
  <c r="EM15" i="16506" l="1"/>
  <c r="EM14" i="16506" s="1"/>
  <c r="EN15" i="16506" l="1"/>
  <c r="EN14" i="16506" s="1"/>
  <c r="EO15" i="16506" l="1"/>
  <c r="EO14" i="16506" s="1"/>
  <c r="EP15" i="16506" l="1"/>
  <c r="EP14" i="16506" s="1"/>
  <c r="EQ15" i="16506"/>
  <c r="EQ14" i="16506" s="1"/>
  <c r="ER15" i="16506" l="1"/>
  <c r="ER14" i="16506" s="1"/>
  <c r="ES15" i="16506" l="1"/>
  <c r="ES14" i="16506" s="1"/>
  <c r="ET15" i="16506" l="1"/>
  <c r="ET14" i="16506" s="1"/>
  <c r="EU15" i="16506" l="1"/>
  <c r="EU14" i="16506" s="1"/>
  <c r="EV15" i="16506" l="1"/>
  <c r="EV14" i="16506" s="1"/>
  <c r="EW15" i="16506" l="1"/>
  <c r="EW14" i="16506" s="1"/>
  <c r="EX15" i="16506" l="1"/>
  <c r="EX14" i="16506" s="1"/>
  <c r="EY15" i="16506" l="1"/>
  <c r="EY14" i="16506" s="1"/>
  <c r="EZ15" i="16506" l="1"/>
  <c r="EZ14" i="16506" s="1"/>
  <c r="FA15" i="16506" l="1"/>
  <c r="FA14" i="16506" s="1"/>
  <c r="FC15" i="16506" l="1"/>
  <c r="FC14" i="16506" s="1"/>
  <c r="FD15" i="16506"/>
  <c r="FD14" i="16506" s="1"/>
  <c r="FB15" i="16506"/>
  <c r="FB14" i="16506" s="1"/>
  <c r="FE15" i="16506" l="1"/>
  <c r="FE14" i="16506" s="1"/>
  <c r="FF15" i="16506" l="1"/>
  <c r="FF14" i="16506" s="1"/>
  <c r="FG15" i="16506" l="1"/>
  <c r="FG14" i="16506" s="1"/>
  <c r="FH15" i="16506" l="1"/>
  <c r="FH14" i="16506" s="1"/>
  <c r="FI15" i="16506"/>
  <c r="FI14" i="16506" s="1"/>
  <c r="I14" i="16506" l="1"/>
  <c r="ET68" i="16516" l="1"/>
  <c r="EV68" i="16516" s="1"/>
  <c r="HF68" i="16516"/>
  <c r="HH68" i="16516" s="1"/>
  <c r="EV67" i="16516" l="1"/>
  <c r="W11" i="16514" s="1"/>
  <c r="W81" i="16513" s="1"/>
  <c r="H67" i="16516"/>
  <c r="HH67" i="16516"/>
  <c r="AE11" i="16514" s="1"/>
  <c r="AE81" i="16513" s="1"/>
  <c r="IO67" i="16516" l="1"/>
  <c r="HQ67" i="16516"/>
  <c r="FU67" i="16516"/>
  <c r="HA67" i="16516"/>
  <c r="GC67" i="16516"/>
  <c r="FM67" i="16516"/>
  <c r="HY67" i="16516"/>
  <c r="IG67" i="16516"/>
  <c r="GK67" i="16516"/>
  <c r="GS67" i="16516"/>
  <c r="FE67" i="16516"/>
  <c r="DA67" i="16516"/>
  <c r="EO67" i="16516"/>
  <c r="DI67" i="16516"/>
  <c r="DQ67" i="16516"/>
  <c r="DY67" i="16516"/>
  <c r="EG67" i="16516"/>
  <c r="AW67" i="16516"/>
  <c r="CK67" i="16516"/>
  <c r="BU67" i="16516"/>
  <c r="CC67" i="16516"/>
  <c r="EW67" i="16516"/>
  <c r="AG67" i="16516"/>
  <c r="AO67" i="16516"/>
  <c r="HI67" i="16516"/>
  <c r="BE67" i="16516"/>
  <c r="BM67" i="16516"/>
  <c r="P67" i="16516"/>
  <c r="CS67" i="16516"/>
  <c r="Y67" i="16516"/>
  <c r="AJ81" i="16513" l="1"/>
  <c r="E11" i="16514"/>
  <c r="E81" i="16513" l="1"/>
  <c r="AV81" i="16513" l="1"/>
  <c r="AW81" i="16513"/>
  <c r="AX81" i="16513"/>
  <c r="AY81" i="16513"/>
  <c r="AZ81" i="16513"/>
  <c r="BA81" i="16513"/>
  <c r="BB81" i="16513"/>
  <c r="AR81" i="16513"/>
  <c r="AM81" i="16513"/>
  <c r="AQ81" i="16513"/>
  <c r="AS81" i="16513"/>
  <c r="AN81" i="16513"/>
  <c r="AL81" i="16513"/>
  <c r="AO81" i="16513"/>
  <c r="AT81" i="16513"/>
  <c r="AP81" i="16513"/>
  <c r="AU81" i="16513"/>
  <c r="BC81" i="16513"/>
  <c r="BD81" i="16513"/>
  <c r="BK81" i="16513"/>
  <c r="BE81" i="16513"/>
  <c r="BL81" i="16513"/>
  <c r="BF81" i="16513"/>
  <c r="BM81" i="16513"/>
  <c r="BG81" i="16513"/>
  <c r="BN81" i="16513"/>
  <c r="BO81" i="16513"/>
  <c r="BH81" i="16513"/>
  <c r="BI81" i="16513"/>
  <c r="BJ81" i="16513"/>
  <c r="BP81" i="16513" l="1"/>
  <c r="J150" i="16460" l="1"/>
  <c r="K150" i="16460" l="1"/>
  <c r="L150" i="16460" l="1"/>
  <c r="L108" i="16506"/>
  <c r="AR105" i="16457"/>
  <c r="DD105" i="16457" s="1"/>
  <c r="DB107" i="16506" l="1"/>
  <c r="AQ108" i="16506"/>
  <c r="DA108" i="16506" s="1"/>
  <c r="EF107" i="16506"/>
  <c r="EG107" i="16506"/>
  <c r="DA107" i="16506"/>
  <c r="AR103" i="16457"/>
  <c r="DD103" i="16457" s="1"/>
  <c r="M150" i="16460"/>
  <c r="EH107" i="16506" l="1"/>
  <c r="N150" i="16460"/>
  <c r="EI107" i="16506" l="1"/>
  <c r="O150" i="16460"/>
  <c r="EJ107" i="16506" l="1"/>
  <c r="P150" i="16460"/>
  <c r="EK107" i="16506" l="1"/>
  <c r="Q150" i="16460"/>
  <c r="EM107" i="16506" l="1"/>
  <c r="R150" i="16460"/>
  <c r="EN107" i="16506" l="1"/>
  <c r="EL107" i="16506"/>
  <c r="S150" i="16460"/>
  <c r="EO107" i="16506" l="1"/>
  <c r="T150" i="16460"/>
  <c r="EP107" i="16506" l="1"/>
  <c r="U150" i="16460"/>
  <c r="EQ107" i="16506" l="1"/>
  <c r="V150" i="16460"/>
  <c r="W150" i="16460" l="1"/>
  <c r="ER107" i="16506" l="1"/>
  <c r="X150" i="16460"/>
  <c r="ES107" i="16506"/>
  <c r="ET107" i="16506" l="1"/>
  <c r="Y150" i="16460"/>
  <c r="EU107" i="16506" l="1"/>
  <c r="Z150" i="16460"/>
  <c r="EV107" i="16506" l="1"/>
  <c r="AA150" i="16460"/>
  <c r="AB150" i="16460" l="1"/>
  <c r="EW107" i="16506"/>
  <c r="EX107" i="16506" l="1"/>
  <c r="AC150" i="16460"/>
  <c r="AD150" i="16460" l="1"/>
  <c r="EY107" i="16506"/>
  <c r="AE150" i="16460" l="1"/>
  <c r="EZ107" i="16506"/>
  <c r="FA107" i="16506" l="1"/>
  <c r="AF150" i="16460"/>
  <c r="AG150" i="16460" l="1"/>
  <c r="FB107" i="16506"/>
  <c r="FC107" i="16506" l="1"/>
  <c r="AH150" i="16460"/>
  <c r="AI150" i="16460" l="1"/>
  <c r="FD107" i="16506"/>
  <c r="FE107" i="16506" l="1"/>
  <c r="AJ150" i="16460"/>
  <c r="FF107" i="16506" l="1"/>
  <c r="AK150" i="16460"/>
  <c r="FG107" i="16506" l="1"/>
  <c r="AL150" i="16460"/>
  <c r="FH107" i="16506" l="1"/>
  <c r="FI107" i="16506"/>
  <c r="AN151" i="16460" l="1"/>
  <c r="AN191" i="16460"/>
  <c r="AN190" i="16460"/>
  <c r="AR191" i="16460"/>
  <c r="AS191" i="16460" s="1"/>
  <c r="L38" i="16457" l="1"/>
  <c r="F27" i="16509"/>
  <c r="H27" i="16509" s="1"/>
  <c r="I27" i="16509" s="1"/>
  <c r="L37" i="16457"/>
  <c r="F26" i="16509"/>
  <c r="H26" i="16509" s="1"/>
  <c r="I26" i="16509" s="1"/>
  <c r="AR190" i="16460"/>
  <c r="AS190" i="16460" s="1"/>
  <c r="AS192" i="16460" s="1"/>
  <c r="U37" i="16457" l="1"/>
  <c r="BA37" i="16457" s="1"/>
  <c r="DM37" i="16457" s="1"/>
  <c r="AD38" i="16457"/>
  <c r="AD42" i="16506" s="1"/>
  <c r="W38" i="16457"/>
  <c r="P38" i="16457"/>
  <c r="AH38" i="16457"/>
  <c r="Y38" i="16457"/>
  <c r="AA38" i="16457"/>
  <c r="V38" i="16457"/>
  <c r="T38" i="16457"/>
  <c r="AI38" i="16457"/>
  <c r="AJ38" i="16457"/>
  <c r="AK38" i="16457"/>
  <c r="R38" i="16457"/>
  <c r="AF38" i="16457"/>
  <c r="AC38" i="16457"/>
  <c r="AO38" i="16457"/>
  <c r="AL38" i="16457"/>
  <c r="O38" i="16457"/>
  <c r="L42" i="16506"/>
  <c r="AQ42" i="16506" s="1"/>
  <c r="DA42" i="16506" s="1"/>
  <c r="Z38" i="16457"/>
  <c r="AN38" i="16457"/>
  <c r="AE38" i="16457"/>
  <c r="S38" i="16457"/>
  <c r="Q38" i="16457"/>
  <c r="N38" i="16457"/>
  <c r="AM38" i="16457"/>
  <c r="AB38" i="16457"/>
  <c r="U38" i="16457"/>
  <c r="AR38" i="16457"/>
  <c r="DD38" i="16457" s="1"/>
  <c r="X38" i="16457"/>
  <c r="M38" i="16457"/>
  <c r="AG38" i="16457"/>
  <c r="AR37" i="16457"/>
  <c r="DD37" i="16457" s="1"/>
  <c r="R37" i="16457"/>
  <c r="Z37" i="16457"/>
  <c r="AJ37" i="16457"/>
  <c r="AN37" i="16457"/>
  <c r="AL37" i="16457"/>
  <c r="AI37" i="16457"/>
  <c r="AK37" i="16457"/>
  <c r="AD37" i="16457"/>
  <c r="AO37" i="16457"/>
  <c r="AM37" i="16457"/>
  <c r="Q37" i="16457"/>
  <c r="T37" i="16457"/>
  <c r="I32" i="16509"/>
  <c r="L41" i="16506"/>
  <c r="AQ41" i="16506" s="1"/>
  <c r="DA41" i="16506" s="1"/>
  <c r="O37" i="16457"/>
  <c r="N37" i="16457"/>
  <c r="M37" i="16457"/>
  <c r="AG37" i="16457"/>
  <c r="AB37" i="16457"/>
  <c r="AA37" i="16457"/>
  <c r="P37" i="16457"/>
  <c r="AH37" i="16457"/>
  <c r="AF37" i="16457"/>
  <c r="AE37" i="16457"/>
  <c r="Y37" i="16457"/>
  <c r="AC37" i="16457"/>
  <c r="X37" i="16457"/>
  <c r="W37" i="16457"/>
  <c r="V37" i="16457"/>
  <c r="S37" i="16457"/>
  <c r="H46" i="16502"/>
  <c r="I46" i="16502" s="1"/>
  <c r="L46" i="16502" s="1"/>
  <c r="N46" i="16502" s="1"/>
  <c r="P46" i="16502" s="1"/>
  <c r="R46" i="16502" s="1"/>
  <c r="T46" i="16502" s="1"/>
  <c r="V46" i="16502" s="1"/>
  <c r="X46" i="16502" s="1"/>
  <c r="Z46" i="16502" s="1"/>
  <c r="AB46" i="16502" s="1"/>
  <c r="AD46" i="16502" s="1"/>
  <c r="AF46" i="16502" s="1"/>
  <c r="AH46" i="16502" s="1"/>
  <c r="AJ46" i="16502" s="1"/>
  <c r="AL46" i="16502" s="1"/>
  <c r="AN46" i="16502" s="1"/>
  <c r="BJ38" i="16457" l="1"/>
  <c r="DV38" i="16457" s="1"/>
  <c r="U41" i="16506"/>
  <c r="AN42" i="16506"/>
  <c r="R42" i="16506"/>
  <c r="BN38" i="16457"/>
  <c r="DZ38" i="16457" s="1"/>
  <c r="X41" i="16506"/>
  <c r="BH37" i="16457"/>
  <c r="DT37" i="16457" s="1"/>
  <c r="AW37" i="16457"/>
  <c r="DI37" i="16457" s="1"/>
  <c r="AJ41" i="16506"/>
  <c r="U42" i="16506"/>
  <c r="Z42" i="16506"/>
  <c r="BQ38" i="16457"/>
  <c r="EC38" i="16457" s="1"/>
  <c r="AV38" i="16457"/>
  <c r="DH38" i="16457" s="1"/>
  <c r="BS37" i="16457"/>
  <c r="EE37" i="16457" s="1"/>
  <c r="BP38" i="16457"/>
  <c r="EB38" i="16457" s="1"/>
  <c r="BC38" i="16457"/>
  <c r="DO38" i="16457" s="1"/>
  <c r="Y41" i="16506"/>
  <c r="AS37" i="16457"/>
  <c r="DE37" i="16457" s="1"/>
  <c r="BU37" i="16457"/>
  <c r="EG37" i="16457" s="1"/>
  <c r="R41" i="16506"/>
  <c r="AM42" i="16506"/>
  <c r="AU38" i="16457"/>
  <c r="DG38" i="16457" s="1"/>
  <c r="BO38" i="16457"/>
  <c r="EA38" i="16457" s="1"/>
  <c r="N42" i="16506"/>
  <c r="AL42" i="16506"/>
  <c r="T42" i="16506"/>
  <c r="BC37" i="16457"/>
  <c r="DO37" i="16457" s="1"/>
  <c r="BT37" i="16457"/>
  <c r="EF37" i="16457" s="1"/>
  <c r="AC41" i="16506"/>
  <c r="AG41" i="16506"/>
  <c r="AB42" i="16506"/>
  <c r="AE41" i="16506"/>
  <c r="AT37" i="16457"/>
  <c r="DF37" i="16457" s="1"/>
  <c r="AD41" i="16506"/>
  <c r="AF41" i="16506"/>
  <c r="AU37" i="16457"/>
  <c r="DG37" i="16457" s="1"/>
  <c r="AK41" i="16506"/>
  <c r="BM38" i="16457"/>
  <c r="DY38" i="16457" s="1"/>
  <c r="AW38" i="16457"/>
  <c r="DI38" i="16457" s="1"/>
  <c r="AO42" i="16506"/>
  <c r="BB38" i="16457"/>
  <c r="DN38" i="16457" s="1"/>
  <c r="AA41" i="16506"/>
  <c r="T41" i="16506"/>
  <c r="Z41" i="16506"/>
  <c r="S41" i="16506"/>
  <c r="BN37" i="16457"/>
  <c r="DZ37" i="16457" s="1"/>
  <c r="AI41" i="16506"/>
  <c r="M42" i="16506"/>
  <c r="AR42" i="16506" s="1"/>
  <c r="DB42" i="16506" s="1"/>
  <c r="AY38" i="16457"/>
  <c r="DK38" i="16457" s="1"/>
  <c r="AC42" i="16506"/>
  <c r="BG38" i="16457"/>
  <c r="DS38" i="16457" s="1"/>
  <c r="V41" i="16506"/>
  <c r="P41" i="16506"/>
  <c r="AL41" i="16506"/>
  <c r="X42" i="16506"/>
  <c r="AE42" i="16506"/>
  <c r="BJ42" i="16506" s="1"/>
  <c r="DT42" i="16506" s="1"/>
  <c r="AF42" i="16506"/>
  <c r="Y42" i="16506"/>
  <c r="K46" i="16502"/>
  <c r="O42" i="16506"/>
  <c r="BF38" i="16457"/>
  <c r="DR38" i="16457" s="1"/>
  <c r="AJ42" i="16506"/>
  <c r="W42" i="16506"/>
  <c r="AR28" i="16457"/>
  <c r="AA42" i="16506"/>
  <c r="V42" i="16506"/>
  <c r="P42" i="16506"/>
  <c r="BO37" i="16457"/>
  <c r="EA37" i="16457" s="1"/>
  <c r="AZ38" i="16457"/>
  <c r="DL38" i="16457" s="1"/>
  <c r="AY37" i="16457"/>
  <c r="AH42" i="16506"/>
  <c r="AS38" i="16457"/>
  <c r="AI42" i="16506"/>
  <c r="BE38" i="16457"/>
  <c r="DQ38" i="16457" s="1"/>
  <c r="BI38" i="16457"/>
  <c r="DU38" i="16457" s="1"/>
  <c r="BI37" i="16457"/>
  <c r="DU37" i="16457" s="1"/>
  <c r="BH38" i="16457"/>
  <c r="AM41" i="16506"/>
  <c r="S42" i="16506"/>
  <c r="AH41" i="16506"/>
  <c r="BL38" i="16457"/>
  <c r="DX38" i="16457" s="1"/>
  <c r="BA38" i="16457"/>
  <c r="Q42" i="16506"/>
  <c r="AG42" i="16506"/>
  <c r="BU38" i="16457"/>
  <c r="AK42" i="16506"/>
  <c r="BB37" i="16457"/>
  <c r="AX38" i="16457"/>
  <c r="DJ38" i="16457" s="1"/>
  <c r="BR38" i="16457"/>
  <c r="ED38" i="16457" s="1"/>
  <c r="BR37" i="16457"/>
  <c r="ED37" i="16457" s="1"/>
  <c r="BD38" i="16457"/>
  <c r="DP38" i="16457" s="1"/>
  <c r="M41" i="16506"/>
  <c r="AR41" i="16506" s="1"/>
  <c r="DB41" i="16506" s="1"/>
  <c r="BS38" i="16457"/>
  <c r="AV37" i="16457"/>
  <c r="AO41" i="16506"/>
  <c r="BE37" i="16457"/>
  <c r="DQ37" i="16457" s="1"/>
  <c r="AX37" i="16457"/>
  <c r="DJ37" i="16457" s="1"/>
  <c r="BK38" i="16457"/>
  <c r="DW38" i="16457" s="1"/>
  <c r="AT38" i="16457"/>
  <c r="BT38" i="16457"/>
  <c r="BM37" i="16457"/>
  <c r="BF37" i="16457"/>
  <c r="DR37" i="16457" s="1"/>
  <c r="AB41" i="16506"/>
  <c r="BP37" i="16457"/>
  <c r="BQ37" i="16457"/>
  <c r="O41" i="16506"/>
  <c r="Q41" i="16506"/>
  <c r="BD37" i="16457"/>
  <c r="DP37" i="16457" s="1"/>
  <c r="BL37" i="16457"/>
  <c r="DX37" i="16457" s="1"/>
  <c r="BJ37" i="16457"/>
  <c r="BK37" i="16457"/>
  <c r="DW37" i="16457" s="1"/>
  <c r="AZ37" i="16457"/>
  <c r="DL37" i="16457" s="1"/>
  <c r="AN41" i="16506"/>
  <c r="BG37" i="16457"/>
  <c r="W41" i="16506"/>
  <c r="N41" i="16506"/>
  <c r="DA32" i="16506"/>
  <c r="M46" i="16502"/>
  <c r="O46" i="16502" s="1"/>
  <c r="Q46" i="16502" s="1"/>
  <c r="S46" i="16502" s="1"/>
  <c r="U46" i="16502" s="1"/>
  <c r="W46" i="16502" s="1"/>
  <c r="Y46" i="16502" s="1"/>
  <c r="AA46" i="16502" s="1"/>
  <c r="AC46" i="16502" s="1"/>
  <c r="AE46" i="16502" s="1"/>
  <c r="AG46" i="16502" s="1"/>
  <c r="AI46" i="16502" s="1"/>
  <c r="AK46" i="16502" s="1"/>
  <c r="AM46" i="16502" s="1"/>
  <c r="BT41" i="16506" l="1"/>
  <c r="ED41" i="16506" s="1"/>
  <c r="BA41" i="16506"/>
  <c r="DK41" i="16506" s="1"/>
  <c r="AZ41" i="16506"/>
  <c r="DJ41" i="16506" s="1"/>
  <c r="AX41" i="16506"/>
  <c r="DH41" i="16506" s="1"/>
  <c r="BE42" i="16506"/>
  <c r="DO42" i="16506" s="1"/>
  <c r="AY41" i="16506"/>
  <c r="DI41" i="16506" s="1"/>
  <c r="BF42" i="16506"/>
  <c r="DP42" i="16506" s="1"/>
  <c r="BA42" i="16506"/>
  <c r="DK42" i="16506" s="1"/>
  <c r="BK41" i="16506"/>
  <c r="DU41" i="16506" s="1"/>
  <c r="BI41" i="16506"/>
  <c r="DS41" i="16506" s="1"/>
  <c r="BN28" i="16457"/>
  <c r="DZ28" i="16457" s="1"/>
  <c r="BF41" i="16506"/>
  <c r="DP41" i="16506" s="1"/>
  <c r="BH42" i="16506"/>
  <c r="DR42" i="16506" s="1"/>
  <c r="BE41" i="16506"/>
  <c r="DO41" i="16506" s="1"/>
  <c r="AU28" i="16457"/>
  <c r="DG28" i="16457" s="1"/>
  <c r="BD41" i="16506"/>
  <c r="DN41" i="16506" s="1"/>
  <c r="AZ42" i="16506"/>
  <c r="DJ42" i="16506" s="1"/>
  <c r="BI42" i="16506"/>
  <c r="DS42" i="16506" s="1"/>
  <c r="DS32" i="16506" s="1"/>
  <c r="AS42" i="16506"/>
  <c r="DC42" i="16506" s="1"/>
  <c r="BK42" i="16506"/>
  <c r="DU42" i="16506" s="1"/>
  <c r="AY42" i="16506"/>
  <c r="DI42" i="16506" s="1"/>
  <c r="AW28" i="16457"/>
  <c r="DI28" i="16457" s="1"/>
  <c r="BL41" i="16506"/>
  <c r="DV41" i="16506" s="1"/>
  <c r="BC28" i="16457"/>
  <c r="DO28" i="16457" s="1"/>
  <c r="AT42" i="16506"/>
  <c r="DD42" i="16506" s="1"/>
  <c r="BB41" i="16506"/>
  <c r="DL41" i="16506" s="1"/>
  <c r="AV41" i="16506"/>
  <c r="DF41" i="16506" s="1"/>
  <c r="BJ41" i="16506"/>
  <c r="DT41" i="16506" s="1"/>
  <c r="DT32" i="16506" s="1"/>
  <c r="AU41" i="16506"/>
  <c r="DE41" i="16506" s="1"/>
  <c r="BD42" i="16506"/>
  <c r="DN42" i="16506" s="1"/>
  <c r="BM41" i="16506"/>
  <c r="DW41" i="16506" s="1"/>
  <c r="BH41" i="16506"/>
  <c r="DR41" i="16506" s="1"/>
  <c r="BC42" i="16506"/>
  <c r="DM42" i="16506" s="1"/>
  <c r="BL42" i="16506"/>
  <c r="DV42" i="16506" s="1"/>
  <c r="BO28" i="16457"/>
  <c r="EA28" i="16457" s="1"/>
  <c r="AV42" i="16506"/>
  <c r="DF42" i="16506" s="1"/>
  <c r="BG28" i="16457"/>
  <c r="DS37" i="16457"/>
  <c r="BJ28" i="16457"/>
  <c r="DV37" i="16457"/>
  <c r="AV28" i="16457"/>
  <c r="DH28" i="16457" s="1"/>
  <c r="DH37" i="16457"/>
  <c r="BQ28" i="16457"/>
  <c r="EC37" i="16457"/>
  <c r="BM28" i="16457"/>
  <c r="DY28" i="16457" s="1"/>
  <c r="DY37" i="16457"/>
  <c r="BS28" i="16457"/>
  <c r="EE28" i="16457" s="1"/>
  <c r="EE38" i="16457"/>
  <c r="BA28" i="16457"/>
  <c r="DM38" i="16457"/>
  <c r="AY28" i="16457"/>
  <c r="DK37" i="16457"/>
  <c r="BP28" i="16457"/>
  <c r="EB37" i="16457"/>
  <c r="BT28" i="16457"/>
  <c r="EF38" i="16457"/>
  <c r="BU28" i="16457"/>
  <c r="EG38" i="16457"/>
  <c r="BH28" i="16457"/>
  <c r="DT38" i="16457"/>
  <c r="AT28" i="16457"/>
  <c r="DF38" i="16457"/>
  <c r="BB28" i="16457"/>
  <c r="DN28" i="16457" s="1"/>
  <c r="DN37" i="16457"/>
  <c r="AS28" i="16457"/>
  <c r="DE38" i="16457"/>
  <c r="AR129" i="16457"/>
  <c r="AR152" i="16457" s="1"/>
  <c r="DD28" i="16457"/>
  <c r="AU42" i="16506"/>
  <c r="DE42" i="16506" s="1"/>
  <c r="BF28" i="16457"/>
  <c r="BG42" i="16506"/>
  <c r="DQ42" i="16506" s="1"/>
  <c r="BB42" i="16506"/>
  <c r="DL42" i="16506" s="1"/>
  <c r="BE28" i="16457"/>
  <c r="AX42" i="16506"/>
  <c r="DH42" i="16506" s="1"/>
  <c r="AW42" i="16506"/>
  <c r="DG42" i="16506" s="1"/>
  <c r="AZ28" i="16457"/>
  <c r="BN42" i="16506"/>
  <c r="DX42" i="16506" s="1"/>
  <c r="BN41" i="16506"/>
  <c r="DX41" i="16506" s="1"/>
  <c r="BT42" i="16506"/>
  <c r="ED42" i="16506" s="1"/>
  <c r="BI28" i="16457"/>
  <c r="AX28" i="16457"/>
  <c r="BL28" i="16457"/>
  <c r="BM42" i="16506"/>
  <c r="DW42" i="16506" s="1"/>
  <c r="BD28" i="16457"/>
  <c r="BR28" i="16457"/>
  <c r="AQ38" i="16457"/>
  <c r="DC38" i="16457" s="1"/>
  <c r="BK28" i="16457"/>
  <c r="BG41" i="16506"/>
  <c r="DQ41" i="16506" s="1"/>
  <c r="AW41" i="16506"/>
  <c r="DG41" i="16506" s="1"/>
  <c r="AT41" i="16506"/>
  <c r="DD41" i="16506" s="1"/>
  <c r="BC41" i="16506"/>
  <c r="DM41" i="16506" s="1"/>
  <c r="AQ37" i="16457"/>
  <c r="DC37" i="16457" s="1"/>
  <c r="AS41" i="16506"/>
  <c r="DC41" i="16506" s="1"/>
  <c r="J46" i="16502"/>
  <c r="DB32" i="16506"/>
  <c r="BV41" i="16506" l="1"/>
  <c r="BW41" i="16506" s="1"/>
  <c r="DK32" i="16506"/>
  <c r="DJ32" i="16506"/>
  <c r="DO32" i="16506"/>
  <c r="DH32" i="16506"/>
  <c r="DI32" i="16506"/>
  <c r="DP32" i="16506"/>
  <c r="DU32" i="16506"/>
  <c r="DR32" i="16506"/>
  <c r="DN32" i="16506"/>
  <c r="DL32" i="16506"/>
  <c r="DE32" i="16506"/>
  <c r="DV32" i="16506"/>
  <c r="DF32" i="16506"/>
  <c r="DW32" i="16506"/>
  <c r="DP28" i="16457"/>
  <c r="DX28" i="16457"/>
  <c r="DR28" i="16457"/>
  <c r="DW28" i="16457"/>
  <c r="DJ28" i="16457"/>
  <c r="DQ28" i="16457"/>
  <c r="DE28" i="16457"/>
  <c r="DF28" i="16457"/>
  <c r="DT28" i="16457"/>
  <c r="EF28" i="16457"/>
  <c r="DM28" i="16457"/>
  <c r="DV28" i="16457"/>
  <c r="DU28" i="16457"/>
  <c r="DL28" i="16457"/>
  <c r="ED28" i="16457"/>
  <c r="EG28" i="16457"/>
  <c r="EB28" i="16457"/>
  <c r="DK28" i="16457"/>
  <c r="EC28" i="16457"/>
  <c r="DS28" i="16457"/>
  <c r="DX32" i="16506"/>
  <c r="BV42" i="16506"/>
  <c r="EF42" i="16506" s="1"/>
  <c r="ED32" i="16506"/>
  <c r="DG32" i="16506"/>
  <c r="DQ32" i="16506"/>
  <c r="DM32" i="16506"/>
  <c r="DC32" i="16506"/>
  <c r="DD32" i="16506"/>
  <c r="AQ28" i="16457"/>
  <c r="EF41" i="16506"/>
  <c r="DC28" i="16457" l="1"/>
  <c r="BW42" i="16506"/>
  <c r="EG42" i="16506" s="1"/>
  <c r="H32" i="16506"/>
  <c r="EF32" i="16506"/>
  <c r="EG41" i="16506"/>
  <c r="BX41" i="16506"/>
  <c r="BX42" i="16506" l="1"/>
  <c r="EH42" i="16506" s="1"/>
  <c r="EG32" i="16506"/>
  <c r="BY41" i="16506"/>
  <c r="EH41" i="16506"/>
  <c r="BZ42" i="16506" l="1"/>
  <c r="CA42" i="16506" s="1"/>
  <c r="EK42" i="16506" s="1"/>
  <c r="EH32" i="16506"/>
  <c r="EI41" i="16506"/>
  <c r="BZ41" i="16506"/>
  <c r="CB42" i="16506" l="1"/>
  <c r="CC42" i="16506" s="1"/>
  <c r="EM42" i="16506" s="1"/>
  <c r="EJ42" i="16506"/>
  <c r="EI32" i="16506"/>
  <c r="CA41" i="16506"/>
  <c r="CB41" i="16506" s="1"/>
  <c r="EJ41" i="16506"/>
  <c r="CD42" i="16506" l="1"/>
  <c r="EN42" i="16506" s="1"/>
  <c r="EL42" i="16506"/>
  <c r="EJ32" i="16506"/>
  <c r="EL41" i="16506"/>
  <c r="EK41" i="16506"/>
  <c r="CC41" i="16506"/>
  <c r="EM41" i="16506" s="1"/>
  <c r="CE42" i="16506" l="1"/>
  <c r="CF42" i="16506" s="1"/>
  <c r="EP42" i="16506" s="1"/>
  <c r="EM32" i="16506"/>
  <c r="EL32" i="16506"/>
  <c r="EK32" i="16506"/>
  <c r="CD41" i="16506"/>
  <c r="EO42" i="16506" l="1"/>
  <c r="CG42" i="16506"/>
  <c r="CH42" i="16506" s="1"/>
  <c r="ER42" i="16506" s="1"/>
  <c r="CE41" i="16506"/>
  <c r="EO41" i="16506" s="1"/>
  <c r="EN41" i="16506"/>
  <c r="EQ42" i="16506" l="1"/>
  <c r="CI42" i="16506"/>
  <c r="ES42" i="16506" s="1"/>
  <c r="EN32" i="16506"/>
  <c r="EO32" i="16506"/>
  <c r="CF41" i="16506"/>
  <c r="CJ42" i="16506" l="1"/>
  <c r="ET42" i="16506" s="1"/>
  <c r="CG41" i="16506"/>
  <c r="EQ41" i="16506" s="1"/>
  <c r="EP41" i="16506"/>
  <c r="CK42" i="16506" l="1"/>
  <c r="EU42" i="16506" s="1"/>
  <c r="EQ32" i="16506"/>
  <c r="EP32" i="16506"/>
  <c r="CH41" i="16506"/>
  <c r="CI41" i="16506" s="1"/>
  <c r="CJ41" i="16506" s="1"/>
  <c r="ET41" i="16506" s="1"/>
  <c r="CL42" i="16506" l="1"/>
  <c r="EV42" i="16506" s="1"/>
  <c r="ET32" i="16506"/>
  <c r="ER41" i="16506"/>
  <c r="ES41" i="16506"/>
  <c r="CK41" i="16506"/>
  <c r="CM42" i="16506" l="1"/>
  <c r="EW42" i="16506" s="1"/>
  <c r="ES32" i="16506"/>
  <c r="ER32" i="16506"/>
  <c r="CL41" i="16506"/>
  <c r="EV41" i="16506" s="1"/>
  <c r="EU41" i="16506"/>
  <c r="CN42" i="16506" l="1"/>
  <c r="EX42" i="16506" s="1"/>
  <c r="EU32" i="16506"/>
  <c r="EV32" i="16506"/>
  <c r="CM41" i="16506"/>
  <c r="CN41" i="16506" s="1"/>
  <c r="CO41" i="16506" s="1"/>
  <c r="CO42" i="16506" l="1"/>
  <c r="EY42" i="16506" s="1"/>
  <c r="EW41" i="16506"/>
  <c r="EY41" i="16506"/>
  <c r="EX41" i="16506"/>
  <c r="CP41" i="16506"/>
  <c r="CQ41" i="16506" s="1"/>
  <c r="CP42" i="16506" l="1"/>
  <c r="CQ42" i="16506" s="1"/>
  <c r="FA42" i="16506" s="1"/>
  <c r="EX32" i="16506"/>
  <c r="EY32" i="16506"/>
  <c r="EW32" i="16506"/>
  <c r="FA41" i="16506"/>
  <c r="EZ41" i="16506"/>
  <c r="CR41" i="16506"/>
  <c r="EZ42" i="16506" l="1"/>
  <c r="EZ32" i="16506" s="1"/>
  <c r="CR42" i="16506"/>
  <c r="FB42" i="16506" s="1"/>
  <c r="FA32" i="16506"/>
  <c r="FB41" i="16506"/>
  <c r="CS41" i="16506"/>
  <c r="CT41" i="16506" s="1"/>
  <c r="CS42" i="16506" l="1"/>
  <c r="FC42" i="16506" s="1"/>
  <c r="FB32" i="16506"/>
  <c r="FD41" i="16506"/>
  <c r="FC41" i="16506"/>
  <c r="CU41" i="16506"/>
  <c r="CV41" i="16506" s="1"/>
  <c r="FF41" i="16506" s="1"/>
  <c r="CT42" i="16506" l="1"/>
  <c r="FD42" i="16506" s="1"/>
  <c r="FD32" i="16506" s="1"/>
  <c r="FC32" i="16506"/>
  <c r="FE41" i="16506"/>
  <c r="CW41" i="16506"/>
  <c r="CU42" i="16506" l="1"/>
  <c r="FE42" i="16506" s="1"/>
  <c r="FE32" i="16506" s="1"/>
  <c r="FG41" i="16506"/>
  <c r="CX41" i="16506"/>
  <c r="FH41" i="16506" s="1"/>
  <c r="CV42" i="16506" l="1"/>
  <c r="FF42" i="16506" s="1"/>
  <c r="CY41" i="16506"/>
  <c r="FI41" i="16506" s="1"/>
  <c r="CW42" i="16506" l="1"/>
  <c r="FG42" i="16506" s="1"/>
  <c r="FF32" i="16506"/>
  <c r="CX42" i="16506" l="1"/>
  <c r="FH42" i="16506" s="1"/>
  <c r="FG32" i="16506"/>
  <c r="CY42" i="16506" l="1"/>
  <c r="FI42" i="16506" s="1"/>
  <c r="FI32" i="16506" s="1"/>
  <c r="FH32" i="16506"/>
  <c r="I32" i="16506" l="1"/>
  <c r="T36" i="16516" l="1"/>
  <c r="V36" i="16516" s="1"/>
  <c r="X36" i="16516" s="1"/>
  <c r="ER36" i="16516"/>
  <c r="ET36" i="16516" s="1"/>
  <c r="EV36" i="16516" s="1"/>
  <c r="CN36" i="16516"/>
  <c r="CP36" i="16516" s="1"/>
  <c r="CR36" i="16516" s="1"/>
  <c r="BH36" i="16516"/>
  <c r="BJ36" i="16516" s="1"/>
  <c r="BL36" i="16516" s="1"/>
  <c r="AZ36" i="16516"/>
  <c r="BB36" i="16516" s="1"/>
  <c r="BD36" i="16516" s="1"/>
  <c r="HD36" i="16516"/>
  <c r="HF36" i="16516" s="1"/>
  <c r="HH36" i="16516" s="1"/>
  <c r="K36" i="16516"/>
  <c r="M36" i="16516" s="1"/>
  <c r="O36" i="16516" s="1"/>
  <c r="AZ34" i="16516"/>
  <c r="BB34" i="16516" s="1"/>
  <c r="BB35" i="16516" s="1"/>
  <c r="BD35" i="16516" s="1"/>
  <c r="BH34" i="16516"/>
  <c r="BJ34" i="16516" s="1"/>
  <c r="CN34" i="16516"/>
  <c r="CP34" i="16516" s="1"/>
  <c r="HD34" i="16516"/>
  <c r="HF34" i="16516" s="1"/>
  <c r="K34" i="16516"/>
  <c r="M34" i="16516" s="1"/>
  <c r="T34" i="16516"/>
  <c r="V34" i="16516" s="1"/>
  <c r="V35" i="16516" s="1"/>
  <c r="X35" i="16516" s="1"/>
  <c r="ER34" i="16516"/>
  <c r="ET34" i="16516" s="1"/>
  <c r="BD34" i="16516" l="1"/>
  <c r="ET35" i="16516"/>
  <c r="EV35" i="16516" s="1"/>
  <c r="EV34" i="16516"/>
  <c r="M35" i="16516"/>
  <c r="O35" i="16516" s="1"/>
  <c r="O34" i="16516"/>
  <c r="BJ35" i="16516"/>
  <c r="BL35" i="16516" s="1"/>
  <c r="BL34" i="16516"/>
  <c r="HF35" i="16516"/>
  <c r="HH35" i="16516" s="1"/>
  <c r="HH34" i="16516"/>
  <c r="CP35" i="16516"/>
  <c r="CR35" i="16516" s="1"/>
  <c r="CR34" i="16516"/>
  <c r="X34" i="16516"/>
  <c r="AP218" i="16461" l="1"/>
  <c r="AJ45" i="16501" l="1"/>
  <c r="AF22" i="16507" l="1"/>
  <c r="AJ23" i="16501"/>
  <c r="L88" i="16506" l="1"/>
  <c r="AR85" i="16457"/>
  <c r="DD85" i="16457" s="1"/>
  <c r="AQ88" i="16506" l="1"/>
  <c r="M88" i="16506"/>
  <c r="AS85" i="16457"/>
  <c r="DE85" i="16457" s="1"/>
  <c r="N88" i="16506" l="1"/>
  <c r="AT85" i="16457"/>
  <c r="DF85" i="16457" s="1"/>
  <c r="DA88" i="16506"/>
  <c r="AR88" i="16506"/>
  <c r="DB88" i="16506" s="1"/>
  <c r="AS88" i="16506" l="1"/>
  <c r="DC88" i="16506" s="1"/>
  <c r="O88" i="16506"/>
  <c r="AU85" i="16457"/>
  <c r="DG85" i="16457" s="1"/>
  <c r="P88" i="16506" l="1"/>
  <c r="AV85" i="16457"/>
  <c r="DH85" i="16457" s="1"/>
  <c r="AT88" i="16506"/>
  <c r="DD88" i="16506" s="1"/>
  <c r="AU88" i="16506" l="1"/>
  <c r="DE88" i="16506" s="1"/>
  <c r="AW85" i="16457"/>
  <c r="DI85" i="16457" s="1"/>
  <c r="Q88" i="16506"/>
  <c r="AV88" i="16506" l="1"/>
  <c r="DF88" i="16506" s="1"/>
  <c r="AX85" i="16457"/>
  <c r="DJ85" i="16457" s="1"/>
  <c r="R88" i="16506"/>
  <c r="AW88" i="16506" l="1"/>
  <c r="DG88" i="16506" s="1"/>
  <c r="S88" i="16506"/>
  <c r="AY85" i="16457"/>
  <c r="DK85" i="16457" s="1"/>
  <c r="AX88" i="16506" l="1"/>
  <c r="DH88" i="16506" s="1"/>
  <c r="T88" i="16506"/>
  <c r="AZ85" i="16457"/>
  <c r="DL85" i="16457" s="1"/>
  <c r="U88" i="16506" l="1"/>
  <c r="BA85" i="16457"/>
  <c r="DM85" i="16457" s="1"/>
  <c r="AY88" i="16506"/>
  <c r="DI88" i="16506" s="1"/>
  <c r="AZ88" i="16506" l="1"/>
  <c r="DJ88" i="16506" s="1"/>
  <c r="BB85" i="16457"/>
  <c r="DN85" i="16457" s="1"/>
  <c r="V88" i="16506"/>
  <c r="BA88" i="16506" l="1"/>
  <c r="DK88" i="16506" s="1"/>
  <c r="BC85" i="16457"/>
  <c r="DO85" i="16457" s="1"/>
  <c r="W88" i="16506"/>
  <c r="BD85" i="16457" l="1"/>
  <c r="DP85" i="16457" s="1"/>
  <c r="X88" i="16506"/>
  <c r="BB88" i="16506"/>
  <c r="DL88" i="16506" s="1"/>
  <c r="Y88" i="16506" l="1"/>
  <c r="BE85" i="16457"/>
  <c r="DQ85" i="16457" s="1"/>
  <c r="BC88" i="16506"/>
  <c r="DM88" i="16506" s="1"/>
  <c r="BD88" i="16506" l="1"/>
  <c r="DN88" i="16506" s="1"/>
  <c r="BF85" i="16457"/>
  <c r="DR85" i="16457" s="1"/>
  <c r="Z88" i="16506"/>
  <c r="BE88" i="16506" s="1"/>
  <c r="DO88" i="16506" s="1"/>
  <c r="BG85" i="16457" l="1"/>
  <c r="DS85" i="16457" s="1"/>
  <c r="AA88" i="16506"/>
  <c r="BF88" i="16506" l="1"/>
  <c r="DP88" i="16506" s="1"/>
  <c r="AB88" i="16506"/>
  <c r="BH85" i="16457"/>
  <c r="DT85" i="16457" s="1"/>
  <c r="BG88" i="16506" l="1"/>
  <c r="DQ88" i="16506" s="1"/>
  <c r="BI85" i="16457"/>
  <c r="DU85" i="16457" s="1"/>
  <c r="AC88" i="16506"/>
  <c r="BJ85" i="16457" l="1"/>
  <c r="DV85" i="16457" s="1"/>
  <c r="AD88" i="16506"/>
  <c r="BI88" i="16506" s="1"/>
  <c r="DS88" i="16506" s="1"/>
  <c r="BH88" i="16506"/>
  <c r="DR88" i="16506" s="1"/>
  <c r="AE88" i="16506" l="1"/>
  <c r="BJ88" i="16506" s="1"/>
  <c r="DT88" i="16506" s="1"/>
  <c r="BK85" i="16457"/>
  <c r="DW85" i="16457" s="1"/>
  <c r="AF88" i="16506" l="1"/>
  <c r="BK88" i="16506" s="1"/>
  <c r="DU88" i="16506" s="1"/>
  <c r="BL85" i="16457"/>
  <c r="DX85" i="16457" s="1"/>
  <c r="AG88" i="16506" l="1"/>
  <c r="BL88" i="16506" s="1"/>
  <c r="DV88" i="16506" s="1"/>
  <c r="BM85" i="16457"/>
  <c r="DY85" i="16457" s="1"/>
  <c r="AH88" i="16506" l="1"/>
  <c r="BM88" i="16506" s="1"/>
  <c r="DW88" i="16506" s="1"/>
  <c r="BN85" i="16457"/>
  <c r="DZ85" i="16457" s="1"/>
  <c r="AI88" i="16506" l="1"/>
  <c r="BN88" i="16506" s="1"/>
  <c r="DX88" i="16506" s="1"/>
  <c r="BO85" i="16457"/>
  <c r="EA85" i="16457" s="1"/>
  <c r="AJ88" i="16506" l="1"/>
  <c r="BP85" i="16457"/>
  <c r="EB85" i="16457" s="1"/>
  <c r="AK88" i="16506" l="1"/>
  <c r="BQ85" i="16457"/>
  <c r="EC85" i="16457" s="1"/>
  <c r="BR85" i="16457" l="1"/>
  <c r="ED85" i="16457" s="1"/>
  <c r="AL88" i="16506"/>
  <c r="AM88" i="16506" l="1"/>
  <c r="BS85" i="16457"/>
  <c r="EE85" i="16457" s="1"/>
  <c r="BT85" i="16457" l="1"/>
  <c r="EF85" i="16457" s="1"/>
  <c r="AN88" i="16506"/>
  <c r="BU85" i="16457" l="1"/>
  <c r="EG85" i="16457" s="1"/>
  <c r="AO88" i="16506"/>
  <c r="AQ85" i="16457" l="1"/>
  <c r="DC85" i="16457" s="1"/>
  <c r="BT88" i="16506"/>
  <c r="ED88" i="16506" s="1"/>
  <c r="BV88" i="16506"/>
  <c r="EF88" i="16506" s="1"/>
  <c r="BW88" i="16506" l="1"/>
  <c r="BX88" i="16506" s="1"/>
  <c r="EH88" i="16506" s="1"/>
  <c r="BY88" i="16506" l="1"/>
  <c r="EG88" i="16506"/>
  <c r="BZ88" i="16506" l="1"/>
  <c r="EI88" i="16506"/>
  <c r="CA88" i="16506" l="1"/>
  <c r="EK88" i="16506" s="1"/>
  <c r="EJ88" i="16506"/>
  <c r="CB88" i="16506" l="1"/>
  <c r="CC88" i="16506" s="1"/>
  <c r="EM88" i="16506" s="1"/>
  <c r="CD88" i="16506" l="1"/>
  <c r="EN88" i="16506" s="1"/>
  <c r="EL88" i="16506"/>
  <c r="CE88" i="16506" l="1"/>
  <c r="EO88" i="16506" l="1"/>
  <c r="CF88" i="16506"/>
  <c r="EP88" i="16506" l="1"/>
  <c r="CG88" i="16506"/>
  <c r="CH88" i="16506" l="1"/>
  <c r="EQ88" i="16506"/>
  <c r="CI88" i="16506" l="1"/>
  <c r="ER88" i="16506"/>
  <c r="CJ88" i="16506" l="1"/>
  <c r="ES88" i="16506"/>
  <c r="CK88" i="16506" l="1"/>
  <c r="ET88" i="16506"/>
  <c r="CL88" i="16506" l="1"/>
  <c r="EU88" i="16506"/>
  <c r="CM88" i="16506" l="1"/>
  <c r="EV88" i="16506"/>
  <c r="CN88" i="16506" l="1"/>
  <c r="EW88" i="16506"/>
  <c r="CO88" i="16506" l="1"/>
  <c r="EX88" i="16506"/>
  <c r="CP88" i="16506" l="1"/>
  <c r="EY88" i="16506"/>
  <c r="CQ88" i="16506" l="1"/>
  <c r="EZ88" i="16506"/>
  <c r="CR88" i="16506" l="1"/>
  <c r="FA88" i="16506"/>
  <c r="CS88" i="16506" l="1"/>
  <c r="FB88" i="16506"/>
  <c r="CT88" i="16506" l="1"/>
  <c r="FC88" i="16506"/>
  <c r="CU88" i="16506" l="1"/>
  <c r="FD88" i="16506"/>
  <c r="CV88" i="16506" l="1"/>
  <c r="FE88" i="16506"/>
  <c r="CW88" i="16506" l="1"/>
  <c r="FF88" i="16506"/>
  <c r="CX88" i="16506" l="1"/>
  <c r="FG88" i="16506"/>
  <c r="CY88" i="16506" l="1"/>
  <c r="FI88" i="16506" s="1"/>
  <c r="FH88" i="16506"/>
  <c r="H30" i="16513" l="1"/>
  <c r="J30" i="16513"/>
  <c r="I30" i="16513"/>
  <c r="G30" i="16513"/>
  <c r="H32" i="16513"/>
  <c r="G32" i="16513"/>
  <c r="J32" i="16513"/>
  <c r="I32" i="16513"/>
  <c r="G27" i="16513"/>
  <c r="H27" i="16513"/>
  <c r="I27" i="16513"/>
  <c r="J27" i="16513"/>
  <c r="G29" i="16513" l="1"/>
  <c r="E26" i="16513"/>
  <c r="G31" i="16513"/>
  <c r="I31" i="16513"/>
  <c r="J31" i="16513"/>
  <c r="H31" i="16513"/>
  <c r="I29" i="16513"/>
  <c r="AJ30" i="16513"/>
  <c r="J28" i="16513"/>
  <c r="K28" i="16513"/>
  <c r="K26" i="16513" s="1"/>
  <c r="L28" i="16513"/>
  <c r="L26" i="16513" s="1"/>
  <c r="G28" i="16513"/>
  <c r="H28" i="16513"/>
  <c r="I28" i="16513"/>
  <c r="H29" i="16513"/>
  <c r="AJ32" i="16513"/>
  <c r="J29" i="16513"/>
  <c r="I33" i="16513"/>
  <c r="H33" i="16513"/>
  <c r="J33" i="16513"/>
  <c r="G33" i="16513"/>
  <c r="AJ27" i="16513"/>
  <c r="AQ26" i="16513" l="1"/>
  <c r="AS26" i="16513"/>
  <c r="AR26" i="16513"/>
  <c r="I26" i="16513"/>
  <c r="AO26" i="16513" s="1"/>
  <c r="H26" i="16513"/>
  <c r="AN26" i="16513" s="1"/>
  <c r="AJ33" i="16513"/>
  <c r="J26" i="16513"/>
  <c r="AP26" i="16513" s="1"/>
  <c r="AJ29" i="16513"/>
  <c r="G26" i="16513"/>
  <c r="AJ28" i="16513"/>
  <c r="AJ31" i="16513"/>
  <c r="AM26" i="16513" l="1"/>
  <c r="BP26" i="16513" s="1"/>
  <c r="AJ26" i="16513"/>
  <c r="M6" i="16528" l="1"/>
  <c r="M15" i="16528" s="1"/>
  <c r="I45" i="16459" s="1"/>
  <c r="I58" i="16459" l="1"/>
  <c r="I119" i="16459"/>
  <c r="I173" i="16459"/>
  <c r="I174" i="16459"/>
  <c r="I151" i="16459"/>
  <c r="I27" i="16459"/>
  <c r="I28" i="16459"/>
  <c r="I85" i="16459"/>
  <c r="I41" i="16459"/>
  <c r="I84" i="16459"/>
  <c r="I136" i="16459"/>
  <c r="I172" i="16459"/>
  <c r="I66" i="16459"/>
  <c r="I99" i="16459"/>
  <c r="I171" i="16459"/>
  <c r="I74" i="16459"/>
  <c r="I147" i="16459"/>
  <c r="I162" i="16459"/>
  <c r="I104" i="16459"/>
  <c r="I77" i="16459"/>
  <c r="I61" i="16459"/>
  <c r="I156" i="16459"/>
  <c r="I132" i="16459"/>
  <c r="I11" i="16459"/>
  <c r="I12" i="16459"/>
  <c r="I51" i="16459"/>
  <c r="I64" i="16459"/>
  <c r="I47" i="16459"/>
  <c r="I157" i="16459"/>
  <c r="I186" i="16459"/>
  <c r="I26" i="16459"/>
  <c r="I88" i="16459"/>
  <c r="I184" i="16459"/>
  <c r="I49" i="16459"/>
  <c r="I116" i="16459"/>
  <c r="I135" i="16459"/>
  <c r="I160" i="16459"/>
  <c r="I166" i="16459"/>
  <c r="I117" i="16459"/>
  <c r="I34" i="16459"/>
  <c r="I35" i="16459"/>
  <c r="I114" i="16459"/>
  <c r="I82" i="16459"/>
  <c r="I31" i="16459"/>
  <c r="I53" i="16459"/>
  <c r="I79" i="16459"/>
  <c r="I149" i="16459"/>
  <c r="I120" i="16459"/>
  <c r="I22" i="16459"/>
  <c r="I177" i="16459"/>
  <c r="I20" i="16459"/>
  <c r="I188" i="16459"/>
  <c r="I140" i="16459"/>
  <c r="I144" i="16459"/>
  <c r="I141" i="16459"/>
  <c r="I181" i="16459"/>
  <c r="I155" i="16459"/>
  <c r="I153" i="16459"/>
  <c r="I122" i="16459"/>
  <c r="I48" i="16459"/>
  <c r="I29" i="16459"/>
  <c r="I105" i="16459"/>
  <c r="I62" i="16459"/>
  <c r="I59" i="16459"/>
  <c r="I146" i="16459"/>
  <c r="I131" i="16459"/>
  <c r="I15" i="16459"/>
  <c r="I111" i="16459"/>
  <c r="I112" i="16459"/>
  <c r="I109" i="16459"/>
  <c r="I142" i="16459"/>
  <c r="I115" i="16459"/>
  <c r="I30" i="16459"/>
  <c r="I10" i="16459"/>
  <c r="I161" i="16459"/>
  <c r="I124" i="16459"/>
  <c r="I94" i="16459"/>
  <c r="I163" i="16459"/>
  <c r="I40" i="16459"/>
  <c r="I183" i="16459"/>
  <c r="I158" i="16459"/>
  <c r="I96" i="16459"/>
  <c r="I98" i="16459"/>
  <c r="I169" i="16459"/>
  <c r="I86" i="16459"/>
  <c r="I14" i="16459"/>
  <c r="I81" i="16459"/>
  <c r="I176" i="16459"/>
  <c r="I55" i="16459"/>
  <c r="I137" i="16459"/>
  <c r="I71" i="16459"/>
  <c r="I17" i="16459"/>
  <c r="I167" i="16459"/>
  <c r="I134" i="16459"/>
  <c r="I18" i="16459"/>
  <c r="I75" i="16459"/>
  <c r="I179" i="16459"/>
  <c r="I25" i="16459"/>
  <c r="I37" i="16459"/>
  <c r="I110" i="16459"/>
  <c r="I159" i="16459"/>
  <c r="I189" i="16459"/>
  <c r="I38" i="16459"/>
  <c r="I33" i="16459"/>
  <c r="I69" i="16459"/>
  <c r="I44" i="16459"/>
  <c r="I101" i="16459"/>
  <c r="I190" i="16459"/>
  <c r="I87" i="16459"/>
  <c r="I164" i="16459"/>
  <c r="I65" i="16459"/>
  <c r="I165" i="16459"/>
  <c r="I89" i="16459"/>
  <c r="I93" i="16459"/>
  <c r="I138" i="16459"/>
  <c r="I23" i="16459"/>
  <c r="I24" i="16459"/>
  <c r="I70" i="16459"/>
  <c r="I56" i="16459"/>
  <c r="I152" i="16459"/>
  <c r="I180" i="16459"/>
  <c r="I113" i="16459"/>
  <c r="I54" i="16459"/>
  <c r="I123" i="16459"/>
  <c r="I19" i="16459"/>
  <c r="I133" i="16459"/>
  <c r="I80" i="16459"/>
  <c r="I154" i="16459"/>
  <c r="I52" i="16459"/>
  <c r="I78" i="16459"/>
  <c r="I187" i="16459"/>
  <c r="I39" i="16459"/>
  <c r="I126" i="16459"/>
  <c r="I9" i="16459"/>
  <c r="I100" i="16459"/>
  <c r="I106" i="16459"/>
  <c r="I13" i="16459"/>
  <c r="I102" i="16459"/>
  <c r="I76" i="16459"/>
  <c r="I68" i="16459"/>
  <c r="I127" i="16459"/>
  <c r="I108" i="16459"/>
  <c r="I36" i="16459"/>
  <c r="I185" i="16459"/>
  <c r="I178" i="16459"/>
  <c r="I67" i="16459"/>
  <c r="I90" i="16459"/>
  <c r="I21" i="16459"/>
  <c r="I97" i="16459"/>
  <c r="I143" i="16459"/>
  <c r="I32" i="16459"/>
  <c r="I46" i="16459"/>
  <c r="I16" i="16459"/>
  <c r="I145" i="16459"/>
  <c r="I118" i="16459"/>
  <c r="I129" i="16459"/>
  <c r="I125" i="16459"/>
  <c r="I60" i="16459"/>
  <c r="I107" i="16459"/>
  <c r="I121" i="16459"/>
  <c r="I91" i="16459"/>
  <c r="I57" i="16459"/>
  <c r="I72" i="16459"/>
  <c r="I139" i="16459"/>
  <c r="I92" i="16459"/>
  <c r="I150" i="16459"/>
  <c r="I148" i="16459"/>
  <c r="I43" i="16459"/>
  <c r="I175" i="16459"/>
  <c r="I42" i="16459"/>
  <c r="I128" i="16459"/>
  <c r="I73" i="16459"/>
  <c r="I168" i="16459"/>
  <c r="I50" i="16459"/>
  <c r="I130" i="16459"/>
  <c r="I103" i="16459"/>
  <c r="I182" i="16459"/>
  <c r="I95" i="16459"/>
  <c r="I83" i="16459"/>
  <c r="I63" i="16459"/>
  <c r="I170" i="16459"/>
  <c r="J12" i="16508" l="1"/>
  <c r="J11" i="16508"/>
  <c r="J13" i="16508"/>
  <c r="J10" i="16508" l="1"/>
  <c r="J70" i="16508" s="1"/>
  <c r="J427" i="16508" s="1"/>
  <c r="BW57" i="16513" s="1"/>
  <c r="BR57" i="16513" s="1"/>
  <c r="BS57" i="16513" l="1"/>
  <c r="E57" i="16513" s="1"/>
  <c r="AF57" i="16513" l="1"/>
  <c r="AC11" i="16511" s="1"/>
  <c r="AC18" i="16511" s="1"/>
  <c r="AB57" i="16513"/>
  <c r="Y11" i="16511" s="1"/>
  <c r="Y18" i="16511" s="1"/>
  <c r="X57" i="16513"/>
  <c r="U11" i="16511" s="1"/>
  <c r="U18" i="16511" s="1"/>
  <c r="T57" i="16513"/>
  <c r="Q11" i="16511" s="1"/>
  <c r="Q18" i="16511" s="1"/>
  <c r="P57" i="16513"/>
  <c r="M11" i="16511" s="1"/>
  <c r="M18" i="16511" s="1"/>
  <c r="L57" i="16513"/>
  <c r="I11" i="16511" s="1"/>
  <c r="I18" i="16511" s="1"/>
  <c r="H57" i="16513"/>
  <c r="E11" i="16511" s="1"/>
  <c r="E18" i="16511" s="1"/>
  <c r="AI57" i="16513"/>
  <c r="AF11" i="16511" s="1"/>
  <c r="AF18" i="16511" s="1"/>
  <c r="AE57" i="16513"/>
  <c r="AB11" i="16511" s="1"/>
  <c r="AB18" i="16511" s="1"/>
  <c r="AA57" i="16513"/>
  <c r="X11" i="16511" s="1"/>
  <c r="X18" i="16511" s="1"/>
  <c r="W57" i="16513"/>
  <c r="T11" i="16511" s="1"/>
  <c r="T18" i="16511" s="1"/>
  <c r="S57" i="16513"/>
  <c r="P11" i="16511" s="1"/>
  <c r="P18" i="16511" s="1"/>
  <c r="O57" i="16513"/>
  <c r="L11" i="16511" s="1"/>
  <c r="L18" i="16511" s="1"/>
  <c r="K57" i="16513"/>
  <c r="H11" i="16511" s="1"/>
  <c r="H18" i="16511" s="1"/>
  <c r="G57" i="16513"/>
  <c r="AH57" i="16513"/>
  <c r="AE11" i="16511" s="1"/>
  <c r="AE18" i="16511" s="1"/>
  <c r="AD57" i="16513"/>
  <c r="AA11" i="16511" s="1"/>
  <c r="AA18" i="16511" s="1"/>
  <c r="Z57" i="16513"/>
  <c r="W11" i="16511" s="1"/>
  <c r="W18" i="16511" s="1"/>
  <c r="V57" i="16513"/>
  <c r="S11" i="16511" s="1"/>
  <c r="S18" i="16511" s="1"/>
  <c r="R57" i="16513"/>
  <c r="O11" i="16511" s="1"/>
  <c r="O18" i="16511" s="1"/>
  <c r="N57" i="16513"/>
  <c r="K11" i="16511" s="1"/>
  <c r="K18" i="16511" s="1"/>
  <c r="J57" i="16513"/>
  <c r="G11" i="16511" s="1"/>
  <c r="G18" i="16511" s="1"/>
  <c r="F57" i="16513"/>
  <c r="C11" i="16511" s="1"/>
  <c r="AG57" i="16513"/>
  <c r="AD11" i="16511" s="1"/>
  <c r="AD18" i="16511" s="1"/>
  <c r="AC57" i="16513"/>
  <c r="Z11" i="16511" s="1"/>
  <c r="Z18" i="16511" s="1"/>
  <c r="Y57" i="16513"/>
  <c r="V11" i="16511" s="1"/>
  <c r="V18" i="16511" s="1"/>
  <c r="U57" i="16513"/>
  <c r="R11" i="16511" s="1"/>
  <c r="R18" i="16511" s="1"/>
  <c r="Q57" i="16513"/>
  <c r="N11" i="16511" s="1"/>
  <c r="N18" i="16511" s="1"/>
  <c r="M57" i="16513"/>
  <c r="J11" i="16511" s="1"/>
  <c r="J18" i="16511" s="1"/>
  <c r="I57" i="16513"/>
  <c r="F11" i="16511" s="1"/>
  <c r="F18" i="16511" s="1"/>
  <c r="D11" i="16511"/>
  <c r="D18" i="16511" s="1"/>
  <c r="AJ57" i="16513" l="1"/>
  <c r="B11" i="16511"/>
  <c r="AH11" i="16511" s="1"/>
  <c r="C18" i="16511"/>
  <c r="B18" i="16511" s="1"/>
  <c r="F40" i="16513" l="1"/>
  <c r="F38" i="16513" s="1"/>
  <c r="AH40" i="16513"/>
  <c r="AH38" i="16513" s="1"/>
  <c r="V40" i="16513"/>
  <c r="V38" i="16513" s="1"/>
  <c r="T40" i="16513"/>
  <c r="T38" i="16513" s="1"/>
  <c r="X40" i="16513"/>
  <c r="X38" i="16513" s="1"/>
  <c r="N40" i="16513"/>
  <c r="N38" i="16513" s="1"/>
  <c r="Y40" i="16513"/>
  <c r="Y38" i="16513" s="1"/>
  <c r="I40" i="16513"/>
  <c r="I38" i="16513" s="1"/>
  <c r="AE40" i="16513"/>
  <c r="AE38" i="16513" s="1"/>
  <c r="K40" i="16513"/>
  <c r="K38" i="16513" s="1"/>
  <c r="Q40" i="16513"/>
  <c r="Q38" i="16513" s="1"/>
  <c r="G40" i="16513"/>
  <c r="G38" i="16513" s="1"/>
  <c r="AB40" i="16513"/>
  <c r="AB38" i="16513" s="1"/>
  <c r="AA40" i="16513"/>
  <c r="AA38" i="16513" s="1"/>
  <c r="Z40" i="16513"/>
  <c r="Z38" i="16513" s="1"/>
  <c r="R40" i="16513"/>
  <c r="R38" i="16513" s="1"/>
  <c r="M40" i="16513"/>
  <c r="P40" i="16513"/>
  <c r="P38" i="16513" s="1"/>
  <c r="E38" i="16513"/>
  <c r="O40" i="16513"/>
  <c r="O38" i="16513" s="1"/>
  <c r="L40" i="16513"/>
  <c r="L38" i="16513" s="1"/>
  <c r="S40" i="16513"/>
  <c r="S38" i="16513" s="1"/>
  <c r="J40" i="16513"/>
  <c r="J38" i="16513" s="1"/>
  <c r="U40" i="16513"/>
  <c r="U38" i="16513" s="1"/>
  <c r="H40" i="16513"/>
  <c r="H38" i="16513" s="1"/>
  <c r="W40" i="16513"/>
  <c r="W38" i="16513" s="1"/>
  <c r="AF40" i="16513"/>
  <c r="AF38" i="16513" s="1"/>
  <c r="AI40" i="16513"/>
  <c r="AI38" i="16513" s="1"/>
  <c r="BO38" i="16513" s="1"/>
  <c r="AG40" i="16513"/>
  <c r="AG38" i="16513" s="1"/>
  <c r="AD40" i="16513"/>
  <c r="AD38" i="16513" s="1"/>
  <c r="AC40" i="16513"/>
  <c r="AC38" i="16513" s="1"/>
  <c r="AL38" i="16513"/>
  <c r="M38" i="16513"/>
  <c r="BK38" i="16513" l="1"/>
  <c r="AN38" i="16513"/>
  <c r="BA38" i="16513"/>
  <c r="AM38" i="16513"/>
  <c r="BF38" i="16513"/>
  <c r="AQ38" i="16513"/>
  <c r="AJ40" i="16513"/>
  <c r="BC38" i="16513"/>
  <c r="AV38" i="16513"/>
  <c r="BN38" i="16513"/>
  <c r="BH38" i="16513"/>
  <c r="BG38" i="16513"/>
  <c r="AR38" i="16513"/>
  <c r="BJ38" i="16513"/>
  <c r="BB38" i="16513"/>
  <c r="AU38" i="16513"/>
  <c r="AY38" i="16513"/>
  <c r="AZ38" i="16513"/>
  <c r="BL38" i="16513"/>
  <c r="BD38" i="16513"/>
  <c r="AO38" i="16513"/>
  <c r="AJ38" i="16513"/>
  <c r="AX38" i="16513"/>
  <c r="AS38" i="16513"/>
  <c r="BE38" i="16513"/>
  <c r="BM38" i="16513"/>
  <c r="AP38" i="16513"/>
  <c r="BI38" i="16513"/>
  <c r="AT38" i="16513"/>
  <c r="AW38" i="16513"/>
  <c r="BP38" i="16513" l="1"/>
  <c r="AF47" i="16513" l="1"/>
  <c r="AB47" i="16513"/>
  <c r="X47" i="16513"/>
  <c r="T47" i="16513"/>
  <c r="T46" i="16513" s="1"/>
  <c r="P47" i="16513"/>
  <c r="P46" i="16513" s="1"/>
  <c r="L47" i="16513"/>
  <c r="L46" i="16513" s="1"/>
  <c r="H47" i="16513"/>
  <c r="H46" i="16513" s="1"/>
  <c r="K47" i="16513"/>
  <c r="K46" i="16513" s="1"/>
  <c r="AH47" i="16513"/>
  <c r="V47" i="16513"/>
  <c r="G47" i="16513"/>
  <c r="AI47" i="16513"/>
  <c r="AI46" i="16513" s="1"/>
  <c r="AE47" i="16513"/>
  <c r="AE46" i="16513" s="1"/>
  <c r="AA47" i="16513"/>
  <c r="AA46" i="16513" s="1"/>
  <c r="W47" i="16513"/>
  <c r="W46" i="16513" s="1"/>
  <c r="S47" i="16513"/>
  <c r="S46" i="16513" s="1"/>
  <c r="O47" i="16513"/>
  <c r="F47" i="16513"/>
  <c r="Z47" i="16513"/>
  <c r="Z46" i="16513" s="1"/>
  <c r="N47" i="16513"/>
  <c r="N46" i="16513" s="1"/>
  <c r="R47" i="16513"/>
  <c r="R46" i="16513" s="1"/>
  <c r="AG47" i="16513"/>
  <c r="AG46" i="16513" s="1"/>
  <c r="AC47" i="16513"/>
  <c r="AC46" i="16513" s="1"/>
  <c r="Y47" i="16513"/>
  <c r="Y46" i="16513" s="1"/>
  <c r="U47" i="16513"/>
  <c r="Q47" i="16513"/>
  <c r="Q46" i="16513" s="1"/>
  <c r="M47" i="16513"/>
  <c r="M46" i="16513" s="1"/>
  <c r="I47" i="16513"/>
  <c r="I46" i="16513" s="1"/>
  <c r="AD47" i="16513"/>
  <c r="AD46" i="16513" s="1"/>
  <c r="J47" i="16513"/>
  <c r="J46" i="16513" s="1"/>
  <c r="E46" i="16513"/>
  <c r="AF46" i="16513"/>
  <c r="U46" i="16513"/>
  <c r="V46" i="16513"/>
  <c r="AB46" i="16513"/>
  <c r="AH46" i="16513"/>
  <c r="O46" i="16513"/>
  <c r="X46" i="16513"/>
  <c r="K69" i="16513" l="1"/>
  <c r="F46" i="16513"/>
  <c r="AL46" i="16513" s="1"/>
  <c r="AJ47" i="16513"/>
  <c r="Z69" i="16513"/>
  <c r="P69" i="16513"/>
  <c r="AE69" i="16513"/>
  <c r="U69" i="16513"/>
  <c r="G46" i="16513"/>
  <c r="BD46" i="16513"/>
  <c r="BE46" i="16513"/>
  <c r="AO46" i="16513"/>
  <c r="AU46" i="16513"/>
  <c r="BA46" i="16513"/>
  <c r="BB46" i="16513"/>
  <c r="AZ46" i="16513"/>
  <c r="AQ46" i="16513"/>
  <c r="BK46" i="16513"/>
  <c r="AW46" i="16513"/>
  <c r="BG46" i="16513"/>
  <c r="AS46" i="16513"/>
  <c r="BF46" i="16513"/>
  <c r="BN46" i="16513"/>
  <c r="BO46" i="16513"/>
  <c r="AT46" i="16513"/>
  <c r="BC46" i="16513"/>
  <c r="BM46" i="16513"/>
  <c r="AN46" i="16513"/>
  <c r="BI46" i="16513"/>
  <c r="AP46" i="16513"/>
  <c r="BL46" i="16513"/>
  <c r="AY46" i="16513"/>
  <c r="AR46" i="16513"/>
  <c r="AX46" i="16513"/>
  <c r="AV46" i="16513"/>
  <c r="BH46" i="16513"/>
  <c r="BJ46" i="16513"/>
  <c r="AM46" i="16513" l="1"/>
  <c r="BP46" i="16513" s="1"/>
  <c r="AJ46" i="16513"/>
  <c r="K67" i="16513"/>
  <c r="U67" i="16513"/>
  <c r="Z67" i="16513"/>
  <c r="P67" i="16513"/>
  <c r="AE67" i="16513"/>
  <c r="M108" i="16506" l="1"/>
  <c r="AS105" i="16457"/>
  <c r="AT105" i="16457" l="1"/>
  <c r="N108" i="16506"/>
  <c r="AS103" i="16457"/>
  <c r="DE103" i="16457" s="1"/>
  <c r="DE105" i="16457"/>
  <c r="AR108" i="16506"/>
  <c r="DB108" i="16506" s="1"/>
  <c r="AU105" i="16457" l="1"/>
  <c r="O108" i="16506"/>
  <c r="DB106" i="16506"/>
  <c r="AS108" i="16506"/>
  <c r="DC108" i="16506" s="1"/>
  <c r="AT103" i="16457"/>
  <c r="DF103" i="16457" s="1"/>
  <c r="DF105" i="16457"/>
  <c r="AT108" i="16506" l="1"/>
  <c r="DD108" i="16506" s="1"/>
  <c r="AU103" i="16457"/>
  <c r="DG103" i="16457" s="1"/>
  <c r="DG105" i="16457"/>
  <c r="AV105" i="16457"/>
  <c r="P108" i="16506"/>
  <c r="DC106" i="16506"/>
  <c r="Q108" i="16506" l="1"/>
  <c r="AW105" i="16457"/>
  <c r="AU108" i="16506"/>
  <c r="DE108" i="16506" s="1"/>
  <c r="DH105" i="16457"/>
  <c r="AV103" i="16457"/>
  <c r="DH103" i="16457" s="1"/>
  <c r="DD106" i="16506"/>
  <c r="AW103" i="16457" l="1"/>
  <c r="DI103" i="16457" s="1"/>
  <c r="DI105" i="16457"/>
  <c r="R108" i="16506"/>
  <c r="AX105" i="16457"/>
  <c r="AV108" i="16506"/>
  <c r="DF108" i="16506" s="1"/>
  <c r="DE106" i="16506"/>
  <c r="AW108" i="16506" l="1"/>
  <c r="DG108" i="16506" s="1"/>
  <c r="DJ105" i="16457"/>
  <c r="AX103" i="16457"/>
  <c r="DJ103" i="16457" s="1"/>
  <c r="S108" i="16506"/>
  <c r="AY105" i="16457"/>
  <c r="DF106" i="16506"/>
  <c r="DK105" i="16457" l="1"/>
  <c r="AY103" i="16457"/>
  <c r="DK103" i="16457" s="1"/>
  <c r="AZ105" i="16457"/>
  <c r="T108" i="16506"/>
  <c r="AX108" i="16506"/>
  <c r="DH108" i="16506" s="1"/>
  <c r="DG106" i="16506"/>
  <c r="AZ103" i="16457" l="1"/>
  <c r="DL103" i="16457" s="1"/>
  <c r="DL105" i="16457"/>
  <c r="AY108" i="16506"/>
  <c r="DI108" i="16506" s="1"/>
  <c r="BA105" i="16457"/>
  <c r="U108" i="16506"/>
  <c r="DH106" i="16506"/>
  <c r="V108" i="16506" l="1"/>
  <c r="BB105" i="16457"/>
  <c r="DI106" i="16506"/>
  <c r="AZ108" i="16506"/>
  <c r="DJ108" i="16506" s="1"/>
  <c r="BA103" i="16457"/>
  <c r="DM103" i="16457" s="1"/>
  <c r="DM105" i="16457"/>
  <c r="BB103" i="16457" l="1"/>
  <c r="DN103" i="16457" s="1"/>
  <c r="DN105" i="16457"/>
  <c r="W108" i="16506"/>
  <c r="BC105" i="16457"/>
  <c r="DJ106" i="16506"/>
  <c r="BA108" i="16506"/>
  <c r="DK108" i="16506" s="1"/>
  <c r="BC103" i="16457" l="1"/>
  <c r="DO103" i="16457" s="1"/>
  <c r="DO105" i="16457"/>
  <c r="BB108" i="16506"/>
  <c r="DL108" i="16506" s="1"/>
  <c r="X108" i="16506"/>
  <c r="BD105" i="16457"/>
  <c r="DK106" i="16506"/>
  <c r="DL106" i="16506" l="1"/>
  <c r="BD103" i="16457"/>
  <c r="DP103" i="16457" s="1"/>
  <c r="DP105" i="16457"/>
  <c r="BE105" i="16457"/>
  <c r="Y108" i="16506"/>
  <c r="BC108" i="16506"/>
  <c r="DM108" i="16506" s="1"/>
  <c r="BF105" i="16457" l="1"/>
  <c r="Z108" i="16506"/>
  <c r="DM106" i="16506"/>
  <c r="BD108" i="16506"/>
  <c r="DN108" i="16506" s="1"/>
  <c r="DQ105" i="16457"/>
  <c r="BE103" i="16457"/>
  <c r="DQ103" i="16457" s="1"/>
  <c r="BF103" i="16457" l="1"/>
  <c r="DR103" i="16457" s="1"/>
  <c r="DR105" i="16457"/>
  <c r="BE108" i="16506"/>
  <c r="DO108" i="16506" s="1"/>
  <c r="BG105" i="16457"/>
  <c r="AA108" i="16506"/>
  <c r="DN106" i="16506"/>
  <c r="DS105" i="16457" l="1"/>
  <c r="BG103" i="16457"/>
  <c r="DS103" i="16457" s="1"/>
  <c r="DO106" i="16506"/>
  <c r="BF108" i="16506"/>
  <c r="DP108" i="16506" s="1"/>
  <c r="AB108" i="16506"/>
  <c r="BH105" i="16457"/>
  <c r="AC108" i="16506" l="1"/>
  <c r="BI105" i="16457"/>
  <c r="BH103" i="16457"/>
  <c r="DT103" i="16457" s="1"/>
  <c r="DT105" i="16457"/>
  <c r="BG108" i="16506"/>
  <c r="DQ108" i="16506" s="1"/>
  <c r="DP106" i="16506"/>
  <c r="DQ106" i="16506" l="1"/>
  <c r="AD108" i="16506"/>
  <c r="BJ105" i="16457"/>
  <c r="DU105" i="16457"/>
  <c r="BI103" i="16457"/>
  <c r="DU103" i="16457" s="1"/>
  <c r="BH108" i="16506"/>
  <c r="DR108" i="16506" s="1"/>
  <c r="DR106" i="16506" l="1"/>
  <c r="BI108" i="16506"/>
  <c r="DS108" i="16506" s="1"/>
  <c r="AE108" i="16506"/>
  <c r="BK105" i="16457"/>
  <c r="BJ103" i="16457"/>
  <c r="DV103" i="16457" s="1"/>
  <c r="DV105" i="16457"/>
  <c r="BK103" i="16457" l="1"/>
  <c r="DW103" i="16457" s="1"/>
  <c r="DW105" i="16457"/>
  <c r="BL105" i="16457"/>
  <c r="AF108" i="16506"/>
  <c r="BJ108" i="16506"/>
  <c r="DT108" i="16506" s="1"/>
  <c r="DS106" i="16506"/>
  <c r="DT106" i="16506" l="1"/>
  <c r="BK108" i="16506"/>
  <c r="DU108" i="16506" s="1"/>
  <c r="BL103" i="16457"/>
  <c r="DX103" i="16457" s="1"/>
  <c r="DX105" i="16457"/>
  <c r="AG108" i="16506"/>
  <c r="BM105" i="16457"/>
  <c r="BM103" i="16457" l="1"/>
  <c r="DY103" i="16457" s="1"/>
  <c r="DY105" i="16457"/>
  <c r="BN105" i="16457"/>
  <c r="AH108" i="16506"/>
  <c r="BL108" i="16506"/>
  <c r="DV108" i="16506" s="1"/>
  <c r="DU106" i="16506"/>
  <c r="BO105" i="16457" l="1"/>
  <c r="AI108" i="16506"/>
  <c r="DV106" i="16506"/>
  <c r="BM108" i="16506"/>
  <c r="DW108" i="16506" s="1"/>
  <c r="BN103" i="16457"/>
  <c r="DZ103" i="16457" s="1"/>
  <c r="DZ105" i="16457"/>
  <c r="DW106" i="16506" l="1"/>
  <c r="BP105" i="16457"/>
  <c r="AJ108" i="16506"/>
  <c r="BN108" i="16506"/>
  <c r="DX108" i="16506" s="1"/>
  <c r="BO103" i="16457"/>
  <c r="EA103" i="16457" s="1"/>
  <c r="EA105" i="16457"/>
  <c r="EB105" i="16457" l="1"/>
  <c r="BP103" i="16457"/>
  <c r="EB103" i="16457" s="1"/>
  <c r="DX106" i="16506"/>
  <c r="AK108" i="16506"/>
  <c r="BQ105" i="16457"/>
  <c r="EC105" i="16457" l="1"/>
  <c r="BQ103" i="16457"/>
  <c r="EC103" i="16457" s="1"/>
  <c r="AL108" i="16506"/>
  <c r="BR105" i="16457"/>
  <c r="ED105" i="16457" l="1"/>
  <c r="BR103" i="16457"/>
  <c r="ED103" i="16457" s="1"/>
  <c r="AM108" i="16506"/>
  <c r="BS105" i="16457"/>
  <c r="BS103" i="16457" l="1"/>
  <c r="EE103" i="16457" s="1"/>
  <c r="EE105" i="16457"/>
  <c r="BT105" i="16457"/>
  <c r="AN108" i="16506"/>
  <c r="EF105" i="16457" l="1"/>
  <c r="BT103" i="16457"/>
  <c r="EF103" i="16457" s="1"/>
  <c r="BU105" i="16457"/>
  <c r="AO108" i="16506"/>
  <c r="BT108" i="16506" l="1"/>
  <c r="BV108" i="16506" s="1"/>
  <c r="BW108" i="16506" s="1"/>
  <c r="EG105" i="16457"/>
  <c r="BU103" i="16457"/>
  <c r="EG103" i="16457" s="1"/>
  <c r="AQ105" i="16457"/>
  <c r="EG108" i="16506" l="1"/>
  <c r="EF108" i="16506"/>
  <c r="ED108" i="16506"/>
  <c r="DC105" i="16457"/>
  <c r="AQ103" i="16457"/>
  <c r="DC103" i="16457" s="1"/>
  <c r="BX108" i="16506"/>
  <c r="BY108" i="16506" l="1"/>
  <c r="EF106" i="16506"/>
  <c r="EH108" i="16506"/>
  <c r="ED106" i="16506"/>
  <c r="EG106" i="16506"/>
  <c r="EH106" i="16506" l="1"/>
  <c r="EI108" i="16506"/>
  <c r="BZ108" i="16506"/>
  <c r="EJ108" i="16506" l="1"/>
  <c r="CA108" i="16506"/>
  <c r="CB108" i="16506" s="1"/>
  <c r="EI106" i="16506"/>
  <c r="EL108" i="16506" l="1"/>
  <c r="CC108" i="16506"/>
  <c r="EK108" i="16506"/>
  <c r="EJ106" i="16506"/>
  <c r="EL106" i="16506" l="1"/>
  <c r="EK106" i="16506"/>
  <c r="EM108" i="16506"/>
  <c r="CD108" i="16506"/>
  <c r="EM106" i="16506" l="1"/>
  <c r="EN108" i="16506"/>
  <c r="CE108" i="16506"/>
  <c r="EN106" i="16506" l="1"/>
  <c r="EO108" i="16506"/>
  <c r="CF108" i="16506"/>
  <c r="EP108" i="16506" l="1"/>
  <c r="CG108" i="16506"/>
  <c r="EO106" i="16506"/>
  <c r="EQ108" i="16506" l="1"/>
  <c r="CH108" i="16506"/>
  <c r="EP106" i="16506"/>
  <c r="ER108" i="16506" l="1"/>
  <c r="CI108" i="16506"/>
  <c r="EQ106" i="16506"/>
  <c r="ES108" i="16506" l="1"/>
  <c r="CJ108" i="16506"/>
  <c r="ER106" i="16506"/>
  <c r="ET108" i="16506" l="1"/>
  <c r="CK108" i="16506"/>
  <c r="ES106" i="16506"/>
  <c r="ET106" i="16506" l="1"/>
  <c r="EU108" i="16506"/>
  <c r="CL108" i="16506"/>
  <c r="EV108" i="16506" l="1"/>
  <c r="CM108" i="16506"/>
  <c r="EU106" i="16506"/>
  <c r="EV106" i="16506" l="1"/>
  <c r="EW108" i="16506"/>
  <c r="CN108" i="16506"/>
  <c r="EX108" i="16506" l="1"/>
  <c r="CO108" i="16506"/>
  <c r="EW106" i="16506"/>
  <c r="EY108" i="16506" l="1"/>
  <c r="CP108" i="16506"/>
  <c r="EX106" i="16506"/>
  <c r="EY106" i="16506" l="1"/>
  <c r="EZ108" i="16506"/>
  <c r="CQ108" i="16506"/>
  <c r="EZ106" i="16506" l="1"/>
  <c r="FA108" i="16506"/>
  <c r="CR108" i="16506"/>
  <c r="FA106" i="16506" l="1"/>
  <c r="FB108" i="16506"/>
  <c r="CS108" i="16506"/>
  <c r="FB106" i="16506" l="1"/>
  <c r="FC108" i="16506"/>
  <c r="CT108" i="16506"/>
  <c r="FC106" i="16506" l="1"/>
  <c r="FD108" i="16506"/>
  <c r="CU108" i="16506"/>
  <c r="FD106" i="16506" l="1"/>
  <c r="FE108" i="16506"/>
  <c r="CV108" i="16506"/>
  <c r="FF108" i="16506" l="1"/>
  <c r="CW108" i="16506"/>
  <c r="FE106" i="16506"/>
  <c r="FF106" i="16506" l="1"/>
  <c r="FG108" i="16506"/>
  <c r="CX108" i="16506"/>
  <c r="FH108" i="16506" l="1"/>
  <c r="CY108" i="16506"/>
  <c r="FI108" i="16506" s="1"/>
  <c r="FG106" i="16506"/>
  <c r="FH106" i="16506" l="1"/>
  <c r="FI106" i="16506"/>
  <c r="E89" i="16513" l="1"/>
  <c r="AL89" i="16513" s="1"/>
  <c r="AJ89" i="16513"/>
  <c r="E91" i="16513"/>
  <c r="AL91" i="16513" s="1"/>
  <c r="AJ91" i="16513"/>
  <c r="AW89" i="16513" l="1"/>
  <c r="AN89" i="16513"/>
  <c r="BL91" i="16513"/>
  <c r="AU91" i="16513"/>
  <c r="BK89" i="16513"/>
  <c r="BB91" i="16513"/>
  <c r="AV91" i="16513"/>
  <c r="BI91" i="16513"/>
  <c r="BL89" i="16513"/>
  <c r="BH91" i="16513"/>
  <c r="BG91" i="16513"/>
  <c r="AS91" i="16513"/>
  <c r="BG89" i="16513"/>
  <c r="BK91" i="16513"/>
  <c r="BJ91" i="16513"/>
  <c r="AT91" i="16513"/>
  <c r="BD91" i="16513"/>
  <c r="AM91" i="16513"/>
  <c r="AZ89" i="16513"/>
  <c r="BA91" i="16513"/>
  <c r="BO91" i="16513"/>
  <c r="BC91" i="16513"/>
  <c r="AY89" i="16513"/>
  <c r="AM89" i="16513"/>
  <c r="BH89" i="16513"/>
  <c r="AX89" i="16513"/>
  <c r="AZ91" i="16513"/>
  <c r="AR91" i="16513"/>
  <c r="BF89" i="16513"/>
  <c r="AV89" i="16513"/>
  <c r="AY91" i="16513"/>
  <c r="AQ91" i="16513"/>
  <c r="BO89" i="16513"/>
  <c r="BE89" i="16513"/>
  <c r="AU89" i="16513"/>
  <c r="BN91" i="16513"/>
  <c r="BF91" i="16513"/>
  <c r="AX91" i="16513"/>
  <c r="AO91" i="16513"/>
  <c r="BN89" i="16513"/>
  <c r="BD89" i="16513"/>
  <c r="AQ89" i="16513"/>
  <c r="BM91" i="16513"/>
  <c r="BE91" i="16513"/>
  <c r="AW91" i="16513"/>
  <c r="AN91" i="16513"/>
  <c r="BM89" i="16513"/>
  <c r="BC89" i="16513"/>
  <c r="AO89" i="16513"/>
  <c r="BJ89" i="16513"/>
  <c r="BB89" i="16513"/>
  <c r="AS89" i="16513"/>
  <c r="BI89" i="16513"/>
  <c r="BA89" i="16513"/>
  <c r="AR89" i="16513"/>
  <c r="AT89" i="16513"/>
  <c r="AP89" i="16513"/>
  <c r="AP91" i="16513"/>
  <c r="BP91" i="16513" l="1"/>
  <c r="BP89" i="16513"/>
  <c r="E14" i="16513" l="1"/>
  <c r="F15" i="16513"/>
  <c r="F14" i="16513" s="1"/>
  <c r="AL14" i="16513" l="1"/>
  <c r="BP14" i="16513" s="1"/>
  <c r="F69" i="16513"/>
  <c r="AJ14" i="16513"/>
  <c r="AJ15" i="16513"/>
  <c r="E69" i="16513" l="1"/>
  <c r="AJ69" i="16513"/>
  <c r="F67" i="16513"/>
  <c r="AJ67" i="16513" l="1"/>
  <c r="E67" i="16513"/>
  <c r="AO67" i="16513" l="1"/>
  <c r="AS67" i="16513"/>
  <c r="AW67" i="16513"/>
  <c r="BA67" i="16513"/>
  <c r="BE67" i="16513"/>
  <c r="BI67" i="16513"/>
  <c r="BM67" i="16513"/>
  <c r="AP67" i="16513"/>
  <c r="AT67" i="16513"/>
  <c r="AX67" i="16513"/>
  <c r="BB67" i="16513"/>
  <c r="BF67" i="16513"/>
  <c r="BJ67" i="16513"/>
  <c r="BN67" i="16513"/>
  <c r="AM67" i="16513"/>
  <c r="AQ67" i="16513"/>
  <c r="AU67" i="16513"/>
  <c r="AY67" i="16513"/>
  <c r="BC67" i="16513"/>
  <c r="BG67" i="16513"/>
  <c r="BK67" i="16513"/>
  <c r="BO67" i="16513"/>
  <c r="AN67" i="16513"/>
  <c r="AR67" i="16513"/>
  <c r="AV67" i="16513"/>
  <c r="AZ67" i="16513"/>
  <c r="BD67" i="16513"/>
  <c r="BH67" i="16513"/>
  <c r="BL67" i="16513"/>
  <c r="AL67" i="16513"/>
  <c r="BP67" i="16513" l="1"/>
  <c r="M84" i="16506" l="1"/>
  <c r="AS81" i="16457"/>
  <c r="N84" i="16506" l="1"/>
  <c r="AT81" i="16457"/>
  <c r="DF81" i="16457" s="1"/>
  <c r="DE81" i="16457"/>
  <c r="AR84" i="16506"/>
  <c r="DB84" i="16506" s="1"/>
  <c r="O84" i="16506" l="1"/>
  <c r="AU81" i="16457"/>
  <c r="DG81" i="16457" s="1"/>
  <c r="AS84" i="16506"/>
  <c r="DC84" i="16506" s="1"/>
  <c r="P84" i="16506" l="1"/>
  <c r="AV81" i="16457"/>
  <c r="AT84" i="16506"/>
  <c r="DD84" i="16506" s="1"/>
  <c r="Q84" i="16506" l="1"/>
  <c r="AW81" i="16457"/>
  <c r="DI81" i="16457" s="1"/>
  <c r="DH81" i="16457"/>
  <c r="AU84" i="16506"/>
  <c r="DE84" i="16506" s="1"/>
  <c r="R84" i="16506" l="1"/>
  <c r="AX81" i="16457"/>
  <c r="DJ81" i="16457" s="1"/>
  <c r="AV84" i="16506"/>
  <c r="DF84" i="16506" s="1"/>
  <c r="AW84" i="16506" l="1"/>
  <c r="DG84" i="16506" s="1"/>
  <c r="S84" i="16506"/>
  <c r="AY81" i="16457"/>
  <c r="DK81" i="16457" s="1"/>
  <c r="AX84" i="16506" l="1"/>
  <c r="DH84" i="16506" s="1"/>
  <c r="T84" i="16506"/>
  <c r="AY84" i="16506" s="1"/>
  <c r="DI84" i="16506" s="1"/>
  <c r="AZ81" i="16457"/>
  <c r="DL81" i="16457" s="1"/>
  <c r="U84" i="16506" l="1"/>
  <c r="BA81" i="16457"/>
  <c r="DM81" i="16457" s="1"/>
  <c r="AZ84" i="16506" l="1"/>
  <c r="DJ84" i="16506" s="1"/>
  <c r="V84" i="16506"/>
  <c r="BA84" i="16506" s="1"/>
  <c r="DK84" i="16506" s="1"/>
  <c r="BB81" i="16457"/>
  <c r="DN81" i="16457" s="1"/>
  <c r="W84" i="16506" l="1"/>
  <c r="BC81" i="16457"/>
  <c r="DO81" i="16457" s="1"/>
  <c r="X84" i="16506" l="1"/>
  <c r="BD81" i="16457"/>
  <c r="DP81" i="16457" s="1"/>
  <c r="BB84" i="16506"/>
  <c r="DL84" i="16506" s="1"/>
  <c r="Y84" i="16506" l="1"/>
  <c r="BE81" i="16457"/>
  <c r="DQ81" i="16457" s="1"/>
  <c r="BC84" i="16506"/>
  <c r="DM84" i="16506" s="1"/>
  <c r="Z84" i="16506" l="1"/>
  <c r="BF81" i="16457"/>
  <c r="DR81" i="16457" s="1"/>
  <c r="BD84" i="16506"/>
  <c r="DN84" i="16506" s="1"/>
  <c r="T92" i="16506" l="1"/>
  <c r="AZ89" i="16457"/>
  <c r="DL89" i="16457" s="1"/>
  <c r="U92" i="16506"/>
  <c r="BA89" i="16457"/>
  <c r="DM89" i="16457" s="1"/>
  <c r="V92" i="16506"/>
  <c r="BB89" i="16457"/>
  <c r="DN89" i="16457" s="1"/>
  <c r="AL92" i="16506"/>
  <c r="BR89" i="16457"/>
  <c r="ED89" i="16457" s="1"/>
  <c r="AA92" i="16506"/>
  <c r="BG89" i="16457"/>
  <c r="DS89" i="16457" s="1"/>
  <c r="X92" i="16506"/>
  <c r="BD89" i="16457"/>
  <c r="DP89" i="16457" s="1"/>
  <c r="AN92" i="16506"/>
  <c r="BT89" i="16457"/>
  <c r="EF89" i="16457" s="1"/>
  <c r="Y92" i="16506"/>
  <c r="BE89" i="16457"/>
  <c r="DQ89" i="16457" s="1"/>
  <c r="AO92" i="16506"/>
  <c r="BU89" i="16457"/>
  <c r="EG89" i="16457" s="1"/>
  <c r="Z92" i="16506"/>
  <c r="BF89" i="16457"/>
  <c r="DR89" i="16457" s="1"/>
  <c r="O92" i="16506"/>
  <c r="AU89" i="16457"/>
  <c r="DG89" i="16457" s="1"/>
  <c r="AE92" i="16506"/>
  <c r="BK89" i="16457"/>
  <c r="DW89" i="16457" s="1"/>
  <c r="L92" i="16506"/>
  <c r="AR89" i="16457"/>
  <c r="AB92" i="16506"/>
  <c r="BH89" i="16457"/>
  <c r="DT89" i="16457" s="1"/>
  <c r="AC92" i="16506"/>
  <c r="BI89" i="16457"/>
  <c r="DU89" i="16457" s="1"/>
  <c r="N92" i="16506"/>
  <c r="AT89" i="16457"/>
  <c r="DF89" i="16457" s="1"/>
  <c r="AD92" i="16506"/>
  <c r="BJ89" i="16457"/>
  <c r="DV89" i="16457" s="1"/>
  <c r="S92" i="16506"/>
  <c r="AY89" i="16457"/>
  <c r="DK89" i="16457" s="1"/>
  <c r="AI92" i="16506"/>
  <c r="BO89" i="16457"/>
  <c r="EA89" i="16457" s="1"/>
  <c r="AJ92" i="16506"/>
  <c r="BP89" i="16457"/>
  <c r="EB89" i="16457" s="1"/>
  <c r="AK92" i="16506"/>
  <c r="BQ89" i="16457"/>
  <c r="EC89" i="16457" s="1"/>
  <c r="M92" i="16506"/>
  <c r="AS89" i="16457"/>
  <c r="DE89" i="16457" s="1"/>
  <c r="P92" i="16506"/>
  <c r="AV89" i="16457"/>
  <c r="DH89" i="16457" s="1"/>
  <c r="AF92" i="16506"/>
  <c r="BL89" i="16457"/>
  <c r="DX89" i="16457" s="1"/>
  <c r="Q92" i="16506"/>
  <c r="AW89" i="16457"/>
  <c r="DI89" i="16457" s="1"/>
  <c r="AG92" i="16506"/>
  <c r="BM89" i="16457"/>
  <c r="DY89" i="16457" s="1"/>
  <c r="R92" i="16506"/>
  <c r="AX89" i="16457"/>
  <c r="DJ89" i="16457" s="1"/>
  <c r="AH92" i="16506"/>
  <c r="BN89" i="16457"/>
  <c r="DZ89" i="16457" s="1"/>
  <c r="W92" i="16506"/>
  <c r="BC89" i="16457"/>
  <c r="DO89" i="16457" s="1"/>
  <c r="AM92" i="16506"/>
  <c r="BS89" i="16457"/>
  <c r="EE89" i="16457" s="1"/>
  <c r="BE84" i="16506"/>
  <c r="DO84" i="16506" s="1"/>
  <c r="AA84" i="16506"/>
  <c r="BG81" i="16457"/>
  <c r="DS81" i="16457" s="1"/>
  <c r="BM92" i="16506" l="1"/>
  <c r="DW92" i="16506" s="1"/>
  <c r="BL92" i="16506"/>
  <c r="DV92" i="16506" s="1"/>
  <c r="BK92" i="16506"/>
  <c r="DU92" i="16506" s="1"/>
  <c r="AR92" i="16506"/>
  <c r="DB92" i="16506" s="1"/>
  <c r="AX92" i="16506"/>
  <c r="DH92" i="16506" s="1"/>
  <c r="AS92" i="16506"/>
  <c r="DC92" i="16506" s="1"/>
  <c r="BG92" i="16506"/>
  <c r="DQ92" i="16506" s="1"/>
  <c r="BJ92" i="16506"/>
  <c r="DT92" i="16506" s="1"/>
  <c r="BE92" i="16506"/>
  <c r="DO92" i="16506" s="1"/>
  <c r="BD92" i="16506"/>
  <c r="DN92" i="16506" s="1"/>
  <c r="BC92" i="16506"/>
  <c r="DM92" i="16506" s="1"/>
  <c r="AZ92" i="16506"/>
  <c r="DJ92" i="16506" s="1"/>
  <c r="DD89" i="16457"/>
  <c r="AQ89" i="16457"/>
  <c r="DC89" i="16457" s="1"/>
  <c r="BB92" i="16506"/>
  <c r="DL92" i="16506" s="1"/>
  <c r="AW92" i="16506"/>
  <c r="DG92" i="16506" s="1"/>
  <c r="AV92" i="16506"/>
  <c r="DF92" i="16506" s="1"/>
  <c r="AU92" i="16506"/>
  <c r="DE92" i="16506" s="1"/>
  <c r="BN92" i="16506"/>
  <c r="DX92" i="16506" s="1"/>
  <c r="BI92" i="16506"/>
  <c r="DS92" i="16506" s="1"/>
  <c r="BH92" i="16506"/>
  <c r="DR92" i="16506" s="1"/>
  <c r="AQ92" i="16506"/>
  <c r="DA92" i="16506" s="1"/>
  <c r="AT92" i="16506"/>
  <c r="DD92" i="16506" s="1"/>
  <c r="BT92" i="16506"/>
  <c r="ED92" i="16506" s="1"/>
  <c r="BF92" i="16506"/>
  <c r="DP92" i="16506" s="1"/>
  <c r="BA92" i="16506"/>
  <c r="DK92" i="16506" s="1"/>
  <c r="AY92" i="16506"/>
  <c r="DI92" i="16506" s="1"/>
  <c r="AB84" i="16506"/>
  <c r="BG84" i="16506" s="1"/>
  <c r="DQ84" i="16506" s="1"/>
  <c r="BH81" i="16457"/>
  <c r="DT81" i="16457" s="1"/>
  <c r="BF84" i="16506"/>
  <c r="DP84" i="16506" s="1"/>
  <c r="BV92" i="16506" l="1"/>
  <c r="BW92" i="16506" s="1"/>
  <c r="EG92" i="16506" s="1"/>
  <c r="AC84" i="16506"/>
  <c r="BI81" i="16457"/>
  <c r="DU81" i="16457" s="1"/>
  <c r="BX92" i="16506" l="1"/>
  <c r="EF92" i="16506"/>
  <c r="BH84" i="16506"/>
  <c r="DR84" i="16506" s="1"/>
  <c r="AD84" i="16506"/>
  <c r="BI84" i="16506" s="1"/>
  <c r="DS84" i="16506" s="1"/>
  <c r="BJ81" i="16457"/>
  <c r="DV81" i="16457" s="1"/>
  <c r="BY92" i="16506" l="1"/>
  <c r="EH92" i="16506"/>
  <c r="AE84" i="16506"/>
  <c r="BK81" i="16457"/>
  <c r="DW81" i="16457" s="1"/>
  <c r="EI92" i="16506" l="1"/>
  <c r="BZ92" i="16506"/>
  <c r="CA92" i="16506" s="1"/>
  <c r="BJ84" i="16506"/>
  <c r="DT84" i="16506" s="1"/>
  <c r="AF84" i="16506"/>
  <c r="BK84" i="16506" s="1"/>
  <c r="DU84" i="16506" s="1"/>
  <c r="BL81" i="16457"/>
  <c r="DX81" i="16457" s="1"/>
  <c r="EK92" i="16506" l="1"/>
  <c r="EJ92" i="16506"/>
  <c r="CB92" i="16506"/>
  <c r="AG84" i="16506"/>
  <c r="BL84" i="16506" s="1"/>
  <c r="DV84" i="16506" s="1"/>
  <c r="BM81" i="16457"/>
  <c r="DY81" i="16457" s="1"/>
  <c r="EL92" i="16506" l="1"/>
  <c r="CC92" i="16506"/>
  <c r="AH84" i="16506"/>
  <c r="BM84" i="16506" s="1"/>
  <c r="DW84" i="16506" s="1"/>
  <c r="BN81" i="16457"/>
  <c r="DZ81" i="16457" s="1"/>
  <c r="EM92" i="16506" l="1"/>
  <c r="CD92" i="16506"/>
  <c r="AI84" i="16506"/>
  <c r="BN84" i="16506" s="1"/>
  <c r="DX84" i="16506" s="1"/>
  <c r="BO81" i="16457"/>
  <c r="EA81" i="16457" s="1"/>
  <c r="EN92" i="16506" l="1"/>
  <c r="CE92" i="16506"/>
  <c r="AJ84" i="16506"/>
  <c r="BP81" i="16457"/>
  <c r="EB81" i="16457" s="1"/>
  <c r="EO92" i="16506" l="1"/>
  <c r="CF92" i="16506"/>
  <c r="AK84" i="16506"/>
  <c r="BQ81" i="16457"/>
  <c r="EC81" i="16457" s="1"/>
  <c r="EP92" i="16506" l="1"/>
  <c r="CG92" i="16506"/>
  <c r="AL84" i="16506"/>
  <c r="BR81" i="16457"/>
  <c r="ED81" i="16457" s="1"/>
  <c r="EQ92" i="16506" l="1"/>
  <c r="CH92" i="16506"/>
  <c r="AM84" i="16506"/>
  <c r="BS81" i="16457"/>
  <c r="EE81" i="16457" s="1"/>
  <c r="ER92" i="16506" l="1"/>
  <c r="CI92" i="16506"/>
  <c r="AO84" i="16506"/>
  <c r="BU81" i="16457"/>
  <c r="AN84" i="16506"/>
  <c r="BT81" i="16457"/>
  <c r="EF81" i="16457" s="1"/>
  <c r="ES92" i="16506" l="1"/>
  <c r="CJ92" i="16506"/>
  <c r="EG81" i="16457"/>
  <c r="AQ81" i="16457"/>
  <c r="DC81" i="16457" s="1"/>
  <c r="BT84" i="16506"/>
  <c r="ED84" i="16506" s="1"/>
  <c r="BV84" i="16506"/>
  <c r="EF84" i="16506" s="1"/>
  <c r="BW84" i="16506" l="1"/>
  <c r="EG84" i="16506" s="1"/>
  <c r="ET92" i="16506"/>
  <c r="CK92" i="16506"/>
  <c r="BX84" i="16506" l="1"/>
  <c r="EH84" i="16506" s="1"/>
  <c r="EU92" i="16506"/>
  <c r="CL92" i="16506"/>
  <c r="BY84" i="16506" l="1"/>
  <c r="EI84" i="16506" s="1"/>
  <c r="EV92" i="16506"/>
  <c r="CM92" i="16506"/>
  <c r="BZ84" i="16506" l="1"/>
  <c r="CA84" i="16506" s="1"/>
  <c r="EW92" i="16506"/>
  <c r="CN92" i="16506"/>
  <c r="EJ84" i="16506" l="1"/>
  <c r="EX92" i="16506"/>
  <c r="CO92" i="16506"/>
  <c r="CB84" i="16506"/>
  <c r="EK84" i="16506"/>
  <c r="EY92" i="16506" l="1"/>
  <c r="CP92" i="16506"/>
  <c r="EL84" i="16506"/>
  <c r="CC84" i="16506"/>
  <c r="EZ92" i="16506" l="1"/>
  <c r="CQ92" i="16506"/>
  <c r="CD84" i="16506"/>
  <c r="EM84" i="16506"/>
  <c r="FA92" i="16506" l="1"/>
  <c r="CR92" i="16506"/>
  <c r="EN84" i="16506"/>
  <c r="CE84" i="16506"/>
  <c r="FB92" i="16506" l="1"/>
  <c r="CS92" i="16506"/>
  <c r="CF84" i="16506"/>
  <c r="EO84" i="16506"/>
  <c r="FC92" i="16506" l="1"/>
  <c r="CT92" i="16506"/>
  <c r="EP84" i="16506"/>
  <c r="CG84" i="16506"/>
  <c r="FD92" i="16506" l="1"/>
  <c r="CU92" i="16506"/>
  <c r="CH84" i="16506"/>
  <c r="EQ84" i="16506"/>
  <c r="FE92" i="16506" l="1"/>
  <c r="CV92" i="16506"/>
  <c r="CI84" i="16506"/>
  <c r="ER84" i="16506"/>
  <c r="FF92" i="16506" l="1"/>
  <c r="CW92" i="16506"/>
  <c r="CJ84" i="16506"/>
  <c r="ES84" i="16506"/>
  <c r="FG92" i="16506" l="1"/>
  <c r="CX92" i="16506"/>
  <c r="CK84" i="16506"/>
  <c r="ET84" i="16506"/>
  <c r="FH92" i="16506" l="1"/>
  <c r="CY92" i="16506"/>
  <c r="FI92" i="16506" s="1"/>
  <c r="CL84" i="16506"/>
  <c r="EU84" i="16506"/>
  <c r="AL91" i="16506" l="1"/>
  <c r="BR88" i="16457"/>
  <c r="ED88" i="16457" s="1"/>
  <c r="N91" i="16506"/>
  <c r="AT88" i="16457"/>
  <c r="DF88" i="16457" s="1"/>
  <c r="AD91" i="16506"/>
  <c r="BJ88" i="16457"/>
  <c r="DV88" i="16457" s="1"/>
  <c r="S91" i="16506"/>
  <c r="AY88" i="16457"/>
  <c r="DK88" i="16457" s="1"/>
  <c r="AI91" i="16506"/>
  <c r="BO88" i="16457"/>
  <c r="EA88" i="16457" s="1"/>
  <c r="T91" i="16506"/>
  <c r="AZ88" i="16457"/>
  <c r="DL88" i="16457" s="1"/>
  <c r="AJ91" i="16506"/>
  <c r="BP88" i="16457"/>
  <c r="EB88" i="16457" s="1"/>
  <c r="U91" i="16506"/>
  <c r="BA88" i="16457"/>
  <c r="DM88" i="16457" s="1"/>
  <c r="AK91" i="16506"/>
  <c r="BQ88" i="16457"/>
  <c r="EC88" i="16457" s="1"/>
  <c r="L91" i="16506"/>
  <c r="AR88" i="16457"/>
  <c r="R91" i="16506"/>
  <c r="AX88" i="16457"/>
  <c r="DJ88" i="16457" s="1"/>
  <c r="AH91" i="16506"/>
  <c r="BN88" i="16457"/>
  <c r="DZ88" i="16457" s="1"/>
  <c r="W91" i="16506"/>
  <c r="BC88" i="16457"/>
  <c r="DO88" i="16457" s="1"/>
  <c r="AM91" i="16506"/>
  <c r="BS88" i="16457"/>
  <c r="EE88" i="16457" s="1"/>
  <c r="X91" i="16506"/>
  <c r="BD88" i="16457"/>
  <c r="DP88" i="16457" s="1"/>
  <c r="AN91" i="16506"/>
  <c r="BT88" i="16457"/>
  <c r="EF88" i="16457" s="1"/>
  <c r="Y91" i="16506"/>
  <c r="BE88" i="16457"/>
  <c r="DQ88" i="16457" s="1"/>
  <c r="AO91" i="16506"/>
  <c r="BU88" i="16457"/>
  <c r="EG88" i="16457" s="1"/>
  <c r="V91" i="16506"/>
  <c r="BB88" i="16457"/>
  <c r="DN88" i="16457" s="1"/>
  <c r="AA91" i="16506"/>
  <c r="BG88" i="16457"/>
  <c r="DS88" i="16457" s="1"/>
  <c r="AB91" i="16506"/>
  <c r="BH88" i="16457"/>
  <c r="DT88" i="16457" s="1"/>
  <c r="M91" i="16506"/>
  <c r="AR91" i="16506" s="1"/>
  <c r="DB91" i="16506" s="1"/>
  <c r="AS88" i="16457"/>
  <c r="DE88" i="16457" s="1"/>
  <c r="AC91" i="16506"/>
  <c r="BI88" i="16457"/>
  <c r="DU88" i="16457" s="1"/>
  <c r="Z91" i="16506"/>
  <c r="BF88" i="16457"/>
  <c r="DR88" i="16457" s="1"/>
  <c r="O91" i="16506"/>
  <c r="AU88" i="16457"/>
  <c r="DG88" i="16457" s="1"/>
  <c r="AE91" i="16506"/>
  <c r="BK88" i="16457"/>
  <c r="DW88" i="16457" s="1"/>
  <c r="P91" i="16506"/>
  <c r="AV88" i="16457"/>
  <c r="DH88" i="16457" s="1"/>
  <c r="AF91" i="16506"/>
  <c r="BL88" i="16457"/>
  <c r="DX88" i="16457" s="1"/>
  <c r="Q91" i="16506"/>
  <c r="AW88" i="16457"/>
  <c r="DI88" i="16457" s="1"/>
  <c r="AG91" i="16506"/>
  <c r="BM88" i="16457"/>
  <c r="DY88" i="16457" s="1"/>
  <c r="CM84" i="16506"/>
  <c r="EV84" i="16506"/>
  <c r="DD88" i="16457" l="1"/>
  <c r="AQ88" i="16457"/>
  <c r="DC88" i="16457" s="1"/>
  <c r="BL91" i="16506"/>
  <c r="DV91" i="16506" s="1"/>
  <c r="BK91" i="16506"/>
  <c r="DU91" i="16506" s="1"/>
  <c r="BJ91" i="16506"/>
  <c r="DT91" i="16506" s="1"/>
  <c r="BE91" i="16506"/>
  <c r="DO91" i="16506" s="1"/>
  <c r="BF91" i="16506"/>
  <c r="DP91" i="16506" s="1"/>
  <c r="BT91" i="16506"/>
  <c r="ED91" i="16506" s="1"/>
  <c r="BM91" i="16506"/>
  <c r="DW91" i="16506" s="1"/>
  <c r="AQ91" i="16506"/>
  <c r="DA91" i="16506" s="1"/>
  <c r="AZ91" i="16506"/>
  <c r="DJ91" i="16506" s="1"/>
  <c r="AY91" i="16506"/>
  <c r="DI91" i="16506" s="1"/>
  <c r="AX91" i="16506"/>
  <c r="DH91" i="16506" s="1"/>
  <c r="AS91" i="16506"/>
  <c r="DC91" i="16506" s="1"/>
  <c r="AV91" i="16506"/>
  <c r="DF91" i="16506" s="1"/>
  <c r="AU91" i="16506"/>
  <c r="DE91" i="16506" s="1"/>
  <c r="AT91" i="16506"/>
  <c r="DD91" i="16506" s="1"/>
  <c r="BH91" i="16506"/>
  <c r="DR91" i="16506" s="1"/>
  <c r="BG91" i="16506"/>
  <c r="DQ91" i="16506" s="1"/>
  <c r="BA91" i="16506"/>
  <c r="DK91" i="16506" s="1"/>
  <c r="BD91" i="16506"/>
  <c r="DN91" i="16506" s="1"/>
  <c r="BC91" i="16506"/>
  <c r="DM91" i="16506" s="1"/>
  <c r="BB91" i="16506"/>
  <c r="DL91" i="16506" s="1"/>
  <c r="AW91" i="16506"/>
  <c r="DG91" i="16506" s="1"/>
  <c r="BN91" i="16506"/>
  <c r="DX91" i="16506" s="1"/>
  <c r="BI91" i="16506"/>
  <c r="DS91" i="16506" s="1"/>
  <c r="CN84" i="16506"/>
  <c r="EW84" i="16506"/>
  <c r="BV91" i="16506" l="1"/>
  <c r="CO84" i="16506"/>
  <c r="EX84" i="16506"/>
  <c r="BW91" i="16506" l="1"/>
  <c r="BX91" i="16506" s="1"/>
  <c r="EF91" i="16506"/>
  <c r="CP84" i="16506"/>
  <c r="EY84" i="16506"/>
  <c r="EH91" i="16506" l="1"/>
  <c r="BY91" i="16506"/>
  <c r="EG91" i="16506"/>
  <c r="CQ84" i="16506"/>
  <c r="EZ84" i="16506"/>
  <c r="EI91" i="16506" l="1"/>
  <c r="BZ91" i="16506"/>
  <c r="CA91" i="16506" s="1"/>
  <c r="CB91" i="16506" s="1"/>
  <c r="CR84" i="16506"/>
  <c r="FA84" i="16506"/>
  <c r="EL91" i="16506" l="1"/>
  <c r="CC91" i="16506"/>
  <c r="CD91" i="16506" s="1"/>
  <c r="EJ91" i="16506"/>
  <c r="EK91" i="16506"/>
  <c r="CS84" i="16506"/>
  <c r="FB84" i="16506"/>
  <c r="EN91" i="16506" l="1"/>
  <c r="CE91" i="16506"/>
  <c r="CF91" i="16506" s="1"/>
  <c r="EM91" i="16506"/>
  <c r="CT84" i="16506"/>
  <c r="FC84" i="16506"/>
  <c r="EO91" i="16506" l="1"/>
  <c r="CG91" i="16506"/>
  <c r="EP91" i="16506"/>
  <c r="CU84" i="16506"/>
  <c r="FD84" i="16506"/>
  <c r="EQ91" i="16506" l="1"/>
  <c r="CH91" i="16506"/>
  <c r="CV84" i="16506"/>
  <c r="FE84" i="16506"/>
  <c r="ER91" i="16506" l="1"/>
  <c r="CI91" i="16506"/>
  <c r="CJ91" i="16506" s="1"/>
  <c r="CW84" i="16506"/>
  <c r="FF84" i="16506"/>
  <c r="ET91" i="16506" l="1"/>
  <c r="CK91" i="16506"/>
  <c r="CL91" i="16506" s="1"/>
  <c r="ES91" i="16506"/>
  <c r="CX84" i="16506"/>
  <c r="FG84" i="16506"/>
  <c r="CM91" i="16506" l="1"/>
  <c r="EV91" i="16506"/>
  <c r="EU91" i="16506"/>
  <c r="CY84" i="16506"/>
  <c r="FI84" i="16506" s="1"/>
  <c r="FH84" i="16506"/>
  <c r="CN91" i="16506" l="1"/>
  <c r="EW91" i="16506"/>
  <c r="EX91" i="16506" l="1"/>
  <c r="CO91" i="16506"/>
  <c r="EY91" i="16506" l="1"/>
  <c r="CP91" i="16506"/>
  <c r="EZ91" i="16506" l="1"/>
  <c r="CQ91" i="16506"/>
  <c r="FA91" i="16506" l="1"/>
  <c r="CR91" i="16506"/>
  <c r="FB91" i="16506" l="1"/>
  <c r="CS91" i="16506"/>
  <c r="FC91" i="16506" l="1"/>
  <c r="CT91" i="16506"/>
  <c r="FD91" i="16506" l="1"/>
  <c r="CU91" i="16506"/>
  <c r="FE91" i="16506" l="1"/>
  <c r="CV91" i="16506"/>
  <c r="FF91" i="16506" l="1"/>
  <c r="CW91" i="16506"/>
  <c r="FG91" i="16506" l="1"/>
  <c r="CX91" i="16506"/>
  <c r="FH91" i="16506" l="1"/>
  <c r="CY91" i="16506"/>
  <c r="FI91" i="16506" s="1"/>
  <c r="H69" i="16506" l="1"/>
  <c r="CM67" i="16457"/>
  <c r="CM70" i="16457"/>
  <c r="BY70" i="16457"/>
  <c r="CQ71" i="16457"/>
  <c r="BZ68" i="16457"/>
  <c r="CU71" i="16457"/>
  <c r="CH70" i="16457"/>
  <c r="CS68" i="16457"/>
  <c r="CL67" i="16457"/>
  <c r="CF68" i="16457"/>
  <c r="CC70" i="16457"/>
  <c r="CV70" i="16457"/>
  <c r="DA71" i="16457"/>
  <c r="CY68" i="16457"/>
  <c r="CS64" i="16457"/>
  <c r="CH68" i="16457"/>
  <c r="CJ71" i="16457"/>
  <c r="CJ67" i="16457"/>
  <c r="CI70" i="16457"/>
  <c r="CR71" i="16457"/>
  <c r="CE71" i="16457"/>
  <c r="CQ67" i="16457"/>
  <c r="BY67" i="16457"/>
  <c r="CZ67" i="16457"/>
  <c r="CV71" i="16457"/>
  <c r="CL70" i="16457"/>
  <c r="CK64" i="16457"/>
  <c r="CI68" i="16457"/>
  <c r="CT68" i="16457"/>
  <c r="CE68" i="16457"/>
  <c r="CC68" i="16457"/>
  <c r="CV68" i="16457"/>
  <c r="CR70" i="16457"/>
  <c r="CJ64" i="16457"/>
  <c r="CL64" i="16457"/>
  <c r="CO64" i="16457"/>
  <c r="CQ64" i="16457"/>
  <c r="CI67" i="16457"/>
  <c r="CU68" i="16457"/>
  <c r="CD70" i="16457"/>
  <c r="CU70" i="16457"/>
  <c r="CY67" i="16457"/>
  <c r="CT67" i="16457"/>
  <c r="CS70" i="16457"/>
  <c r="BX67" i="16457"/>
  <c r="CO67" i="16457"/>
  <c r="CU67" i="16457"/>
  <c r="CA70" i="16457"/>
  <c r="CR64" i="16457"/>
  <c r="CN68" i="16457"/>
  <c r="CN67" i="16457"/>
  <c r="BY68" i="16457"/>
  <c r="CY64" i="16457"/>
  <c r="CW70" i="16457"/>
  <c r="CK67" i="16457"/>
  <c r="CN64" i="16457"/>
  <c r="CO71" i="16457"/>
  <c r="CB68" i="16457"/>
  <c r="CG67" i="16457"/>
  <c r="CW64" i="16457"/>
  <c r="CH71" i="16457"/>
  <c r="CJ68" i="16457"/>
  <c r="BZ71" i="16457"/>
  <c r="CB70" i="16457"/>
  <c r="CX70" i="16457"/>
  <c r="CM64" i="16457"/>
  <c r="CK68" i="16457"/>
  <c r="CF67" i="16457"/>
  <c r="BX68" i="16457"/>
  <c r="CF64" i="16457"/>
  <c r="CK70" i="16457"/>
  <c r="CR68" i="16457"/>
  <c r="CP64" i="16457"/>
  <c r="CC67" i="16457"/>
  <c r="CZ64" i="16457"/>
  <c r="CX68" i="16457"/>
  <c r="CD67" i="16457"/>
  <c r="CO68" i="16457"/>
  <c r="CM68" i="16457"/>
  <c r="BZ67" i="16457"/>
  <c r="CA68" i="16457"/>
  <c r="CG70" i="16457"/>
  <c r="CV64" i="16457"/>
  <c r="CD64" i="16457"/>
  <c r="CL68" i="16457"/>
  <c r="BX70" i="16457"/>
  <c r="CG71" i="16457"/>
  <c r="CG64" i="16457"/>
  <c r="CW71" i="16457"/>
  <c r="CA64" i="16457"/>
  <c r="CW68" i="16457"/>
  <c r="DA67" i="16457"/>
  <c r="CJ70" i="16457"/>
  <c r="CZ71" i="16457"/>
  <c r="DA70" i="16457"/>
  <c r="CT70" i="16457"/>
  <c r="CB64" i="16457"/>
  <c r="DA64" i="16457"/>
  <c r="BX71" i="16457"/>
  <c r="CM71" i="16457"/>
  <c r="CW67" i="16457"/>
  <c r="CP70" i="16457"/>
  <c r="CD68" i="16457"/>
  <c r="CS67" i="16457"/>
  <c r="BY64" i="16457"/>
  <c r="CX67" i="16457"/>
  <c r="CG68" i="16457"/>
  <c r="CT64" i="16457"/>
  <c r="CI64" i="16457"/>
  <c r="CP68" i="16457"/>
  <c r="BZ64" i="16457"/>
  <c r="CE67" i="16457"/>
  <c r="CC64" i="16457"/>
  <c r="CN70" i="16457"/>
  <c r="CE70" i="16457"/>
  <c r="CR67" i="16457"/>
  <c r="CT71" i="16457"/>
  <c r="CF71" i="16457"/>
  <c r="CA71" i="16457"/>
  <c r="CQ70" i="16457"/>
  <c r="BZ70" i="16457"/>
  <c r="CS71" i="16457"/>
  <c r="CQ68" i="16457"/>
  <c r="BX64" i="16457"/>
  <c r="CN71" i="16457"/>
  <c r="CK71" i="16457"/>
  <c r="CB71" i="16457"/>
  <c r="CY71" i="16457"/>
  <c r="CZ70" i="16457"/>
  <c r="CA67" i="16457"/>
  <c r="CY70" i="16457"/>
  <c r="CP67" i="16457"/>
  <c r="CC71" i="16457"/>
  <c r="CL71" i="16457"/>
  <c r="BY71" i="16457"/>
  <c r="CH67" i="16457"/>
  <c r="CZ68" i="16457"/>
  <c r="CB67" i="16457"/>
  <c r="CO70" i="16457"/>
  <c r="CV67" i="16457"/>
  <c r="CD71" i="16457"/>
  <c r="CU64" i="16457"/>
  <c r="CE64" i="16457"/>
  <c r="CP71" i="16457"/>
  <c r="CH64" i="16457"/>
  <c r="CX71" i="16457"/>
  <c r="CI71" i="16457"/>
  <c r="DA68" i="16457"/>
  <c r="CX64" i="16457"/>
  <c r="CF70" i="16457"/>
  <c r="BX66" i="16457" l="1"/>
  <c r="BX135" i="16457" s="1"/>
  <c r="BX158" i="16457" s="1"/>
  <c r="BW67" i="16457"/>
  <c r="CJ66" i="16457"/>
  <c r="CJ135" i="16457" s="1"/>
  <c r="CJ158" i="16457" s="1"/>
  <c r="CI66" i="16457"/>
  <c r="CI135" i="16457" s="1"/>
  <c r="CI158" i="16457" s="1"/>
  <c r="CK66" i="16457"/>
  <c r="CK135" i="16457" s="1"/>
  <c r="CK158" i="16457" s="1"/>
  <c r="CQ66" i="16457"/>
  <c r="CQ135" i="16457" s="1"/>
  <c r="CQ158" i="16457" s="1"/>
  <c r="CR66" i="16457"/>
  <c r="CR135" i="16457" s="1"/>
  <c r="CR158" i="16457" s="1"/>
  <c r="CO66" i="16457"/>
  <c r="CO135" i="16457" s="1"/>
  <c r="CO158" i="16457" s="1"/>
  <c r="CF66" i="16457"/>
  <c r="CF135" i="16457" s="1"/>
  <c r="CF158" i="16457" s="1"/>
  <c r="CW66" i="16457"/>
  <c r="CW135" i="16457" s="1"/>
  <c r="CW158" i="16457" s="1"/>
  <c r="BY66" i="16457"/>
  <c r="BY135" i="16457" s="1"/>
  <c r="BY158" i="16457" s="1"/>
  <c r="CV66" i="16457"/>
  <c r="CV135" i="16457" s="1"/>
  <c r="CV158" i="16457" s="1"/>
  <c r="CS66" i="16457"/>
  <c r="CS135" i="16457" s="1"/>
  <c r="CS158" i="16457" s="1"/>
  <c r="CP66" i="16457"/>
  <c r="CP135" i="16457" s="1"/>
  <c r="CP158" i="16457" s="1"/>
  <c r="CZ66" i="16457"/>
  <c r="CZ135" i="16457" s="1"/>
  <c r="CZ158" i="16457" s="1"/>
  <c r="CT66" i="16457"/>
  <c r="CT135" i="16457" s="1"/>
  <c r="CT158" i="16457" s="1"/>
  <c r="BZ66" i="16457"/>
  <c r="BZ135" i="16457" s="1"/>
  <c r="BZ158" i="16457" s="1"/>
  <c r="CX66" i="16457"/>
  <c r="CX135" i="16457" s="1"/>
  <c r="CX158" i="16457" s="1"/>
  <c r="CM66" i="16457"/>
  <c r="CM135" i="16457" s="1"/>
  <c r="CM158" i="16457" s="1"/>
  <c r="CB66" i="16457"/>
  <c r="CB135" i="16457" s="1"/>
  <c r="CB158" i="16457" s="1"/>
  <c r="DA66" i="16457"/>
  <c r="DA135" i="16457" s="1"/>
  <c r="DA158" i="16457" s="1"/>
  <c r="CH66" i="16457"/>
  <c r="CH135" i="16457" s="1"/>
  <c r="CH158" i="16457" s="1"/>
  <c r="CL66" i="16457"/>
  <c r="CL135" i="16457" s="1"/>
  <c r="CL158" i="16457" s="1"/>
  <c r="CG66" i="16457"/>
  <c r="CG135" i="16457" s="1"/>
  <c r="CG158" i="16457" s="1"/>
  <c r="CY66" i="16457"/>
  <c r="CY135" i="16457" s="1"/>
  <c r="CY158" i="16457" s="1"/>
  <c r="CC66" i="16457"/>
  <c r="CC135" i="16457" s="1"/>
  <c r="CC158" i="16457" s="1"/>
  <c r="CN66" i="16457"/>
  <c r="CN135" i="16457" s="1"/>
  <c r="CN158" i="16457" s="1"/>
  <c r="CE66" i="16457"/>
  <c r="CE135" i="16457" s="1"/>
  <c r="CE158" i="16457" s="1"/>
  <c r="CU66" i="16457"/>
  <c r="CU135" i="16457" s="1"/>
  <c r="CU158" i="16457" s="1"/>
  <c r="CD66" i="16457"/>
  <c r="CD135" i="16457" s="1"/>
  <c r="CD158" i="16457" s="1"/>
  <c r="CA66" i="16457"/>
  <c r="CA135" i="16457" s="1"/>
  <c r="CA158" i="16457" s="1"/>
  <c r="BX74" i="16457"/>
  <c r="BW71" i="16457"/>
  <c r="DA74" i="16457"/>
  <c r="CY74" i="16457"/>
  <c r="CW74" i="16457"/>
  <c r="CX74" i="16457"/>
  <c r="CV74" i="16457"/>
  <c r="CZ74" i="16457"/>
  <c r="CC74" i="16457"/>
  <c r="CA74" i="16457"/>
  <c r="CD74" i="16457"/>
  <c r="CB74" i="16457"/>
  <c r="CP74" i="16457"/>
  <c r="CE74" i="16457"/>
  <c r="BZ74" i="16457"/>
  <c r="CS74" i="16457"/>
  <c r="CQ74" i="16457"/>
  <c r="CR74" i="16457"/>
  <c r="CU74" i="16457"/>
  <c r="CN74" i="16457"/>
  <c r="CJ74" i="16457"/>
  <c r="CO74" i="16457"/>
  <c r="CM74" i="16457"/>
  <c r="BY74" i="16457"/>
  <c r="CG74" i="16457"/>
  <c r="CH74" i="16457"/>
  <c r="CI74" i="16457"/>
  <c r="CF74" i="16457"/>
  <c r="CL74" i="16457"/>
  <c r="CK74" i="16457"/>
  <c r="CT74" i="16457"/>
  <c r="BW70" i="16457"/>
  <c r="BX69" i="16457"/>
  <c r="BX136" i="16457" s="1"/>
  <c r="BX159" i="16457" s="1"/>
  <c r="CY69" i="16457"/>
  <c r="CY136" i="16457" s="1"/>
  <c r="CY159" i="16457" s="1"/>
  <c r="CW69" i="16457"/>
  <c r="CW136" i="16457" s="1"/>
  <c r="CW159" i="16457" s="1"/>
  <c r="CV69" i="16457"/>
  <c r="CV136" i="16457" s="1"/>
  <c r="CV159" i="16457" s="1"/>
  <c r="CZ69" i="16457"/>
  <c r="CZ136" i="16457" s="1"/>
  <c r="CZ159" i="16457" s="1"/>
  <c r="DA69" i="16457"/>
  <c r="DA136" i="16457" s="1"/>
  <c r="DA159" i="16457" s="1"/>
  <c r="CX69" i="16457"/>
  <c r="CX136" i="16457" s="1"/>
  <c r="CX159" i="16457" s="1"/>
  <c r="CF69" i="16457"/>
  <c r="CF136" i="16457" s="1"/>
  <c r="CF159" i="16457" s="1"/>
  <c r="CO69" i="16457"/>
  <c r="CO136" i="16457" s="1"/>
  <c r="CO159" i="16457" s="1"/>
  <c r="CE69" i="16457"/>
  <c r="CE136" i="16457" s="1"/>
  <c r="CE159" i="16457" s="1"/>
  <c r="BZ69" i="16457"/>
  <c r="BZ136" i="16457" s="1"/>
  <c r="BZ159" i="16457" s="1"/>
  <c r="CH69" i="16457"/>
  <c r="CH136" i="16457" s="1"/>
  <c r="CH159" i="16457" s="1"/>
  <c r="CR69" i="16457"/>
  <c r="CR136" i="16457" s="1"/>
  <c r="CR159" i="16457" s="1"/>
  <c r="CN69" i="16457"/>
  <c r="CN136" i="16457" s="1"/>
  <c r="CN159" i="16457" s="1"/>
  <c r="CM69" i="16457"/>
  <c r="CM136" i="16457" s="1"/>
  <c r="CM159" i="16457" s="1"/>
  <c r="CA69" i="16457"/>
  <c r="CA136" i="16457" s="1"/>
  <c r="CA159" i="16457" s="1"/>
  <c r="CC69" i="16457"/>
  <c r="CC136" i="16457" s="1"/>
  <c r="CC159" i="16457" s="1"/>
  <c r="CB69" i="16457"/>
  <c r="CB136" i="16457" s="1"/>
  <c r="CB159" i="16457" s="1"/>
  <c r="CT69" i="16457"/>
  <c r="CT136" i="16457" s="1"/>
  <c r="CT159" i="16457" s="1"/>
  <c r="CD69" i="16457"/>
  <c r="CD136" i="16457" s="1"/>
  <c r="CD159" i="16457" s="1"/>
  <c r="CQ69" i="16457"/>
  <c r="CQ136" i="16457" s="1"/>
  <c r="CQ159" i="16457" s="1"/>
  <c r="CU69" i="16457"/>
  <c r="CU136" i="16457" s="1"/>
  <c r="CU159" i="16457" s="1"/>
  <c r="CK69" i="16457"/>
  <c r="CK136" i="16457" s="1"/>
  <c r="CK159" i="16457" s="1"/>
  <c r="CJ69" i="16457"/>
  <c r="CJ136" i="16457" s="1"/>
  <c r="CJ159" i="16457" s="1"/>
  <c r="BY69" i="16457"/>
  <c r="BY136" i="16457" s="1"/>
  <c r="BY159" i="16457" s="1"/>
  <c r="CL69" i="16457"/>
  <c r="CL136" i="16457" s="1"/>
  <c r="CL159" i="16457" s="1"/>
  <c r="CP69" i="16457"/>
  <c r="CP136" i="16457" s="1"/>
  <c r="CP159" i="16457" s="1"/>
  <c r="CG69" i="16457"/>
  <c r="CG136" i="16457" s="1"/>
  <c r="CG159" i="16457" s="1"/>
  <c r="CS69" i="16457"/>
  <c r="CS136" i="16457" s="1"/>
  <c r="CS159" i="16457" s="1"/>
  <c r="CI69" i="16457"/>
  <c r="CI136" i="16457" s="1"/>
  <c r="CI159" i="16457" s="1"/>
  <c r="BW68" i="16457"/>
  <c r="BW64" i="16457"/>
  <c r="BW63" i="16457" s="1"/>
  <c r="BX63" i="16457"/>
  <c r="CY63" i="16457"/>
  <c r="CW63" i="16457"/>
  <c r="DA63" i="16457"/>
  <c r="CV63" i="16457"/>
  <c r="CX63" i="16457"/>
  <c r="CZ63" i="16457"/>
  <c r="CK63" i="16457"/>
  <c r="BZ63" i="16457"/>
  <c r="CC63" i="16457"/>
  <c r="CT63" i="16457"/>
  <c r="CM63" i="16457"/>
  <c r="CB63" i="16457"/>
  <c r="CO63" i="16457"/>
  <c r="CQ63" i="16457"/>
  <c r="CA63" i="16457"/>
  <c r="BY63" i="16457"/>
  <c r="CD63" i="16457"/>
  <c r="CE63" i="16457"/>
  <c r="CF63" i="16457"/>
  <c r="CS63" i="16457"/>
  <c r="CP63" i="16457"/>
  <c r="CL63" i="16457"/>
  <c r="CI63" i="16457"/>
  <c r="CJ63" i="16457"/>
  <c r="CN63" i="16457"/>
  <c r="CG63" i="16457"/>
  <c r="CR63" i="16457"/>
  <c r="CU63" i="16457"/>
  <c r="CH63" i="16457"/>
  <c r="J14" i="16458"/>
  <c r="H71" i="16506"/>
  <c r="J17" i="16458"/>
  <c r="H75" i="16506"/>
  <c r="I253" i="16460"/>
  <c r="J16" i="16458"/>
  <c r="H74" i="16506"/>
  <c r="I69" i="16506"/>
  <c r="DP69" i="16506"/>
  <c r="DH69" i="16506"/>
  <c r="DG69" i="16506"/>
  <c r="DI69" i="16506"/>
  <c r="DO69" i="16506"/>
  <c r="DT69" i="16506"/>
  <c r="DV69" i="16506"/>
  <c r="DM69" i="16506"/>
  <c r="DF69" i="16506"/>
  <c r="DQ69" i="16506"/>
  <c r="DB69" i="16506"/>
  <c r="DS69" i="16506"/>
  <c r="DW69" i="16506"/>
  <c r="DD69" i="16506"/>
  <c r="DC69" i="16506"/>
  <c r="DA69" i="16506"/>
  <c r="DL69" i="16506"/>
  <c r="DX69" i="16506"/>
  <c r="DJ69" i="16506"/>
  <c r="DK69" i="16506"/>
  <c r="DU69" i="16506"/>
  <c r="DN69" i="16506"/>
  <c r="DR69" i="16506"/>
  <c r="DE69" i="16506"/>
  <c r="ED69" i="16506"/>
  <c r="J15" i="16458"/>
  <c r="H72" i="16506"/>
  <c r="J12" i="16458"/>
  <c r="H68" i="16506"/>
  <c r="X15" i="16507" l="1"/>
  <c r="AA107" i="16513" s="1"/>
  <c r="H15" i="16507"/>
  <c r="K107" i="16513" s="1"/>
  <c r="V15" i="16507"/>
  <c r="Y107" i="16513" s="1"/>
  <c r="T15" i="16507"/>
  <c r="W107" i="16513" s="1"/>
  <c r="AC15" i="16507"/>
  <c r="AF107" i="16513" s="1"/>
  <c r="U15" i="16507"/>
  <c r="X107" i="16513" s="1"/>
  <c r="R15" i="16507"/>
  <c r="U107" i="16513" s="1"/>
  <c r="AB15" i="16507"/>
  <c r="AE107" i="16513" s="1"/>
  <c r="O15" i="16507"/>
  <c r="R107" i="16513" s="1"/>
  <c r="L15" i="16507"/>
  <c r="O107" i="16513" s="1"/>
  <c r="P15" i="16507"/>
  <c r="S107" i="16513" s="1"/>
  <c r="BW69" i="16457"/>
  <c r="BW136" i="16457" s="1"/>
  <c r="BW159" i="16457" s="1"/>
  <c r="BP64" i="16457"/>
  <c r="BQ64" i="16457"/>
  <c r="BU64" i="16457"/>
  <c r="BS64" i="16457"/>
  <c r="BT64" i="16457"/>
  <c r="BR64" i="16457"/>
  <c r="BE64" i="16457"/>
  <c r="BC64" i="16457"/>
  <c r="BM64" i="16457"/>
  <c r="BD64" i="16457"/>
  <c r="BI64" i="16457"/>
  <c r="BN64" i="16457"/>
  <c r="BK64" i="16457"/>
  <c r="AZ64" i="16457"/>
  <c r="BL64" i="16457"/>
  <c r="BO64" i="16457"/>
  <c r="BA64" i="16457"/>
  <c r="BF64" i="16457"/>
  <c r="AT64" i="16457"/>
  <c r="AY64" i="16457"/>
  <c r="BJ64" i="16457"/>
  <c r="AR64" i="16457"/>
  <c r="AS64" i="16457"/>
  <c r="AV64" i="16457"/>
  <c r="BH64" i="16457"/>
  <c r="AX64" i="16457"/>
  <c r="AU64" i="16457"/>
  <c r="BG64" i="16457"/>
  <c r="AW64" i="16457"/>
  <c r="BB64" i="16457"/>
  <c r="CJ134" i="16457"/>
  <c r="CJ157" i="16457" s="1"/>
  <c r="BY134" i="16457"/>
  <c r="BY157" i="16457" s="1"/>
  <c r="BZ134" i="16457"/>
  <c r="BZ157" i="16457" s="1"/>
  <c r="BX134" i="16457"/>
  <c r="BX157" i="16457" s="1"/>
  <c r="CG72" i="16457"/>
  <c r="CG119" i="16457" s="1"/>
  <c r="DM74" i="16457"/>
  <c r="DW74" i="16457"/>
  <c r="CQ72" i="16457"/>
  <c r="CQ119" i="16457" s="1"/>
  <c r="DI74" i="16457"/>
  <c r="CC72" i="16457"/>
  <c r="CC119" i="16457" s="1"/>
  <c r="DD74" i="16457"/>
  <c r="BW74" i="16457"/>
  <c r="DC74" i="16457" s="1"/>
  <c r="BX72" i="16457"/>
  <c r="BX119" i="16457" s="1"/>
  <c r="I68" i="16506"/>
  <c r="DN68" i="16506"/>
  <c r="DN67" i="16506" s="1"/>
  <c r="DH68" i="16506"/>
  <c r="DI68" i="16506"/>
  <c r="DW68" i="16506"/>
  <c r="DU68" i="16506"/>
  <c r="DK68" i="16506"/>
  <c r="DA68" i="16506"/>
  <c r="DE68" i="16506"/>
  <c r="DE67" i="16506" s="1"/>
  <c r="DT68" i="16506"/>
  <c r="DP68" i="16506"/>
  <c r="DR68" i="16506"/>
  <c r="DO68" i="16506"/>
  <c r="DJ68" i="16506"/>
  <c r="DQ68" i="16506"/>
  <c r="DG68" i="16506"/>
  <c r="ED68" i="16506"/>
  <c r="DM68" i="16506"/>
  <c r="DB68" i="16506"/>
  <c r="DX68" i="16506"/>
  <c r="DF68" i="16506"/>
  <c r="DL68" i="16506"/>
  <c r="DV68" i="16506"/>
  <c r="DS68" i="16506"/>
  <c r="DD68" i="16506"/>
  <c r="DC68" i="16506"/>
  <c r="I72" i="16506"/>
  <c r="DU72" i="16506"/>
  <c r="DW72" i="16506"/>
  <c r="DB72" i="16506"/>
  <c r="DK72" i="16506"/>
  <c r="DQ72" i="16506"/>
  <c r="DV72" i="16506"/>
  <c r="DM72" i="16506"/>
  <c r="DG72" i="16506"/>
  <c r="DC72" i="16506"/>
  <c r="DI72" i="16506"/>
  <c r="DE72" i="16506"/>
  <c r="DR72" i="16506"/>
  <c r="DN72" i="16506"/>
  <c r="DA72" i="16506"/>
  <c r="DX72" i="16506"/>
  <c r="DH72" i="16506"/>
  <c r="DO72" i="16506"/>
  <c r="DL72" i="16506"/>
  <c r="DJ72" i="16506"/>
  <c r="ED72" i="16506"/>
  <c r="DS72" i="16506"/>
  <c r="DP72" i="16506"/>
  <c r="DF72" i="16506"/>
  <c r="DD72" i="16506"/>
  <c r="DT72" i="16506"/>
  <c r="I74" i="16506"/>
  <c r="DP74" i="16506"/>
  <c r="DU74" i="16506"/>
  <c r="DH74" i="16506"/>
  <c r="DJ74" i="16506"/>
  <c r="DL74" i="16506"/>
  <c r="DR74" i="16506"/>
  <c r="DQ74" i="16506"/>
  <c r="DC74" i="16506"/>
  <c r="DF74" i="16506"/>
  <c r="DO74" i="16506"/>
  <c r="DX74" i="16506"/>
  <c r="DB74" i="16506"/>
  <c r="DN74" i="16506"/>
  <c r="DW74" i="16506"/>
  <c r="DG74" i="16506"/>
  <c r="DK74" i="16506"/>
  <c r="DA74" i="16506"/>
  <c r="DE74" i="16506"/>
  <c r="DV74" i="16506"/>
  <c r="DT74" i="16506"/>
  <c r="DS74" i="16506"/>
  <c r="DM74" i="16506"/>
  <c r="DD74" i="16506"/>
  <c r="ED74" i="16506"/>
  <c r="DI74" i="16506"/>
  <c r="I71" i="16506"/>
  <c r="DA71" i="16506"/>
  <c r="DM71" i="16506"/>
  <c r="DD71" i="16506"/>
  <c r="DG71" i="16506"/>
  <c r="DR71" i="16506"/>
  <c r="DI71" i="16506"/>
  <c r="DX71" i="16506"/>
  <c r="DF71" i="16506"/>
  <c r="DB71" i="16506"/>
  <c r="DV71" i="16506"/>
  <c r="DQ71" i="16506"/>
  <c r="DU71" i="16506"/>
  <c r="DK71" i="16506"/>
  <c r="DJ71" i="16506"/>
  <c r="DE71" i="16506"/>
  <c r="DO71" i="16506"/>
  <c r="DL71" i="16506"/>
  <c r="DN71" i="16506"/>
  <c r="DC71" i="16506"/>
  <c r="DS71" i="16506"/>
  <c r="DH71" i="16506"/>
  <c r="ED71" i="16506"/>
  <c r="DW71" i="16506"/>
  <c r="DP71" i="16506"/>
  <c r="DT71" i="16506"/>
  <c r="CI134" i="16457"/>
  <c r="CI157" i="16457" s="1"/>
  <c r="CA134" i="16457"/>
  <c r="CA157" i="16457" s="1"/>
  <c r="CK134" i="16457"/>
  <c r="CK157" i="16457" s="1"/>
  <c r="BW134" i="16457"/>
  <c r="BW157" i="16457" s="1"/>
  <c r="BY72" i="16457"/>
  <c r="DE74" i="16457"/>
  <c r="CS72" i="16457"/>
  <c r="CS119" i="16457" s="1"/>
  <c r="DY74" i="16457"/>
  <c r="CZ72" i="16457"/>
  <c r="CZ119" i="16457" s="1"/>
  <c r="EF74" i="16457"/>
  <c r="BP70" i="16457"/>
  <c r="BS70" i="16457"/>
  <c r="BT70" i="16457"/>
  <c r="BU70" i="16457"/>
  <c r="BQ70" i="16457"/>
  <c r="BR70" i="16457"/>
  <c r="AR70" i="16457"/>
  <c r="AV70" i="16457"/>
  <c r="AZ70" i="16457"/>
  <c r="BD70" i="16457"/>
  <c r="BH70" i="16457"/>
  <c r="BL70" i="16457"/>
  <c r="AS70" i="16457"/>
  <c r="BE70" i="16457"/>
  <c r="BM70" i="16457"/>
  <c r="BC70" i="16457"/>
  <c r="AW70" i="16457"/>
  <c r="BA70" i="16457"/>
  <c r="BI70" i="16457"/>
  <c r="BG70" i="16457"/>
  <c r="AT70" i="16457"/>
  <c r="BB70" i="16457"/>
  <c r="BJ70" i="16457"/>
  <c r="AX70" i="16457"/>
  <c r="BF70" i="16457"/>
  <c r="BN70" i="16457"/>
  <c r="BO70" i="16457"/>
  <c r="AU70" i="16457"/>
  <c r="AY70" i="16457"/>
  <c r="BK70" i="16457"/>
  <c r="BR67" i="16457"/>
  <c r="BI67" i="16457"/>
  <c r="BS67" i="16457"/>
  <c r="AV67" i="16457"/>
  <c r="BO67" i="16457"/>
  <c r="BK67" i="16457"/>
  <c r="BH67" i="16457"/>
  <c r="AT67" i="16457"/>
  <c r="BQ67" i="16457"/>
  <c r="AX67" i="16457"/>
  <c r="AW67" i="16457"/>
  <c r="BJ67" i="16457"/>
  <c r="BN67" i="16457"/>
  <c r="BE67" i="16457"/>
  <c r="BD67" i="16457"/>
  <c r="BP67" i="16457"/>
  <c r="BF67" i="16457"/>
  <c r="BT67" i="16457"/>
  <c r="BL67" i="16457"/>
  <c r="BB67" i="16457"/>
  <c r="BU67" i="16457"/>
  <c r="BM67" i="16457"/>
  <c r="AZ67" i="16457"/>
  <c r="AR67" i="16457"/>
  <c r="AS67" i="16457"/>
  <c r="BC67" i="16457"/>
  <c r="AU67" i="16457"/>
  <c r="BA67" i="16457"/>
  <c r="BG67" i="16457"/>
  <c r="AY67" i="16457"/>
  <c r="CL134" i="16457"/>
  <c r="CL157" i="16457" s="1"/>
  <c r="CQ134" i="16457"/>
  <c r="CQ157" i="16457" s="1"/>
  <c r="CZ134" i="16457"/>
  <c r="CZ157" i="16457" s="1"/>
  <c r="DZ74" i="16457"/>
  <c r="CT72" i="16457"/>
  <c r="CT119" i="16457" s="1"/>
  <c r="CM72" i="16457"/>
  <c r="CM119" i="16457" s="1"/>
  <c r="DS74" i="16457"/>
  <c r="BZ72" i="16457"/>
  <c r="DF74" i="16457"/>
  <c r="CV72" i="16457"/>
  <c r="CV119" i="16457" s="1"/>
  <c r="EB74" i="16457"/>
  <c r="CH134" i="16457"/>
  <c r="CH157" i="16457" s="1"/>
  <c r="CP134" i="16457"/>
  <c r="CP157" i="16457" s="1"/>
  <c r="CO134" i="16457"/>
  <c r="CO157" i="16457" s="1"/>
  <c r="CX134" i="16457"/>
  <c r="CX157" i="16457" s="1"/>
  <c r="CK72" i="16457"/>
  <c r="DQ74" i="16457"/>
  <c r="CO72" i="16457"/>
  <c r="DU74" i="16457"/>
  <c r="CE72" i="16457"/>
  <c r="CE119" i="16457" s="1"/>
  <c r="DK74" i="16457"/>
  <c r="CX72" i="16457"/>
  <c r="CX119" i="16457" s="1"/>
  <c r="ED74" i="16457"/>
  <c r="BS68" i="16457"/>
  <c r="EE68" i="16457" s="1"/>
  <c r="BP68" i="16457"/>
  <c r="EB68" i="16457" s="1"/>
  <c r="BR68" i="16457"/>
  <c r="ED68" i="16457" s="1"/>
  <c r="BT68" i="16457"/>
  <c r="EF68" i="16457" s="1"/>
  <c r="BQ68" i="16457"/>
  <c r="EC68" i="16457" s="1"/>
  <c r="BU68" i="16457"/>
  <c r="EG68" i="16457" s="1"/>
  <c r="AR68" i="16457"/>
  <c r="BL68" i="16457"/>
  <c r="DX68" i="16457" s="1"/>
  <c r="BE68" i="16457"/>
  <c r="DQ68" i="16457" s="1"/>
  <c r="AY68" i="16457"/>
  <c r="DK68" i="16457" s="1"/>
  <c r="AT68" i="16457"/>
  <c r="DF68" i="16457" s="1"/>
  <c r="AZ68" i="16457"/>
  <c r="DL68" i="16457" s="1"/>
  <c r="BK68" i="16457"/>
  <c r="DW68" i="16457" s="1"/>
  <c r="BM68" i="16457"/>
  <c r="DY68" i="16457" s="1"/>
  <c r="BG68" i="16457"/>
  <c r="DS68" i="16457" s="1"/>
  <c r="AU68" i="16457"/>
  <c r="DG68" i="16457" s="1"/>
  <c r="BI68" i="16457"/>
  <c r="DU68" i="16457" s="1"/>
  <c r="AX68" i="16457"/>
  <c r="DJ68" i="16457" s="1"/>
  <c r="AS68" i="16457"/>
  <c r="DE68" i="16457" s="1"/>
  <c r="BB68" i="16457"/>
  <c r="DN68" i="16457" s="1"/>
  <c r="BH68" i="16457"/>
  <c r="DT68" i="16457" s="1"/>
  <c r="BF68" i="16457"/>
  <c r="DR68" i="16457" s="1"/>
  <c r="BO68" i="16457"/>
  <c r="EA68" i="16457" s="1"/>
  <c r="BN68" i="16457"/>
  <c r="DZ68" i="16457" s="1"/>
  <c r="BA68" i="16457"/>
  <c r="DM68" i="16457" s="1"/>
  <c r="BJ68" i="16457"/>
  <c r="DV68" i="16457" s="1"/>
  <c r="AV68" i="16457"/>
  <c r="DH68" i="16457" s="1"/>
  <c r="BD68" i="16457"/>
  <c r="DP68" i="16457" s="1"/>
  <c r="BC68" i="16457"/>
  <c r="DO68" i="16457" s="1"/>
  <c r="AW68" i="16457"/>
  <c r="DI68" i="16457" s="1"/>
  <c r="EF69" i="16506"/>
  <c r="EH69" i="16506"/>
  <c r="EG69" i="16506"/>
  <c r="EI69" i="16506"/>
  <c r="EJ69" i="16506"/>
  <c r="EK69" i="16506"/>
  <c r="EL69" i="16506"/>
  <c r="EM69" i="16506"/>
  <c r="EN69" i="16506"/>
  <c r="EO69" i="16506"/>
  <c r="EQ69" i="16506"/>
  <c r="EP69" i="16506"/>
  <c r="ER69" i="16506"/>
  <c r="ES69" i="16506"/>
  <c r="ET69" i="16506"/>
  <c r="EU69" i="16506"/>
  <c r="EV69" i="16506"/>
  <c r="EW69" i="16506"/>
  <c r="EX69" i="16506"/>
  <c r="EY69" i="16506"/>
  <c r="EZ69" i="16506"/>
  <c r="FA69" i="16506"/>
  <c r="FB69" i="16506"/>
  <c r="FC69" i="16506"/>
  <c r="FE69" i="16506"/>
  <c r="FD69" i="16506"/>
  <c r="FF69" i="16506"/>
  <c r="FG69" i="16506"/>
  <c r="FH69" i="16506"/>
  <c r="FI69" i="16506"/>
  <c r="I75" i="16506"/>
  <c r="DI75" i="16506"/>
  <c r="DD75" i="16506"/>
  <c r="DW75" i="16506"/>
  <c r="DU75" i="16506"/>
  <c r="DL75" i="16506"/>
  <c r="DE75" i="16506"/>
  <c r="DX75" i="16506"/>
  <c r="DJ75" i="16506"/>
  <c r="DP75" i="16506"/>
  <c r="DA75" i="16506"/>
  <c r="DH75" i="16506"/>
  <c r="DV75" i="16506"/>
  <c r="DK75" i="16506"/>
  <c r="DG75" i="16506"/>
  <c r="DM75" i="16506"/>
  <c r="DS75" i="16506"/>
  <c r="DF75" i="16506"/>
  <c r="DC75" i="16506"/>
  <c r="DR75" i="16506"/>
  <c r="DT75" i="16506"/>
  <c r="DO75" i="16506"/>
  <c r="ED75" i="16506"/>
  <c r="DQ75" i="16506"/>
  <c r="DB75" i="16506"/>
  <c r="DN75" i="16506"/>
  <c r="CU134" i="16457"/>
  <c r="CU157" i="16457" s="1"/>
  <c r="CS134" i="16457"/>
  <c r="CS157" i="16457" s="1"/>
  <c r="CB134" i="16457"/>
  <c r="CB157" i="16457" s="1"/>
  <c r="CV134" i="16457"/>
  <c r="CV157" i="16457" s="1"/>
  <c r="DR74" i="16457"/>
  <c r="CL72" i="16457"/>
  <c r="CL119" i="16457" s="1"/>
  <c r="CJ72" i="16457"/>
  <c r="DP74" i="16457"/>
  <c r="CP72" i="16457"/>
  <c r="DV74" i="16457"/>
  <c r="CW72" i="16457"/>
  <c r="CW119" i="16457" s="1"/>
  <c r="EC74" i="16457"/>
  <c r="BR71" i="16457"/>
  <c r="BS71" i="16457"/>
  <c r="BP71" i="16457"/>
  <c r="BQ71" i="16457"/>
  <c r="BT71" i="16457"/>
  <c r="BU71" i="16457"/>
  <c r="AX71" i="16457"/>
  <c r="AS71" i="16457"/>
  <c r="BA71" i="16457"/>
  <c r="BG71" i="16457"/>
  <c r="BK71" i="16457"/>
  <c r="BO71" i="16457"/>
  <c r="AZ71" i="16457"/>
  <c r="BC71" i="16457"/>
  <c r="BL71" i="16457"/>
  <c r="AW71" i="16457"/>
  <c r="BF71" i="16457"/>
  <c r="AR71" i="16457"/>
  <c r="AU71" i="16457"/>
  <c r="BH71" i="16457"/>
  <c r="BE71" i="16457"/>
  <c r="AY71" i="16457"/>
  <c r="AT71" i="16457"/>
  <c r="BI71" i="16457"/>
  <c r="BJ71" i="16457"/>
  <c r="BB71" i="16457"/>
  <c r="BM71" i="16457"/>
  <c r="AV71" i="16457"/>
  <c r="BD71" i="16457"/>
  <c r="BN71" i="16457"/>
  <c r="CR134" i="16457"/>
  <c r="CR157" i="16457" s="1"/>
  <c r="CF134" i="16457"/>
  <c r="CF157" i="16457" s="1"/>
  <c r="CM134" i="16457"/>
  <c r="CM157" i="16457" s="1"/>
  <c r="DA134" i="16457"/>
  <c r="DA157" i="16457" s="1"/>
  <c r="CF72" i="16457"/>
  <c r="CF119" i="16457" s="1"/>
  <c r="DL74" i="16457"/>
  <c r="CN72" i="16457"/>
  <c r="CN119" i="16457" s="1"/>
  <c r="DT74" i="16457"/>
  <c r="DH74" i="16457"/>
  <c r="CB72" i="16457"/>
  <c r="CB119" i="16457" s="1"/>
  <c r="CY72" i="16457"/>
  <c r="CY119" i="16457" s="1"/>
  <c r="EE74" i="16457"/>
  <c r="CG134" i="16457"/>
  <c r="CG157" i="16457" s="1"/>
  <c r="CE134" i="16457"/>
  <c r="CE157" i="16457" s="1"/>
  <c r="CT134" i="16457"/>
  <c r="CT157" i="16457" s="1"/>
  <c r="CW134" i="16457"/>
  <c r="CW157" i="16457" s="1"/>
  <c r="CI72" i="16457"/>
  <c r="DO74" i="16457"/>
  <c r="CU72" i="16457"/>
  <c r="EA74" i="16457"/>
  <c r="CD72" i="16457"/>
  <c r="CD119" i="16457" s="1"/>
  <c r="DJ74" i="16457"/>
  <c r="DA72" i="16457"/>
  <c r="DA119" i="16457" s="1"/>
  <c r="EG74" i="16457"/>
  <c r="BW66" i="16457"/>
  <c r="BW135" i="16457" s="1"/>
  <c r="BW158" i="16457" s="1"/>
  <c r="J253" i="16460"/>
  <c r="CN134" i="16457"/>
  <c r="CN157" i="16457" s="1"/>
  <c r="CD134" i="16457"/>
  <c r="CD157" i="16457" s="1"/>
  <c r="CC134" i="16457"/>
  <c r="CC157" i="16457" s="1"/>
  <c r="CY134" i="16457"/>
  <c r="CY157" i="16457" s="1"/>
  <c r="DN74" i="16457"/>
  <c r="CH72" i="16457"/>
  <c r="CR72" i="16457"/>
  <c r="DX74" i="16457"/>
  <c r="CA72" i="16457"/>
  <c r="CA119" i="16457" s="1"/>
  <c r="DG74" i="16457"/>
  <c r="CR129" i="16457" l="1"/>
  <c r="CH129" i="16457"/>
  <c r="CF129" i="16457"/>
  <c r="AV72" i="16457"/>
  <c r="AV129" i="16457" s="1"/>
  <c r="DH71" i="16457"/>
  <c r="BO72" i="16457"/>
  <c r="BO129" i="16457" s="1"/>
  <c r="EA71" i="16457"/>
  <c r="BQ72" i="16457"/>
  <c r="BQ129" i="16457" s="1"/>
  <c r="EC71" i="16457"/>
  <c r="CD129" i="16457"/>
  <c r="BM72" i="16457"/>
  <c r="BM129" i="16457" s="1"/>
  <c r="DY71" i="16457"/>
  <c r="AU72" i="16457"/>
  <c r="AU129" i="16457" s="1"/>
  <c r="DG71" i="16457"/>
  <c r="BK72" i="16457"/>
  <c r="BK129" i="16457" s="1"/>
  <c r="DW71" i="16457"/>
  <c r="BP72" i="16457"/>
  <c r="BP129" i="16457" s="1"/>
  <c r="EB71" i="16457"/>
  <c r="CP129" i="16457"/>
  <c r="CP119" i="16457"/>
  <c r="BZ129" i="16457"/>
  <c r="DD67" i="16457"/>
  <c r="AQ67" i="16457"/>
  <c r="AR66" i="16457"/>
  <c r="BP66" i="16457"/>
  <c r="EB67" i="16457"/>
  <c r="AT66" i="16457"/>
  <c r="DF67" i="16457"/>
  <c r="DJ70" i="16457"/>
  <c r="AX69" i="16457"/>
  <c r="DO70" i="16457"/>
  <c r="BC69" i="16457"/>
  <c r="DH70" i="16457"/>
  <c r="AV69" i="16457"/>
  <c r="CZ129" i="16457"/>
  <c r="DH70" i="16506"/>
  <c r="DK70" i="16506"/>
  <c r="DR70" i="16506"/>
  <c r="DM73" i="16506"/>
  <c r="DW73" i="16506"/>
  <c r="DR73" i="16506"/>
  <c r="DF67" i="16506"/>
  <c r="DO67" i="16506"/>
  <c r="DW67" i="16506"/>
  <c r="DH64" i="16457"/>
  <c r="AV63" i="16457"/>
  <c r="EA64" i="16457"/>
  <c r="BO63" i="16457"/>
  <c r="DO64" i="16457"/>
  <c r="BC63" i="16457"/>
  <c r="CY129" i="16457"/>
  <c r="BB72" i="16457"/>
  <c r="BB129" i="16457" s="1"/>
  <c r="DN71" i="16457"/>
  <c r="DD71" i="16457"/>
  <c r="AQ71" i="16457"/>
  <c r="DC71" i="16457" s="1"/>
  <c r="BG72" i="16457"/>
  <c r="BG129" i="16457" s="1"/>
  <c r="DS71" i="16457"/>
  <c r="BS72" i="16457"/>
  <c r="BS129" i="16457" s="1"/>
  <c r="EE71" i="16457"/>
  <c r="CO129" i="16457"/>
  <c r="DL67" i="16457"/>
  <c r="AZ66" i="16457"/>
  <c r="BD66" i="16457"/>
  <c r="DP67" i="16457"/>
  <c r="DT67" i="16457"/>
  <c r="BH66" i="16457"/>
  <c r="DV70" i="16457"/>
  <c r="BJ69" i="16457"/>
  <c r="DY70" i="16457"/>
  <c r="BM69" i="16457"/>
  <c r="DD70" i="16457"/>
  <c r="AR69" i="16457"/>
  <c r="AQ70" i="16457"/>
  <c r="DS70" i="16506"/>
  <c r="DU70" i="16506"/>
  <c r="DG70" i="16506"/>
  <c r="DS73" i="16506"/>
  <c r="DN73" i="16506"/>
  <c r="DL73" i="16506"/>
  <c r="DX67" i="16506"/>
  <c r="DR67" i="16506"/>
  <c r="DI67" i="16506"/>
  <c r="DE64" i="16457"/>
  <c r="AS63" i="16457"/>
  <c r="DX64" i="16457"/>
  <c r="BL63" i="16457"/>
  <c r="DQ64" i="16457"/>
  <c r="BE63" i="16457"/>
  <c r="CU129" i="16457"/>
  <c r="CB129" i="16457"/>
  <c r="BJ72" i="16457"/>
  <c r="BJ129" i="16457" s="1"/>
  <c r="DV71" i="16457"/>
  <c r="BF72" i="16457"/>
  <c r="BF129" i="16457" s="1"/>
  <c r="DR71" i="16457"/>
  <c r="BA72" i="16457"/>
  <c r="BA129" i="16457" s="1"/>
  <c r="DM71" i="16457"/>
  <c r="BR72" i="16457"/>
  <c r="BR129" i="16457" s="1"/>
  <c r="ED71" i="16457"/>
  <c r="CJ129" i="16457"/>
  <c r="DD68" i="16457"/>
  <c r="AQ68" i="16457"/>
  <c r="DC68" i="16457" s="1"/>
  <c r="CM129" i="16457"/>
  <c r="DK67" i="16457"/>
  <c r="AY66" i="16457"/>
  <c r="DY67" i="16457"/>
  <c r="BM66" i="16457"/>
  <c r="DQ67" i="16457"/>
  <c r="BE66" i="16457"/>
  <c r="DW67" i="16457"/>
  <c r="BK66" i="16457"/>
  <c r="DW70" i="16457"/>
  <c r="BK69" i="16457"/>
  <c r="DN70" i="16457"/>
  <c r="BB69" i="16457"/>
  <c r="DQ70" i="16457"/>
  <c r="BE69" i="16457"/>
  <c r="ED70" i="16457"/>
  <c r="BR69" i="16457"/>
  <c r="CS129" i="16457"/>
  <c r="DC70" i="16506"/>
  <c r="DQ70" i="16506"/>
  <c r="DD70" i="16506"/>
  <c r="DT73" i="16506"/>
  <c r="DB73" i="16506"/>
  <c r="DJ73" i="16506"/>
  <c r="EF72" i="16506"/>
  <c r="EG72" i="16506"/>
  <c r="EI72" i="16506"/>
  <c r="EJ72" i="16506"/>
  <c r="EH72" i="16506"/>
  <c r="EK72" i="16506"/>
  <c r="EL72" i="16506"/>
  <c r="EM72" i="16506"/>
  <c r="EO72" i="16506"/>
  <c r="EN72" i="16506"/>
  <c r="EP72" i="16506"/>
  <c r="ER72" i="16506"/>
  <c r="EQ72" i="16506"/>
  <c r="ES72" i="16506"/>
  <c r="ET72" i="16506"/>
  <c r="EU72" i="16506"/>
  <c r="EV72" i="16506"/>
  <c r="EW72" i="16506"/>
  <c r="EX72" i="16506"/>
  <c r="FA72" i="16506"/>
  <c r="EZ72" i="16506"/>
  <c r="EY72" i="16506"/>
  <c r="FB72" i="16506"/>
  <c r="FC72" i="16506"/>
  <c r="FD72" i="16506"/>
  <c r="FE72" i="16506"/>
  <c r="FF72" i="16506"/>
  <c r="FG72" i="16506"/>
  <c r="FH72" i="16506"/>
  <c r="FI72" i="16506"/>
  <c r="DB67" i="16506"/>
  <c r="DP67" i="16506"/>
  <c r="DH67" i="16506"/>
  <c r="CC129" i="16457"/>
  <c r="DN64" i="16457"/>
  <c r="BB63" i="16457"/>
  <c r="DD64" i="16457"/>
  <c r="AR63" i="16457"/>
  <c r="AQ64" i="16457"/>
  <c r="DL64" i="16457"/>
  <c r="AZ63" i="16457"/>
  <c r="ED64" i="16457"/>
  <c r="BR63" i="16457"/>
  <c r="BI72" i="16457"/>
  <c r="BI129" i="16457" s="1"/>
  <c r="DU71" i="16457"/>
  <c r="AW72" i="16457"/>
  <c r="AW129" i="16457" s="1"/>
  <c r="DI71" i="16457"/>
  <c r="AS72" i="16457"/>
  <c r="DE72" i="16457" s="1"/>
  <c r="DE129" i="16457" s="1"/>
  <c r="DE71" i="16457"/>
  <c r="CL129" i="16457"/>
  <c r="CK129" i="16457"/>
  <c r="CH119" i="16457"/>
  <c r="CT129" i="16457"/>
  <c r="DS67" i="16457"/>
  <c r="BG66" i="16457"/>
  <c r="BU66" i="16457"/>
  <c r="EG67" i="16457"/>
  <c r="DZ67" i="16457"/>
  <c r="BN66" i="16457"/>
  <c r="EA67" i="16457"/>
  <c r="BO66" i="16457"/>
  <c r="DK70" i="16457"/>
  <c r="AY69" i="16457"/>
  <c r="DF70" i="16457"/>
  <c r="AT69" i="16457"/>
  <c r="DE70" i="16457"/>
  <c r="AS69" i="16457"/>
  <c r="EC70" i="16457"/>
  <c r="BQ69" i="16457"/>
  <c r="DN70" i="16506"/>
  <c r="DV70" i="16506"/>
  <c r="DM70" i="16506"/>
  <c r="DV73" i="16506"/>
  <c r="DX73" i="16506"/>
  <c r="DH73" i="16506"/>
  <c r="DC67" i="16506"/>
  <c r="DM67" i="16506"/>
  <c r="DT67" i="16506"/>
  <c r="BZ119" i="16457"/>
  <c r="DI64" i="16457"/>
  <c r="AW63" i="16457"/>
  <c r="DV64" i="16457"/>
  <c r="BJ63" i="16457"/>
  <c r="DW64" i="16457"/>
  <c r="BK63" i="16457"/>
  <c r="EF64" i="16457"/>
  <c r="BT63" i="16457"/>
  <c r="K253" i="16460"/>
  <c r="CI129" i="16457"/>
  <c r="AT72" i="16457"/>
  <c r="AT129" i="16457" s="1"/>
  <c r="DF71" i="16457"/>
  <c r="BL72" i="16457"/>
  <c r="BL129" i="16457" s="1"/>
  <c r="DX71" i="16457"/>
  <c r="AX72" i="16457"/>
  <c r="AX129" i="16457" s="1"/>
  <c r="DJ71" i="16457"/>
  <c r="CU119" i="16457"/>
  <c r="EF75" i="16506"/>
  <c r="EG75" i="16506"/>
  <c r="EH75" i="16506"/>
  <c r="EI75" i="16506"/>
  <c r="EJ75" i="16506"/>
  <c r="EK75" i="16506"/>
  <c r="EL75" i="16506"/>
  <c r="EM75" i="16506"/>
  <c r="EN75" i="16506"/>
  <c r="EO75" i="16506"/>
  <c r="EP75" i="16506"/>
  <c r="EQ75" i="16506"/>
  <c r="ER75" i="16506"/>
  <c r="ES75" i="16506"/>
  <c r="EU75" i="16506"/>
  <c r="ET75" i="16506"/>
  <c r="EW75" i="16506"/>
  <c r="EV75" i="16506"/>
  <c r="EY75" i="16506"/>
  <c r="EX75" i="16506"/>
  <c r="FA75" i="16506"/>
  <c r="EZ75" i="16506"/>
  <c r="FB75" i="16506"/>
  <c r="FC75" i="16506"/>
  <c r="FD75" i="16506"/>
  <c r="FE75" i="16506"/>
  <c r="FF75" i="16506"/>
  <c r="FG75" i="16506"/>
  <c r="FH75" i="16506"/>
  <c r="FI75" i="16506"/>
  <c r="DM67" i="16457"/>
  <c r="BA66" i="16457"/>
  <c r="DN67" i="16457"/>
  <c r="BB66" i="16457"/>
  <c r="DV67" i="16457"/>
  <c r="BJ66" i="16457"/>
  <c r="DH67" i="16457"/>
  <c r="AV66" i="16457"/>
  <c r="DG70" i="16457"/>
  <c r="AU69" i="16457"/>
  <c r="DS70" i="16457"/>
  <c r="BG69" i="16457"/>
  <c r="DX70" i="16457"/>
  <c r="BL69" i="16457"/>
  <c r="EG70" i="16457"/>
  <c r="BU69" i="16457"/>
  <c r="BY129" i="16457"/>
  <c r="CI119" i="16457"/>
  <c r="DT70" i="16506"/>
  <c r="DL70" i="16506"/>
  <c r="DB70" i="16506"/>
  <c r="DA70" i="16506"/>
  <c r="DE73" i="16506"/>
  <c r="DO73" i="16506"/>
  <c r="DU73" i="16506"/>
  <c r="DD67" i="16506"/>
  <c r="ED67" i="16506"/>
  <c r="EF68" i="16506"/>
  <c r="EG68" i="16506"/>
  <c r="EI68" i="16506"/>
  <c r="EI67" i="16506" s="1"/>
  <c r="EH68" i="16506"/>
  <c r="EH67" i="16506" s="1"/>
  <c r="EJ68" i="16506"/>
  <c r="EJ67" i="16506" s="1"/>
  <c r="EK68" i="16506"/>
  <c r="EL68" i="16506"/>
  <c r="EM68" i="16506"/>
  <c r="EM67" i="16506" s="1"/>
  <c r="EO68" i="16506"/>
  <c r="EN68" i="16506"/>
  <c r="EP68" i="16506"/>
  <c r="EP67" i="16506" s="1"/>
  <c r="EQ68" i="16506"/>
  <c r="ER68" i="16506"/>
  <c r="ER67" i="16506" s="1"/>
  <c r="ET68" i="16506"/>
  <c r="ES68" i="16506"/>
  <c r="EV68" i="16506"/>
  <c r="EU68" i="16506"/>
  <c r="EU67" i="16506" s="1"/>
  <c r="EW68" i="16506"/>
  <c r="EX68" i="16506"/>
  <c r="EZ68" i="16506"/>
  <c r="EZ67" i="16506" s="1"/>
  <c r="EY68" i="16506"/>
  <c r="FA68" i="16506"/>
  <c r="FA67" i="16506" s="1"/>
  <c r="FB68" i="16506"/>
  <c r="FD68" i="16506"/>
  <c r="FC68" i="16506"/>
  <c r="FF68" i="16506"/>
  <c r="FE68" i="16506"/>
  <c r="FG68" i="16506"/>
  <c r="FH68" i="16506"/>
  <c r="FI68" i="16506"/>
  <c r="FI67" i="16506" s="1"/>
  <c r="CQ129" i="16457"/>
  <c r="BY119" i="16457"/>
  <c r="DS64" i="16457"/>
  <c r="BG63" i="16457"/>
  <c r="DK64" i="16457"/>
  <c r="AY63" i="16457"/>
  <c r="DZ64" i="16457"/>
  <c r="BN63" i="16457"/>
  <c r="EE64" i="16457"/>
  <c r="BS63" i="16457"/>
  <c r="CN129" i="16457"/>
  <c r="BN72" i="16457"/>
  <c r="BN129" i="16457" s="1"/>
  <c r="DZ71" i="16457"/>
  <c r="AY72" i="16457"/>
  <c r="AY129" i="16457" s="1"/>
  <c r="DK71" i="16457"/>
  <c r="BC72" i="16457"/>
  <c r="BC129" i="16457" s="1"/>
  <c r="DO71" i="16457"/>
  <c r="BU72" i="16457"/>
  <c r="BU129" i="16457" s="1"/>
  <c r="EG71" i="16457"/>
  <c r="CX129" i="16457"/>
  <c r="DG67" i="16457"/>
  <c r="AU66" i="16457"/>
  <c r="DX67" i="16457"/>
  <c r="BL66" i="16457"/>
  <c r="DI67" i="16457"/>
  <c r="AW66" i="16457"/>
  <c r="BS66" i="16457"/>
  <c r="EE67" i="16457"/>
  <c r="EA70" i="16457"/>
  <c r="BO69" i="16457"/>
  <c r="DU70" i="16457"/>
  <c r="BI69" i="16457"/>
  <c r="DT70" i="16457"/>
  <c r="BH69" i="16457"/>
  <c r="EF70" i="16457"/>
  <c r="BT69" i="16457"/>
  <c r="DP70" i="16506"/>
  <c r="DO70" i="16506"/>
  <c r="DF70" i="16506"/>
  <c r="EF71" i="16506"/>
  <c r="EG71" i="16506"/>
  <c r="EH71" i="16506"/>
  <c r="EJ71" i="16506"/>
  <c r="EI71" i="16506"/>
  <c r="EL71" i="16506"/>
  <c r="EK71" i="16506"/>
  <c r="EM71" i="16506"/>
  <c r="EN71" i="16506"/>
  <c r="EO71" i="16506"/>
  <c r="EP71" i="16506"/>
  <c r="EQ71" i="16506"/>
  <c r="ES71" i="16506"/>
  <c r="ET71" i="16506"/>
  <c r="ER71" i="16506"/>
  <c r="EV71" i="16506"/>
  <c r="EU71" i="16506"/>
  <c r="EW71" i="16506"/>
  <c r="EX71" i="16506"/>
  <c r="EY71" i="16506"/>
  <c r="EZ71" i="16506"/>
  <c r="FA71" i="16506"/>
  <c r="FB71" i="16506"/>
  <c r="FE71" i="16506"/>
  <c r="FC71" i="16506"/>
  <c r="FD71" i="16506"/>
  <c r="FG71" i="16506"/>
  <c r="FF71" i="16506"/>
  <c r="FH71" i="16506"/>
  <c r="FI71" i="16506"/>
  <c r="DI73" i="16506"/>
  <c r="DA73" i="16506"/>
  <c r="DF73" i="16506"/>
  <c r="DP73" i="16506"/>
  <c r="DS67" i="16506"/>
  <c r="DG67" i="16506"/>
  <c r="DA67" i="16506"/>
  <c r="DG64" i="16457"/>
  <c r="AU63" i="16457"/>
  <c r="DF64" i="16457"/>
  <c r="AT63" i="16457"/>
  <c r="DU64" i="16457"/>
  <c r="BI63" i="16457"/>
  <c r="EG64" i="16457"/>
  <c r="BU63" i="16457"/>
  <c r="CA129" i="16457"/>
  <c r="CR119" i="16457"/>
  <c r="BD72" i="16457"/>
  <c r="BD129" i="16457" s="1"/>
  <c r="DP71" i="16457"/>
  <c r="BE72" i="16457"/>
  <c r="BE129" i="16457" s="1"/>
  <c r="DQ71" i="16457"/>
  <c r="AZ72" i="16457"/>
  <c r="AZ129" i="16457" s="1"/>
  <c r="DL71" i="16457"/>
  <c r="BT72" i="16457"/>
  <c r="BT129" i="16457" s="1"/>
  <c r="EF71" i="16457"/>
  <c r="CW129" i="16457"/>
  <c r="CV129" i="16457"/>
  <c r="DO67" i="16457"/>
  <c r="BC66" i="16457"/>
  <c r="BT66" i="16457"/>
  <c r="EF67" i="16457"/>
  <c r="DJ67" i="16457"/>
  <c r="AX66" i="16457"/>
  <c r="DU67" i="16457"/>
  <c r="BI66" i="16457"/>
  <c r="DZ70" i="16457"/>
  <c r="BN69" i="16457"/>
  <c r="DM70" i="16457"/>
  <c r="BA69" i="16457"/>
  <c r="DP70" i="16457"/>
  <c r="BD69" i="16457"/>
  <c r="EE70" i="16457"/>
  <c r="BS69" i="16457"/>
  <c r="DW70" i="16506"/>
  <c r="DE70" i="16506"/>
  <c r="DX70" i="16506"/>
  <c r="ED73" i="16506"/>
  <c r="DK73" i="16506"/>
  <c r="DC73" i="16506"/>
  <c r="EF74" i="16506"/>
  <c r="EG74" i="16506"/>
  <c r="EH74" i="16506"/>
  <c r="EI74" i="16506"/>
  <c r="EJ74" i="16506"/>
  <c r="EK74" i="16506"/>
  <c r="EM74" i="16506"/>
  <c r="EL74" i="16506"/>
  <c r="EN74" i="16506"/>
  <c r="EO74" i="16506"/>
  <c r="EP74" i="16506"/>
  <c r="EQ74" i="16506"/>
  <c r="ES74" i="16506"/>
  <c r="ER74" i="16506"/>
  <c r="ET74" i="16506"/>
  <c r="EU74" i="16506"/>
  <c r="EW74" i="16506"/>
  <c r="EV74" i="16506"/>
  <c r="EZ74" i="16506"/>
  <c r="EY74" i="16506"/>
  <c r="EX74" i="16506"/>
  <c r="FA74" i="16506"/>
  <c r="FC74" i="16506"/>
  <c r="FB74" i="16506"/>
  <c r="FD74" i="16506"/>
  <c r="FE74" i="16506"/>
  <c r="FG74" i="16506"/>
  <c r="FF74" i="16506"/>
  <c r="FH74" i="16506"/>
  <c r="FI74" i="16506"/>
  <c r="DV67" i="16506"/>
  <c r="DQ67" i="16506"/>
  <c r="DK67" i="16506"/>
  <c r="CJ119" i="16457"/>
  <c r="DJ64" i="16457"/>
  <c r="AX63" i="16457"/>
  <c r="DR64" i="16457"/>
  <c r="BF63" i="16457"/>
  <c r="DP64" i="16457"/>
  <c r="BD63" i="16457"/>
  <c r="EC64" i="16457"/>
  <c r="BQ63" i="16457"/>
  <c r="DA129" i="16457"/>
  <c r="BH72" i="16457"/>
  <c r="BH129" i="16457" s="1"/>
  <c r="DT71" i="16457"/>
  <c r="CE129" i="16457"/>
  <c r="CO119" i="16457"/>
  <c r="DE67" i="16457"/>
  <c r="AS66" i="16457"/>
  <c r="DR67" i="16457"/>
  <c r="BF66" i="16457"/>
  <c r="BQ66" i="16457"/>
  <c r="EC67" i="16457"/>
  <c r="BR66" i="16457"/>
  <c r="ED67" i="16457"/>
  <c r="DR70" i="16457"/>
  <c r="BF69" i="16457"/>
  <c r="DI70" i="16457"/>
  <c r="AW69" i="16457"/>
  <c r="DL70" i="16457"/>
  <c r="AZ69" i="16457"/>
  <c r="EB70" i="16457"/>
  <c r="BP69" i="16457"/>
  <c r="CK119" i="16457"/>
  <c r="ED70" i="16506"/>
  <c r="DJ70" i="16506"/>
  <c r="DI70" i="16506"/>
  <c r="DD73" i="16506"/>
  <c r="DG73" i="16506"/>
  <c r="DQ73" i="16506"/>
  <c r="DL67" i="16506"/>
  <c r="DJ67" i="16506"/>
  <c r="DU67" i="16506"/>
  <c r="BX129" i="16457"/>
  <c r="DD72" i="16457"/>
  <c r="DD129" i="16457" s="1"/>
  <c r="BW72" i="16457"/>
  <c r="BW129" i="16457" s="1"/>
  <c r="CG129" i="16457"/>
  <c r="DT64" i="16457"/>
  <c r="BH63" i="16457"/>
  <c r="DM64" i="16457"/>
  <c r="BA63" i="16457"/>
  <c r="DY64" i="16457"/>
  <c r="BM63" i="16457"/>
  <c r="EB64" i="16457"/>
  <c r="BP63" i="16457"/>
  <c r="DS66" i="16506" l="1"/>
  <c r="EB72" i="16457"/>
  <c r="EB129" i="16457" s="1"/>
  <c r="DW72" i="16457"/>
  <c r="DW129" i="16457" s="1"/>
  <c r="EX67" i="16506"/>
  <c r="DV66" i="16506"/>
  <c r="EC72" i="16457"/>
  <c r="EC129" i="16457" s="1"/>
  <c r="DN66" i="16506"/>
  <c r="DR66" i="16506"/>
  <c r="DS72" i="16457"/>
  <c r="DS129" i="16457" s="1"/>
  <c r="EI73" i="16506"/>
  <c r="EJ70" i="16506"/>
  <c r="DM72" i="16457"/>
  <c r="DM129" i="16457" s="1"/>
  <c r="FA70" i="16506"/>
  <c r="ES70" i="16506"/>
  <c r="EH70" i="16506"/>
  <c r="EQ67" i="16506"/>
  <c r="EP70" i="16506"/>
  <c r="EH73" i="16506"/>
  <c r="DG72" i="16457"/>
  <c r="DG129" i="16457" s="1"/>
  <c r="EF67" i="16506"/>
  <c r="EQ70" i="16506"/>
  <c r="ER70" i="16506"/>
  <c r="EO70" i="16506"/>
  <c r="EF70" i="16506"/>
  <c r="EM70" i="16506"/>
  <c r="EV70" i="16506"/>
  <c r="EA72" i="16457"/>
  <c r="EA129" i="16457" s="1"/>
  <c r="EV67" i="16506"/>
  <c r="EG73" i="16506"/>
  <c r="FE67" i="16506"/>
  <c r="EF73" i="16506"/>
  <c r="FG67" i="16506"/>
  <c r="FB73" i="16506"/>
  <c r="EU73" i="16506"/>
  <c r="FI70" i="16506"/>
  <c r="EO67" i="16506"/>
  <c r="EW67" i="16506"/>
  <c r="FC70" i="16506"/>
  <c r="EU70" i="16506"/>
  <c r="EN70" i="16506"/>
  <c r="EG67" i="16506"/>
  <c r="DI72" i="16457"/>
  <c r="DI129" i="16457" s="1"/>
  <c r="FD67" i="16506"/>
  <c r="EJ73" i="16506"/>
  <c r="EK70" i="16506"/>
  <c r="DR72" i="16457"/>
  <c r="DR129" i="16457" s="1"/>
  <c r="DP72" i="16457"/>
  <c r="DP129" i="16457" s="1"/>
  <c r="ER73" i="16506"/>
  <c r="DU66" i="16506"/>
  <c r="DE66" i="16506"/>
  <c r="EL70" i="16506"/>
  <c r="DZ72" i="16457"/>
  <c r="DZ129" i="16457" s="1"/>
  <c r="DH72" i="16457"/>
  <c r="DH129" i="16457" s="1"/>
  <c r="FH70" i="16506"/>
  <c r="EZ70" i="16506"/>
  <c r="DJ66" i="16506"/>
  <c r="DK66" i="16506"/>
  <c r="DL66" i="16506"/>
  <c r="DQ66" i="16506"/>
  <c r="EF72" i="16457"/>
  <c r="EF129" i="16457" s="1"/>
  <c r="FC67" i="16506"/>
  <c r="DC66" i="16506"/>
  <c r="FA73" i="16506"/>
  <c r="EA69" i="16457"/>
  <c r="EA136" i="16457" s="1"/>
  <c r="BO136" i="16457"/>
  <c r="BO159" i="16457" s="1"/>
  <c r="AD62" i="16501" s="1"/>
  <c r="DG66" i="16457"/>
  <c r="DG135" i="16457" s="1"/>
  <c r="AU135" i="16457"/>
  <c r="AU158" i="16457" s="1"/>
  <c r="J61" i="16501" s="1"/>
  <c r="DG69" i="16457"/>
  <c r="DG136" i="16457" s="1"/>
  <c r="AU136" i="16457"/>
  <c r="AU159" i="16457" s="1"/>
  <c r="J62" i="16501" s="1"/>
  <c r="BR135" i="16457"/>
  <c r="BR158" i="16457" s="1"/>
  <c r="AG61" i="16501" s="1"/>
  <c r="ED66" i="16457"/>
  <c r="ED135" i="16457" s="1"/>
  <c r="DL69" i="16457"/>
  <c r="DL136" i="16457" s="1"/>
  <c r="AZ136" i="16457"/>
  <c r="AZ159" i="16457" s="1"/>
  <c r="O62" i="16501" s="1"/>
  <c r="CW152" i="16457"/>
  <c r="CW169" i="16457" s="1"/>
  <c r="CW147" i="16457"/>
  <c r="BN152" i="16457"/>
  <c r="BQ135" i="16457"/>
  <c r="BQ158" i="16457" s="1"/>
  <c r="AF61" i="16501" s="1"/>
  <c r="EC66" i="16457"/>
  <c r="EC135" i="16457" s="1"/>
  <c r="DK72" i="16457"/>
  <c r="DK129" i="16457" s="1"/>
  <c r="EG72" i="16457"/>
  <c r="EG129" i="16457" s="1"/>
  <c r="EL73" i="16506"/>
  <c r="BD152" i="16457"/>
  <c r="BI134" i="16457"/>
  <c r="BI157" i="16457" s="1"/>
  <c r="X60" i="16501" s="1"/>
  <c r="DU63" i="16457"/>
  <c r="DU134" i="16457" s="1"/>
  <c r="DA66" i="16506"/>
  <c r="H67" i="16506"/>
  <c r="BS135" i="16457"/>
  <c r="BS158" i="16457" s="1"/>
  <c r="AH61" i="16501" s="1"/>
  <c r="EE66" i="16457"/>
  <c r="EE135" i="16457" s="1"/>
  <c r="CN152" i="16457"/>
  <c r="CN169" i="16457" s="1"/>
  <c r="CN147" i="16457"/>
  <c r="BG134" i="16457"/>
  <c r="BG157" i="16457" s="1"/>
  <c r="V60" i="16501" s="1"/>
  <c r="DS63" i="16457"/>
  <c r="DS134" i="16457" s="1"/>
  <c r="FE73" i="16506"/>
  <c r="EV73" i="16506"/>
  <c r="EO73" i="16506"/>
  <c r="BJ134" i="16457"/>
  <c r="BJ157" i="16457" s="1"/>
  <c r="Y60" i="16501" s="1"/>
  <c r="DV63" i="16457"/>
  <c r="DV134" i="16457" s="1"/>
  <c r="DT66" i="16506"/>
  <c r="BQ136" i="16457"/>
  <c r="BQ159" i="16457" s="1"/>
  <c r="AF62" i="16501" s="1"/>
  <c r="AF16" i="16501" s="1"/>
  <c r="EC69" i="16457"/>
  <c r="EC136" i="16457" s="1"/>
  <c r="EA66" i="16457"/>
  <c r="EA135" i="16457" s="1"/>
  <c r="BO135" i="16457"/>
  <c r="BO158" i="16457" s="1"/>
  <c r="AD61" i="16501" s="1"/>
  <c r="CT152" i="16457"/>
  <c r="CT169" i="16457" s="1"/>
  <c r="CT147" i="16457"/>
  <c r="AZ134" i="16457"/>
  <c r="AZ157" i="16457" s="1"/>
  <c r="O60" i="16501" s="1"/>
  <c r="DL63" i="16457"/>
  <c r="DL134" i="16457" s="1"/>
  <c r="CC152" i="16457"/>
  <c r="CC169" i="16457" s="1"/>
  <c r="CC147" i="16457"/>
  <c r="EY70" i="16506"/>
  <c r="CB152" i="16457"/>
  <c r="CB169" i="16457" s="1"/>
  <c r="CB147" i="16457"/>
  <c r="EL67" i="16506"/>
  <c r="BG152" i="16457"/>
  <c r="DO69" i="16457"/>
  <c r="DO136" i="16457" s="1"/>
  <c r="BC136" i="16457"/>
  <c r="BC159" i="16457" s="1"/>
  <c r="R62" i="16501" s="1"/>
  <c r="DD66" i="16457"/>
  <c r="DD135" i="16457" s="1"/>
  <c r="AR135" i="16457"/>
  <c r="AR158" i="16457" s="1"/>
  <c r="G61" i="16501" s="1"/>
  <c r="CF152" i="16457"/>
  <c r="CF169" i="16457" s="1"/>
  <c r="CF147" i="16457"/>
  <c r="DE66" i="16457"/>
  <c r="DE135" i="16457" s="1"/>
  <c r="AS135" i="16457"/>
  <c r="AS158" i="16457" s="1"/>
  <c r="H61" i="16501" s="1"/>
  <c r="DP69" i="16457"/>
  <c r="DP136" i="16457" s="1"/>
  <c r="BD136" i="16457"/>
  <c r="BD159" i="16457" s="1"/>
  <c r="S62" i="16501" s="1"/>
  <c r="S16" i="16501" s="1"/>
  <c r="BM134" i="16457"/>
  <c r="BM157" i="16457" s="1"/>
  <c r="AB60" i="16501" s="1"/>
  <c r="DY63" i="16457"/>
  <c r="DY134" i="16457" s="1"/>
  <c r="BW152" i="16457"/>
  <c r="BW169" i="16457" s="1"/>
  <c r="BW147" i="16457"/>
  <c r="EE69" i="16457"/>
  <c r="EE136" i="16457" s="1"/>
  <c r="BS136" i="16457"/>
  <c r="BS159" i="16457" s="1"/>
  <c r="AH62" i="16501" s="1"/>
  <c r="DU66" i="16457"/>
  <c r="DU135" i="16457" s="1"/>
  <c r="BI135" i="16457"/>
  <c r="BI158" i="16457" s="1"/>
  <c r="X61" i="16501" s="1"/>
  <c r="CV152" i="16457"/>
  <c r="CV169" i="16457" s="1"/>
  <c r="CV147" i="16457"/>
  <c r="DT69" i="16457"/>
  <c r="DT136" i="16457" s="1"/>
  <c r="BH136" i="16457"/>
  <c r="BH159" i="16457" s="1"/>
  <c r="W62" i="16501" s="1"/>
  <c r="CX152" i="16457"/>
  <c r="CX169" i="16457" s="1"/>
  <c r="CX147" i="16457"/>
  <c r="DX69" i="16457"/>
  <c r="DX136" i="16457" s="1"/>
  <c r="BL136" i="16457"/>
  <c r="BL159" i="16457" s="1"/>
  <c r="AA62" i="16501" s="1"/>
  <c r="DV66" i="16457"/>
  <c r="DV135" i="16457" s="1"/>
  <c r="BJ135" i="16457"/>
  <c r="BJ158" i="16457" s="1"/>
  <c r="Y61" i="16501" s="1"/>
  <c r="FD73" i="16506"/>
  <c r="EW73" i="16506"/>
  <c r="EN73" i="16506"/>
  <c r="FH67" i="16506"/>
  <c r="CS152" i="16457"/>
  <c r="CS169" i="16457" s="1"/>
  <c r="CS147" i="16457"/>
  <c r="DW69" i="16457"/>
  <c r="DW136" i="16457" s="1"/>
  <c r="BK136" i="16457"/>
  <c r="BK159" i="16457" s="1"/>
  <c r="Z62" i="16501" s="1"/>
  <c r="Z16" i="16501" s="1"/>
  <c r="DK66" i="16457"/>
  <c r="DK135" i="16457" s="1"/>
  <c r="AY135" i="16457"/>
  <c r="AY158" i="16457" s="1"/>
  <c r="N61" i="16501" s="1"/>
  <c r="EK67" i="16506"/>
  <c r="BR152" i="16457"/>
  <c r="BL134" i="16457"/>
  <c r="BL157" i="16457" s="1"/>
  <c r="AA60" i="16501" s="1"/>
  <c r="DX63" i="16457"/>
  <c r="DX134" i="16457" s="1"/>
  <c r="DY69" i="16457"/>
  <c r="DY136" i="16457" s="1"/>
  <c r="BM136" i="16457"/>
  <c r="BM159" i="16457" s="1"/>
  <c r="AB62" i="16501" s="1"/>
  <c r="AB16" i="16501" s="1"/>
  <c r="DP66" i="16457"/>
  <c r="DP135" i="16457" s="1"/>
  <c r="BD135" i="16457"/>
  <c r="BD158" i="16457" s="1"/>
  <c r="S61" i="16501" s="1"/>
  <c r="ET67" i="16506"/>
  <c r="DC67" i="16457"/>
  <c r="AQ66" i="16457"/>
  <c r="AU152" i="16457"/>
  <c r="DL72" i="16457"/>
  <c r="DL129" i="16457" s="1"/>
  <c r="BA134" i="16457"/>
  <c r="BA157" i="16457" s="1"/>
  <c r="P60" i="16501" s="1"/>
  <c r="DM63" i="16457"/>
  <c r="DM134" i="16457" s="1"/>
  <c r="DI69" i="16457"/>
  <c r="DI136" i="16457" s="1"/>
  <c r="AW136" i="16457"/>
  <c r="AW159" i="16457" s="1"/>
  <c r="L62" i="16501" s="1"/>
  <c r="L16" i="16501" s="1"/>
  <c r="DR66" i="16457"/>
  <c r="DR135" i="16457" s="1"/>
  <c r="BF135" i="16457"/>
  <c r="BF158" i="16457" s="1"/>
  <c r="U61" i="16501" s="1"/>
  <c r="BQ134" i="16457"/>
  <c r="BQ157" i="16457" s="1"/>
  <c r="AF60" i="16501" s="1"/>
  <c r="EC63" i="16457"/>
  <c r="EC134" i="16457" s="1"/>
  <c r="DI66" i="16457"/>
  <c r="DI135" i="16457" s="1"/>
  <c r="AW135" i="16457"/>
  <c r="AW158" i="16457" s="1"/>
  <c r="L61" i="16501" s="1"/>
  <c r="BU152" i="16457"/>
  <c r="DT72" i="16457"/>
  <c r="DT129" i="16457" s="1"/>
  <c r="AT152" i="16457"/>
  <c r="BI152" i="16457"/>
  <c r="EN67" i="16506"/>
  <c r="FI73" i="16506"/>
  <c r="EK73" i="16506"/>
  <c r="H73" i="16506"/>
  <c r="BT152" i="16457"/>
  <c r="AT134" i="16457"/>
  <c r="AT157" i="16457" s="1"/>
  <c r="I60" i="16501" s="1"/>
  <c r="DF63" i="16457"/>
  <c r="DF134" i="16457" s="1"/>
  <c r="DG66" i="16506"/>
  <c r="EI70" i="16506"/>
  <c r="ED72" i="16457"/>
  <c r="ED129" i="16457" s="1"/>
  <c r="BS134" i="16457"/>
  <c r="BS157" i="16457" s="1"/>
  <c r="AH60" i="16501" s="1"/>
  <c r="EE63" i="16457"/>
  <c r="EE134" i="16457" s="1"/>
  <c r="EY67" i="16506"/>
  <c r="FC73" i="16506"/>
  <c r="ET73" i="16506"/>
  <c r="EM73" i="16506"/>
  <c r="AW134" i="16457"/>
  <c r="AW157" i="16457" s="1"/>
  <c r="L60" i="16501" s="1"/>
  <c r="DI63" i="16457"/>
  <c r="DI134" i="16457" s="1"/>
  <c r="DM66" i="16506"/>
  <c r="DE69" i="16457"/>
  <c r="DE136" i="16457" s="1"/>
  <c r="AS136" i="16457"/>
  <c r="AS159" i="16457" s="1"/>
  <c r="H62" i="16501" s="1"/>
  <c r="DZ66" i="16457"/>
  <c r="DZ135" i="16457" s="1"/>
  <c r="BN135" i="16457"/>
  <c r="BN158" i="16457" s="1"/>
  <c r="AC61" i="16501" s="1"/>
  <c r="CL152" i="16457"/>
  <c r="CL169" i="16457" s="1"/>
  <c r="CL147" i="16457"/>
  <c r="DC64" i="16457"/>
  <c r="AQ63" i="16457"/>
  <c r="FG70" i="16506"/>
  <c r="DY72" i="16457"/>
  <c r="DY129" i="16457" s="1"/>
  <c r="ES67" i="16506"/>
  <c r="CU152" i="16457"/>
  <c r="CU169" i="16457" s="1"/>
  <c r="CU147" i="16457"/>
  <c r="DL66" i="16457"/>
  <c r="DL135" i="16457" s="1"/>
  <c r="AZ135" i="16457"/>
  <c r="AZ158" i="16457" s="1"/>
  <c r="O61" i="16501" s="1"/>
  <c r="FB67" i="16506"/>
  <c r="BC134" i="16457"/>
  <c r="BC157" i="16457" s="1"/>
  <c r="R60" i="16501" s="1"/>
  <c r="DO63" i="16457"/>
  <c r="DO134" i="16457" s="1"/>
  <c r="AX136" i="16457"/>
  <c r="AX159" i="16457" s="1"/>
  <c r="M62" i="16501" s="1"/>
  <c r="DJ69" i="16457"/>
  <c r="DJ136" i="16457" s="1"/>
  <c r="CP152" i="16457"/>
  <c r="CP169" i="16457" s="1"/>
  <c r="CP147" i="16457"/>
  <c r="DR69" i="16457"/>
  <c r="DR136" i="16457" s="1"/>
  <c r="BF136" i="16457"/>
  <c r="BF159" i="16457" s="1"/>
  <c r="U62" i="16501" s="1"/>
  <c r="DU69" i="16457"/>
  <c r="DU136" i="16457" s="1"/>
  <c r="BI136" i="16457"/>
  <c r="BI159" i="16457" s="1"/>
  <c r="X62" i="16501" s="1"/>
  <c r="X16" i="16501" s="1"/>
  <c r="DX66" i="16457"/>
  <c r="DX135" i="16457" s="1"/>
  <c r="BL135" i="16457"/>
  <c r="BL158" i="16457" s="1"/>
  <c r="AA61" i="16501" s="1"/>
  <c r="BC152" i="16457"/>
  <c r="CQ152" i="16457"/>
  <c r="CQ169" i="16457" s="1"/>
  <c r="CQ147" i="16457"/>
  <c r="DS69" i="16457"/>
  <c r="DS136" i="16457" s="1"/>
  <c r="BG136" i="16457"/>
  <c r="BG159" i="16457" s="1"/>
  <c r="V62" i="16501" s="1"/>
  <c r="V16" i="16501" s="1"/>
  <c r="DN66" i="16457"/>
  <c r="DN135" i="16457" s="1"/>
  <c r="BB135" i="16457"/>
  <c r="BB158" i="16457" s="1"/>
  <c r="Q61" i="16501" s="1"/>
  <c r="L253" i="16460"/>
  <c r="AR134" i="16457"/>
  <c r="DD63" i="16457"/>
  <c r="DD134" i="16457" s="1"/>
  <c r="DH66" i="16506"/>
  <c r="FF70" i="16506"/>
  <c r="EX70" i="16506"/>
  <c r="ED69" i="16457"/>
  <c r="ED136" i="16457" s="1"/>
  <c r="BR136" i="16457"/>
  <c r="BR159" i="16457" s="1"/>
  <c r="AG62" i="16501" s="1"/>
  <c r="AG16" i="16501" s="1"/>
  <c r="DW66" i="16457"/>
  <c r="DW135" i="16457" s="1"/>
  <c r="BK135" i="16457"/>
  <c r="BK158" i="16457" s="1"/>
  <c r="Z61" i="16501" s="1"/>
  <c r="CM152" i="16457"/>
  <c r="CM169" i="16457" s="1"/>
  <c r="CM147" i="16457"/>
  <c r="BA152" i="16457"/>
  <c r="AS134" i="16457"/>
  <c r="AS157" i="16457" s="1"/>
  <c r="H60" i="16501" s="1"/>
  <c r="DE63" i="16457"/>
  <c r="DE134" i="16457" s="1"/>
  <c r="DX66" i="16506"/>
  <c r="DV69" i="16457"/>
  <c r="DV136" i="16457" s="1"/>
  <c r="BJ136" i="16457"/>
  <c r="BJ159" i="16457" s="1"/>
  <c r="Y62" i="16501" s="1"/>
  <c r="Y16" i="16501" s="1"/>
  <c r="DW66" i="16506"/>
  <c r="BZ152" i="16457"/>
  <c r="BZ169" i="16457" s="1"/>
  <c r="BZ147" i="16457"/>
  <c r="DV72" i="16457"/>
  <c r="DV129" i="16457" s="1"/>
  <c r="BM152" i="16457"/>
  <c r="BQ152" i="16457"/>
  <c r="CH152" i="16457"/>
  <c r="CH169" i="16457" s="1"/>
  <c r="CH147" i="16457"/>
  <c r="CA152" i="16457"/>
  <c r="CA169" i="16457" s="1"/>
  <c r="CA147" i="16457"/>
  <c r="AU134" i="16457"/>
  <c r="AU157" i="16457" s="1"/>
  <c r="J60" i="16501" s="1"/>
  <c r="DG63" i="16457"/>
  <c r="DG134" i="16457" s="1"/>
  <c r="BN134" i="16457"/>
  <c r="BN157" i="16457" s="1"/>
  <c r="AC60" i="16501" s="1"/>
  <c r="DZ63" i="16457"/>
  <c r="DZ134" i="16457" s="1"/>
  <c r="H70" i="16506"/>
  <c r="BY152" i="16457"/>
  <c r="BY169" i="16457" s="1"/>
  <c r="BY147" i="16457"/>
  <c r="EZ73" i="16506"/>
  <c r="ES73" i="16506"/>
  <c r="BT134" i="16457"/>
  <c r="BT157" i="16457" s="1"/>
  <c r="AI60" i="16501" s="1"/>
  <c r="EF63" i="16457"/>
  <c r="EF134" i="16457" s="1"/>
  <c r="AT136" i="16457"/>
  <c r="AT159" i="16457" s="1"/>
  <c r="I62" i="16501" s="1"/>
  <c r="DF69" i="16457"/>
  <c r="DF136" i="16457" s="1"/>
  <c r="FE70" i="16506"/>
  <c r="EW70" i="16506"/>
  <c r="EG70" i="16506"/>
  <c r="BB152" i="16457"/>
  <c r="BO134" i="16457"/>
  <c r="BO157" i="16457" s="1"/>
  <c r="AD60" i="16501" s="1"/>
  <c r="EA63" i="16457"/>
  <c r="EA134" i="16457" s="1"/>
  <c r="CZ152" i="16457"/>
  <c r="CZ169" i="16457" s="1"/>
  <c r="CZ147" i="16457"/>
  <c r="DF72" i="16457"/>
  <c r="DF129" i="16457" s="1"/>
  <c r="DN72" i="16457"/>
  <c r="DN129" i="16457" s="1"/>
  <c r="AY152" i="16457"/>
  <c r="ED66" i="16506"/>
  <c r="DM66" i="16457"/>
  <c r="DM135" i="16457" s="1"/>
  <c r="BA135" i="16457"/>
  <c r="BA158" i="16457" s="1"/>
  <c r="P61" i="16501" s="1"/>
  <c r="AX152" i="16457"/>
  <c r="BU135" i="16457"/>
  <c r="BU158" i="16457" s="1"/>
  <c r="AJ61" i="16501" s="1"/>
  <c r="EG66" i="16457"/>
  <c r="EG135" i="16457" s="1"/>
  <c r="CK152" i="16457"/>
  <c r="CK169" i="16457" s="1"/>
  <c r="CK147" i="16457"/>
  <c r="AQ72" i="16457"/>
  <c r="AS129" i="16457"/>
  <c r="BB134" i="16457"/>
  <c r="BB157" i="16457" s="1"/>
  <c r="Q60" i="16501" s="1"/>
  <c r="DN63" i="16457"/>
  <c r="DN134" i="16457" s="1"/>
  <c r="DP66" i="16506"/>
  <c r="FD70" i="16506"/>
  <c r="DQ69" i="16457"/>
  <c r="DQ136" i="16457" s="1"/>
  <c r="BE136" i="16457"/>
  <c r="BE159" i="16457" s="1"/>
  <c r="T62" i="16501" s="1"/>
  <c r="T16" i="16501" s="1"/>
  <c r="DQ66" i="16457"/>
  <c r="DQ135" i="16457" s="1"/>
  <c r="BE135" i="16457"/>
  <c r="BE158" i="16457" s="1"/>
  <c r="T61" i="16501" s="1"/>
  <c r="CJ152" i="16457"/>
  <c r="CJ169" i="16457" s="1"/>
  <c r="CJ147" i="16457"/>
  <c r="BF152" i="16457"/>
  <c r="DO66" i="16506"/>
  <c r="DF66" i="16457"/>
  <c r="DF135" i="16457" s="1"/>
  <c r="AT135" i="16457"/>
  <c r="AT158" i="16457" s="1"/>
  <c r="I61" i="16501" s="1"/>
  <c r="BP152" i="16457"/>
  <c r="BO152" i="16457"/>
  <c r="CR152" i="16457"/>
  <c r="CR169" i="16457" s="1"/>
  <c r="CR147" i="16457"/>
  <c r="BH152" i="16457"/>
  <c r="BT135" i="16457"/>
  <c r="BT158" i="16457" s="1"/>
  <c r="AI61" i="16501" s="1"/>
  <c r="EF66" i="16457"/>
  <c r="EF135" i="16457" s="1"/>
  <c r="BE152" i="16457"/>
  <c r="BU134" i="16457"/>
  <c r="BU157" i="16457" s="1"/>
  <c r="AJ60" i="16501" s="1"/>
  <c r="EG63" i="16457"/>
  <c r="EG134" i="16457" s="1"/>
  <c r="BW119" i="16457"/>
  <c r="FF67" i="16506"/>
  <c r="AY134" i="16457"/>
  <c r="AY157" i="16457" s="1"/>
  <c r="N60" i="16501" s="1"/>
  <c r="DK63" i="16457"/>
  <c r="DK134" i="16457" s="1"/>
  <c r="FG73" i="16506"/>
  <c r="EX73" i="16506"/>
  <c r="EQ73" i="16506"/>
  <c r="CI152" i="16457"/>
  <c r="CI169" i="16457" s="1"/>
  <c r="CI147" i="16457"/>
  <c r="BK134" i="16457"/>
  <c r="BK157" i="16457" s="1"/>
  <c r="Z60" i="16501" s="1"/>
  <c r="DW63" i="16457"/>
  <c r="DW134" i="16457" s="1"/>
  <c r="DK69" i="16457"/>
  <c r="DK136" i="16457" s="1"/>
  <c r="AY136" i="16457"/>
  <c r="AY159" i="16457" s="1"/>
  <c r="N62" i="16501" s="1"/>
  <c r="DS66" i="16457"/>
  <c r="DS135" i="16457" s="1"/>
  <c r="BG135" i="16457"/>
  <c r="BG158" i="16457" s="1"/>
  <c r="V61" i="16501" s="1"/>
  <c r="DQ72" i="16457"/>
  <c r="DQ129" i="16457" s="1"/>
  <c r="BR134" i="16457"/>
  <c r="BR157" i="16457" s="1"/>
  <c r="AG60" i="16501" s="1"/>
  <c r="ED63" i="16457"/>
  <c r="ED134" i="16457" s="1"/>
  <c r="DC70" i="16457"/>
  <c r="AQ69" i="16457"/>
  <c r="DT66" i="16457"/>
  <c r="DT135" i="16457" s="1"/>
  <c r="BH135" i="16457"/>
  <c r="BH158" i="16457" s="1"/>
  <c r="W61" i="16501" s="1"/>
  <c r="CO152" i="16457"/>
  <c r="CO169" i="16457" s="1"/>
  <c r="CO147" i="16457"/>
  <c r="BS152" i="16457"/>
  <c r="CY152" i="16457"/>
  <c r="CY169" i="16457" s="1"/>
  <c r="CY147" i="16457"/>
  <c r="AV134" i="16457"/>
  <c r="AV157" i="16457" s="1"/>
  <c r="K60" i="16501" s="1"/>
  <c r="DH63" i="16457"/>
  <c r="DH134" i="16457" s="1"/>
  <c r="DH69" i="16457"/>
  <c r="DH136" i="16457" s="1"/>
  <c r="AV136" i="16457"/>
  <c r="AV159" i="16457" s="1"/>
  <c r="K62" i="16501" s="1"/>
  <c r="CD152" i="16457"/>
  <c r="CD169" i="16457" s="1"/>
  <c r="CD147" i="16457"/>
  <c r="DX72" i="16457"/>
  <c r="DX129" i="16457" s="1"/>
  <c r="BX152" i="16457"/>
  <c r="BX147" i="16457"/>
  <c r="BD134" i="16457"/>
  <c r="BD157" i="16457" s="1"/>
  <c r="S60" i="16501" s="1"/>
  <c r="DP63" i="16457"/>
  <c r="DP134" i="16457" s="1"/>
  <c r="DJ66" i="16457"/>
  <c r="DJ135" i="16457" s="1"/>
  <c r="AX135" i="16457"/>
  <c r="AX158" i="16457" s="1"/>
  <c r="M61" i="16501" s="1"/>
  <c r="AZ152" i="16457"/>
  <c r="BH134" i="16457"/>
  <c r="BH157" i="16457" s="1"/>
  <c r="W60" i="16501" s="1"/>
  <c r="DT63" i="16457"/>
  <c r="DT134" i="16457" s="1"/>
  <c r="EB69" i="16457"/>
  <c r="EB136" i="16457" s="1"/>
  <c r="BP136" i="16457"/>
  <c r="BP159" i="16457" s="1"/>
  <c r="AE62" i="16501" s="1"/>
  <c r="BF134" i="16457"/>
  <c r="BF157" i="16457" s="1"/>
  <c r="U60" i="16501" s="1"/>
  <c r="DR63" i="16457"/>
  <c r="DR134" i="16457" s="1"/>
  <c r="DM69" i="16457"/>
  <c r="DM136" i="16457" s="1"/>
  <c r="BA136" i="16457"/>
  <c r="BA159" i="16457" s="1"/>
  <c r="P62" i="16501" s="1"/>
  <c r="P16" i="16501" s="1"/>
  <c r="FH73" i="16506"/>
  <c r="BP134" i="16457"/>
  <c r="BP157" i="16457" s="1"/>
  <c r="AE60" i="16501" s="1"/>
  <c r="EB63" i="16457"/>
  <c r="EB134" i="16457" s="1"/>
  <c r="CG152" i="16457"/>
  <c r="CG169" i="16457" s="1"/>
  <c r="CG147" i="16457"/>
  <c r="CE152" i="16457"/>
  <c r="CE169" i="16457" s="1"/>
  <c r="CE147" i="16457"/>
  <c r="DA152" i="16457"/>
  <c r="DA169" i="16457" s="1"/>
  <c r="DA147" i="16457"/>
  <c r="AX134" i="16457"/>
  <c r="AX157" i="16457" s="1"/>
  <c r="M60" i="16501" s="1"/>
  <c r="DJ63" i="16457"/>
  <c r="DJ134" i="16457" s="1"/>
  <c r="DZ69" i="16457"/>
  <c r="DZ136" i="16457" s="1"/>
  <c r="BN136" i="16457"/>
  <c r="BN159" i="16457" s="1"/>
  <c r="AC62" i="16501" s="1"/>
  <c r="DO66" i="16457"/>
  <c r="DO135" i="16457" s="1"/>
  <c r="BC135" i="16457"/>
  <c r="BC158" i="16457" s="1"/>
  <c r="R61" i="16501" s="1"/>
  <c r="EF69" i="16457"/>
  <c r="EF136" i="16457" s="1"/>
  <c r="BT136" i="16457"/>
  <c r="BT159" i="16457" s="1"/>
  <c r="AI62" i="16501" s="1"/>
  <c r="DD66" i="16506"/>
  <c r="EG69" i="16457"/>
  <c r="EG136" i="16457" s="1"/>
  <c r="BU136" i="16457"/>
  <c r="BU159" i="16457" s="1"/>
  <c r="AJ62" i="16501" s="1"/>
  <c r="DH66" i="16457"/>
  <c r="DH135" i="16457" s="1"/>
  <c r="AV135" i="16457"/>
  <c r="AV158" i="16457" s="1"/>
  <c r="K61" i="16501" s="1"/>
  <c r="FF73" i="16506"/>
  <c r="EY73" i="16506"/>
  <c r="EP73" i="16506"/>
  <c r="BL152" i="16457"/>
  <c r="DO72" i="16457"/>
  <c r="DO129" i="16457" s="1"/>
  <c r="AW152" i="16457"/>
  <c r="DB66" i="16506"/>
  <c r="FB70" i="16506"/>
  <c r="ET70" i="16506"/>
  <c r="BB136" i="16457"/>
  <c r="BB159" i="16457" s="1"/>
  <c r="Q62" i="16501" s="1"/>
  <c r="DN69" i="16457"/>
  <c r="DN136" i="16457" s="1"/>
  <c r="DY66" i="16457"/>
  <c r="DY135" i="16457" s="1"/>
  <c r="BM135" i="16457"/>
  <c r="BM158" i="16457" s="1"/>
  <c r="AB61" i="16501" s="1"/>
  <c r="BJ152" i="16457"/>
  <c r="BE134" i="16457"/>
  <c r="BE157" i="16457" s="1"/>
  <c r="T60" i="16501" s="1"/>
  <c r="DQ63" i="16457"/>
  <c r="DQ134" i="16457" s="1"/>
  <c r="DI66" i="16506"/>
  <c r="DD69" i="16457"/>
  <c r="DD136" i="16457" s="1"/>
  <c r="AR136" i="16457"/>
  <c r="AR159" i="16457" s="1"/>
  <c r="G62" i="16501" s="1"/>
  <c r="DU72" i="16457"/>
  <c r="DU129" i="16457" s="1"/>
  <c r="EE72" i="16457"/>
  <c r="EE129" i="16457" s="1"/>
  <c r="DF66" i="16506"/>
  <c r="BP135" i="16457"/>
  <c r="BP158" i="16457" s="1"/>
  <c r="AE61" i="16501" s="1"/>
  <c r="EB66" i="16457"/>
  <c r="EB135" i="16457" s="1"/>
  <c r="BK152" i="16457"/>
  <c r="DJ72" i="16457"/>
  <c r="DJ129" i="16457" s="1"/>
  <c r="AV152" i="16457"/>
  <c r="EI66" i="16506" l="1"/>
  <c r="EQ66" i="16506"/>
  <c r="EH66" i="16506"/>
  <c r="EV66" i="16506"/>
  <c r="EJ66" i="16506"/>
  <c r="EP66" i="16506"/>
  <c r="FE66" i="16506"/>
  <c r="EG66" i="16506"/>
  <c r="FA66" i="16506"/>
  <c r="EZ66" i="16506"/>
  <c r="EM66" i="16506"/>
  <c r="EO66" i="16506"/>
  <c r="FI66" i="16506"/>
  <c r="FC66" i="16506"/>
  <c r="EW66" i="16506"/>
  <c r="FD66" i="16506"/>
  <c r="FG66" i="16506"/>
  <c r="EL66" i="16506"/>
  <c r="EX66" i="16506"/>
  <c r="ER66" i="16506"/>
  <c r="EU66" i="16506"/>
  <c r="EF66" i="16506"/>
  <c r="I73" i="16506"/>
  <c r="EK66" i="16506"/>
  <c r="T55" i="16501"/>
  <c r="I70" i="16506"/>
  <c r="F62" i="16501"/>
  <c r="Y55" i="16501"/>
  <c r="Z55" i="16501"/>
  <c r="L55" i="16501"/>
  <c r="BX169" i="16457"/>
  <c r="G55" i="16501"/>
  <c r="AS152" i="16457"/>
  <c r="R55" i="16501"/>
  <c r="FB66" i="16506"/>
  <c r="EY66" i="16506"/>
  <c r="DC66" i="16457"/>
  <c r="DC135" i="16457" s="1"/>
  <c r="AQ135" i="16457"/>
  <c r="V55" i="16501"/>
  <c r="S55" i="16501"/>
  <c r="O55" i="16501"/>
  <c r="DC69" i="16457"/>
  <c r="DC136" i="16457" s="1"/>
  <c r="AQ136" i="16457"/>
  <c r="FF66" i="16506"/>
  <c r="DC72" i="16457"/>
  <c r="DC129" i="16457" s="1"/>
  <c r="AQ129" i="16457"/>
  <c r="M55" i="16501"/>
  <c r="Q55" i="16501"/>
  <c r="P55" i="16501"/>
  <c r="EN66" i="16506"/>
  <c r="I55" i="16501"/>
  <c r="F61" i="16501"/>
  <c r="AD55" i="16501"/>
  <c r="AF55" i="16501"/>
  <c r="AQ134" i="16457"/>
  <c r="DC63" i="16457"/>
  <c r="DC134" i="16457" s="1"/>
  <c r="AG55" i="16501"/>
  <c r="AC55" i="16501"/>
  <c r="AA55" i="16501"/>
  <c r="W55" i="16501"/>
  <c r="FH66" i="16506"/>
  <c r="H66" i="16506"/>
  <c r="I67" i="16506"/>
  <c r="AH55" i="16501"/>
  <c r="AE55" i="16501"/>
  <c r="U55" i="16501"/>
  <c r="AB55" i="16501"/>
  <c r="AI55" i="16501"/>
  <c r="AJ55" i="16501"/>
  <c r="ET66" i="16506"/>
  <c r="AR157" i="16457"/>
  <c r="M253" i="16460"/>
  <c r="ES66" i="16506"/>
  <c r="X55" i="16501"/>
  <c r="K55" i="16501"/>
  <c r="N55" i="16501"/>
  <c r="J55" i="16501"/>
  <c r="N253" i="16460" l="1"/>
  <c r="G60" i="16501"/>
  <c r="G129" i="16457"/>
  <c r="AQ152" i="16457"/>
  <c r="AQ158" i="16457"/>
  <c r="G135" i="16457"/>
  <c r="H55" i="16501"/>
  <c r="F55" i="16501" s="1"/>
  <c r="I66" i="16506"/>
  <c r="G136" i="16457"/>
  <c r="AQ159" i="16457"/>
  <c r="AQ157" i="16457"/>
  <c r="G134" i="16457"/>
  <c r="O253" i="16460" l="1"/>
  <c r="F60" i="16501"/>
  <c r="P253" i="16460" l="1"/>
  <c r="Q253" i="16460" l="1"/>
  <c r="R253" i="16460" l="1"/>
  <c r="S253" i="16460" l="1"/>
  <c r="T253" i="16460" l="1"/>
  <c r="U253" i="16460" l="1"/>
  <c r="V253" i="16460" l="1"/>
  <c r="W253" i="16460" l="1"/>
  <c r="X253" i="16460" l="1"/>
  <c r="Y253" i="16460" l="1"/>
  <c r="Z253" i="16460" l="1"/>
  <c r="AA253" i="16460" l="1"/>
  <c r="AB253" i="16460" l="1"/>
  <c r="AC253" i="16460" l="1"/>
  <c r="AD253" i="16460" l="1"/>
  <c r="AE253" i="16460" l="1"/>
  <c r="AF253" i="16460" l="1"/>
  <c r="AG253" i="16460" l="1"/>
  <c r="AH253" i="16460" l="1"/>
  <c r="AI253" i="16460" l="1"/>
  <c r="AJ253" i="16460" l="1"/>
  <c r="AK253" i="16460" l="1"/>
  <c r="AL253" i="16460" l="1"/>
  <c r="H253" i="16460" l="1"/>
  <c r="F98" i="16513" l="1"/>
  <c r="G98" i="16513"/>
  <c r="H98" i="16513"/>
  <c r="I98" i="16513"/>
  <c r="J98" i="16513"/>
  <c r="K98" i="16513"/>
  <c r="L98" i="16513"/>
  <c r="M98" i="16513"/>
  <c r="N98" i="16513"/>
  <c r="O98" i="16513"/>
  <c r="P98" i="16513"/>
  <c r="Q98" i="16513"/>
  <c r="R98" i="16513"/>
  <c r="S98" i="16513"/>
  <c r="T98" i="16513"/>
  <c r="U98" i="16513"/>
  <c r="V98" i="16513"/>
  <c r="W98" i="16513"/>
  <c r="X98" i="16513"/>
  <c r="Y98" i="16513"/>
  <c r="Z98" i="16513"/>
  <c r="AA98" i="16513"/>
  <c r="AB98" i="16513"/>
  <c r="AC98" i="16513"/>
  <c r="AD98" i="16513"/>
  <c r="AE98" i="16513"/>
  <c r="AF98" i="16513"/>
  <c r="AG98" i="16513"/>
  <c r="AH98" i="16513"/>
  <c r="AI98" i="16513"/>
  <c r="BP98" i="16513"/>
  <c r="AJ98" i="16513" l="1"/>
  <c r="BE84" i="16457" l="1"/>
  <c r="DQ84" i="16457" s="1"/>
  <c r="Y87" i="16506"/>
  <c r="AB87" i="16506"/>
  <c r="BH84" i="16457"/>
  <c r="DT84" i="16457" s="1"/>
  <c r="BL84" i="16457"/>
  <c r="DX84" i="16457" s="1"/>
  <c r="AF87" i="16506"/>
  <c r="AC86" i="16506"/>
  <c r="BI83" i="16457"/>
  <c r="DU83" i="16457" s="1"/>
  <c r="R86" i="16506"/>
  <c r="AX83" i="16457"/>
  <c r="DJ83" i="16457" s="1"/>
  <c r="BR83" i="16457"/>
  <c r="ED83" i="16457" s="1"/>
  <c r="AL86" i="16506"/>
  <c r="X87" i="16506"/>
  <c r="BD84" i="16457"/>
  <c r="DP84" i="16457" s="1"/>
  <c r="AW84" i="16457"/>
  <c r="DI84" i="16457" s="1"/>
  <c r="Q87" i="16506"/>
  <c r="T87" i="16506"/>
  <c r="AZ84" i="16457"/>
  <c r="DL84" i="16457" s="1"/>
  <c r="Q86" i="16506"/>
  <c r="AW83" i="16457"/>
  <c r="DI83" i="16457" s="1"/>
  <c r="BO83" i="16457"/>
  <c r="EA83" i="16457" s="1"/>
  <c r="AI86" i="16506"/>
  <c r="BB83" i="16457"/>
  <c r="DN83" i="16457" s="1"/>
  <c r="V86" i="16506"/>
  <c r="AI87" i="16506"/>
  <c r="BO84" i="16457"/>
  <c r="EA84" i="16457" s="1"/>
  <c r="S87" i="16506"/>
  <c r="AY84" i="16457"/>
  <c r="DK84" i="16457" s="1"/>
  <c r="BI84" i="16457"/>
  <c r="DU84" i="16457" s="1"/>
  <c r="AC87" i="16506"/>
  <c r="BD83" i="16457"/>
  <c r="DP83" i="16457" s="1"/>
  <c r="X86" i="16506"/>
  <c r="BS83" i="16457"/>
  <c r="EE83" i="16457" s="1"/>
  <c r="AM86" i="16506"/>
  <c r="AH86" i="16506"/>
  <c r="BN83" i="16457"/>
  <c r="DZ83" i="16457" s="1"/>
  <c r="U87" i="16506"/>
  <c r="BA84" i="16457"/>
  <c r="DM84" i="16457" s="1"/>
  <c r="AK87" i="16506"/>
  <c r="BQ84" i="16457"/>
  <c r="EC84" i="16457" s="1"/>
  <c r="AJ87" i="16506"/>
  <c r="BP84" i="16457"/>
  <c r="EB84" i="16457" s="1"/>
  <c r="R87" i="16506"/>
  <c r="AX84" i="16457"/>
  <c r="DJ84" i="16457" s="1"/>
  <c r="S86" i="16506"/>
  <c r="AY83" i="16457"/>
  <c r="DK83" i="16457" s="1"/>
  <c r="AZ83" i="16457"/>
  <c r="DL83" i="16457" s="1"/>
  <c r="T86" i="16506"/>
  <c r="AO86" i="16506"/>
  <c r="BU83" i="16457"/>
  <c r="EG83" i="16457" s="1"/>
  <c r="AH87" i="16506"/>
  <c r="BN84" i="16457"/>
  <c r="DZ84" i="16457" s="1"/>
  <c r="AU84" i="16457"/>
  <c r="DG84" i="16457" s="1"/>
  <c r="O87" i="16506"/>
  <c r="BK84" i="16457"/>
  <c r="DW84" i="16457" s="1"/>
  <c r="AE87" i="16506"/>
  <c r="AL87" i="16506"/>
  <c r="BR84" i="16457"/>
  <c r="ED84" i="16457" s="1"/>
  <c r="Z86" i="16506"/>
  <c r="BF83" i="16457"/>
  <c r="DR83" i="16457" s="1"/>
  <c r="AK86" i="16506"/>
  <c r="BQ83" i="16457"/>
  <c r="EC83" i="16457" s="1"/>
  <c r="Y86" i="16506"/>
  <c r="BE83" i="16457"/>
  <c r="DQ83" i="16457" s="1"/>
  <c r="BK83" i="16457"/>
  <c r="DW83" i="16457" s="1"/>
  <c r="AE86" i="16506"/>
  <c r="AA87" i="16506"/>
  <c r="BG84" i="16457"/>
  <c r="DS84" i="16457" s="1"/>
  <c r="AN87" i="16506"/>
  <c r="BT84" i="16457"/>
  <c r="EF84" i="16457" s="1"/>
  <c r="BC84" i="16457"/>
  <c r="DO84" i="16457" s="1"/>
  <c r="W87" i="16506"/>
  <c r="AD87" i="16506"/>
  <c r="BJ84" i="16457"/>
  <c r="DV84" i="16457" s="1"/>
  <c r="W86" i="16506"/>
  <c r="BC83" i="16457"/>
  <c r="DO83" i="16457" s="1"/>
  <c r="AN86" i="16506"/>
  <c r="BT83" i="16457"/>
  <c r="EF83" i="16457" s="1"/>
  <c r="BA83" i="16457"/>
  <c r="DM83" i="16457" s="1"/>
  <c r="U86" i="16506"/>
  <c r="AF86" i="16506"/>
  <c r="BL83" i="16457"/>
  <c r="DX83" i="16457" s="1"/>
  <c r="V87" i="16506"/>
  <c r="BB84" i="16457"/>
  <c r="DN84" i="16457" s="1"/>
  <c r="AM87" i="16506"/>
  <c r="BS84" i="16457"/>
  <c r="EE84" i="16457" s="1"/>
  <c r="P87" i="16506"/>
  <c r="AV84" i="16457"/>
  <c r="DH84" i="16457" s="1"/>
  <c r="BF84" i="16457"/>
  <c r="DR84" i="16457" s="1"/>
  <c r="Z87" i="16506"/>
  <c r="AJ86" i="16506"/>
  <c r="BP83" i="16457"/>
  <c r="EB83" i="16457" s="1"/>
  <c r="N86" i="16506"/>
  <c r="AT83" i="16457"/>
  <c r="DF83" i="16457" s="1"/>
  <c r="AG86" i="16506"/>
  <c r="BM83" i="16457"/>
  <c r="DY83" i="16457" s="1"/>
  <c r="O86" i="16506"/>
  <c r="AU83" i="16457"/>
  <c r="DG83" i="16457" s="1"/>
  <c r="BM84" i="16457"/>
  <c r="DY84" i="16457" s="1"/>
  <c r="AG87" i="16506"/>
  <c r="N87" i="16506"/>
  <c r="AT84" i="16457"/>
  <c r="DF84" i="16457" s="1"/>
  <c r="BU84" i="16457"/>
  <c r="EG84" i="16457" s="1"/>
  <c r="AO87" i="16506"/>
  <c r="BG83" i="16457"/>
  <c r="DS83" i="16457" s="1"/>
  <c r="AA86" i="16506"/>
  <c r="AV83" i="16457"/>
  <c r="DH83" i="16457" s="1"/>
  <c r="P86" i="16506"/>
  <c r="BJ83" i="16457"/>
  <c r="DV83" i="16457" s="1"/>
  <c r="AD86" i="16506"/>
  <c r="AB86" i="16506"/>
  <c r="BH83" i="16457"/>
  <c r="DT83" i="16457" s="1"/>
  <c r="AX87" i="16506" l="1"/>
  <c r="DH87" i="16506" s="1"/>
  <c r="BF86" i="16506"/>
  <c r="DP86" i="16506" s="1"/>
  <c r="BI86" i="16506"/>
  <c r="DS86" i="16506" s="1"/>
  <c r="BT87" i="16506"/>
  <c r="ED87" i="16506" s="1"/>
  <c r="BK86" i="16506"/>
  <c r="DU86" i="16506" s="1"/>
  <c r="AT87" i="16506"/>
  <c r="DD87" i="16506" s="1"/>
  <c r="BT86" i="16506"/>
  <c r="ED86" i="16506" s="1"/>
  <c r="AW87" i="16506"/>
  <c r="DG87" i="16506" s="1"/>
  <c r="BM86" i="16506"/>
  <c r="DW86" i="16506" s="1"/>
  <c r="BN87" i="16506"/>
  <c r="DX87" i="16506" s="1"/>
  <c r="BH86" i="16506"/>
  <c r="DR86" i="16506" s="1"/>
  <c r="AT86" i="16506"/>
  <c r="DD86" i="16506" s="1"/>
  <c r="BL86" i="16506"/>
  <c r="DV86" i="16506" s="1"/>
  <c r="AU87" i="16506"/>
  <c r="DE87" i="16506" s="1"/>
  <c r="AZ86" i="16506"/>
  <c r="DJ86" i="16506" s="1"/>
  <c r="BF87" i="16506"/>
  <c r="DP87" i="16506" s="1"/>
  <c r="AY86" i="16506"/>
  <c r="DI86" i="16506" s="1"/>
  <c r="BH87" i="16506"/>
  <c r="DR87" i="16506" s="1"/>
  <c r="AY87" i="16506"/>
  <c r="DI87" i="16506" s="1"/>
  <c r="AU86" i="16506"/>
  <c r="DE86" i="16506" s="1"/>
  <c r="BE86" i="16506"/>
  <c r="DO86" i="16506" s="1"/>
  <c r="BA86" i="16506"/>
  <c r="DK86" i="16506" s="1"/>
  <c r="AV87" i="16506"/>
  <c r="DF87" i="16506" s="1"/>
  <c r="BK87" i="16506"/>
  <c r="DU87" i="16506" s="1"/>
  <c r="BI87" i="16506"/>
  <c r="DS87" i="16506" s="1"/>
  <c r="BJ86" i="16506"/>
  <c r="DT86" i="16506" s="1"/>
  <c r="BM87" i="16506"/>
  <c r="DW87" i="16506" s="1"/>
  <c r="BC86" i="16506"/>
  <c r="DM86" i="16506" s="1"/>
  <c r="BB87" i="16506"/>
  <c r="DL87" i="16506" s="1"/>
  <c r="AX86" i="16506"/>
  <c r="DH86" i="16506" s="1"/>
  <c r="BN86" i="16506"/>
  <c r="DX86" i="16506" s="1"/>
  <c r="BL87" i="16506"/>
  <c r="DV87" i="16506" s="1"/>
  <c r="BA87" i="16506"/>
  <c r="DK87" i="16506" s="1"/>
  <c r="M86" i="16506"/>
  <c r="AS83" i="16457"/>
  <c r="DE83" i="16457" s="1"/>
  <c r="M87" i="16506"/>
  <c r="AS84" i="16457"/>
  <c r="DE84" i="16457" s="1"/>
  <c r="BC87" i="16506"/>
  <c r="DM87" i="16506" s="1"/>
  <c r="BG87" i="16506"/>
  <c r="DQ87" i="16506" s="1"/>
  <c r="BE87" i="16506"/>
  <c r="DO87" i="16506" s="1"/>
  <c r="BB86" i="16506"/>
  <c r="DL86" i="16506" s="1"/>
  <c r="BD86" i="16506"/>
  <c r="DN86" i="16506" s="1"/>
  <c r="BJ87" i="16506"/>
  <c r="DT87" i="16506" s="1"/>
  <c r="L86" i="16506"/>
  <c r="AR83" i="16457"/>
  <c r="AZ87" i="16506"/>
  <c r="DJ87" i="16506" s="1"/>
  <c r="AR84" i="16457"/>
  <c r="L87" i="16506"/>
  <c r="AW86" i="16506"/>
  <c r="DG86" i="16506" s="1"/>
  <c r="BD87" i="16506"/>
  <c r="DN87" i="16506" s="1"/>
  <c r="BG86" i="16506"/>
  <c r="DQ86" i="16506" s="1"/>
  <c r="AV86" i="16506"/>
  <c r="DF86" i="16506" s="1"/>
  <c r="AQ87" i="16506" l="1"/>
  <c r="BS82" i="16457"/>
  <c r="AM85" i="16506"/>
  <c r="AV82" i="16457"/>
  <c r="P85" i="16506"/>
  <c r="BJ82" i="16457"/>
  <c r="AD85" i="16506"/>
  <c r="O85" i="16506"/>
  <c r="AU82" i="16457"/>
  <c r="AQ84" i="16457"/>
  <c r="DC84" i="16457" s="1"/>
  <c r="DD84" i="16457"/>
  <c r="AX82" i="16457"/>
  <c r="R85" i="16506"/>
  <c r="BT82" i="16457"/>
  <c r="AN85" i="16506"/>
  <c r="AC85" i="16506"/>
  <c r="BI82" i="16457"/>
  <c r="AE85" i="16506"/>
  <c r="BK82" i="16457"/>
  <c r="BO82" i="16457"/>
  <c r="AI85" i="16506"/>
  <c r="BB82" i="16457"/>
  <c r="V85" i="16506"/>
  <c r="BQ82" i="16457"/>
  <c r="AK85" i="16506"/>
  <c r="AQ83" i="16457"/>
  <c r="DC83" i="16457" s="1"/>
  <c r="DD83" i="16457"/>
  <c r="S85" i="16506"/>
  <c r="AY82" i="16457"/>
  <c r="BC82" i="16457"/>
  <c r="W85" i="16506"/>
  <c r="AH85" i="16506"/>
  <c r="BN82" i="16457"/>
  <c r="AQ86" i="16506"/>
  <c r="AS87" i="16506"/>
  <c r="DC87" i="16506" s="1"/>
  <c r="AR87" i="16506"/>
  <c r="DB87" i="16506" s="1"/>
  <c r="AJ85" i="16506"/>
  <c r="BP82" i="16457"/>
  <c r="BG82" i="16457"/>
  <c r="AA85" i="16506"/>
  <c r="BA82" i="16457"/>
  <c r="U85" i="16506"/>
  <c r="AO85" i="16506"/>
  <c r="BU82" i="16457"/>
  <c r="BD82" i="16457"/>
  <c r="X85" i="16506"/>
  <c r="BH82" i="16457"/>
  <c r="AB85" i="16506"/>
  <c r="T85" i="16506"/>
  <c r="AZ82" i="16457"/>
  <c r="AS86" i="16506"/>
  <c r="DC86" i="16506" s="1"/>
  <c r="AR86" i="16506"/>
  <c r="DB86" i="16506" s="1"/>
  <c r="BF82" i="16457"/>
  <c r="Z85" i="16506"/>
  <c r="BE82" i="16457"/>
  <c r="Y85" i="16506"/>
  <c r="BM82" i="16457"/>
  <c r="AG85" i="16506"/>
  <c r="BR82" i="16457"/>
  <c r="AL85" i="16506"/>
  <c r="AT82" i="16457"/>
  <c r="N85" i="16506"/>
  <c r="BL82" i="16457"/>
  <c r="AF85" i="16506"/>
  <c r="Q85" i="16506"/>
  <c r="AW82" i="16457"/>
  <c r="BV86" i="16506" l="1"/>
  <c r="EF86" i="16506" s="1"/>
  <c r="AU85" i="16506"/>
  <c r="DE85" i="16506" s="1"/>
  <c r="BV87" i="16506"/>
  <c r="EF87" i="16506" s="1"/>
  <c r="AR82" i="16457"/>
  <c r="L85" i="16506"/>
  <c r="DQ82" i="16457"/>
  <c r="EG82" i="16457"/>
  <c r="U89" i="16506"/>
  <c r="BA86" i="16457"/>
  <c r="DM86" i="16457" s="1"/>
  <c r="AO89" i="16506"/>
  <c r="BU86" i="16457"/>
  <c r="EG86" i="16457" s="1"/>
  <c r="BR86" i="16457"/>
  <c r="ED86" i="16457" s="1"/>
  <c r="AL89" i="16506"/>
  <c r="BA85" i="16506"/>
  <c r="DK85" i="16506" s="1"/>
  <c r="AW85" i="16506"/>
  <c r="DG85" i="16506" s="1"/>
  <c r="DH82" i="16457"/>
  <c r="DF82" i="16457"/>
  <c r="DA86" i="16506"/>
  <c r="AX86" i="16457"/>
  <c r="DJ86" i="16457" s="1"/>
  <c r="R89" i="16506"/>
  <c r="AH89" i="16506"/>
  <c r="BN86" i="16457"/>
  <c r="DZ86" i="16457" s="1"/>
  <c r="AZ86" i="16457"/>
  <c r="DL86" i="16457" s="1"/>
  <c r="T89" i="16506"/>
  <c r="AG89" i="16506"/>
  <c r="BM86" i="16457"/>
  <c r="DY86" i="16457" s="1"/>
  <c r="DN82" i="16457"/>
  <c r="DJ82" i="16457"/>
  <c r="DI82" i="16457"/>
  <c r="BE85" i="16506"/>
  <c r="DO85" i="16506" s="1"/>
  <c r="BT85" i="16506"/>
  <c r="ED85" i="16506" s="1"/>
  <c r="DR82" i="16457"/>
  <c r="DL82" i="16457"/>
  <c r="DM82" i="16457"/>
  <c r="DZ82" i="16457"/>
  <c r="BO86" i="16457"/>
  <c r="EA86" i="16457" s="1"/>
  <c r="AI89" i="16506"/>
  <c r="AJ89" i="16506"/>
  <c r="BP86" i="16457"/>
  <c r="EB86" i="16457" s="1"/>
  <c r="BS86" i="16457"/>
  <c r="EE86" i="16457" s="1"/>
  <c r="AM89" i="16506"/>
  <c r="AD89" i="16506"/>
  <c r="BJ86" i="16457"/>
  <c r="DV86" i="16457" s="1"/>
  <c r="BN85" i="16506"/>
  <c r="DX85" i="16506" s="1"/>
  <c r="DW82" i="16457"/>
  <c r="EE82" i="16457"/>
  <c r="AZ85" i="16506"/>
  <c r="DJ85" i="16506" s="1"/>
  <c r="AV85" i="16506"/>
  <c r="DF85" i="16506" s="1"/>
  <c r="BK85" i="16506"/>
  <c r="DU85" i="16506" s="1"/>
  <c r="AY85" i="16506"/>
  <c r="DI85" i="16506" s="1"/>
  <c r="BF85" i="16506"/>
  <c r="DP85" i="16506" s="1"/>
  <c r="BM85" i="16506"/>
  <c r="DW85" i="16506" s="1"/>
  <c r="BH86" i="16457"/>
  <c r="DT86" i="16457" s="1"/>
  <c r="AB89" i="16506"/>
  <c r="AW86" i="16457"/>
  <c r="DI86" i="16457" s="1"/>
  <c r="Q89" i="16506"/>
  <c r="Z89" i="16506"/>
  <c r="BF86" i="16457"/>
  <c r="DR86" i="16457" s="1"/>
  <c r="AY86" i="16457"/>
  <c r="DK86" i="16457" s="1"/>
  <c r="S89" i="16506"/>
  <c r="EA82" i="16457"/>
  <c r="BJ85" i="16506"/>
  <c r="DT85" i="16506" s="1"/>
  <c r="DG82" i="16457"/>
  <c r="ED82" i="16457"/>
  <c r="BG85" i="16506"/>
  <c r="DQ85" i="16506" s="1"/>
  <c r="DS82" i="16457"/>
  <c r="BB85" i="16506"/>
  <c r="DL85" i="16506" s="1"/>
  <c r="BC86" i="16457"/>
  <c r="DO86" i="16457" s="1"/>
  <c r="W89" i="16506"/>
  <c r="BQ86" i="16457"/>
  <c r="EC86" i="16457" s="1"/>
  <c r="AK89" i="16506"/>
  <c r="BD86" i="16457"/>
  <c r="DP86" i="16457" s="1"/>
  <c r="X89" i="16506"/>
  <c r="DU82" i="16457"/>
  <c r="AT85" i="16506"/>
  <c r="DD85" i="16506" s="1"/>
  <c r="DA87" i="16506"/>
  <c r="BL85" i="16506"/>
  <c r="DV85" i="16506" s="1"/>
  <c r="DT82" i="16457"/>
  <c r="EB82" i="16457"/>
  <c r="DO82" i="16457"/>
  <c r="V89" i="16506"/>
  <c r="BB86" i="16457"/>
  <c r="DN86" i="16457" s="1"/>
  <c r="AV86" i="16457"/>
  <c r="DH86" i="16457" s="1"/>
  <c r="P89" i="16506"/>
  <c r="BI86" i="16457"/>
  <c r="DU86" i="16457" s="1"/>
  <c r="AC89" i="16506"/>
  <c r="BK86" i="16457"/>
  <c r="DW86" i="16457" s="1"/>
  <c r="AE89" i="16506"/>
  <c r="BH85" i="16506"/>
  <c r="DR85" i="16506" s="1"/>
  <c r="BI85" i="16506"/>
  <c r="DS85" i="16506" s="1"/>
  <c r="DX82" i="16457"/>
  <c r="DY82" i="16457"/>
  <c r="BC85" i="16506"/>
  <c r="DM85" i="16506" s="1"/>
  <c r="N89" i="16506"/>
  <c r="AT86" i="16457"/>
  <c r="DF86" i="16457" s="1"/>
  <c r="AF89" i="16506"/>
  <c r="BL86" i="16457"/>
  <c r="DX86" i="16457" s="1"/>
  <c r="BG86" i="16457"/>
  <c r="DS86" i="16457" s="1"/>
  <c r="AA89" i="16506"/>
  <c r="DV82" i="16457"/>
  <c r="DK82" i="16457"/>
  <c r="M85" i="16506"/>
  <c r="AS85" i="16506" s="1"/>
  <c r="DC85" i="16506" s="1"/>
  <c r="AS82" i="16457"/>
  <c r="BD85" i="16506"/>
  <c r="DN85" i="16506" s="1"/>
  <c r="DP82" i="16457"/>
  <c r="AX85" i="16506"/>
  <c r="DH85" i="16506" s="1"/>
  <c r="BT86" i="16457"/>
  <c r="EF86" i="16457" s="1"/>
  <c r="AN89" i="16506"/>
  <c r="BE86" i="16457"/>
  <c r="DQ86" i="16457" s="1"/>
  <c r="Y89" i="16506"/>
  <c r="AU86" i="16457"/>
  <c r="DG86" i="16457" s="1"/>
  <c r="O89" i="16506"/>
  <c r="EC82" i="16457"/>
  <c r="EF82" i="16457"/>
  <c r="BW86" i="16506" l="1"/>
  <c r="EG86" i="16506" s="1"/>
  <c r="BR80" i="16457"/>
  <c r="BC80" i="16457"/>
  <c r="BH80" i="16457"/>
  <c r="BJ80" i="16457"/>
  <c r="BD80" i="16457"/>
  <c r="BD139" i="16457" s="1"/>
  <c r="BO80" i="16457"/>
  <c r="EA80" i="16457" s="1"/>
  <c r="EA139" i="16457" s="1"/>
  <c r="AY80" i="16457"/>
  <c r="DK80" i="16457" s="1"/>
  <c r="DK139" i="16457" s="1"/>
  <c r="BW87" i="16506"/>
  <c r="EG87" i="16506" s="1"/>
  <c r="AZ80" i="16457"/>
  <c r="AZ139" i="16457" s="1"/>
  <c r="BP80" i="16457"/>
  <c r="EB80" i="16457" s="1"/>
  <c r="EB139" i="16457" s="1"/>
  <c r="BI80" i="16457"/>
  <c r="DU80" i="16457" s="1"/>
  <c r="DU139" i="16457" s="1"/>
  <c r="AX80" i="16457"/>
  <c r="DJ80" i="16457" s="1"/>
  <c r="DJ139" i="16457" s="1"/>
  <c r="BS80" i="16457"/>
  <c r="EE80" i="16457" s="1"/>
  <c r="EE139" i="16457" s="1"/>
  <c r="BF80" i="16457"/>
  <c r="DR80" i="16457" s="1"/>
  <c r="DR139" i="16457" s="1"/>
  <c r="BM80" i="16457"/>
  <c r="BM139" i="16457" s="1"/>
  <c r="BQ80" i="16457"/>
  <c r="BQ139" i="16457" s="1"/>
  <c r="AS86" i="16457"/>
  <c r="DE86" i="16457" s="1"/>
  <c r="M89" i="16506"/>
  <c r="AS89" i="16506" s="1"/>
  <c r="DC89" i="16506" s="1"/>
  <c r="DC83" i="16506" s="1"/>
  <c r="ED80" i="16457"/>
  <c r="ED139" i="16457" s="1"/>
  <c r="BR139" i="16457"/>
  <c r="AX89" i="16506"/>
  <c r="DH89" i="16506" s="1"/>
  <c r="DH83" i="16506" s="1"/>
  <c r="BI89" i="16506"/>
  <c r="DS89" i="16506" s="1"/>
  <c r="DS83" i="16506" s="1"/>
  <c r="BU80" i="16457"/>
  <c r="BF89" i="16506"/>
  <c r="DP89" i="16506" s="1"/>
  <c r="DP83" i="16506" s="1"/>
  <c r="BA89" i="16506"/>
  <c r="DK89" i="16506" s="1"/>
  <c r="DK83" i="16506" s="1"/>
  <c r="AR86" i="16457"/>
  <c r="AR80" i="16457" s="1"/>
  <c r="L89" i="16506"/>
  <c r="AQ89" i="16506" s="1"/>
  <c r="BM89" i="16506"/>
  <c r="DW89" i="16506" s="1"/>
  <c r="DW83" i="16506" s="1"/>
  <c r="AT80" i="16457"/>
  <c r="AQ85" i="16506"/>
  <c r="BV85" i="16506" s="1"/>
  <c r="EF85" i="16506" s="1"/>
  <c r="BJ89" i="16506"/>
  <c r="DT89" i="16506" s="1"/>
  <c r="DT83" i="16506" s="1"/>
  <c r="BB89" i="16506"/>
  <c r="DL89" i="16506" s="1"/>
  <c r="DL83" i="16506" s="1"/>
  <c r="BG80" i="16457"/>
  <c r="AU80" i="16457"/>
  <c r="BN80" i="16457"/>
  <c r="BB80" i="16457"/>
  <c r="AW89" i="16506"/>
  <c r="DG89" i="16506" s="1"/>
  <c r="DG83" i="16506" s="1"/>
  <c r="DD82" i="16457"/>
  <c r="AQ82" i="16457"/>
  <c r="BE89" i="16506"/>
  <c r="DO89" i="16506" s="1"/>
  <c r="DO83" i="16506" s="1"/>
  <c r="BK80" i="16457"/>
  <c r="AW80" i="16457"/>
  <c r="BH89" i="16506"/>
  <c r="DR89" i="16506" s="1"/>
  <c r="DR83" i="16506" s="1"/>
  <c r="BC89" i="16506"/>
  <c r="DM89" i="16506" s="1"/>
  <c r="DM83" i="16506" s="1"/>
  <c r="AV89" i="16506"/>
  <c r="DF89" i="16506" s="1"/>
  <c r="DF83" i="16506" s="1"/>
  <c r="BE80" i="16457"/>
  <c r="BK89" i="16506"/>
  <c r="DU89" i="16506" s="1"/>
  <c r="DU83" i="16506" s="1"/>
  <c r="AT89" i="16506"/>
  <c r="DD89" i="16506" s="1"/>
  <c r="DD83" i="16506" s="1"/>
  <c r="BH139" i="16457"/>
  <c r="DT80" i="16457"/>
  <c r="DT139" i="16457" s="1"/>
  <c r="BN89" i="16506"/>
  <c r="DX89" i="16506" s="1"/>
  <c r="DX83" i="16506" s="1"/>
  <c r="BL89" i="16506"/>
  <c r="DV89" i="16506" s="1"/>
  <c r="DV83" i="16506" s="1"/>
  <c r="AV80" i="16457"/>
  <c r="BT89" i="16506"/>
  <c r="ED89" i="16506" s="1"/>
  <c r="ED83" i="16506" s="1"/>
  <c r="BT80" i="16457"/>
  <c r="DE82" i="16457"/>
  <c r="AU89" i="16506"/>
  <c r="DE89" i="16506" s="1"/>
  <c r="DE83" i="16506" s="1"/>
  <c r="BC139" i="16457"/>
  <c r="DO80" i="16457"/>
  <c r="DO139" i="16457" s="1"/>
  <c r="BG89" i="16506"/>
  <c r="DQ89" i="16506" s="1"/>
  <c r="DQ83" i="16506" s="1"/>
  <c r="AY89" i="16506"/>
  <c r="DI89" i="16506" s="1"/>
  <c r="DI83" i="16506" s="1"/>
  <c r="BD89" i="16506"/>
  <c r="DN89" i="16506" s="1"/>
  <c r="DN83" i="16506" s="1"/>
  <c r="AR85" i="16506"/>
  <c r="DB85" i="16506" s="1"/>
  <c r="BL80" i="16457"/>
  <c r="BA80" i="16457"/>
  <c r="AZ89" i="16506"/>
  <c r="DJ89" i="16506" s="1"/>
  <c r="DJ83" i="16506" s="1"/>
  <c r="BX86" i="16506" l="1"/>
  <c r="BY86" i="16506" s="1"/>
  <c r="EI86" i="16506" s="1"/>
  <c r="DV80" i="16457"/>
  <c r="DV139" i="16457" s="1"/>
  <c r="BO139" i="16457"/>
  <c r="BO162" i="16457" s="1"/>
  <c r="BJ139" i="16457"/>
  <c r="DP80" i="16457"/>
  <c r="DP139" i="16457" s="1"/>
  <c r="BS139" i="16457"/>
  <c r="AX139" i="16457"/>
  <c r="AX162" i="16457" s="1"/>
  <c r="AY139" i="16457"/>
  <c r="AY162" i="16457" s="1"/>
  <c r="BF139" i="16457"/>
  <c r="BF162" i="16457" s="1"/>
  <c r="BP139" i="16457"/>
  <c r="BP162" i="16457" s="1"/>
  <c r="DL80" i="16457"/>
  <c r="DL139" i="16457" s="1"/>
  <c r="EC80" i="16457"/>
  <c r="EC139" i="16457" s="1"/>
  <c r="BI139" i="16457"/>
  <c r="BX87" i="16506"/>
  <c r="BY87" i="16506" s="1"/>
  <c r="DY80" i="16457"/>
  <c r="DY139" i="16457" s="1"/>
  <c r="AS80" i="16457"/>
  <c r="DE80" i="16457" s="1"/>
  <c r="DE139" i="16457" s="1"/>
  <c r="DX80" i="16457"/>
  <c r="DX139" i="16457" s="1"/>
  <c r="BL139" i="16457"/>
  <c r="DC82" i="16457"/>
  <c r="BK139" i="16457"/>
  <c r="DW80" i="16457"/>
  <c r="DW139" i="16457" s="1"/>
  <c r="BW85" i="16506"/>
  <c r="EG85" i="16506" s="1"/>
  <c r="BH162" i="16457"/>
  <c r="BB139" i="16457"/>
  <c r="DN80" i="16457"/>
  <c r="DN139" i="16457" s="1"/>
  <c r="BM162" i="16457"/>
  <c r="BR162" i="16457"/>
  <c r="BA139" i="16457"/>
  <c r="DM80" i="16457"/>
  <c r="DM139" i="16457" s="1"/>
  <c r="AV139" i="16457"/>
  <c r="DH80" i="16457"/>
  <c r="DH139" i="16457" s="1"/>
  <c r="BN139" i="16457"/>
  <c r="DZ80" i="16457"/>
  <c r="DZ139" i="16457" s="1"/>
  <c r="DA85" i="16506"/>
  <c r="BV89" i="16506"/>
  <c r="EF89" i="16506" s="1"/>
  <c r="EF83" i="16506" s="1"/>
  <c r="DA89" i="16506"/>
  <c r="AZ162" i="16457"/>
  <c r="BQ162" i="16457"/>
  <c r="AT139" i="16457"/>
  <c r="DF80" i="16457"/>
  <c r="DF139" i="16457" s="1"/>
  <c r="DD86" i="16457"/>
  <c r="AQ86" i="16457"/>
  <c r="DC86" i="16457" s="1"/>
  <c r="BU139" i="16457"/>
  <c r="EG80" i="16457"/>
  <c r="EG139" i="16457" s="1"/>
  <c r="AR89" i="16506"/>
  <c r="BC162" i="16457"/>
  <c r="DQ80" i="16457"/>
  <c r="DQ139" i="16457" s="1"/>
  <c r="BE139" i="16457"/>
  <c r="BT139" i="16457"/>
  <c r="EF80" i="16457"/>
  <c r="EF139" i="16457" s="1"/>
  <c r="DI80" i="16457"/>
  <c r="DI139" i="16457" s="1"/>
  <c r="AW139" i="16457"/>
  <c r="DG80" i="16457"/>
  <c r="DG139" i="16457" s="1"/>
  <c r="AU139" i="16457"/>
  <c r="BJ162" i="16457"/>
  <c r="DD80" i="16457"/>
  <c r="DD139" i="16457" s="1"/>
  <c r="AR139" i="16457"/>
  <c r="DS80" i="16457"/>
  <c r="DS139" i="16457" s="1"/>
  <c r="BG139" i="16457"/>
  <c r="BD162" i="16457"/>
  <c r="BZ86" i="16506" l="1"/>
  <c r="EJ86" i="16506" s="1"/>
  <c r="EH86" i="16506"/>
  <c r="BS162" i="16457"/>
  <c r="AS139" i="16457"/>
  <c r="DA83" i="16506"/>
  <c r="BI162" i="16457"/>
  <c r="X65" i="16501" s="1"/>
  <c r="EH87" i="16506"/>
  <c r="BX85" i="16506"/>
  <c r="EH85" i="16506" s="1"/>
  <c r="BW89" i="16506"/>
  <c r="EG89" i="16506" s="1"/>
  <c r="EG83" i="16506" s="1"/>
  <c r="AU162" i="16457"/>
  <c r="DB89" i="16506"/>
  <c r="DB83" i="16506" s="1"/>
  <c r="AQ80" i="16457"/>
  <c r="BL162" i="16457"/>
  <c r="AF65" i="16501"/>
  <c r="M65" i="16501"/>
  <c r="BK162" i="16457"/>
  <c r="EI87" i="16506"/>
  <c r="BZ87" i="16506"/>
  <c r="EJ87" i="16506" s="1"/>
  <c r="S65" i="16501"/>
  <c r="BG162" i="16457"/>
  <c r="U65" i="16501"/>
  <c r="BA162" i="16457"/>
  <c r="BB162" i="16457"/>
  <c r="AR162" i="16457"/>
  <c r="AH65" i="16501"/>
  <c r="BT162" i="16457"/>
  <c r="BE162" i="16457"/>
  <c r="R65" i="16501"/>
  <c r="AV162" i="16457"/>
  <c r="AE65" i="16501"/>
  <c r="AT162" i="16457"/>
  <c r="AG65" i="16501"/>
  <c r="AD65" i="16501"/>
  <c r="Y65" i="16501"/>
  <c r="AW162" i="16457"/>
  <c r="BU162" i="16457"/>
  <c r="BN162" i="16457"/>
  <c r="N65" i="16501"/>
  <c r="O65" i="16501"/>
  <c r="AB65" i="16501"/>
  <c r="W65" i="16501"/>
  <c r="CA86" i="16506" l="1"/>
  <c r="EK86" i="16506" s="1"/>
  <c r="AS162" i="16457"/>
  <c r="H65" i="16501" s="1"/>
  <c r="H83" i="16506"/>
  <c r="BX89" i="16506"/>
  <c r="BY89" i="16506" s="1"/>
  <c r="EI89" i="16506" s="1"/>
  <c r="BY85" i="16506"/>
  <c r="EI85" i="16506" s="1"/>
  <c r="T65" i="16501"/>
  <c r="CA87" i="16506"/>
  <c r="CB87" i="16506" s="1"/>
  <c r="Z65" i="16501"/>
  <c r="V65" i="16501"/>
  <c r="AA65" i="16501"/>
  <c r="AQ139" i="16457"/>
  <c r="DC80" i="16457"/>
  <c r="DC139" i="16457" s="1"/>
  <c r="AJ65" i="16501"/>
  <c r="Q65" i="16501"/>
  <c r="J65" i="16501"/>
  <c r="I65" i="16501"/>
  <c r="AI65" i="16501"/>
  <c r="L65" i="16501"/>
  <c r="P65" i="16501"/>
  <c r="K65" i="16501"/>
  <c r="G65" i="16501"/>
  <c r="AC65" i="16501"/>
  <c r="CB86" i="16506" l="1"/>
  <c r="CC86" i="16506" s="1"/>
  <c r="BZ89" i="16506"/>
  <c r="EJ89" i="16506" s="1"/>
  <c r="EH89" i="16506"/>
  <c r="EH83" i="16506" s="1"/>
  <c r="BZ85" i="16506"/>
  <c r="EJ85" i="16506" s="1"/>
  <c r="EI83" i="16506"/>
  <c r="CC87" i="16506"/>
  <c r="EL87" i="16506"/>
  <c r="AQ162" i="16457"/>
  <c r="G139" i="16457"/>
  <c r="EK87" i="16506"/>
  <c r="F65" i="16501"/>
  <c r="EL86" i="16506" l="1"/>
  <c r="CA89" i="16506"/>
  <c r="CB89" i="16506" s="1"/>
  <c r="EL89" i="16506" s="1"/>
  <c r="EJ83" i="16506"/>
  <c r="CA85" i="16506"/>
  <c r="CB85" i="16506" s="1"/>
  <c r="EL85" i="16506" s="1"/>
  <c r="EM86" i="16506"/>
  <c r="CD86" i="16506"/>
  <c r="EM87" i="16506"/>
  <c r="CD87" i="16506"/>
  <c r="EL83" i="16506" l="1"/>
  <c r="EK89" i="16506"/>
  <c r="CC89" i="16506"/>
  <c r="CD89" i="16506" s="1"/>
  <c r="EN89" i="16506" s="1"/>
  <c r="CC85" i="16506"/>
  <c r="EM85" i="16506" s="1"/>
  <c r="EK85" i="16506"/>
  <c r="EN87" i="16506"/>
  <c r="CE87" i="16506"/>
  <c r="EN86" i="16506"/>
  <c r="CE86" i="16506"/>
  <c r="EK83" i="16506" l="1"/>
  <c r="CE89" i="16506"/>
  <c r="EO89" i="16506" s="1"/>
  <c r="EM89" i="16506"/>
  <c r="EM83" i="16506" s="1"/>
  <c r="CD85" i="16506"/>
  <c r="EN85" i="16506" s="1"/>
  <c r="EN83" i="16506" s="1"/>
  <c r="EO86" i="16506"/>
  <c r="CF86" i="16506"/>
  <c r="EO87" i="16506"/>
  <c r="CF87" i="16506"/>
  <c r="CF89" i="16506" l="1"/>
  <c r="EP89" i="16506" s="1"/>
  <c r="CE85" i="16506"/>
  <c r="EO85" i="16506" s="1"/>
  <c r="EO83" i="16506" s="1"/>
  <c r="EP87" i="16506"/>
  <c r="CG87" i="16506"/>
  <c r="EP86" i="16506"/>
  <c r="CG86" i="16506"/>
  <c r="CG89" i="16506" l="1"/>
  <c r="EQ89" i="16506" s="1"/>
  <c r="CF85" i="16506"/>
  <c r="EP85" i="16506" s="1"/>
  <c r="EP83" i="16506" s="1"/>
  <c r="EQ86" i="16506"/>
  <c r="CH86" i="16506"/>
  <c r="EQ87" i="16506"/>
  <c r="CH87" i="16506"/>
  <c r="CH89" i="16506" l="1"/>
  <c r="ER89" i="16506" s="1"/>
  <c r="CG85" i="16506"/>
  <c r="EQ85" i="16506" s="1"/>
  <c r="EQ83" i="16506" s="1"/>
  <c r="CI87" i="16506"/>
  <c r="ER87" i="16506"/>
  <c r="ER86" i="16506"/>
  <c r="CI86" i="16506"/>
  <c r="CI89" i="16506" l="1"/>
  <c r="ES89" i="16506" s="1"/>
  <c r="CH85" i="16506"/>
  <c r="ER85" i="16506" s="1"/>
  <c r="ER83" i="16506" s="1"/>
  <c r="ES86" i="16506"/>
  <c r="CJ86" i="16506"/>
  <c r="ES87" i="16506"/>
  <c r="CJ87" i="16506"/>
  <c r="CJ89" i="16506" l="1"/>
  <c r="ET89" i="16506" s="1"/>
  <c r="CI85" i="16506"/>
  <c r="ES85" i="16506" s="1"/>
  <c r="ES83" i="16506" s="1"/>
  <c r="ET87" i="16506"/>
  <c r="CK87" i="16506"/>
  <c r="ET86" i="16506"/>
  <c r="CK86" i="16506"/>
  <c r="CJ85" i="16506" l="1"/>
  <c r="ET85" i="16506" s="1"/>
  <c r="ET83" i="16506" s="1"/>
  <c r="CK89" i="16506"/>
  <c r="CL89" i="16506" s="1"/>
  <c r="EU87" i="16506"/>
  <c r="CL87" i="16506"/>
  <c r="EU86" i="16506"/>
  <c r="CL86" i="16506"/>
  <c r="CK85" i="16506" l="1"/>
  <c r="EU85" i="16506" s="1"/>
  <c r="EU89" i="16506"/>
  <c r="EV89" i="16506"/>
  <c r="CM89" i="16506"/>
  <c r="EV87" i="16506"/>
  <c r="CM87" i="16506"/>
  <c r="EV86" i="16506"/>
  <c r="CM86" i="16506"/>
  <c r="EU83" i="16506" l="1"/>
  <c r="CL85" i="16506"/>
  <c r="EV85" i="16506" s="1"/>
  <c r="EV83" i="16506" s="1"/>
  <c r="CN89" i="16506"/>
  <c r="EW89" i="16506"/>
  <c r="EW86" i="16506"/>
  <c r="CN86" i="16506"/>
  <c r="EW87" i="16506"/>
  <c r="CN87" i="16506"/>
  <c r="CM85" i="16506" l="1"/>
  <c r="EW85" i="16506" s="1"/>
  <c r="EW83" i="16506" s="1"/>
  <c r="EX89" i="16506"/>
  <c r="CO89" i="16506"/>
  <c r="EX87" i="16506"/>
  <c r="CO87" i="16506"/>
  <c r="EX86" i="16506"/>
  <c r="CO86" i="16506"/>
  <c r="CN85" i="16506" l="1"/>
  <c r="EX85" i="16506" s="1"/>
  <c r="EX83" i="16506" s="1"/>
  <c r="EY89" i="16506"/>
  <c r="CP89" i="16506"/>
  <c r="EY86" i="16506"/>
  <c r="CP86" i="16506"/>
  <c r="EY87" i="16506"/>
  <c r="CP87" i="16506"/>
  <c r="CO85" i="16506" l="1"/>
  <c r="EY85" i="16506" s="1"/>
  <c r="EY83" i="16506" s="1"/>
  <c r="EZ89" i="16506"/>
  <c r="CQ89" i="16506"/>
  <c r="EZ86" i="16506"/>
  <c r="CQ86" i="16506"/>
  <c r="EZ87" i="16506"/>
  <c r="CQ87" i="16506"/>
  <c r="CP85" i="16506" l="1"/>
  <c r="EZ85" i="16506" s="1"/>
  <c r="EZ83" i="16506" s="1"/>
  <c r="CR89" i="16506"/>
  <c r="FA89" i="16506"/>
  <c r="FA87" i="16506"/>
  <c r="CR87" i="16506"/>
  <c r="FA86" i="16506"/>
  <c r="CR86" i="16506"/>
  <c r="CQ85" i="16506" l="1"/>
  <c r="FA85" i="16506" s="1"/>
  <c r="FA83" i="16506" s="1"/>
  <c r="FB89" i="16506"/>
  <c r="CS89" i="16506"/>
  <c r="FB87" i="16506"/>
  <c r="CS87" i="16506"/>
  <c r="FB86" i="16506"/>
  <c r="CS86" i="16506"/>
  <c r="CR85" i="16506" l="1"/>
  <c r="FB85" i="16506" s="1"/>
  <c r="FB83" i="16506" s="1"/>
  <c r="FC89" i="16506"/>
  <c r="CT89" i="16506"/>
  <c r="FC87" i="16506"/>
  <c r="CT87" i="16506"/>
  <c r="FC86" i="16506"/>
  <c r="CT86" i="16506"/>
  <c r="CS85" i="16506" l="1"/>
  <c r="FC85" i="16506" s="1"/>
  <c r="FC83" i="16506" s="1"/>
  <c r="FD89" i="16506"/>
  <c r="CU89" i="16506"/>
  <c r="FD87" i="16506"/>
  <c r="CU87" i="16506"/>
  <c r="FD86" i="16506"/>
  <c r="CU86" i="16506"/>
  <c r="CT85" i="16506" l="1"/>
  <c r="FD85" i="16506" s="1"/>
  <c r="FD83" i="16506" s="1"/>
  <c r="FE89" i="16506"/>
  <c r="CV89" i="16506"/>
  <c r="FE87" i="16506"/>
  <c r="CV87" i="16506"/>
  <c r="FE86" i="16506"/>
  <c r="CV86" i="16506"/>
  <c r="CU85" i="16506" l="1"/>
  <c r="FE85" i="16506" s="1"/>
  <c r="FE83" i="16506" s="1"/>
  <c r="FF89" i="16506"/>
  <c r="CW89" i="16506"/>
  <c r="FF86" i="16506"/>
  <c r="CW86" i="16506"/>
  <c r="FF87" i="16506"/>
  <c r="CW87" i="16506"/>
  <c r="CV85" i="16506" l="1"/>
  <c r="FF85" i="16506" s="1"/>
  <c r="FF83" i="16506" s="1"/>
  <c r="FG89" i="16506"/>
  <c r="CX89" i="16506"/>
  <c r="FG86" i="16506"/>
  <c r="CX86" i="16506"/>
  <c r="FG87" i="16506"/>
  <c r="CX87" i="16506"/>
  <c r="CW85" i="16506" l="1"/>
  <c r="FG85" i="16506" s="1"/>
  <c r="FG83" i="16506" s="1"/>
  <c r="FH89" i="16506"/>
  <c r="CY89" i="16506"/>
  <c r="FI89" i="16506" s="1"/>
  <c r="FH87" i="16506"/>
  <c r="CY87" i="16506"/>
  <c r="FI87" i="16506" s="1"/>
  <c r="FH86" i="16506"/>
  <c r="CY86" i="16506"/>
  <c r="FI86" i="16506" s="1"/>
  <c r="CX85" i="16506" l="1"/>
  <c r="FH85" i="16506" s="1"/>
  <c r="FH83" i="16506" s="1"/>
  <c r="CY85" i="16506" l="1"/>
  <c r="FI85" i="16506" s="1"/>
  <c r="FI83" i="16506" s="1"/>
  <c r="I83" i="16506" s="1"/>
  <c r="C13" i="16507" l="1"/>
  <c r="F105" i="16513" s="1"/>
  <c r="D13" i="16507"/>
  <c r="E13" i="16507"/>
  <c r="H105" i="16513" s="1"/>
  <c r="F13" i="16507"/>
  <c r="I105" i="16513" s="1"/>
  <c r="G13" i="16507"/>
  <c r="J105" i="16513" s="1"/>
  <c r="H13" i="16507"/>
  <c r="K105" i="16513" s="1"/>
  <c r="I13" i="16507"/>
  <c r="L105" i="16513" s="1"/>
  <c r="J13" i="16507"/>
  <c r="M105" i="16513" s="1"/>
  <c r="O14" i="16501"/>
  <c r="L13" i="16507"/>
  <c r="O105" i="16513" s="1"/>
  <c r="Q14" i="16501"/>
  <c r="N13" i="16507"/>
  <c r="Q105" i="16513" s="1"/>
  <c r="O13" i="16507"/>
  <c r="R105" i="16513" s="1"/>
  <c r="P13" i="16507"/>
  <c r="S105" i="16513" s="1"/>
  <c r="U14" i="16501"/>
  <c r="V14" i="16501"/>
  <c r="S13" i="16507"/>
  <c r="V105" i="16513" s="1"/>
  <c r="X14" i="16501"/>
  <c r="Y14" i="16501"/>
  <c r="V13" i="16507"/>
  <c r="Y105" i="16513" s="1"/>
  <c r="W13" i="16507"/>
  <c r="Z105" i="16513" s="1"/>
  <c r="X13" i="16507"/>
  <c r="AA105" i="16513" s="1"/>
  <c r="Y13" i="16507"/>
  <c r="AB105" i="16513" s="1"/>
  <c r="Z13" i="16507"/>
  <c r="AC105" i="16513" s="1"/>
  <c r="AA13" i="16507"/>
  <c r="AD105" i="16513" s="1"/>
  <c r="AB13" i="16507"/>
  <c r="AE105" i="16513" s="1"/>
  <c r="AC13" i="16507"/>
  <c r="AF105" i="16513" s="1"/>
  <c r="AD13" i="16507"/>
  <c r="AG105" i="16513" s="1"/>
  <c r="AI14" i="16501"/>
  <c r="AF13" i="16507"/>
  <c r="AI105" i="16513" s="1"/>
  <c r="C14" i="16507"/>
  <c r="F106" i="16513" s="1"/>
  <c r="D14" i="16507"/>
  <c r="G106" i="16513" s="1"/>
  <c r="E14" i="16507"/>
  <c r="F14" i="16507"/>
  <c r="I106" i="16513" s="1"/>
  <c r="G14" i="16507"/>
  <c r="J106" i="16513" s="1"/>
  <c r="H14" i="16507"/>
  <c r="K106" i="16513" s="1"/>
  <c r="I14" i="16507"/>
  <c r="L106" i="16513" s="1"/>
  <c r="J14" i="16507"/>
  <c r="M106" i="16513" s="1"/>
  <c r="K14" i="16507"/>
  <c r="N106" i="16513" s="1"/>
  <c r="P15" i="16501"/>
  <c r="M14" i="16507"/>
  <c r="P106" i="16513" s="1"/>
  <c r="N14" i="16507"/>
  <c r="Q106" i="16513" s="1"/>
  <c r="O14" i="16507"/>
  <c r="R106" i="16513" s="1"/>
  <c r="P14" i="16507"/>
  <c r="S106" i="16513" s="1"/>
  <c r="Q14" i="16507"/>
  <c r="T106" i="16513" s="1"/>
  <c r="R14" i="16507"/>
  <c r="U106" i="16513" s="1"/>
  <c r="S14" i="16507"/>
  <c r="V106" i="16513" s="1"/>
  <c r="T14" i="16507"/>
  <c r="W106" i="16513" s="1"/>
  <c r="U14" i="16507"/>
  <c r="X106" i="16513" s="1"/>
  <c r="V14" i="16507"/>
  <c r="Y106" i="16513" s="1"/>
  <c r="W14" i="16507"/>
  <c r="Z106" i="16513" s="1"/>
  <c r="X14" i="16507"/>
  <c r="AA106" i="16513" s="1"/>
  <c r="Y14" i="16507"/>
  <c r="AB106" i="16513" s="1"/>
  <c r="Z14" i="16507"/>
  <c r="AC106" i="16513" s="1"/>
  <c r="AA14" i="16507"/>
  <c r="AD106" i="16513" s="1"/>
  <c r="AB14" i="16507"/>
  <c r="AE106" i="16513" s="1"/>
  <c r="AC14" i="16507"/>
  <c r="AF106" i="16513" s="1"/>
  <c r="AD14" i="16507"/>
  <c r="AG106" i="16513" s="1"/>
  <c r="AE14" i="16507"/>
  <c r="AH106" i="16513" s="1"/>
  <c r="AF14" i="16507"/>
  <c r="AI106" i="16513" s="1"/>
  <c r="C15" i="16507"/>
  <c r="F107" i="16513" s="1"/>
  <c r="D15" i="16507"/>
  <c r="E15" i="16507"/>
  <c r="H107" i="16513" s="1"/>
  <c r="F15" i="16507"/>
  <c r="I107" i="16513" s="1"/>
  <c r="G15" i="16507"/>
  <c r="J107" i="16513" s="1"/>
  <c r="I15" i="16507"/>
  <c r="L107" i="16513" s="1"/>
  <c r="J15" i="16507"/>
  <c r="M107" i="16513" s="1"/>
  <c r="K15" i="16507"/>
  <c r="N107" i="16513" s="1"/>
  <c r="M15" i="16507"/>
  <c r="P107" i="16513" s="1"/>
  <c r="N15" i="16507"/>
  <c r="Q107" i="16513" s="1"/>
  <c r="Q15" i="16507"/>
  <c r="T107" i="16513" s="1"/>
  <c r="S15" i="16507"/>
  <c r="V107" i="16513" s="1"/>
  <c r="W15" i="16507"/>
  <c r="Z107" i="16513" s="1"/>
  <c r="Y15" i="16507"/>
  <c r="AB107" i="16513" s="1"/>
  <c r="Z15" i="16507"/>
  <c r="AC107" i="16513" s="1"/>
  <c r="AA15" i="16507"/>
  <c r="AD107" i="16513" s="1"/>
  <c r="AD15" i="16507"/>
  <c r="AG107" i="16513" s="1"/>
  <c r="AE15" i="16507"/>
  <c r="AH107" i="16513" s="1"/>
  <c r="AF15" i="16507"/>
  <c r="AI107" i="16513" s="1"/>
  <c r="H15" i="16501" l="1"/>
  <c r="AC14" i="16501"/>
  <c r="L14" i="16501"/>
  <c r="T14" i="16501"/>
  <c r="AD15" i="16501"/>
  <c r="L15" i="16501"/>
  <c r="AC15" i="16501"/>
  <c r="AB15" i="16501"/>
  <c r="T15" i="16501"/>
  <c r="U15" i="16501"/>
  <c r="AE16" i="16501"/>
  <c r="O16" i="16501"/>
  <c r="AJ15" i="16501"/>
  <c r="AF15" i="16501"/>
  <c r="N14" i="16501"/>
  <c r="R13" i="16507"/>
  <c r="U105" i="16513" s="1"/>
  <c r="J15" i="16501"/>
  <c r="M16" i="16501"/>
  <c r="AF14" i="16501"/>
  <c r="AC16" i="16501"/>
  <c r="AG14" i="16501"/>
  <c r="J16" i="16501"/>
  <c r="W16" i="16501"/>
  <c r="X15" i="16501"/>
  <c r="P14" i="16501"/>
  <c r="Z14" i="16501"/>
  <c r="S14" i="16501"/>
  <c r="AD16" i="16501"/>
  <c r="M13" i="16507"/>
  <c r="P105" i="16513" s="1"/>
  <c r="K16" i="16501"/>
  <c r="Y15" i="16501"/>
  <c r="AA16" i="16501"/>
  <c r="AE14" i="16501"/>
  <c r="I16" i="16501"/>
  <c r="AA14" i="16501"/>
  <c r="N15" i="16501"/>
  <c r="Q13" i="16507"/>
  <c r="T105" i="16513" s="1"/>
  <c r="M15" i="16501"/>
  <c r="O15" i="16501"/>
  <c r="Q16" i="16501"/>
  <c r="W14" i="16501"/>
  <c r="G14" i="16501"/>
  <c r="AJ14" i="16501"/>
  <c r="J14" i="16501"/>
  <c r="W15" i="16501"/>
  <c r="R14" i="16501"/>
  <c r="H16" i="16501"/>
  <c r="G16" i="16501"/>
  <c r="N16" i="16501"/>
  <c r="V15" i="16501"/>
  <c r="AE13" i="16507"/>
  <c r="AH105" i="16513" s="1"/>
  <c r="AB14" i="16501"/>
  <c r="L14" i="16507"/>
  <c r="O106" i="16513" s="1"/>
  <c r="T13" i="16507"/>
  <c r="W105" i="16513" s="1"/>
  <c r="K13" i="16507"/>
  <c r="N105" i="16513" s="1"/>
  <c r="AG15" i="16501"/>
  <c r="F35" i="16501"/>
  <c r="K15" i="16501"/>
  <c r="AH16" i="16501"/>
  <c r="AH14" i="16501"/>
  <c r="AE15" i="16501"/>
  <c r="I15" i="16501"/>
  <c r="K14" i="16501"/>
  <c r="Q15" i="16501"/>
  <c r="U13" i="16507"/>
  <c r="X105" i="16513" s="1"/>
  <c r="U16" i="16501"/>
  <c r="AI16" i="16501"/>
  <c r="AD14" i="16501"/>
  <c r="AJ16" i="16501"/>
  <c r="R16" i="16501"/>
  <c r="M14" i="16501"/>
  <c r="AI15" i="16501"/>
  <c r="AA15" i="16501"/>
  <c r="S15" i="16501"/>
  <c r="AH15" i="16501"/>
  <c r="Z15" i="16501"/>
  <c r="R15" i="16501"/>
  <c r="F37" i="16501"/>
  <c r="I14" i="16501"/>
  <c r="G15" i="16501"/>
  <c r="F36" i="16501"/>
  <c r="H14" i="16501"/>
  <c r="G105" i="16513"/>
  <c r="B15" i="16507"/>
  <c r="G107" i="16513"/>
  <c r="H106" i="16513"/>
  <c r="E107" i="16513" l="1"/>
  <c r="BN107" i="16513" s="1"/>
  <c r="AJ106" i="16513"/>
  <c r="F14" i="16501"/>
  <c r="AX14" i="16501" s="1"/>
  <c r="B14" i="16507"/>
  <c r="B13" i="16507"/>
  <c r="F16" i="16501"/>
  <c r="BS16" i="16501" s="1"/>
  <c r="F15" i="16501"/>
  <c r="AW15" i="16501" s="1"/>
  <c r="AJ105" i="16513"/>
  <c r="AJ107" i="16513"/>
  <c r="H9" i="16459"/>
  <c r="H10" i="16459"/>
  <c r="H11" i="16459"/>
  <c r="K11" i="16459" s="1"/>
  <c r="H12" i="16459"/>
  <c r="I13" i="16461" s="1"/>
  <c r="K13" i="16461" s="1"/>
  <c r="H13" i="16459"/>
  <c r="H14" i="16459"/>
  <c r="H15" i="16459"/>
  <c r="K15" i="16459" s="1"/>
  <c r="H16" i="16459"/>
  <c r="I39" i="16461" s="1"/>
  <c r="K39" i="16461" s="1"/>
  <c r="H17" i="16459"/>
  <c r="H18" i="16459"/>
  <c r="K18" i="16459" s="1"/>
  <c r="H19" i="16459"/>
  <c r="K19" i="16459" s="1"/>
  <c r="H20" i="16459"/>
  <c r="I85" i="16461" s="1"/>
  <c r="K85" i="16461" s="1"/>
  <c r="P85" i="16461" s="1"/>
  <c r="H21" i="16459"/>
  <c r="K21" i="16459" s="1"/>
  <c r="H22" i="16459"/>
  <c r="H23" i="16459"/>
  <c r="I106" i="16461" s="1"/>
  <c r="K106" i="16461" s="1"/>
  <c r="M106" i="16461" s="1"/>
  <c r="H24" i="16459"/>
  <c r="K24" i="16459" s="1"/>
  <c r="H25" i="16459"/>
  <c r="K25" i="16459" s="1"/>
  <c r="H26" i="16459"/>
  <c r="H27" i="16459"/>
  <c r="K27" i="16459" s="1"/>
  <c r="H28" i="16459"/>
  <c r="I100" i="16461" s="1"/>
  <c r="K100" i="16461" s="1"/>
  <c r="AK100" i="16461" s="1"/>
  <c r="H29" i="16459"/>
  <c r="H30" i="16459"/>
  <c r="H31" i="16459"/>
  <c r="I26" i="16461" s="1"/>
  <c r="K26" i="16461" s="1"/>
  <c r="H32" i="16459"/>
  <c r="K32" i="16459" s="1"/>
  <c r="H33" i="16459"/>
  <c r="K33" i="16459" s="1"/>
  <c r="H34" i="16459"/>
  <c r="H35" i="16459"/>
  <c r="I116" i="16461" s="1"/>
  <c r="K116" i="16461" s="1"/>
  <c r="N116" i="16461" s="1"/>
  <c r="H36" i="16459"/>
  <c r="K36" i="16459" s="1"/>
  <c r="H37" i="16459"/>
  <c r="H38" i="16459"/>
  <c r="K38" i="16459" s="1"/>
  <c r="H39" i="16459"/>
  <c r="K39" i="16459" s="1"/>
  <c r="H40" i="16459"/>
  <c r="K40" i="16459" s="1"/>
  <c r="H41" i="16459"/>
  <c r="K41" i="16459" s="1"/>
  <c r="H42" i="16459"/>
  <c r="H43" i="16459"/>
  <c r="K43" i="16459" s="1"/>
  <c r="H44" i="16459"/>
  <c r="I80" i="16461" s="1"/>
  <c r="K80" i="16461" s="1"/>
  <c r="T80" i="16461" s="1"/>
  <c r="H45" i="16459"/>
  <c r="K45" i="16459" s="1"/>
  <c r="H46" i="16459"/>
  <c r="H47" i="16459"/>
  <c r="I29" i="16461" s="1"/>
  <c r="K29" i="16461" s="1"/>
  <c r="H48" i="16459"/>
  <c r="I54" i="16461" s="1"/>
  <c r="K54" i="16461" s="1"/>
  <c r="H49" i="16459"/>
  <c r="H50" i="16459"/>
  <c r="K50" i="16459" s="1"/>
  <c r="H51" i="16459"/>
  <c r="I35" i="16461" s="1"/>
  <c r="K35" i="16461" s="1"/>
  <c r="H52" i="16459"/>
  <c r="K52" i="16459" s="1"/>
  <c r="H53" i="16459"/>
  <c r="K53" i="16459" s="1"/>
  <c r="H54" i="16459"/>
  <c r="H55" i="16459"/>
  <c r="I150" i="16461" s="1"/>
  <c r="K150" i="16461" s="1"/>
  <c r="N150" i="16461" s="1"/>
  <c r="H56" i="16459"/>
  <c r="K56" i="16459" s="1"/>
  <c r="H57" i="16459"/>
  <c r="H58" i="16459"/>
  <c r="K58" i="16459" s="1"/>
  <c r="H59" i="16459"/>
  <c r="K59" i="16459" s="1"/>
  <c r="H60" i="16459"/>
  <c r="I133" i="16461" s="1"/>
  <c r="K133" i="16461" s="1"/>
  <c r="V133" i="16461" s="1"/>
  <c r="H61" i="16459"/>
  <c r="H62" i="16459"/>
  <c r="K62" i="16459" s="1"/>
  <c r="H63" i="16459"/>
  <c r="K63" i="16459" s="1"/>
  <c r="H64" i="16459"/>
  <c r="K64" i="16459" s="1"/>
  <c r="H65" i="16459"/>
  <c r="H66" i="16459"/>
  <c r="K66" i="16459" s="1"/>
  <c r="H67" i="16459"/>
  <c r="K67" i="16459" s="1"/>
  <c r="H68" i="16459"/>
  <c r="K68" i="16459" s="1"/>
  <c r="H69" i="16459"/>
  <c r="K69" i="16459" s="1"/>
  <c r="H70" i="16459"/>
  <c r="K70" i="16459" s="1"/>
  <c r="H71" i="16459"/>
  <c r="K71" i="16459" s="1"/>
  <c r="H72" i="16459"/>
  <c r="K72" i="16459" s="1"/>
  <c r="H73" i="16459"/>
  <c r="K73" i="16459" s="1"/>
  <c r="H74" i="16459"/>
  <c r="H75" i="16459"/>
  <c r="K75" i="16459" s="1"/>
  <c r="H76" i="16459"/>
  <c r="I14" i="16461" s="1"/>
  <c r="K14" i="16461" s="1"/>
  <c r="H77" i="16459"/>
  <c r="K77" i="16459" s="1"/>
  <c r="H78" i="16459"/>
  <c r="H79" i="16459"/>
  <c r="I71" i="16461" s="1"/>
  <c r="K71" i="16461" s="1"/>
  <c r="H80" i="16459"/>
  <c r="I30" i="16461" s="1"/>
  <c r="K30" i="16461" s="1"/>
  <c r="H81" i="16459"/>
  <c r="H82" i="16459"/>
  <c r="K82" i="16459" s="1"/>
  <c r="H83" i="16459"/>
  <c r="K83" i="16459" s="1"/>
  <c r="H84" i="16459"/>
  <c r="K84" i="16459" s="1"/>
  <c r="H85" i="16459"/>
  <c r="H86" i="16459"/>
  <c r="K86" i="16459" s="1"/>
  <c r="H87" i="16459"/>
  <c r="K87" i="16459" s="1"/>
  <c r="H88" i="16459"/>
  <c r="I75" i="16461" s="1"/>
  <c r="K75" i="16461" s="1"/>
  <c r="X75" i="16461" s="1"/>
  <c r="H89" i="16459"/>
  <c r="K89" i="16459" s="1"/>
  <c r="H90" i="16459"/>
  <c r="H91" i="16459"/>
  <c r="K91" i="16459" s="1"/>
  <c r="H92" i="16459"/>
  <c r="K92" i="16459" s="1"/>
  <c r="H93" i="16459"/>
  <c r="H94" i="16459"/>
  <c r="K94" i="16459" s="1"/>
  <c r="H95" i="16459"/>
  <c r="I175" i="16461" s="1"/>
  <c r="K175" i="16461" s="1"/>
  <c r="X175" i="16461" s="1"/>
  <c r="H96" i="16459"/>
  <c r="I57" i="16461" s="1"/>
  <c r="K57" i="16461" s="1"/>
  <c r="H97" i="16459"/>
  <c r="K97" i="16459" s="1"/>
  <c r="H98" i="16459"/>
  <c r="H99" i="16459"/>
  <c r="K99" i="16459" s="1"/>
  <c r="H100" i="16459"/>
  <c r="I115" i="16461" s="1"/>
  <c r="K115" i="16461" s="1"/>
  <c r="M115" i="16461" s="1"/>
  <c r="H101" i="16459"/>
  <c r="H102" i="16459"/>
  <c r="K102" i="16459" s="1"/>
  <c r="H103" i="16459"/>
  <c r="K103" i="16459" s="1"/>
  <c r="H104" i="16459"/>
  <c r="I76" i="16461" s="1"/>
  <c r="K76" i="16461" s="1"/>
  <c r="H105" i="16459"/>
  <c r="H106" i="16459"/>
  <c r="H107" i="16459"/>
  <c r="K107" i="16459" s="1"/>
  <c r="H108" i="16459"/>
  <c r="K108" i="16459" s="1"/>
  <c r="H109" i="16459"/>
  <c r="H110" i="16459"/>
  <c r="H111" i="16459"/>
  <c r="I145" i="16461" s="1"/>
  <c r="K145" i="16461" s="1"/>
  <c r="AA145" i="16461" s="1"/>
  <c r="H112" i="16459"/>
  <c r="K112" i="16459" s="1"/>
  <c r="H113" i="16459"/>
  <c r="H114" i="16459"/>
  <c r="K114" i="16459" s="1"/>
  <c r="H115" i="16459"/>
  <c r="I50" i="16461" s="1"/>
  <c r="K50" i="16461" s="1"/>
  <c r="AA50" i="16461" s="1"/>
  <c r="H116" i="16459"/>
  <c r="K116" i="16459" s="1"/>
  <c r="H117" i="16459"/>
  <c r="H118" i="16459"/>
  <c r="K118" i="16459" s="1"/>
  <c r="H119" i="16459"/>
  <c r="K119" i="16459" s="1"/>
  <c r="H120" i="16459"/>
  <c r="I58" i="16461" s="1"/>
  <c r="K58" i="16461" s="1"/>
  <c r="H121" i="16459"/>
  <c r="H122" i="16459"/>
  <c r="H123" i="16459"/>
  <c r="K123" i="16459" s="1"/>
  <c r="H124" i="16459"/>
  <c r="K124" i="16459" s="1"/>
  <c r="H125" i="16459"/>
  <c r="H126" i="16459"/>
  <c r="H127" i="16459"/>
  <c r="I44" i="16461" s="1"/>
  <c r="K44" i="16461" s="1"/>
  <c r="AC44" i="16461" s="1"/>
  <c r="H128" i="16459"/>
  <c r="K128" i="16459" s="1"/>
  <c r="H129" i="16459"/>
  <c r="K129" i="16459" s="1"/>
  <c r="H130" i="16459"/>
  <c r="K130" i="16459" s="1"/>
  <c r="H131" i="16459"/>
  <c r="K131" i="16459" s="1"/>
  <c r="H132" i="16459"/>
  <c r="I19" i="16461" s="1"/>
  <c r="K19" i="16461" s="1"/>
  <c r="AE19" i="16461" s="1"/>
  <c r="H133" i="16459"/>
  <c r="K133" i="16459" s="1"/>
  <c r="H134" i="16459"/>
  <c r="H135" i="16459"/>
  <c r="K135" i="16459" s="1"/>
  <c r="H136" i="16459"/>
  <c r="I134" i="16461" s="1"/>
  <c r="K134" i="16461" s="1"/>
  <c r="AD134" i="16461" s="1"/>
  <c r="H137" i="16459"/>
  <c r="K137" i="16459" s="1"/>
  <c r="H138" i="16459"/>
  <c r="K138" i="16459" s="1"/>
  <c r="H139" i="16459"/>
  <c r="K139" i="16459" s="1"/>
  <c r="H140" i="16459"/>
  <c r="K140" i="16459" s="1"/>
  <c r="H141" i="16459"/>
  <c r="K141" i="16459" s="1"/>
  <c r="H142" i="16459"/>
  <c r="H143" i="16459"/>
  <c r="I151" i="16461" s="1"/>
  <c r="K151" i="16461" s="1"/>
  <c r="M151" i="16461" s="1"/>
  <c r="H144" i="16459"/>
  <c r="K144" i="16459" s="1"/>
  <c r="H145" i="16459"/>
  <c r="H146" i="16459"/>
  <c r="H147" i="16459"/>
  <c r="K147" i="16459" s="1"/>
  <c r="H148" i="16459"/>
  <c r="K148" i="16459" s="1"/>
  <c r="H149" i="16459"/>
  <c r="K149" i="16459" s="1"/>
  <c r="H150" i="16459"/>
  <c r="H151" i="16459"/>
  <c r="I160" i="16461" s="1"/>
  <c r="K160" i="16461" s="1"/>
  <c r="AD160" i="16461" s="1"/>
  <c r="H152" i="16459"/>
  <c r="I162" i="16461" s="1"/>
  <c r="K162" i="16461" s="1"/>
  <c r="T162" i="16461" s="1"/>
  <c r="H153" i="16459"/>
  <c r="H154" i="16459"/>
  <c r="H155" i="16459"/>
  <c r="I51" i="16461" s="1"/>
  <c r="K51" i="16461" s="1"/>
  <c r="AO51" i="16461" s="1"/>
  <c r="H156" i="16459"/>
  <c r="I146" i="16461" s="1"/>
  <c r="K146" i="16461" s="1"/>
  <c r="H157" i="16459"/>
  <c r="H158" i="16459"/>
  <c r="H159" i="16459"/>
  <c r="K159" i="16459" s="1"/>
  <c r="H160" i="16459"/>
  <c r="K160" i="16459" s="1"/>
  <c r="H161" i="16459"/>
  <c r="K161" i="16459" s="1"/>
  <c r="H162" i="16459"/>
  <c r="H163" i="16459"/>
  <c r="K163" i="16459" s="1"/>
  <c r="H164" i="16459"/>
  <c r="K164" i="16459" s="1"/>
  <c r="H165" i="16459"/>
  <c r="K165" i="16459" s="1"/>
  <c r="H166" i="16459"/>
  <c r="H167" i="16459"/>
  <c r="I135" i="16461" s="1"/>
  <c r="K135" i="16461" s="1"/>
  <c r="P135" i="16461" s="1"/>
  <c r="H168" i="16459"/>
  <c r="K168" i="16459" s="1"/>
  <c r="H169" i="16459"/>
  <c r="H170" i="16459"/>
  <c r="H171" i="16459"/>
  <c r="K171" i="16459" s="1"/>
  <c r="H172" i="16459"/>
  <c r="K172" i="16459" s="1"/>
  <c r="H173" i="16459"/>
  <c r="H174" i="16459"/>
  <c r="K174" i="16459" s="1"/>
  <c r="H175" i="16459"/>
  <c r="I65" i="16461" s="1"/>
  <c r="K65" i="16461" s="1"/>
  <c r="AF65" i="16461" s="1"/>
  <c r="H176" i="16459"/>
  <c r="K176" i="16459" s="1"/>
  <c r="H177" i="16459"/>
  <c r="K177" i="16459" s="1"/>
  <c r="H178" i="16459"/>
  <c r="H179" i="16459"/>
  <c r="K179" i="16459" s="1"/>
  <c r="H180" i="16459"/>
  <c r="K180" i="16459" s="1"/>
  <c r="H181" i="16459"/>
  <c r="H182" i="16459"/>
  <c r="H183" i="16459"/>
  <c r="K183" i="16459" s="1"/>
  <c r="H184" i="16459"/>
  <c r="I171" i="16461" s="1"/>
  <c r="K171" i="16461" s="1"/>
  <c r="AJ171" i="16461" s="1"/>
  <c r="H185" i="16459"/>
  <c r="K185" i="16459" s="1"/>
  <c r="H186" i="16459"/>
  <c r="K186" i="16459" s="1"/>
  <c r="H187" i="16459"/>
  <c r="K187" i="16459" s="1"/>
  <c r="H188" i="16459"/>
  <c r="K188" i="16459" s="1"/>
  <c r="H189" i="16459"/>
  <c r="K189" i="16459" s="1"/>
  <c r="H190" i="16459"/>
  <c r="K190" i="16459" s="1"/>
  <c r="AP107" i="16513" l="1"/>
  <c r="AR107" i="16513"/>
  <c r="BG107" i="16513"/>
  <c r="AX107" i="16513"/>
  <c r="AQ107" i="16513"/>
  <c r="BD14" i="16501"/>
  <c r="BL14" i="16501"/>
  <c r="BJ107" i="16513"/>
  <c r="BD107" i="16513"/>
  <c r="BO107" i="16513"/>
  <c r="BH107" i="16513"/>
  <c r="AT107" i="16513"/>
  <c r="BL107" i="16513"/>
  <c r="AO107" i="16513"/>
  <c r="AS107" i="16513"/>
  <c r="AN107" i="16513"/>
  <c r="BB107" i="16513"/>
  <c r="AZ107" i="16513"/>
  <c r="AU107" i="16513"/>
  <c r="BI107" i="16513"/>
  <c r="BK107" i="16513"/>
  <c r="BA107" i="16513"/>
  <c r="AW107" i="16513"/>
  <c r="BF107" i="16513"/>
  <c r="BC107" i="16513"/>
  <c r="AY107" i="16513"/>
  <c r="E106" i="16513"/>
  <c r="AO106" i="16513" s="1"/>
  <c r="AL107" i="16513"/>
  <c r="BM107" i="16513"/>
  <c r="BE107" i="16513"/>
  <c r="AM107" i="16513"/>
  <c r="E105" i="16513"/>
  <c r="AS105" i="16513" s="1"/>
  <c r="AV107" i="16513"/>
  <c r="I136" i="16461"/>
  <c r="K136" i="16461" s="1"/>
  <c r="M136" i="16461" s="1"/>
  <c r="AL100" i="16461"/>
  <c r="V160" i="16461"/>
  <c r="AH135" i="16461"/>
  <c r="I95" i="16461"/>
  <c r="K95" i="16461" s="1"/>
  <c r="AO95" i="16461" s="1"/>
  <c r="N160" i="16461"/>
  <c r="Q85" i="16461"/>
  <c r="AD151" i="16461"/>
  <c r="AH133" i="16461"/>
  <c r="U80" i="16461"/>
  <c r="AO175" i="16461"/>
  <c r="V151" i="16461"/>
  <c r="W133" i="16461"/>
  <c r="Y75" i="16461"/>
  <c r="AG175" i="16461"/>
  <c r="AE150" i="16461"/>
  <c r="AD116" i="16461"/>
  <c r="AC50" i="16461"/>
  <c r="I173" i="16461"/>
  <c r="K173" i="16461" s="1"/>
  <c r="AH173" i="16461" s="1"/>
  <c r="W150" i="16461"/>
  <c r="O115" i="16461"/>
  <c r="AD44" i="16461"/>
  <c r="I164" i="16461"/>
  <c r="K164" i="16461" s="1"/>
  <c r="R164" i="16461" s="1"/>
  <c r="AI145" i="16461"/>
  <c r="AG106" i="16461"/>
  <c r="AF19" i="16461"/>
  <c r="BI14" i="16501"/>
  <c r="BH14" i="16501"/>
  <c r="AQ14" i="16501"/>
  <c r="BA14" i="16501"/>
  <c r="BC14" i="16501"/>
  <c r="AY14" i="16501"/>
  <c r="BS14" i="16501"/>
  <c r="AU15" i="16501"/>
  <c r="BK14" i="16501"/>
  <c r="BN15" i="16501"/>
  <c r="AS14" i="16501"/>
  <c r="BP14" i="16501"/>
  <c r="AV14" i="16501"/>
  <c r="AR14" i="16501"/>
  <c r="BR14" i="16501"/>
  <c r="BB14" i="16501"/>
  <c r="BJ14" i="16501"/>
  <c r="BO14" i="16501"/>
  <c r="AT14" i="16501"/>
  <c r="BQ14" i="16501"/>
  <c r="AW14" i="16501"/>
  <c r="AZ14" i="16501"/>
  <c r="AU14" i="16501"/>
  <c r="BG14" i="16501"/>
  <c r="BM14" i="16501"/>
  <c r="BE14" i="16501"/>
  <c r="BS15" i="16501"/>
  <c r="BA15" i="16501"/>
  <c r="BC15" i="16501"/>
  <c r="BI15" i="16501"/>
  <c r="BE15" i="16501"/>
  <c r="BK15" i="16501"/>
  <c r="BQ15" i="16501"/>
  <c r="AV15" i="16501"/>
  <c r="BO15" i="16501"/>
  <c r="AT15" i="16501"/>
  <c r="AY15" i="16501"/>
  <c r="BJ15" i="16501"/>
  <c r="BH15" i="16501"/>
  <c r="BG15" i="16501"/>
  <c r="BR15" i="16501"/>
  <c r="BO16" i="16501"/>
  <c r="BP16" i="16501"/>
  <c r="AQ16" i="16501"/>
  <c r="AR15" i="16501"/>
  <c r="AZ15" i="16501"/>
  <c r="AQ15" i="16501"/>
  <c r="BF15" i="16501"/>
  <c r="BB15" i="16501"/>
  <c r="AS15" i="16501"/>
  <c r="BR16" i="16501"/>
  <c r="BM15" i="16501"/>
  <c r="BP15" i="16501"/>
  <c r="BD15" i="16501"/>
  <c r="AX15" i="16501"/>
  <c r="BF14" i="16501"/>
  <c r="BL15" i="16501"/>
  <c r="BT15" i="16501"/>
  <c r="BN14" i="16501"/>
  <c r="BT14" i="16501"/>
  <c r="BK16" i="16501"/>
  <c r="AY16" i="16501"/>
  <c r="AW16" i="16501"/>
  <c r="BJ16" i="16501"/>
  <c r="AX16" i="16501"/>
  <c r="BC16" i="16501"/>
  <c r="AT16" i="16501"/>
  <c r="BH16" i="16501"/>
  <c r="AS16" i="16501"/>
  <c r="BI16" i="16501"/>
  <c r="BE16" i="16501"/>
  <c r="AV16" i="16501"/>
  <c r="BL16" i="16501"/>
  <c r="BA16" i="16501"/>
  <c r="AU16" i="16501"/>
  <c r="BB16" i="16501"/>
  <c r="BN16" i="16501"/>
  <c r="AR16" i="16501"/>
  <c r="BM16" i="16501"/>
  <c r="BT16" i="16501"/>
  <c r="AZ16" i="16501"/>
  <c r="BG16" i="16501"/>
  <c r="BQ16" i="16501"/>
  <c r="BD16" i="16501"/>
  <c r="BF16" i="16501"/>
  <c r="K162" i="16459"/>
  <c r="I156" i="16461"/>
  <c r="K156" i="16461" s="1"/>
  <c r="I165" i="16461"/>
  <c r="K165" i="16461" s="1"/>
  <c r="K146" i="16459"/>
  <c r="I56" i="16461"/>
  <c r="K56" i="16461" s="1"/>
  <c r="K122" i="16459"/>
  <c r="I180" i="16461"/>
  <c r="K180" i="16461" s="1"/>
  <c r="K106" i="16459"/>
  <c r="I170" i="16461"/>
  <c r="K170" i="16461" s="1"/>
  <c r="K26" i="16459"/>
  <c r="I73" i="16461"/>
  <c r="K73" i="16461" s="1"/>
  <c r="K169" i="16459"/>
  <c r="I179" i="16461"/>
  <c r="K179" i="16461" s="1"/>
  <c r="K153" i="16459"/>
  <c r="I166" i="16461"/>
  <c r="K166" i="16461" s="1"/>
  <c r="K145" i="16459"/>
  <c r="I163" i="16461"/>
  <c r="K163" i="16461" s="1"/>
  <c r="K121" i="16459"/>
  <c r="I108" i="16461"/>
  <c r="K108" i="16461" s="1"/>
  <c r="I97" i="16461"/>
  <c r="K97" i="16461" s="1"/>
  <c r="I103" i="16461"/>
  <c r="K103" i="16461" s="1"/>
  <c r="K113" i="16459"/>
  <c r="I155" i="16461"/>
  <c r="K155" i="16461" s="1"/>
  <c r="K105" i="16459"/>
  <c r="I122" i="16461"/>
  <c r="K122" i="16461" s="1"/>
  <c r="I118" i="16461"/>
  <c r="K118" i="16461" s="1"/>
  <c r="K81" i="16459"/>
  <c r="I101" i="16461"/>
  <c r="K101" i="16461" s="1"/>
  <c r="I121" i="16461"/>
  <c r="K121" i="16461" s="1"/>
  <c r="K65" i="16459"/>
  <c r="I91" i="16461"/>
  <c r="K91" i="16461" s="1"/>
  <c r="K57" i="16459"/>
  <c r="I21" i="16461"/>
  <c r="K21" i="16461" s="1"/>
  <c r="K49" i="16459"/>
  <c r="I84" i="16461"/>
  <c r="K84" i="16461" s="1"/>
  <c r="K17" i="16459"/>
  <c r="I131" i="16461"/>
  <c r="K131" i="16461" s="1"/>
  <c r="K9" i="16459"/>
  <c r="I167" i="16461"/>
  <c r="K167" i="16461" s="1"/>
  <c r="I177" i="16461"/>
  <c r="K177" i="16461" s="1"/>
  <c r="K154" i="16459"/>
  <c r="I81" i="16461"/>
  <c r="K81" i="16461" s="1"/>
  <c r="K98" i="16459"/>
  <c r="I48" i="16461"/>
  <c r="K48" i="16461" s="1"/>
  <c r="I169" i="16461"/>
  <c r="K169" i="16461" s="1"/>
  <c r="K74" i="16459"/>
  <c r="I63" i="16461"/>
  <c r="K63" i="16461" s="1"/>
  <c r="K34" i="16459"/>
  <c r="O171" i="16461"/>
  <c r="W171" i="16461"/>
  <c r="AE171" i="16461"/>
  <c r="AM171" i="16461"/>
  <c r="P171" i="16461"/>
  <c r="X171" i="16461"/>
  <c r="AF171" i="16461"/>
  <c r="AN171" i="16461"/>
  <c r="Q171" i="16461"/>
  <c r="Y171" i="16461"/>
  <c r="AG171" i="16461"/>
  <c r="AO171" i="16461"/>
  <c r="R171" i="16461"/>
  <c r="Z171" i="16461"/>
  <c r="AH171" i="16461"/>
  <c r="AP171" i="16461"/>
  <c r="M171" i="16461"/>
  <c r="U171" i="16461"/>
  <c r="AC171" i="16461"/>
  <c r="AK171" i="16461"/>
  <c r="N171" i="16461"/>
  <c r="V171" i="16461"/>
  <c r="AD171" i="16461"/>
  <c r="AL171" i="16461"/>
  <c r="S171" i="16461"/>
  <c r="T171" i="16461"/>
  <c r="AA171" i="16461"/>
  <c r="AB171" i="16461"/>
  <c r="AI171" i="16461"/>
  <c r="O162" i="16461"/>
  <c r="W162" i="16461"/>
  <c r="AE162" i="16461"/>
  <c r="AM162" i="16461"/>
  <c r="P162" i="16461"/>
  <c r="X162" i="16461"/>
  <c r="AF162" i="16461"/>
  <c r="AN162" i="16461"/>
  <c r="Q162" i="16461"/>
  <c r="Y162" i="16461"/>
  <c r="AG162" i="16461"/>
  <c r="AO162" i="16461"/>
  <c r="R162" i="16461"/>
  <c r="Z162" i="16461"/>
  <c r="AH162" i="16461"/>
  <c r="AP162" i="16461"/>
  <c r="M162" i="16461"/>
  <c r="U162" i="16461"/>
  <c r="AC162" i="16461"/>
  <c r="AK162" i="16461"/>
  <c r="N162" i="16461"/>
  <c r="V162" i="16461"/>
  <c r="AD162" i="16461"/>
  <c r="AL162" i="16461"/>
  <c r="AA162" i="16461"/>
  <c r="AB162" i="16461"/>
  <c r="AI162" i="16461"/>
  <c r="AJ162" i="16461"/>
  <c r="S162" i="16461"/>
  <c r="P134" i="16461"/>
  <c r="X134" i="16461"/>
  <c r="AF134" i="16461"/>
  <c r="AN134" i="16461"/>
  <c r="O134" i="16461"/>
  <c r="Y134" i="16461"/>
  <c r="AH134" i="16461"/>
  <c r="Q134" i="16461"/>
  <c r="Z134" i="16461"/>
  <c r="AI134" i="16461"/>
  <c r="R134" i="16461"/>
  <c r="AA134" i="16461"/>
  <c r="AJ134" i="16461"/>
  <c r="S134" i="16461"/>
  <c r="AB134" i="16461"/>
  <c r="AK134" i="16461"/>
  <c r="M134" i="16461"/>
  <c r="V134" i="16461"/>
  <c r="AE134" i="16461"/>
  <c r="AO134" i="16461"/>
  <c r="N134" i="16461"/>
  <c r="W134" i="16461"/>
  <c r="AG134" i="16461"/>
  <c r="AP134" i="16461"/>
  <c r="T134" i="16461"/>
  <c r="U134" i="16461"/>
  <c r="AC134" i="16461"/>
  <c r="AL134" i="16461"/>
  <c r="AM134" i="16461"/>
  <c r="N54" i="16461"/>
  <c r="V54" i="16461"/>
  <c r="AD54" i="16461"/>
  <c r="AL54" i="16461"/>
  <c r="O54" i="16461"/>
  <c r="W54" i="16461"/>
  <c r="AE54" i="16461"/>
  <c r="AM54" i="16461"/>
  <c r="P54" i="16461"/>
  <c r="X54" i="16461"/>
  <c r="AF54" i="16461"/>
  <c r="AN54" i="16461"/>
  <c r="Q54" i="16461"/>
  <c r="Y54" i="16461"/>
  <c r="AG54" i="16461"/>
  <c r="AO54" i="16461"/>
  <c r="T54" i="16461"/>
  <c r="AB54" i="16461"/>
  <c r="AJ54" i="16461"/>
  <c r="M54" i="16461"/>
  <c r="U54" i="16461"/>
  <c r="AC54" i="16461"/>
  <c r="AK54" i="16461"/>
  <c r="Z54" i="16461"/>
  <c r="AA54" i="16461"/>
  <c r="AH54" i="16461"/>
  <c r="AI54" i="16461"/>
  <c r="R54" i="16461"/>
  <c r="S54" i="16461"/>
  <c r="AP54" i="16461"/>
  <c r="M146" i="16461"/>
  <c r="U146" i="16461"/>
  <c r="AC146" i="16461"/>
  <c r="AK146" i="16461"/>
  <c r="N146" i="16461"/>
  <c r="V146" i="16461"/>
  <c r="AD146" i="16461"/>
  <c r="AL146" i="16461"/>
  <c r="O146" i="16461"/>
  <c r="W146" i="16461"/>
  <c r="AE146" i="16461"/>
  <c r="AM146" i="16461"/>
  <c r="P146" i="16461"/>
  <c r="X146" i="16461"/>
  <c r="AF146" i="16461"/>
  <c r="AN146" i="16461"/>
  <c r="S146" i="16461"/>
  <c r="AA146" i="16461"/>
  <c r="AI146" i="16461"/>
  <c r="T146" i="16461"/>
  <c r="AB146" i="16461"/>
  <c r="AJ146" i="16461"/>
  <c r="AO146" i="16461"/>
  <c r="AP146" i="16461"/>
  <c r="Q146" i="16461"/>
  <c r="R146" i="16461"/>
  <c r="Y146" i="16461"/>
  <c r="AG146" i="16461"/>
  <c r="I126" i="16461"/>
  <c r="K126" i="16461" s="1"/>
  <c r="K10" i="16459"/>
  <c r="N145" i="16461"/>
  <c r="V145" i="16461"/>
  <c r="AD145" i="16461"/>
  <c r="AL145" i="16461"/>
  <c r="O145" i="16461"/>
  <c r="W145" i="16461"/>
  <c r="AE145" i="16461"/>
  <c r="AM145" i="16461"/>
  <c r="P145" i="16461"/>
  <c r="X145" i="16461"/>
  <c r="AF145" i="16461"/>
  <c r="AN145" i="16461"/>
  <c r="Q145" i="16461"/>
  <c r="Y145" i="16461"/>
  <c r="AG145" i="16461"/>
  <c r="AO145" i="16461"/>
  <c r="T145" i="16461"/>
  <c r="AB145" i="16461"/>
  <c r="AJ145" i="16461"/>
  <c r="M145" i="16461"/>
  <c r="U145" i="16461"/>
  <c r="AC145" i="16461"/>
  <c r="AK145" i="16461"/>
  <c r="AP145" i="16461"/>
  <c r="R145" i="16461"/>
  <c r="S145" i="16461"/>
  <c r="Z145" i="16461"/>
  <c r="AH145" i="16461"/>
  <c r="I178" i="16461"/>
  <c r="K178" i="16461" s="1"/>
  <c r="K170" i="16459"/>
  <c r="I68" i="16461"/>
  <c r="K68" i="16461" s="1"/>
  <c r="I143" i="16461"/>
  <c r="K143" i="16461" s="1"/>
  <c r="K182" i="16459"/>
  <c r="I161" i="16461"/>
  <c r="K161" i="16461" s="1"/>
  <c r="K166" i="16459"/>
  <c r="I139" i="16461"/>
  <c r="K139" i="16461" s="1"/>
  <c r="K158" i="16459"/>
  <c r="I152" i="16461"/>
  <c r="K152" i="16461" s="1"/>
  <c r="K150" i="16459"/>
  <c r="I130" i="16461"/>
  <c r="K130" i="16461" s="1"/>
  <c r="K142" i="16459"/>
  <c r="I147" i="16461"/>
  <c r="K147" i="16461" s="1"/>
  <c r="K134" i="16459"/>
  <c r="I37" i="16461"/>
  <c r="K37" i="16461" s="1"/>
  <c r="K126" i="16459"/>
  <c r="I55" i="16461"/>
  <c r="K55" i="16461" s="1"/>
  <c r="I138" i="16461"/>
  <c r="K138" i="16461" s="1"/>
  <c r="K110" i="16459"/>
  <c r="K78" i="16459"/>
  <c r="I49" i="16461"/>
  <c r="K49" i="16461" s="1"/>
  <c r="I111" i="16461"/>
  <c r="K111" i="16461" s="1"/>
  <c r="K54" i="16459"/>
  <c r="I72" i="16461"/>
  <c r="K72" i="16461" s="1"/>
  <c r="I159" i="16461"/>
  <c r="K159" i="16461" s="1"/>
  <c r="I158" i="16461"/>
  <c r="K158" i="16461" s="1"/>
  <c r="K46" i="16459"/>
  <c r="I70" i="16461"/>
  <c r="K70" i="16461" s="1"/>
  <c r="K30" i="16459"/>
  <c r="I87" i="16461"/>
  <c r="K87" i="16461" s="1"/>
  <c r="K22" i="16459"/>
  <c r="I23" i="16461"/>
  <c r="K23" i="16461" s="1"/>
  <c r="I40" i="16461"/>
  <c r="K40" i="16461" s="1"/>
  <c r="K14" i="16459"/>
  <c r="M173" i="16461"/>
  <c r="U173" i="16461"/>
  <c r="AC173" i="16461"/>
  <c r="AK173" i="16461"/>
  <c r="N173" i="16461"/>
  <c r="V173" i="16461"/>
  <c r="AD173" i="16461"/>
  <c r="AL173" i="16461"/>
  <c r="O173" i="16461"/>
  <c r="W173" i="16461"/>
  <c r="AE173" i="16461"/>
  <c r="AM173" i="16461"/>
  <c r="P173" i="16461"/>
  <c r="X173" i="16461"/>
  <c r="AF173" i="16461"/>
  <c r="AN173" i="16461"/>
  <c r="S173" i="16461"/>
  <c r="AA173" i="16461"/>
  <c r="AI173" i="16461"/>
  <c r="T173" i="16461"/>
  <c r="AB173" i="16461"/>
  <c r="AJ173" i="16461"/>
  <c r="Q173" i="16461"/>
  <c r="R173" i="16461"/>
  <c r="Y173" i="16461"/>
  <c r="Z173" i="16461"/>
  <c r="AG173" i="16461"/>
  <c r="AO173" i="16461"/>
  <c r="AH146" i="16461"/>
  <c r="I66" i="16461"/>
  <c r="K66" i="16461" s="1"/>
  <c r="K178" i="16459"/>
  <c r="I32" i="16461"/>
  <c r="K32" i="16461" s="1"/>
  <c r="K90" i="16459"/>
  <c r="I18" i="16461"/>
  <c r="K18" i="16461" s="1"/>
  <c r="K42" i="16459"/>
  <c r="I142" i="16461"/>
  <c r="K142" i="16461" s="1"/>
  <c r="K181" i="16459"/>
  <c r="I140" i="16461"/>
  <c r="K140" i="16461" s="1"/>
  <c r="K173" i="16459"/>
  <c r="I61" i="16461"/>
  <c r="K61" i="16461" s="1"/>
  <c r="I52" i="16461"/>
  <c r="K52" i="16461" s="1"/>
  <c r="I172" i="16461"/>
  <c r="K172" i="16461" s="1"/>
  <c r="K157" i="16459"/>
  <c r="I78" i="16461"/>
  <c r="K78" i="16461" s="1"/>
  <c r="K125" i="16459"/>
  <c r="I153" i="16461"/>
  <c r="K153" i="16461" s="1"/>
  <c r="K117" i="16459"/>
  <c r="I129" i="16461"/>
  <c r="K129" i="16461" s="1"/>
  <c r="K109" i="16459"/>
  <c r="I43" i="16461"/>
  <c r="K43" i="16461" s="1"/>
  <c r="I60" i="16461"/>
  <c r="K60" i="16461" s="1"/>
  <c r="K101" i="16459"/>
  <c r="I176" i="16461"/>
  <c r="K176" i="16461" s="1"/>
  <c r="K93" i="16459"/>
  <c r="I77" i="16461"/>
  <c r="K77" i="16461" s="1"/>
  <c r="K85" i="16459"/>
  <c r="I36" i="16461"/>
  <c r="K36" i="16461" s="1"/>
  <c r="I110" i="16461"/>
  <c r="K110" i="16461" s="1"/>
  <c r="K61" i="16459"/>
  <c r="I117" i="16461"/>
  <c r="K117" i="16461" s="1"/>
  <c r="K37" i="16459"/>
  <c r="I102" i="16461"/>
  <c r="K102" i="16461" s="1"/>
  <c r="I96" i="16461"/>
  <c r="K96" i="16461" s="1"/>
  <c r="I107" i="16461"/>
  <c r="K107" i="16461" s="1"/>
  <c r="K29" i="16459"/>
  <c r="I64" i="16461"/>
  <c r="K64" i="16461" s="1"/>
  <c r="K13" i="16459"/>
  <c r="Z146" i="16461"/>
  <c r="AG65" i="16461"/>
  <c r="AP51" i="16461"/>
  <c r="AN175" i="16461"/>
  <c r="U160" i="16461"/>
  <c r="AC151" i="16461"/>
  <c r="AD150" i="16461"/>
  <c r="AP135" i="16461"/>
  <c r="AF133" i="16461"/>
  <c r="K184" i="16459"/>
  <c r="K156" i="16459"/>
  <c r="K152" i="16459"/>
  <c r="K136" i="16459"/>
  <c r="K132" i="16459"/>
  <c r="K120" i="16459"/>
  <c r="K104" i="16459"/>
  <c r="K100" i="16459"/>
  <c r="K96" i="16459"/>
  <c r="K88" i="16459"/>
  <c r="K80" i="16459"/>
  <c r="K76" i="16459"/>
  <c r="K60" i="16459"/>
  <c r="K48" i="16459"/>
  <c r="K44" i="16459"/>
  <c r="K28" i="16459"/>
  <c r="K20" i="16459"/>
  <c r="K16" i="16459"/>
  <c r="K12" i="16459"/>
  <c r="AF175" i="16461"/>
  <c r="M160" i="16461"/>
  <c r="U151" i="16461"/>
  <c r="V150" i="16461"/>
  <c r="AG135" i="16461"/>
  <c r="AB116" i="16461"/>
  <c r="AF106" i="16461"/>
  <c r="I141" i="16461"/>
  <c r="K141" i="16461" s="1"/>
  <c r="I148" i="16461"/>
  <c r="K148" i="16461" s="1"/>
  <c r="I27" i="16461"/>
  <c r="K27" i="16461" s="1"/>
  <c r="I92" i="16461"/>
  <c r="K92" i="16461" s="1"/>
  <c r="I113" i="16461"/>
  <c r="K113" i="16461" s="1"/>
  <c r="R58" i="16461"/>
  <c r="Z58" i="16461"/>
  <c r="AH58" i="16461"/>
  <c r="AP58" i="16461"/>
  <c r="S58" i="16461"/>
  <c r="AA58" i="16461"/>
  <c r="AI58" i="16461"/>
  <c r="T58" i="16461"/>
  <c r="AB58" i="16461"/>
  <c r="AJ58" i="16461"/>
  <c r="M58" i="16461"/>
  <c r="U58" i="16461"/>
  <c r="AC58" i="16461"/>
  <c r="AK58" i="16461"/>
  <c r="P58" i="16461"/>
  <c r="X58" i="16461"/>
  <c r="AF58" i="16461"/>
  <c r="AN58" i="16461"/>
  <c r="Q58" i="16461"/>
  <c r="Y58" i="16461"/>
  <c r="AG58" i="16461"/>
  <c r="AO58" i="16461"/>
  <c r="V58" i="16461"/>
  <c r="W58" i="16461"/>
  <c r="AD58" i="16461"/>
  <c r="AE58" i="16461"/>
  <c r="N58" i="16461"/>
  <c r="O58" i="16461"/>
  <c r="S76" i="16461"/>
  <c r="AA76" i="16461"/>
  <c r="AI76" i="16461"/>
  <c r="T76" i="16461"/>
  <c r="AB76" i="16461"/>
  <c r="AJ76" i="16461"/>
  <c r="M76" i="16461"/>
  <c r="U76" i="16461"/>
  <c r="AC76" i="16461"/>
  <c r="AK76" i="16461"/>
  <c r="N76" i="16461"/>
  <c r="V76" i="16461"/>
  <c r="AD76" i="16461"/>
  <c r="AL76" i="16461"/>
  <c r="Q76" i="16461"/>
  <c r="Y76" i="16461"/>
  <c r="AG76" i="16461"/>
  <c r="AO76" i="16461"/>
  <c r="R76" i="16461"/>
  <c r="Z76" i="16461"/>
  <c r="AH76" i="16461"/>
  <c r="AP76" i="16461"/>
  <c r="AM76" i="16461"/>
  <c r="AN76" i="16461"/>
  <c r="O76" i="16461"/>
  <c r="P76" i="16461"/>
  <c r="AE76" i="16461"/>
  <c r="AF76" i="16461"/>
  <c r="T115" i="16461"/>
  <c r="AB115" i="16461"/>
  <c r="AJ115" i="16461"/>
  <c r="N115" i="16461"/>
  <c r="V115" i="16461"/>
  <c r="AD115" i="16461"/>
  <c r="AL115" i="16461"/>
  <c r="R115" i="16461"/>
  <c r="Z115" i="16461"/>
  <c r="AH115" i="16461"/>
  <c r="AP115" i="16461"/>
  <c r="S115" i="16461"/>
  <c r="AA115" i="16461"/>
  <c r="AI115" i="16461"/>
  <c r="U115" i="16461"/>
  <c r="AK115" i="16461"/>
  <c r="W115" i="16461"/>
  <c r="AM115" i="16461"/>
  <c r="X115" i="16461"/>
  <c r="AN115" i="16461"/>
  <c r="Y115" i="16461"/>
  <c r="AO115" i="16461"/>
  <c r="P115" i="16461"/>
  <c r="AF115" i="16461"/>
  <c r="Q115" i="16461"/>
  <c r="AG115" i="16461"/>
  <c r="S57" i="16461"/>
  <c r="AA57" i="16461"/>
  <c r="AI57" i="16461"/>
  <c r="T57" i="16461"/>
  <c r="AB57" i="16461"/>
  <c r="AJ57" i="16461"/>
  <c r="M57" i="16461"/>
  <c r="U57" i="16461"/>
  <c r="AC57" i="16461"/>
  <c r="AK57" i="16461"/>
  <c r="N57" i="16461"/>
  <c r="V57" i="16461"/>
  <c r="AD57" i="16461"/>
  <c r="AL57" i="16461"/>
  <c r="Q57" i="16461"/>
  <c r="Y57" i="16461"/>
  <c r="AG57" i="16461"/>
  <c r="AO57" i="16461"/>
  <c r="R57" i="16461"/>
  <c r="Z57" i="16461"/>
  <c r="AH57" i="16461"/>
  <c r="AP57" i="16461"/>
  <c r="W57" i="16461"/>
  <c r="X57" i="16461"/>
  <c r="AE57" i="16461"/>
  <c r="AF57" i="16461"/>
  <c r="O57" i="16461"/>
  <c r="P57" i="16461"/>
  <c r="T75" i="16461"/>
  <c r="AB75" i="16461"/>
  <c r="AJ75" i="16461"/>
  <c r="M75" i="16461"/>
  <c r="U75" i="16461"/>
  <c r="AC75" i="16461"/>
  <c r="AK75" i="16461"/>
  <c r="N75" i="16461"/>
  <c r="V75" i="16461"/>
  <c r="AD75" i="16461"/>
  <c r="AL75" i="16461"/>
  <c r="O75" i="16461"/>
  <c r="W75" i="16461"/>
  <c r="AE75" i="16461"/>
  <c r="AM75" i="16461"/>
  <c r="R75" i="16461"/>
  <c r="Z75" i="16461"/>
  <c r="AH75" i="16461"/>
  <c r="AP75" i="16461"/>
  <c r="S75" i="16461"/>
  <c r="AA75" i="16461"/>
  <c r="AI75" i="16461"/>
  <c r="AN75" i="16461"/>
  <c r="AO75" i="16461"/>
  <c r="P75" i="16461"/>
  <c r="Q75" i="16461"/>
  <c r="AF75" i="16461"/>
  <c r="AG75" i="16461"/>
  <c r="I24" i="16461"/>
  <c r="K24" i="16461" s="1"/>
  <c r="I41" i="16461"/>
  <c r="K41" i="16461" s="1"/>
  <c r="I88" i="16461"/>
  <c r="K88" i="16461" s="1"/>
  <c r="I62" i="16461"/>
  <c r="K62" i="16461" s="1"/>
  <c r="I127" i="16461"/>
  <c r="K127" i="16461" s="1"/>
  <c r="S30" i="16461"/>
  <c r="AA30" i="16461"/>
  <c r="AI30" i="16461"/>
  <c r="T30" i="16461"/>
  <c r="AB30" i="16461"/>
  <c r="AJ30" i="16461"/>
  <c r="M30" i="16461"/>
  <c r="U30" i="16461"/>
  <c r="AC30" i="16461"/>
  <c r="AK30" i="16461"/>
  <c r="N30" i="16461"/>
  <c r="V30" i="16461"/>
  <c r="AD30" i="16461"/>
  <c r="AL30" i="16461"/>
  <c r="Q30" i="16461"/>
  <c r="Y30" i="16461"/>
  <c r="AG30" i="16461"/>
  <c r="AO30" i="16461"/>
  <c r="R30" i="16461"/>
  <c r="Z30" i="16461"/>
  <c r="AH30" i="16461"/>
  <c r="AP30" i="16461"/>
  <c r="AM30" i="16461"/>
  <c r="AN30" i="16461"/>
  <c r="O30" i="16461"/>
  <c r="P30" i="16461"/>
  <c r="AE30" i="16461"/>
  <c r="AF30" i="16461"/>
  <c r="N14" i="16461"/>
  <c r="V14" i="16461"/>
  <c r="AD14" i="16461"/>
  <c r="AL14" i="16461"/>
  <c r="O14" i="16461"/>
  <c r="W14" i="16461"/>
  <c r="AE14" i="16461"/>
  <c r="AM14" i="16461"/>
  <c r="P14" i="16461"/>
  <c r="X14" i="16461"/>
  <c r="AF14" i="16461"/>
  <c r="AN14" i="16461"/>
  <c r="Q14" i="16461"/>
  <c r="Y14" i="16461"/>
  <c r="AG14" i="16461"/>
  <c r="AO14" i="16461"/>
  <c r="T14" i="16461"/>
  <c r="AB14" i="16461"/>
  <c r="AJ14" i="16461"/>
  <c r="M14" i="16461"/>
  <c r="U14" i="16461"/>
  <c r="AC14" i="16461"/>
  <c r="AK14" i="16461"/>
  <c r="R14" i="16461"/>
  <c r="S14" i="16461"/>
  <c r="Z14" i="16461"/>
  <c r="AA14" i="16461"/>
  <c r="AP14" i="16461"/>
  <c r="AH14" i="16461"/>
  <c r="AI14" i="16461"/>
  <c r="Q133" i="16461"/>
  <c r="Y133" i="16461"/>
  <c r="AG133" i="16461"/>
  <c r="AO133" i="16461"/>
  <c r="S133" i="16461"/>
  <c r="AA133" i="16461"/>
  <c r="AI133" i="16461"/>
  <c r="P133" i="16461"/>
  <c r="AB133" i="16461"/>
  <c r="AL133" i="16461"/>
  <c r="R133" i="16461"/>
  <c r="AC133" i="16461"/>
  <c r="AM133" i="16461"/>
  <c r="T133" i="16461"/>
  <c r="AD133" i="16461"/>
  <c r="AN133" i="16461"/>
  <c r="U133" i="16461"/>
  <c r="AE133" i="16461"/>
  <c r="AP133" i="16461"/>
  <c r="N133" i="16461"/>
  <c r="X133" i="16461"/>
  <c r="AJ133" i="16461"/>
  <c r="O133" i="16461"/>
  <c r="Z133" i="16461"/>
  <c r="AK133" i="16461"/>
  <c r="P80" i="16461"/>
  <c r="X80" i="16461"/>
  <c r="AF80" i="16461"/>
  <c r="AN80" i="16461"/>
  <c r="Q80" i="16461"/>
  <c r="Y80" i="16461"/>
  <c r="AG80" i="16461"/>
  <c r="AO80" i="16461"/>
  <c r="R80" i="16461"/>
  <c r="Z80" i="16461"/>
  <c r="AH80" i="16461"/>
  <c r="AP80" i="16461"/>
  <c r="S80" i="16461"/>
  <c r="AA80" i="16461"/>
  <c r="AI80" i="16461"/>
  <c r="N80" i="16461"/>
  <c r="V80" i="16461"/>
  <c r="AD80" i="16461"/>
  <c r="AL80" i="16461"/>
  <c r="O80" i="16461"/>
  <c r="W80" i="16461"/>
  <c r="AE80" i="16461"/>
  <c r="AM80" i="16461"/>
  <c r="AJ80" i="16461"/>
  <c r="AK80" i="16461"/>
  <c r="M80" i="16461"/>
  <c r="AB80" i="16461"/>
  <c r="AC80" i="16461"/>
  <c r="I90" i="16461"/>
  <c r="K90" i="16461" s="1"/>
  <c r="I120" i="16461"/>
  <c r="K120" i="16461" s="1"/>
  <c r="Q100" i="16461"/>
  <c r="Y100" i="16461"/>
  <c r="AG100" i="16461"/>
  <c r="AO100" i="16461"/>
  <c r="R100" i="16461"/>
  <c r="Z100" i="16461"/>
  <c r="AH100" i="16461"/>
  <c r="AP100" i="16461"/>
  <c r="S100" i="16461"/>
  <c r="AA100" i="16461"/>
  <c r="AI100" i="16461"/>
  <c r="T100" i="16461"/>
  <c r="AB100" i="16461"/>
  <c r="AJ100" i="16461"/>
  <c r="O100" i="16461"/>
  <c r="W100" i="16461"/>
  <c r="AE100" i="16461"/>
  <c r="AM100" i="16461"/>
  <c r="P100" i="16461"/>
  <c r="X100" i="16461"/>
  <c r="AF100" i="16461"/>
  <c r="AN100" i="16461"/>
  <c r="U100" i="16461"/>
  <c r="V100" i="16461"/>
  <c r="AC100" i="16461"/>
  <c r="AD100" i="16461"/>
  <c r="M100" i="16461"/>
  <c r="N100" i="16461"/>
  <c r="T85" i="16461"/>
  <c r="AB85" i="16461"/>
  <c r="AJ85" i="16461"/>
  <c r="M85" i="16461"/>
  <c r="U85" i="16461"/>
  <c r="AC85" i="16461"/>
  <c r="AK85" i="16461"/>
  <c r="N85" i="16461"/>
  <c r="V85" i="16461"/>
  <c r="AD85" i="16461"/>
  <c r="AL85" i="16461"/>
  <c r="O85" i="16461"/>
  <c r="W85" i="16461"/>
  <c r="AE85" i="16461"/>
  <c r="AM85" i="16461"/>
  <c r="R85" i="16461"/>
  <c r="Z85" i="16461"/>
  <c r="AH85" i="16461"/>
  <c r="AP85" i="16461"/>
  <c r="S85" i="16461"/>
  <c r="AA85" i="16461"/>
  <c r="AI85" i="16461"/>
  <c r="AF85" i="16461"/>
  <c r="AG85" i="16461"/>
  <c r="AN85" i="16461"/>
  <c r="AO85" i="16461"/>
  <c r="X85" i="16461"/>
  <c r="Y85" i="16461"/>
  <c r="M39" i="16461"/>
  <c r="U39" i="16461"/>
  <c r="AC39" i="16461"/>
  <c r="AK39" i="16461"/>
  <c r="N39" i="16461"/>
  <c r="V39" i="16461"/>
  <c r="AD39" i="16461"/>
  <c r="AL39" i="16461"/>
  <c r="O39" i="16461"/>
  <c r="W39" i="16461"/>
  <c r="AE39" i="16461"/>
  <c r="AM39" i="16461"/>
  <c r="P39" i="16461"/>
  <c r="X39" i="16461"/>
  <c r="AF39" i="16461"/>
  <c r="AN39" i="16461"/>
  <c r="S39" i="16461"/>
  <c r="AA39" i="16461"/>
  <c r="AI39" i="16461"/>
  <c r="T39" i="16461"/>
  <c r="AB39" i="16461"/>
  <c r="AJ39" i="16461"/>
  <c r="AG39" i="16461"/>
  <c r="AH39" i="16461"/>
  <c r="AO39" i="16461"/>
  <c r="AP39" i="16461"/>
  <c r="Y39" i="16461"/>
  <c r="Z39" i="16461"/>
  <c r="Q39" i="16461"/>
  <c r="R39" i="16461"/>
  <c r="O13" i="16461"/>
  <c r="W13" i="16461"/>
  <c r="AE13" i="16461"/>
  <c r="AM13" i="16461"/>
  <c r="P13" i="16461"/>
  <c r="X13" i="16461"/>
  <c r="AF13" i="16461"/>
  <c r="AN13" i="16461"/>
  <c r="Q13" i="16461"/>
  <c r="Y13" i="16461"/>
  <c r="AG13" i="16461"/>
  <c r="AO13" i="16461"/>
  <c r="R13" i="16461"/>
  <c r="Z13" i="16461"/>
  <c r="AH13" i="16461"/>
  <c r="AP13" i="16461"/>
  <c r="M13" i="16461"/>
  <c r="U13" i="16461"/>
  <c r="AC13" i="16461"/>
  <c r="AK13" i="16461"/>
  <c r="N13" i="16461"/>
  <c r="V13" i="16461"/>
  <c r="AD13" i="16461"/>
  <c r="AL13" i="16461"/>
  <c r="S13" i="16461"/>
  <c r="T13" i="16461"/>
  <c r="AA13" i="16461"/>
  <c r="AB13" i="16461"/>
  <c r="Y175" i="16461"/>
  <c r="AL160" i="16461"/>
  <c r="N151" i="16461"/>
  <c r="O150" i="16461"/>
  <c r="Y135" i="16461"/>
  <c r="M133" i="16461"/>
  <c r="AM58" i="16461"/>
  <c r="AJ13" i="16461"/>
  <c r="S19" i="16461"/>
  <c r="AA19" i="16461"/>
  <c r="AI19" i="16461"/>
  <c r="T19" i="16461"/>
  <c r="AB19" i="16461"/>
  <c r="AJ19" i="16461"/>
  <c r="M19" i="16461"/>
  <c r="U19" i="16461"/>
  <c r="AC19" i="16461"/>
  <c r="AK19" i="16461"/>
  <c r="N19" i="16461"/>
  <c r="V19" i="16461"/>
  <c r="AD19" i="16461"/>
  <c r="AL19" i="16461"/>
  <c r="Q19" i="16461"/>
  <c r="Y19" i="16461"/>
  <c r="AG19" i="16461"/>
  <c r="AO19" i="16461"/>
  <c r="R19" i="16461"/>
  <c r="Z19" i="16461"/>
  <c r="AH19" i="16461"/>
  <c r="AP19" i="16461"/>
  <c r="O19" i="16461"/>
  <c r="P19" i="16461"/>
  <c r="W19" i="16461"/>
  <c r="X19" i="16461"/>
  <c r="AM19" i="16461"/>
  <c r="AN19" i="16461"/>
  <c r="K175" i="16459"/>
  <c r="K167" i="16459"/>
  <c r="K155" i="16459"/>
  <c r="K151" i="16459"/>
  <c r="K143" i="16459"/>
  <c r="K127" i="16459"/>
  <c r="K115" i="16459"/>
  <c r="K111" i="16459"/>
  <c r="K95" i="16459"/>
  <c r="K79" i="16459"/>
  <c r="K55" i="16459"/>
  <c r="K51" i="16459"/>
  <c r="K47" i="16459"/>
  <c r="K35" i="16459"/>
  <c r="K31" i="16459"/>
  <c r="K23" i="16459"/>
  <c r="AK160" i="16461"/>
  <c r="X135" i="16461"/>
  <c r="I94" i="16461"/>
  <c r="K94" i="16461" s="1"/>
  <c r="AL58" i="16461"/>
  <c r="AI13" i="16461"/>
  <c r="T65" i="16461"/>
  <c r="AB65" i="16461"/>
  <c r="AJ65" i="16461"/>
  <c r="M65" i="16461"/>
  <c r="U65" i="16461"/>
  <c r="AC65" i="16461"/>
  <c r="AK65" i="16461"/>
  <c r="N65" i="16461"/>
  <c r="V65" i="16461"/>
  <c r="AD65" i="16461"/>
  <c r="AL65" i="16461"/>
  <c r="O65" i="16461"/>
  <c r="W65" i="16461"/>
  <c r="AE65" i="16461"/>
  <c r="AM65" i="16461"/>
  <c r="R65" i="16461"/>
  <c r="Z65" i="16461"/>
  <c r="AH65" i="16461"/>
  <c r="AP65" i="16461"/>
  <c r="S65" i="16461"/>
  <c r="AA65" i="16461"/>
  <c r="AI65" i="16461"/>
  <c r="P65" i="16461"/>
  <c r="Q65" i="16461"/>
  <c r="X65" i="16461"/>
  <c r="Y65" i="16461"/>
  <c r="AN65" i="16461"/>
  <c r="AO65" i="16461"/>
  <c r="I46" i="16461"/>
  <c r="K46" i="16461" s="1"/>
  <c r="I82" i="16461"/>
  <c r="K82" i="16461" s="1"/>
  <c r="S51" i="16461"/>
  <c r="AA51" i="16461"/>
  <c r="AI51" i="16461"/>
  <c r="M51" i="16461"/>
  <c r="U51" i="16461"/>
  <c r="AC51" i="16461"/>
  <c r="AK51" i="16461"/>
  <c r="Q51" i="16461"/>
  <c r="N51" i="16461"/>
  <c r="Y51" i="16461"/>
  <c r="AJ51" i="16461"/>
  <c r="O51" i="16461"/>
  <c r="Z51" i="16461"/>
  <c r="AL51" i="16461"/>
  <c r="P51" i="16461"/>
  <c r="AB51" i="16461"/>
  <c r="AM51" i="16461"/>
  <c r="R51" i="16461"/>
  <c r="AD51" i="16461"/>
  <c r="AN51" i="16461"/>
  <c r="W51" i="16461"/>
  <c r="AG51" i="16461"/>
  <c r="X51" i="16461"/>
  <c r="AH51" i="16461"/>
  <c r="T51" i="16461"/>
  <c r="V51" i="16461"/>
  <c r="AE51" i="16461"/>
  <c r="AF51" i="16461"/>
  <c r="Q151" i="16461"/>
  <c r="Y151" i="16461"/>
  <c r="AG151" i="16461"/>
  <c r="AO151" i="16461"/>
  <c r="R151" i="16461"/>
  <c r="Z151" i="16461"/>
  <c r="AH151" i="16461"/>
  <c r="AP151" i="16461"/>
  <c r="S151" i="16461"/>
  <c r="AA151" i="16461"/>
  <c r="AI151" i="16461"/>
  <c r="T151" i="16461"/>
  <c r="AB151" i="16461"/>
  <c r="AJ151" i="16461"/>
  <c r="O151" i="16461"/>
  <c r="W151" i="16461"/>
  <c r="AE151" i="16461"/>
  <c r="AM151" i="16461"/>
  <c r="P151" i="16461"/>
  <c r="X151" i="16461"/>
  <c r="AF151" i="16461"/>
  <c r="AN151" i="16461"/>
  <c r="I45" i="16461"/>
  <c r="K45" i="16461" s="1"/>
  <c r="I98" i="16461"/>
  <c r="K98" i="16461" s="1"/>
  <c r="I112" i="16461"/>
  <c r="K112" i="16461" s="1"/>
  <c r="I104" i="16461"/>
  <c r="K104" i="16461" s="1"/>
  <c r="I123" i="16461"/>
  <c r="K123" i="16461" s="1"/>
  <c r="I67" i="16461"/>
  <c r="K67" i="16461" s="1"/>
  <c r="I15" i="16461"/>
  <c r="K15" i="16461" s="1"/>
  <c r="Q44" i="16461"/>
  <c r="Y44" i="16461"/>
  <c r="AG44" i="16461"/>
  <c r="AO44" i="16461"/>
  <c r="S44" i="16461"/>
  <c r="AA44" i="16461"/>
  <c r="AI44" i="16461"/>
  <c r="T44" i="16461"/>
  <c r="AB44" i="16461"/>
  <c r="AJ44" i="16461"/>
  <c r="O44" i="16461"/>
  <c r="W44" i="16461"/>
  <c r="AE44" i="16461"/>
  <c r="AM44" i="16461"/>
  <c r="U44" i="16461"/>
  <c r="AK44" i="16461"/>
  <c r="V44" i="16461"/>
  <c r="AL44" i="16461"/>
  <c r="X44" i="16461"/>
  <c r="AN44" i="16461"/>
  <c r="Z44" i="16461"/>
  <c r="AP44" i="16461"/>
  <c r="P44" i="16461"/>
  <c r="AF44" i="16461"/>
  <c r="R44" i="16461"/>
  <c r="AH44" i="16461"/>
  <c r="M44" i="16461"/>
  <c r="N44" i="16461"/>
  <c r="T50" i="16461"/>
  <c r="AB50" i="16461"/>
  <c r="AJ50" i="16461"/>
  <c r="N50" i="16461"/>
  <c r="V50" i="16461"/>
  <c r="AD50" i="16461"/>
  <c r="AL50" i="16461"/>
  <c r="R50" i="16461"/>
  <c r="Z50" i="16461"/>
  <c r="AH50" i="16461"/>
  <c r="AP50" i="16461"/>
  <c r="U50" i="16461"/>
  <c r="AG50" i="16461"/>
  <c r="W50" i="16461"/>
  <c r="AI50" i="16461"/>
  <c r="X50" i="16461"/>
  <c r="AK50" i="16461"/>
  <c r="M50" i="16461"/>
  <c r="Y50" i="16461"/>
  <c r="AM50" i="16461"/>
  <c r="Q50" i="16461"/>
  <c r="AE50" i="16461"/>
  <c r="S50" i="16461"/>
  <c r="AF50" i="16461"/>
  <c r="O50" i="16461"/>
  <c r="P50" i="16461"/>
  <c r="AN50" i="16461"/>
  <c r="AO50" i="16461"/>
  <c r="T175" i="16461"/>
  <c r="AB175" i="16461"/>
  <c r="AJ175" i="16461"/>
  <c r="M175" i="16461"/>
  <c r="U175" i="16461"/>
  <c r="AC175" i="16461"/>
  <c r="AK175" i="16461"/>
  <c r="N175" i="16461"/>
  <c r="V175" i="16461"/>
  <c r="AD175" i="16461"/>
  <c r="AL175" i="16461"/>
  <c r="O175" i="16461"/>
  <c r="W175" i="16461"/>
  <c r="AE175" i="16461"/>
  <c r="AM175" i="16461"/>
  <c r="R175" i="16461"/>
  <c r="Z175" i="16461"/>
  <c r="AH175" i="16461"/>
  <c r="AP175" i="16461"/>
  <c r="S175" i="16461"/>
  <c r="AA175" i="16461"/>
  <c r="AI175" i="16461"/>
  <c r="O71" i="16461"/>
  <c r="W71" i="16461"/>
  <c r="AE71" i="16461"/>
  <c r="AM71" i="16461"/>
  <c r="P71" i="16461"/>
  <c r="X71" i="16461"/>
  <c r="AF71" i="16461"/>
  <c r="AN71" i="16461"/>
  <c r="Q71" i="16461"/>
  <c r="Y71" i="16461"/>
  <c r="AG71" i="16461"/>
  <c r="AO71" i="16461"/>
  <c r="R71" i="16461"/>
  <c r="Z71" i="16461"/>
  <c r="AH71" i="16461"/>
  <c r="AP71" i="16461"/>
  <c r="M71" i="16461"/>
  <c r="U71" i="16461"/>
  <c r="AC71" i="16461"/>
  <c r="AK71" i="16461"/>
  <c r="N71" i="16461"/>
  <c r="V71" i="16461"/>
  <c r="AD71" i="16461"/>
  <c r="AL71" i="16461"/>
  <c r="S71" i="16461"/>
  <c r="T71" i="16461"/>
  <c r="AI71" i="16461"/>
  <c r="AJ71" i="16461"/>
  <c r="I33" i="16461"/>
  <c r="K33" i="16461" s="1"/>
  <c r="I114" i="16461"/>
  <c r="K114" i="16461" s="1"/>
  <c r="R150" i="16461"/>
  <c r="Z150" i="16461"/>
  <c r="AH150" i="16461"/>
  <c r="AP150" i="16461"/>
  <c r="S150" i="16461"/>
  <c r="AA150" i="16461"/>
  <c r="AI150" i="16461"/>
  <c r="T150" i="16461"/>
  <c r="AB150" i="16461"/>
  <c r="AJ150" i="16461"/>
  <c r="M150" i="16461"/>
  <c r="U150" i="16461"/>
  <c r="AC150" i="16461"/>
  <c r="AK150" i="16461"/>
  <c r="P150" i="16461"/>
  <c r="X150" i="16461"/>
  <c r="AF150" i="16461"/>
  <c r="AN150" i="16461"/>
  <c r="Q150" i="16461"/>
  <c r="Y150" i="16461"/>
  <c r="AG150" i="16461"/>
  <c r="AO150" i="16461"/>
  <c r="P35" i="16461"/>
  <c r="X35" i="16461"/>
  <c r="AF35" i="16461"/>
  <c r="AN35" i="16461"/>
  <c r="Q35" i="16461"/>
  <c r="Y35" i="16461"/>
  <c r="AG35" i="16461"/>
  <c r="AO35" i="16461"/>
  <c r="R35" i="16461"/>
  <c r="Z35" i="16461"/>
  <c r="AH35" i="16461"/>
  <c r="AP35" i="16461"/>
  <c r="S35" i="16461"/>
  <c r="AA35" i="16461"/>
  <c r="AI35" i="16461"/>
  <c r="N35" i="16461"/>
  <c r="V35" i="16461"/>
  <c r="AD35" i="16461"/>
  <c r="AL35" i="16461"/>
  <c r="O35" i="16461"/>
  <c r="W35" i="16461"/>
  <c r="AE35" i="16461"/>
  <c r="AM35" i="16461"/>
  <c r="AJ35" i="16461"/>
  <c r="AK35" i="16461"/>
  <c r="M35" i="16461"/>
  <c r="AB35" i="16461"/>
  <c r="AC35" i="16461"/>
  <c r="T35" i="16461"/>
  <c r="U35" i="16461"/>
  <c r="T29" i="16461"/>
  <c r="AB29" i="16461"/>
  <c r="AJ29" i="16461"/>
  <c r="M29" i="16461"/>
  <c r="U29" i="16461"/>
  <c r="AC29" i="16461"/>
  <c r="AK29" i="16461"/>
  <c r="N29" i="16461"/>
  <c r="V29" i="16461"/>
  <c r="AD29" i="16461"/>
  <c r="AL29" i="16461"/>
  <c r="O29" i="16461"/>
  <c r="W29" i="16461"/>
  <c r="AE29" i="16461"/>
  <c r="AM29" i="16461"/>
  <c r="R29" i="16461"/>
  <c r="Z29" i="16461"/>
  <c r="AH29" i="16461"/>
  <c r="AP29" i="16461"/>
  <c r="S29" i="16461"/>
  <c r="AA29" i="16461"/>
  <c r="AI29" i="16461"/>
  <c r="AN29" i="16461"/>
  <c r="AO29" i="16461"/>
  <c r="P29" i="16461"/>
  <c r="Q29" i="16461"/>
  <c r="AF29" i="16461"/>
  <c r="AG29" i="16461"/>
  <c r="X29" i="16461"/>
  <c r="Y29" i="16461"/>
  <c r="S116" i="16461"/>
  <c r="AA116" i="16461"/>
  <c r="AI116" i="16461"/>
  <c r="M116" i="16461"/>
  <c r="U116" i="16461"/>
  <c r="AC116" i="16461"/>
  <c r="AK116" i="16461"/>
  <c r="Q116" i="16461"/>
  <c r="Y116" i="16461"/>
  <c r="AG116" i="16461"/>
  <c r="AO116" i="16461"/>
  <c r="R116" i="16461"/>
  <c r="Z116" i="16461"/>
  <c r="AH116" i="16461"/>
  <c r="AP116" i="16461"/>
  <c r="T116" i="16461"/>
  <c r="AJ116" i="16461"/>
  <c r="V116" i="16461"/>
  <c r="AL116" i="16461"/>
  <c r="W116" i="16461"/>
  <c r="AM116" i="16461"/>
  <c r="X116" i="16461"/>
  <c r="AN116" i="16461"/>
  <c r="O116" i="16461"/>
  <c r="AE116" i="16461"/>
  <c r="P116" i="16461"/>
  <c r="AF116" i="16461"/>
  <c r="N26" i="16461"/>
  <c r="V26" i="16461"/>
  <c r="AD26" i="16461"/>
  <c r="AL26" i="16461"/>
  <c r="O26" i="16461"/>
  <c r="W26" i="16461"/>
  <c r="AE26" i="16461"/>
  <c r="AM26" i="16461"/>
  <c r="P26" i="16461"/>
  <c r="X26" i="16461"/>
  <c r="AF26" i="16461"/>
  <c r="AN26" i="16461"/>
  <c r="Q26" i="16461"/>
  <c r="Y26" i="16461"/>
  <c r="AG26" i="16461"/>
  <c r="AO26" i="16461"/>
  <c r="T26" i="16461"/>
  <c r="AB26" i="16461"/>
  <c r="AJ26" i="16461"/>
  <c r="M26" i="16461"/>
  <c r="U26" i="16461"/>
  <c r="AC26" i="16461"/>
  <c r="AK26" i="16461"/>
  <c r="AP26" i="16461"/>
  <c r="R26" i="16461"/>
  <c r="S26" i="16461"/>
  <c r="AH26" i="16461"/>
  <c r="AI26" i="16461"/>
  <c r="Z26" i="16461"/>
  <c r="AA26" i="16461"/>
  <c r="T106" i="16461"/>
  <c r="AB106" i="16461"/>
  <c r="AJ106" i="16461"/>
  <c r="N106" i="16461"/>
  <c r="V106" i="16461"/>
  <c r="AD106" i="16461"/>
  <c r="AL106" i="16461"/>
  <c r="O106" i="16461"/>
  <c r="W106" i="16461"/>
  <c r="AE106" i="16461"/>
  <c r="AM106" i="16461"/>
  <c r="R106" i="16461"/>
  <c r="Z106" i="16461"/>
  <c r="AH106" i="16461"/>
  <c r="AP106" i="16461"/>
  <c r="S106" i="16461"/>
  <c r="AA106" i="16461"/>
  <c r="AI106" i="16461"/>
  <c r="U106" i="16461"/>
  <c r="AO106" i="16461"/>
  <c r="X106" i="16461"/>
  <c r="Y106" i="16461"/>
  <c r="AC106" i="16461"/>
  <c r="P106" i="16461"/>
  <c r="AK106" i="16461"/>
  <c r="Q106" i="16461"/>
  <c r="AN106" i="16461"/>
  <c r="I183" i="16461"/>
  <c r="K183" i="16461" s="1"/>
  <c r="Q175" i="16461"/>
  <c r="AL151" i="16461"/>
  <c r="AM150" i="16461"/>
  <c r="AE115" i="16461"/>
  <c r="X76" i="16461"/>
  <c r="AB71" i="16461"/>
  <c r="AN57" i="16461"/>
  <c r="X30" i="16461"/>
  <c r="O135" i="16461"/>
  <c r="W135" i="16461"/>
  <c r="AE135" i="16461"/>
  <c r="AM135" i="16461"/>
  <c r="S135" i="16461"/>
  <c r="AB135" i="16461"/>
  <c r="AK135" i="16461"/>
  <c r="T135" i="16461"/>
  <c r="AC135" i="16461"/>
  <c r="AL135" i="16461"/>
  <c r="U135" i="16461"/>
  <c r="AD135" i="16461"/>
  <c r="AN135" i="16461"/>
  <c r="M135" i="16461"/>
  <c r="V135" i="16461"/>
  <c r="AF135" i="16461"/>
  <c r="AO135" i="16461"/>
  <c r="Q135" i="16461"/>
  <c r="Z135" i="16461"/>
  <c r="AI135" i="16461"/>
  <c r="R135" i="16461"/>
  <c r="AA135" i="16461"/>
  <c r="AJ135" i="16461"/>
  <c r="I22" i="16461"/>
  <c r="K22" i="16461" s="1"/>
  <c r="I157" i="16461"/>
  <c r="K157" i="16461" s="1"/>
  <c r="Q160" i="16461"/>
  <c r="Y160" i="16461"/>
  <c r="AG160" i="16461"/>
  <c r="AO160" i="16461"/>
  <c r="R160" i="16461"/>
  <c r="Z160" i="16461"/>
  <c r="AH160" i="16461"/>
  <c r="AP160" i="16461"/>
  <c r="S160" i="16461"/>
  <c r="AA160" i="16461"/>
  <c r="AI160" i="16461"/>
  <c r="T160" i="16461"/>
  <c r="AB160" i="16461"/>
  <c r="AJ160" i="16461"/>
  <c r="O160" i="16461"/>
  <c r="W160" i="16461"/>
  <c r="AE160" i="16461"/>
  <c r="AM160" i="16461"/>
  <c r="P160" i="16461"/>
  <c r="X160" i="16461"/>
  <c r="AF160" i="16461"/>
  <c r="AN160" i="16461"/>
  <c r="I182" i="16461"/>
  <c r="K182" i="16461" s="1"/>
  <c r="P175" i="16461"/>
  <c r="AC160" i="16461"/>
  <c r="AK151" i="16461"/>
  <c r="AL150" i="16461"/>
  <c r="N135" i="16461"/>
  <c r="AC115" i="16461"/>
  <c r="W76" i="16461"/>
  <c r="AA71" i="16461"/>
  <c r="AM57" i="16461"/>
  <c r="W30" i="16461"/>
  <c r="AP173" i="16461" l="1"/>
  <c r="O95" i="16461"/>
  <c r="AH95" i="16461"/>
  <c r="S95" i="16461"/>
  <c r="W95" i="16461"/>
  <c r="O164" i="16461"/>
  <c r="U95" i="16461"/>
  <c r="M95" i="16461"/>
  <c r="M164" i="16461"/>
  <c r="AG95" i="16461"/>
  <c r="AG164" i="16461"/>
  <c r="AA95" i="16461"/>
  <c r="S164" i="16461"/>
  <c r="Z164" i="16461"/>
  <c r="AN164" i="16461"/>
  <c r="AL164" i="16461"/>
  <c r="Y164" i="16461"/>
  <c r="AF164" i="16461"/>
  <c r="AD164" i="16461"/>
  <c r="AJ164" i="16461"/>
  <c r="X164" i="16461"/>
  <c r="V164" i="16461"/>
  <c r="AB164" i="16461"/>
  <c r="P164" i="16461"/>
  <c r="N164" i="16461"/>
  <c r="Q164" i="16461"/>
  <c r="T164" i="16461"/>
  <c r="AM164" i="16461"/>
  <c r="AK164" i="16461"/>
  <c r="AO164" i="16461"/>
  <c r="AI164" i="16461"/>
  <c r="AE164" i="16461"/>
  <c r="AC164" i="16461"/>
  <c r="AH164" i="16461"/>
  <c r="AA164" i="16461"/>
  <c r="W164" i="16461"/>
  <c r="U164" i="16461"/>
  <c r="AP164" i="16461"/>
  <c r="Z95" i="16461"/>
  <c r="AN95" i="16461"/>
  <c r="AL95" i="16461"/>
  <c r="AP95" i="16461"/>
  <c r="Y95" i="16461"/>
  <c r="AF95" i="16461"/>
  <c r="AD95" i="16461"/>
  <c r="AB95" i="16461"/>
  <c r="P95" i="16461"/>
  <c r="N95" i="16461"/>
  <c r="AJ95" i="16461"/>
  <c r="X95" i="16461"/>
  <c r="V95" i="16461"/>
  <c r="R95" i="16461"/>
  <c r="T95" i="16461"/>
  <c r="AM95" i="16461"/>
  <c r="AK95" i="16461"/>
  <c r="Q95" i="16461"/>
  <c r="AI95" i="16461"/>
  <c r="AE95" i="16461"/>
  <c r="AC95" i="16461"/>
  <c r="X136" i="16461"/>
  <c r="X190" i="16461" s="1"/>
  <c r="AH136" i="16461"/>
  <c r="AH206" i="16461" s="1"/>
  <c r="AB32" i="16501" s="1"/>
  <c r="AB11" i="16501" s="1"/>
  <c r="AP136" i="16461"/>
  <c r="AP190" i="16461" s="1"/>
  <c r="BG106" i="16513"/>
  <c r="AT106" i="16513"/>
  <c r="AV106" i="16513"/>
  <c r="AA136" i="16461"/>
  <c r="AA190" i="16461" s="1"/>
  <c r="BO105" i="16513"/>
  <c r="BC105" i="16513"/>
  <c r="BJ105" i="16513"/>
  <c r="AM105" i="16513"/>
  <c r="AO105" i="16513"/>
  <c r="BI105" i="16513"/>
  <c r="BB105" i="16513"/>
  <c r="AT105" i="16513"/>
  <c r="AL105" i="16513"/>
  <c r="AV105" i="16513"/>
  <c r="AN105" i="16513"/>
  <c r="BH105" i="16513"/>
  <c r="AP105" i="16513"/>
  <c r="BM105" i="16513"/>
  <c r="AX105" i="16513"/>
  <c r="AZ105" i="16513"/>
  <c r="AR105" i="16513"/>
  <c r="AU105" i="16513"/>
  <c r="AY105" i="16513"/>
  <c r="BA105" i="16513"/>
  <c r="BG105" i="16513"/>
  <c r="AQ106" i="16513"/>
  <c r="BJ106" i="16513"/>
  <c r="AW106" i="16513"/>
  <c r="AS106" i="16513"/>
  <c r="AN106" i="16513"/>
  <c r="BM106" i="16513"/>
  <c r="AZ106" i="16513"/>
  <c r="BL106" i="16513"/>
  <c r="BA106" i="16513"/>
  <c r="BN106" i="16513"/>
  <c r="AY106" i="16513"/>
  <c r="BK106" i="16513"/>
  <c r="BB106" i="16513"/>
  <c r="AL106" i="16513"/>
  <c r="BD106" i="16513"/>
  <c r="AX106" i="16513"/>
  <c r="BC106" i="16513"/>
  <c r="BH106" i="16513"/>
  <c r="BI106" i="16513"/>
  <c r="AM106" i="16513"/>
  <c r="BF106" i="16513"/>
  <c r="AR106" i="16513"/>
  <c r="BE106" i="16513"/>
  <c r="Z136" i="16461"/>
  <c r="Z190" i="16461" s="1"/>
  <c r="BO106" i="16513"/>
  <c r="AU106" i="16513"/>
  <c r="AP106" i="16513"/>
  <c r="BP107" i="16513"/>
  <c r="BF105" i="16513"/>
  <c r="BD105" i="16513"/>
  <c r="AW105" i="16513"/>
  <c r="AQ105" i="16513"/>
  <c r="BE105" i="16513"/>
  <c r="BK105" i="16513"/>
  <c r="BL105" i="16513"/>
  <c r="BN105" i="16513"/>
  <c r="AJ136" i="16461"/>
  <c r="AJ190" i="16461" s="1"/>
  <c r="AN136" i="16461"/>
  <c r="AN206" i="16461" s="1"/>
  <c r="AH32" i="16501" s="1"/>
  <c r="V136" i="16461"/>
  <c r="V190" i="16461" s="1"/>
  <c r="AO136" i="16461"/>
  <c r="AO206" i="16461" s="1"/>
  <c r="AI32" i="16501" s="1"/>
  <c r="AM136" i="16461"/>
  <c r="AM206" i="16461" s="1"/>
  <c r="AG32" i="16501" s="1"/>
  <c r="W136" i="16461"/>
  <c r="W206" i="16461" s="1"/>
  <c r="Q32" i="16501" s="1"/>
  <c r="R136" i="16461"/>
  <c r="AL136" i="16461"/>
  <c r="T136" i="16461"/>
  <c r="T206" i="16461" s="1"/>
  <c r="N32" i="16501" s="1"/>
  <c r="U136" i="16461"/>
  <c r="U206" i="16461" s="1"/>
  <c r="O32" i="16501" s="1"/>
  <c r="Q136" i="16461"/>
  <c r="Q190" i="16461" s="1"/>
  <c r="AF136" i="16461"/>
  <c r="AF190" i="16461" s="1"/>
  <c r="AD136" i="16461"/>
  <c r="AD190" i="16461" s="1"/>
  <c r="AB136" i="16461"/>
  <c r="AB206" i="16461" s="1"/>
  <c r="V32" i="16501" s="1"/>
  <c r="P136" i="16461"/>
  <c r="P190" i="16461" s="1"/>
  <c r="N136" i="16461"/>
  <c r="N190" i="16461" s="1"/>
  <c r="L106" i="16461"/>
  <c r="AK136" i="16461"/>
  <c r="AK206" i="16461" s="1"/>
  <c r="AE32" i="16501" s="1"/>
  <c r="AE11" i="16501" s="1"/>
  <c r="L115" i="16461"/>
  <c r="AG136" i="16461"/>
  <c r="AG206" i="16461" s="1"/>
  <c r="AA32" i="16501" s="1"/>
  <c r="AI136" i="16461"/>
  <c r="AI190" i="16461" s="1"/>
  <c r="AE136" i="16461"/>
  <c r="AE190" i="16461" s="1"/>
  <c r="AC136" i="16461"/>
  <c r="L135" i="16461"/>
  <c r="Y136" i="16461"/>
  <c r="Y206" i="16461" s="1"/>
  <c r="S32" i="16501" s="1"/>
  <c r="S136" i="16461"/>
  <c r="S190" i="16461" s="1"/>
  <c r="O136" i="16461"/>
  <c r="O190" i="16461" s="1"/>
  <c r="Q78" i="16461"/>
  <c r="Y78" i="16461"/>
  <c r="AG78" i="16461"/>
  <c r="AO78" i="16461"/>
  <c r="R78" i="16461"/>
  <c r="Z78" i="16461"/>
  <c r="AH78" i="16461"/>
  <c r="AP78" i="16461"/>
  <c r="S78" i="16461"/>
  <c r="AA78" i="16461"/>
  <c r="AI78" i="16461"/>
  <c r="T78" i="16461"/>
  <c r="AB78" i="16461"/>
  <c r="AJ78" i="16461"/>
  <c r="O78" i="16461"/>
  <c r="W78" i="16461"/>
  <c r="AE78" i="16461"/>
  <c r="AM78" i="16461"/>
  <c r="P78" i="16461"/>
  <c r="X78" i="16461"/>
  <c r="AF78" i="16461"/>
  <c r="AN78" i="16461"/>
  <c r="AK78" i="16461"/>
  <c r="AL78" i="16461"/>
  <c r="M78" i="16461"/>
  <c r="N78" i="16461"/>
  <c r="AC78" i="16461"/>
  <c r="AD78" i="16461"/>
  <c r="U78" i="16461"/>
  <c r="V78" i="16461"/>
  <c r="N37" i="16461"/>
  <c r="V37" i="16461"/>
  <c r="AD37" i="16461"/>
  <c r="AL37" i="16461"/>
  <c r="O37" i="16461"/>
  <c r="W37" i="16461"/>
  <c r="AE37" i="16461"/>
  <c r="AM37" i="16461"/>
  <c r="P37" i="16461"/>
  <c r="X37" i="16461"/>
  <c r="AF37" i="16461"/>
  <c r="AN37" i="16461"/>
  <c r="Q37" i="16461"/>
  <c r="Y37" i="16461"/>
  <c r="AG37" i="16461"/>
  <c r="AO37" i="16461"/>
  <c r="T37" i="16461"/>
  <c r="AB37" i="16461"/>
  <c r="AJ37" i="16461"/>
  <c r="M37" i="16461"/>
  <c r="U37" i="16461"/>
  <c r="AC37" i="16461"/>
  <c r="AK37" i="16461"/>
  <c r="AH37" i="16461"/>
  <c r="AI37" i="16461"/>
  <c r="AP37" i="16461"/>
  <c r="Z37" i="16461"/>
  <c r="AA37" i="16461"/>
  <c r="R37" i="16461"/>
  <c r="S37" i="16461"/>
  <c r="N126" i="16461"/>
  <c r="V126" i="16461"/>
  <c r="AD126" i="16461"/>
  <c r="AL126" i="16461"/>
  <c r="P126" i="16461"/>
  <c r="X126" i="16461"/>
  <c r="AF126" i="16461"/>
  <c r="AN126" i="16461"/>
  <c r="T126" i="16461"/>
  <c r="AB126" i="16461"/>
  <c r="AJ126" i="16461"/>
  <c r="M126" i="16461"/>
  <c r="U126" i="16461"/>
  <c r="AC126" i="16461"/>
  <c r="AK126" i="16461"/>
  <c r="O126" i="16461"/>
  <c r="AE126" i="16461"/>
  <c r="Q126" i="16461"/>
  <c r="AG126" i="16461"/>
  <c r="R126" i="16461"/>
  <c r="AH126" i="16461"/>
  <c r="S126" i="16461"/>
  <c r="AI126" i="16461"/>
  <c r="Z126" i="16461"/>
  <c r="AP126" i="16461"/>
  <c r="AA126" i="16461"/>
  <c r="W126" i="16461"/>
  <c r="Y126" i="16461"/>
  <c r="AM126" i="16461"/>
  <c r="AO126" i="16461"/>
  <c r="L54" i="16461"/>
  <c r="L134" i="16461"/>
  <c r="P101" i="16461"/>
  <c r="X101" i="16461"/>
  <c r="AF101" i="16461"/>
  <c r="AN101" i="16461"/>
  <c r="Q101" i="16461"/>
  <c r="Y101" i="16461"/>
  <c r="AG101" i="16461"/>
  <c r="R101" i="16461"/>
  <c r="Z101" i="16461"/>
  <c r="AH101" i="16461"/>
  <c r="AP101" i="16461"/>
  <c r="S101" i="16461"/>
  <c r="AA101" i="16461"/>
  <c r="AI101" i="16461"/>
  <c r="N101" i="16461"/>
  <c r="V101" i="16461"/>
  <c r="AD101" i="16461"/>
  <c r="AL101" i="16461"/>
  <c r="O101" i="16461"/>
  <c r="W101" i="16461"/>
  <c r="AE101" i="16461"/>
  <c r="AM101" i="16461"/>
  <c r="T101" i="16461"/>
  <c r="U101" i="16461"/>
  <c r="AB101" i="16461"/>
  <c r="AC101" i="16461"/>
  <c r="AO101" i="16461"/>
  <c r="M101" i="16461"/>
  <c r="AJ101" i="16461"/>
  <c r="AK101" i="16461"/>
  <c r="S97" i="16461"/>
  <c r="AA97" i="16461"/>
  <c r="AI97" i="16461"/>
  <c r="T97" i="16461"/>
  <c r="AB97" i="16461"/>
  <c r="AJ97" i="16461"/>
  <c r="M97" i="16461"/>
  <c r="U97" i="16461"/>
  <c r="AC97" i="16461"/>
  <c r="AK97" i="16461"/>
  <c r="N97" i="16461"/>
  <c r="V97" i="16461"/>
  <c r="AD97" i="16461"/>
  <c r="AL97" i="16461"/>
  <c r="Q97" i="16461"/>
  <c r="Y97" i="16461"/>
  <c r="AG97" i="16461"/>
  <c r="AO97" i="16461"/>
  <c r="R97" i="16461"/>
  <c r="Z97" i="16461"/>
  <c r="AH97" i="16461"/>
  <c r="AP97" i="16461"/>
  <c r="W97" i="16461"/>
  <c r="X97" i="16461"/>
  <c r="AE97" i="16461"/>
  <c r="AF97" i="16461"/>
  <c r="O97" i="16461"/>
  <c r="P97" i="16461"/>
  <c r="AM97" i="16461"/>
  <c r="AN97" i="16461"/>
  <c r="M15" i="16461"/>
  <c r="U15" i="16461"/>
  <c r="AC15" i="16461"/>
  <c r="AK15" i="16461"/>
  <c r="N15" i="16461"/>
  <c r="V15" i="16461"/>
  <c r="AD15" i="16461"/>
  <c r="AL15" i="16461"/>
  <c r="O15" i="16461"/>
  <c r="W15" i="16461"/>
  <c r="AE15" i="16461"/>
  <c r="AM15" i="16461"/>
  <c r="P15" i="16461"/>
  <c r="X15" i="16461"/>
  <c r="AF15" i="16461"/>
  <c r="AN15" i="16461"/>
  <c r="S15" i="16461"/>
  <c r="AA15" i="16461"/>
  <c r="AI15" i="16461"/>
  <c r="T15" i="16461"/>
  <c r="AB15" i="16461"/>
  <c r="AJ15" i="16461"/>
  <c r="Q15" i="16461"/>
  <c r="R15" i="16461"/>
  <c r="Y15" i="16461"/>
  <c r="Z15" i="16461"/>
  <c r="AO15" i="16461"/>
  <c r="AP15" i="16461"/>
  <c r="AG15" i="16461"/>
  <c r="AH15" i="16461"/>
  <c r="L100" i="16461"/>
  <c r="AL206" i="16461"/>
  <c r="AF32" i="16501" s="1"/>
  <c r="O24" i="16461"/>
  <c r="W24" i="16461"/>
  <c r="AE24" i="16461"/>
  <c r="AM24" i="16461"/>
  <c r="P24" i="16461"/>
  <c r="X24" i="16461"/>
  <c r="AF24" i="16461"/>
  <c r="AN24" i="16461"/>
  <c r="Q24" i="16461"/>
  <c r="Y24" i="16461"/>
  <c r="AG24" i="16461"/>
  <c r="AO24" i="16461"/>
  <c r="R24" i="16461"/>
  <c r="Z24" i="16461"/>
  <c r="AH24" i="16461"/>
  <c r="AP24" i="16461"/>
  <c r="M24" i="16461"/>
  <c r="U24" i="16461"/>
  <c r="AC24" i="16461"/>
  <c r="AK24" i="16461"/>
  <c r="N24" i="16461"/>
  <c r="V24" i="16461"/>
  <c r="AD24" i="16461"/>
  <c r="AL24" i="16461"/>
  <c r="S24" i="16461"/>
  <c r="T24" i="16461"/>
  <c r="AI24" i="16461"/>
  <c r="AJ24" i="16461"/>
  <c r="AA24" i="16461"/>
  <c r="AB24" i="16461"/>
  <c r="L76" i="16461"/>
  <c r="L58" i="16461"/>
  <c r="Q60" i="16461"/>
  <c r="Y60" i="16461"/>
  <c r="AG60" i="16461"/>
  <c r="AO60" i="16461"/>
  <c r="R60" i="16461"/>
  <c r="Z60" i="16461"/>
  <c r="AH60" i="16461"/>
  <c r="AP60" i="16461"/>
  <c r="S60" i="16461"/>
  <c r="AA60" i="16461"/>
  <c r="AI60" i="16461"/>
  <c r="T60" i="16461"/>
  <c r="AB60" i="16461"/>
  <c r="AJ60" i="16461"/>
  <c r="O60" i="16461"/>
  <c r="W60" i="16461"/>
  <c r="AE60" i="16461"/>
  <c r="AM60" i="16461"/>
  <c r="P60" i="16461"/>
  <c r="X60" i="16461"/>
  <c r="AF60" i="16461"/>
  <c r="AN60" i="16461"/>
  <c r="U60" i="16461"/>
  <c r="V60" i="16461"/>
  <c r="AC60" i="16461"/>
  <c r="AD60" i="16461"/>
  <c r="M60" i="16461"/>
  <c r="N60" i="16461"/>
  <c r="AK60" i="16461"/>
  <c r="AL60" i="16461"/>
  <c r="S87" i="16461"/>
  <c r="AA87" i="16461"/>
  <c r="AI87" i="16461"/>
  <c r="T87" i="16461"/>
  <c r="AB87" i="16461"/>
  <c r="AJ87" i="16461"/>
  <c r="M87" i="16461"/>
  <c r="U87" i="16461"/>
  <c r="AC87" i="16461"/>
  <c r="AK87" i="16461"/>
  <c r="N87" i="16461"/>
  <c r="V87" i="16461"/>
  <c r="AD87" i="16461"/>
  <c r="AL87" i="16461"/>
  <c r="Q87" i="16461"/>
  <c r="Y87" i="16461"/>
  <c r="AG87" i="16461"/>
  <c r="AO87" i="16461"/>
  <c r="R87" i="16461"/>
  <c r="Z87" i="16461"/>
  <c r="AH87" i="16461"/>
  <c r="AP87" i="16461"/>
  <c r="AE87" i="16461"/>
  <c r="AF87" i="16461"/>
  <c r="AM87" i="16461"/>
  <c r="AN87" i="16461"/>
  <c r="W87" i="16461"/>
  <c r="X87" i="16461"/>
  <c r="O87" i="16461"/>
  <c r="P87" i="16461"/>
  <c r="P111" i="16461"/>
  <c r="X111" i="16461"/>
  <c r="AF111" i="16461"/>
  <c r="AN111" i="16461"/>
  <c r="R111" i="16461"/>
  <c r="Z111" i="16461"/>
  <c r="AH111" i="16461"/>
  <c r="AP111" i="16461"/>
  <c r="S111" i="16461"/>
  <c r="AA111" i="16461"/>
  <c r="AI111" i="16461"/>
  <c r="N111" i="16461"/>
  <c r="V111" i="16461"/>
  <c r="AD111" i="16461"/>
  <c r="AL111" i="16461"/>
  <c r="O111" i="16461"/>
  <c r="W111" i="16461"/>
  <c r="AE111" i="16461"/>
  <c r="AM111" i="16461"/>
  <c r="Q111" i="16461"/>
  <c r="AK111" i="16461"/>
  <c r="T111" i="16461"/>
  <c r="AO111" i="16461"/>
  <c r="U111" i="16461"/>
  <c r="Y111" i="16461"/>
  <c r="AG111" i="16461"/>
  <c r="M111" i="16461"/>
  <c r="AJ111" i="16461"/>
  <c r="AB111" i="16461"/>
  <c r="AC111" i="16461"/>
  <c r="O81" i="16461"/>
  <c r="W81" i="16461"/>
  <c r="AE81" i="16461"/>
  <c r="AM81" i="16461"/>
  <c r="P81" i="16461"/>
  <c r="X81" i="16461"/>
  <c r="AF81" i="16461"/>
  <c r="AN81" i="16461"/>
  <c r="Q81" i="16461"/>
  <c r="Y81" i="16461"/>
  <c r="AG81" i="16461"/>
  <c r="AO81" i="16461"/>
  <c r="R81" i="16461"/>
  <c r="Z81" i="16461"/>
  <c r="AH81" i="16461"/>
  <c r="AP81" i="16461"/>
  <c r="M81" i="16461"/>
  <c r="U81" i="16461"/>
  <c r="AC81" i="16461"/>
  <c r="AK81" i="16461"/>
  <c r="N81" i="16461"/>
  <c r="V81" i="16461"/>
  <c r="AD81" i="16461"/>
  <c r="AL81" i="16461"/>
  <c r="AI81" i="16461"/>
  <c r="AJ81" i="16461"/>
  <c r="AA81" i="16461"/>
  <c r="AB81" i="16461"/>
  <c r="S81" i="16461"/>
  <c r="T81" i="16461"/>
  <c r="M84" i="16461"/>
  <c r="U84" i="16461"/>
  <c r="AC84" i="16461"/>
  <c r="AK84" i="16461"/>
  <c r="N84" i="16461"/>
  <c r="V84" i="16461"/>
  <c r="AD84" i="16461"/>
  <c r="AL84" i="16461"/>
  <c r="O84" i="16461"/>
  <c r="W84" i="16461"/>
  <c r="AE84" i="16461"/>
  <c r="AM84" i="16461"/>
  <c r="P84" i="16461"/>
  <c r="X84" i="16461"/>
  <c r="AF84" i="16461"/>
  <c r="AN84" i="16461"/>
  <c r="S84" i="16461"/>
  <c r="AA84" i="16461"/>
  <c r="AI84" i="16461"/>
  <c r="T84" i="16461"/>
  <c r="AB84" i="16461"/>
  <c r="AJ84" i="16461"/>
  <c r="AG84" i="16461"/>
  <c r="AH84" i="16461"/>
  <c r="AO84" i="16461"/>
  <c r="AP84" i="16461"/>
  <c r="Y84" i="16461"/>
  <c r="Z84" i="16461"/>
  <c r="Q84" i="16461"/>
  <c r="R84" i="16461"/>
  <c r="R108" i="16461"/>
  <c r="Z108" i="16461"/>
  <c r="AH108" i="16461"/>
  <c r="AP108" i="16461"/>
  <c r="T108" i="16461"/>
  <c r="AB108" i="16461"/>
  <c r="AJ108" i="16461"/>
  <c r="M108" i="16461"/>
  <c r="U108" i="16461"/>
  <c r="AC108" i="16461"/>
  <c r="AK108" i="16461"/>
  <c r="P108" i="16461"/>
  <c r="X108" i="16461"/>
  <c r="AF108" i="16461"/>
  <c r="AN108" i="16461"/>
  <c r="Q108" i="16461"/>
  <c r="Y108" i="16461"/>
  <c r="AG108" i="16461"/>
  <c r="AO108" i="16461"/>
  <c r="S108" i="16461"/>
  <c r="AM108" i="16461"/>
  <c r="V108" i="16461"/>
  <c r="W108" i="16461"/>
  <c r="AA108" i="16461"/>
  <c r="N108" i="16461"/>
  <c r="AI108" i="16461"/>
  <c r="O108" i="16461"/>
  <c r="AL108" i="16461"/>
  <c r="AD108" i="16461"/>
  <c r="AE108" i="16461"/>
  <c r="M73" i="16461"/>
  <c r="U73" i="16461"/>
  <c r="AC73" i="16461"/>
  <c r="AK73" i="16461"/>
  <c r="N73" i="16461"/>
  <c r="V73" i="16461"/>
  <c r="AD73" i="16461"/>
  <c r="AL73" i="16461"/>
  <c r="O73" i="16461"/>
  <c r="W73" i="16461"/>
  <c r="AE73" i="16461"/>
  <c r="AM73" i="16461"/>
  <c r="P73" i="16461"/>
  <c r="X73" i="16461"/>
  <c r="AF73" i="16461"/>
  <c r="AN73" i="16461"/>
  <c r="S73" i="16461"/>
  <c r="AA73" i="16461"/>
  <c r="AI73" i="16461"/>
  <c r="T73" i="16461"/>
  <c r="AB73" i="16461"/>
  <c r="AJ73" i="16461"/>
  <c r="AO73" i="16461"/>
  <c r="AP73" i="16461"/>
  <c r="Q73" i="16461"/>
  <c r="R73" i="16461"/>
  <c r="AG73" i="16461"/>
  <c r="AH73" i="16461"/>
  <c r="Y73" i="16461"/>
  <c r="Z73" i="16461"/>
  <c r="T165" i="16461"/>
  <c r="AB165" i="16461"/>
  <c r="AJ165" i="16461"/>
  <c r="M165" i="16461"/>
  <c r="U165" i="16461"/>
  <c r="AC165" i="16461"/>
  <c r="AK165" i="16461"/>
  <c r="N165" i="16461"/>
  <c r="V165" i="16461"/>
  <c r="AD165" i="16461"/>
  <c r="AL165" i="16461"/>
  <c r="O165" i="16461"/>
  <c r="W165" i="16461"/>
  <c r="AE165" i="16461"/>
  <c r="AM165" i="16461"/>
  <c r="R165" i="16461"/>
  <c r="Z165" i="16461"/>
  <c r="AH165" i="16461"/>
  <c r="AP165" i="16461"/>
  <c r="S165" i="16461"/>
  <c r="AA165" i="16461"/>
  <c r="AI165" i="16461"/>
  <c r="X165" i="16461"/>
  <c r="Y165" i="16461"/>
  <c r="AF165" i="16461"/>
  <c r="AG165" i="16461"/>
  <c r="AN165" i="16461"/>
  <c r="P165" i="16461"/>
  <c r="Q165" i="16461"/>
  <c r="AO165" i="16461"/>
  <c r="R117" i="16461"/>
  <c r="Z117" i="16461"/>
  <c r="AH117" i="16461"/>
  <c r="AP117" i="16461"/>
  <c r="T117" i="16461"/>
  <c r="AB117" i="16461"/>
  <c r="AJ117" i="16461"/>
  <c r="P117" i="16461"/>
  <c r="X117" i="16461"/>
  <c r="AF117" i="16461"/>
  <c r="AN117" i="16461"/>
  <c r="Q117" i="16461"/>
  <c r="Y117" i="16461"/>
  <c r="AG117" i="16461"/>
  <c r="AO117" i="16461"/>
  <c r="S117" i="16461"/>
  <c r="AI117" i="16461"/>
  <c r="U117" i="16461"/>
  <c r="AK117" i="16461"/>
  <c r="V117" i="16461"/>
  <c r="AL117" i="16461"/>
  <c r="W117" i="16461"/>
  <c r="AM117" i="16461"/>
  <c r="N117" i="16461"/>
  <c r="AD117" i="16461"/>
  <c r="O117" i="16461"/>
  <c r="AE117" i="16461"/>
  <c r="AA117" i="16461"/>
  <c r="AC117" i="16461"/>
  <c r="M117" i="16461"/>
  <c r="L150" i="16461"/>
  <c r="L71" i="16461"/>
  <c r="L75" i="16461"/>
  <c r="R43" i="16461"/>
  <c r="Z43" i="16461"/>
  <c r="AH43" i="16461"/>
  <c r="AP43" i="16461"/>
  <c r="S43" i="16461"/>
  <c r="AA43" i="16461"/>
  <c r="AI43" i="16461"/>
  <c r="T43" i="16461"/>
  <c r="AB43" i="16461"/>
  <c r="AJ43" i="16461"/>
  <c r="M43" i="16461"/>
  <c r="U43" i="16461"/>
  <c r="AC43" i="16461"/>
  <c r="AK43" i="16461"/>
  <c r="P43" i="16461"/>
  <c r="X43" i="16461"/>
  <c r="AF43" i="16461"/>
  <c r="AN43" i="16461"/>
  <c r="N43" i="16461"/>
  <c r="AG43" i="16461"/>
  <c r="O43" i="16461"/>
  <c r="AL43" i="16461"/>
  <c r="Q43" i="16461"/>
  <c r="AM43" i="16461"/>
  <c r="V43" i="16461"/>
  <c r="AO43" i="16461"/>
  <c r="AD43" i="16461"/>
  <c r="AE43" i="16461"/>
  <c r="W43" i="16461"/>
  <c r="Y43" i="16461"/>
  <c r="T147" i="16461"/>
  <c r="AB147" i="16461"/>
  <c r="AJ147" i="16461"/>
  <c r="M147" i="16461"/>
  <c r="U147" i="16461"/>
  <c r="AC147" i="16461"/>
  <c r="AK147" i="16461"/>
  <c r="N147" i="16461"/>
  <c r="V147" i="16461"/>
  <c r="AD147" i="16461"/>
  <c r="AL147" i="16461"/>
  <c r="O147" i="16461"/>
  <c r="W147" i="16461"/>
  <c r="AE147" i="16461"/>
  <c r="AM147" i="16461"/>
  <c r="R147" i="16461"/>
  <c r="Z147" i="16461"/>
  <c r="AH147" i="16461"/>
  <c r="AP147" i="16461"/>
  <c r="S147" i="16461"/>
  <c r="AA147" i="16461"/>
  <c r="AI147" i="16461"/>
  <c r="AN147" i="16461"/>
  <c r="AO147" i="16461"/>
  <c r="P147" i="16461"/>
  <c r="Q147" i="16461"/>
  <c r="X147" i="16461"/>
  <c r="AF147" i="16461"/>
  <c r="Y147" i="16461"/>
  <c r="AG147" i="16461"/>
  <c r="L171" i="16461"/>
  <c r="Q118" i="16461"/>
  <c r="Y118" i="16461"/>
  <c r="AG118" i="16461"/>
  <c r="AO118" i="16461"/>
  <c r="S118" i="16461"/>
  <c r="AA118" i="16461"/>
  <c r="AI118" i="16461"/>
  <c r="O118" i="16461"/>
  <c r="W118" i="16461"/>
  <c r="AE118" i="16461"/>
  <c r="AM118" i="16461"/>
  <c r="P118" i="16461"/>
  <c r="X118" i="16461"/>
  <c r="AF118" i="16461"/>
  <c r="AN118" i="16461"/>
  <c r="R118" i="16461"/>
  <c r="AH118" i="16461"/>
  <c r="T118" i="16461"/>
  <c r="AJ118" i="16461"/>
  <c r="U118" i="16461"/>
  <c r="AK118" i="16461"/>
  <c r="V118" i="16461"/>
  <c r="AL118" i="16461"/>
  <c r="M118" i="16461"/>
  <c r="AC118" i="16461"/>
  <c r="N118" i="16461"/>
  <c r="AD118" i="16461"/>
  <c r="Z118" i="16461"/>
  <c r="AB118" i="16461"/>
  <c r="AP118" i="16461"/>
  <c r="M156" i="16461"/>
  <c r="U156" i="16461"/>
  <c r="AC156" i="16461"/>
  <c r="AK156" i="16461"/>
  <c r="N156" i="16461"/>
  <c r="V156" i="16461"/>
  <c r="AD156" i="16461"/>
  <c r="AL156" i="16461"/>
  <c r="O156" i="16461"/>
  <c r="W156" i="16461"/>
  <c r="AE156" i="16461"/>
  <c r="AM156" i="16461"/>
  <c r="P156" i="16461"/>
  <c r="X156" i="16461"/>
  <c r="AF156" i="16461"/>
  <c r="AN156" i="16461"/>
  <c r="S156" i="16461"/>
  <c r="AA156" i="16461"/>
  <c r="AI156" i="16461"/>
  <c r="T156" i="16461"/>
  <c r="AB156" i="16461"/>
  <c r="AJ156" i="16461"/>
  <c r="AG156" i="16461"/>
  <c r="AH156" i="16461"/>
  <c r="AO156" i="16461"/>
  <c r="AP156" i="16461"/>
  <c r="Q156" i="16461"/>
  <c r="Y156" i="16461"/>
  <c r="R156" i="16461"/>
  <c r="Z156" i="16461"/>
  <c r="L50" i="16461"/>
  <c r="M123" i="16461"/>
  <c r="U123" i="16461"/>
  <c r="AC123" i="16461"/>
  <c r="AK123" i="16461"/>
  <c r="O123" i="16461"/>
  <c r="W123" i="16461"/>
  <c r="AE123" i="16461"/>
  <c r="AM123" i="16461"/>
  <c r="S123" i="16461"/>
  <c r="AA123" i="16461"/>
  <c r="AI123" i="16461"/>
  <c r="T123" i="16461"/>
  <c r="AB123" i="16461"/>
  <c r="AJ123" i="16461"/>
  <c r="N123" i="16461"/>
  <c r="AD123" i="16461"/>
  <c r="P123" i="16461"/>
  <c r="AF123" i="16461"/>
  <c r="Q123" i="16461"/>
  <c r="AG123" i="16461"/>
  <c r="R123" i="16461"/>
  <c r="AH123" i="16461"/>
  <c r="Y123" i="16461"/>
  <c r="AO123" i="16461"/>
  <c r="Z123" i="16461"/>
  <c r="AP123" i="16461"/>
  <c r="V123" i="16461"/>
  <c r="X123" i="16461"/>
  <c r="AL123" i="16461"/>
  <c r="AN123" i="16461"/>
  <c r="O46" i="16461"/>
  <c r="W46" i="16461"/>
  <c r="AE46" i="16461"/>
  <c r="AM46" i="16461"/>
  <c r="Q46" i="16461"/>
  <c r="Y46" i="16461"/>
  <c r="AG46" i="16461"/>
  <c r="AO46" i="16461"/>
  <c r="M46" i="16461"/>
  <c r="U46" i="16461"/>
  <c r="AC46" i="16461"/>
  <c r="AK46" i="16461"/>
  <c r="R46" i="16461"/>
  <c r="AD46" i="16461"/>
  <c r="S46" i="16461"/>
  <c r="AF46" i="16461"/>
  <c r="T46" i="16461"/>
  <c r="AH46" i="16461"/>
  <c r="V46" i="16461"/>
  <c r="AI46" i="16461"/>
  <c r="N46" i="16461"/>
  <c r="AA46" i="16461"/>
  <c r="AN46" i="16461"/>
  <c r="P46" i="16461"/>
  <c r="AB46" i="16461"/>
  <c r="AP46" i="16461"/>
  <c r="AJ46" i="16461"/>
  <c r="AL46" i="16461"/>
  <c r="X46" i="16461"/>
  <c r="Z46" i="16461"/>
  <c r="L19" i="16461"/>
  <c r="L39" i="16461"/>
  <c r="L57" i="16461"/>
  <c r="O36" i="16461"/>
  <c r="W36" i="16461"/>
  <c r="AE36" i="16461"/>
  <c r="AM36" i="16461"/>
  <c r="P36" i="16461"/>
  <c r="X36" i="16461"/>
  <c r="AF36" i="16461"/>
  <c r="AN36" i="16461"/>
  <c r="Q36" i="16461"/>
  <c r="Y36" i="16461"/>
  <c r="AG36" i="16461"/>
  <c r="AO36" i="16461"/>
  <c r="R36" i="16461"/>
  <c r="Z36" i="16461"/>
  <c r="AH36" i="16461"/>
  <c r="AP36" i="16461"/>
  <c r="M36" i="16461"/>
  <c r="U36" i="16461"/>
  <c r="AC36" i="16461"/>
  <c r="AK36" i="16461"/>
  <c r="N36" i="16461"/>
  <c r="V36" i="16461"/>
  <c r="AD36" i="16461"/>
  <c r="AL36" i="16461"/>
  <c r="AI36" i="16461"/>
  <c r="AJ36" i="16461"/>
  <c r="AA36" i="16461"/>
  <c r="AB36" i="16461"/>
  <c r="S36" i="16461"/>
  <c r="T36" i="16461"/>
  <c r="T52" i="16461"/>
  <c r="AB52" i="16461"/>
  <c r="M52" i="16461"/>
  <c r="V52" i="16461"/>
  <c r="AE52" i="16461"/>
  <c r="AM52" i="16461"/>
  <c r="N52" i="16461"/>
  <c r="W52" i="16461"/>
  <c r="AF52" i="16461"/>
  <c r="AN52" i="16461"/>
  <c r="O52" i="16461"/>
  <c r="X52" i="16461"/>
  <c r="AG52" i="16461"/>
  <c r="AO52" i="16461"/>
  <c r="P52" i="16461"/>
  <c r="Y52" i="16461"/>
  <c r="AH52" i="16461"/>
  <c r="AP52" i="16461"/>
  <c r="S52" i="16461"/>
  <c r="AC52" i="16461"/>
  <c r="AK52" i="16461"/>
  <c r="U52" i="16461"/>
  <c r="AD52" i="16461"/>
  <c r="AL52" i="16461"/>
  <c r="Z52" i="16461"/>
  <c r="AA52" i="16461"/>
  <c r="AI52" i="16461"/>
  <c r="AJ52" i="16461"/>
  <c r="Q52" i="16461"/>
  <c r="R52" i="16461"/>
  <c r="P70" i="16461"/>
  <c r="X70" i="16461"/>
  <c r="AF70" i="16461"/>
  <c r="AN70" i="16461"/>
  <c r="Q70" i="16461"/>
  <c r="Y70" i="16461"/>
  <c r="AG70" i="16461"/>
  <c r="AO70" i="16461"/>
  <c r="R70" i="16461"/>
  <c r="Z70" i="16461"/>
  <c r="AH70" i="16461"/>
  <c r="AP70" i="16461"/>
  <c r="S70" i="16461"/>
  <c r="AA70" i="16461"/>
  <c r="AI70" i="16461"/>
  <c r="N70" i="16461"/>
  <c r="V70" i="16461"/>
  <c r="AD70" i="16461"/>
  <c r="AL70" i="16461"/>
  <c r="O70" i="16461"/>
  <c r="W70" i="16461"/>
  <c r="AE70" i="16461"/>
  <c r="AM70" i="16461"/>
  <c r="M70" i="16461"/>
  <c r="T70" i="16461"/>
  <c r="U70" i="16461"/>
  <c r="AJ70" i="16461"/>
  <c r="AK70" i="16461"/>
  <c r="AB70" i="16461"/>
  <c r="AC70" i="16461"/>
  <c r="R177" i="16461"/>
  <c r="Z177" i="16461"/>
  <c r="AH177" i="16461"/>
  <c r="AP177" i="16461"/>
  <c r="S177" i="16461"/>
  <c r="AA177" i="16461"/>
  <c r="AI177" i="16461"/>
  <c r="T177" i="16461"/>
  <c r="AB177" i="16461"/>
  <c r="AJ177" i="16461"/>
  <c r="M177" i="16461"/>
  <c r="U177" i="16461"/>
  <c r="AC177" i="16461"/>
  <c r="AK177" i="16461"/>
  <c r="P177" i="16461"/>
  <c r="X177" i="16461"/>
  <c r="AF177" i="16461"/>
  <c r="AN177" i="16461"/>
  <c r="Q177" i="16461"/>
  <c r="Y177" i="16461"/>
  <c r="AG177" i="16461"/>
  <c r="AO177" i="16461"/>
  <c r="N177" i="16461"/>
  <c r="O177" i="16461"/>
  <c r="V177" i="16461"/>
  <c r="W177" i="16461"/>
  <c r="AD177" i="16461"/>
  <c r="AL177" i="16461"/>
  <c r="AE177" i="16461"/>
  <c r="AM177" i="16461"/>
  <c r="R21" i="16461"/>
  <c r="Z21" i="16461"/>
  <c r="AH21" i="16461"/>
  <c r="AP21" i="16461"/>
  <c r="S21" i="16461"/>
  <c r="AA21" i="16461"/>
  <c r="AI21" i="16461"/>
  <c r="T21" i="16461"/>
  <c r="AB21" i="16461"/>
  <c r="AJ21" i="16461"/>
  <c r="M21" i="16461"/>
  <c r="U21" i="16461"/>
  <c r="AC21" i="16461"/>
  <c r="AK21" i="16461"/>
  <c r="P21" i="16461"/>
  <c r="X21" i="16461"/>
  <c r="AF21" i="16461"/>
  <c r="AN21" i="16461"/>
  <c r="Q21" i="16461"/>
  <c r="Y21" i="16461"/>
  <c r="AG21" i="16461"/>
  <c r="AO21" i="16461"/>
  <c r="N21" i="16461"/>
  <c r="O21" i="16461"/>
  <c r="V21" i="16461"/>
  <c r="W21" i="16461"/>
  <c r="AL21" i="16461"/>
  <c r="AM21" i="16461"/>
  <c r="AD21" i="16461"/>
  <c r="AE21" i="16461"/>
  <c r="N122" i="16461"/>
  <c r="V122" i="16461"/>
  <c r="AD122" i="16461"/>
  <c r="AL122" i="16461"/>
  <c r="P122" i="16461"/>
  <c r="X122" i="16461"/>
  <c r="AF122" i="16461"/>
  <c r="AN122" i="16461"/>
  <c r="T122" i="16461"/>
  <c r="AB122" i="16461"/>
  <c r="AJ122" i="16461"/>
  <c r="M122" i="16461"/>
  <c r="U122" i="16461"/>
  <c r="AC122" i="16461"/>
  <c r="AK122" i="16461"/>
  <c r="O122" i="16461"/>
  <c r="AE122" i="16461"/>
  <c r="Q122" i="16461"/>
  <c r="AG122" i="16461"/>
  <c r="R122" i="16461"/>
  <c r="AH122" i="16461"/>
  <c r="S122" i="16461"/>
  <c r="AI122" i="16461"/>
  <c r="Z122" i="16461"/>
  <c r="AP122" i="16461"/>
  <c r="AA122" i="16461"/>
  <c r="W122" i="16461"/>
  <c r="Y122" i="16461"/>
  <c r="AM122" i="16461"/>
  <c r="AO122" i="16461"/>
  <c r="N163" i="16461"/>
  <c r="V163" i="16461"/>
  <c r="AD163" i="16461"/>
  <c r="AL163" i="16461"/>
  <c r="AL210" i="16461" s="1"/>
  <c r="O163" i="16461"/>
  <c r="W163" i="16461"/>
  <c r="AE163" i="16461"/>
  <c r="AM163" i="16461"/>
  <c r="AM210" i="16461" s="1"/>
  <c r="P163" i="16461"/>
  <c r="X163" i="16461"/>
  <c r="AF163" i="16461"/>
  <c r="AN163" i="16461"/>
  <c r="Q163" i="16461"/>
  <c r="Y163" i="16461"/>
  <c r="AG163" i="16461"/>
  <c r="AO163" i="16461"/>
  <c r="T163" i="16461"/>
  <c r="AB163" i="16461"/>
  <c r="AJ163" i="16461"/>
  <c r="M163" i="16461"/>
  <c r="U163" i="16461"/>
  <c r="AC163" i="16461"/>
  <c r="AK163" i="16461"/>
  <c r="Z163" i="16461"/>
  <c r="AA163" i="16461"/>
  <c r="AH163" i="16461"/>
  <c r="AI163" i="16461"/>
  <c r="AP163" i="16461"/>
  <c r="R163" i="16461"/>
  <c r="S163" i="16461"/>
  <c r="P170" i="16461"/>
  <c r="X170" i="16461"/>
  <c r="AF170" i="16461"/>
  <c r="AN170" i="16461"/>
  <c r="Q170" i="16461"/>
  <c r="Y170" i="16461"/>
  <c r="AG170" i="16461"/>
  <c r="AO170" i="16461"/>
  <c r="R170" i="16461"/>
  <c r="Z170" i="16461"/>
  <c r="AH170" i="16461"/>
  <c r="AP170" i="16461"/>
  <c r="S170" i="16461"/>
  <c r="AA170" i="16461"/>
  <c r="AI170" i="16461"/>
  <c r="N170" i="16461"/>
  <c r="V170" i="16461"/>
  <c r="AD170" i="16461"/>
  <c r="AL170" i="16461"/>
  <c r="O170" i="16461"/>
  <c r="W170" i="16461"/>
  <c r="AE170" i="16461"/>
  <c r="AM170" i="16461"/>
  <c r="T170" i="16461"/>
  <c r="U170" i="16461"/>
  <c r="AB170" i="16461"/>
  <c r="AC170" i="16461"/>
  <c r="AJ170" i="16461"/>
  <c r="M170" i="16461"/>
  <c r="AK170" i="16461"/>
  <c r="P161" i="16461"/>
  <c r="X161" i="16461"/>
  <c r="AF161" i="16461"/>
  <c r="AN161" i="16461"/>
  <c r="Q161" i="16461"/>
  <c r="Y161" i="16461"/>
  <c r="AG161" i="16461"/>
  <c r="AO161" i="16461"/>
  <c r="R161" i="16461"/>
  <c r="Z161" i="16461"/>
  <c r="AH161" i="16461"/>
  <c r="AP161" i="16461"/>
  <c r="S161" i="16461"/>
  <c r="AA161" i="16461"/>
  <c r="AI161" i="16461"/>
  <c r="N161" i="16461"/>
  <c r="V161" i="16461"/>
  <c r="AD161" i="16461"/>
  <c r="AL161" i="16461"/>
  <c r="O161" i="16461"/>
  <c r="W161" i="16461"/>
  <c r="AE161" i="16461"/>
  <c r="AM161" i="16461"/>
  <c r="AB161" i="16461"/>
  <c r="AC161" i="16461"/>
  <c r="AJ161" i="16461"/>
  <c r="AK161" i="16461"/>
  <c r="T161" i="16461"/>
  <c r="M161" i="16461"/>
  <c r="U161" i="16461"/>
  <c r="L145" i="16461"/>
  <c r="L26" i="16461"/>
  <c r="M104" i="16461"/>
  <c r="U104" i="16461"/>
  <c r="AC104" i="16461"/>
  <c r="AK104" i="16461"/>
  <c r="O104" i="16461"/>
  <c r="W104" i="16461"/>
  <c r="AE104" i="16461"/>
  <c r="AM104" i="16461"/>
  <c r="P104" i="16461"/>
  <c r="X104" i="16461"/>
  <c r="AF104" i="16461"/>
  <c r="AN104" i="16461"/>
  <c r="S104" i="16461"/>
  <c r="AA104" i="16461"/>
  <c r="AI104" i="16461"/>
  <c r="T104" i="16461"/>
  <c r="AB104" i="16461"/>
  <c r="AJ104" i="16461"/>
  <c r="AG104" i="16461"/>
  <c r="N104" i="16461"/>
  <c r="AH104" i="16461"/>
  <c r="Q104" i="16461"/>
  <c r="AL104" i="16461"/>
  <c r="R104" i="16461"/>
  <c r="AO104" i="16461"/>
  <c r="Z104" i="16461"/>
  <c r="AD104" i="16461"/>
  <c r="V104" i="16461"/>
  <c r="Y104" i="16461"/>
  <c r="AP104" i="16461"/>
  <c r="L65" i="16461"/>
  <c r="L133" i="16461"/>
  <c r="M206" i="16461"/>
  <c r="G32" i="16501" s="1"/>
  <c r="M190" i="16461"/>
  <c r="L85" i="16461"/>
  <c r="P120" i="16461"/>
  <c r="X120" i="16461"/>
  <c r="AF120" i="16461"/>
  <c r="AN120" i="16461"/>
  <c r="R120" i="16461"/>
  <c r="Z120" i="16461"/>
  <c r="AH120" i="16461"/>
  <c r="AP120" i="16461"/>
  <c r="N120" i="16461"/>
  <c r="V120" i="16461"/>
  <c r="AD120" i="16461"/>
  <c r="AL120" i="16461"/>
  <c r="O120" i="16461"/>
  <c r="W120" i="16461"/>
  <c r="AE120" i="16461"/>
  <c r="AM120" i="16461"/>
  <c r="Q120" i="16461"/>
  <c r="AG120" i="16461"/>
  <c r="S120" i="16461"/>
  <c r="AI120" i="16461"/>
  <c r="T120" i="16461"/>
  <c r="AJ120" i="16461"/>
  <c r="U120" i="16461"/>
  <c r="AK120" i="16461"/>
  <c r="AB120" i="16461"/>
  <c r="M120" i="16461"/>
  <c r="AC120" i="16461"/>
  <c r="Y120" i="16461"/>
  <c r="AA120" i="16461"/>
  <c r="AO120" i="16461"/>
  <c r="N113" i="16461"/>
  <c r="V113" i="16461"/>
  <c r="AD113" i="16461"/>
  <c r="AL113" i="16461"/>
  <c r="P113" i="16461"/>
  <c r="X113" i="16461"/>
  <c r="AF113" i="16461"/>
  <c r="AN113" i="16461"/>
  <c r="T113" i="16461"/>
  <c r="AB113" i="16461"/>
  <c r="AJ113" i="16461"/>
  <c r="M113" i="16461"/>
  <c r="U113" i="16461"/>
  <c r="AC113" i="16461"/>
  <c r="AK113" i="16461"/>
  <c r="W113" i="16461"/>
  <c r="AM113" i="16461"/>
  <c r="Y113" i="16461"/>
  <c r="AO113" i="16461"/>
  <c r="Z113" i="16461"/>
  <c r="AP113" i="16461"/>
  <c r="AA113" i="16461"/>
  <c r="R113" i="16461"/>
  <c r="AH113" i="16461"/>
  <c r="S113" i="16461"/>
  <c r="AI113" i="16461"/>
  <c r="AE113" i="16461"/>
  <c r="AG113" i="16461"/>
  <c r="O113" i="16461"/>
  <c r="Q113" i="16461"/>
  <c r="S107" i="16461"/>
  <c r="AA107" i="16461"/>
  <c r="AI107" i="16461"/>
  <c r="M107" i="16461"/>
  <c r="U107" i="16461"/>
  <c r="AC107" i="16461"/>
  <c r="AK107" i="16461"/>
  <c r="N107" i="16461"/>
  <c r="V107" i="16461"/>
  <c r="AD107" i="16461"/>
  <c r="AL107" i="16461"/>
  <c r="Q107" i="16461"/>
  <c r="Y107" i="16461"/>
  <c r="AG107" i="16461"/>
  <c r="AO107" i="16461"/>
  <c r="R107" i="16461"/>
  <c r="Z107" i="16461"/>
  <c r="AH107" i="16461"/>
  <c r="AP107" i="16461"/>
  <c r="AE107" i="16461"/>
  <c r="AF107" i="16461"/>
  <c r="O107" i="16461"/>
  <c r="AJ107" i="16461"/>
  <c r="P107" i="16461"/>
  <c r="AM107" i="16461"/>
  <c r="X107" i="16461"/>
  <c r="AB107" i="16461"/>
  <c r="AN107" i="16461"/>
  <c r="T107" i="16461"/>
  <c r="W107" i="16461"/>
  <c r="T129" i="16461"/>
  <c r="AB129" i="16461"/>
  <c r="AJ129" i="16461"/>
  <c r="N129" i="16461"/>
  <c r="V129" i="16461"/>
  <c r="AD129" i="16461"/>
  <c r="AL129" i="16461"/>
  <c r="R129" i="16461"/>
  <c r="S129" i="16461"/>
  <c r="AA129" i="16461"/>
  <c r="AI129" i="16461"/>
  <c r="M129" i="16461"/>
  <c r="Z129" i="16461"/>
  <c r="AN129" i="16461"/>
  <c r="O129" i="16461"/>
  <c r="AC129" i="16461"/>
  <c r="AO129" i="16461"/>
  <c r="P129" i="16461"/>
  <c r="AE129" i="16461"/>
  <c r="AP129" i="16461"/>
  <c r="Q129" i="16461"/>
  <c r="AF129" i="16461"/>
  <c r="X129" i="16461"/>
  <c r="AK129" i="16461"/>
  <c r="Y129" i="16461"/>
  <c r="AM129" i="16461"/>
  <c r="U129" i="16461"/>
  <c r="W129" i="16461"/>
  <c r="AG129" i="16461"/>
  <c r="AH129" i="16461"/>
  <c r="P61" i="16461"/>
  <c r="X61" i="16461"/>
  <c r="AF61" i="16461"/>
  <c r="AN61" i="16461"/>
  <c r="Q61" i="16461"/>
  <c r="Y61" i="16461"/>
  <c r="AG61" i="16461"/>
  <c r="AO61" i="16461"/>
  <c r="R61" i="16461"/>
  <c r="Z61" i="16461"/>
  <c r="AH61" i="16461"/>
  <c r="AP61" i="16461"/>
  <c r="S61" i="16461"/>
  <c r="AA61" i="16461"/>
  <c r="AI61" i="16461"/>
  <c r="N61" i="16461"/>
  <c r="V61" i="16461"/>
  <c r="AD61" i="16461"/>
  <c r="AL61" i="16461"/>
  <c r="O61" i="16461"/>
  <c r="W61" i="16461"/>
  <c r="AE61" i="16461"/>
  <c r="AM61" i="16461"/>
  <c r="T61" i="16461"/>
  <c r="U61" i="16461"/>
  <c r="AB61" i="16461"/>
  <c r="AC61" i="16461"/>
  <c r="M61" i="16461"/>
  <c r="AJ61" i="16461"/>
  <c r="AK61" i="16461"/>
  <c r="R32" i="16461"/>
  <c r="Z32" i="16461"/>
  <c r="AH32" i="16461"/>
  <c r="AP32" i="16461"/>
  <c r="S32" i="16461"/>
  <c r="AA32" i="16461"/>
  <c r="AI32" i="16461"/>
  <c r="T32" i="16461"/>
  <c r="AB32" i="16461"/>
  <c r="AJ32" i="16461"/>
  <c r="M32" i="16461"/>
  <c r="U32" i="16461"/>
  <c r="AC32" i="16461"/>
  <c r="AK32" i="16461"/>
  <c r="P32" i="16461"/>
  <c r="X32" i="16461"/>
  <c r="AF32" i="16461"/>
  <c r="AN32" i="16461"/>
  <c r="Q32" i="16461"/>
  <c r="Y32" i="16461"/>
  <c r="AG32" i="16461"/>
  <c r="AO32" i="16461"/>
  <c r="AL32" i="16461"/>
  <c r="AM32" i="16461"/>
  <c r="N32" i="16461"/>
  <c r="O32" i="16461"/>
  <c r="AD32" i="16461"/>
  <c r="AE32" i="16461"/>
  <c r="V32" i="16461"/>
  <c r="W32" i="16461"/>
  <c r="L173" i="16461"/>
  <c r="S130" i="16461"/>
  <c r="AA130" i="16461"/>
  <c r="AI130" i="16461"/>
  <c r="M130" i="16461"/>
  <c r="U130" i="16461"/>
  <c r="AC130" i="16461"/>
  <c r="AK130" i="16461"/>
  <c r="R130" i="16461"/>
  <c r="AD130" i="16461"/>
  <c r="AN130" i="16461"/>
  <c r="T130" i="16461"/>
  <c r="AE130" i="16461"/>
  <c r="AO130" i="16461"/>
  <c r="V130" i="16461"/>
  <c r="AF130" i="16461"/>
  <c r="AP130" i="16461"/>
  <c r="W130" i="16461"/>
  <c r="AG130" i="16461"/>
  <c r="P130" i="16461"/>
  <c r="Z130" i="16461"/>
  <c r="AL130" i="16461"/>
  <c r="Q130" i="16461"/>
  <c r="AB130" i="16461"/>
  <c r="AM130" i="16461"/>
  <c r="X130" i="16461"/>
  <c r="Y130" i="16461"/>
  <c r="AH130" i="16461"/>
  <c r="AJ130" i="16461"/>
  <c r="N130" i="16461"/>
  <c r="O130" i="16461"/>
  <c r="L146" i="16461"/>
  <c r="N63" i="16461"/>
  <c r="V63" i="16461"/>
  <c r="AD63" i="16461"/>
  <c r="AL63" i="16461"/>
  <c r="O63" i="16461"/>
  <c r="W63" i="16461"/>
  <c r="AE63" i="16461"/>
  <c r="AM63" i="16461"/>
  <c r="P63" i="16461"/>
  <c r="X63" i="16461"/>
  <c r="AF63" i="16461"/>
  <c r="AN63" i="16461"/>
  <c r="Q63" i="16461"/>
  <c r="Y63" i="16461"/>
  <c r="AG63" i="16461"/>
  <c r="AO63" i="16461"/>
  <c r="T63" i="16461"/>
  <c r="AB63" i="16461"/>
  <c r="AJ63" i="16461"/>
  <c r="M63" i="16461"/>
  <c r="U63" i="16461"/>
  <c r="AC63" i="16461"/>
  <c r="AK63" i="16461"/>
  <c r="R63" i="16461"/>
  <c r="S63" i="16461"/>
  <c r="Z63" i="16461"/>
  <c r="AA63" i="16461"/>
  <c r="AP63" i="16461"/>
  <c r="AH63" i="16461"/>
  <c r="AI63" i="16461"/>
  <c r="R167" i="16461"/>
  <c r="Z167" i="16461"/>
  <c r="AH167" i="16461"/>
  <c r="AP167" i="16461"/>
  <c r="S167" i="16461"/>
  <c r="AA167" i="16461"/>
  <c r="AI167" i="16461"/>
  <c r="T167" i="16461"/>
  <c r="AB167" i="16461"/>
  <c r="AJ167" i="16461"/>
  <c r="M167" i="16461"/>
  <c r="U167" i="16461"/>
  <c r="AC167" i="16461"/>
  <c r="AK167" i="16461"/>
  <c r="P167" i="16461"/>
  <c r="X167" i="16461"/>
  <c r="AF167" i="16461"/>
  <c r="AN167" i="16461"/>
  <c r="Q167" i="16461"/>
  <c r="Y167" i="16461"/>
  <c r="AG167" i="16461"/>
  <c r="AO167" i="16461"/>
  <c r="V167" i="16461"/>
  <c r="W167" i="16461"/>
  <c r="AD167" i="16461"/>
  <c r="AE167" i="16461"/>
  <c r="AL167" i="16461"/>
  <c r="N167" i="16461"/>
  <c r="AM167" i="16461"/>
  <c r="O167" i="16461"/>
  <c r="L80" i="16461"/>
  <c r="R190" i="16461"/>
  <c r="R206" i="16461"/>
  <c r="L32" i="16501" s="1"/>
  <c r="R67" i="16461"/>
  <c r="Z67" i="16461"/>
  <c r="AH67" i="16461"/>
  <c r="AP67" i="16461"/>
  <c r="S67" i="16461"/>
  <c r="AA67" i="16461"/>
  <c r="AI67" i="16461"/>
  <c r="T67" i="16461"/>
  <c r="AB67" i="16461"/>
  <c r="AJ67" i="16461"/>
  <c r="M67" i="16461"/>
  <c r="U67" i="16461"/>
  <c r="AC67" i="16461"/>
  <c r="AK67" i="16461"/>
  <c r="P67" i="16461"/>
  <c r="X67" i="16461"/>
  <c r="AF67" i="16461"/>
  <c r="AN67" i="16461"/>
  <c r="Q67" i="16461"/>
  <c r="Y67" i="16461"/>
  <c r="AG67" i="16461"/>
  <c r="AO67" i="16461"/>
  <c r="N67" i="16461"/>
  <c r="O67" i="16461"/>
  <c r="V67" i="16461"/>
  <c r="W67" i="16461"/>
  <c r="AL67" i="16461"/>
  <c r="AM67" i="16461"/>
  <c r="AD67" i="16461"/>
  <c r="AE67" i="16461"/>
  <c r="N172" i="16461"/>
  <c r="V172" i="16461"/>
  <c r="AD172" i="16461"/>
  <c r="AL172" i="16461"/>
  <c r="O172" i="16461"/>
  <c r="W172" i="16461"/>
  <c r="AE172" i="16461"/>
  <c r="AM172" i="16461"/>
  <c r="P172" i="16461"/>
  <c r="X172" i="16461"/>
  <c r="AF172" i="16461"/>
  <c r="AN172" i="16461"/>
  <c r="Q172" i="16461"/>
  <c r="Y172" i="16461"/>
  <c r="AG172" i="16461"/>
  <c r="AO172" i="16461"/>
  <c r="T172" i="16461"/>
  <c r="AB172" i="16461"/>
  <c r="AJ172" i="16461"/>
  <c r="M172" i="16461"/>
  <c r="U172" i="16461"/>
  <c r="AC172" i="16461"/>
  <c r="AK172" i="16461"/>
  <c r="R172" i="16461"/>
  <c r="S172" i="16461"/>
  <c r="Z172" i="16461"/>
  <c r="AA172" i="16461"/>
  <c r="AH172" i="16461"/>
  <c r="AP172" i="16461"/>
  <c r="AI172" i="16461"/>
  <c r="M49" i="16461"/>
  <c r="U49" i="16461"/>
  <c r="AC49" i="16461"/>
  <c r="AK49" i="16461"/>
  <c r="O49" i="16461"/>
  <c r="W49" i="16461"/>
  <c r="AE49" i="16461"/>
  <c r="AM49" i="16461"/>
  <c r="S49" i="16461"/>
  <c r="AA49" i="16461"/>
  <c r="AI49" i="16461"/>
  <c r="P49" i="16461"/>
  <c r="AB49" i="16461"/>
  <c r="AO49" i="16461"/>
  <c r="Q49" i="16461"/>
  <c r="AD49" i="16461"/>
  <c r="AP49" i="16461"/>
  <c r="R49" i="16461"/>
  <c r="AF49" i="16461"/>
  <c r="T49" i="16461"/>
  <c r="AG49" i="16461"/>
  <c r="Y49" i="16461"/>
  <c r="AL49" i="16461"/>
  <c r="N49" i="16461"/>
  <c r="Z49" i="16461"/>
  <c r="AN49" i="16461"/>
  <c r="AH49" i="16461"/>
  <c r="AJ49" i="16461"/>
  <c r="V49" i="16461"/>
  <c r="X49" i="16461"/>
  <c r="T157" i="16461"/>
  <c r="T195" i="16461" s="1"/>
  <c r="AB157" i="16461"/>
  <c r="AB195" i="16461" s="1"/>
  <c r="AJ157" i="16461"/>
  <c r="AJ195" i="16461" s="1"/>
  <c r="M157" i="16461"/>
  <c r="U157" i="16461"/>
  <c r="U195" i="16461" s="1"/>
  <c r="AC157" i="16461"/>
  <c r="AC195" i="16461" s="1"/>
  <c r="AK157" i="16461"/>
  <c r="N157" i="16461"/>
  <c r="N195" i="16461" s="1"/>
  <c r="V157" i="16461"/>
  <c r="V195" i="16461" s="1"/>
  <c r="AD157" i="16461"/>
  <c r="AD195" i="16461" s="1"/>
  <c r="AL157" i="16461"/>
  <c r="O157" i="16461"/>
  <c r="O195" i="16461" s="1"/>
  <c r="W157" i="16461"/>
  <c r="W195" i="16461" s="1"/>
  <c r="AE157" i="16461"/>
  <c r="AE195" i="16461" s="1"/>
  <c r="AM157" i="16461"/>
  <c r="R157" i="16461"/>
  <c r="R195" i="16461" s="1"/>
  <c r="Z157" i="16461"/>
  <c r="Z195" i="16461" s="1"/>
  <c r="AH157" i="16461"/>
  <c r="AH195" i="16461" s="1"/>
  <c r="AP157" i="16461"/>
  <c r="AP195" i="16461" s="1"/>
  <c r="S157" i="16461"/>
  <c r="S195" i="16461" s="1"/>
  <c r="AA157" i="16461"/>
  <c r="AA195" i="16461" s="1"/>
  <c r="AI157" i="16461"/>
  <c r="AI195" i="16461" s="1"/>
  <c r="AF157" i="16461"/>
  <c r="AF195" i="16461" s="1"/>
  <c r="AG157" i="16461"/>
  <c r="AG195" i="16461" s="1"/>
  <c r="AN157" i="16461"/>
  <c r="AO157" i="16461"/>
  <c r="P157" i="16461"/>
  <c r="P195" i="16461" s="1"/>
  <c r="X157" i="16461"/>
  <c r="X195" i="16461" s="1"/>
  <c r="Q157" i="16461"/>
  <c r="Q195" i="16461" s="1"/>
  <c r="Y157" i="16461"/>
  <c r="Y195" i="16461" s="1"/>
  <c r="L29" i="16461"/>
  <c r="L35" i="16461"/>
  <c r="M114" i="16461"/>
  <c r="U114" i="16461"/>
  <c r="AC114" i="16461"/>
  <c r="AK114" i="16461"/>
  <c r="O114" i="16461"/>
  <c r="W114" i="16461"/>
  <c r="AE114" i="16461"/>
  <c r="AM114" i="16461"/>
  <c r="S114" i="16461"/>
  <c r="AA114" i="16461"/>
  <c r="AI114" i="16461"/>
  <c r="T114" i="16461"/>
  <c r="AB114" i="16461"/>
  <c r="AJ114" i="16461"/>
  <c r="V114" i="16461"/>
  <c r="AL114" i="16461"/>
  <c r="X114" i="16461"/>
  <c r="AN114" i="16461"/>
  <c r="Y114" i="16461"/>
  <c r="AO114" i="16461"/>
  <c r="Z114" i="16461"/>
  <c r="AP114" i="16461"/>
  <c r="Q114" i="16461"/>
  <c r="AG114" i="16461"/>
  <c r="R114" i="16461"/>
  <c r="AH114" i="16461"/>
  <c r="N114" i="16461"/>
  <c r="P114" i="16461"/>
  <c r="AD114" i="16461"/>
  <c r="AF114" i="16461"/>
  <c r="L175" i="16461"/>
  <c r="O112" i="16461"/>
  <c r="W112" i="16461"/>
  <c r="AE112" i="16461"/>
  <c r="AM112" i="16461"/>
  <c r="Q112" i="16461"/>
  <c r="Y112" i="16461"/>
  <c r="AG112" i="16461"/>
  <c r="AO112" i="16461"/>
  <c r="M112" i="16461"/>
  <c r="U112" i="16461"/>
  <c r="AC112" i="16461"/>
  <c r="AK112" i="16461"/>
  <c r="N112" i="16461"/>
  <c r="V112" i="16461"/>
  <c r="AD112" i="16461"/>
  <c r="AL112" i="16461"/>
  <c r="X112" i="16461"/>
  <c r="AN112" i="16461"/>
  <c r="Z112" i="16461"/>
  <c r="AP112" i="16461"/>
  <c r="AA112" i="16461"/>
  <c r="AB112" i="16461"/>
  <c r="S112" i="16461"/>
  <c r="AI112" i="16461"/>
  <c r="T112" i="16461"/>
  <c r="AJ112" i="16461"/>
  <c r="P112" i="16461"/>
  <c r="R112" i="16461"/>
  <c r="AF112" i="16461"/>
  <c r="AH112" i="16461"/>
  <c r="L13" i="16461"/>
  <c r="Q90" i="16461"/>
  <c r="Y90" i="16461"/>
  <c r="AG90" i="16461"/>
  <c r="AO90" i="16461"/>
  <c r="R90" i="16461"/>
  <c r="Z90" i="16461"/>
  <c r="AH90" i="16461"/>
  <c r="AP90" i="16461"/>
  <c r="S90" i="16461"/>
  <c r="AA90" i="16461"/>
  <c r="AI90" i="16461"/>
  <c r="T90" i="16461"/>
  <c r="AB90" i="16461"/>
  <c r="AJ90" i="16461"/>
  <c r="O90" i="16461"/>
  <c r="W90" i="16461"/>
  <c r="AE90" i="16461"/>
  <c r="AM90" i="16461"/>
  <c r="P90" i="16461"/>
  <c r="X90" i="16461"/>
  <c r="AF90" i="16461"/>
  <c r="AN90" i="16461"/>
  <c r="AC90" i="16461"/>
  <c r="AD90" i="16461"/>
  <c r="AK90" i="16461"/>
  <c r="AL90" i="16461"/>
  <c r="U90" i="16461"/>
  <c r="V90" i="16461"/>
  <c r="M90" i="16461"/>
  <c r="N90" i="16461"/>
  <c r="AJ206" i="16461"/>
  <c r="AD32" i="16501" s="1"/>
  <c r="L14" i="16461"/>
  <c r="M127" i="16461"/>
  <c r="U127" i="16461"/>
  <c r="AC127" i="16461"/>
  <c r="AK127" i="16461"/>
  <c r="O127" i="16461"/>
  <c r="W127" i="16461"/>
  <c r="AE127" i="16461"/>
  <c r="AM127" i="16461"/>
  <c r="S127" i="16461"/>
  <c r="AA127" i="16461"/>
  <c r="AI127" i="16461"/>
  <c r="T127" i="16461"/>
  <c r="AB127" i="16461"/>
  <c r="AJ127" i="16461"/>
  <c r="N127" i="16461"/>
  <c r="AD127" i="16461"/>
  <c r="P127" i="16461"/>
  <c r="AF127" i="16461"/>
  <c r="Q127" i="16461"/>
  <c r="AG127" i="16461"/>
  <c r="R127" i="16461"/>
  <c r="AH127" i="16461"/>
  <c r="Y127" i="16461"/>
  <c r="AO127" i="16461"/>
  <c r="Z127" i="16461"/>
  <c r="AP127" i="16461"/>
  <c r="AL127" i="16461"/>
  <c r="AN127" i="16461"/>
  <c r="V127" i="16461"/>
  <c r="X127" i="16461"/>
  <c r="O92" i="16461"/>
  <c r="W92" i="16461"/>
  <c r="AE92" i="16461"/>
  <c r="AM92" i="16461"/>
  <c r="P92" i="16461"/>
  <c r="X92" i="16461"/>
  <c r="AF92" i="16461"/>
  <c r="AN92" i="16461"/>
  <c r="Q92" i="16461"/>
  <c r="Y92" i="16461"/>
  <c r="AG92" i="16461"/>
  <c r="AO92" i="16461"/>
  <c r="R92" i="16461"/>
  <c r="Z92" i="16461"/>
  <c r="AH92" i="16461"/>
  <c r="AP92" i="16461"/>
  <c r="M92" i="16461"/>
  <c r="U92" i="16461"/>
  <c r="AC92" i="16461"/>
  <c r="AK92" i="16461"/>
  <c r="N92" i="16461"/>
  <c r="V92" i="16461"/>
  <c r="AD92" i="16461"/>
  <c r="AL92" i="16461"/>
  <c r="AA92" i="16461"/>
  <c r="AB92" i="16461"/>
  <c r="AI92" i="16461"/>
  <c r="AJ92" i="16461"/>
  <c r="S92" i="16461"/>
  <c r="T92" i="16461"/>
  <c r="T96" i="16461"/>
  <c r="AB96" i="16461"/>
  <c r="AJ96" i="16461"/>
  <c r="M96" i="16461"/>
  <c r="U96" i="16461"/>
  <c r="AC96" i="16461"/>
  <c r="AK96" i="16461"/>
  <c r="N96" i="16461"/>
  <c r="V96" i="16461"/>
  <c r="AD96" i="16461"/>
  <c r="AL96" i="16461"/>
  <c r="O96" i="16461"/>
  <c r="W96" i="16461"/>
  <c r="AE96" i="16461"/>
  <c r="AM96" i="16461"/>
  <c r="R96" i="16461"/>
  <c r="Z96" i="16461"/>
  <c r="AH96" i="16461"/>
  <c r="AP96" i="16461"/>
  <c r="S96" i="16461"/>
  <c r="AA96" i="16461"/>
  <c r="AI96" i="16461"/>
  <c r="X96" i="16461"/>
  <c r="Y96" i="16461"/>
  <c r="AF96" i="16461"/>
  <c r="AG96" i="16461"/>
  <c r="P96" i="16461"/>
  <c r="Q96" i="16461"/>
  <c r="AN96" i="16461"/>
  <c r="AO96" i="16461"/>
  <c r="R77" i="16461"/>
  <c r="Z77" i="16461"/>
  <c r="AH77" i="16461"/>
  <c r="AP77" i="16461"/>
  <c r="S77" i="16461"/>
  <c r="AA77" i="16461"/>
  <c r="AI77" i="16461"/>
  <c r="T77" i="16461"/>
  <c r="AB77" i="16461"/>
  <c r="AJ77" i="16461"/>
  <c r="M77" i="16461"/>
  <c r="U77" i="16461"/>
  <c r="AC77" i="16461"/>
  <c r="AK77" i="16461"/>
  <c r="P77" i="16461"/>
  <c r="X77" i="16461"/>
  <c r="AF77" i="16461"/>
  <c r="AN77" i="16461"/>
  <c r="Q77" i="16461"/>
  <c r="Y77" i="16461"/>
  <c r="AG77" i="16461"/>
  <c r="AO77" i="16461"/>
  <c r="AL77" i="16461"/>
  <c r="AM77" i="16461"/>
  <c r="N77" i="16461"/>
  <c r="O77" i="16461"/>
  <c r="AD77" i="16461"/>
  <c r="AE77" i="16461"/>
  <c r="V77" i="16461"/>
  <c r="W77" i="16461"/>
  <c r="S158" i="16461"/>
  <c r="AA158" i="16461"/>
  <c r="AI158" i="16461"/>
  <c r="T158" i="16461"/>
  <c r="AB158" i="16461"/>
  <c r="AJ158" i="16461"/>
  <c r="M158" i="16461"/>
  <c r="U158" i="16461"/>
  <c r="AC158" i="16461"/>
  <c r="AK158" i="16461"/>
  <c r="N158" i="16461"/>
  <c r="V158" i="16461"/>
  <c r="AD158" i="16461"/>
  <c r="AL158" i="16461"/>
  <c r="Q158" i="16461"/>
  <c r="Y158" i="16461"/>
  <c r="AG158" i="16461"/>
  <c r="AO158" i="16461"/>
  <c r="R158" i="16461"/>
  <c r="Z158" i="16461"/>
  <c r="AH158" i="16461"/>
  <c r="AP158" i="16461"/>
  <c r="AE158" i="16461"/>
  <c r="AF158" i="16461"/>
  <c r="AM158" i="16461"/>
  <c r="AN158" i="16461"/>
  <c r="O158" i="16461"/>
  <c r="W158" i="16461"/>
  <c r="P158" i="16461"/>
  <c r="X158" i="16461"/>
  <c r="T138" i="16461"/>
  <c r="AB138" i="16461"/>
  <c r="AJ138" i="16461"/>
  <c r="M138" i="16461"/>
  <c r="U138" i="16461"/>
  <c r="AC138" i="16461"/>
  <c r="AK138" i="16461"/>
  <c r="N138" i="16461"/>
  <c r="V138" i="16461"/>
  <c r="AD138" i="16461"/>
  <c r="AL138" i="16461"/>
  <c r="O138" i="16461"/>
  <c r="W138" i="16461"/>
  <c r="AE138" i="16461"/>
  <c r="AM138" i="16461"/>
  <c r="R138" i="16461"/>
  <c r="Z138" i="16461"/>
  <c r="AH138" i="16461"/>
  <c r="AP138" i="16461"/>
  <c r="S138" i="16461"/>
  <c r="AA138" i="16461"/>
  <c r="AI138" i="16461"/>
  <c r="P138" i="16461"/>
  <c r="Q138" i="16461"/>
  <c r="X138" i="16461"/>
  <c r="Y138" i="16461"/>
  <c r="AF138" i="16461"/>
  <c r="AN138" i="16461"/>
  <c r="AG138" i="16461"/>
  <c r="AO138" i="16461"/>
  <c r="Q68" i="16461"/>
  <c r="Y68" i="16461"/>
  <c r="AG68" i="16461"/>
  <c r="AO68" i="16461"/>
  <c r="R68" i="16461"/>
  <c r="Z68" i="16461"/>
  <c r="AH68" i="16461"/>
  <c r="AP68" i="16461"/>
  <c r="S68" i="16461"/>
  <c r="AA68" i="16461"/>
  <c r="AI68" i="16461"/>
  <c r="T68" i="16461"/>
  <c r="AB68" i="16461"/>
  <c r="AJ68" i="16461"/>
  <c r="O68" i="16461"/>
  <c r="W68" i="16461"/>
  <c r="AE68" i="16461"/>
  <c r="AM68" i="16461"/>
  <c r="P68" i="16461"/>
  <c r="X68" i="16461"/>
  <c r="AF68" i="16461"/>
  <c r="AN68" i="16461"/>
  <c r="M68" i="16461"/>
  <c r="N68" i="16461"/>
  <c r="U68" i="16461"/>
  <c r="V68" i="16461"/>
  <c r="AK68" i="16461"/>
  <c r="AL68" i="16461"/>
  <c r="AC68" i="16461"/>
  <c r="AD68" i="16461"/>
  <c r="L162" i="16461"/>
  <c r="P91" i="16461"/>
  <c r="X91" i="16461"/>
  <c r="AF91" i="16461"/>
  <c r="AN91" i="16461"/>
  <c r="Q91" i="16461"/>
  <c r="Y91" i="16461"/>
  <c r="AG91" i="16461"/>
  <c r="AO91" i="16461"/>
  <c r="R91" i="16461"/>
  <c r="Z91" i="16461"/>
  <c r="AH91" i="16461"/>
  <c r="AP91" i="16461"/>
  <c r="S91" i="16461"/>
  <c r="AA91" i="16461"/>
  <c r="AI91" i="16461"/>
  <c r="N91" i="16461"/>
  <c r="V91" i="16461"/>
  <c r="AD91" i="16461"/>
  <c r="AL91" i="16461"/>
  <c r="O91" i="16461"/>
  <c r="W91" i="16461"/>
  <c r="AE91" i="16461"/>
  <c r="AM91" i="16461"/>
  <c r="AB91" i="16461"/>
  <c r="AC91" i="16461"/>
  <c r="AJ91" i="16461"/>
  <c r="AK91" i="16461"/>
  <c r="T91" i="16461"/>
  <c r="U91" i="16461"/>
  <c r="M91" i="16461"/>
  <c r="N155" i="16461"/>
  <c r="V155" i="16461"/>
  <c r="AD155" i="16461"/>
  <c r="AL155" i="16461"/>
  <c r="O155" i="16461"/>
  <c r="W155" i="16461"/>
  <c r="AE155" i="16461"/>
  <c r="AM155" i="16461"/>
  <c r="P155" i="16461"/>
  <c r="X155" i="16461"/>
  <c r="AF155" i="16461"/>
  <c r="AN155" i="16461"/>
  <c r="Q155" i="16461"/>
  <c r="Y155" i="16461"/>
  <c r="AG155" i="16461"/>
  <c r="AO155" i="16461"/>
  <c r="T155" i="16461"/>
  <c r="AB155" i="16461"/>
  <c r="AJ155" i="16461"/>
  <c r="M155" i="16461"/>
  <c r="U155" i="16461"/>
  <c r="AC155" i="16461"/>
  <c r="AK155" i="16461"/>
  <c r="AH155" i="16461"/>
  <c r="AI155" i="16461"/>
  <c r="AP155" i="16461"/>
  <c r="R155" i="16461"/>
  <c r="Z155" i="16461"/>
  <c r="S155" i="16461"/>
  <c r="AA155" i="16461"/>
  <c r="S166" i="16461"/>
  <c r="AA166" i="16461"/>
  <c r="AI166" i="16461"/>
  <c r="T166" i="16461"/>
  <c r="AB166" i="16461"/>
  <c r="AJ166" i="16461"/>
  <c r="M166" i="16461"/>
  <c r="U166" i="16461"/>
  <c r="AC166" i="16461"/>
  <c r="AK166" i="16461"/>
  <c r="N166" i="16461"/>
  <c r="V166" i="16461"/>
  <c r="AD166" i="16461"/>
  <c r="AL166" i="16461"/>
  <c r="Q166" i="16461"/>
  <c r="Y166" i="16461"/>
  <c r="AG166" i="16461"/>
  <c r="AO166" i="16461"/>
  <c r="R166" i="16461"/>
  <c r="Z166" i="16461"/>
  <c r="AH166" i="16461"/>
  <c r="AP166" i="16461"/>
  <c r="W166" i="16461"/>
  <c r="X166" i="16461"/>
  <c r="AE166" i="16461"/>
  <c r="AF166" i="16461"/>
  <c r="AM166" i="16461"/>
  <c r="O166" i="16461"/>
  <c r="P166" i="16461"/>
  <c r="AN166" i="16461"/>
  <c r="O180" i="16461"/>
  <c r="W180" i="16461"/>
  <c r="AE180" i="16461"/>
  <c r="AM180" i="16461"/>
  <c r="P180" i="16461"/>
  <c r="X180" i="16461"/>
  <c r="AF180" i="16461"/>
  <c r="AN180" i="16461"/>
  <c r="Q180" i="16461"/>
  <c r="Y180" i="16461"/>
  <c r="AG180" i="16461"/>
  <c r="AO180" i="16461"/>
  <c r="R180" i="16461"/>
  <c r="Z180" i="16461"/>
  <c r="AH180" i="16461"/>
  <c r="AP180" i="16461"/>
  <c r="M180" i="16461"/>
  <c r="U180" i="16461"/>
  <c r="AC180" i="16461"/>
  <c r="AK180" i="16461"/>
  <c r="N180" i="16461"/>
  <c r="V180" i="16461"/>
  <c r="AD180" i="16461"/>
  <c r="AL180" i="16461"/>
  <c r="S180" i="16461"/>
  <c r="T180" i="16461"/>
  <c r="AA180" i="16461"/>
  <c r="AI180" i="16461"/>
  <c r="AB180" i="16461"/>
  <c r="AJ180" i="16461"/>
  <c r="N94" i="16461"/>
  <c r="V94" i="16461"/>
  <c r="AD94" i="16461"/>
  <c r="AL94" i="16461"/>
  <c r="O94" i="16461"/>
  <c r="W94" i="16461"/>
  <c r="AE94" i="16461"/>
  <c r="AM94" i="16461"/>
  <c r="P94" i="16461"/>
  <c r="X94" i="16461"/>
  <c r="AF94" i="16461"/>
  <c r="AN94" i="16461"/>
  <c r="Q94" i="16461"/>
  <c r="Y94" i="16461"/>
  <c r="AG94" i="16461"/>
  <c r="AO94" i="16461"/>
  <c r="T94" i="16461"/>
  <c r="AB94" i="16461"/>
  <c r="AJ94" i="16461"/>
  <c r="M94" i="16461"/>
  <c r="U94" i="16461"/>
  <c r="AC94" i="16461"/>
  <c r="AK94" i="16461"/>
  <c r="Z94" i="16461"/>
  <c r="AA94" i="16461"/>
  <c r="AH94" i="16461"/>
  <c r="AI94" i="16461"/>
  <c r="R94" i="16461"/>
  <c r="S94" i="16461"/>
  <c r="AP94" i="16461"/>
  <c r="M64" i="16461"/>
  <c r="U64" i="16461"/>
  <c r="AC64" i="16461"/>
  <c r="AK64" i="16461"/>
  <c r="N64" i="16461"/>
  <c r="V64" i="16461"/>
  <c r="AD64" i="16461"/>
  <c r="AL64" i="16461"/>
  <c r="O64" i="16461"/>
  <c r="W64" i="16461"/>
  <c r="AE64" i="16461"/>
  <c r="AM64" i="16461"/>
  <c r="P64" i="16461"/>
  <c r="X64" i="16461"/>
  <c r="AF64" i="16461"/>
  <c r="AN64" i="16461"/>
  <c r="S64" i="16461"/>
  <c r="AA64" i="16461"/>
  <c r="AI64" i="16461"/>
  <c r="T64" i="16461"/>
  <c r="AB64" i="16461"/>
  <c r="AJ64" i="16461"/>
  <c r="Q64" i="16461"/>
  <c r="R64" i="16461"/>
  <c r="Y64" i="16461"/>
  <c r="Z64" i="16461"/>
  <c r="AO64" i="16461"/>
  <c r="AP64" i="16461"/>
  <c r="AG64" i="16461"/>
  <c r="AH64" i="16461"/>
  <c r="T18" i="16461"/>
  <c r="AB18" i="16461"/>
  <c r="AJ18" i="16461"/>
  <c r="M18" i="16461"/>
  <c r="U18" i="16461"/>
  <c r="AC18" i="16461"/>
  <c r="AK18" i="16461"/>
  <c r="N18" i="16461"/>
  <c r="V18" i="16461"/>
  <c r="AD18" i="16461"/>
  <c r="AL18" i="16461"/>
  <c r="O18" i="16461"/>
  <c r="W18" i="16461"/>
  <c r="AE18" i="16461"/>
  <c r="AM18" i="16461"/>
  <c r="R18" i="16461"/>
  <c r="Z18" i="16461"/>
  <c r="AH18" i="16461"/>
  <c r="AP18" i="16461"/>
  <c r="S18" i="16461"/>
  <c r="AA18" i="16461"/>
  <c r="AI18" i="16461"/>
  <c r="P18" i="16461"/>
  <c r="Q18" i="16461"/>
  <c r="X18" i="16461"/>
  <c r="Y18" i="16461"/>
  <c r="AN18" i="16461"/>
  <c r="AO18" i="16461"/>
  <c r="AF18" i="16461"/>
  <c r="AG18" i="16461"/>
  <c r="Q22" i="16461"/>
  <c r="Y22" i="16461"/>
  <c r="AG22" i="16461"/>
  <c r="AO22" i="16461"/>
  <c r="R22" i="16461"/>
  <c r="Z22" i="16461"/>
  <c r="AH22" i="16461"/>
  <c r="AP22" i="16461"/>
  <c r="S22" i="16461"/>
  <c r="AA22" i="16461"/>
  <c r="AI22" i="16461"/>
  <c r="T22" i="16461"/>
  <c r="AB22" i="16461"/>
  <c r="AJ22" i="16461"/>
  <c r="O22" i="16461"/>
  <c r="W22" i="16461"/>
  <c r="AE22" i="16461"/>
  <c r="AM22" i="16461"/>
  <c r="P22" i="16461"/>
  <c r="X22" i="16461"/>
  <c r="AF22" i="16461"/>
  <c r="AN22" i="16461"/>
  <c r="M22" i="16461"/>
  <c r="N22" i="16461"/>
  <c r="U22" i="16461"/>
  <c r="V22" i="16461"/>
  <c r="AK22" i="16461"/>
  <c r="AL22" i="16461"/>
  <c r="AC22" i="16461"/>
  <c r="AD22" i="16461"/>
  <c r="Q33" i="16461"/>
  <c r="Y33" i="16461"/>
  <c r="AG33" i="16461"/>
  <c r="AO33" i="16461"/>
  <c r="R33" i="16461"/>
  <c r="Z33" i="16461"/>
  <c r="AH33" i="16461"/>
  <c r="AP33" i="16461"/>
  <c r="S33" i="16461"/>
  <c r="AA33" i="16461"/>
  <c r="AI33" i="16461"/>
  <c r="T33" i="16461"/>
  <c r="AB33" i="16461"/>
  <c r="AJ33" i="16461"/>
  <c r="O33" i="16461"/>
  <c r="W33" i="16461"/>
  <c r="AE33" i="16461"/>
  <c r="AM33" i="16461"/>
  <c r="P33" i="16461"/>
  <c r="X33" i="16461"/>
  <c r="AF33" i="16461"/>
  <c r="AN33" i="16461"/>
  <c r="AK33" i="16461"/>
  <c r="AL33" i="16461"/>
  <c r="M33" i="16461"/>
  <c r="N33" i="16461"/>
  <c r="AC33" i="16461"/>
  <c r="AD33" i="16461"/>
  <c r="U33" i="16461"/>
  <c r="V33" i="16461"/>
  <c r="L44" i="16461"/>
  <c r="R98" i="16461"/>
  <c r="Z98" i="16461"/>
  <c r="AH98" i="16461"/>
  <c r="AP98" i="16461"/>
  <c r="S98" i="16461"/>
  <c r="AA98" i="16461"/>
  <c r="AI98" i="16461"/>
  <c r="T98" i="16461"/>
  <c r="AB98" i="16461"/>
  <c r="AJ98" i="16461"/>
  <c r="M98" i="16461"/>
  <c r="U98" i="16461"/>
  <c r="AC98" i="16461"/>
  <c r="AK98" i="16461"/>
  <c r="P98" i="16461"/>
  <c r="X98" i="16461"/>
  <c r="AF98" i="16461"/>
  <c r="AN98" i="16461"/>
  <c r="Q98" i="16461"/>
  <c r="Y98" i="16461"/>
  <c r="AG98" i="16461"/>
  <c r="AO98" i="16461"/>
  <c r="V98" i="16461"/>
  <c r="W98" i="16461"/>
  <c r="AD98" i="16461"/>
  <c r="AE98" i="16461"/>
  <c r="N98" i="16461"/>
  <c r="O98" i="16461"/>
  <c r="AL98" i="16461"/>
  <c r="AM98" i="16461"/>
  <c r="L51" i="16461"/>
  <c r="L30" i="16461"/>
  <c r="O62" i="16461"/>
  <c r="W62" i="16461"/>
  <c r="AE62" i="16461"/>
  <c r="AM62" i="16461"/>
  <c r="P62" i="16461"/>
  <c r="X62" i="16461"/>
  <c r="AF62" i="16461"/>
  <c r="AN62" i="16461"/>
  <c r="Q62" i="16461"/>
  <c r="Y62" i="16461"/>
  <c r="AG62" i="16461"/>
  <c r="AO62" i="16461"/>
  <c r="R62" i="16461"/>
  <c r="Z62" i="16461"/>
  <c r="AH62" i="16461"/>
  <c r="AP62" i="16461"/>
  <c r="M62" i="16461"/>
  <c r="U62" i="16461"/>
  <c r="AC62" i="16461"/>
  <c r="AK62" i="16461"/>
  <c r="N62" i="16461"/>
  <c r="V62" i="16461"/>
  <c r="AD62" i="16461"/>
  <c r="AL62" i="16461"/>
  <c r="S62" i="16461"/>
  <c r="T62" i="16461"/>
  <c r="AA62" i="16461"/>
  <c r="AB62" i="16461"/>
  <c r="AI62" i="16461"/>
  <c r="AJ62" i="16461"/>
  <c r="M27" i="16461"/>
  <c r="M217" i="16461" s="1"/>
  <c r="G44" i="16501" s="1"/>
  <c r="U27" i="16461"/>
  <c r="U217" i="16461" s="1"/>
  <c r="O44" i="16501" s="1"/>
  <c r="AC27" i="16461"/>
  <c r="AC217" i="16461" s="1"/>
  <c r="W44" i="16501" s="1"/>
  <c r="AK27" i="16461"/>
  <c r="AK217" i="16461" s="1"/>
  <c r="AE44" i="16501" s="1"/>
  <c r="N27" i="16461"/>
  <c r="N217" i="16461" s="1"/>
  <c r="H44" i="16501" s="1"/>
  <c r="V27" i="16461"/>
  <c r="V217" i="16461" s="1"/>
  <c r="P44" i="16501" s="1"/>
  <c r="AD27" i="16461"/>
  <c r="AD217" i="16461" s="1"/>
  <c r="X44" i="16501" s="1"/>
  <c r="AL27" i="16461"/>
  <c r="AL217" i="16461" s="1"/>
  <c r="AF44" i="16501" s="1"/>
  <c r="O27" i="16461"/>
  <c r="O217" i="16461" s="1"/>
  <c r="I44" i="16501" s="1"/>
  <c r="W27" i="16461"/>
  <c r="W217" i="16461" s="1"/>
  <c r="Q44" i="16501" s="1"/>
  <c r="AE27" i="16461"/>
  <c r="AE217" i="16461" s="1"/>
  <c r="Y44" i="16501" s="1"/>
  <c r="AM27" i="16461"/>
  <c r="AM217" i="16461" s="1"/>
  <c r="AG44" i="16501" s="1"/>
  <c r="P27" i="16461"/>
  <c r="P217" i="16461" s="1"/>
  <c r="J44" i="16501" s="1"/>
  <c r="X27" i="16461"/>
  <c r="X217" i="16461" s="1"/>
  <c r="R44" i="16501" s="1"/>
  <c r="AF27" i="16461"/>
  <c r="AF217" i="16461" s="1"/>
  <c r="Z44" i="16501" s="1"/>
  <c r="AN27" i="16461"/>
  <c r="AN217" i="16461" s="1"/>
  <c r="AH44" i="16501" s="1"/>
  <c r="S27" i="16461"/>
  <c r="S217" i="16461" s="1"/>
  <c r="M44" i="16501" s="1"/>
  <c r="AA27" i="16461"/>
  <c r="AA217" i="16461" s="1"/>
  <c r="U44" i="16501" s="1"/>
  <c r="AI27" i="16461"/>
  <c r="AI217" i="16461" s="1"/>
  <c r="AC44" i="16501" s="1"/>
  <c r="T27" i="16461"/>
  <c r="T217" i="16461" s="1"/>
  <c r="N44" i="16501" s="1"/>
  <c r="AB27" i="16461"/>
  <c r="AB217" i="16461" s="1"/>
  <c r="V44" i="16501" s="1"/>
  <c r="AJ27" i="16461"/>
  <c r="AJ217" i="16461" s="1"/>
  <c r="AD44" i="16501" s="1"/>
  <c r="AO27" i="16461"/>
  <c r="AO217" i="16461" s="1"/>
  <c r="AI44" i="16501" s="1"/>
  <c r="AP27" i="16461"/>
  <c r="Q27" i="16461"/>
  <c r="Q217" i="16461" s="1"/>
  <c r="K44" i="16501" s="1"/>
  <c r="R27" i="16461"/>
  <c r="R217" i="16461" s="1"/>
  <c r="L44" i="16501" s="1"/>
  <c r="AG27" i="16461"/>
  <c r="AG217" i="16461" s="1"/>
  <c r="AA44" i="16501" s="1"/>
  <c r="AH27" i="16461"/>
  <c r="AH217" i="16461" s="1"/>
  <c r="AB44" i="16501" s="1"/>
  <c r="Y27" i="16461"/>
  <c r="Y217" i="16461" s="1"/>
  <c r="S44" i="16501" s="1"/>
  <c r="Z27" i="16461"/>
  <c r="Z217" i="16461" s="1"/>
  <c r="T44" i="16501" s="1"/>
  <c r="L160" i="16461"/>
  <c r="O102" i="16461"/>
  <c r="W102" i="16461"/>
  <c r="AE102" i="16461"/>
  <c r="AM102" i="16461"/>
  <c r="Q102" i="16461"/>
  <c r="Y102" i="16461"/>
  <c r="AG102" i="16461"/>
  <c r="AO102" i="16461"/>
  <c r="R102" i="16461"/>
  <c r="Z102" i="16461"/>
  <c r="AH102" i="16461"/>
  <c r="AP102" i="16461"/>
  <c r="M102" i="16461"/>
  <c r="U102" i="16461"/>
  <c r="AC102" i="16461"/>
  <c r="AK102" i="16461"/>
  <c r="N102" i="16461"/>
  <c r="V102" i="16461"/>
  <c r="AD102" i="16461"/>
  <c r="AL102" i="16461"/>
  <c r="AI102" i="16461"/>
  <c r="P102" i="16461"/>
  <c r="AJ102" i="16461"/>
  <c r="S102" i="16461"/>
  <c r="AN102" i="16461"/>
  <c r="T102" i="16461"/>
  <c r="AB102" i="16461"/>
  <c r="AF102" i="16461"/>
  <c r="X102" i="16461"/>
  <c r="AA102" i="16461"/>
  <c r="O153" i="16461"/>
  <c r="W153" i="16461"/>
  <c r="AE153" i="16461"/>
  <c r="AM153" i="16461"/>
  <c r="P153" i="16461"/>
  <c r="X153" i="16461"/>
  <c r="AF153" i="16461"/>
  <c r="AN153" i="16461"/>
  <c r="Q153" i="16461"/>
  <c r="Y153" i="16461"/>
  <c r="AG153" i="16461"/>
  <c r="AO153" i="16461"/>
  <c r="R153" i="16461"/>
  <c r="Z153" i="16461"/>
  <c r="AH153" i="16461"/>
  <c r="AP153" i="16461"/>
  <c r="M153" i="16461"/>
  <c r="U153" i="16461"/>
  <c r="AC153" i="16461"/>
  <c r="AK153" i="16461"/>
  <c r="N153" i="16461"/>
  <c r="V153" i="16461"/>
  <c r="AD153" i="16461"/>
  <c r="AL153" i="16461"/>
  <c r="AI153" i="16461"/>
  <c r="AJ153" i="16461"/>
  <c r="S153" i="16461"/>
  <c r="AA153" i="16461"/>
  <c r="T153" i="16461"/>
  <c r="AB153" i="16461"/>
  <c r="R140" i="16461"/>
  <c r="Z140" i="16461"/>
  <c r="AH140" i="16461"/>
  <c r="AP140" i="16461"/>
  <c r="S140" i="16461"/>
  <c r="AA140" i="16461"/>
  <c r="AI140" i="16461"/>
  <c r="T140" i="16461"/>
  <c r="AB140" i="16461"/>
  <c r="AJ140" i="16461"/>
  <c r="M140" i="16461"/>
  <c r="U140" i="16461"/>
  <c r="AC140" i="16461"/>
  <c r="AK140" i="16461"/>
  <c r="P140" i="16461"/>
  <c r="X140" i="16461"/>
  <c r="AF140" i="16461"/>
  <c r="AN140" i="16461"/>
  <c r="Q140" i="16461"/>
  <c r="Y140" i="16461"/>
  <c r="AG140" i="16461"/>
  <c r="AO140" i="16461"/>
  <c r="N140" i="16461"/>
  <c r="O140" i="16461"/>
  <c r="V140" i="16461"/>
  <c r="W140" i="16461"/>
  <c r="AD140" i="16461"/>
  <c r="AL140" i="16461"/>
  <c r="AE140" i="16461"/>
  <c r="AM140" i="16461"/>
  <c r="S66" i="16461"/>
  <c r="AA66" i="16461"/>
  <c r="AI66" i="16461"/>
  <c r="T66" i="16461"/>
  <c r="AB66" i="16461"/>
  <c r="AJ66" i="16461"/>
  <c r="M66" i="16461"/>
  <c r="U66" i="16461"/>
  <c r="AC66" i="16461"/>
  <c r="AK66" i="16461"/>
  <c r="N66" i="16461"/>
  <c r="V66" i="16461"/>
  <c r="AD66" i="16461"/>
  <c r="AL66" i="16461"/>
  <c r="Q66" i="16461"/>
  <c r="Y66" i="16461"/>
  <c r="AG66" i="16461"/>
  <c r="AO66" i="16461"/>
  <c r="R66" i="16461"/>
  <c r="Z66" i="16461"/>
  <c r="AH66" i="16461"/>
  <c r="AP66" i="16461"/>
  <c r="O66" i="16461"/>
  <c r="P66" i="16461"/>
  <c r="W66" i="16461"/>
  <c r="X66" i="16461"/>
  <c r="AM66" i="16461"/>
  <c r="AN66" i="16461"/>
  <c r="AE66" i="16461"/>
  <c r="AF66" i="16461"/>
  <c r="T40" i="16461"/>
  <c r="AB40" i="16461"/>
  <c r="AJ40" i="16461"/>
  <c r="M40" i="16461"/>
  <c r="U40" i="16461"/>
  <c r="AC40" i="16461"/>
  <c r="AK40" i="16461"/>
  <c r="N40" i="16461"/>
  <c r="V40" i="16461"/>
  <c r="AD40" i="16461"/>
  <c r="AL40" i="16461"/>
  <c r="O40" i="16461"/>
  <c r="W40" i="16461"/>
  <c r="AE40" i="16461"/>
  <c r="AM40" i="16461"/>
  <c r="R40" i="16461"/>
  <c r="Z40" i="16461"/>
  <c r="AH40" i="16461"/>
  <c r="AP40" i="16461"/>
  <c r="S40" i="16461"/>
  <c r="AA40" i="16461"/>
  <c r="AI40" i="16461"/>
  <c r="AF40" i="16461"/>
  <c r="AG40" i="16461"/>
  <c r="AN40" i="16461"/>
  <c r="AO40" i="16461"/>
  <c r="X40" i="16461"/>
  <c r="Y40" i="16461"/>
  <c r="P40" i="16461"/>
  <c r="Q40" i="16461"/>
  <c r="R159" i="16461"/>
  <c r="Z159" i="16461"/>
  <c r="AH159" i="16461"/>
  <c r="AP159" i="16461"/>
  <c r="S159" i="16461"/>
  <c r="AA159" i="16461"/>
  <c r="AI159" i="16461"/>
  <c r="T159" i="16461"/>
  <c r="AB159" i="16461"/>
  <c r="AJ159" i="16461"/>
  <c r="M159" i="16461"/>
  <c r="U159" i="16461"/>
  <c r="AC159" i="16461"/>
  <c r="AK159" i="16461"/>
  <c r="P159" i="16461"/>
  <c r="X159" i="16461"/>
  <c r="AF159" i="16461"/>
  <c r="AN159" i="16461"/>
  <c r="Q159" i="16461"/>
  <c r="Y159" i="16461"/>
  <c r="AG159" i="16461"/>
  <c r="AO159" i="16461"/>
  <c r="AD159" i="16461"/>
  <c r="AE159" i="16461"/>
  <c r="AL159" i="16461"/>
  <c r="AM159" i="16461"/>
  <c r="N159" i="16461"/>
  <c r="V159" i="16461"/>
  <c r="O159" i="16461"/>
  <c r="W159" i="16461"/>
  <c r="M55" i="16461"/>
  <c r="U55" i="16461"/>
  <c r="AC55" i="16461"/>
  <c r="AK55" i="16461"/>
  <c r="N55" i="16461"/>
  <c r="V55" i="16461"/>
  <c r="AD55" i="16461"/>
  <c r="AL55" i="16461"/>
  <c r="O55" i="16461"/>
  <c r="W55" i="16461"/>
  <c r="AE55" i="16461"/>
  <c r="AM55" i="16461"/>
  <c r="P55" i="16461"/>
  <c r="X55" i="16461"/>
  <c r="AF55" i="16461"/>
  <c r="AN55" i="16461"/>
  <c r="S55" i="16461"/>
  <c r="AA55" i="16461"/>
  <c r="AI55" i="16461"/>
  <c r="T55" i="16461"/>
  <c r="AB55" i="16461"/>
  <c r="AJ55" i="16461"/>
  <c r="Y55" i="16461"/>
  <c r="Z55" i="16461"/>
  <c r="AG55" i="16461"/>
  <c r="AH55" i="16461"/>
  <c r="Q55" i="16461"/>
  <c r="R55" i="16461"/>
  <c r="AO55" i="16461"/>
  <c r="AP55" i="16461"/>
  <c r="P152" i="16461"/>
  <c r="P193" i="16461" s="1"/>
  <c r="X152" i="16461"/>
  <c r="X193" i="16461" s="1"/>
  <c r="AF152" i="16461"/>
  <c r="AF193" i="16461" s="1"/>
  <c r="AN152" i="16461"/>
  <c r="Q152" i="16461"/>
  <c r="Q193" i="16461" s="1"/>
  <c r="Y152" i="16461"/>
  <c r="Y193" i="16461" s="1"/>
  <c r="AG152" i="16461"/>
  <c r="AG193" i="16461" s="1"/>
  <c r="AO152" i="16461"/>
  <c r="R152" i="16461"/>
  <c r="R193" i="16461" s="1"/>
  <c r="Z152" i="16461"/>
  <c r="Z193" i="16461" s="1"/>
  <c r="AH152" i="16461"/>
  <c r="AH193" i="16461" s="1"/>
  <c r="AP152" i="16461"/>
  <c r="AP193" i="16461" s="1"/>
  <c r="S152" i="16461"/>
  <c r="AA152" i="16461"/>
  <c r="AI152" i="16461"/>
  <c r="N152" i="16461"/>
  <c r="V152" i="16461"/>
  <c r="AD152" i="16461"/>
  <c r="AL152" i="16461"/>
  <c r="O152" i="16461"/>
  <c r="W152" i="16461"/>
  <c r="AE152" i="16461"/>
  <c r="AM152" i="16461"/>
  <c r="AJ152" i="16461"/>
  <c r="AK152" i="16461"/>
  <c r="M152" i="16461"/>
  <c r="T152" i="16461"/>
  <c r="AB152" i="16461"/>
  <c r="U152" i="16461"/>
  <c r="AC152" i="16461"/>
  <c r="L151" i="16461"/>
  <c r="Q169" i="16461"/>
  <c r="Y169" i="16461"/>
  <c r="AG169" i="16461"/>
  <c r="AO169" i="16461"/>
  <c r="R169" i="16461"/>
  <c r="Z169" i="16461"/>
  <c r="AH169" i="16461"/>
  <c r="AP169" i="16461"/>
  <c r="S169" i="16461"/>
  <c r="AA169" i="16461"/>
  <c r="AI169" i="16461"/>
  <c r="T169" i="16461"/>
  <c r="AB169" i="16461"/>
  <c r="AJ169" i="16461"/>
  <c r="O169" i="16461"/>
  <c r="W169" i="16461"/>
  <c r="AE169" i="16461"/>
  <c r="AM169" i="16461"/>
  <c r="P169" i="16461"/>
  <c r="X169" i="16461"/>
  <c r="AF169" i="16461"/>
  <c r="AN169" i="16461"/>
  <c r="U169" i="16461"/>
  <c r="V169" i="16461"/>
  <c r="AC169" i="16461"/>
  <c r="AD169" i="16461"/>
  <c r="AK169" i="16461"/>
  <c r="M169" i="16461"/>
  <c r="N169" i="16461"/>
  <c r="AL169" i="16461"/>
  <c r="S41" i="16461"/>
  <c r="AA41" i="16461"/>
  <c r="AI41" i="16461"/>
  <c r="T41" i="16461"/>
  <c r="AB41" i="16461"/>
  <c r="AJ41" i="16461"/>
  <c r="M41" i="16461"/>
  <c r="U41" i="16461"/>
  <c r="AC41" i="16461"/>
  <c r="AK41" i="16461"/>
  <c r="N41" i="16461"/>
  <c r="V41" i="16461"/>
  <c r="AD41" i="16461"/>
  <c r="AL41" i="16461"/>
  <c r="Q41" i="16461"/>
  <c r="Y41" i="16461"/>
  <c r="AG41" i="16461"/>
  <c r="AO41" i="16461"/>
  <c r="X41" i="16461"/>
  <c r="Z41" i="16461"/>
  <c r="AE41" i="16461"/>
  <c r="AF41" i="16461"/>
  <c r="R41" i="16461"/>
  <c r="AN41" i="16461"/>
  <c r="W41" i="16461"/>
  <c r="AP41" i="16461"/>
  <c r="AH41" i="16461"/>
  <c r="AM41" i="16461"/>
  <c r="O41" i="16461"/>
  <c r="P41" i="16461"/>
  <c r="N82" i="16461"/>
  <c r="V82" i="16461"/>
  <c r="AD82" i="16461"/>
  <c r="AL82" i="16461"/>
  <c r="O82" i="16461"/>
  <c r="W82" i="16461"/>
  <c r="AE82" i="16461"/>
  <c r="AM82" i="16461"/>
  <c r="P82" i="16461"/>
  <c r="X82" i="16461"/>
  <c r="AF82" i="16461"/>
  <c r="AN82" i="16461"/>
  <c r="Q82" i="16461"/>
  <c r="Y82" i="16461"/>
  <c r="AG82" i="16461"/>
  <c r="AO82" i="16461"/>
  <c r="T82" i="16461"/>
  <c r="AB82" i="16461"/>
  <c r="AJ82" i="16461"/>
  <c r="M82" i="16461"/>
  <c r="U82" i="16461"/>
  <c r="AC82" i="16461"/>
  <c r="AK82" i="16461"/>
  <c r="AH82" i="16461"/>
  <c r="AI82" i="16461"/>
  <c r="AP82" i="16461"/>
  <c r="Z82" i="16461"/>
  <c r="AA82" i="16461"/>
  <c r="R82" i="16461"/>
  <c r="S82" i="16461"/>
  <c r="AB190" i="16461"/>
  <c r="Q110" i="16461"/>
  <c r="Y110" i="16461"/>
  <c r="AG110" i="16461"/>
  <c r="AO110" i="16461"/>
  <c r="S110" i="16461"/>
  <c r="AA110" i="16461"/>
  <c r="AI110" i="16461"/>
  <c r="T110" i="16461"/>
  <c r="AB110" i="16461"/>
  <c r="AJ110" i="16461"/>
  <c r="O110" i="16461"/>
  <c r="W110" i="16461"/>
  <c r="AE110" i="16461"/>
  <c r="AM110" i="16461"/>
  <c r="P110" i="16461"/>
  <c r="X110" i="16461"/>
  <c r="AF110" i="16461"/>
  <c r="AN110" i="16461"/>
  <c r="AC110" i="16461"/>
  <c r="AD110" i="16461"/>
  <c r="M110" i="16461"/>
  <c r="AH110" i="16461"/>
  <c r="N110" i="16461"/>
  <c r="AK110" i="16461"/>
  <c r="V110" i="16461"/>
  <c r="Z110" i="16461"/>
  <c r="R110" i="16461"/>
  <c r="U110" i="16461"/>
  <c r="AL110" i="16461"/>
  <c r="AP110" i="16461"/>
  <c r="N182" i="16461"/>
  <c r="V182" i="16461"/>
  <c r="AD182" i="16461"/>
  <c r="AL182" i="16461"/>
  <c r="O182" i="16461"/>
  <c r="W182" i="16461"/>
  <c r="AE182" i="16461"/>
  <c r="AM182" i="16461"/>
  <c r="P182" i="16461"/>
  <c r="X182" i="16461"/>
  <c r="AF182" i="16461"/>
  <c r="AN182" i="16461"/>
  <c r="Q182" i="16461"/>
  <c r="Y182" i="16461"/>
  <c r="AG182" i="16461"/>
  <c r="AO182" i="16461"/>
  <c r="T182" i="16461"/>
  <c r="AB182" i="16461"/>
  <c r="AJ182" i="16461"/>
  <c r="M182" i="16461"/>
  <c r="U182" i="16461"/>
  <c r="AC182" i="16461"/>
  <c r="AK182" i="16461"/>
  <c r="AP182" i="16461"/>
  <c r="R182" i="16461"/>
  <c r="S182" i="16461"/>
  <c r="Z182" i="16461"/>
  <c r="AH182" i="16461"/>
  <c r="AA182" i="16461"/>
  <c r="AI182" i="16461"/>
  <c r="M183" i="16461"/>
  <c r="U183" i="16461"/>
  <c r="AC183" i="16461"/>
  <c r="AK183" i="16461"/>
  <c r="N183" i="16461"/>
  <c r="V183" i="16461"/>
  <c r="AD183" i="16461"/>
  <c r="AL183" i="16461"/>
  <c r="O183" i="16461"/>
  <c r="W183" i="16461"/>
  <c r="AE183" i="16461"/>
  <c r="AM183" i="16461"/>
  <c r="P183" i="16461"/>
  <c r="X183" i="16461"/>
  <c r="AF183" i="16461"/>
  <c r="AN183" i="16461"/>
  <c r="S183" i="16461"/>
  <c r="AA183" i="16461"/>
  <c r="AI183" i="16461"/>
  <c r="T183" i="16461"/>
  <c r="AB183" i="16461"/>
  <c r="AJ183" i="16461"/>
  <c r="AO183" i="16461"/>
  <c r="AP183" i="16461"/>
  <c r="Q183" i="16461"/>
  <c r="R183" i="16461"/>
  <c r="Y183" i="16461"/>
  <c r="AG183" i="16461"/>
  <c r="Z183" i="16461"/>
  <c r="AH183" i="16461"/>
  <c r="L116" i="16461"/>
  <c r="P45" i="16461"/>
  <c r="X45" i="16461"/>
  <c r="AF45" i="16461"/>
  <c r="AN45" i="16461"/>
  <c r="R45" i="16461"/>
  <c r="Z45" i="16461"/>
  <c r="AH45" i="16461"/>
  <c r="AP45" i="16461"/>
  <c r="S45" i="16461"/>
  <c r="AA45" i="16461"/>
  <c r="AI45" i="16461"/>
  <c r="N45" i="16461"/>
  <c r="V45" i="16461"/>
  <c r="AD45" i="16461"/>
  <c r="AL45" i="16461"/>
  <c r="T45" i="16461"/>
  <c r="AJ45" i="16461"/>
  <c r="U45" i="16461"/>
  <c r="AK45" i="16461"/>
  <c r="W45" i="16461"/>
  <c r="AM45" i="16461"/>
  <c r="Y45" i="16461"/>
  <c r="AO45" i="16461"/>
  <c r="O45" i="16461"/>
  <c r="AE45" i="16461"/>
  <c r="Q45" i="16461"/>
  <c r="AG45" i="16461"/>
  <c r="AB45" i="16461"/>
  <c r="AC45" i="16461"/>
  <c r="M45" i="16461"/>
  <c r="AC190" i="16461"/>
  <c r="AC206" i="16461"/>
  <c r="W32" i="16501" s="1"/>
  <c r="R88" i="16461"/>
  <c r="Z88" i="16461"/>
  <c r="AH88" i="16461"/>
  <c r="AP88" i="16461"/>
  <c r="S88" i="16461"/>
  <c r="AA88" i="16461"/>
  <c r="AI88" i="16461"/>
  <c r="T88" i="16461"/>
  <c r="AB88" i="16461"/>
  <c r="AJ88" i="16461"/>
  <c r="M88" i="16461"/>
  <c r="U88" i="16461"/>
  <c r="AC88" i="16461"/>
  <c r="AK88" i="16461"/>
  <c r="P88" i="16461"/>
  <c r="X88" i="16461"/>
  <c r="AF88" i="16461"/>
  <c r="AN88" i="16461"/>
  <c r="Q88" i="16461"/>
  <c r="Y88" i="16461"/>
  <c r="AG88" i="16461"/>
  <c r="AO88" i="16461"/>
  <c r="AD88" i="16461"/>
  <c r="AE88" i="16461"/>
  <c r="AL88" i="16461"/>
  <c r="AM88" i="16461"/>
  <c r="V88" i="16461"/>
  <c r="W88" i="16461"/>
  <c r="N88" i="16461"/>
  <c r="O88" i="16461"/>
  <c r="S148" i="16461"/>
  <c r="AA148" i="16461"/>
  <c r="AI148" i="16461"/>
  <c r="T148" i="16461"/>
  <c r="AB148" i="16461"/>
  <c r="AB192" i="16461" s="1"/>
  <c r="AJ148" i="16461"/>
  <c r="AJ192" i="16461" s="1"/>
  <c r="M148" i="16461"/>
  <c r="U148" i="16461"/>
  <c r="AC148" i="16461"/>
  <c r="AK148" i="16461"/>
  <c r="N148" i="16461"/>
  <c r="V148" i="16461"/>
  <c r="AD148" i="16461"/>
  <c r="AD192" i="16461" s="1"/>
  <c r="AL148" i="16461"/>
  <c r="Q148" i="16461"/>
  <c r="Y148" i="16461"/>
  <c r="AG148" i="16461"/>
  <c r="AO148" i="16461"/>
  <c r="R148" i="16461"/>
  <c r="Z148" i="16461"/>
  <c r="AH148" i="16461"/>
  <c r="AH207" i="16461" s="1"/>
  <c r="AB33" i="16501" s="1"/>
  <c r="AP148" i="16461"/>
  <c r="AP192" i="16461" s="1"/>
  <c r="AM148" i="16461"/>
  <c r="AN148" i="16461"/>
  <c r="O148" i="16461"/>
  <c r="P148" i="16461"/>
  <c r="W148" i="16461"/>
  <c r="AE148" i="16461"/>
  <c r="X148" i="16461"/>
  <c r="AF148" i="16461"/>
  <c r="S176" i="16461"/>
  <c r="AA176" i="16461"/>
  <c r="AI176" i="16461"/>
  <c r="T176" i="16461"/>
  <c r="AB176" i="16461"/>
  <c r="AJ176" i="16461"/>
  <c r="M176" i="16461"/>
  <c r="U176" i="16461"/>
  <c r="AC176" i="16461"/>
  <c r="AK176" i="16461"/>
  <c r="N176" i="16461"/>
  <c r="V176" i="16461"/>
  <c r="AD176" i="16461"/>
  <c r="AL176" i="16461"/>
  <c r="Q176" i="16461"/>
  <c r="Y176" i="16461"/>
  <c r="AG176" i="16461"/>
  <c r="AO176" i="16461"/>
  <c r="R176" i="16461"/>
  <c r="Z176" i="16461"/>
  <c r="AH176" i="16461"/>
  <c r="AP176" i="16461"/>
  <c r="O176" i="16461"/>
  <c r="P176" i="16461"/>
  <c r="W176" i="16461"/>
  <c r="X176" i="16461"/>
  <c r="AE176" i="16461"/>
  <c r="AM176" i="16461"/>
  <c r="AF176" i="16461"/>
  <c r="AN176" i="16461"/>
  <c r="P23" i="16461"/>
  <c r="X23" i="16461"/>
  <c r="AF23" i="16461"/>
  <c r="AN23" i="16461"/>
  <c r="Q23" i="16461"/>
  <c r="Y23" i="16461"/>
  <c r="AG23" i="16461"/>
  <c r="AO23" i="16461"/>
  <c r="R23" i="16461"/>
  <c r="Z23" i="16461"/>
  <c r="AH23" i="16461"/>
  <c r="AP23" i="16461"/>
  <c r="S23" i="16461"/>
  <c r="AA23" i="16461"/>
  <c r="AI23" i="16461"/>
  <c r="N23" i="16461"/>
  <c r="V23" i="16461"/>
  <c r="AD23" i="16461"/>
  <c r="AL23" i="16461"/>
  <c r="O23" i="16461"/>
  <c r="W23" i="16461"/>
  <c r="AE23" i="16461"/>
  <c r="AM23" i="16461"/>
  <c r="M23" i="16461"/>
  <c r="T23" i="16461"/>
  <c r="U23" i="16461"/>
  <c r="AJ23" i="16461"/>
  <c r="AK23" i="16461"/>
  <c r="AB23" i="16461"/>
  <c r="AC23" i="16461"/>
  <c r="N72" i="16461"/>
  <c r="V72" i="16461"/>
  <c r="AD72" i="16461"/>
  <c r="AL72" i="16461"/>
  <c r="O72" i="16461"/>
  <c r="W72" i="16461"/>
  <c r="AE72" i="16461"/>
  <c r="AM72" i="16461"/>
  <c r="P72" i="16461"/>
  <c r="X72" i="16461"/>
  <c r="AF72" i="16461"/>
  <c r="AN72" i="16461"/>
  <c r="Q72" i="16461"/>
  <c r="Y72" i="16461"/>
  <c r="AG72" i="16461"/>
  <c r="AO72" i="16461"/>
  <c r="T72" i="16461"/>
  <c r="AB72" i="16461"/>
  <c r="AJ72" i="16461"/>
  <c r="M72" i="16461"/>
  <c r="U72" i="16461"/>
  <c r="AC72" i="16461"/>
  <c r="AK72" i="16461"/>
  <c r="AP72" i="16461"/>
  <c r="R72" i="16461"/>
  <c r="S72" i="16461"/>
  <c r="AH72" i="16461"/>
  <c r="AI72" i="16461"/>
  <c r="Z72" i="16461"/>
  <c r="AA72" i="16461"/>
  <c r="Q178" i="16461"/>
  <c r="Y178" i="16461"/>
  <c r="AG178" i="16461"/>
  <c r="AO178" i="16461"/>
  <c r="R178" i="16461"/>
  <c r="Z178" i="16461"/>
  <c r="AH178" i="16461"/>
  <c r="AP178" i="16461"/>
  <c r="S178" i="16461"/>
  <c r="AA178" i="16461"/>
  <c r="AI178" i="16461"/>
  <c r="T178" i="16461"/>
  <c r="AB178" i="16461"/>
  <c r="AJ178" i="16461"/>
  <c r="O178" i="16461"/>
  <c r="W178" i="16461"/>
  <c r="AE178" i="16461"/>
  <c r="AM178" i="16461"/>
  <c r="P178" i="16461"/>
  <c r="X178" i="16461"/>
  <c r="AF178" i="16461"/>
  <c r="AN178" i="16461"/>
  <c r="M178" i="16461"/>
  <c r="N178" i="16461"/>
  <c r="U178" i="16461"/>
  <c r="V178" i="16461"/>
  <c r="AC178" i="16461"/>
  <c r="AK178" i="16461"/>
  <c r="AD178" i="16461"/>
  <c r="AL178" i="16461"/>
  <c r="N48" i="16461"/>
  <c r="V48" i="16461"/>
  <c r="AD48" i="16461"/>
  <c r="AL48" i="16461"/>
  <c r="P48" i="16461"/>
  <c r="X48" i="16461"/>
  <c r="AF48" i="16461"/>
  <c r="AN48" i="16461"/>
  <c r="T48" i="16461"/>
  <c r="AB48" i="16461"/>
  <c r="AJ48" i="16461"/>
  <c r="W48" i="16461"/>
  <c r="AI48" i="16461"/>
  <c r="Y48" i="16461"/>
  <c r="AK48" i="16461"/>
  <c r="M48" i="16461"/>
  <c r="Z48" i="16461"/>
  <c r="AM48" i="16461"/>
  <c r="O48" i="16461"/>
  <c r="AA48" i="16461"/>
  <c r="AO48" i="16461"/>
  <c r="S48" i="16461"/>
  <c r="AG48" i="16461"/>
  <c r="U48" i="16461"/>
  <c r="AH48" i="16461"/>
  <c r="Q48" i="16461"/>
  <c r="R48" i="16461"/>
  <c r="AC48" i="16461"/>
  <c r="AE48" i="16461"/>
  <c r="AP48" i="16461"/>
  <c r="R131" i="16461"/>
  <c r="Z131" i="16461"/>
  <c r="AH131" i="16461"/>
  <c r="AP131" i="16461"/>
  <c r="T131" i="16461"/>
  <c r="AB131" i="16461"/>
  <c r="AJ131" i="16461"/>
  <c r="Q131" i="16461"/>
  <c r="AC131" i="16461"/>
  <c r="AM131" i="16461"/>
  <c r="S131" i="16461"/>
  <c r="AD131" i="16461"/>
  <c r="AN131" i="16461"/>
  <c r="U131" i="16461"/>
  <c r="AE131" i="16461"/>
  <c r="AO131" i="16461"/>
  <c r="V131" i="16461"/>
  <c r="AF131" i="16461"/>
  <c r="O131" i="16461"/>
  <c r="Y131" i="16461"/>
  <c r="AK131" i="16461"/>
  <c r="P131" i="16461"/>
  <c r="AA131" i="16461"/>
  <c r="AL131" i="16461"/>
  <c r="AG131" i="16461"/>
  <c r="AI131" i="16461"/>
  <c r="M131" i="16461"/>
  <c r="N131" i="16461"/>
  <c r="W131" i="16461"/>
  <c r="X131" i="16461"/>
  <c r="O121" i="16461"/>
  <c r="W121" i="16461"/>
  <c r="AE121" i="16461"/>
  <c r="AM121" i="16461"/>
  <c r="Q121" i="16461"/>
  <c r="Y121" i="16461"/>
  <c r="AG121" i="16461"/>
  <c r="AO121" i="16461"/>
  <c r="M121" i="16461"/>
  <c r="U121" i="16461"/>
  <c r="AC121" i="16461"/>
  <c r="AK121" i="16461"/>
  <c r="N121" i="16461"/>
  <c r="V121" i="16461"/>
  <c r="AD121" i="16461"/>
  <c r="AL121" i="16461"/>
  <c r="P121" i="16461"/>
  <c r="AF121" i="16461"/>
  <c r="R121" i="16461"/>
  <c r="AH121" i="16461"/>
  <c r="S121" i="16461"/>
  <c r="AI121" i="16461"/>
  <c r="T121" i="16461"/>
  <c r="AJ121" i="16461"/>
  <c r="AA121" i="16461"/>
  <c r="AB121" i="16461"/>
  <c r="X121" i="16461"/>
  <c r="Z121" i="16461"/>
  <c r="AN121" i="16461"/>
  <c r="AP121" i="16461"/>
  <c r="N103" i="16461"/>
  <c r="V103" i="16461"/>
  <c r="AD103" i="16461"/>
  <c r="AL103" i="16461"/>
  <c r="P103" i="16461"/>
  <c r="X103" i="16461"/>
  <c r="AF103" i="16461"/>
  <c r="AN103" i="16461"/>
  <c r="Q103" i="16461"/>
  <c r="Y103" i="16461"/>
  <c r="AG103" i="16461"/>
  <c r="AO103" i="16461"/>
  <c r="T103" i="16461"/>
  <c r="AB103" i="16461"/>
  <c r="AJ103" i="16461"/>
  <c r="M103" i="16461"/>
  <c r="U103" i="16461"/>
  <c r="AC103" i="16461"/>
  <c r="AK103" i="16461"/>
  <c r="W103" i="16461"/>
  <c r="Z103" i="16461"/>
  <c r="AA103" i="16461"/>
  <c r="AE103" i="16461"/>
  <c r="R103" i="16461"/>
  <c r="AM103" i="16461"/>
  <c r="S103" i="16461"/>
  <c r="AP103" i="16461"/>
  <c r="O103" i="16461"/>
  <c r="AH103" i="16461"/>
  <c r="AI103" i="16461"/>
  <c r="P179" i="16461"/>
  <c r="X179" i="16461"/>
  <c r="AF179" i="16461"/>
  <c r="AN179" i="16461"/>
  <c r="Q179" i="16461"/>
  <c r="Y179" i="16461"/>
  <c r="AG179" i="16461"/>
  <c r="AO179" i="16461"/>
  <c r="R179" i="16461"/>
  <c r="Z179" i="16461"/>
  <c r="AH179" i="16461"/>
  <c r="AP179" i="16461"/>
  <c r="S179" i="16461"/>
  <c r="AA179" i="16461"/>
  <c r="AI179" i="16461"/>
  <c r="N179" i="16461"/>
  <c r="V179" i="16461"/>
  <c r="AD179" i="16461"/>
  <c r="AL179" i="16461"/>
  <c r="O179" i="16461"/>
  <c r="W179" i="16461"/>
  <c r="AE179" i="16461"/>
  <c r="AM179" i="16461"/>
  <c r="M179" i="16461"/>
  <c r="T179" i="16461"/>
  <c r="U179" i="16461"/>
  <c r="AB179" i="16461"/>
  <c r="AJ179" i="16461"/>
  <c r="AC179" i="16461"/>
  <c r="AK179" i="16461"/>
  <c r="T56" i="16461"/>
  <c r="AB56" i="16461"/>
  <c r="AJ56" i="16461"/>
  <c r="M56" i="16461"/>
  <c r="U56" i="16461"/>
  <c r="AC56" i="16461"/>
  <c r="AK56" i="16461"/>
  <c r="N56" i="16461"/>
  <c r="V56" i="16461"/>
  <c r="AD56" i="16461"/>
  <c r="AL56" i="16461"/>
  <c r="O56" i="16461"/>
  <c r="W56" i="16461"/>
  <c r="AE56" i="16461"/>
  <c r="AM56" i="16461"/>
  <c r="R56" i="16461"/>
  <c r="Z56" i="16461"/>
  <c r="AH56" i="16461"/>
  <c r="AP56" i="16461"/>
  <c r="S56" i="16461"/>
  <c r="AA56" i="16461"/>
  <c r="AI56" i="16461"/>
  <c r="X56" i="16461"/>
  <c r="Y56" i="16461"/>
  <c r="AF56" i="16461"/>
  <c r="AG56" i="16461"/>
  <c r="P56" i="16461"/>
  <c r="Q56" i="16461"/>
  <c r="AN56" i="16461"/>
  <c r="AO56" i="16461"/>
  <c r="P192" i="16461" l="1"/>
  <c r="X192" i="16461"/>
  <c r="AN212" i="16461"/>
  <c r="AH38" i="16501" s="1"/>
  <c r="AN210" i="16461"/>
  <c r="AF192" i="16461"/>
  <c r="S192" i="16461"/>
  <c r="M192" i="16461"/>
  <c r="X206" i="16461"/>
  <c r="R32" i="16501" s="1"/>
  <c r="N10" i="16507" s="1"/>
  <c r="Q102" i="16513" s="1"/>
  <c r="AN209" i="16461"/>
  <c r="AO210" i="16461"/>
  <c r="AP206" i="16461"/>
  <c r="AJ32" i="16501" s="1"/>
  <c r="AJ11" i="16501" s="1"/>
  <c r="AL212" i="16461"/>
  <c r="AF38" i="16501" s="1"/>
  <c r="AF17" i="16501" s="1"/>
  <c r="V206" i="16461"/>
  <c r="P32" i="16501" s="1"/>
  <c r="P11" i="16501" s="1"/>
  <c r="AK207" i="16461"/>
  <c r="AE33" i="16501" s="1"/>
  <c r="AA11" i="16507" s="1"/>
  <c r="AD103" i="16513" s="1"/>
  <c r="AN207" i="16461"/>
  <c r="AH33" i="16501" s="1"/>
  <c r="AD11" i="16507" s="1"/>
  <c r="AG103" i="16513" s="1"/>
  <c r="AM207" i="16461"/>
  <c r="AG33" i="16501" s="1"/>
  <c r="AC11" i="16507" s="1"/>
  <c r="AF103" i="16513" s="1"/>
  <c r="S206" i="16461"/>
  <c r="M32" i="16501" s="1"/>
  <c r="M11" i="16501" s="1"/>
  <c r="L164" i="16461"/>
  <c r="AL213" i="16461"/>
  <c r="AF39" i="16501" s="1"/>
  <c r="AB17" i="16507" s="1"/>
  <c r="AE109" i="16513" s="1"/>
  <c r="AH190" i="16461"/>
  <c r="AN213" i="16461"/>
  <c r="AH39" i="16501" s="1"/>
  <c r="AH18" i="16501" s="1"/>
  <c r="N206" i="16461"/>
  <c r="H32" i="16501" s="1"/>
  <c r="H11" i="16501" s="1"/>
  <c r="T190" i="16461"/>
  <c r="AK210" i="16461"/>
  <c r="AE206" i="16461"/>
  <c r="Y32" i="16501" s="1"/>
  <c r="U10" i="16507" s="1"/>
  <c r="X102" i="16513" s="1"/>
  <c r="P206" i="16461"/>
  <c r="J32" i="16501" s="1"/>
  <c r="F10" i="16507" s="1"/>
  <c r="I102" i="16513" s="1"/>
  <c r="AF213" i="16461"/>
  <c r="Z39" i="16501" s="1"/>
  <c r="V17" i="16507" s="1"/>
  <c r="Y109" i="16513" s="1"/>
  <c r="L95" i="16461"/>
  <c r="AA206" i="16461"/>
  <c r="U32" i="16501" s="1"/>
  <c r="U11" i="16501" s="1"/>
  <c r="AD206" i="16461"/>
  <c r="X32" i="16501" s="1"/>
  <c r="X11" i="16501" s="1"/>
  <c r="AG190" i="16461"/>
  <c r="O206" i="16461"/>
  <c r="I32" i="16501" s="1"/>
  <c r="I11" i="16501" s="1"/>
  <c r="AP213" i="16461"/>
  <c r="AJ39" i="16501" s="1"/>
  <c r="AJ18" i="16501" s="1"/>
  <c r="V193" i="16461"/>
  <c r="AO212" i="16461"/>
  <c r="AI38" i="16501" s="1"/>
  <c r="AE16" i="16507" s="1"/>
  <c r="AH108" i="16513" s="1"/>
  <c r="AM212" i="16461"/>
  <c r="AG38" i="16501" s="1"/>
  <c r="AG17" i="16501" s="1"/>
  <c r="Z206" i="16461"/>
  <c r="T32" i="16501" s="1"/>
  <c r="T11" i="16501" s="1"/>
  <c r="AF206" i="16461"/>
  <c r="Z32" i="16501" s="1"/>
  <c r="Z11" i="16501" s="1"/>
  <c r="W190" i="16461"/>
  <c r="AI206" i="16461"/>
  <c r="AC32" i="16501" s="1"/>
  <c r="AC11" i="16501" s="1"/>
  <c r="Y190" i="16461"/>
  <c r="U193" i="16461"/>
  <c r="W193" i="16461"/>
  <c r="AJ193" i="16461"/>
  <c r="AO209" i="16461"/>
  <c r="BP106" i="16513"/>
  <c r="Q206" i="16461"/>
  <c r="K32" i="16501" s="1"/>
  <c r="BP105" i="16513"/>
  <c r="R207" i="16461"/>
  <c r="L33" i="16501" s="1"/>
  <c r="H11" i="16507" s="1"/>
  <c r="K103" i="16513" s="1"/>
  <c r="N192" i="16461"/>
  <c r="AO207" i="16461"/>
  <c r="AI33" i="16501" s="1"/>
  <c r="AM209" i="16461"/>
  <c r="L136" i="16461"/>
  <c r="L206" i="16461" s="1"/>
  <c r="U190" i="16461"/>
  <c r="AE204" i="16461"/>
  <c r="Y30" i="16501" s="1"/>
  <c r="AF204" i="16461"/>
  <c r="Z30" i="16501" s="1"/>
  <c r="O193" i="16461"/>
  <c r="T193" i="16461"/>
  <c r="M193" i="16461"/>
  <c r="AC193" i="16461"/>
  <c r="AE193" i="16461"/>
  <c r="AA10" i="16507"/>
  <c r="AD102" i="16513" s="1"/>
  <c r="S193" i="16461"/>
  <c r="AK212" i="16461"/>
  <c r="AE38" i="16501" s="1"/>
  <c r="AE17" i="16501" s="1"/>
  <c r="AD193" i="16461"/>
  <c r="Z192" i="16461"/>
  <c r="T192" i="16461"/>
  <c r="V192" i="16461"/>
  <c r="X10" i="16507"/>
  <c r="AA102" i="16513" s="1"/>
  <c r="AB193" i="16461"/>
  <c r="N193" i="16461"/>
  <c r="Q192" i="16461"/>
  <c r="AI193" i="16461"/>
  <c r="AP204" i="16461"/>
  <c r="AJ30" i="16501" s="1"/>
  <c r="AG8" i="16461"/>
  <c r="L167" i="16461"/>
  <c r="AL207" i="16461"/>
  <c r="AF33" i="16501" s="1"/>
  <c r="AB11" i="16507" s="1"/>
  <c r="AE103" i="16513" s="1"/>
  <c r="Z8" i="16461"/>
  <c r="AA8" i="16461"/>
  <c r="W8" i="16461"/>
  <c r="U8" i="16461"/>
  <c r="AJ204" i="16461"/>
  <c r="AD30" i="16501" s="1"/>
  <c r="AH8" i="16461"/>
  <c r="Z213" i="16461"/>
  <c r="T39" i="16501" s="1"/>
  <c r="T18" i="16501" s="1"/>
  <c r="AJ213" i="16461"/>
  <c r="AD39" i="16501" s="1"/>
  <c r="AD18" i="16501" s="1"/>
  <c r="AD213" i="16461"/>
  <c r="X39" i="16501" s="1"/>
  <c r="X18" i="16501" s="1"/>
  <c r="AL204" i="16461"/>
  <c r="AF30" i="16501" s="1"/>
  <c r="AD204" i="16461"/>
  <c r="X30" i="16501" s="1"/>
  <c r="S213" i="16461"/>
  <c r="M39" i="16501" s="1"/>
  <c r="I17" i="16507" s="1"/>
  <c r="L109" i="16513" s="1"/>
  <c r="X213" i="16461"/>
  <c r="R39" i="16501" s="1"/>
  <c r="R18" i="16501" s="1"/>
  <c r="V213" i="16461"/>
  <c r="P39" i="16501" s="1"/>
  <c r="P18" i="16501" s="1"/>
  <c r="S204" i="16461"/>
  <c r="M30" i="16501" s="1"/>
  <c r="S207" i="16461"/>
  <c r="M33" i="16501" s="1"/>
  <c r="S8" i="16461"/>
  <c r="AF8" i="16461"/>
  <c r="Y189" i="16461"/>
  <c r="T189" i="16461"/>
  <c r="Q207" i="16461"/>
  <c r="K33" i="16501" s="1"/>
  <c r="L97" i="16461"/>
  <c r="L45" i="16461"/>
  <c r="AB8" i="16461"/>
  <c r="AN8" i="16461"/>
  <c r="AL8" i="16461"/>
  <c r="P207" i="16461"/>
  <c r="J33" i="16501" s="1"/>
  <c r="L112" i="16461"/>
  <c r="U204" i="16461"/>
  <c r="O30" i="16501" s="1"/>
  <c r="R189" i="16461"/>
  <c r="L23" i="16461"/>
  <c r="AO211" i="16461"/>
  <c r="AK8" i="16461"/>
  <c r="X8" i="16461"/>
  <c r="V204" i="16461"/>
  <c r="P30" i="16501" s="1"/>
  <c r="Q204" i="16461"/>
  <c r="K30" i="16501" s="1"/>
  <c r="AK208" i="16461"/>
  <c r="AE34" i="16501" s="1"/>
  <c r="AE13" i="16501" s="1"/>
  <c r="AF207" i="16461"/>
  <c r="Z33" i="16501" s="1"/>
  <c r="AG192" i="16461"/>
  <c r="AI192" i="16461"/>
  <c r="AE207" i="16461"/>
  <c r="Y33" i="16501" s="1"/>
  <c r="U11" i="16507" s="1"/>
  <c r="X103" i="16513" s="1"/>
  <c r="AC207" i="16461"/>
  <c r="W33" i="16501" s="1"/>
  <c r="P204" i="16461"/>
  <c r="J30" i="16501" s="1"/>
  <c r="N8" i="16461"/>
  <c r="AM8" i="16461"/>
  <c r="Q8" i="16461"/>
  <c r="R204" i="16461"/>
  <c r="L30" i="16501" s="1"/>
  <c r="N204" i="16461"/>
  <c r="H30" i="16501" s="1"/>
  <c r="Y207" i="16461"/>
  <c r="S33" i="16501" s="1"/>
  <c r="AA207" i="16461"/>
  <c r="U33" i="16501" s="1"/>
  <c r="W207" i="16461"/>
  <c r="Q33" i="16501" s="1"/>
  <c r="M11" i="16507" s="1"/>
  <c r="P103" i="16513" s="1"/>
  <c r="U192" i="16461"/>
  <c r="Q213" i="16461"/>
  <c r="K39" i="16501" s="1"/>
  <c r="K18" i="16501" s="1"/>
  <c r="AA193" i="16461"/>
  <c r="AP8" i="16461"/>
  <c r="AA204" i="16461"/>
  <c r="U30" i="16501" s="1"/>
  <c r="Y8" i="16461"/>
  <c r="P8" i="16461"/>
  <c r="AK204" i="16461"/>
  <c r="AE30" i="16501" s="1"/>
  <c r="L90" i="16461"/>
  <c r="O207" i="16461"/>
  <c r="I33" i="16501" s="1"/>
  <c r="E11" i="16507" s="1"/>
  <c r="H103" i="16513" s="1"/>
  <c r="AO8" i="16461"/>
  <c r="AI8" i="16461"/>
  <c r="AC204" i="16461"/>
  <c r="W30" i="16501" s="1"/>
  <c r="Y192" i="16461"/>
  <c r="X11" i="16507"/>
  <c r="AA103" i="16513" s="1"/>
  <c r="AB22" i="16501"/>
  <c r="X21" i="16507"/>
  <c r="AA112" i="16513" s="1"/>
  <c r="AG22" i="16501"/>
  <c r="AC21" i="16507"/>
  <c r="AF112" i="16513" s="1"/>
  <c r="U22" i="16501"/>
  <c r="Q21" i="16507"/>
  <c r="T112" i="16513" s="1"/>
  <c r="Q22" i="16501"/>
  <c r="M21" i="16507"/>
  <c r="P112" i="16513" s="1"/>
  <c r="O22" i="16501"/>
  <c r="K21" i="16507"/>
  <c r="N112" i="16513" s="1"/>
  <c r="K22" i="16501"/>
  <c r="G21" i="16507"/>
  <c r="J112" i="16513" s="1"/>
  <c r="M22" i="16501"/>
  <c r="I21" i="16507"/>
  <c r="L112" i="16513" s="1"/>
  <c r="I22" i="16501"/>
  <c r="E21" i="16507"/>
  <c r="H112" i="16513" s="1"/>
  <c r="G22" i="16501"/>
  <c r="C21" i="16507"/>
  <c r="AA22" i="16501"/>
  <c r="W21" i="16507"/>
  <c r="Z112" i="16513" s="1"/>
  <c r="AH22" i="16501"/>
  <c r="AD21" i="16507"/>
  <c r="AG112" i="16513" s="1"/>
  <c r="AF22" i="16501"/>
  <c r="AB21" i="16507"/>
  <c r="AE112" i="16513" s="1"/>
  <c r="S22" i="16501"/>
  <c r="O21" i="16507"/>
  <c r="R112" i="16513" s="1"/>
  <c r="Y22" i="16501"/>
  <c r="U21" i="16507"/>
  <c r="X112" i="16513" s="1"/>
  <c r="AI22" i="16501"/>
  <c r="AE21" i="16507"/>
  <c r="AH112" i="16513" s="1"/>
  <c r="Z22" i="16501"/>
  <c r="V21" i="16507"/>
  <c r="Y112" i="16513" s="1"/>
  <c r="X22" i="16501"/>
  <c r="T21" i="16507"/>
  <c r="W112" i="16513" s="1"/>
  <c r="W22" i="16501"/>
  <c r="S21" i="16507"/>
  <c r="V112" i="16513" s="1"/>
  <c r="T22" i="16501"/>
  <c r="P21" i="16507"/>
  <c r="S112" i="16513" s="1"/>
  <c r="AD22" i="16501"/>
  <c r="Z21" i="16507"/>
  <c r="AC112" i="16513" s="1"/>
  <c r="R22" i="16501"/>
  <c r="N21" i="16507"/>
  <c r="Q112" i="16513" s="1"/>
  <c r="L131" i="16461"/>
  <c r="Z18" i="16501"/>
  <c r="AI199" i="16461"/>
  <c r="AI212" i="16461"/>
  <c r="AC38" i="16501" s="1"/>
  <c r="AF196" i="16461"/>
  <c r="AF209" i="16461"/>
  <c r="L96" i="16461"/>
  <c r="AE192" i="16461"/>
  <c r="L140" i="16461"/>
  <c r="AA194" i="16461"/>
  <c r="AA208" i="16461"/>
  <c r="U34" i="16501" s="1"/>
  <c r="X204" i="16461"/>
  <c r="AI207" i="16461"/>
  <c r="AC33" i="16501" s="1"/>
  <c r="L170" i="16461"/>
  <c r="AF197" i="16461"/>
  <c r="AF210" i="16461"/>
  <c r="AE8" i="16461"/>
  <c r="L46" i="16461"/>
  <c r="L43" i="16461"/>
  <c r="W198" i="16461"/>
  <c r="W211" i="16461"/>
  <c r="L87" i="16461"/>
  <c r="R8" i="16461"/>
  <c r="R205" i="16461"/>
  <c r="L31" i="16501" s="1"/>
  <c r="L72" i="16461"/>
  <c r="V22" i="16501"/>
  <c r="R21" i="16507"/>
  <c r="U112" i="16513" s="1"/>
  <c r="AA213" i="16461"/>
  <c r="U39" i="16501" s="1"/>
  <c r="U213" i="16461"/>
  <c r="O39" i="16501" s="1"/>
  <c r="O213" i="16461"/>
  <c r="I39" i="16501" s="1"/>
  <c r="N199" i="16461"/>
  <c r="N212" i="16461"/>
  <c r="H38" i="16501" s="1"/>
  <c r="AF199" i="16461"/>
  <c r="AF212" i="16461"/>
  <c r="Z38" i="16501" s="1"/>
  <c r="AB212" i="16461"/>
  <c r="V38" i="16501" s="1"/>
  <c r="AB199" i="16461"/>
  <c r="R199" i="16461"/>
  <c r="R212" i="16461"/>
  <c r="L38" i="16501" s="1"/>
  <c r="AP207" i="16461"/>
  <c r="AJ33" i="16501" s="1"/>
  <c r="L64" i="16461"/>
  <c r="AI194" i="16461"/>
  <c r="AI208" i="16461"/>
  <c r="AC34" i="16501" s="1"/>
  <c r="T194" i="16461"/>
  <c r="T208" i="16461"/>
  <c r="N34" i="16501" s="1"/>
  <c r="P194" i="16461"/>
  <c r="P208" i="16461"/>
  <c r="J34" i="16501" s="1"/>
  <c r="N194" i="16461"/>
  <c r="N208" i="16461"/>
  <c r="H34" i="16501" s="1"/>
  <c r="N207" i="16461"/>
  <c r="H33" i="16501" s="1"/>
  <c r="L138" i="16461"/>
  <c r="AK209" i="16461"/>
  <c r="AA196" i="16461"/>
  <c r="AA209" i="16461"/>
  <c r="AD11" i="16501"/>
  <c r="Z10" i="16507"/>
  <c r="AC102" i="16513" s="1"/>
  <c r="O204" i="16461"/>
  <c r="M8" i="16461"/>
  <c r="AB207" i="16461"/>
  <c r="V33" i="16501" s="1"/>
  <c r="U189" i="16461"/>
  <c r="AE189" i="16461"/>
  <c r="AI189" i="16461"/>
  <c r="AJ189" i="16461"/>
  <c r="Y204" i="16461"/>
  <c r="T8" i="16461"/>
  <c r="L161" i="16461"/>
  <c r="S197" i="16461"/>
  <c r="S210" i="16461"/>
  <c r="AC197" i="16461"/>
  <c r="AC210" i="16461"/>
  <c r="Y197" i="16461"/>
  <c r="Y210" i="16461"/>
  <c r="W197" i="16461"/>
  <c r="W210" i="16461"/>
  <c r="L122" i="16461"/>
  <c r="AD207" i="16461"/>
  <c r="X33" i="16501" s="1"/>
  <c r="AH192" i="16461"/>
  <c r="O11" i="16501"/>
  <c r="K10" i="16507"/>
  <c r="N102" i="16513" s="1"/>
  <c r="L117" i="16461"/>
  <c r="V8" i="16461"/>
  <c r="Y211" i="16461"/>
  <c r="Y198" i="16461"/>
  <c r="R198" i="16461"/>
  <c r="R211" i="16461"/>
  <c r="N198" i="16461"/>
  <c r="N211" i="16461"/>
  <c r="O192" i="16461"/>
  <c r="S11" i="16501"/>
  <c r="O10" i="16507"/>
  <c r="R102" i="16513" s="1"/>
  <c r="AI205" i="16461"/>
  <c r="AC31" i="16501" s="1"/>
  <c r="AK205" i="16461"/>
  <c r="AE31" i="16501" s="1"/>
  <c r="AF205" i="16461"/>
  <c r="Z31" i="16501" s="1"/>
  <c r="W192" i="16461"/>
  <c r="L98" i="16461"/>
  <c r="U196" i="16461"/>
  <c r="U209" i="16461"/>
  <c r="AE198" i="16461"/>
  <c r="AE211" i="16461"/>
  <c r="AG11" i="16501"/>
  <c r="AC10" i="16507"/>
  <c r="AF102" i="16513" s="1"/>
  <c r="AC208" i="16461"/>
  <c r="W34" i="16501" s="1"/>
  <c r="AC194" i="16461"/>
  <c r="AE209" i="16461"/>
  <c r="AE196" i="16461"/>
  <c r="AL205" i="16461"/>
  <c r="AF31" i="16501" s="1"/>
  <c r="L56" i="16461"/>
  <c r="L103" i="16461"/>
  <c r="L176" i="16461"/>
  <c r="L88" i="16461"/>
  <c r="AD8" i="16461"/>
  <c r="AH213" i="16461"/>
  <c r="AB39" i="16501" s="1"/>
  <c r="L182" i="16461"/>
  <c r="M213" i="16461"/>
  <c r="G39" i="16501" s="1"/>
  <c r="AJ8" i="16461"/>
  <c r="L169" i="16461"/>
  <c r="M199" i="16461"/>
  <c r="M212" i="16461"/>
  <c r="G38" i="16501" s="1"/>
  <c r="X199" i="16461"/>
  <c r="X212" i="16461"/>
  <c r="R38" i="16501" s="1"/>
  <c r="T199" i="16461"/>
  <c r="T212" i="16461"/>
  <c r="N38" i="16501" s="1"/>
  <c r="L159" i="16461"/>
  <c r="L66" i="16461"/>
  <c r="L27" i="16461"/>
  <c r="L217" i="16461" s="1"/>
  <c r="L94" i="16461"/>
  <c r="AH194" i="16461"/>
  <c r="AH208" i="16461"/>
  <c r="AB34" i="16501" s="1"/>
  <c r="AO208" i="16461"/>
  <c r="AI34" i="16501" s="1"/>
  <c r="AM208" i="16461"/>
  <c r="AG34" i="16501" s="1"/>
  <c r="L91" i="16461"/>
  <c r="AG196" i="16461"/>
  <c r="AG209" i="16461"/>
  <c r="AC196" i="16461"/>
  <c r="AC209" i="16461"/>
  <c r="S196" i="16461"/>
  <c r="S209" i="16461"/>
  <c r="L127" i="16461"/>
  <c r="O8" i="16461"/>
  <c r="L114" i="16461"/>
  <c r="L172" i="16461"/>
  <c r="L61" i="16461"/>
  <c r="P189" i="16461"/>
  <c r="AA189" i="16461"/>
  <c r="AB189" i="16461"/>
  <c r="AP217" i="16461"/>
  <c r="AJ44" i="16501" s="1"/>
  <c r="R210" i="16461"/>
  <c r="R197" i="16461"/>
  <c r="U210" i="16461"/>
  <c r="U197" i="16461"/>
  <c r="Q197" i="16461"/>
  <c r="Q210" i="16461"/>
  <c r="O197" i="16461"/>
  <c r="O210" i="16461"/>
  <c r="L52" i="16461"/>
  <c r="L36" i="16461"/>
  <c r="AC8" i="16461"/>
  <c r="L123" i="16461"/>
  <c r="X198" i="16461"/>
  <c r="X211" i="16461"/>
  <c r="AM211" i="16461"/>
  <c r="AK211" i="16461"/>
  <c r="L84" i="16461"/>
  <c r="L111" i="16461"/>
  <c r="AO205" i="16461"/>
  <c r="AI31" i="16501" s="1"/>
  <c r="S205" i="16461"/>
  <c r="M31" i="16501" s="1"/>
  <c r="AC205" i="16461"/>
  <c r="W31" i="16501" s="1"/>
  <c r="X205" i="16461"/>
  <c r="R31" i="16501" s="1"/>
  <c r="AG199" i="16461"/>
  <c r="AG212" i="16461"/>
  <c r="AA38" i="16501" s="1"/>
  <c r="AG194" i="16461"/>
  <c r="AG208" i="16461"/>
  <c r="AA34" i="16501" s="1"/>
  <c r="L120" i="16461"/>
  <c r="AE22" i="16501"/>
  <c r="AA21" i="16507"/>
  <c r="AD112" i="16513" s="1"/>
  <c r="J22" i="16501"/>
  <c r="F21" i="16507"/>
  <c r="I112" i="16513" s="1"/>
  <c r="AB213" i="16461"/>
  <c r="V39" i="16501" s="1"/>
  <c r="AD199" i="16461"/>
  <c r="AD212" i="16461"/>
  <c r="X38" i="16501" s="1"/>
  <c r="L153" i="16461"/>
  <c r="L33" i="16461"/>
  <c r="Y208" i="16461"/>
  <c r="S34" i="16501" s="1"/>
  <c r="Y194" i="16461"/>
  <c r="Q196" i="16461"/>
  <c r="Q209" i="16461"/>
  <c r="AC189" i="16461"/>
  <c r="L101" i="16461"/>
  <c r="Y205" i="16461"/>
  <c r="S31" i="16501" s="1"/>
  <c r="AI11" i="16501"/>
  <c r="AE10" i="16507"/>
  <c r="AH102" i="16513" s="1"/>
  <c r="AH204" i="16461"/>
  <c r="N22" i="16501"/>
  <c r="J21" i="16507"/>
  <c r="M112" i="16513" s="1"/>
  <c r="R213" i="16461"/>
  <c r="L39" i="16501" s="1"/>
  <c r="T213" i="16461"/>
  <c r="N39" i="16501" s="1"/>
  <c r="P213" i="16461"/>
  <c r="J39" i="16501" s="1"/>
  <c r="N213" i="16461"/>
  <c r="H39" i="16501" s="1"/>
  <c r="L82" i="16461"/>
  <c r="AC199" i="16461"/>
  <c r="AC212" i="16461"/>
  <c r="W38" i="16501" s="1"/>
  <c r="AE212" i="16461"/>
  <c r="Y38" i="16501" s="1"/>
  <c r="AE199" i="16461"/>
  <c r="S199" i="16461"/>
  <c r="S212" i="16461"/>
  <c r="M38" i="16501" s="1"/>
  <c r="Q199" i="16461"/>
  <c r="Q212" i="16461"/>
  <c r="K38" i="16501" s="1"/>
  <c r="R11" i="16501"/>
  <c r="AB204" i="16461"/>
  <c r="L180" i="16461"/>
  <c r="L166" i="16461"/>
  <c r="S194" i="16461"/>
  <c r="S208" i="16461"/>
  <c r="M34" i="16501" s="1"/>
  <c r="U208" i="16461"/>
  <c r="O34" i="16501" s="1"/>
  <c r="U194" i="16461"/>
  <c r="Q194" i="16461"/>
  <c r="Q208" i="16461"/>
  <c r="K34" i="16501" s="1"/>
  <c r="O194" i="16461"/>
  <c r="O208" i="16461"/>
  <c r="I34" i="16501" s="1"/>
  <c r="T207" i="16461"/>
  <c r="N33" i="16501" s="1"/>
  <c r="X196" i="16461"/>
  <c r="X209" i="16461"/>
  <c r="AP196" i="16461"/>
  <c r="AP209" i="16461"/>
  <c r="AL209" i="16461"/>
  <c r="AJ196" i="16461"/>
  <c r="AJ209" i="16461"/>
  <c r="Q11" i="16501"/>
  <c r="M10" i="16507"/>
  <c r="P102" i="16513" s="1"/>
  <c r="L157" i="16461"/>
  <c r="M195" i="16461"/>
  <c r="V207" i="16461"/>
  <c r="P33" i="16501" s="1"/>
  <c r="L130" i="16461"/>
  <c r="L32" i="16461"/>
  <c r="X189" i="16461"/>
  <c r="O189" i="16461"/>
  <c r="L113" i="16461"/>
  <c r="M207" i="16461"/>
  <c r="G33" i="16501" s="1"/>
  <c r="AH210" i="16461"/>
  <c r="AH197" i="16461"/>
  <c r="AB197" i="16461"/>
  <c r="AB210" i="16461"/>
  <c r="X197" i="16461"/>
  <c r="X210" i="16461"/>
  <c r="V197" i="16461"/>
  <c r="V210" i="16461"/>
  <c r="AJ207" i="16461"/>
  <c r="AD33" i="16501" s="1"/>
  <c r="AG204" i="16461"/>
  <c r="L147" i="16461"/>
  <c r="P198" i="16461"/>
  <c r="P211" i="16461"/>
  <c r="S198" i="16461"/>
  <c r="S211" i="16461"/>
  <c r="O198" i="16461"/>
  <c r="O211" i="16461"/>
  <c r="L165" i="16461"/>
  <c r="M198" i="16461"/>
  <c r="M211" i="16461"/>
  <c r="L108" i="16461"/>
  <c r="U207" i="16461"/>
  <c r="O33" i="16501" s="1"/>
  <c r="L15" i="16461"/>
  <c r="W205" i="16461"/>
  <c r="Q31" i="16501" s="1"/>
  <c r="AG205" i="16461"/>
  <c r="AA31" i="16501" s="1"/>
  <c r="AJ205" i="16461"/>
  <c r="AD31" i="16501" s="1"/>
  <c r="AD205" i="16461"/>
  <c r="X31" i="16501" s="1"/>
  <c r="AC192" i="16461"/>
  <c r="L78" i="16461"/>
  <c r="AA192" i="16461"/>
  <c r="H22" i="16501"/>
  <c r="D21" i="16507"/>
  <c r="G112" i="16513" s="1"/>
  <c r="Y196" i="16461"/>
  <c r="Y209" i="16461"/>
  <c r="L67" i="16461"/>
  <c r="AA11" i="16501"/>
  <c r="W10" i="16507"/>
  <c r="Z102" i="16513" s="1"/>
  <c r="L163" i="16461"/>
  <c r="L210" i="16461" s="1"/>
  <c r="M197" i="16461"/>
  <c r="M210" i="16461"/>
  <c r="AC198" i="16461"/>
  <c r="AC211" i="16461"/>
  <c r="AH205" i="16461"/>
  <c r="AB31" i="16501" s="1"/>
  <c r="P205" i="16461"/>
  <c r="J31" i="16501" s="1"/>
  <c r="AA212" i="16461"/>
  <c r="U38" i="16501" s="1"/>
  <c r="AA199" i="16461"/>
  <c r="Q211" i="16461"/>
  <c r="Q198" i="16461"/>
  <c r="U198" i="16461"/>
  <c r="U211" i="16461"/>
  <c r="AG207" i="16461"/>
  <c r="AA33" i="16501" s="1"/>
  <c r="L22" i="16501"/>
  <c r="H21" i="16507"/>
  <c r="K112" i="16513" s="1"/>
  <c r="AO213" i="16461"/>
  <c r="AI39" i="16501" s="1"/>
  <c r="AM213" i="16461"/>
  <c r="AG39" i="16501" s="1"/>
  <c r="AM204" i="16461"/>
  <c r="V199" i="16461"/>
  <c r="V212" i="16461"/>
  <c r="P38" i="16501" s="1"/>
  <c r="W199" i="16461"/>
  <c r="W212" i="16461"/>
  <c r="Q38" i="16501" s="1"/>
  <c r="AP199" i="16461"/>
  <c r="AP212" i="16461"/>
  <c r="AJ38" i="16501" s="1"/>
  <c r="L55" i="16461"/>
  <c r="L102" i="16461"/>
  <c r="Z194" i="16461"/>
  <c r="Z208" i="16461"/>
  <c r="T34" i="16501" s="1"/>
  <c r="L155" i="16461"/>
  <c r="M194" i="16461"/>
  <c r="M208" i="16461"/>
  <c r="G34" i="16501" s="1"/>
  <c r="AN208" i="16461"/>
  <c r="AH34" i="16501" s="1"/>
  <c r="AL208" i="16461"/>
  <c r="AF34" i="16501" s="1"/>
  <c r="P196" i="16461"/>
  <c r="P209" i="16461"/>
  <c r="AH196" i="16461"/>
  <c r="AH209" i="16461"/>
  <c r="AD209" i="16461"/>
  <c r="AD196" i="16461"/>
  <c r="AB196" i="16461"/>
  <c r="AB209" i="16461"/>
  <c r="L77" i="16461"/>
  <c r="M204" i="16461"/>
  <c r="AO204" i="16461"/>
  <c r="AH189" i="16461"/>
  <c r="AF189" i="16461"/>
  <c r="AD189" i="16461"/>
  <c r="L107" i="16461"/>
  <c r="AI204" i="16461"/>
  <c r="AA197" i="16461"/>
  <c r="AA210" i="16461"/>
  <c r="T197" i="16461"/>
  <c r="T210" i="16461"/>
  <c r="P197" i="16461"/>
  <c r="P210" i="16461"/>
  <c r="N197" i="16461"/>
  <c r="N210" i="16461"/>
  <c r="L177" i="16461"/>
  <c r="AH11" i="16501"/>
  <c r="AD10" i="16507"/>
  <c r="AG102" i="16513" s="1"/>
  <c r="AN211" i="16461"/>
  <c r="AP211" i="16461"/>
  <c r="AP198" i="16461"/>
  <c r="AL211" i="16461"/>
  <c r="AJ211" i="16461"/>
  <c r="AJ198" i="16461"/>
  <c r="L73" i="16461"/>
  <c r="L60" i="16461"/>
  <c r="AA205" i="16461"/>
  <c r="U31" i="16501" s="1"/>
  <c r="Q205" i="16461"/>
  <c r="K31" i="16501" s="1"/>
  <c r="AB205" i="16461"/>
  <c r="V31" i="16501" s="1"/>
  <c r="V205" i="16461"/>
  <c r="P31" i="16501" s="1"/>
  <c r="L37" i="16461"/>
  <c r="Z204" i="16461"/>
  <c r="P199" i="16461"/>
  <c r="P212" i="16461"/>
  <c r="J38" i="16501" s="1"/>
  <c r="S189" i="16461"/>
  <c r="AC22" i="16501"/>
  <c r="Y21" i="16507"/>
  <c r="AB112" i="16513" s="1"/>
  <c r="AF11" i="16501"/>
  <c r="AB10" i="16507"/>
  <c r="AE102" i="16513" s="1"/>
  <c r="L48" i="16461"/>
  <c r="AI197" i="16461"/>
  <c r="AI210" i="16461"/>
  <c r="AA198" i="16461"/>
  <c r="AA211" i="16461"/>
  <c r="W11" i="16501"/>
  <c r="S10" i="16507"/>
  <c r="V102" i="16513" s="1"/>
  <c r="L121" i="16461"/>
  <c r="L183" i="16461"/>
  <c r="AK213" i="16461"/>
  <c r="AE39" i="16501" s="1"/>
  <c r="AG213" i="16461"/>
  <c r="AA39" i="16501" s="1"/>
  <c r="AE213" i="16461"/>
  <c r="Y39" i="16501" s="1"/>
  <c r="L110" i="16461"/>
  <c r="U199" i="16461"/>
  <c r="U212" i="16461"/>
  <c r="O38" i="16501" s="1"/>
  <c r="O199" i="16461"/>
  <c r="O212" i="16461"/>
  <c r="I38" i="16501" s="1"/>
  <c r="AH199" i="16461"/>
  <c r="AH212" i="16461"/>
  <c r="AB38" i="16501" s="1"/>
  <c r="L152" i="16461"/>
  <c r="L40" i="16461"/>
  <c r="AN204" i="16461"/>
  <c r="L22" i="16461"/>
  <c r="R194" i="16461"/>
  <c r="R208" i="16461"/>
  <c r="L34" i="16501" s="1"/>
  <c r="AJ194" i="16461"/>
  <c r="AJ208" i="16461"/>
  <c r="AD34" i="16501" s="1"/>
  <c r="AF208" i="16461"/>
  <c r="Z34" i="16501" s="1"/>
  <c r="AF194" i="16461"/>
  <c r="AD194" i="16461"/>
  <c r="AD208" i="16461"/>
  <c r="X34" i="16501" s="1"/>
  <c r="R192" i="16461"/>
  <c r="W209" i="16461"/>
  <c r="W196" i="16461"/>
  <c r="Z196" i="16461"/>
  <c r="Z209" i="16461"/>
  <c r="V209" i="16461"/>
  <c r="V196" i="16461"/>
  <c r="T196" i="16461"/>
  <c r="T209" i="16461"/>
  <c r="N11" i="16501"/>
  <c r="J10" i="16507"/>
  <c r="M102" i="16513" s="1"/>
  <c r="L49" i="16461"/>
  <c r="X207" i="16461"/>
  <c r="R33" i="16501" s="1"/>
  <c r="AG189" i="16461"/>
  <c r="Q189" i="16461"/>
  <c r="Z189" i="16461"/>
  <c r="V189" i="16461"/>
  <c r="W204" i="16461"/>
  <c r="T204" i="16461"/>
  <c r="Z197" i="16461"/>
  <c r="Z210" i="16461"/>
  <c r="Z207" i="16461"/>
  <c r="T33" i="16501" s="1"/>
  <c r="L70" i="16461"/>
  <c r="L118" i="16461"/>
  <c r="AG211" i="16461"/>
  <c r="AG198" i="16461"/>
  <c r="AH198" i="16461"/>
  <c r="AH211" i="16461"/>
  <c r="AD198" i="16461"/>
  <c r="AD211" i="16461"/>
  <c r="AB198" i="16461"/>
  <c r="AB211" i="16461"/>
  <c r="AP205" i="16461"/>
  <c r="AJ31" i="16501" s="1"/>
  <c r="AE205" i="16461"/>
  <c r="Y31" i="16501" s="1"/>
  <c r="T205" i="16461"/>
  <c r="N31" i="16501" s="1"/>
  <c r="N205" i="16461"/>
  <c r="H31" i="16501" s="1"/>
  <c r="AE194" i="16461"/>
  <c r="AE208" i="16461"/>
  <c r="Y34" i="16501" s="1"/>
  <c r="G11" i="16501"/>
  <c r="C10" i="16507"/>
  <c r="L104" i="16461"/>
  <c r="AP210" i="16461"/>
  <c r="AP197" i="16461"/>
  <c r="AI198" i="16461"/>
  <c r="AI211" i="16461"/>
  <c r="AM205" i="16461"/>
  <c r="AG31" i="16501" s="1"/>
  <c r="U205" i="16461"/>
  <c r="O31" i="16501" s="1"/>
  <c r="L179" i="16461"/>
  <c r="V11" i="16501"/>
  <c r="R10" i="16507"/>
  <c r="U102" i="16513" s="1"/>
  <c r="Y199" i="16461"/>
  <c r="Y212" i="16461"/>
  <c r="S38" i="16501" s="1"/>
  <c r="W194" i="16461"/>
  <c r="W208" i="16461"/>
  <c r="Q34" i="16501" s="1"/>
  <c r="L158" i="16461"/>
  <c r="M196" i="16461"/>
  <c r="M209" i="16461"/>
  <c r="L92" i="16461"/>
  <c r="AJ197" i="16461"/>
  <c r="AJ210" i="16461"/>
  <c r="AD197" i="16461"/>
  <c r="AD210" i="16461"/>
  <c r="L126" i="16461"/>
  <c r="M205" i="16461"/>
  <c r="G31" i="16501" s="1"/>
  <c r="L178" i="16461"/>
  <c r="L148" i="16461"/>
  <c r="P22" i="16501"/>
  <c r="L21" i="16507"/>
  <c r="O112" i="16513" s="1"/>
  <c r="AI213" i="16461"/>
  <c r="AC39" i="16501" s="1"/>
  <c r="AC213" i="16461"/>
  <c r="W39" i="16501" s="1"/>
  <c r="Y213" i="16461"/>
  <c r="S39" i="16501" s="1"/>
  <c r="W213" i="16461"/>
  <c r="Q39" i="16501" s="1"/>
  <c r="L41" i="16461"/>
  <c r="AH17" i="16501"/>
  <c r="AD16" i="16507"/>
  <c r="AG108" i="16513" s="1"/>
  <c r="AJ199" i="16461"/>
  <c r="AJ212" i="16461"/>
  <c r="AD38" i="16501" s="1"/>
  <c r="Z199" i="16461"/>
  <c r="Z212" i="16461"/>
  <c r="T38" i="16501" s="1"/>
  <c r="L62" i="16461"/>
  <c r="L18" i="16461"/>
  <c r="AP194" i="16461"/>
  <c r="AP208" i="16461"/>
  <c r="AJ34" i="16501" s="1"/>
  <c r="AB194" i="16461"/>
  <c r="AB208" i="16461"/>
  <c r="V34" i="16501" s="1"/>
  <c r="X208" i="16461"/>
  <c r="R34" i="16501" s="1"/>
  <c r="X194" i="16461"/>
  <c r="V194" i="16461"/>
  <c r="V208" i="16461"/>
  <c r="P34" i="16501" s="1"/>
  <c r="L68" i="16461"/>
  <c r="O209" i="16461"/>
  <c r="O196" i="16461"/>
  <c r="R196" i="16461"/>
  <c r="R209" i="16461"/>
  <c r="N209" i="16461"/>
  <c r="N196" i="16461"/>
  <c r="AI196" i="16461"/>
  <c r="AI209" i="16461"/>
  <c r="L11" i="16501"/>
  <c r="H10" i="16507"/>
  <c r="K102" i="16513" s="1"/>
  <c r="L63" i="16461"/>
  <c r="W189" i="16461"/>
  <c r="AP189" i="16461"/>
  <c r="L129" i="16461"/>
  <c r="M189" i="16461"/>
  <c r="N189" i="16461"/>
  <c r="AG197" i="16461"/>
  <c r="AG210" i="16461"/>
  <c r="AE197" i="16461"/>
  <c r="AE210" i="16461"/>
  <c r="L21" i="16461"/>
  <c r="L156" i="16461"/>
  <c r="AF198" i="16461"/>
  <c r="AF211" i="16461"/>
  <c r="Z198" i="16461"/>
  <c r="Z211" i="16461"/>
  <c r="V198" i="16461"/>
  <c r="V211" i="16461"/>
  <c r="T198" i="16461"/>
  <c r="T211" i="16461"/>
  <c r="L81" i="16461"/>
  <c r="L24" i="16461"/>
  <c r="Z205" i="16461"/>
  <c r="T31" i="16501" s="1"/>
  <c r="O205" i="16461"/>
  <c r="I31" i="16501" s="1"/>
  <c r="AN205" i="16461"/>
  <c r="AH31" i="16501" s="1"/>
  <c r="AF10" i="16507" l="1"/>
  <c r="AI102" i="16513" s="1"/>
  <c r="AF18" i="16501"/>
  <c r="L209" i="16461"/>
  <c r="AB16" i="16507"/>
  <c r="AE108" i="16513" s="1"/>
  <c r="AI17" i="16501"/>
  <c r="L10" i="16507"/>
  <c r="O102" i="16513" s="1"/>
  <c r="I10" i="16507"/>
  <c r="L102" i="16513" s="1"/>
  <c r="Q10" i="16507"/>
  <c r="T102" i="16513" s="1"/>
  <c r="L207" i="16461"/>
  <c r="AD17" i="16507"/>
  <c r="AG109" i="16513" s="1"/>
  <c r="D10" i="16507"/>
  <c r="G102" i="16513" s="1"/>
  <c r="Y11" i="16501"/>
  <c r="AF17" i="16507"/>
  <c r="AI109" i="16513" s="1"/>
  <c r="E10" i="16507"/>
  <c r="H102" i="16513" s="1"/>
  <c r="J11" i="16501"/>
  <c r="T10" i="16507"/>
  <c r="W102" i="16513" s="1"/>
  <c r="AC16" i="16507"/>
  <c r="AF108" i="16513" s="1"/>
  <c r="V10" i="16507"/>
  <c r="Y102" i="16513" s="1"/>
  <c r="P10" i="16507"/>
  <c r="S102" i="16513" s="1"/>
  <c r="Y10" i="16507"/>
  <c r="AB102" i="16513" s="1"/>
  <c r="F32" i="16501"/>
  <c r="M18" i="16501"/>
  <c r="I11" i="16507"/>
  <c r="L103" i="16513" s="1"/>
  <c r="Q11" i="16507"/>
  <c r="T103" i="16513" s="1"/>
  <c r="K11" i="16501"/>
  <c r="G10" i="16507"/>
  <c r="J102" i="16513" s="1"/>
  <c r="T17" i="16507"/>
  <c r="W109" i="16513" s="1"/>
  <c r="P17" i="16507"/>
  <c r="S109" i="16513" s="1"/>
  <c r="AE11" i="16507"/>
  <c r="AH103" i="16513" s="1"/>
  <c r="Z17" i="16507"/>
  <c r="AC109" i="16513" s="1"/>
  <c r="G11" i="16507"/>
  <c r="J103" i="16513" s="1"/>
  <c r="AA12" i="16507"/>
  <c r="AD104" i="16513" s="1"/>
  <c r="N17" i="16507"/>
  <c r="Q109" i="16513" s="1"/>
  <c r="F11" i="16507"/>
  <c r="I103" i="16513" s="1"/>
  <c r="AA16" i="16507"/>
  <c r="AD108" i="16513" s="1"/>
  <c r="G17" i="16507"/>
  <c r="J109" i="16513" s="1"/>
  <c r="L17" i="16507"/>
  <c r="O109" i="16513" s="1"/>
  <c r="V11" i="16507"/>
  <c r="Y103" i="16513" s="1"/>
  <c r="L211" i="16461"/>
  <c r="S11" i="16507"/>
  <c r="V103" i="16513" s="1"/>
  <c r="AG188" i="16461"/>
  <c r="P188" i="16461"/>
  <c r="AJ188" i="16461"/>
  <c r="O11" i="16507"/>
  <c r="R103" i="16513" s="1"/>
  <c r="L204" i="16461"/>
  <c r="M188" i="16461"/>
  <c r="X188" i="16461"/>
  <c r="E9" i="16507"/>
  <c r="H101" i="16513" s="1"/>
  <c r="G9" i="16507"/>
  <c r="J101" i="16513" s="1"/>
  <c r="AG18" i="16501"/>
  <c r="AC17" i="16507"/>
  <c r="AF109" i="16513" s="1"/>
  <c r="R30" i="16501"/>
  <c r="AD13" i="16501"/>
  <c r="Z12" i="16507"/>
  <c r="AC104" i="16513" s="1"/>
  <c r="M17" i="16501"/>
  <c r="I16" i="16507"/>
  <c r="L108" i="16513" s="1"/>
  <c r="AJ22" i="16501"/>
  <c r="F22" i="16501" s="1"/>
  <c r="BD22" i="16501" s="1"/>
  <c r="AF21" i="16507"/>
  <c r="AI112" i="16513" s="1"/>
  <c r="AE9" i="16501"/>
  <c r="AA8" i="16507"/>
  <c r="V13" i="16501"/>
  <c r="R12" i="16507"/>
  <c r="U104" i="16513" s="1"/>
  <c r="AD17" i="16501"/>
  <c r="Z16" i="16507"/>
  <c r="AC108" i="16513" s="1"/>
  <c r="L8" i="16461"/>
  <c r="P13" i="16501"/>
  <c r="L12" i="16507"/>
  <c r="O104" i="16513" s="1"/>
  <c r="L205" i="16461"/>
  <c r="Z188" i="16461"/>
  <c r="V188" i="16461"/>
  <c r="AI188" i="16461"/>
  <c r="AH30" i="16501"/>
  <c r="W11" i="16507"/>
  <c r="Z103" i="16513" s="1"/>
  <c r="G12" i="16501"/>
  <c r="F33" i="16501"/>
  <c r="C11" i="16507"/>
  <c r="AB30" i="16501"/>
  <c r="AE9" i="16507"/>
  <c r="AH101" i="16513" s="1"/>
  <c r="N17" i="16501"/>
  <c r="J16" i="16507"/>
  <c r="M108" i="16513" s="1"/>
  <c r="R11" i="16507"/>
  <c r="U103" i="16513" s="1"/>
  <c r="D11" i="16507"/>
  <c r="G103" i="16513" s="1"/>
  <c r="U18" i="16501"/>
  <c r="Q17" i="16507"/>
  <c r="T109" i="16513" s="1"/>
  <c r="AF9" i="16501"/>
  <c r="AB8" i="16507"/>
  <c r="O188" i="16461"/>
  <c r="H9" i="16501"/>
  <c r="D8" i="16507"/>
  <c r="S188" i="16461"/>
  <c r="AF13" i="16501"/>
  <c r="AB12" i="16507"/>
  <c r="AE104" i="16513" s="1"/>
  <c r="K11" i="16507"/>
  <c r="N103" i="16513" s="1"/>
  <c r="H18" i="16501"/>
  <c r="D17" i="16507"/>
  <c r="G109" i="16513" s="1"/>
  <c r="I30" i="16501"/>
  <c r="L9" i="16501"/>
  <c r="H8" i="16507"/>
  <c r="AB17" i="16501"/>
  <c r="X16" i="16507"/>
  <c r="AA108" i="16513" s="1"/>
  <c r="AI30" i="16501"/>
  <c r="V18" i="16501"/>
  <c r="R17" i="16507"/>
  <c r="U109" i="16513" s="1"/>
  <c r="V9" i="16507"/>
  <c r="Y101" i="16513" s="1"/>
  <c r="AD188" i="16461"/>
  <c r="S18" i="16501"/>
  <c r="O17" i="16507"/>
  <c r="R109" i="16513" s="1"/>
  <c r="AJ13" i="16501"/>
  <c r="AF12" i="16507"/>
  <c r="AI104" i="16513" s="1"/>
  <c r="AD9" i="16507"/>
  <c r="AG101" i="16513" s="1"/>
  <c r="Y13" i="16501"/>
  <c r="U12" i="16507"/>
  <c r="X104" i="16513" s="1"/>
  <c r="D9" i="16507"/>
  <c r="G101" i="16513" s="1"/>
  <c r="N11" i="16507"/>
  <c r="Q103" i="16513" s="1"/>
  <c r="J17" i="16501"/>
  <c r="F16" i="16507"/>
  <c r="I108" i="16513" s="1"/>
  <c r="R9" i="16507"/>
  <c r="U101" i="16513" s="1"/>
  <c r="AG30" i="16501"/>
  <c r="U188" i="16461"/>
  <c r="L11" i="16507"/>
  <c r="O103" i="16513" s="1"/>
  <c r="O13" i="16501"/>
  <c r="K12" i="16507"/>
  <c r="N104" i="16513" s="1"/>
  <c r="K17" i="16501"/>
  <c r="G16" i="16507"/>
  <c r="J108" i="16513" s="1"/>
  <c r="X17" i="16501"/>
  <c r="T16" i="16507"/>
  <c r="W108" i="16513" s="1"/>
  <c r="W13" i="16501"/>
  <c r="S12" i="16507"/>
  <c r="V104" i="16513" s="1"/>
  <c r="S30" i="16501"/>
  <c r="H13" i="16501"/>
  <c r="D12" i="16507"/>
  <c r="G104" i="16513" s="1"/>
  <c r="H17" i="16501"/>
  <c r="D16" i="16507"/>
  <c r="G108" i="16513" s="1"/>
  <c r="Y11" i="16507"/>
  <c r="AB103" i="16513" s="1"/>
  <c r="Y18" i="16501"/>
  <c r="U17" i="16507"/>
  <c r="X109" i="16513" s="1"/>
  <c r="AC30" i="16501"/>
  <c r="M13" i="16501"/>
  <c r="I12" i="16507"/>
  <c r="L104" i="16513" s="1"/>
  <c r="AD9" i="16501"/>
  <c r="Z8" i="16507"/>
  <c r="T17" i="16501"/>
  <c r="P16" i="16507"/>
  <c r="S108" i="16513" s="1"/>
  <c r="AI18" i="16501"/>
  <c r="AE17" i="16507"/>
  <c r="AH109" i="16513" s="1"/>
  <c r="J11" i="16507"/>
  <c r="M103" i="16513" s="1"/>
  <c r="J13" i="16501"/>
  <c r="F12" i="16507"/>
  <c r="I104" i="16513" s="1"/>
  <c r="Q18" i="16501"/>
  <c r="M17" i="16507"/>
  <c r="P109" i="16513" s="1"/>
  <c r="K9" i="16507"/>
  <c r="N101" i="16513" s="1"/>
  <c r="F102" i="16513"/>
  <c r="Q30" i="16501"/>
  <c r="AE18" i="16501"/>
  <c r="AA17" i="16507"/>
  <c r="AD109" i="16513" s="1"/>
  <c r="Q9" i="16507"/>
  <c r="T101" i="16513" s="1"/>
  <c r="W188" i="16461"/>
  <c r="G30" i="16501"/>
  <c r="G13" i="16501"/>
  <c r="F34" i="16501"/>
  <c r="C12" i="16507"/>
  <c r="T9" i="16507"/>
  <c r="W101" i="16513" s="1"/>
  <c r="I13" i="16501"/>
  <c r="E12" i="16507"/>
  <c r="H104" i="16513" s="1"/>
  <c r="N18" i="16501"/>
  <c r="J17" i="16507"/>
  <c r="M109" i="16513" s="1"/>
  <c r="O9" i="16507"/>
  <c r="R101" i="16513" s="1"/>
  <c r="AG13" i="16501"/>
  <c r="AC12" i="16507"/>
  <c r="AF104" i="16513" s="1"/>
  <c r="G17" i="16501"/>
  <c r="F38" i="16501"/>
  <c r="C16" i="16507"/>
  <c r="F39" i="16501"/>
  <c r="G18" i="16501"/>
  <c r="C17" i="16507"/>
  <c r="AB9" i="16507"/>
  <c r="AE101" i="16513" s="1"/>
  <c r="AA9" i="16507"/>
  <c r="AD101" i="16513" s="1"/>
  <c r="AC188" i="16461"/>
  <c r="I18" i="16501"/>
  <c r="E17" i="16507"/>
  <c r="H109" i="16513" s="1"/>
  <c r="Z9" i="16501"/>
  <c r="V8" i="16507"/>
  <c r="M9" i="16501"/>
  <c r="I8" i="16507"/>
  <c r="R188" i="16461"/>
  <c r="AA188" i="16461"/>
  <c r="K9" i="16501"/>
  <c r="G8" i="16507"/>
  <c r="O9" i="16501"/>
  <c r="K8" i="16507"/>
  <c r="AF188" i="16461"/>
  <c r="Z13" i="16501"/>
  <c r="V12" i="16507"/>
  <c r="Y104" i="16513" s="1"/>
  <c r="R17" i="16501"/>
  <c r="N16" i="16507"/>
  <c r="Q108" i="16513" s="1"/>
  <c r="AC17" i="16501"/>
  <c r="Y16" i="16507"/>
  <c r="AB108" i="16513" s="1"/>
  <c r="X9" i="16501"/>
  <c r="T8" i="16507"/>
  <c r="R13" i="16501"/>
  <c r="N12" i="16507"/>
  <c r="Q104" i="16513" s="1"/>
  <c r="AH13" i="16501"/>
  <c r="AD12" i="16507"/>
  <c r="AG104" i="16513" s="1"/>
  <c r="L17" i="16501"/>
  <c r="H16" i="16507"/>
  <c r="K108" i="16513" s="1"/>
  <c r="P9" i="16507"/>
  <c r="S101" i="16513" s="1"/>
  <c r="U9" i="16507"/>
  <c r="X101" i="16513" s="1"/>
  <c r="P11" i="16507"/>
  <c r="S103" i="16513" s="1"/>
  <c r="L13" i="16501"/>
  <c r="H12" i="16507"/>
  <c r="K104" i="16513" s="1"/>
  <c r="I17" i="16501"/>
  <c r="E16" i="16507"/>
  <c r="H108" i="16513" s="1"/>
  <c r="T30" i="16501"/>
  <c r="N188" i="16461"/>
  <c r="Q17" i="16501"/>
  <c r="M16" i="16507"/>
  <c r="P108" i="16513" s="1"/>
  <c r="F9" i="16507"/>
  <c r="I101" i="16513" s="1"/>
  <c r="Z9" i="16507"/>
  <c r="AC101" i="16513" s="1"/>
  <c r="L18" i="16501"/>
  <c r="H17" i="16507"/>
  <c r="K109" i="16513" s="1"/>
  <c r="AA13" i="16501"/>
  <c r="W12" i="16507"/>
  <c r="Z104" i="16513" s="1"/>
  <c r="S9" i="16507"/>
  <c r="V101" i="16513" s="1"/>
  <c r="AI13" i="16501"/>
  <c r="AE12" i="16507"/>
  <c r="AH104" i="16513" s="1"/>
  <c r="L213" i="16461"/>
  <c r="Q188" i="16461"/>
  <c r="Y9" i="16507"/>
  <c r="AB101" i="16513" s="1"/>
  <c r="T11" i="16507"/>
  <c r="W103" i="16513" s="1"/>
  <c r="N13" i="16501"/>
  <c r="J12" i="16507"/>
  <c r="M104" i="16513" s="1"/>
  <c r="H9" i="16507"/>
  <c r="K101" i="16513" s="1"/>
  <c r="U13" i="16501"/>
  <c r="Q12" i="16507"/>
  <c r="T104" i="16513" s="1"/>
  <c r="AB188" i="16461"/>
  <c r="F112" i="16513"/>
  <c r="T188" i="16461"/>
  <c r="AP188" i="16461"/>
  <c r="AH188" i="16461"/>
  <c r="U17" i="16501"/>
  <c r="Q16" i="16507"/>
  <c r="T108" i="16513" s="1"/>
  <c r="AF11" i="16507"/>
  <c r="AI103" i="16513" s="1"/>
  <c r="J9" i="16507"/>
  <c r="M101" i="16513" s="1"/>
  <c r="J18" i="16501"/>
  <c r="F17" i="16507"/>
  <c r="I109" i="16513" s="1"/>
  <c r="Q13" i="16501"/>
  <c r="M12" i="16507"/>
  <c r="P104" i="16513" s="1"/>
  <c r="W18" i="16501"/>
  <c r="S17" i="16507"/>
  <c r="V109" i="16513" s="1"/>
  <c r="F31" i="16501"/>
  <c r="C9" i="16507"/>
  <c r="AC9" i="16507"/>
  <c r="AF101" i="16513" s="1"/>
  <c r="AF9" i="16507"/>
  <c r="AI101" i="16513" s="1"/>
  <c r="L208" i="16461"/>
  <c r="W9" i="16507"/>
  <c r="Z101" i="16513" s="1"/>
  <c r="AA30" i="16501"/>
  <c r="K13" i="16501"/>
  <c r="G12" i="16507"/>
  <c r="J104" i="16513" s="1"/>
  <c r="V30" i="16501"/>
  <c r="Y17" i="16501"/>
  <c r="U16" i="16507"/>
  <c r="X108" i="16513" s="1"/>
  <c r="S13" i="16501"/>
  <c r="O12" i="16507"/>
  <c r="R104" i="16513" s="1"/>
  <c r="I9" i="16507"/>
  <c r="L101" i="16513" s="1"/>
  <c r="AB13" i="16501"/>
  <c r="X12" i="16507"/>
  <c r="AA104" i="16513" s="1"/>
  <c r="L212" i="16461"/>
  <c r="AB18" i="16501"/>
  <c r="X17" i="16507"/>
  <c r="AA109" i="16513" s="1"/>
  <c r="V17" i="16501"/>
  <c r="R16" i="16507"/>
  <c r="U108" i="16513" s="1"/>
  <c r="Y9" i="16501"/>
  <c r="U8" i="16507"/>
  <c r="W9" i="16501"/>
  <c r="S8" i="16507"/>
  <c r="F44" i="16501"/>
  <c r="J9" i="16501"/>
  <c r="F8" i="16507"/>
  <c r="AJ9" i="16501"/>
  <c r="AF8" i="16507"/>
  <c r="N30" i="16501"/>
  <c r="AA18" i="16501"/>
  <c r="W17" i="16507"/>
  <c r="Z109" i="16513" s="1"/>
  <c r="AJ17" i="16501"/>
  <c r="AF16" i="16507"/>
  <c r="AI108" i="16513" s="1"/>
  <c r="N9" i="16507"/>
  <c r="Q101" i="16513" s="1"/>
  <c r="AC18" i="16501"/>
  <c r="Y17" i="16507"/>
  <c r="AB109" i="16513" s="1"/>
  <c r="S17" i="16501"/>
  <c r="O16" i="16507"/>
  <c r="R108" i="16513" s="1"/>
  <c r="X13" i="16501"/>
  <c r="T12" i="16507"/>
  <c r="W104" i="16513" s="1"/>
  <c r="O17" i="16501"/>
  <c r="K16" i="16507"/>
  <c r="N108" i="16513" s="1"/>
  <c r="L9" i="16507"/>
  <c r="O101" i="16513" s="1"/>
  <c r="T13" i="16501"/>
  <c r="P12" i="16507"/>
  <c r="S104" i="16513" s="1"/>
  <c r="P17" i="16501"/>
  <c r="L16" i="16507"/>
  <c r="O108" i="16513" s="1"/>
  <c r="X9" i="16507"/>
  <c r="AA101" i="16513" s="1"/>
  <c r="M9" i="16507"/>
  <c r="P101" i="16513" s="1"/>
  <c r="Z11" i="16507"/>
  <c r="AC103" i="16513" s="1"/>
  <c r="W17" i="16501"/>
  <c r="S16" i="16507"/>
  <c r="V108" i="16513" s="1"/>
  <c r="AA17" i="16501"/>
  <c r="W16" i="16507"/>
  <c r="Z108" i="16513" s="1"/>
  <c r="AC13" i="16501"/>
  <c r="Y12" i="16507"/>
  <c r="AB104" i="16513" s="1"/>
  <c r="Z17" i="16501"/>
  <c r="V16" i="16507"/>
  <c r="Y108" i="16513" s="1"/>
  <c r="O18" i="16501"/>
  <c r="K17" i="16507"/>
  <c r="N109" i="16513" s="1"/>
  <c r="AE188" i="16461"/>
  <c r="U9" i="16501"/>
  <c r="Q8" i="16507"/>
  <c r="P9" i="16501"/>
  <c r="L8" i="16507"/>
  <c r="Y188" i="16461"/>
  <c r="F11" i="16501" l="1"/>
  <c r="BC11" i="16501" s="1"/>
  <c r="B10" i="16507"/>
  <c r="B21" i="16507"/>
  <c r="BK22" i="16501"/>
  <c r="BR22" i="16501"/>
  <c r="AT22" i="16501"/>
  <c r="BQ22" i="16501"/>
  <c r="T100" i="16513"/>
  <c r="BO22" i="16501"/>
  <c r="AV22" i="16501"/>
  <c r="B9" i="16507"/>
  <c r="F101" i="16513"/>
  <c r="F108" i="16513"/>
  <c r="B16" i="16507"/>
  <c r="AY22" i="16501"/>
  <c r="AS22" i="16501"/>
  <c r="K100" i="16513"/>
  <c r="T9" i="16501"/>
  <c r="P8" i="16507"/>
  <c r="BA22" i="16501"/>
  <c r="BC22" i="16501"/>
  <c r="BN22" i="16501"/>
  <c r="G9" i="16501"/>
  <c r="F30" i="16501"/>
  <c r="C8" i="16507"/>
  <c r="AC100" i="16513"/>
  <c r="AI9" i="16501"/>
  <c r="AE8" i="16507"/>
  <c r="BS22" i="16501"/>
  <c r="AX22" i="16501"/>
  <c r="BJ22" i="16501"/>
  <c r="BM22" i="16501"/>
  <c r="W100" i="16513"/>
  <c r="J100" i="16513"/>
  <c r="BH22" i="16501"/>
  <c r="F17" i="16501"/>
  <c r="AR17" i="16501" s="1"/>
  <c r="AH9" i="16501"/>
  <c r="AD8" i="16507"/>
  <c r="L100" i="16513"/>
  <c r="BL22" i="16501"/>
  <c r="BP22" i="16501"/>
  <c r="G100" i="16513"/>
  <c r="F13" i="16501"/>
  <c r="BO13" i="16501" s="1"/>
  <c r="X100" i="16513"/>
  <c r="AA9" i="16501"/>
  <c r="W8" i="16507"/>
  <c r="AQ22" i="16501"/>
  <c r="AR22" i="16501"/>
  <c r="Q9" i="16501"/>
  <c r="M8" i="16507"/>
  <c r="BF22" i="16501"/>
  <c r="I9" i="16501"/>
  <c r="E8" i="16507"/>
  <c r="AB9" i="16501"/>
  <c r="X8" i="16507"/>
  <c r="AW22" i="16501"/>
  <c r="BB22" i="16501"/>
  <c r="BI22" i="16501"/>
  <c r="BE22" i="16501"/>
  <c r="AU22" i="16501"/>
  <c r="BG22" i="16501"/>
  <c r="B17" i="16507"/>
  <c r="F109" i="16513"/>
  <c r="B12" i="16507"/>
  <c r="F104" i="16513"/>
  <c r="S9" i="16501"/>
  <c r="O8" i="16507"/>
  <c r="AZ22" i="16501"/>
  <c r="AE100" i="16513"/>
  <c r="O100" i="16513"/>
  <c r="N9" i="16501"/>
  <c r="J8" i="16507"/>
  <c r="I100" i="16513"/>
  <c r="V100" i="16513"/>
  <c r="V9" i="16501"/>
  <c r="R8" i="16507"/>
  <c r="AJ112" i="16513"/>
  <c r="AI100" i="16513"/>
  <c r="N100" i="16513"/>
  <c r="Y100" i="16513"/>
  <c r="F18" i="16501"/>
  <c r="BC18" i="16501" s="1"/>
  <c r="AJ102" i="16513"/>
  <c r="AC9" i="16501"/>
  <c r="Y8" i="16507"/>
  <c r="AG9" i="16501"/>
  <c r="AC8" i="16507"/>
  <c r="F103" i="16513"/>
  <c r="B11" i="16507"/>
  <c r="AD100" i="16513"/>
  <c r="BT22" i="16501"/>
  <c r="R9" i="16501"/>
  <c r="N8" i="16507"/>
  <c r="BL11" i="16501" l="1"/>
  <c r="BJ11" i="16501"/>
  <c r="AR11" i="16501"/>
  <c r="AZ11" i="16501"/>
  <c r="AU11" i="16501"/>
  <c r="AY11" i="16501"/>
  <c r="BH11" i="16501"/>
  <c r="BO11" i="16501"/>
  <c r="AS11" i="16501"/>
  <c r="AQ11" i="16501"/>
  <c r="BN11" i="16501"/>
  <c r="BR11" i="16501"/>
  <c r="BB11" i="16501"/>
  <c r="BM11" i="16501"/>
  <c r="AW11" i="16501"/>
  <c r="BA11" i="16501"/>
  <c r="BE11" i="16501"/>
  <c r="BD11" i="16501"/>
  <c r="BG11" i="16501"/>
  <c r="AT11" i="16501"/>
  <c r="BF11" i="16501"/>
  <c r="AV11" i="16501"/>
  <c r="BP11" i="16501"/>
  <c r="BT11" i="16501"/>
  <c r="AX11" i="16501"/>
  <c r="BQ11" i="16501"/>
  <c r="BI11" i="16501"/>
  <c r="BS11" i="16501"/>
  <c r="BK11" i="16501"/>
  <c r="E102" i="16513"/>
  <c r="BG102" i="16513" s="1"/>
  <c r="E109" i="16513"/>
  <c r="BF109" i="16513" s="1"/>
  <c r="E108" i="16513"/>
  <c r="BC108" i="16513" s="1"/>
  <c r="E112" i="16513"/>
  <c r="BF112" i="16513" s="1"/>
  <c r="E103" i="16513"/>
  <c r="AU103" i="16513" s="1"/>
  <c r="E104" i="16513"/>
  <c r="BJ104" i="16513" s="1"/>
  <c r="E101" i="16513"/>
  <c r="AU101" i="16513" s="1"/>
  <c r="BT17" i="16501"/>
  <c r="BJ13" i="16501"/>
  <c r="AS13" i="16501"/>
  <c r="AV13" i="16501"/>
  <c r="BT13" i="16501"/>
  <c r="BR13" i="16501"/>
  <c r="BC13" i="16501"/>
  <c r="BQ13" i="16501"/>
  <c r="AX13" i="16501"/>
  <c r="BM13" i="16501"/>
  <c r="BK13" i="16501"/>
  <c r="BH13" i="16501"/>
  <c r="BA13" i="16501"/>
  <c r="AU13" i="16501"/>
  <c r="AT13" i="16501"/>
  <c r="AZ13" i="16501"/>
  <c r="BD13" i="16501"/>
  <c r="BD17" i="16501"/>
  <c r="BI17" i="16501"/>
  <c r="BE17" i="16501"/>
  <c r="AV17" i="16501"/>
  <c r="BG17" i="16501"/>
  <c r="BM17" i="16501"/>
  <c r="BJ17" i="16501"/>
  <c r="BL17" i="16501"/>
  <c r="BC17" i="16501"/>
  <c r="BA17" i="16501"/>
  <c r="BF17" i="16501"/>
  <c r="AT17" i="16501"/>
  <c r="AU17" i="16501"/>
  <c r="AS17" i="16501"/>
  <c r="BK17" i="16501"/>
  <c r="BN17" i="16501"/>
  <c r="BS13" i="16501"/>
  <c r="BL13" i="16501"/>
  <c r="AY13" i="16501"/>
  <c r="BE13" i="16501"/>
  <c r="BI13" i="16501"/>
  <c r="AY17" i="16501"/>
  <c r="BH17" i="16501"/>
  <c r="BN13" i="16501"/>
  <c r="AZ17" i="16501"/>
  <c r="AW17" i="16501"/>
  <c r="AA100" i="16513"/>
  <c r="BG18" i="16501"/>
  <c r="BQ18" i="16501"/>
  <c r="S100" i="16513"/>
  <c r="BF18" i="16501"/>
  <c r="BO18" i="16501"/>
  <c r="AT18" i="16501"/>
  <c r="AJ104" i="16513"/>
  <c r="BE18" i="16501"/>
  <c r="BF13" i="16501"/>
  <c r="BI18" i="16501"/>
  <c r="AV18" i="16501"/>
  <c r="AJ108" i="16513"/>
  <c r="AJ101" i="16513"/>
  <c r="BL18" i="16501"/>
  <c r="BA18" i="16501"/>
  <c r="M100" i="16513"/>
  <c r="Q100" i="16513"/>
  <c r="AJ103" i="16513"/>
  <c r="AF100" i="16513"/>
  <c r="U100" i="16513"/>
  <c r="AS18" i="16501"/>
  <c r="BK18" i="16501"/>
  <c r="H100" i="16513"/>
  <c r="BP13" i="16501"/>
  <c r="AG100" i="16513"/>
  <c r="BO17" i="16501"/>
  <c r="BS17" i="16501"/>
  <c r="BQ17" i="16501"/>
  <c r="BR17" i="16501"/>
  <c r="BP17" i="16501"/>
  <c r="AY18" i="16501"/>
  <c r="AW13" i="16501"/>
  <c r="BB17" i="16501"/>
  <c r="AJ109" i="16513"/>
  <c r="P100" i="16513"/>
  <c r="F100" i="16513"/>
  <c r="B8" i="16507"/>
  <c r="AB100" i="16513"/>
  <c r="R100" i="16513"/>
  <c r="BG13" i="16501"/>
  <c r="AQ17" i="16501"/>
  <c r="F9" i="16501"/>
  <c r="BD9" i="16501" s="1"/>
  <c r="BB13" i="16501"/>
  <c r="BJ18" i="16501"/>
  <c r="AU18" i="16501"/>
  <c r="BH18" i="16501"/>
  <c r="BT18" i="16501"/>
  <c r="AW18" i="16501"/>
  <c r="BR18" i="16501"/>
  <c r="AZ18" i="16501"/>
  <c r="BN18" i="16501"/>
  <c r="BP18" i="16501"/>
  <c r="BB18" i="16501"/>
  <c r="BD18" i="16501"/>
  <c r="BS18" i="16501"/>
  <c r="AH100" i="16513"/>
  <c r="Z100" i="16513"/>
  <c r="AQ18" i="16501"/>
  <c r="AX18" i="16501"/>
  <c r="AQ13" i="16501"/>
  <c r="AR13" i="16501"/>
  <c r="AR18" i="16501"/>
  <c r="AX17" i="16501"/>
  <c r="BM18" i="16501"/>
  <c r="BM108" i="16513" l="1"/>
  <c r="AS108" i="16513"/>
  <c r="BD108" i="16513"/>
  <c r="BA102" i="16513"/>
  <c r="BC102" i="16513"/>
  <c r="AN102" i="16513"/>
  <c r="AR102" i="16513"/>
  <c r="AS102" i="16513"/>
  <c r="AT102" i="16513"/>
  <c r="AY102" i="16513"/>
  <c r="BO102" i="16513"/>
  <c r="BF102" i="16513"/>
  <c r="BH102" i="16513"/>
  <c r="AL102" i="16513"/>
  <c r="AW102" i="16513"/>
  <c r="BB102" i="16513"/>
  <c r="BJ102" i="16513"/>
  <c r="AX102" i="16513"/>
  <c r="AU102" i="16513"/>
  <c r="AP102" i="16513"/>
  <c r="BM102" i="16513"/>
  <c r="AQ102" i="16513"/>
  <c r="BI102" i="16513"/>
  <c r="BL102" i="16513"/>
  <c r="AZ102" i="16513"/>
  <c r="BK102" i="16513"/>
  <c r="BD102" i="16513"/>
  <c r="BN102" i="16513"/>
  <c r="AM102" i="16513"/>
  <c r="BE102" i="16513"/>
  <c r="AO102" i="16513"/>
  <c r="AV102" i="16513"/>
  <c r="AQ104" i="16513"/>
  <c r="AW109" i="16513"/>
  <c r="AL109" i="16513"/>
  <c r="AU109" i="16513"/>
  <c r="BB109" i="16513"/>
  <c r="BC109" i="16513"/>
  <c r="AY109" i="16513"/>
  <c r="AV109" i="16513"/>
  <c r="BN109" i="16513"/>
  <c r="AN109" i="16513"/>
  <c r="BE109" i="16513"/>
  <c r="BG109" i="16513"/>
  <c r="BJ109" i="16513"/>
  <c r="AM109" i="16513"/>
  <c r="AO109" i="16513"/>
  <c r="BL109" i="16513"/>
  <c r="BH109" i="16513"/>
  <c r="AR109" i="16513"/>
  <c r="AZ109" i="16513"/>
  <c r="AX109" i="16513"/>
  <c r="BM109" i="16513"/>
  <c r="AT109" i="16513"/>
  <c r="AS109" i="16513"/>
  <c r="AP109" i="16513"/>
  <c r="BO109" i="16513"/>
  <c r="BD109" i="16513"/>
  <c r="AQ109" i="16513"/>
  <c r="BK109" i="16513"/>
  <c r="BI109" i="16513"/>
  <c r="BG103" i="16513"/>
  <c r="BO103" i="16513"/>
  <c r="AP103" i="16513"/>
  <c r="AW103" i="16513"/>
  <c r="BD103" i="16513"/>
  <c r="BA109" i="16513"/>
  <c r="BA104" i="16513"/>
  <c r="BH104" i="16513"/>
  <c r="AX104" i="16513"/>
  <c r="AU104" i="16513"/>
  <c r="BN104" i="16513"/>
  <c r="AL104" i="16513"/>
  <c r="BL104" i="16513"/>
  <c r="BK104" i="16513"/>
  <c r="BF104" i="16513"/>
  <c r="BE104" i="16513"/>
  <c r="AO104" i="16513"/>
  <c r="BD104" i="16513"/>
  <c r="AV104" i="16513"/>
  <c r="AY104" i="16513"/>
  <c r="AR104" i="16513"/>
  <c r="BI104" i="16513"/>
  <c r="AW104" i="16513"/>
  <c r="AZ104" i="16513"/>
  <c r="AP104" i="16513"/>
  <c r="AT104" i="16513"/>
  <c r="AS104" i="16513"/>
  <c r="BM104" i="16513"/>
  <c r="BG104" i="16513"/>
  <c r="AM104" i="16513"/>
  <c r="BO104" i="16513"/>
  <c r="BB104" i="16513"/>
  <c r="BC104" i="16513"/>
  <c r="AN104" i="16513"/>
  <c r="AU108" i="16513"/>
  <c r="BO108" i="16513"/>
  <c r="AN108" i="16513"/>
  <c r="BF108" i="16513"/>
  <c r="AL101" i="16513"/>
  <c r="BA108" i="16513"/>
  <c r="AY108" i="16513"/>
  <c r="AQ101" i="16513"/>
  <c r="BN108" i="16513"/>
  <c r="AV108" i="16513"/>
  <c r="BE108" i="16513"/>
  <c r="BJ101" i="16513"/>
  <c r="BJ108" i="16513"/>
  <c r="BH101" i="16513"/>
  <c r="AO108" i="16513"/>
  <c r="AR108" i="16513"/>
  <c r="BL108" i="16513"/>
  <c r="AP108" i="16513"/>
  <c r="BK108" i="16513"/>
  <c r="BI108" i="16513"/>
  <c r="AW108" i="16513"/>
  <c r="AM108" i="16513"/>
  <c r="AT101" i="16513"/>
  <c r="AO101" i="16513"/>
  <c r="AX108" i="16513"/>
  <c r="BG108" i="16513"/>
  <c r="BB108" i="16513"/>
  <c r="AQ108" i="16513"/>
  <c r="AL108" i="16513"/>
  <c r="AT108" i="16513"/>
  <c r="BC101" i="16513"/>
  <c r="AZ108" i="16513"/>
  <c r="BA101" i="16513"/>
  <c r="BH108" i="16513"/>
  <c r="AS112" i="16513"/>
  <c r="AX103" i="16513"/>
  <c r="AR103" i="16513"/>
  <c r="AS103" i="16513"/>
  <c r="AN103" i="16513"/>
  <c r="BK103" i="16513"/>
  <c r="AT103" i="16513"/>
  <c r="AO103" i="16513"/>
  <c r="BN103" i="16513"/>
  <c r="AL103" i="16513"/>
  <c r="BO101" i="16513"/>
  <c r="AM101" i="16513"/>
  <c r="AP101" i="16513"/>
  <c r="AN101" i="16513"/>
  <c r="AR101" i="16513"/>
  <c r="BL101" i="16513"/>
  <c r="BM101" i="16513"/>
  <c r="AV101" i="16513"/>
  <c r="AS101" i="16513"/>
  <c r="BK101" i="16513"/>
  <c r="AY101" i="16513"/>
  <c r="BF101" i="16513"/>
  <c r="BG101" i="16513"/>
  <c r="BI101" i="16513"/>
  <c r="AW101" i="16513"/>
  <c r="AX101" i="16513"/>
  <c r="AZ101" i="16513"/>
  <c r="BB101" i="16513"/>
  <c r="BE101" i="16513"/>
  <c r="BN101" i="16513"/>
  <c r="BD101" i="16513"/>
  <c r="BG112" i="16513"/>
  <c r="AY112" i="16513"/>
  <c r="BM112" i="16513"/>
  <c r="AL112" i="16513"/>
  <c r="BH112" i="16513"/>
  <c r="AV112" i="16513"/>
  <c r="BE112" i="16513"/>
  <c r="AX112" i="16513"/>
  <c r="BL112" i="16513"/>
  <c r="BI112" i="16513"/>
  <c r="BB112" i="16513"/>
  <c r="AR112" i="16513"/>
  <c r="AQ112" i="16513"/>
  <c r="AM112" i="16513"/>
  <c r="BK112" i="16513"/>
  <c r="AN112" i="16513"/>
  <c r="AP112" i="16513"/>
  <c r="BJ112" i="16513"/>
  <c r="BC112" i="16513"/>
  <c r="AZ112" i="16513"/>
  <c r="BN112" i="16513"/>
  <c r="BD112" i="16513"/>
  <c r="BO112" i="16513"/>
  <c r="BA112" i="16513"/>
  <c r="AW112" i="16513"/>
  <c r="AU112" i="16513"/>
  <c r="AO112" i="16513"/>
  <c r="AT112" i="16513"/>
  <c r="BE103" i="16513"/>
  <c r="AZ103" i="16513"/>
  <c r="BB103" i="16513"/>
  <c r="BL103" i="16513"/>
  <c r="BF103" i="16513"/>
  <c r="BJ103" i="16513"/>
  <c r="AQ103" i="16513"/>
  <c r="BI103" i="16513"/>
  <c r="AM103" i="16513"/>
  <c r="BA103" i="16513"/>
  <c r="BH103" i="16513"/>
  <c r="AY103" i="16513"/>
  <c r="AV103" i="16513"/>
  <c r="BM103" i="16513"/>
  <c r="BC103" i="16513"/>
  <c r="E100" i="16513"/>
  <c r="AY100" i="16513" s="1"/>
  <c r="BF9" i="16501"/>
  <c r="BM9" i="16501"/>
  <c r="AQ9" i="16501"/>
  <c r="BA9" i="16501"/>
  <c r="BR9" i="16501"/>
  <c r="BL9" i="16501"/>
  <c r="BC9" i="16501"/>
  <c r="BQ9" i="16501"/>
  <c r="AJ100" i="16513"/>
  <c r="BK9" i="16501"/>
  <c r="BS9" i="16501"/>
  <c r="BE9" i="16501"/>
  <c r="AV9" i="16501"/>
  <c r="BH9" i="16501"/>
  <c r="AU9" i="16501"/>
  <c r="BJ9" i="16501"/>
  <c r="BG9" i="16501"/>
  <c r="BO9" i="16501"/>
  <c r="BT9" i="16501"/>
  <c r="AZ9" i="16501"/>
  <c r="AR9" i="16501"/>
  <c r="AW9" i="16501"/>
  <c r="BN9" i="16501"/>
  <c r="BI9" i="16501"/>
  <c r="AT9" i="16501"/>
  <c r="AY9" i="16501"/>
  <c r="BP9" i="16501"/>
  <c r="AS9" i="16501"/>
  <c r="BB9" i="16501"/>
  <c r="AX9" i="16501"/>
  <c r="BP102" i="16513" l="1"/>
  <c r="BP109" i="16513"/>
  <c r="BP104" i="16513"/>
  <c r="BP108" i="16513"/>
  <c r="BM100" i="16513"/>
  <c r="BA100" i="16513"/>
  <c r="BI100" i="16513"/>
  <c r="BN100" i="16513"/>
  <c r="BP103" i="16513"/>
  <c r="BF100" i="16513"/>
  <c r="BP101" i="16513"/>
  <c r="BJ100" i="16513"/>
  <c r="BK100" i="16513"/>
  <c r="BD100" i="16513"/>
  <c r="BG100" i="16513"/>
  <c r="AV100" i="16513"/>
  <c r="BP112" i="16513"/>
  <c r="AW100" i="16513"/>
  <c r="AN100" i="16513"/>
  <c r="AL100" i="16513"/>
  <c r="AR100" i="16513"/>
  <c r="BH100" i="16513"/>
  <c r="AQ100" i="16513"/>
  <c r="AO100" i="16513"/>
  <c r="BO100" i="16513"/>
  <c r="AS100" i="16513"/>
  <c r="AT100" i="16513"/>
  <c r="BL100" i="16513"/>
  <c r="AP100" i="16513"/>
  <c r="BC100" i="16513"/>
  <c r="BE100" i="16513"/>
  <c r="AU100" i="16513"/>
  <c r="AX100" i="16513"/>
  <c r="BB100" i="16513"/>
  <c r="AZ100" i="16513"/>
  <c r="AM100" i="16513"/>
  <c r="BP100" i="16513" l="1"/>
  <c r="AJ143" i="16461" l="1"/>
  <c r="X143" i="16461"/>
  <c r="AN143" i="16461"/>
  <c r="N141" i="16461"/>
  <c r="AG141" i="16461"/>
  <c r="S141" i="16461"/>
  <c r="AD141" i="16461"/>
  <c r="AC141" i="16461"/>
  <c r="AE141" i="16461"/>
  <c r="AJ141" i="16461"/>
  <c r="P141" i="16461"/>
  <c r="X141" i="16461"/>
  <c r="Q141" i="16461"/>
  <c r="AP141" i="16461"/>
  <c r="Z141" i="16461"/>
  <c r="AO141" i="16461"/>
  <c r="W141" i="16461"/>
  <c r="AF141" i="16461"/>
  <c r="AN141" i="16461"/>
  <c r="AA141" i="16461"/>
  <c r="R141" i="16461"/>
  <c r="AK141" i="16461"/>
  <c r="AI141" i="16461"/>
  <c r="AL141" i="16461"/>
  <c r="V141" i="16461"/>
  <c r="Y141" i="16461"/>
  <c r="O141" i="16461"/>
  <c r="AB141" i="16461"/>
  <c r="U141" i="16461"/>
  <c r="AH141" i="16461"/>
  <c r="AM141" i="16461"/>
  <c r="T141" i="16461"/>
  <c r="AG139" i="16461" l="1"/>
  <c r="AF139" i="16461"/>
  <c r="O139" i="16461"/>
  <c r="AE143" i="16461"/>
  <c r="U143" i="16461"/>
  <c r="Z143" i="16461"/>
  <c r="AC139" i="16461"/>
  <c r="AB139" i="16461"/>
  <c r="AH139" i="16461"/>
  <c r="AG143" i="16461"/>
  <c r="S143" i="16461"/>
  <c r="AL143" i="16461"/>
  <c r="AP139" i="16461"/>
  <c r="Y139" i="16461"/>
  <c r="X139" i="16461"/>
  <c r="AO139" i="16461"/>
  <c r="AA143" i="16461"/>
  <c r="Q143" i="16461"/>
  <c r="AB143" i="16461"/>
  <c r="AD139" i="16461"/>
  <c r="U139" i="16461"/>
  <c r="T139" i="16461"/>
  <c r="V143" i="16461"/>
  <c r="M143" i="16461"/>
  <c r="N143" i="16461"/>
  <c r="AF143" i="16461"/>
  <c r="AH143" i="16461"/>
  <c r="S139" i="16461"/>
  <c r="Z139" i="16461"/>
  <c r="Q139" i="16461"/>
  <c r="P139" i="16461"/>
  <c r="AD143" i="16461"/>
  <c r="AM143" i="16461"/>
  <c r="AC143" i="16461"/>
  <c r="AL139" i="16461"/>
  <c r="V139" i="16461"/>
  <c r="N139" i="16461"/>
  <c r="AM139" i="16461"/>
  <c r="T143" i="16461"/>
  <c r="AO143" i="16461"/>
  <c r="W143" i="16461"/>
  <c r="AI143" i="16461"/>
  <c r="R139" i="16461"/>
  <c r="AE139" i="16461"/>
  <c r="AP143" i="16461"/>
  <c r="R143" i="16461"/>
  <c r="AI139" i="16461"/>
  <c r="AN139" i="16461"/>
  <c r="W139" i="16461"/>
  <c r="AK139" i="16461"/>
  <c r="AJ139" i="16461"/>
  <c r="AA139" i="16461"/>
  <c r="AK143" i="16461"/>
  <c r="P143" i="16461"/>
  <c r="Y143" i="16461"/>
  <c r="O143" i="16461"/>
  <c r="M141" i="16461"/>
  <c r="L141" i="16461" s="1"/>
  <c r="L143" i="16461" l="1"/>
  <c r="M139" i="16461"/>
  <c r="L139" i="16461" l="1"/>
  <c r="AA142" i="16461" l="1"/>
  <c r="W124" i="16460"/>
  <c r="W185" i="16460" s="1"/>
  <c r="W254" i="16460"/>
  <c r="W260" i="16460" s="1"/>
  <c r="Q142" i="16461"/>
  <c r="M254" i="16460"/>
  <c r="M260" i="16460" s="1"/>
  <c r="M124" i="16460"/>
  <c r="M185" i="16460" s="1"/>
  <c r="AI142" i="16461"/>
  <c r="AE254" i="16460"/>
  <c r="AE260" i="16460" s="1"/>
  <c r="AE124" i="16460"/>
  <c r="AE185" i="16460" s="1"/>
  <c r="AG50" i="16502" s="1"/>
  <c r="V142" i="16461"/>
  <c r="R254" i="16460"/>
  <c r="R260" i="16460" s="1"/>
  <c r="R124" i="16460"/>
  <c r="R185" i="16460" s="1"/>
  <c r="AN142" i="16461"/>
  <c r="AJ124" i="16460"/>
  <c r="AJ185" i="16460" s="1"/>
  <c r="AL50" i="16502" s="1"/>
  <c r="AJ254" i="16460"/>
  <c r="AJ260" i="16460" s="1"/>
  <c r="AF142" i="16461"/>
  <c r="AB254" i="16460"/>
  <c r="AB260" i="16460" s="1"/>
  <c r="AB124" i="16460"/>
  <c r="AB185" i="16460" s="1"/>
  <c r="AO142" i="16461"/>
  <c r="AK124" i="16460"/>
  <c r="AK185" i="16460" s="1"/>
  <c r="AM50" i="16502" s="1"/>
  <c r="AK254" i="16460"/>
  <c r="AK260" i="16460" s="1"/>
  <c r="R142" i="16461"/>
  <c r="N254" i="16460"/>
  <c r="N260" i="16460" s="1"/>
  <c r="N124" i="16460"/>
  <c r="N185" i="16460" s="1"/>
  <c r="AG142" i="16461"/>
  <c r="AC254" i="16460"/>
  <c r="AC260" i="16460" s="1"/>
  <c r="AC124" i="16460"/>
  <c r="AC185" i="16460" s="1"/>
  <c r="S142" i="16461"/>
  <c r="O254" i="16460"/>
  <c r="O260" i="16460" s="1"/>
  <c r="O124" i="16460"/>
  <c r="O185" i="16460" s="1"/>
  <c r="Y142" i="16461"/>
  <c r="U124" i="16460"/>
  <c r="U185" i="16460" s="1"/>
  <c r="U254" i="16460"/>
  <c r="U260" i="16460" s="1"/>
  <c r="T142" i="16461"/>
  <c r="P124" i="16460"/>
  <c r="P185" i="16460" s="1"/>
  <c r="P254" i="16460"/>
  <c r="P260" i="16460" s="1"/>
  <c r="AL142" i="16461"/>
  <c r="AH254" i="16460"/>
  <c r="AH260" i="16460" s="1"/>
  <c r="AH124" i="16460"/>
  <c r="AH185" i="16460" s="1"/>
  <c r="AJ50" i="16502" s="1"/>
  <c r="Z142" i="16461"/>
  <c r="V124" i="16460"/>
  <c r="V185" i="16460" s="1"/>
  <c r="V254" i="16460"/>
  <c r="V260" i="16460" s="1"/>
  <c r="X142" i="16461"/>
  <c r="T124" i="16460"/>
  <c r="T185" i="16460" s="1"/>
  <c r="T254" i="16460"/>
  <c r="T260" i="16460" s="1"/>
  <c r="AK142" i="16461"/>
  <c r="AG254" i="16460"/>
  <c r="AG260" i="16460" s="1"/>
  <c r="AG124" i="16460"/>
  <c r="AG185" i="16460" s="1"/>
  <c r="AI50" i="16502" s="1"/>
  <c r="U142" i="16461"/>
  <c r="Q254" i="16460"/>
  <c r="Q260" i="16460" s="1"/>
  <c r="Q124" i="16460"/>
  <c r="Q185" i="16460" s="1"/>
  <c r="AM142" i="16461"/>
  <c r="AI254" i="16460"/>
  <c r="AI260" i="16460" s="1"/>
  <c r="AI124" i="16460"/>
  <c r="AI185" i="16460" s="1"/>
  <c r="AK50" i="16502" s="1"/>
  <c r="AE142" i="16461"/>
  <c r="AA124" i="16460"/>
  <c r="AA185" i="16460" s="1"/>
  <c r="AA254" i="16460"/>
  <c r="AA260" i="16460" s="1"/>
  <c r="AP142" i="16461"/>
  <c r="AL254" i="16460"/>
  <c r="AL260" i="16460" s="1"/>
  <c r="G6" i="16534"/>
  <c r="G9" i="16534" s="1"/>
  <c r="AL124" i="16460"/>
  <c r="AL185" i="16460" s="1"/>
  <c r="AN50" i="16502" s="1"/>
  <c r="AD142" i="16461"/>
  <c r="Z254" i="16460"/>
  <c r="Z260" i="16460" s="1"/>
  <c r="Z124" i="16460"/>
  <c r="Z185" i="16460" s="1"/>
  <c r="AB142" i="16461"/>
  <c r="X124" i="16460"/>
  <c r="X185" i="16460" s="1"/>
  <c r="X254" i="16460"/>
  <c r="X260" i="16460" s="1"/>
  <c r="AH142" i="16461"/>
  <c r="AD254" i="16460"/>
  <c r="AD260" i="16460" s="1"/>
  <c r="AD124" i="16460"/>
  <c r="AD185" i="16460" s="1"/>
  <c r="AJ142" i="16461"/>
  <c r="AF124" i="16460"/>
  <c r="AF185" i="16460" s="1"/>
  <c r="AH50" i="16502" s="1"/>
  <c r="AF254" i="16460"/>
  <c r="AF260" i="16460" s="1"/>
  <c r="P142" i="16461"/>
  <c r="L254" i="16460"/>
  <c r="L260" i="16460" s="1"/>
  <c r="L124" i="16460"/>
  <c r="L185" i="16460" s="1"/>
  <c r="O142" i="16461"/>
  <c r="K124" i="16460"/>
  <c r="K185" i="16460" s="1"/>
  <c r="K254" i="16460"/>
  <c r="K260" i="16460" s="1"/>
  <c r="AC142" i="16461"/>
  <c r="Y254" i="16460"/>
  <c r="Y260" i="16460" s="1"/>
  <c r="Y124" i="16460"/>
  <c r="Y185" i="16460" s="1"/>
  <c r="W142" i="16461"/>
  <c r="S254" i="16460"/>
  <c r="S260" i="16460" s="1"/>
  <c r="S124" i="16460"/>
  <c r="S185" i="16460" s="1"/>
  <c r="N142" i="16461"/>
  <c r="J124" i="16460"/>
  <c r="J185" i="16460" s="1"/>
  <c r="J254" i="16460"/>
  <c r="J260" i="16460" s="1"/>
  <c r="Z261" i="16460" l="1"/>
  <c r="AB50" i="16502"/>
  <c r="P50" i="16502"/>
  <c r="N261" i="16460"/>
  <c r="AF214" i="16461"/>
  <c r="AF191" i="16461"/>
  <c r="AF185" i="16461"/>
  <c r="AF186" i="16461" s="1"/>
  <c r="AD52" i="16502" s="1"/>
  <c r="M142" i="16461"/>
  <c r="I124" i="16460"/>
  <c r="I185" i="16460" s="1"/>
  <c r="I254" i="16460"/>
  <c r="J261" i="16460"/>
  <c r="L50" i="16502"/>
  <c r="AJ214" i="16461"/>
  <c r="AJ191" i="16461"/>
  <c r="AJ185" i="16461"/>
  <c r="AJ186" i="16461" s="1"/>
  <c r="AH52" i="16502" s="1"/>
  <c r="AE214" i="16461"/>
  <c r="AE191" i="16461"/>
  <c r="AE185" i="16461"/>
  <c r="AE186" i="16461" s="1"/>
  <c r="AC52" i="16502" s="1"/>
  <c r="Y125" i="16461"/>
  <c r="Y185" i="16461" s="1"/>
  <c r="Y186" i="16461" s="1"/>
  <c r="W52" i="16502" s="1"/>
  <c r="Y191" i="16461"/>
  <c r="Y214" i="16461"/>
  <c r="AI214" i="16461"/>
  <c r="AI191" i="16461"/>
  <c r="AI185" i="16461"/>
  <c r="AI186" i="16461" s="1"/>
  <c r="AG52" i="16502" s="1"/>
  <c r="K261" i="16460"/>
  <c r="M50" i="16502"/>
  <c r="AK214" i="16461"/>
  <c r="AK185" i="16461"/>
  <c r="AK186" i="16461" s="1"/>
  <c r="AI52" i="16502" s="1"/>
  <c r="O261" i="16460"/>
  <c r="Q50" i="16502"/>
  <c r="R214" i="16461"/>
  <c r="R125" i="16461"/>
  <c r="R185" i="16461" s="1"/>
  <c r="R186" i="16461" s="1"/>
  <c r="P52" i="16502" s="1"/>
  <c r="R191" i="16461"/>
  <c r="M261" i="16460"/>
  <c r="O50" i="16502"/>
  <c r="AF50" i="16502"/>
  <c r="AD261" i="16460"/>
  <c r="AD214" i="16461"/>
  <c r="AD191" i="16461"/>
  <c r="AD185" i="16461"/>
  <c r="AD186" i="16461" s="1"/>
  <c r="AB52" i="16502" s="1"/>
  <c r="U50" i="16502"/>
  <c r="S261" i="16460"/>
  <c r="O125" i="16461"/>
  <c r="O185" i="16461" s="1"/>
  <c r="O186" i="16461" s="1"/>
  <c r="M52" i="16502" s="1"/>
  <c r="O191" i="16461"/>
  <c r="O214" i="16461"/>
  <c r="AL214" i="16461"/>
  <c r="AL185" i="16461"/>
  <c r="AL186" i="16461" s="1"/>
  <c r="AJ52" i="16502" s="1"/>
  <c r="AN214" i="16461"/>
  <c r="AN185" i="16461"/>
  <c r="AN186" i="16461" s="1"/>
  <c r="AL52" i="16502" s="1"/>
  <c r="AC214" i="16461"/>
  <c r="AC191" i="16461"/>
  <c r="AC185" i="16461"/>
  <c r="AC186" i="16461" s="1"/>
  <c r="AA52" i="16502" s="1"/>
  <c r="N50" i="16502"/>
  <c r="L261" i="16460"/>
  <c r="AH191" i="16461"/>
  <c r="AH214" i="16461"/>
  <c r="AH185" i="16461"/>
  <c r="AH186" i="16461" s="1"/>
  <c r="AF52" i="16502" s="1"/>
  <c r="AM214" i="16461"/>
  <c r="AM185" i="16461"/>
  <c r="AM186" i="16461" s="1"/>
  <c r="AK52" i="16502" s="1"/>
  <c r="V50" i="16502"/>
  <c r="T261" i="16460"/>
  <c r="S214" i="16461"/>
  <c r="S191" i="16461"/>
  <c r="S125" i="16461"/>
  <c r="S185" i="16461" s="1"/>
  <c r="S186" i="16461" s="1"/>
  <c r="Q52" i="16502" s="1"/>
  <c r="T50" i="16502"/>
  <c r="R261" i="16460"/>
  <c r="Q191" i="16461"/>
  <c r="Q125" i="16461"/>
  <c r="Q185" i="16461" s="1"/>
  <c r="Q186" i="16461" s="1"/>
  <c r="O52" i="16502" s="1"/>
  <c r="Q214" i="16461"/>
  <c r="W50" i="16502"/>
  <c r="U261" i="16460"/>
  <c r="N214" i="16461"/>
  <c r="N125" i="16461"/>
  <c r="N185" i="16461" s="1"/>
  <c r="N186" i="16461" s="1"/>
  <c r="L52" i="16502" s="1"/>
  <c r="N191" i="16461"/>
  <c r="W191" i="16461"/>
  <c r="W214" i="16461"/>
  <c r="W125" i="16461"/>
  <c r="W185" i="16461" s="1"/>
  <c r="W186" i="16461" s="1"/>
  <c r="U52" i="16502" s="1"/>
  <c r="S50" i="16502"/>
  <c r="Q261" i="16460"/>
  <c r="X125" i="16461"/>
  <c r="X185" i="16461" s="1"/>
  <c r="X186" i="16461" s="1"/>
  <c r="V52" i="16502" s="1"/>
  <c r="X191" i="16461"/>
  <c r="X214" i="16461"/>
  <c r="P261" i="16460"/>
  <c r="R50" i="16502"/>
  <c r="AE50" i="16502"/>
  <c r="AC261" i="16460"/>
  <c r="AO214" i="16461"/>
  <c r="AO185" i="16461"/>
  <c r="AO186" i="16461" s="1"/>
  <c r="AM52" i="16502" s="1"/>
  <c r="Z191" i="16461"/>
  <c r="Z214" i="16461"/>
  <c r="Z185" i="16461"/>
  <c r="Z186" i="16461" s="1"/>
  <c r="X52" i="16502" s="1"/>
  <c r="X261" i="16460"/>
  <c r="Z50" i="16502"/>
  <c r="AP185" i="16461"/>
  <c r="AP186" i="16461" s="1"/>
  <c r="AN52" i="16502" s="1"/>
  <c r="AP191" i="16461"/>
  <c r="AP214" i="16461"/>
  <c r="T125" i="16461"/>
  <c r="T185" i="16461" s="1"/>
  <c r="T186" i="16461" s="1"/>
  <c r="R52" i="16502" s="1"/>
  <c r="T214" i="16461"/>
  <c r="T191" i="16461"/>
  <c r="AD50" i="16502"/>
  <c r="AB261" i="16460"/>
  <c r="V125" i="16461"/>
  <c r="V185" i="16461" s="1"/>
  <c r="V186" i="16461" s="1"/>
  <c r="T52" i="16502" s="1"/>
  <c r="V191" i="16461"/>
  <c r="V214" i="16461"/>
  <c r="W261" i="16460"/>
  <c r="Y50" i="16502"/>
  <c r="AA261" i="16460"/>
  <c r="AC50" i="16502"/>
  <c r="AA50" i="16502"/>
  <c r="Y261" i="16460"/>
  <c r="P125" i="16461"/>
  <c r="P185" i="16461" s="1"/>
  <c r="P186" i="16461" s="1"/>
  <c r="N52" i="16502" s="1"/>
  <c r="P191" i="16461"/>
  <c r="P214" i="16461"/>
  <c r="AB214" i="16461"/>
  <c r="AB191" i="16461"/>
  <c r="AB185" i="16461"/>
  <c r="AB186" i="16461" s="1"/>
  <c r="Z52" i="16502" s="1"/>
  <c r="U191" i="16461"/>
  <c r="U125" i="16461"/>
  <c r="U185" i="16461" s="1"/>
  <c r="U186" i="16461" s="1"/>
  <c r="S52" i="16502" s="1"/>
  <c r="U214" i="16461"/>
  <c r="V261" i="16460"/>
  <c r="X50" i="16502"/>
  <c r="AG191" i="16461"/>
  <c r="AG214" i="16461"/>
  <c r="AG185" i="16461"/>
  <c r="AG186" i="16461" s="1"/>
  <c r="AE52" i="16502" s="1"/>
  <c r="AA214" i="16461"/>
  <c r="AA191" i="16461"/>
  <c r="AA185" i="16461"/>
  <c r="AA186" i="16461" s="1"/>
  <c r="Y52" i="16502" s="1"/>
  <c r="AJ40" i="16501" l="1"/>
  <c r="H40" i="16501"/>
  <c r="O40" i="16501"/>
  <c r="AI40" i="16501"/>
  <c r="L40" i="16501"/>
  <c r="M40" i="16501"/>
  <c r="AF40" i="16501"/>
  <c r="X40" i="16501"/>
  <c r="AC40" i="16501"/>
  <c r="U40" i="16501"/>
  <c r="K40" i="16501"/>
  <c r="I40" i="16501"/>
  <c r="S40" i="16501"/>
  <c r="AD40" i="16501"/>
  <c r="Z40" i="16501"/>
  <c r="Q40" i="16501"/>
  <c r="P40" i="16501"/>
  <c r="Y40" i="16501"/>
  <c r="L142" i="16461"/>
  <c r="M125" i="16461"/>
  <c r="M185" i="16461" s="1"/>
  <c r="M186" i="16461" s="1"/>
  <c r="K52" i="16502" s="1"/>
  <c r="M191" i="16461"/>
  <c r="M214" i="16461"/>
  <c r="AA40" i="16501"/>
  <c r="AE40" i="16501"/>
  <c r="AB40" i="16501"/>
  <c r="V40" i="16501"/>
  <c r="N40" i="16501"/>
  <c r="T40" i="16501"/>
  <c r="R40" i="16501"/>
  <c r="AG40" i="16501"/>
  <c r="W40" i="16501"/>
  <c r="H254" i="16460"/>
  <c r="H260" i="16460" s="1"/>
  <c r="I260" i="16460"/>
  <c r="I261" i="16460" s="1"/>
  <c r="AH40" i="16501"/>
  <c r="J40" i="16501"/>
  <c r="K50" i="16502"/>
  <c r="J50" i="16502" s="1"/>
  <c r="I50" i="16502" s="1"/>
  <c r="H50" i="16502" s="1"/>
  <c r="I56" i="16502"/>
  <c r="J52" i="16502" l="1"/>
  <c r="AD19" i="16501"/>
  <c r="X19" i="16501"/>
  <c r="AH19" i="16501"/>
  <c r="L214" i="16461"/>
  <c r="L125" i="16461"/>
  <c r="L185" i="16461" s="1"/>
  <c r="O19" i="16501"/>
  <c r="S19" i="16501"/>
  <c r="AF19" i="16501"/>
  <c r="AI19" i="16501"/>
  <c r="U19" i="16501"/>
  <c r="R19" i="16501"/>
  <c r="Y19" i="16501"/>
  <c r="Q19" i="16501"/>
  <c r="J19" i="16501"/>
  <c r="F41" i="16502"/>
  <c r="H41" i="16502" s="1"/>
  <c r="I41" i="16502" s="1"/>
  <c r="F30" i="16502"/>
  <c r="H30" i="16502" s="1"/>
  <c r="I30" i="16502" s="1"/>
  <c r="F28" i="16502"/>
  <c r="H28" i="16502" s="1"/>
  <c r="V19" i="16501"/>
  <c r="AB19" i="16501"/>
  <c r="I19" i="16501"/>
  <c r="M19" i="16501"/>
  <c r="L19" i="16501"/>
  <c r="H19" i="16501"/>
  <c r="W19" i="16501"/>
  <c r="AE19" i="16501"/>
  <c r="AG19" i="16501"/>
  <c r="T19" i="16501"/>
  <c r="AA19" i="16501"/>
  <c r="N19" i="16501"/>
  <c r="G40" i="16501"/>
  <c r="P19" i="16501"/>
  <c r="Z19" i="16501"/>
  <c r="K19" i="16501"/>
  <c r="AC19" i="16501"/>
  <c r="AJ19" i="16501"/>
  <c r="AH110" i="16513" l="1"/>
  <c r="N110" i="16513"/>
  <c r="L110" i="16513"/>
  <c r="W110" i="16513"/>
  <c r="V110" i="16513"/>
  <c r="AI110" i="16513"/>
  <c r="Q110" i="16513"/>
  <c r="AC110" i="16513"/>
  <c r="J110" i="16513"/>
  <c r="S110" i="16513"/>
  <c r="AA110" i="16513"/>
  <c r="M110" i="16513"/>
  <c r="AE110" i="16513"/>
  <c r="G110" i="16513"/>
  <c r="Z110" i="16513"/>
  <c r="I28" i="16502"/>
  <c r="T110" i="16513"/>
  <c r="I110" i="16513"/>
  <c r="Y110" i="16513"/>
  <c r="P110" i="16513"/>
  <c r="AB110" i="16513"/>
  <c r="O110" i="16513"/>
  <c r="K110" i="16513"/>
  <c r="H110" i="16513"/>
  <c r="L30" i="16502"/>
  <c r="N30" i="16502" s="1"/>
  <c r="P30" i="16502" s="1"/>
  <c r="R30" i="16502" s="1"/>
  <c r="T30" i="16502" s="1"/>
  <c r="V30" i="16502" s="1"/>
  <c r="X30" i="16502" s="1"/>
  <c r="Z30" i="16502" s="1"/>
  <c r="AB30" i="16502" s="1"/>
  <c r="AD30" i="16502" s="1"/>
  <c r="AF30" i="16502" s="1"/>
  <c r="AH30" i="16502" s="1"/>
  <c r="AJ30" i="16502" s="1"/>
  <c r="AL30" i="16502" s="1"/>
  <c r="AN30" i="16502" s="1"/>
  <c r="K30" i="16502"/>
  <c r="R110" i="16513"/>
  <c r="G19" i="16501"/>
  <c r="F40" i="16501"/>
  <c r="AF110" i="16513"/>
  <c r="U110" i="16513"/>
  <c r="AD110" i="16513"/>
  <c r="L41" i="16502"/>
  <c r="N41" i="16502" s="1"/>
  <c r="P41" i="16502" s="1"/>
  <c r="R41" i="16502" s="1"/>
  <c r="T41" i="16502" s="1"/>
  <c r="V41" i="16502" s="1"/>
  <c r="X41" i="16502" s="1"/>
  <c r="Z41" i="16502" s="1"/>
  <c r="AB41" i="16502" s="1"/>
  <c r="AD41" i="16502" s="1"/>
  <c r="AF41" i="16502" s="1"/>
  <c r="AH41" i="16502" s="1"/>
  <c r="AJ41" i="16502" s="1"/>
  <c r="AL41" i="16502" s="1"/>
  <c r="AN41" i="16502" s="1"/>
  <c r="K41" i="16502"/>
  <c r="X110" i="16513"/>
  <c r="AG110" i="16513"/>
  <c r="M41" i="16502" l="1"/>
  <c r="O41" i="16502" s="1"/>
  <c r="Q41" i="16502" s="1"/>
  <c r="S41" i="16502" s="1"/>
  <c r="U41" i="16502" s="1"/>
  <c r="W41" i="16502" s="1"/>
  <c r="Y41" i="16502" s="1"/>
  <c r="AA41" i="16502" s="1"/>
  <c r="AC41" i="16502" s="1"/>
  <c r="AE41" i="16502" s="1"/>
  <c r="AG41" i="16502" s="1"/>
  <c r="AI41" i="16502" s="1"/>
  <c r="AK41" i="16502" s="1"/>
  <c r="AM41" i="16502" s="1"/>
  <c r="F19" i="16501"/>
  <c r="AQ19" i="16501" s="1"/>
  <c r="L28" i="16502"/>
  <c r="K28" i="16502"/>
  <c r="M30" i="16502"/>
  <c r="O30" i="16502" s="1"/>
  <c r="Q30" i="16502" s="1"/>
  <c r="S30" i="16502" s="1"/>
  <c r="U30" i="16502" s="1"/>
  <c r="W30" i="16502" s="1"/>
  <c r="Y30" i="16502" s="1"/>
  <c r="AA30" i="16502" s="1"/>
  <c r="AC30" i="16502" s="1"/>
  <c r="AE30" i="16502" s="1"/>
  <c r="AG30" i="16502" s="1"/>
  <c r="AI30" i="16502" s="1"/>
  <c r="AK30" i="16502" s="1"/>
  <c r="AM30" i="16502" s="1"/>
  <c r="B18" i="16507"/>
  <c r="F110" i="16513"/>
  <c r="J30" i="16502" l="1"/>
  <c r="N28" i="16502"/>
  <c r="AJ110" i="16513"/>
  <c r="E110" i="16513"/>
  <c r="AY19" i="16501"/>
  <c r="BK19" i="16501"/>
  <c r="BE19" i="16501"/>
  <c r="AR19" i="16501"/>
  <c r="AT19" i="16501"/>
  <c r="BF19" i="16501"/>
  <c r="AW19" i="16501"/>
  <c r="AZ19" i="16501"/>
  <c r="BB19" i="16501"/>
  <c r="BG19" i="16501"/>
  <c r="BS19" i="16501"/>
  <c r="BH19" i="16501"/>
  <c r="BP19" i="16501"/>
  <c r="BM19" i="16501"/>
  <c r="AS19" i="16501"/>
  <c r="BQ19" i="16501"/>
  <c r="AU19" i="16501"/>
  <c r="BA19" i="16501"/>
  <c r="BJ19" i="16501"/>
  <c r="BN19" i="16501"/>
  <c r="BT19" i="16501"/>
  <c r="BO19" i="16501"/>
  <c r="BC19" i="16501"/>
  <c r="AX19" i="16501"/>
  <c r="BR19" i="16501"/>
  <c r="BL19" i="16501"/>
  <c r="AV19" i="16501"/>
  <c r="BD19" i="16501"/>
  <c r="BI19" i="16501"/>
  <c r="J41" i="16502"/>
  <c r="M28" i="16502"/>
  <c r="BI110" i="16513" l="1"/>
  <c r="BM110" i="16513"/>
  <c r="AX110" i="16513"/>
  <c r="BD110" i="16513"/>
  <c r="AU110" i="16513"/>
  <c r="AS110" i="16513"/>
  <c r="BN110" i="16513"/>
  <c r="AZ110" i="16513"/>
  <c r="AR110" i="16513"/>
  <c r="AV110" i="16513"/>
  <c r="BB110" i="16513"/>
  <c r="AY110" i="16513"/>
  <c r="BH110" i="16513"/>
  <c r="BO110" i="16513"/>
  <c r="AT110" i="16513"/>
  <c r="BL110" i="16513"/>
  <c r="AM110" i="16513"/>
  <c r="AQ110" i="16513"/>
  <c r="BA110" i="16513"/>
  <c r="AP110" i="16513"/>
  <c r="BE110" i="16513"/>
  <c r="AO110" i="16513"/>
  <c r="BG110" i="16513"/>
  <c r="BJ110" i="16513"/>
  <c r="BC110" i="16513"/>
  <c r="BF110" i="16513"/>
  <c r="BK110" i="16513"/>
  <c r="AN110" i="16513"/>
  <c r="AW110" i="16513"/>
  <c r="O28" i="16502"/>
  <c r="AL110" i="16513"/>
  <c r="P28" i="16502"/>
  <c r="Q28" i="16502" l="1"/>
  <c r="BP110" i="16513"/>
  <c r="R28" i="16502"/>
  <c r="S28" i="16502" l="1"/>
  <c r="T28" i="16502"/>
  <c r="U28" i="16502" l="1"/>
  <c r="V28" i="16502"/>
  <c r="W28" i="16502" l="1"/>
  <c r="X28" i="16502"/>
  <c r="Z28" i="16502" l="1"/>
  <c r="Y28" i="16502"/>
  <c r="AA28" i="16502" l="1"/>
  <c r="AB28" i="16502"/>
  <c r="AD28" i="16502" l="1"/>
  <c r="AC28" i="16502"/>
  <c r="AE28" i="16502" l="1"/>
  <c r="AF28" i="16502"/>
  <c r="AH28" i="16502" l="1"/>
  <c r="AG28" i="16502"/>
  <c r="AJ28" i="16502" l="1"/>
  <c r="AI28" i="16502"/>
  <c r="AK28" i="16502" l="1"/>
  <c r="AL28" i="16502"/>
  <c r="AN28" i="16502" l="1"/>
  <c r="AM28" i="16502"/>
  <c r="J28" i="16502" l="1"/>
  <c r="M12" i="16516" l="1"/>
  <c r="O12" i="16516" s="1"/>
  <c r="O9" i="16516" s="1"/>
  <c r="F5" i="16514" s="1"/>
  <c r="F75" i="16513" s="1"/>
  <c r="I28" i="16516"/>
  <c r="R10" i="16516"/>
  <c r="Z10" i="16516"/>
  <c r="M32" i="16504"/>
  <c r="N22" i="16504"/>
  <c r="O23" i="16504"/>
  <c r="O22" i="16504"/>
  <c r="O30" i="16504"/>
  <c r="O31" i="16504"/>
  <c r="O32" i="16504"/>
  <c r="O35" i="16504"/>
  <c r="O37" i="16504"/>
  <c r="H93" i="16513" s="1"/>
  <c r="O39" i="16504"/>
  <c r="H92" i="16513" s="1"/>
  <c r="O43" i="16504"/>
  <c r="H90" i="16513" s="1"/>
  <c r="O45" i="16504"/>
  <c r="H95" i="16513" s="1"/>
  <c r="O47" i="16504"/>
  <c r="H96" i="16513" s="1"/>
  <c r="O51" i="16504"/>
  <c r="H97" i="16513" s="1"/>
  <c r="O25" i="16504" l="1"/>
  <c r="O24" i="16504"/>
  <c r="N37" i="16504"/>
  <c r="G93" i="16513" s="1"/>
  <c r="N30" i="16504"/>
  <c r="G96" i="16513"/>
  <c r="N45" i="16504"/>
  <c r="G95" i="16513" s="1"/>
  <c r="N25" i="16504"/>
  <c r="N43" i="16504"/>
  <c r="G90" i="16513" s="1"/>
  <c r="N32" i="16504"/>
  <c r="N24" i="16504"/>
  <c r="N23" i="16504"/>
  <c r="N35" i="16504"/>
  <c r="G94" i="16513" s="1"/>
  <c r="N51" i="16504"/>
  <c r="G97" i="16513" s="1"/>
  <c r="N39" i="16504"/>
  <c r="G92" i="16513" s="1"/>
  <c r="N31" i="16504"/>
  <c r="M51" i="16504"/>
  <c r="F97" i="16513" s="1"/>
  <c r="I65" i="16516"/>
  <c r="M65" i="16516" s="1"/>
  <c r="O65" i="16516" s="1"/>
  <c r="O61" i="16516" s="1"/>
  <c r="I32" i="16516"/>
  <c r="M32" i="16516" s="1"/>
  <c r="O32" i="16516" s="1"/>
  <c r="O33" i="16504"/>
  <c r="H88" i="16513" s="1"/>
  <c r="I31" i="16516"/>
  <c r="M31" i="16516" s="1"/>
  <c r="O31" i="16516" s="1"/>
  <c r="Z65" i="16516"/>
  <c r="AD65" i="16516" s="1"/>
  <c r="AF65" i="16516" s="1"/>
  <c r="AF61" i="16516" s="1"/>
  <c r="H10" i="16514" s="1"/>
  <c r="H80" i="16513" s="1"/>
  <c r="M29" i="16516"/>
  <c r="O29" i="16516" s="1"/>
  <c r="AP65" i="16516"/>
  <c r="AT65" i="16516" s="1"/>
  <c r="AV65" i="16516" s="1"/>
  <c r="AV61" i="16516" s="1"/>
  <c r="J10" i="16514" s="1"/>
  <c r="J80" i="16513" s="1"/>
  <c r="AH30" i="16516"/>
  <c r="AL30" i="16516" s="1"/>
  <c r="AN30" i="16516" s="1"/>
  <c r="AH65" i="16516"/>
  <c r="AL65" i="16516" s="1"/>
  <c r="AN65" i="16516" s="1"/>
  <c r="AN61" i="16516" s="1"/>
  <c r="I10" i="16514" s="1"/>
  <c r="I80" i="16513" s="1"/>
  <c r="I30" i="16516"/>
  <c r="M30" i="16516" s="1"/>
  <c r="O30" i="16516" s="1"/>
  <c r="AD29" i="16516"/>
  <c r="AF29" i="16516" s="1"/>
  <c r="O27" i="16504"/>
  <c r="H87" i="16513" s="1"/>
  <c r="AH32" i="16516"/>
  <c r="AL32" i="16516" s="1"/>
  <c r="AN32" i="16516" s="1"/>
  <c r="AH31" i="16516"/>
  <c r="AL31" i="16516" s="1"/>
  <c r="AN31" i="16516" s="1"/>
  <c r="Z30" i="16516"/>
  <c r="AD30" i="16516" s="1"/>
  <c r="AF30" i="16516" s="1"/>
  <c r="Z31" i="16516"/>
  <c r="AD31" i="16516" s="1"/>
  <c r="AF31" i="16516" s="1"/>
  <c r="Z32" i="16516"/>
  <c r="AD32" i="16516" s="1"/>
  <c r="AF32" i="16516" s="1"/>
  <c r="R31" i="16516"/>
  <c r="V31" i="16516" s="1"/>
  <c r="X31" i="16516" s="1"/>
  <c r="R30" i="16516"/>
  <c r="V30" i="16516" s="1"/>
  <c r="X30" i="16516" s="1"/>
  <c r="R65" i="16516"/>
  <c r="V65" i="16516" s="1"/>
  <c r="X65" i="16516" s="1"/>
  <c r="X61" i="16516" s="1"/>
  <c r="G10" i="16514" s="1"/>
  <c r="G80" i="16513" s="1"/>
  <c r="R32" i="16516"/>
  <c r="V32" i="16516" s="1"/>
  <c r="X32" i="16516" s="1"/>
  <c r="M31" i="16504"/>
  <c r="M47" i="16504"/>
  <c r="M30" i="16504"/>
  <c r="M45" i="16504"/>
  <c r="M43" i="16504"/>
  <c r="M25" i="16504"/>
  <c r="M39" i="16504"/>
  <c r="M24" i="16504"/>
  <c r="M37" i="16504"/>
  <c r="M23" i="16504"/>
  <c r="M35" i="16504"/>
  <c r="M22" i="16504"/>
  <c r="H94" i="16513"/>
  <c r="AD10" i="16516"/>
  <c r="AF10" i="16516" s="1"/>
  <c r="Z11" i="16516"/>
  <c r="V29" i="16516"/>
  <c r="X29" i="16516" s="1"/>
  <c r="V10" i="16516"/>
  <c r="X10" i="16516" s="1"/>
  <c r="R11" i="16516"/>
  <c r="Z28" i="16516"/>
  <c r="BW28" i="16516" s="1"/>
  <c r="DC28" i="16516" s="1"/>
  <c r="N27" i="16504" l="1"/>
  <c r="G87" i="16513" s="1"/>
  <c r="O53" i="16504"/>
  <c r="O55" i="16504" s="1"/>
  <c r="O215" i="16461" s="1"/>
  <c r="I42" i="16501" s="1"/>
  <c r="H86" i="16513"/>
  <c r="N33" i="16504"/>
  <c r="G88" i="16513" s="1"/>
  <c r="G86" i="16513" s="1"/>
  <c r="F6" i="16514"/>
  <c r="H6" i="16514"/>
  <c r="H76" i="16513" s="1"/>
  <c r="G6" i="16514"/>
  <c r="G76" i="16513" s="1"/>
  <c r="F92" i="16513"/>
  <c r="F10" i="16514"/>
  <c r="AD11" i="16516"/>
  <c r="AF11" i="16516" s="1"/>
  <c r="Z12" i="16516"/>
  <c r="F90" i="16513"/>
  <c r="M27" i="16504"/>
  <c r="F95" i="16513"/>
  <c r="EI28" i="16516"/>
  <c r="GM28" i="16516" s="1"/>
  <c r="FG28" i="16516"/>
  <c r="HS28" i="16516" s="1"/>
  <c r="F94" i="16513"/>
  <c r="M33" i="16504"/>
  <c r="R12" i="16516"/>
  <c r="V11" i="16516"/>
  <c r="X11" i="16516" s="1"/>
  <c r="F96" i="16513"/>
  <c r="F93" i="16513"/>
  <c r="Q11" i="16516" l="1"/>
  <c r="N53" i="16504"/>
  <c r="N55" i="16504" s="1"/>
  <c r="N215" i="16461" s="1"/>
  <c r="H42" i="16501" s="1"/>
  <c r="H20" i="16501" s="1"/>
  <c r="V12" i="16516"/>
  <c r="X12" i="16516" s="1"/>
  <c r="R13" i="16516"/>
  <c r="P23" i="16504"/>
  <c r="P35" i="16504"/>
  <c r="P22" i="16504"/>
  <c r="P32" i="16504"/>
  <c r="P51" i="16504"/>
  <c r="P31" i="16504"/>
  <c r="P47" i="16504"/>
  <c r="P30" i="16504"/>
  <c r="P45" i="16504"/>
  <c r="P43" i="16504"/>
  <c r="P25" i="16504"/>
  <c r="P39" i="16504"/>
  <c r="P37" i="16504"/>
  <c r="P24" i="16504"/>
  <c r="F87" i="16513"/>
  <c r="AD12" i="16516"/>
  <c r="AF12" i="16516" s="1"/>
  <c r="Z13" i="16516"/>
  <c r="AH10" i="16516"/>
  <c r="AL29" i="16516"/>
  <c r="AN29" i="16516" s="1"/>
  <c r="AH28" i="16516"/>
  <c r="CE28" i="16516" s="1"/>
  <c r="DK28" i="16516" s="1"/>
  <c r="FO28" i="16516" s="1"/>
  <c r="IA28" i="16516" s="1"/>
  <c r="F88" i="16513"/>
  <c r="M53" i="16504"/>
  <c r="M55" i="16504" s="1"/>
  <c r="M215" i="16461" s="1"/>
  <c r="F14" i="16514"/>
  <c r="F76" i="16513"/>
  <c r="F80" i="16513"/>
  <c r="I20" i="16501"/>
  <c r="E19" i="16507"/>
  <c r="Q61" i="16516" l="1"/>
  <c r="Q68" i="16516"/>
  <c r="Q57" i="16516"/>
  <c r="Q29" i="16516"/>
  <c r="Q37" i="16516"/>
  <c r="Q65" i="16516"/>
  <c r="Q41" i="16516"/>
  <c r="Q62" i="16516"/>
  <c r="Q49" i="16516"/>
  <c r="Q33" i="16516"/>
  <c r="Q56" i="16516"/>
  <c r="Q28" i="16516"/>
  <c r="R28" i="16516" s="1"/>
  <c r="BO28" i="16516" s="1"/>
  <c r="CU28" i="16516" s="1"/>
  <c r="EA28" i="16516" s="1"/>
  <c r="GE28" i="16516" s="1"/>
  <c r="Q17" i="16516"/>
  <c r="Q9" i="16516"/>
  <c r="BN9" i="16516" s="1"/>
  <c r="CT9" i="16516" s="1"/>
  <c r="EX9" i="16516" s="1"/>
  <c r="HJ9" i="16516" s="1"/>
  <c r="Q32" i="16516"/>
  <c r="Q50" i="16516"/>
  <c r="Q69" i="16516"/>
  <c r="Q67" i="16516"/>
  <c r="Q26" i="16516"/>
  <c r="Q54" i="16516"/>
  <c r="Q27" i="16516"/>
  <c r="Q31" i="16516"/>
  <c r="Q59" i="16516"/>
  <c r="Q58" i="16516"/>
  <c r="Q48" i="16516"/>
  <c r="Q38" i="16516"/>
  <c r="Q51" i="16516"/>
  <c r="Q45" i="16516"/>
  <c r="Q52" i="16516"/>
  <c r="Q35" i="16516"/>
  <c r="Q30" i="16516"/>
  <c r="Q40" i="16516"/>
  <c r="Q39" i="16516"/>
  <c r="Q47" i="16516"/>
  <c r="Q46" i="16516"/>
  <c r="Q36" i="16516"/>
  <c r="Q70" i="16516"/>
  <c r="Z70" i="16516" s="1"/>
  <c r="Q42" i="16516"/>
  <c r="Q63" i="16516"/>
  <c r="Q34" i="16516"/>
  <c r="Q53" i="16516"/>
  <c r="Q44" i="16516"/>
  <c r="Q60" i="16516"/>
  <c r="Q10" i="16516"/>
  <c r="Q25" i="16516"/>
  <c r="Q24" i="16516"/>
  <c r="Q16" i="16516"/>
  <c r="Q23" i="16516"/>
  <c r="Q15" i="16516"/>
  <c r="Q13" i="16516"/>
  <c r="Q22" i="16516"/>
  <c r="Q14" i="16516"/>
  <c r="Q21" i="16516"/>
  <c r="Q20" i="16516"/>
  <c r="Q19" i="16516"/>
  <c r="Q18" i="16516"/>
  <c r="Q12" i="16516"/>
  <c r="D19" i="16507"/>
  <c r="G42" i="16501"/>
  <c r="I93" i="16513"/>
  <c r="I97" i="16513"/>
  <c r="I92" i="16513"/>
  <c r="Z14" i="16516"/>
  <c r="AD13" i="16516"/>
  <c r="AF13" i="16516" s="1"/>
  <c r="P27" i="16504"/>
  <c r="Q24" i="16504"/>
  <c r="Q37" i="16504"/>
  <c r="J93" i="16513" s="1"/>
  <c r="Q23" i="16504"/>
  <c r="Q35" i="16504"/>
  <c r="J94" i="16513" s="1"/>
  <c r="Q22" i="16504"/>
  <c r="Q32" i="16504"/>
  <c r="Q51" i="16504"/>
  <c r="J97" i="16513" s="1"/>
  <c r="Q31" i="16504"/>
  <c r="Q47" i="16504"/>
  <c r="J96" i="16513" s="1"/>
  <c r="Q30" i="16504"/>
  <c r="Q45" i="16504"/>
  <c r="J95" i="16513" s="1"/>
  <c r="Q43" i="16504"/>
  <c r="J90" i="16513" s="1"/>
  <c r="Q25" i="16504"/>
  <c r="Q39" i="16504"/>
  <c r="J92" i="16513" s="1"/>
  <c r="I90" i="16513"/>
  <c r="I94" i="16513"/>
  <c r="AP10" i="16516"/>
  <c r="AP28" i="16516"/>
  <c r="AT29" i="16516"/>
  <c r="AV29" i="16516" s="1"/>
  <c r="AP30" i="16516"/>
  <c r="F15" i="16514"/>
  <c r="M218" i="16461"/>
  <c r="F86" i="16513"/>
  <c r="I95" i="16513"/>
  <c r="DZ9" i="16516"/>
  <c r="GD9" i="16516" s="1"/>
  <c r="F74" i="16513"/>
  <c r="P33" i="16504"/>
  <c r="V13" i="16516"/>
  <c r="X13" i="16516" s="1"/>
  <c r="R14" i="16516"/>
  <c r="AL10" i="16516"/>
  <c r="AN10" i="16516" s="1"/>
  <c r="AH11" i="16516"/>
  <c r="I96" i="16513"/>
  <c r="EY28" i="16516" l="1"/>
  <c r="HK28" i="16516" s="1"/>
  <c r="G45" i="16501"/>
  <c r="I87" i="16513"/>
  <c r="Q27" i="16504"/>
  <c r="AL11" i="16516"/>
  <c r="AN11" i="16516" s="1"/>
  <c r="AH12" i="16516"/>
  <c r="V14" i="16516"/>
  <c r="X14" i="16516" s="1"/>
  <c r="R15" i="16516"/>
  <c r="AD14" i="16516"/>
  <c r="AF14" i="16516" s="1"/>
  <c r="Z15" i="16516"/>
  <c r="AT30" i="16516"/>
  <c r="AV30" i="16516" s="1"/>
  <c r="AP31" i="16516"/>
  <c r="R25" i="16504"/>
  <c r="R39" i="16504"/>
  <c r="K92" i="16513" s="1"/>
  <c r="R24" i="16504"/>
  <c r="R37" i="16504"/>
  <c r="R23" i="16504"/>
  <c r="R35" i="16504"/>
  <c r="R22" i="16504"/>
  <c r="R32" i="16504"/>
  <c r="R51" i="16504"/>
  <c r="K97" i="16513" s="1"/>
  <c r="R31" i="16504"/>
  <c r="R47" i="16504"/>
  <c r="R30" i="16504"/>
  <c r="R45" i="16504"/>
  <c r="R43" i="16504"/>
  <c r="Q33" i="16504"/>
  <c r="P53" i="16504"/>
  <c r="P55" i="16504" s="1"/>
  <c r="P215" i="16461" s="1"/>
  <c r="I88" i="16513"/>
  <c r="AX10" i="16516"/>
  <c r="AX28" i="16516"/>
  <c r="AX31" i="16516"/>
  <c r="BB31" i="16516" s="1"/>
  <c r="BD31" i="16516" s="1"/>
  <c r="AX65" i="16516"/>
  <c r="BB65" i="16516" s="1"/>
  <c r="BD65" i="16516" s="1"/>
  <c r="AX30" i="16516"/>
  <c r="BB30" i="16516" s="1"/>
  <c r="BD30" i="16516" s="1"/>
  <c r="AX32" i="16516"/>
  <c r="BB32" i="16516" s="1"/>
  <c r="BD32" i="16516" s="1"/>
  <c r="BB29" i="16516"/>
  <c r="BD29" i="16516" s="1"/>
  <c r="G20" i="16501"/>
  <c r="C19" i="16507"/>
  <c r="I6" i="16514"/>
  <c r="AP11" i="16516"/>
  <c r="AT10" i="16516"/>
  <c r="AV10" i="16516" s="1"/>
  <c r="J42" i="16501" l="1"/>
  <c r="AP32" i="16516"/>
  <c r="AT32" i="16516" s="1"/>
  <c r="AV32" i="16516" s="1"/>
  <c r="AT31" i="16516"/>
  <c r="AV31" i="16516" s="1"/>
  <c r="I86" i="16513"/>
  <c r="S43" i="16504"/>
  <c r="L90" i="16513" s="1"/>
  <c r="S25" i="16504"/>
  <c r="S39" i="16504"/>
  <c r="L92" i="16513" s="1"/>
  <c r="S24" i="16504"/>
  <c r="S37" i="16504"/>
  <c r="L93" i="16513" s="1"/>
  <c r="S23" i="16504"/>
  <c r="S35" i="16504"/>
  <c r="L94" i="16513" s="1"/>
  <c r="S22" i="16504"/>
  <c r="S32" i="16504"/>
  <c r="S51" i="16504"/>
  <c r="S31" i="16504"/>
  <c r="S47" i="16504"/>
  <c r="L96" i="16513" s="1"/>
  <c r="S45" i="16504"/>
  <c r="L95" i="16513" s="1"/>
  <c r="S30" i="16504"/>
  <c r="BD61" i="16516"/>
  <c r="J88" i="16513"/>
  <c r="Q53" i="16504"/>
  <c r="Q55" i="16504" s="1"/>
  <c r="Q215" i="16461" s="1"/>
  <c r="R27" i="16504"/>
  <c r="R16" i="16516"/>
  <c r="V15" i="16516"/>
  <c r="X15" i="16516" s="1"/>
  <c r="BF10" i="16516"/>
  <c r="BJ29" i="16516"/>
  <c r="BL29" i="16516" s="1"/>
  <c r="BF65" i="16516"/>
  <c r="BF30" i="16516"/>
  <c r="AT11" i="16516"/>
  <c r="AV11" i="16516" s="1"/>
  <c r="AP12" i="16516"/>
  <c r="K90" i="16513"/>
  <c r="K94" i="16513"/>
  <c r="C22" i="16507"/>
  <c r="G23" i="16501"/>
  <c r="K95" i="16513"/>
  <c r="J87" i="16513"/>
  <c r="I76" i="16513"/>
  <c r="R33" i="16504"/>
  <c r="K93" i="16513"/>
  <c r="BB10" i="16516"/>
  <c r="BD10" i="16516" s="1"/>
  <c r="AX11" i="16516"/>
  <c r="K96" i="16513"/>
  <c r="AD15" i="16516"/>
  <c r="AF15" i="16516" s="1"/>
  <c r="Z16" i="16516"/>
  <c r="AL12" i="16516"/>
  <c r="AN12" i="16516" s="1"/>
  <c r="AH13" i="16516"/>
  <c r="BJ30" i="16516" l="1"/>
  <c r="BL30" i="16516" s="1"/>
  <c r="BF31" i="16516"/>
  <c r="K87" i="16513"/>
  <c r="AH14" i="16516"/>
  <c r="AL13" i="16516"/>
  <c r="AN13" i="16516" s="1"/>
  <c r="CL65" i="16516"/>
  <c r="CP65" i="16516" s="1"/>
  <c r="CR65" i="16516" s="1"/>
  <c r="CR61" i="16516" s="1"/>
  <c r="BJ65" i="16516"/>
  <c r="BL65" i="16516" s="1"/>
  <c r="L97" i="16513"/>
  <c r="AD16" i="16516"/>
  <c r="AF16" i="16516" s="1"/>
  <c r="Z17" i="16516"/>
  <c r="BB11" i="16516"/>
  <c r="BD11" i="16516" s="1"/>
  <c r="AX12" i="16516"/>
  <c r="K88" i="16513"/>
  <c r="R53" i="16504"/>
  <c r="R55" i="16504" s="1"/>
  <c r="R215" i="16461" s="1"/>
  <c r="J86" i="16513"/>
  <c r="BJ10" i="16516"/>
  <c r="BL10" i="16516" s="1"/>
  <c r="BF11" i="16516"/>
  <c r="S27" i="16504"/>
  <c r="K6" i="16514"/>
  <c r="K76" i="16513" s="1"/>
  <c r="K42" i="16501"/>
  <c r="AT12" i="16516"/>
  <c r="AV12" i="16516" s="1"/>
  <c r="AP13" i="16516"/>
  <c r="K10" i="16514"/>
  <c r="T30" i="16504"/>
  <c r="T45" i="16504"/>
  <c r="M95" i="16513" s="1"/>
  <c r="T43" i="16504"/>
  <c r="T25" i="16504"/>
  <c r="T39" i="16504"/>
  <c r="M92" i="16513" s="1"/>
  <c r="T24" i="16504"/>
  <c r="T37" i="16504"/>
  <c r="M93" i="16513" s="1"/>
  <c r="T23" i="16504"/>
  <c r="T35" i="16504"/>
  <c r="T22" i="16504"/>
  <c r="T32" i="16504"/>
  <c r="T51" i="16504"/>
  <c r="M97" i="16513" s="1"/>
  <c r="T47" i="16504"/>
  <c r="T31" i="16504"/>
  <c r="V16" i="16516"/>
  <c r="X16" i="16516" s="1"/>
  <c r="R17" i="16516"/>
  <c r="S33" i="16504"/>
  <c r="BN10" i="16516"/>
  <c r="BN65" i="16516"/>
  <c r="BR65" i="16516" s="1"/>
  <c r="BT65" i="16516" s="1"/>
  <c r="BT61" i="16516" s="1"/>
  <c r="BN30" i="16516"/>
  <c r="BR29" i="16516"/>
  <c r="BT29" i="16516" s="1"/>
  <c r="J20" i="16501"/>
  <c r="F19" i="16507"/>
  <c r="L42" i="16501" l="1"/>
  <c r="T27" i="16504"/>
  <c r="M94" i="16513"/>
  <c r="T33" i="16504"/>
  <c r="L87" i="16513"/>
  <c r="AL14" i="16516"/>
  <c r="AN14" i="16516" s="1"/>
  <c r="AH15" i="16516"/>
  <c r="U31" i="16504"/>
  <c r="U47" i="16504"/>
  <c r="N96" i="16513" s="1"/>
  <c r="U30" i="16504"/>
  <c r="U45" i="16504"/>
  <c r="N95" i="16513" s="1"/>
  <c r="U43" i="16504"/>
  <c r="N90" i="16513" s="1"/>
  <c r="U25" i="16504"/>
  <c r="U39" i="16504"/>
  <c r="N92" i="16513" s="1"/>
  <c r="U24" i="16504"/>
  <c r="U37" i="16504"/>
  <c r="N93" i="16513" s="1"/>
  <c r="U23" i="16504"/>
  <c r="U35" i="16504"/>
  <c r="N94" i="16513" s="1"/>
  <c r="U22" i="16504"/>
  <c r="U32" i="16504"/>
  <c r="U51" i="16504"/>
  <c r="N97" i="16513" s="1"/>
  <c r="G19" i="16507"/>
  <c r="K20" i="16501"/>
  <c r="BJ11" i="16516"/>
  <c r="BL11" i="16516" s="1"/>
  <c r="BF12" i="16516"/>
  <c r="BV10" i="16516"/>
  <c r="BZ29" i="16516"/>
  <c r="CB29" i="16516" s="1"/>
  <c r="BV65" i="16516"/>
  <c r="BZ65" i="16516" s="1"/>
  <c r="CB65" i="16516" s="1"/>
  <c r="CB61" i="16516" s="1"/>
  <c r="BV30" i="16516"/>
  <c r="M10" i="16514"/>
  <c r="M80" i="16513" s="1"/>
  <c r="BR10" i="16516"/>
  <c r="BT10" i="16516" s="1"/>
  <c r="BN11" i="16516"/>
  <c r="M96" i="16513"/>
  <c r="K80" i="16513"/>
  <c r="BB12" i="16516"/>
  <c r="BD12" i="16516" s="1"/>
  <c r="AX13" i="16516"/>
  <c r="K86" i="16513"/>
  <c r="BR30" i="16516"/>
  <c r="BT30" i="16516" s="1"/>
  <c r="BN31" i="16516"/>
  <c r="L88" i="16513"/>
  <c r="S53" i="16504"/>
  <c r="S55" i="16504" s="1"/>
  <c r="S215" i="16461" s="1"/>
  <c r="BL61" i="16516"/>
  <c r="J6" i="16514"/>
  <c r="V17" i="16516"/>
  <c r="X17" i="16516" s="1"/>
  <c r="R18" i="16516"/>
  <c r="M90" i="16513"/>
  <c r="AT13" i="16516"/>
  <c r="AV13" i="16516" s="1"/>
  <c r="AP14" i="16516"/>
  <c r="AD17" i="16516"/>
  <c r="AF17" i="16516" s="1"/>
  <c r="Z18" i="16516"/>
  <c r="P10" i="16514"/>
  <c r="P80" i="16513" s="1"/>
  <c r="BJ31" i="16516"/>
  <c r="BL31" i="16516" s="1"/>
  <c r="BF32" i="16516"/>
  <c r="BJ32" i="16516" s="1"/>
  <c r="BL32" i="16516" s="1"/>
  <c r="M42" i="16501" l="1"/>
  <c r="CD10" i="16516"/>
  <c r="CH29" i="16516"/>
  <c r="CJ29" i="16516" s="1"/>
  <c r="CD30" i="16516"/>
  <c r="CD65" i="16516"/>
  <c r="CH65" i="16516" s="1"/>
  <c r="CJ65" i="16516" s="1"/>
  <c r="BV31" i="16516"/>
  <c r="BZ30" i="16516"/>
  <c r="CB30" i="16516" s="1"/>
  <c r="L10" i="16514"/>
  <c r="V32" i="16504"/>
  <c r="V51" i="16504"/>
  <c r="O97" i="16513" s="1"/>
  <c r="V31" i="16504"/>
  <c r="V47" i="16504"/>
  <c r="O96" i="16513" s="1"/>
  <c r="V30" i="16504"/>
  <c r="V45" i="16504"/>
  <c r="O95" i="16513" s="1"/>
  <c r="V43" i="16504"/>
  <c r="V25" i="16504"/>
  <c r="V39" i="16504"/>
  <c r="O92" i="16513" s="1"/>
  <c r="V24" i="16504"/>
  <c r="V37" i="16504"/>
  <c r="O93" i="16513" s="1"/>
  <c r="V23" i="16504"/>
  <c r="V35" i="16504"/>
  <c r="V22" i="16504"/>
  <c r="N10" i="16514"/>
  <c r="N80" i="16513" s="1"/>
  <c r="AL15" i="16516"/>
  <c r="AN15" i="16516" s="1"/>
  <c r="AH16" i="16516"/>
  <c r="M87" i="16513"/>
  <c r="BZ10" i="16516"/>
  <c r="CB10" i="16516" s="1"/>
  <c r="BV11" i="16516"/>
  <c r="L86" i="16513"/>
  <c r="AT14" i="16516"/>
  <c r="AV14" i="16516" s="1"/>
  <c r="AP15" i="16516"/>
  <c r="V18" i="16516"/>
  <c r="X18" i="16516" s="1"/>
  <c r="R19" i="16516"/>
  <c r="AX14" i="16516"/>
  <c r="BB13" i="16516"/>
  <c r="BD13" i="16516" s="1"/>
  <c r="BN32" i="16516"/>
  <c r="BR32" i="16516" s="1"/>
  <c r="BT32" i="16516" s="1"/>
  <c r="BR31" i="16516"/>
  <c r="BT31" i="16516" s="1"/>
  <c r="BJ12" i="16516"/>
  <c r="BL12" i="16516" s="1"/>
  <c r="BF13" i="16516"/>
  <c r="U27" i="16504"/>
  <c r="H19" i="16507"/>
  <c r="L20" i="16501"/>
  <c r="AD18" i="16516"/>
  <c r="AF18" i="16516" s="1"/>
  <c r="Z19" i="16516"/>
  <c r="J76" i="16513"/>
  <c r="BR11" i="16516"/>
  <c r="BT11" i="16516" s="1"/>
  <c r="BN12" i="16516"/>
  <c r="U33" i="16504"/>
  <c r="M88" i="16513"/>
  <c r="T53" i="16504"/>
  <c r="T55" i="16504" s="1"/>
  <c r="T215" i="16461" s="1"/>
  <c r="M6" i="16514" l="1"/>
  <c r="M76" i="16513" s="1"/>
  <c r="N42" i="16501"/>
  <c r="AT15" i="16516"/>
  <c r="AV15" i="16516" s="1"/>
  <c r="AP16" i="16516"/>
  <c r="O90" i="16513"/>
  <c r="L80" i="16513"/>
  <c r="V27" i="16504"/>
  <c r="I19" i="16507"/>
  <c r="M20" i="16501"/>
  <c r="W22" i="16504"/>
  <c r="W32" i="16504"/>
  <c r="W51" i="16504"/>
  <c r="P97" i="16513" s="1"/>
  <c r="W31" i="16504"/>
  <c r="W47" i="16504"/>
  <c r="P96" i="16513" s="1"/>
  <c r="W30" i="16504"/>
  <c r="W45" i="16504"/>
  <c r="P95" i="16513" s="1"/>
  <c r="W43" i="16504"/>
  <c r="P90" i="16513" s="1"/>
  <c r="W25" i="16504"/>
  <c r="W39" i="16504"/>
  <c r="P92" i="16513" s="1"/>
  <c r="W24" i="16504"/>
  <c r="W37" i="16504"/>
  <c r="P93" i="16513" s="1"/>
  <c r="W23" i="16504"/>
  <c r="W35" i="16504"/>
  <c r="P94" i="16513" s="1"/>
  <c r="V19" i="16516"/>
  <c r="X19" i="16516" s="1"/>
  <c r="R20" i="16516"/>
  <c r="O94" i="16513"/>
  <c r="V33" i="16504"/>
  <c r="BZ11" i="16516"/>
  <c r="CB11" i="16516" s="1"/>
  <c r="BV12" i="16516"/>
  <c r="AL16" i="16516"/>
  <c r="AN16" i="16516" s="1"/>
  <c r="AH17" i="16516"/>
  <c r="CJ61" i="16516"/>
  <c r="BB14" i="16516"/>
  <c r="BD14" i="16516" s="1"/>
  <c r="AX15" i="16516"/>
  <c r="BF14" i="16516"/>
  <c r="BJ13" i="16516"/>
  <c r="BL13" i="16516" s="1"/>
  <c r="L6" i="16514"/>
  <c r="CH30" i="16516"/>
  <c r="CJ30" i="16516" s="1"/>
  <c r="CD31" i="16516"/>
  <c r="N87" i="16513"/>
  <c r="M86" i="16513"/>
  <c r="BZ31" i="16516"/>
  <c r="CB31" i="16516" s="1"/>
  <c r="BV32" i="16516"/>
  <c r="BZ32" i="16516" s="1"/>
  <c r="CB32" i="16516" s="1"/>
  <c r="CL10" i="16516"/>
  <c r="CL30" i="16516"/>
  <c r="CP29" i="16516"/>
  <c r="CR29" i="16516" s="1"/>
  <c r="N88" i="16513"/>
  <c r="U53" i="16504"/>
  <c r="U55" i="16504" s="1"/>
  <c r="U215" i="16461" s="1"/>
  <c r="AD19" i="16516"/>
  <c r="AF19" i="16516" s="1"/>
  <c r="Z20" i="16516"/>
  <c r="BR12" i="16516"/>
  <c r="BT12" i="16516" s="1"/>
  <c r="BN13" i="16516"/>
  <c r="CH10" i="16516"/>
  <c r="CJ10" i="16516" s="1"/>
  <c r="CD11" i="16516"/>
  <c r="N6" i="16514" l="1"/>
  <c r="N76" i="16513" s="1"/>
  <c r="W27" i="16504"/>
  <c r="O42" i="16501"/>
  <c r="N86" i="16513"/>
  <c r="BJ14" i="16516"/>
  <c r="BL14" i="16516" s="1"/>
  <c r="BF15" i="16516"/>
  <c r="V20" i="16516"/>
  <c r="X20" i="16516" s="1"/>
  <c r="R21" i="16516"/>
  <c r="CP30" i="16516"/>
  <c r="CR30" i="16516" s="1"/>
  <c r="CL31" i="16516"/>
  <c r="X23" i="16504"/>
  <c r="X35" i="16504"/>
  <c r="Q94" i="16513" s="1"/>
  <c r="X22" i="16504"/>
  <c r="X32" i="16504"/>
  <c r="X51" i="16504"/>
  <c r="Q97" i="16513" s="1"/>
  <c r="X31" i="16504"/>
  <c r="X47" i="16504"/>
  <c r="Q96" i="16513" s="1"/>
  <c r="X30" i="16504"/>
  <c r="X45" i="16504"/>
  <c r="Q95" i="16513" s="1"/>
  <c r="X43" i="16504"/>
  <c r="Q90" i="16513" s="1"/>
  <c r="X25" i="16504"/>
  <c r="X39" i="16504"/>
  <c r="Q92" i="16513" s="1"/>
  <c r="X37" i="16504"/>
  <c r="Q93" i="16513" s="1"/>
  <c r="X24" i="16504"/>
  <c r="AH18" i="16516"/>
  <c r="AL17" i="16516"/>
  <c r="AN17" i="16516" s="1"/>
  <c r="BZ12" i="16516"/>
  <c r="CB12" i="16516" s="1"/>
  <c r="BV13" i="16516"/>
  <c r="O87" i="16513"/>
  <c r="BR13" i="16516"/>
  <c r="BT13" i="16516" s="1"/>
  <c r="BN14" i="16516"/>
  <c r="CP10" i="16516"/>
  <c r="CR10" i="16516" s="1"/>
  <c r="CL11" i="16516"/>
  <c r="CT10" i="16516"/>
  <c r="CX29" i="16516"/>
  <c r="CZ29" i="16516" s="1"/>
  <c r="CT65" i="16516"/>
  <c r="CX65" i="16516" s="1"/>
  <c r="CZ65" i="16516" s="1"/>
  <c r="CT30" i="16516"/>
  <c r="W33" i="16504"/>
  <c r="P87" i="16513"/>
  <c r="CH11" i="16516"/>
  <c r="CJ11" i="16516" s="1"/>
  <c r="CD12" i="16516"/>
  <c r="BB15" i="16516"/>
  <c r="BD15" i="16516" s="1"/>
  <c r="AX16" i="16516"/>
  <c r="O88" i="16513"/>
  <c r="V53" i="16504"/>
  <c r="V55" i="16504" s="1"/>
  <c r="V215" i="16461" s="1"/>
  <c r="J19" i="16507"/>
  <c r="N20" i="16501"/>
  <c r="AT16" i="16516"/>
  <c r="AV16" i="16516" s="1"/>
  <c r="AP17" i="16516"/>
  <c r="Z21" i="16516"/>
  <c r="AD20" i="16516"/>
  <c r="AF20" i="16516" s="1"/>
  <c r="L76" i="16513"/>
  <c r="O10" i="16514"/>
  <c r="CD32" i="16516"/>
  <c r="CH32" i="16516" s="1"/>
  <c r="CJ32" i="16516" s="1"/>
  <c r="CH31" i="16516"/>
  <c r="CJ31" i="16516" s="1"/>
  <c r="P42" i="16501" l="1"/>
  <c r="BR14" i="16516"/>
  <c r="BT14" i="16516" s="1"/>
  <c r="BN15" i="16516"/>
  <c r="X27" i="16504"/>
  <c r="BJ15" i="16516"/>
  <c r="BL15" i="16516" s="1"/>
  <c r="BF16" i="16516"/>
  <c r="DB10" i="16516"/>
  <c r="DB30" i="16516"/>
  <c r="DF29" i="16516"/>
  <c r="DH29" i="16516" s="1"/>
  <c r="DB65" i="16516"/>
  <c r="DF65" i="16516" s="1"/>
  <c r="DH65" i="16516" s="1"/>
  <c r="DH61" i="16516" s="1"/>
  <c r="BB16" i="16516"/>
  <c r="BD16" i="16516" s="1"/>
  <c r="AX17" i="16516"/>
  <c r="BZ13" i="16516"/>
  <c r="CB13" i="16516" s="1"/>
  <c r="BV14" i="16516"/>
  <c r="CT31" i="16516"/>
  <c r="CX30" i="16516"/>
  <c r="CZ30" i="16516" s="1"/>
  <c r="CZ61" i="16516"/>
  <c r="X33" i="16504"/>
  <c r="CP31" i="16516"/>
  <c r="CR31" i="16516" s="1"/>
  <c r="CL32" i="16516"/>
  <c r="CP32" i="16516" s="1"/>
  <c r="CR32" i="16516" s="1"/>
  <c r="O20" i="16501"/>
  <c r="K19" i="16507"/>
  <c r="AL18" i="16516"/>
  <c r="AN18" i="16516" s="1"/>
  <c r="AH19" i="16516"/>
  <c r="AT17" i="16516"/>
  <c r="AV17" i="16516" s="1"/>
  <c r="AP18" i="16516"/>
  <c r="CX10" i="16516"/>
  <c r="CZ10" i="16516" s="1"/>
  <c r="CT11" i="16516"/>
  <c r="O86" i="16513"/>
  <c r="CH12" i="16516"/>
  <c r="CJ12" i="16516" s="1"/>
  <c r="CD13" i="16516"/>
  <c r="O80" i="16513"/>
  <c r="AD21" i="16516"/>
  <c r="AF21" i="16516" s="1"/>
  <c r="Z22" i="16516"/>
  <c r="Y24" i="16504"/>
  <c r="Y37" i="16504"/>
  <c r="R93" i="16513" s="1"/>
  <c r="Y23" i="16504"/>
  <c r="Y35" i="16504"/>
  <c r="R94" i="16513" s="1"/>
  <c r="Y22" i="16504"/>
  <c r="Y32" i="16504"/>
  <c r="Y51" i="16504"/>
  <c r="R97" i="16513" s="1"/>
  <c r="Y31" i="16504"/>
  <c r="Y47" i="16504"/>
  <c r="R96" i="16513" s="1"/>
  <c r="Y30" i="16504"/>
  <c r="Y45" i="16504"/>
  <c r="R95" i="16513" s="1"/>
  <c r="Y43" i="16504"/>
  <c r="R90" i="16513" s="1"/>
  <c r="Y39" i="16504"/>
  <c r="R92" i="16513" s="1"/>
  <c r="Y25" i="16504"/>
  <c r="W53" i="16504"/>
  <c r="W55" i="16504" s="1"/>
  <c r="W215" i="16461" s="1"/>
  <c r="P88" i="16513"/>
  <c r="P86" i="16513" s="1"/>
  <c r="CP11" i="16516"/>
  <c r="CR11" i="16516" s="1"/>
  <c r="CL12" i="16516"/>
  <c r="V21" i="16516"/>
  <c r="X21" i="16516" s="1"/>
  <c r="R22" i="16516"/>
  <c r="Y33" i="16504" l="1"/>
  <c r="R10" i="16514"/>
  <c r="R80" i="16513" s="1"/>
  <c r="BR15" i="16516"/>
  <c r="BT15" i="16516" s="1"/>
  <c r="BN16" i="16516"/>
  <c r="Z25" i="16504"/>
  <c r="Z39" i="16504"/>
  <c r="S92" i="16513" s="1"/>
  <c r="Z24" i="16504"/>
  <c r="Z37" i="16504"/>
  <c r="S93" i="16513" s="1"/>
  <c r="Z23" i="16504"/>
  <c r="Z35" i="16504"/>
  <c r="S94" i="16513" s="1"/>
  <c r="Z22" i="16504"/>
  <c r="Z32" i="16504"/>
  <c r="Z51" i="16504"/>
  <c r="S97" i="16513" s="1"/>
  <c r="Z31" i="16504"/>
  <c r="Z47" i="16504"/>
  <c r="S96" i="16513" s="1"/>
  <c r="Z30" i="16504"/>
  <c r="Z45" i="16504"/>
  <c r="S95" i="16513" s="1"/>
  <c r="Z43" i="16504"/>
  <c r="S90" i="16513" s="1"/>
  <c r="DJ10" i="16516"/>
  <c r="DN29" i="16516"/>
  <c r="DP29" i="16516" s="1"/>
  <c r="DJ65" i="16516"/>
  <c r="DN65" i="16516" s="1"/>
  <c r="DP65" i="16516" s="1"/>
  <c r="DP61" i="16516" s="1"/>
  <c r="DJ30" i="16516"/>
  <c r="BZ14" i="16516"/>
  <c r="CB14" i="16516" s="1"/>
  <c r="BV15" i="16516"/>
  <c r="DF30" i="16516"/>
  <c r="DH30" i="16516" s="1"/>
  <c r="DB31" i="16516"/>
  <c r="P20" i="16501"/>
  <c r="L19" i="16507"/>
  <c r="AT18" i="16516"/>
  <c r="AV18" i="16516" s="1"/>
  <c r="AP19" i="16516"/>
  <c r="Q42" i="16501"/>
  <c r="AL19" i="16516"/>
  <c r="AN19" i="16516" s="1"/>
  <c r="AH20" i="16516"/>
  <c r="DF10" i="16516"/>
  <c r="DH10" i="16516" s="1"/>
  <c r="DB11" i="16516"/>
  <c r="CP12" i="16516"/>
  <c r="CR12" i="16516" s="1"/>
  <c r="CL13" i="16516"/>
  <c r="CH13" i="16516"/>
  <c r="CJ13" i="16516" s="1"/>
  <c r="CD14" i="16516"/>
  <c r="V22" i="16516"/>
  <c r="X22" i="16516" s="1"/>
  <c r="R23" i="16516"/>
  <c r="AD22" i="16516"/>
  <c r="AF22" i="16516" s="1"/>
  <c r="Z23" i="16516"/>
  <c r="X53" i="16504"/>
  <c r="X55" i="16504" s="1"/>
  <c r="X215" i="16461" s="1"/>
  <c r="Q88" i="16513"/>
  <c r="BB17" i="16516"/>
  <c r="BD17" i="16516" s="1"/>
  <c r="AX18" i="16516"/>
  <c r="BJ16" i="16516"/>
  <c r="BL16" i="16516" s="1"/>
  <c r="BF17" i="16516"/>
  <c r="Q10" i="16514"/>
  <c r="Y27" i="16504"/>
  <c r="CX11" i="16516"/>
  <c r="CZ11" i="16516" s="1"/>
  <c r="CT12" i="16516"/>
  <c r="CX31" i="16516"/>
  <c r="CZ31" i="16516" s="1"/>
  <c r="CT32" i="16516"/>
  <c r="CX32" i="16516" s="1"/>
  <c r="CZ32" i="16516" s="1"/>
  <c r="O6" i="16514"/>
  <c r="R88" i="16513"/>
  <c r="Y53" i="16504"/>
  <c r="Q87" i="16513"/>
  <c r="Z33" i="16504" l="1"/>
  <c r="Z27" i="16504"/>
  <c r="AL20" i="16516"/>
  <c r="AN20" i="16516" s="1"/>
  <c r="AH21" i="16516"/>
  <c r="CP13" i="16516"/>
  <c r="CR13" i="16516" s="1"/>
  <c r="CL14" i="16516"/>
  <c r="DR10" i="16516"/>
  <c r="DV29" i="16516"/>
  <c r="DX29" i="16516" s="1"/>
  <c r="DR65" i="16516"/>
  <c r="DV65" i="16516" s="1"/>
  <c r="DX65" i="16516" s="1"/>
  <c r="DR30" i="16516"/>
  <c r="BJ17" i="16516"/>
  <c r="BL17" i="16516" s="1"/>
  <c r="BF18" i="16516"/>
  <c r="CX12" i="16516"/>
  <c r="CZ12" i="16516" s="1"/>
  <c r="CT13" i="16516"/>
  <c r="AD23" i="16516"/>
  <c r="AF23" i="16516" s="1"/>
  <c r="Z24" i="16516"/>
  <c r="AD24" i="16516" s="1"/>
  <c r="AF24" i="16516" s="1"/>
  <c r="DJ31" i="16516"/>
  <c r="DN30" i="16516"/>
  <c r="DP30" i="16516" s="1"/>
  <c r="Q80" i="16513"/>
  <c r="BB18" i="16516"/>
  <c r="BD18" i="16516" s="1"/>
  <c r="AX19" i="16516"/>
  <c r="DF11" i="16516"/>
  <c r="DH11" i="16516" s="1"/>
  <c r="DB12" i="16516"/>
  <c r="S10" i="16514"/>
  <c r="S80" i="16513" s="1"/>
  <c r="S88" i="16513"/>
  <c r="Z53" i="16504"/>
  <c r="Z55" i="16504" s="1"/>
  <c r="Z215" i="16461" s="1"/>
  <c r="Q86" i="16513"/>
  <c r="Y55" i="16504"/>
  <c r="Y215" i="16461" s="1"/>
  <c r="R87" i="16513"/>
  <c r="DB32" i="16516"/>
  <c r="DF32" i="16516" s="1"/>
  <c r="DH32" i="16516" s="1"/>
  <c r="DF31" i="16516"/>
  <c r="DH31" i="16516" s="1"/>
  <c r="S87" i="16513"/>
  <c r="R42" i="16501"/>
  <c r="O76" i="16513"/>
  <c r="R24" i="16516"/>
  <c r="V24" i="16516" s="1"/>
  <c r="X24" i="16516" s="1"/>
  <c r="V23" i="16516"/>
  <c r="X23" i="16516" s="1"/>
  <c r="P6" i="16514"/>
  <c r="P76" i="16513" s="1"/>
  <c r="DN10" i="16516"/>
  <c r="DP10" i="16516" s="1"/>
  <c r="DJ11" i="16516"/>
  <c r="AA43" i="16504"/>
  <c r="T90" i="16513" s="1"/>
  <c r="AA25" i="16504"/>
  <c r="AA39" i="16504"/>
  <c r="T92" i="16513" s="1"/>
  <c r="AA24" i="16504"/>
  <c r="AA37" i="16504"/>
  <c r="T93" i="16513" s="1"/>
  <c r="AA23" i="16504"/>
  <c r="AA35" i="16504"/>
  <c r="T94" i="16513" s="1"/>
  <c r="AA22" i="16504"/>
  <c r="AA32" i="16504"/>
  <c r="AA51" i="16504"/>
  <c r="T97" i="16513" s="1"/>
  <c r="AA31" i="16504"/>
  <c r="AA47" i="16504"/>
  <c r="T96" i="16513" s="1"/>
  <c r="AA45" i="16504"/>
  <c r="T95" i="16513" s="1"/>
  <c r="AA30" i="16504"/>
  <c r="Q20" i="16501"/>
  <c r="M19" i="16507"/>
  <c r="BZ15" i="16516"/>
  <c r="CB15" i="16516" s="1"/>
  <c r="BV16" i="16516"/>
  <c r="CH14" i="16516"/>
  <c r="CJ14" i="16516" s="1"/>
  <c r="CD15" i="16516"/>
  <c r="AT19" i="16516"/>
  <c r="AV19" i="16516" s="1"/>
  <c r="AP20" i="16516"/>
  <c r="BR16" i="16516"/>
  <c r="BT16" i="16516" s="1"/>
  <c r="BN17" i="16516"/>
  <c r="AF9" i="16516" l="1"/>
  <c r="H5" i="16514" s="1"/>
  <c r="AA27" i="16504"/>
  <c r="AA33" i="16504"/>
  <c r="T42" i="16501"/>
  <c r="DX61" i="16516"/>
  <c r="CX13" i="16516"/>
  <c r="CZ13" i="16516" s="1"/>
  <c r="CT14" i="16516"/>
  <c r="T88" i="16513"/>
  <c r="AA53" i="16504"/>
  <c r="AA55" i="16504" s="1"/>
  <c r="AA215" i="16461" s="1"/>
  <c r="DN11" i="16516"/>
  <c r="DP11" i="16516" s="1"/>
  <c r="DJ12" i="16516"/>
  <c r="Q6" i="16514"/>
  <c r="Q76" i="16513" s="1"/>
  <c r="DF12" i="16516"/>
  <c r="DH12" i="16516" s="1"/>
  <c r="DB13" i="16516"/>
  <c r="BJ18" i="16516"/>
  <c r="BL18" i="16516" s="1"/>
  <c r="BF19" i="16516"/>
  <c r="DV30" i="16516"/>
  <c r="DX30" i="16516" s="1"/>
  <c r="DR31" i="16516"/>
  <c r="CH15" i="16516"/>
  <c r="CJ15" i="16516" s="1"/>
  <c r="CD16" i="16516"/>
  <c r="R20" i="16501"/>
  <c r="N19" i="16507"/>
  <c r="DV10" i="16516"/>
  <c r="DX10" i="16516" s="1"/>
  <c r="DR11" i="16516"/>
  <c r="AT20" i="16516"/>
  <c r="AV20" i="16516" s="1"/>
  <c r="AP21" i="16516"/>
  <c r="BZ16" i="16516"/>
  <c r="CB16" i="16516" s="1"/>
  <c r="BV17" i="16516"/>
  <c r="BB19" i="16516"/>
  <c r="BD19" i="16516" s="1"/>
  <c r="AX20" i="16516"/>
  <c r="DN31" i="16516"/>
  <c r="DP31" i="16516" s="1"/>
  <c r="DJ32" i="16516"/>
  <c r="DN32" i="16516" s="1"/>
  <c r="DP32" i="16516" s="1"/>
  <c r="S86" i="16513"/>
  <c r="CP14" i="16516"/>
  <c r="CR14" i="16516" s="1"/>
  <c r="CL15" i="16516"/>
  <c r="BR17" i="16516"/>
  <c r="BT17" i="16516" s="1"/>
  <c r="BN18" i="16516"/>
  <c r="R86" i="16513"/>
  <c r="T87" i="16513"/>
  <c r="AB30" i="16504"/>
  <c r="AB45" i="16504"/>
  <c r="U95" i="16513" s="1"/>
  <c r="AB43" i="16504"/>
  <c r="U90" i="16513" s="1"/>
  <c r="AB25" i="16504"/>
  <c r="AB39" i="16504"/>
  <c r="U92" i="16513" s="1"/>
  <c r="AB24" i="16504"/>
  <c r="AB37" i="16504"/>
  <c r="U93" i="16513" s="1"/>
  <c r="AB23" i="16504"/>
  <c r="AB35" i="16504"/>
  <c r="U94" i="16513" s="1"/>
  <c r="AB22" i="16504"/>
  <c r="AB32" i="16504"/>
  <c r="AB51" i="16504"/>
  <c r="U97" i="16513" s="1"/>
  <c r="AB47" i="16504"/>
  <c r="U96" i="16513" s="1"/>
  <c r="AB31" i="16504"/>
  <c r="DZ10" i="16516"/>
  <c r="DZ65" i="16516"/>
  <c r="ED65" i="16516" s="1"/>
  <c r="EF65" i="16516" s="1"/>
  <c r="EF61" i="16516" s="1"/>
  <c r="DZ30" i="16516"/>
  <c r="ED29" i="16516"/>
  <c r="EF29" i="16516" s="1"/>
  <c r="X9" i="16516"/>
  <c r="S42" i="16501"/>
  <c r="AL21" i="16516"/>
  <c r="AN21" i="16516" s="1"/>
  <c r="AH22" i="16516"/>
  <c r="ED10" i="16516" l="1"/>
  <c r="EF10" i="16516" s="1"/>
  <c r="DZ11" i="16516"/>
  <c r="AC31" i="16504"/>
  <c r="AC47" i="16504"/>
  <c r="V96" i="16513" s="1"/>
  <c r="AC30" i="16504"/>
  <c r="AC45" i="16504"/>
  <c r="V95" i="16513" s="1"/>
  <c r="AC43" i="16504"/>
  <c r="V90" i="16513" s="1"/>
  <c r="AC25" i="16504"/>
  <c r="AC39" i="16504"/>
  <c r="V92" i="16513" s="1"/>
  <c r="AC24" i="16504"/>
  <c r="AC37" i="16504"/>
  <c r="V93" i="16513" s="1"/>
  <c r="AC23" i="16504"/>
  <c r="AC35" i="16504"/>
  <c r="V94" i="16513" s="1"/>
  <c r="AC22" i="16504"/>
  <c r="AC32" i="16504"/>
  <c r="AC51" i="16504"/>
  <c r="V97" i="16513" s="1"/>
  <c r="T10" i="16514"/>
  <c r="T80" i="16513" s="1"/>
  <c r="DV11" i="16516"/>
  <c r="DX11" i="16516" s="1"/>
  <c r="DR12" i="16516"/>
  <c r="G5" i="16514"/>
  <c r="U42" i="16501"/>
  <c r="EH10" i="16516"/>
  <c r="EL29" i="16516"/>
  <c r="EN29" i="16516" s="1"/>
  <c r="EH65" i="16516"/>
  <c r="EL65" i="16516" s="1"/>
  <c r="EN65" i="16516" s="1"/>
  <c r="EN61" i="16516" s="1"/>
  <c r="EH30" i="16516"/>
  <c r="DV31" i="16516"/>
  <c r="DX31" i="16516" s="1"/>
  <c r="DR32" i="16516"/>
  <c r="DV32" i="16516" s="1"/>
  <c r="DX32" i="16516" s="1"/>
  <c r="R6" i="16514"/>
  <c r="R76" i="16513" s="1"/>
  <c r="U10" i="16514"/>
  <c r="U80" i="16513" s="1"/>
  <c r="CH16" i="16516"/>
  <c r="CJ16" i="16516" s="1"/>
  <c r="CD17" i="16516"/>
  <c r="BR18" i="16516"/>
  <c r="BT18" i="16516" s="1"/>
  <c r="BN19" i="16516"/>
  <c r="DN12" i="16516"/>
  <c r="DP12" i="16516" s="1"/>
  <c r="DJ13" i="16516"/>
  <c r="O19" i="16507"/>
  <c r="S20" i="16501"/>
  <c r="T86" i="16513"/>
  <c r="AL22" i="16516"/>
  <c r="AN22" i="16516" s="1"/>
  <c r="AH23" i="16516"/>
  <c r="H14" i="16514"/>
  <c r="H75" i="16513"/>
  <c r="BB20" i="16516"/>
  <c r="BD20" i="16516" s="1"/>
  <c r="AX21" i="16516"/>
  <c r="AT21" i="16516"/>
  <c r="AV21" i="16516" s="1"/>
  <c r="AP22" i="16516"/>
  <c r="DF13" i="16516"/>
  <c r="DH13" i="16516" s="1"/>
  <c r="DB14" i="16516"/>
  <c r="AB27" i="16504"/>
  <c r="BJ19" i="16516"/>
  <c r="BL19" i="16516" s="1"/>
  <c r="BF20" i="16516"/>
  <c r="CX14" i="16516"/>
  <c r="CZ14" i="16516" s="1"/>
  <c r="CT15" i="16516"/>
  <c r="ED30" i="16516"/>
  <c r="EF30" i="16516" s="1"/>
  <c r="DZ31" i="16516"/>
  <c r="AB33" i="16504"/>
  <c r="CP15" i="16516"/>
  <c r="CR15" i="16516" s="1"/>
  <c r="CL16" i="16516"/>
  <c r="BZ17" i="16516"/>
  <c r="CB17" i="16516" s="1"/>
  <c r="BV18" i="16516"/>
  <c r="P19" i="16507"/>
  <c r="T20" i="16501"/>
  <c r="T6" i="16514" l="1"/>
  <c r="T76" i="16513" s="1"/>
  <c r="AC33" i="16504"/>
  <c r="H74" i="16513"/>
  <c r="BR19" i="16516"/>
  <c r="BT19" i="16516" s="1"/>
  <c r="BN20" i="16516"/>
  <c r="AG9" i="16516"/>
  <c r="CD9" i="16516" s="1"/>
  <c r="DJ9" i="16516" s="1"/>
  <c r="FN9" i="16516" s="1"/>
  <c r="HZ9" i="16516" s="1"/>
  <c r="Q19" i="16507"/>
  <c r="U20" i="16501"/>
  <c r="DB15" i="16516"/>
  <c r="DF14" i="16516"/>
  <c r="DH14" i="16516" s="1"/>
  <c r="H22" i="16514"/>
  <c r="H23" i="16514" s="1"/>
  <c r="H15" i="16514"/>
  <c r="H25" i="16514"/>
  <c r="H26" i="16514" s="1"/>
  <c r="O218" i="16461"/>
  <c r="Y9" i="16516"/>
  <c r="BV9" i="16516" s="1"/>
  <c r="DB9" i="16516" s="1"/>
  <c r="S6" i="16514"/>
  <c r="S76" i="16513" s="1"/>
  <c r="EH31" i="16516"/>
  <c r="EL30" i="16516"/>
  <c r="EN30" i="16516" s="1"/>
  <c r="G14" i="16514"/>
  <c r="G75" i="16513"/>
  <c r="ED11" i="16516"/>
  <c r="EF11" i="16516" s="1"/>
  <c r="DZ12" i="16516"/>
  <c r="CH17" i="16516"/>
  <c r="CJ17" i="16516" s="1"/>
  <c r="CD18" i="16516"/>
  <c r="V10" i="16514"/>
  <c r="V80" i="16513" s="1"/>
  <c r="DR13" i="16516"/>
  <c r="DV12" i="16516"/>
  <c r="DX12" i="16516" s="1"/>
  <c r="U87" i="16513"/>
  <c r="AP23" i="16516"/>
  <c r="AT22" i="16516"/>
  <c r="AV22" i="16516" s="1"/>
  <c r="DN13" i="16516"/>
  <c r="DP13" i="16516" s="1"/>
  <c r="DJ14" i="16516"/>
  <c r="EP10" i="16516"/>
  <c r="EP30" i="16516"/>
  <c r="ET29" i="16516"/>
  <c r="EV29" i="16516" s="1"/>
  <c r="U88" i="16513"/>
  <c r="AB53" i="16504"/>
  <c r="AB55" i="16504" s="1"/>
  <c r="AB215" i="16461" s="1"/>
  <c r="AL23" i="16516"/>
  <c r="AN23" i="16516" s="1"/>
  <c r="AH24" i="16516"/>
  <c r="AL24" i="16516" s="1"/>
  <c r="AN24" i="16516" s="1"/>
  <c r="BZ18" i="16516"/>
  <c r="CB18" i="16516" s="1"/>
  <c r="BV19" i="16516"/>
  <c r="CX15" i="16516"/>
  <c r="CZ15" i="16516" s="1"/>
  <c r="CT16" i="16516"/>
  <c r="AD32" i="16504"/>
  <c r="AD51" i="16504"/>
  <c r="W97" i="16513" s="1"/>
  <c r="AD31" i="16504"/>
  <c r="AD47" i="16504"/>
  <c r="W96" i="16513" s="1"/>
  <c r="AD30" i="16504"/>
  <c r="AD45" i="16504"/>
  <c r="W95" i="16513" s="1"/>
  <c r="AD43" i="16504"/>
  <c r="W90" i="16513" s="1"/>
  <c r="AD25" i="16504"/>
  <c r="AD39" i="16504"/>
  <c r="W92" i="16513" s="1"/>
  <c r="AD24" i="16504"/>
  <c r="AD37" i="16504"/>
  <c r="W93" i="16513" s="1"/>
  <c r="AD23" i="16504"/>
  <c r="AD35" i="16504"/>
  <c r="W94" i="16513" s="1"/>
  <c r="AD22" i="16504"/>
  <c r="EL10" i="16516"/>
  <c r="EN10" i="16516" s="1"/>
  <c r="EH11" i="16516"/>
  <c r="V88" i="16513"/>
  <c r="AC53" i="16504"/>
  <c r="DZ32" i="16516"/>
  <c r="ED32" i="16516" s="1"/>
  <c r="EF32" i="16516" s="1"/>
  <c r="ED31" i="16516"/>
  <c r="EF31" i="16516" s="1"/>
  <c r="CP16" i="16516"/>
  <c r="CR16" i="16516" s="1"/>
  <c r="CL17" i="16516"/>
  <c r="BJ20" i="16516"/>
  <c r="BL20" i="16516" s="1"/>
  <c r="BF21" i="16516"/>
  <c r="BB21" i="16516"/>
  <c r="BD21" i="16516" s="1"/>
  <c r="AX22" i="16516"/>
  <c r="AC27" i="16504"/>
  <c r="AD33" i="16504" l="1"/>
  <c r="V42" i="16501"/>
  <c r="ED12" i="16516"/>
  <c r="EF12" i="16516" s="1"/>
  <c r="DZ13" i="16516"/>
  <c r="I45" i="16501"/>
  <c r="BR20" i="16516"/>
  <c r="BT20" i="16516" s="1"/>
  <c r="BN21" i="16516"/>
  <c r="W88" i="16513"/>
  <c r="AD53" i="16504"/>
  <c r="BJ21" i="16516"/>
  <c r="BL21" i="16516" s="1"/>
  <c r="BF22" i="16516"/>
  <c r="AN9" i="16516"/>
  <c r="DV13" i="16516"/>
  <c r="DX13" i="16516" s="1"/>
  <c r="DR14" i="16516"/>
  <c r="AT23" i="16516"/>
  <c r="AV23" i="16516" s="1"/>
  <c r="AP24" i="16516"/>
  <c r="AT24" i="16516" s="1"/>
  <c r="AV24" i="16516" s="1"/>
  <c r="AE22" i="16504"/>
  <c r="AE32" i="16504"/>
  <c r="AE51" i="16504"/>
  <c r="X97" i="16513" s="1"/>
  <c r="AE31" i="16504"/>
  <c r="AE47" i="16504"/>
  <c r="X96" i="16513" s="1"/>
  <c r="AE30" i="16504"/>
  <c r="AE45" i="16504"/>
  <c r="X95" i="16513" s="1"/>
  <c r="AE43" i="16504"/>
  <c r="X90" i="16513" s="1"/>
  <c r="AE25" i="16504"/>
  <c r="AE39" i="16504"/>
  <c r="X92" i="16513" s="1"/>
  <c r="AE24" i="16504"/>
  <c r="AE37" i="16504"/>
  <c r="X93" i="16513" s="1"/>
  <c r="AE23" i="16504"/>
  <c r="AE35" i="16504"/>
  <c r="X94" i="16513" s="1"/>
  <c r="AC55" i="16504"/>
  <c r="AC215" i="16461" s="1"/>
  <c r="V87" i="16513"/>
  <c r="CP17" i="16516"/>
  <c r="CR17" i="16516" s="1"/>
  <c r="CL18" i="16516"/>
  <c r="EL11" i="16516"/>
  <c r="EN11" i="16516" s="1"/>
  <c r="EH12" i="16516"/>
  <c r="U86" i="16513"/>
  <c r="CH18" i="16516"/>
  <c r="CJ18" i="16516" s="1"/>
  <c r="CD19" i="16516"/>
  <c r="G15" i="16514"/>
  <c r="G25" i="16514"/>
  <c r="G22" i="16514"/>
  <c r="N218" i="16461"/>
  <c r="EH9" i="16516"/>
  <c r="GL9" i="16516" s="1"/>
  <c r="FF9" i="16516"/>
  <c r="HR9" i="16516" s="1"/>
  <c r="BZ19" i="16516"/>
  <c r="CB19" i="16516" s="1"/>
  <c r="BV20" i="16516"/>
  <c r="EX10" i="16516"/>
  <c r="FB29" i="16516"/>
  <c r="FD29" i="16516" s="1"/>
  <c r="EX65" i="16516"/>
  <c r="FB65" i="16516" s="1"/>
  <c r="FD65" i="16516" s="1"/>
  <c r="FD61" i="16516" s="1"/>
  <c r="EX30" i="16516"/>
  <c r="CX16" i="16516"/>
  <c r="CZ16" i="16516" s="1"/>
  <c r="CT17" i="16516"/>
  <c r="ET30" i="16516"/>
  <c r="EV30" i="16516" s="1"/>
  <c r="EP31" i="16516"/>
  <c r="EP65" i="16516"/>
  <c r="ET65" i="16516" s="1"/>
  <c r="EV65" i="16516" s="1"/>
  <c r="DF15" i="16516"/>
  <c r="DH15" i="16516" s="1"/>
  <c r="DB16" i="16516"/>
  <c r="DN14" i="16516"/>
  <c r="DP14" i="16516" s="1"/>
  <c r="DJ15" i="16516"/>
  <c r="G74" i="16513"/>
  <c r="BB22" i="16516"/>
  <c r="BD22" i="16516" s="1"/>
  <c r="AX23" i="16516"/>
  <c r="AD27" i="16504"/>
  <c r="ET10" i="16516"/>
  <c r="EV10" i="16516" s="1"/>
  <c r="EP11" i="16516"/>
  <c r="EL31" i="16516"/>
  <c r="EN31" i="16516" s="1"/>
  <c r="EH32" i="16516"/>
  <c r="EL32" i="16516" s="1"/>
  <c r="EN32" i="16516" s="1"/>
  <c r="V6" i="16514" l="1"/>
  <c r="V76" i="16513" s="1"/>
  <c r="AV9" i="16516"/>
  <c r="J5" i="16514" s="1"/>
  <c r="EL12" i="16516"/>
  <c r="EN12" i="16516" s="1"/>
  <c r="EH13" i="16516"/>
  <c r="AE27" i="16504"/>
  <c r="BJ22" i="16516"/>
  <c r="BL22" i="16516" s="1"/>
  <c r="BF23" i="16516"/>
  <c r="E22" i="16507"/>
  <c r="I23" i="16501"/>
  <c r="R19" i="16507"/>
  <c r="V20" i="16501"/>
  <c r="FB30" i="16516"/>
  <c r="FD30" i="16516" s="1"/>
  <c r="EX31" i="16516"/>
  <c r="DZ14" i="16516"/>
  <c r="ED13" i="16516"/>
  <c r="EF13" i="16516" s="1"/>
  <c r="FF10" i="16516"/>
  <c r="FJ29" i="16516"/>
  <c r="FL29" i="16516" s="1"/>
  <c r="FF65" i="16516"/>
  <c r="FJ65" i="16516" s="1"/>
  <c r="FL65" i="16516" s="1"/>
  <c r="FL61" i="16516" s="1"/>
  <c r="FF30" i="16516"/>
  <c r="X10" i="16514"/>
  <c r="X80" i="16513" s="1"/>
  <c r="CP18" i="16516"/>
  <c r="CR18" i="16516" s="1"/>
  <c r="CL19" i="16516"/>
  <c r="DF16" i="16516"/>
  <c r="DH16" i="16516" s="1"/>
  <c r="DB17" i="16516"/>
  <c r="CX17" i="16516"/>
  <c r="CZ17" i="16516" s="1"/>
  <c r="CT18" i="16516"/>
  <c r="AE33" i="16504"/>
  <c r="DV14" i="16516"/>
  <c r="DX14" i="16516" s="1"/>
  <c r="DR15" i="16516"/>
  <c r="AF23" i="16504"/>
  <c r="AF35" i="16504"/>
  <c r="Y94" i="16513" s="1"/>
  <c r="AF22" i="16504"/>
  <c r="AF32" i="16504"/>
  <c r="AF51" i="16504"/>
  <c r="Y97" i="16513" s="1"/>
  <c r="AF31" i="16504"/>
  <c r="AF47" i="16504"/>
  <c r="Y96" i="16513" s="1"/>
  <c r="AF30" i="16504"/>
  <c r="AF45" i="16504"/>
  <c r="Y95" i="16513" s="1"/>
  <c r="AF43" i="16504"/>
  <c r="Y90" i="16513" s="1"/>
  <c r="AF25" i="16504"/>
  <c r="AF39" i="16504"/>
  <c r="Y92" i="16513" s="1"/>
  <c r="AF24" i="16504"/>
  <c r="AF37" i="16504"/>
  <c r="Y93" i="16513" s="1"/>
  <c r="CH19" i="16516"/>
  <c r="CJ19" i="16516" s="1"/>
  <c r="CD20" i="16516"/>
  <c r="EV61" i="16516"/>
  <c r="FB10" i="16516"/>
  <c r="FD10" i="16516" s="1"/>
  <c r="EX11" i="16516"/>
  <c r="H45" i="16501"/>
  <c r="V86" i="16513"/>
  <c r="BR21" i="16516"/>
  <c r="BT21" i="16516" s="1"/>
  <c r="BN22" i="16516"/>
  <c r="DN15" i="16516"/>
  <c r="DP15" i="16516" s="1"/>
  <c r="DJ16" i="16516"/>
  <c r="AD55" i="16504"/>
  <c r="AD215" i="16461" s="1"/>
  <c r="W87" i="16513"/>
  <c r="EP32" i="16516"/>
  <c r="ET32" i="16516" s="1"/>
  <c r="EV32" i="16516" s="1"/>
  <c r="ET31" i="16516"/>
  <c r="EV31" i="16516" s="1"/>
  <c r="G23" i="16514"/>
  <c r="W42" i="16501"/>
  <c r="EP12" i="16516"/>
  <c r="ET11" i="16516"/>
  <c r="EV11" i="16516" s="1"/>
  <c r="BB23" i="16516"/>
  <c r="BD23" i="16516" s="1"/>
  <c r="AX24" i="16516"/>
  <c r="BB24" i="16516" s="1"/>
  <c r="BD24" i="16516" s="1"/>
  <c r="U6" i="16514"/>
  <c r="U76" i="16513" s="1"/>
  <c r="BZ20" i="16516"/>
  <c r="CB20" i="16516" s="1"/>
  <c r="BV21" i="16516"/>
  <c r="G26" i="16514"/>
  <c r="I5" i="16514"/>
  <c r="AO9" i="16516"/>
  <c r="AW9" i="16516" l="1"/>
  <c r="BD9" i="16516"/>
  <c r="W20" i="16501"/>
  <c r="S19" i="16507"/>
  <c r="DN16" i="16516"/>
  <c r="DP16" i="16516" s="1"/>
  <c r="DJ17" i="16516"/>
  <c r="D22" i="16507"/>
  <c r="H23" i="16501"/>
  <c r="CH20" i="16516"/>
  <c r="CJ20" i="16516" s="1"/>
  <c r="CD21" i="16516"/>
  <c r="AF33" i="16504"/>
  <c r="ED14" i="16516"/>
  <c r="EF14" i="16516" s="1"/>
  <c r="DZ15" i="16516"/>
  <c r="X87" i="16513"/>
  <c r="FN10" i="16516"/>
  <c r="FN30" i="16516"/>
  <c r="FR29" i="16516"/>
  <c r="FT29" i="16516" s="1"/>
  <c r="FN65" i="16516"/>
  <c r="FR65" i="16516" s="1"/>
  <c r="FT65" i="16516" s="1"/>
  <c r="BR22" i="16516"/>
  <c r="BT22" i="16516" s="1"/>
  <c r="BN23" i="16516"/>
  <c r="I14" i="16514"/>
  <c r="I75" i="16513"/>
  <c r="AG24" i="16504"/>
  <c r="AG37" i="16504"/>
  <c r="Z93" i="16513" s="1"/>
  <c r="AG23" i="16504"/>
  <c r="AG35" i="16504"/>
  <c r="Z94" i="16513" s="1"/>
  <c r="AG22" i="16504"/>
  <c r="AG32" i="16504"/>
  <c r="AG51" i="16504"/>
  <c r="Z97" i="16513" s="1"/>
  <c r="AG31" i="16504"/>
  <c r="AG47" i="16504"/>
  <c r="Z96" i="16513" s="1"/>
  <c r="AG30" i="16504"/>
  <c r="AG45" i="16504"/>
  <c r="Z95" i="16513" s="1"/>
  <c r="AG43" i="16504"/>
  <c r="Z90" i="16513" s="1"/>
  <c r="AG39" i="16504"/>
  <c r="Z92" i="16513" s="1"/>
  <c r="AG25" i="16504"/>
  <c r="FB11" i="16516"/>
  <c r="FD11" i="16516" s="1"/>
  <c r="EX12" i="16516"/>
  <c r="DV15" i="16516"/>
  <c r="DX15" i="16516" s="1"/>
  <c r="DR16" i="16516"/>
  <c r="DF17" i="16516"/>
  <c r="DH17" i="16516" s="1"/>
  <c r="DB18" i="16516"/>
  <c r="EL13" i="16516"/>
  <c r="EN13" i="16516" s="1"/>
  <c r="EH14" i="16516"/>
  <c r="ET12" i="16516"/>
  <c r="EV12" i="16516" s="1"/>
  <c r="EP13" i="16516"/>
  <c r="CX18" i="16516"/>
  <c r="CZ18" i="16516" s="1"/>
  <c r="CT19" i="16516"/>
  <c r="FJ10" i="16516"/>
  <c r="FL10" i="16516" s="1"/>
  <c r="FF11" i="16516"/>
  <c r="CP19" i="16516"/>
  <c r="CR19" i="16516" s="1"/>
  <c r="CL20" i="16516"/>
  <c r="W86" i="16513"/>
  <c r="AE53" i="16504"/>
  <c r="AE55" i="16504" s="1"/>
  <c r="AE215" i="16461" s="1"/>
  <c r="X88" i="16513"/>
  <c r="J14" i="16514"/>
  <c r="J75" i="16513"/>
  <c r="FF31" i="16516"/>
  <c r="FJ30" i="16516"/>
  <c r="FL30" i="16516" s="1"/>
  <c r="FB31" i="16516"/>
  <c r="FD31" i="16516" s="1"/>
  <c r="EX32" i="16516"/>
  <c r="FB32" i="16516" s="1"/>
  <c r="FD32" i="16516" s="1"/>
  <c r="BJ23" i="16516"/>
  <c r="BL23" i="16516" s="1"/>
  <c r="BF24" i="16516"/>
  <c r="BJ24" i="16516" s="1"/>
  <c r="BL24" i="16516" s="1"/>
  <c r="X42" i="16501"/>
  <c r="W10" i="16514"/>
  <c r="W80" i="16513" s="1"/>
  <c r="Y10" i="16514"/>
  <c r="Y80" i="16513" s="1"/>
  <c r="BZ21" i="16516"/>
  <c r="CB21" i="16516" s="1"/>
  <c r="BV22" i="16516"/>
  <c r="AF27" i="16504"/>
  <c r="K5" i="16514" l="1"/>
  <c r="K14" i="16514" s="1"/>
  <c r="AG33" i="16504"/>
  <c r="X6" i="16514"/>
  <c r="X76" i="16513" s="1"/>
  <c r="Y42" i="16501"/>
  <c r="FJ11" i="16516"/>
  <c r="FL11" i="16516" s="1"/>
  <c r="FF12" i="16516"/>
  <c r="W6" i="16514"/>
  <c r="W76" i="16513" s="1"/>
  <c r="FB12" i="16516"/>
  <c r="FD12" i="16516" s="1"/>
  <c r="EX13" i="16516"/>
  <c r="FJ31" i="16516"/>
  <c r="FL31" i="16516" s="1"/>
  <c r="FF32" i="16516"/>
  <c r="FJ32" i="16516" s="1"/>
  <c r="FL32" i="16516" s="1"/>
  <c r="EL14" i="16516"/>
  <c r="EN14" i="16516" s="1"/>
  <c r="EH15" i="16516"/>
  <c r="FR30" i="16516"/>
  <c r="FT30" i="16516" s="1"/>
  <c r="FN31" i="16516"/>
  <c r="DN17" i="16516"/>
  <c r="DP17" i="16516" s="1"/>
  <c r="DJ18" i="16516"/>
  <c r="AH25" i="16504"/>
  <c r="AH39" i="16504"/>
  <c r="AA92" i="16513" s="1"/>
  <c r="AH24" i="16504"/>
  <c r="AH37" i="16504"/>
  <c r="AA93" i="16513" s="1"/>
  <c r="AH23" i="16504"/>
  <c r="AH35" i="16504"/>
  <c r="AA94" i="16513" s="1"/>
  <c r="AH22" i="16504"/>
  <c r="AH32" i="16504"/>
  <c r="AH51" i="16504"/>
  <c r="AA97" i="16513" s="1"/>
  <c r="AH31" i="16504"/>
  <c r="AH47" i="16504"/>
  <c r="AA96" i="16513" s="1"/>
  <c r="AH30" i="16504"/>
  <c r="AH45" i="16504"/>
  <c r="AA95" i="16513" s="1"/>
  <c r="AH43" i="16504"/>
  <c r="AA90" i="16513" s="1"/>
  <c r="J74" i="16513"/>
  <c r="CX19" i="16516"/>
  <c r="CZ19" i="16516" s="1"/>
  <c r="CT20" i="16516"/>
  <c r="I74" i="16513"/>
  <c r="FR10" i="16516"/>
  <c r="FT10" i="16516" s="1"/>
  <c r="FN11" i="16516"/>
  <c r="AF53" i="16504"/>
  <c r="AF55" i="16504" s="1"/>
  <c r="AF215" i="16461" s="1"/>
  <c r="Y88" i="16513"/>
  <c r="FV10" i="16516"/>
  <c r="FZ29" i="16516"/>
  <c r="GB29" i="16516" s="1"/>
  <c r="FV65" i="16516"/>
  <c r="FZ65" i="16516" s="1"/>
  <c r="GB65" i="16516" s="1"/>
  <c r="GB61" i="16516" s="1"/>
  <c r="FV30" i="16516"/>
  <c r="FT61" i="16516"/>
  <c r="Y87" i="16513"/>
  <c r="BL9" i="16516"/>
  <c r="J22" i="16514"/>
  <c r="J23" i="16514" s="1"/>
  <c r="J15" i="16514"/>
  <c r="J25" i="16514"/>
  <c r="J26" i="16514" s="1"/>
  <c r="Q218" i="16461"/>
  <c r="DF18" i="16516"/>
  <c r="DH18" i="16516" s="1"/>
  <c r="DB19" i="16516"/>
  <c r="I22" i="16514"/>
  <c r="I15" i="16514"/>
  <c r="I25" i="16514"/>
  <c r="P218" i="16461"/>
  <c r="X86" i="16513"/>
  <c r="CH21" i="16516"/>
  <c r="CJ21" i="16516" s="1"/>
  <c r="CD22" i="16516"/>
  <c r="BZ22" i="16516"/>
  <c r="CB22" i="16516" s="1"/>
  <c r="BV23" i="16516"/>
  <c r="BE9" i="16516"/>
  <c r="AG27" i="16504"/>
  <c r="BR23" i="16516"/>
  <c r="BT23" i="16516" s="1"/>
  <c r="BN24" i="16516"/>
  <c r="BR24" i="16516" s="1"/>
  <c r="BT24" i="16516" s="1"/>
  <c r="X20" i="16501"/>
  <c r="T19" i="16507"/>
  <c r="Z88" i="16513"/>
  <c r="AG53" i="16504"/>
  <c r="ED15" i="16516"/>
  <c r="EF15" i="16516" s="1"/>
  <c r="DZ16" i="16516"/>
  <c r="DR17" i="16516"/>
  <c r="DV16" i="16516"/>
  <c r="DX16" i="16516" s="1"/>
  <c r="CP20" i="16516"/>
  <c r="CR20" i="16516" s="1"/>
  <c r="CL21" i="16516"/>
  <c r="ET13" i="16516"/>
  <c r="EV13" i="16516" s="1"/>
  <c r="EP14" i="16516"/>
  <c r="K75" i="16513" l="1"/>
  <c r="Y6" i="16514"/>
  <c r="Y76" i="16513" s="1"/>
  <c r="DN18" i="16516"/>
  <c r="DP18" i="16516" s="1"/>
  <c r="DJ19" i="16516"/>
  <c r="K74" i="16513"/>
  <c r="Y86" i="16513"/>
  <c r="AH27" i="16504"/>
  <c r="Y20" i="16501"/>
  <c r="U19" i="16507"/>
  <c r="J45" i="16501"/>
  <c r="K22" i="16514"/>
  <c r="K23" i="16514" s="1"/>
  <c r="K15" i="16514"/>
  <c r="K25" i="16514"/>
  <c r="K26" i="16514" s="1"/>
  <c r="R218" i="16461"/>
  <c r="Z42" i="16501"/>
  <c r="FN32" i="16516"/>
  <c r="FR32" i="16516" s="1"/>
  <c r="FT32" i="16516" s="1"/>
  <c r="FR31" i="16516"/>
  <c r="FT31" i="16516" s="1"/>
  <c r="FB13" i="16516"/>
  <c r="FD13" i="16516" s="1"/>
  <c r="EX14" i="16516"/>
  <c r="BZ23" i="16516"/>
  <c r="CB23" i="16516" s="1"/>
  <c r="BV24" i="16516"/>
  <c r="BZ24" i="16516" s="1"/>
  <c r="CB24" i="16516" s="1"/>
  <c r="I26" i="16514"/>
  <c r="K45" i="16501"/>
  <c r="FR11" i="16516"/>
  <c r="FT11" i="16516" s="1"/>
  <c r="FN12" i="16516"/>
  <c r="CX20" i="16516"/>
  <c r="CZ20" i="16516" s="1"/>
  <c r="CT21" i="16516"/>
  <c r="AG55" i="16504"/>
  <c r="AG215" i="16461" s="1"/>
  <c r="Z87" i="16513"/>
  <c r="Z10" i="16514"/>
  <c r="Z80" i="16513" s="1"/>
  <c r="AH33" i="16504"/>
  <c r="EL15" i="16516"/>
  <c r="EN15" i="16516" s="1"/>
  <c r="EH16" i="16516"/>
  <c r="L5" i="16514"/>
  <c r="DV17" i="16516"/>
  <c r="DX17" i="16516" s="1"/>
  <c r="DR18" i="16516"/>
  <c r="ED16" i="16516"/>
  <c r="EF16" i="16516" s="1"/>
  <c r="DZ17" i="16516"/>
  <c r="BT9" i="16516"/>
  <c r="AI43" i="16504"/>
  <c r="AB90" i="16513" s="1"/>
  <c r="AI25" i="16504"/>
  <c r="AI39" i="16504"/>
  <c r="AB92" i="16513" s="1"/>
  <c r="AI24" i="16504"/>
  <c r="AI37" i="16504"/>
  <c r="AB93" i="16513" s="1"/>
  <c r="AI23" i="16504"/>
  <c r="AI35" i="16504"/>
  <c r="AB94" i="16513" s="1"/>
  <c r="AI22" i="16504"/>
  <c r="AI32" i="16504"/>
  <c r="AI51" i="16504"/>
  <c r="AB97" i="16513" s="1"/>
  <c r="AI31" i="16504"/>
  <c r="AI47" i="16504"/>
  <c r="AB96" i="16513" s="1"/>
  <c r="AI30" i="16504"/>
  <c r="AI45" i="16504"/>
  <c r="AB95" i="16513" s="1"/>
  <c r="CH22" i="16516"/>
  <c r="CJ22" i="16516" s="1"/>
  <c r="CD23" i="16516"/>
  <c r="I23" i="16514"/>
  <c r="FV31" i="16516"/>
  <c r="FZ30" i="16516"/>
  <c r="GB30" i="16516" s="1"/>
  <c r="ET14" i="16516"/>
  <c r="EV14" i="16516" s="1"/>
  <c r="EP15" i="16516"/>
  <c r="FZ10" i="16516"/>
  <c r="GB10" i="16516" s="1"/>
  <c r="FV11" i="16516"/>
  <c r="CP21" i="16516"/>
  <c r="CR21" i="16516" s="1"/>
  <c r="CL22" i="16516"/>
  <c r="GD10" i="16516"/>
  <c r="GH29" i="16516"/>
  <c r="GJ29" i="16516" s="1"/>
  <c r="GD65" i="16516"/>
  <c r="GH65" i="16516" s="1"/>
  <c r="GJ65" i="16516" s="1"/>
  <c r="GD30" i="16516"/>
  <c r="DF19" i="16516"/>
  <c r="DH19" i="16516" s="1"/>
  <c r="DB20" i="16516"/>
  <c r="AA10" i="16514"/>
  <c r="AA80" i="16513" s="1"/>
  <c r="FJ12" i="16516"/>
  <c r="FL12" i="16516" s="1"/>
  <c r="FF13" i="16516"/>
  <c r="AI33" i="16504" l="1"/>
  <c r="FZ11" i="16516"/>
  <c r="GB11" i="16516" s="1"/>
  <c r="FV12" i="16516"/>
  <c r="GH30" i="16516"/>
  <c r="GJ30" i="16516" s="1"/>
  <c r="GD31" i="16516"/>
  <c r="GJ61" i="16516"/>
  <c r="DV18" i="16516"/>
  <c r="DX18" i="16516" s="1"/>
  <c r="DR19" i="16516"/>
  <c r="GL10" i="16516"/>
  <c r="GL65" i="16516"/>
  <c r="GP65" i="16516" s="1"/>
  <c r="GR65" i="16516" s="1"/>
  <c r="GR61" i="16516" s="1"/>
  <c r="GL30" i="16516"/>
  <c r="GP29" i="16516"/>
  <c r="GR29" i="16516" s="1"/>
  <c r="FZ31" i="16516"/>
  <c r="GB31" i="16516" s="1"/>
  <c r="FV32" i="16516"/>
  <c r="FZ32" i="16516" s="1"/>
  <c r="GB32" i="16516" s="1"/>
  <c r="DJ20" i="16516"/>
  <c r="DN19" i="16516"/>
  <c r="DP19" i="16516" s="1"/>
  <c r="CX21" i="16516"/>
  <c r="CZ21" i="16516" s="1"/>
  <c r="CT22" i="16516"/>
  <c r="CB9" i="16516"/>
  <c r="J23" i="16501"/>
  <c r="F22" i="16507"/>
  <c r="AA87" i="16513"/>
  <c r="FJ13" i="16516"/>
  <c r="FL13" i="16516" s="1"/>
  <c r="FF14" i="16516"/>
  <c r="L14" i="16514"/>
  <c r="L75" i="16513"/>
  <c r="EL16" i="16516"/>
  <c r="EN16" i="16516" s="1"/>
  <c r="EH17" i="16516"/>
  <c r="Z86" i="16513"/>
  <c r="Z20" i="16501"/>
  <c r="V19" i="16507"/>
  <c r="AA88" i="16513"/>
  <c r="AH53" i="16504"/>
  <c r="AH55" i="16504" s="1"/>
  <c r="AH215" i="16461" s="1"/>
  <c r="AB88" i="16513"/>
  <c r="AI53" i="16504"/>
  <c r="AJ30" i="16504"/>
  <c r="AJ45" i="16504"/>
  <c r="AC95" i="16513" s="1"/>
  <c r="AJ43" i="16504"/>
  <c r="AC90" i="16513" s="1"/>
  <c r="AJ25" i="16504"/>
  <c r="AJ39" i="16504"/>
  <c r="AC92" i="16513" s="1"/>
  <c r="AJ24" i="16504"/>
  <c r="AJ37" i="16504"/>
  <c r="AC93" i="16513" s="1"/>
  <c r="AJ23" i="16504"/>
  <c r="AJ35" i="16504"/>
  <c r="AC94" i="16513" s="1"/>
  <c r="AJ22" i="16504"/>
  <c r="AJ32" i="16504"/>
  <c r="AJ51" i="16504"/>
  <c r="AC97" i="16513" s="1"/>
  <c r="AJ47" i="16504"/>
  <c r="AC96" i="16513" s="1"/>
  <c r="AJ31" i="16504"/>
  <c r="CP22" i="16516"/>
  <c r="CR22" i="16516" s="1"/>
  <c r="CL23" i="16516"/>
  <c r="CH23" i="16516"/>
  <c r="CJ23" i="16516" s="1"/>
  <c r="CD24" i="16516"/>
  <c r="CH24" i="16516" s="1"/>
  <c r="CJ24" i="16516" s="1"/>
  <c r="AI27" i="16504"/>
  <c r="M5" i="16514"/>
  <c r="BU9" i="16516"/>
  <c r="BM9" i="16516"/>
  <c r="AA42" i="16501"/>
  <c r="FR12" i="16516"/>
  <c r="FT12" i="16516" s="1"/>
  <c r="FN13" i="16516"/>
  <c r="FB14" i="16516"/>
  <c r="FD14" i="16516" s="1"/>
  <c r="EX15" i="16516"/>
  <c r="L45" i="16501"/>
  <c r="K23" i="16501"/>
  <c r="G22" i="16507"/>
  <c r="GH10" i="16516"/>
  <c r="GJ10" i="16516" s="1"/>
  <c r="GD11" i="16516"/>
  <c r="ET15" i="16516"/>
  <c r="EV15" i="16516" s="1"/>
  <c r="EP16" i="16516"/>
  <c r="DF20" i="16516"/>
  <c r="DH20" i="16516" s="1"/>
  <c r="DB21" i="16516"/>
  <c r="ED17" i="16516"/>
  <c r="EF17" i="16516" s="1"/>
  <c r="DZ18" i="16516"/>
  <c r="CJ9" i="16516" l="1"/>
  <c r="O5" i="16514" s="1"/>
  <c r="AA6" i="16514"/>
  <c r="AA76" i="16513" s="1"/>
  <c r="AB42" i="16501"/>
  <c r="FJ14" i="16516"/>
  <c r="FL14" i="16516" s="1"/>
  <c r="FF15" i="16516"/>
  <c r="W19" i="16507"/>
  <c r="AA20" i="16501"/>
  <c r="CP23" i="16516"/>
  <c r="CR23" i="16516" s="1"/>
  <c r="CL24" i="16516"/>
  <c r="CP24" i="16516" s="1"/>
  <c r="CR24" i="16516" s="1"/>
  <c r="DN20" i="16516"/>
  <c r="DP20" i="16516" s="1"/>
  <c r="DJ21" i="16516"/>
  <c r="L74" i="16513"/>
  <c r="AJ27" i="16504"/>
  <c r="L15" i="16514"/>
  <c r="L25" i="16514"/>
  <c r="L22" i="16514"/>
  <c r="S218" i="16461"/>
  <c r="GP30" i="16516"/>
  <c r="GR30" i="16516" s="1"/>
  <c r="GL31" i="16516"/>
  <c r="AB10" i="16514"/>
  <c r="AB80" i="16513" s="1"/>
  <c r="GH31" i="16516"/>
  <c r="GJ31" i="16516" s="1"/>
  <c r="GD32" i="16516"/>
  <c r="GH32" i="16516" s="1"/>
  <c r="GJ32" i="16516" s="1"/>
  <c r="Z6" i="16514"/>
  <c r="Z76" i="16513" s="1"/>
  <c r="ET16" i="16516"/>
  <c r="EV16" i="16516" s="1"/>
  <c r="EP17" i="16516"/>
  <c r="AJ33" i="16504"/>
  <c r="AC10" i="16514"/>
  <c r="AC80" i="16513" s="1"/>
  <c r="DF21" i="16516"/>
  <c r="DH21" i="16516" s="1"/>
  <c r="DB22" i="16516"/>
  <c r="EL17" i="16516"/>
  <c r="EN17" i="16516" s="1"/>
  <c r="EH18" i="16516"/>
  <c r="GT10" i="16516"/>
  <c r="GX29" i="16516"/>
  <c r="GZ29" i="16516" s="1"/>
  <c r="GT65" i="16516"/>
  <c r="GX65" i="16516" s="1"/>
  <c r="GZ65" i="16516" s="1"/>
  <c r="GT30" i="16516"/>
  <c r="ED18" i="16516"/>
  <c r="EF18" i="16516" s="1"/>
  <c r="DZ19" i="16516"/>
  <c r="AA86" i="16513"/>
  <c r="CC9" i="16516"/>
  <c r="N5" i="16514"/>
  <c r="GP10" i="16516"/>
  <c r="GR10" i="16516" s="1"/>
  <c r="GL11" i="16516"/>
  <c r="FZ12" i="16516"/>
  <c r="GB12" i="16516" s="1"/>
  <c r="FV13" i="16516"/>
  <c r="H22" i="16507"/>
  <c r="L23" i="16501"/>
  <c r="GH11" i="16516"/>
  <c r="GJ11" i="16516" s="1"/>
  <c r="GD12" i="16516"/>
  <c r="FB15" i="16516"/>
  <c r="FD15" i="16516" s="1"/>
  <c r="EX16" i="16516"/>
  <c r="M14" i="16514"/>
  <c r="M75" i="16513"/>
  <c r="FR13" i="16516"/>
  <c r="FT13" i="16516" s="1"/>
  <c r="FN14" i="16516"/>
  <c r="AI55" i="16504"/>
  <c r="AI215" i="16461" s="1"/>
  <c r="AB87" i="16513"/>
  <c r="CX22" i="16516"/>
  <c r="CZ22" i="16516" s="1"/>
  <c r="CT23" i="16516"/>
  <c r="AK31" i="16504"/>
  <c r="AK47" i="16504"/>
  <c r="AD96" i="16513" s="1"/>
  <c r="AK30" i="16504"/>
  <c r="AK45" i="16504"/>
  <c r="AD95" i="16513" s="1"/>
  <c r="AK43" i="16504"/>
  <c r="AD90" i="16513" s="1"/>
  <c r="AK25" i="16504"/>
  <c r="AK39" i="16504"/>
  <c r="AD92" i="16513" s="1"/>
  <c r="AK24" i="16504"/>
  <c r="AK37" i="16504"/>
  <c r="AD93" i="16513" s="1"/>
  <c r="AK23" i="16504"/>
  <c r="AK35" i="16504"/>
  <c r="AD94" i="16513" s="1"/>
  <c r="AK22" i="16504"/>
  <c r="AK51" i="16504"/>
  <c r="AD97" i="16513" s="1"/>
  <c r="AK32" i="16504"/>
  <c r="DV19" i="16516"/>
  <c r="DX19" i="16516" s="1"/>
  <c r="DR20" i="16516"/>
  <c r="CK9" i="16516" l="1"/>
  <c r="AK27" i="16504"/>
  <c r="CR9" i="16516"/>
  <c r="P5" i="16514" s="1"/>
  <c r="AK33" i="16504"/>
  <c r="AC42" i="16501"/>
  <c r="FZ13" i="16516"/>
  <c r="GB13" i="16516" s="1"/>
  <c r="FV14" i="16516"/>
  <c r="DF22" i="16516"/>
  <c r="DH22" i="16516" s="1"/>
  <c r="DB23" i="16516"/>
  <c r="ET17" i="16516"/>
  <c r="EV17" i="16516" s="1"/>
  <c r="EP18" i="16516"/>
  <c r="M45" i="16501"/>
  <c r="AB86" i="16513"/>
  <c r="FR14" i="16516"/>
  <c r="FT14" i="16516" s="1"/>
  <c r="FN15" i="16516"/>
  <c r="GH12" i="16516"/>
  <c r="GJ12" i="16516" s="1"/>
  <c r="GD13" i="16516"/>
  <c r="GL32" i="16516"/>
  <c r="GP32" i="16516" s="1"/>
  <c r="GR32" i="16516" s="1"/>
  <c r="GP31" i="16516"/>
  <c r="GR31" i="16516" s="1"/>
  <c r="L23" i="16514"/>
  <c r="X19" i="16507"/>
  <c r="AB20" i="16501"/>
  <c r="GT31" i="16516"/>
  <c r="GX30" i="16516"/>
  <c r="GZ30" i="16516" s="1"/>
  <c r="L26" i="16514"/>
  <c r="O14" i="16514"/>
  <c r="O75" i="16513"/>
  <c r="AD87" i="16513"/>
  <c r="DV20" i="16516"/>
  <c r="DX20" i="16516" s="1"/>
  <c r="DR21" i="16516"/>
  <c r="CX23" i="16516"/>
  <c r="CZ23" i="16516" s="1"/>
  <c r="CT24" i="16516"/>
  <c r="CX24" i="16516" s="1"/>
  <c r="CZ24" i="16516" s="1"/>
  <c r="M74" i="16513"/>
  <c r="GP11" i="16516"/>
  <c r="GR11" i="16516" s="1"/>
  <c r="GL12" i="16516"/>
  <c r="GZ61" i="16516"/>
  <c r="HB10" i="16516"/>
  <c r="HB30" i="16516"/>
  <c r="HF29" i="16516"/>
  <c r="HH29" i="16516" s="1"/>
  <c r="HB65" i="16516"/>
  <c r="HF65" i="16516" s="1"/>
  <c r="HH65" i="16516" s="1"/>
  <c r="HH61" i="16516" s="1"/>
  <c r="DN21" i="16516"/>
  <c r="DP21" i="16516" s="1"/>
  <c r="DJ22" i="16516"/>
  <c r="M15" i="16514"/>
  <c r="M25" i="16514"/>
  <c r="M26" i="16514" s="1"/>
  <c r="M22" i="16514"/>
  <c r="M23" i="16514" s="1"/>
  <c r="T218" i="16461"/>
  <c r="AL32" i="16504"/>
  <c r="AL51" i="16504"/>
  <c r="AE97" i="16513" s="1"/>
  <c r="AL31" i="16504"/>
  <c r="AL47" i="16504"/>
  <c r="AE96" i="16513" s="1"/>
  <c r="AL30" i="16504"/>
  <c r="AL45" i="16504"/>
  <c r="AE95" i="16513" s="1"/>
  <c r="AL43" i="16504"/>
  <c r="AE90" i="16513" s="1"/>
  <c r="AL25" i="16504"/>
  <c r="AL39" i="16504"/>
  <c r="AE92" i="16513" s="1"/>
  <c r="AL24" i="16504"/>
  <c r="AL37" i="16504"/>
  <c r="AE93" i="16513" s="1"/>
  <c r="AL23" i="16504"/>
  <c r="AL35" i="16504"/>
  <c r="AE94" i="16513" s="1"/>
  <c r="AL22" i="16504"/>
  <c r="AC87" i="16513"/>
  <c r="AC88" i="16513"/>
  <c r="AJ53" i="16504"/>
  <c r="AJ55" i="16504" s="1"/>
  <c r="AJ215" i="16461" s="1"/>
  <c r="FB16" i="16516"/>
  <c r="FD16" i="16516" s="1"/>
  <c r="EX17" i="16516"/>
  <c r="N14" i="16514"/>
  <c r="N75" i="16513"/>
  <c r="GX10" i="16516"/>
  <c r="GZ10" i="16516" s="1"/>
  <c r="GT11" i="16516"/>
  <c r="ED19" i="16516"/>
  <c r="EF19" i="16516" s="1"/>
  <c r="DZ20" i="16516"/>
  <c r="EH19" i="16516"/>
  <c r="EL18" i="16516"/>
  <c r="EN18" i="16516" s="1"/>
  <c r="FJ15" i="16516"/>
  <c r="FL15" i="16516" s="1"/>
  <c r="FF16" i="16516"/>
  <c r="CS9" i="16516" l="1"/>
  <c r="AL33" i="16504"/>
  <c r="AD42" i="16501"/>
  <c r="CZ9" i="16516"/>
  <c r="I22" i="16507"/>
  <c r="M23" i="16501"/>
  <c r="FB17" i="16516"/>
  <c r="FD17" i="16516" s="1"/>
  <c r="EX18" i="16516"/>
  <c r="AD10" i="16514"/>
  <c r="AD80" i="16513" s="1"/>
  <c r="DV21" i="16516"/>
  <c r="DX21" i="16516" s="1"/>
  <c r="DR22" i="16516"/>
  <c r="Y19" i="16507"/>
  <c r="AC20" i="16501"/>
  <c r="ED20" i="16516"/>
  <c r="EF20" i="16516" s="1"/>
  <c r="DZ21" i="16516"/>
  <c r="O15" i="16514"/>
  <c r="O25" i="16514"/>
  <c r="O26" i="16514" s="1"/>
  <c r="O22" i="16514"/>
  <c r="O23" i="16514" s="1"/>
  <c r="V218" i="16461"/>
  <c r="AC86" i="16513"/>
  <c r="N45" i="16501"/>
  <c r="AE10" i="16514"/>
  <c r="AE80" i="16513" s="1"/>
  <c r="GP12" i="16516"/>
  <c r="GR12" i="16516" s="1"/>
  <c r="GL13" i="16516"/>
  <c r="HJ10" i="16516"/>
  <c r="HN29" i="16516"/>
  <c r="HP29" i="16516" s="1"/>
  <c r="HJ65" i="16516"/>
  <c r="HN65" i="16516" s="1"/>
  <c r="HP65" i="16516" s="1"/>
  <c r="HJ30" i="16516"/>
  <c r="ET18" i="16516"/>
  <c r="EV18" i="16516" s="1"/>
  <c r="EP19" i="16516"/>
  <c r="AD88" i="16513"/>
  <c r="AD86" i="16513" s="1"/>
  <c r="AK53" i="16504"/>
  <c r="AK55" i="16504" s="1"/>
  <c r="AK215" i="16461" s="1"/>
  <c r="AE88" i="16513"/>
  <c r="AL53" i="16504"/>
  <c r="GH13" i="16516"/>
  <c r="GJ13" i="16516" s="1"/>
  <c r="GD14" i="16516"/>
  <c r="AM22" i="16504"/>
  <c r="AM32" i="16504"/>
  <c r="AM51" i="16504"/>
  <c r="AF97" i="16513" s="1"/>
  <c r="AM31" i="16504"/>
  <c r="AM47" i="16504"/>
  <c r="AF96" i="16513" s="1"/>
  <c r="AM30" i="16504"/>
  <c r="AM45" i="16504"/>
  <c r="AF95" i="16513" s="1"/>
  <c r="AM43" i="16504"/>
  <c r="AF90" i="16513" s="1"/>
  <c r="AM25" i="16504"/>
  <c r="AM39" i="16504"/>
  <c r="AF92" i="16513" s="1"/>
  <c r="AM24" i="16504"/>
  <c r="AM37" i="16504"/>
  <c r="AF93" i="16513" s="1"/>
  <c r="AM23" i="16504"/>
  <c r="AM35" i="16504"/>
  <c r="AF94" i="16513" s="1"/>
  <c r="HF30" i="16516"/>
  <c r="HH30" i="16516" s="1"/>
  <c r="HB31" i="16516"/>
  <c r="P14" i="16514"/>
  <c r="P75" i="16513"/>
  <c r="DF23" i="16516"/>
  <c r="DH23" i="16516" s="1"/>
  <c r="DB24" i="16516"/>
  <c r="DF24" i="16516" s="1"/>
  <c r="DH24" i="16516" s="1"/>
  <c r="GX31" i="16516"/>
  <c r="GZ31" i="16516" s="1"/>
  <c r="GT32" i="16516"/>
  <c r="GX32" i="16516" s="1"/>
  <c r="GZ32" i="16516" s="1"/>
  <c r="FR15" i="16516"/>
  <c r="FT15" i="16516" s="1"/>
  <c r="FN16" i="16516"/>
  <c r="N15" i="16514"/>
  <c r="N25" i="16514"/>
  <c r="N22" i="16514"/>
  <c r="N23" i="16514" s="1"/>
  <c r="U218" i="16461"/>
  <c r="AB6" i="16514"/>
  <c r="AB76" i="16513" s="1"/>
  <c r="GX11" i="16516"/>
  <c r="GZ11" i="16516" s="1"/>
  <c r="GT12" i="16516"/>
  <c r="FJ16" i="16516"/>
  <c r="FL16" i="16516" s="1"/>
  <c r="FF17" i="16516"/>
  <c r="HF10" i="16516"/>
  <c r="HH10" i="16516" s="1"/>
  <c r="HB11" i="16516"/>
  <c r="EL19" i="16516"/>
  <c r="EN19" i="16516" s="1"/>
  <c r="EH20" i="16516"/>
  <c r="N74" i="16513"/>
  <c r="AL27" i="16504"/>
  <c r="DN22" i="16516"/>
  <c r="DP22" i="16516" s="1"/>
  <c r="DJ23" i="16516"/>
  <c r="O74" i="16513"/>
  <c r="FZ14" i="16516"/>
  <c r="GB14" i="16516" s="1"/>
  <c r="FV15" i="16516"/>
  <c r="DH9" i="16516" l="1"/>
  <c r="R5" i="16514" s="1"/>
  <c r="AL55" i="16504"/>
  <c r="AL215" i="16461" s="1"/>
  <c r="AE87" i="16513"/>
  <c r="FJ17" i="16516"/>
  <c r="FL17" i="16516" s="1"/>
  <c r="FF18" i="16516"/>
  <c r="AM27" i="16504"/>
  <c r="GH14" i="16516"/>
  <c r="GJ14" i="16516" s="1"/>
  <c r="GD15" i="16516"/>
  <c r="HN10" i="16516"/>
  <c r="HP10" i="16516" s="1"/>
  <c r="HJ11" i="16516"/>
  <c r="P45" i="16501"/>
  <c r="Z19" i="16507"/>
  <c r="AD20" i="16501"/>
  <c r="P74" i="16513"/>
  <c r="AE42" i="16501"/>
  <c r="FB18" i="16516"/>
  <c r="FD18" i="16516" s="1"/>
  <c r="EX19" i="16516"/>
  <c r="Q5" i="16514"/>
  <c r="DA9" i="16516"/>
  <c r="P22" i="16514"/>
  <c r="P23" i="16514" s="1"/>
  <c r="P15" i="16514"/>
  <c r="P25" i="16514"/>
  <c r="P26" i="16514" s="1"/>
  <c r="W218" i="16461"/>
  <c r="AM33" i="16504"/>
  <c r="DV22" i="16516"/>
  <c r="DX22" i="16516" s="1"/>
  <c r="DR23" i="16516"/>
  <c r="AN23" i="16504"/>
  <c r="AN35" i="16504"/>
  <c r="AG94" i="16513" s="1"/>
  <c r="AN22" i="16504"/>
  <c r="AN32" i="16504"/>
  <c r="AN51" i="16504"/>
  <c r="AG97" i="16513" s="1"/>
  <c r="AN31" i="16504"/>
  <c r="AN47" i="16504"/>
  <c r="AG96" i="16513" s="1"/>
  <c r="AN30" i="16504"/>
  <c r="AN45" i="16504"/>
  <c r="AG95" i="16513" s="1"/>
  <c r="AN43" i="16504"/>
  <c r="AG90" i="16513" s="1"/>
  <c r="AN25" i="16504"/>
  <c r="AN39" i="16504"/>
  <c r="AG92" i="16513" s="1"/>
  <c r="AN24" i="16504"/>
  <c r="AN37" i="16504"/>
  <c r="AG93" i="16513" s="1"/>
  <c r="O45" i="16501"/>
  <c r="N26" i="16514"/>
  <c r="FR16" i="16516"/>
  <c r="FT16" i="16516" s="1"/>
  <c r="FN17" i="16516"/>
  <c r="ET19" i="16516"/>
  <c r="EV19" i="16516" s="1"/>
  <c r="EP20" i="16516"/>
  <c r="HR10" i="16516"/>
  <c r="HV29" i="16516"/>
  <c r="HX29" i="16516" s="1"/>
  <c r="HR65" i="16516"/>
  <c r="HV65" i="16516" s="1"/>
  <c r="HX65" i="16516" s="1"/>
  <c r="HX61" i="16516" s="1"/>
  <c r="HR30" i="16516"/>
  <c r="HP61" i="16516"/>
  <c r="AC6" i="16514"/>
  <c r="AC76" i="16513" s="1"/>
  <c r="FZ15" i="16516"/>
  <c r="GB15" i="16516" s="1"/>
  <c r="FV16" i="16516"/>
  <c r="GP13" i="16516"/>
  <c r="GR13" i="16516" s="1"/>
  <c r="GL14" i="16516"/>
  <c r="J22" i="16507"/>
  <c r="N23" i="16501"/>
  <c r="DZ22" i="16516"/>
  <c r="ED21" i="16516"/>
  <c r="EF21" i="16516" s="1"/>
  <c r="GX12" i="16516"/>
  <c r="GZ12" i="16516" s="1"/>
  <c r="GT13" i="16516"/>
  <c r="EL20" i="16516"/>
  <c r="EN20" i="16516" s="1"/>
  <c r="EH21" i="16516"/>
  <c r="DN23" i="16516"/>
  <c r="DP23" i="16516" s="1"/>
  <c r="DJ24" i="16516"/>
  <c r="DN24" i="16516" s="1"/>
  <c r="DP24" i="16516" s="1"/>
  <c r="HF11" i="16516"/>
  <c r="HH11" i="16516" s="1"/>
  <c r="HB12" i="16516"/>
  <c r="HB32" i="16516"/>
  <c r="HF32" i="16516" s="1"/>
  <c r="HH32" i="16516" s="1"/>
  <c r="HF31" i="16516"/>
  <c r="HH31" i="16516" s="1"/>
  <c r="HN30" i="16516"/>
  <c r="HP30" i="16516" s="1"/>
  <c r="HJ31" i="16516"/>
  <c r="DI9" i="16516" l="1"/>
  <c r="DP9" i="16516"/>
  <c r="DQ9" i="16516" s="1"/>
  <c r="AN27" i="16504"/>
  <c r="AG87" i="16513" s="1"/>
  <c r="AN33" i="16504"/>
  <c r="AN53" i="16504" s="1"/>
  <c r="HV10" i="16516"/>
  <c r="HX10" i="16516" s="1"/>
  <c r="HR11" i="16516"/>
  <c r="AM53" i="16504"/>
  <c r="AM55" i="16504" s="1"/>
  <c r="AM215" i="16461" s="1"/>
  <c r="AF88" i="16513"/>
  <c r="AE86" i="16513"/>
  <c r="AE20" i="16501"/>
  <c r="AA19" i="16507"/>
  <c r="HN11" i="16516"/>
  <c r="HP11" i="16516" s="1"/>
  <c r="HJ12" i="16516"/>
  <c r="GP14" i="16516"/>
  <c r="GR14" i="16516" s="1"/>
  <c r="GL15" i="16516"/>
  <c r="R14" i="16514"/>
  <c r="R75" i="16513"/>
  <c r="AF42" i="16501"/>
  <c r="DV23" i="16516"/>
  <c r="DX23" i="16516" s="1"/>
  <c r="DR24" i="16516"/>
  <c r="DV24" i="16516" s="1"/>
  <c r="DX24" i="16516" s="1"/>
  <c r="Q45" i="16501"/>
  <c r="L22" i="16507"/>
  <c r="P23" i="16501"/>
  <c r="GH15" i="16516"/>
  <c r="GJ15" i="16516" s="1"/>
  <c r="GD16" i="16516"/>
  <c r="K22" i="16507"/>
  <c r="O23" i="16501"/>
  <c r="Q14" i="16514"/>
  <c r="Q75" i="16513"/>
  <c r="HZ10" i="16516"/>
  <c r="HZ30" i="16516"/>
  <c r="ID29" i="16516"/>
  <c r="IF29" i="16516" s="1"/>
  <c r="HZ65" i="16516"/>
  <c r="ID65" i="16516" s="1"/>
  <c r="IF65" i="16516" s="1"/>
  <c r="HF12" i="16516"/>
  <c r="HH12" i="16516" s="1"/>
  <c r="HB13" i="16516"/>
  <c r="GX13" i="16516"/>
  <c r="GZ13" i="16516" s="1"/>
  <c r="GT14" i="16516"/>
  <c r="AF10" i="16514"/>
  <c r="AF80" i="16513" s="1"/>
  <c r="FB19" i="16516"/>
  <c r="FD19" i="16516" s="1"/>
  <c r="EX20" i="16516"/>
  <c r="AO24" i="16504"/>
  <c r="AO37" i="16504"/>
  <c r="AH93" i="16513" s="1"/>
  <c r="AO23" i="16504"/>
  <c r="AO35" i="16504"/>
  <c r="AH94" i="16513" s="1"/>
  <c r="AO22" i="16504"/>
  <c r="AO32" i="16504"/>
  <c r="AO51" i="16504"/>
  <c r="AH97" i="16513" s="1"/>
  <c r="AO31" i="16504"/>
  <c r="AO47" i="16504"/>
  <c r="AH96" i="16513" s="1"/>
  <c r="AO30" i="16504"/>
  <c r="AO45" i="16504"/>
  <c r="AH95" i="16513" s="1"/>
  <c r="AO43" i="16504"/>
  <c r="AH90" i="16513" s="1"/>
  <c r="AO39" i="16504"/>
  <c r="AH92" i="16513" s="1"/>
  <c r="AO25" i="16504"/>
  <c r="AF87" i="16513"/>
  <c r="EL21" i="16516"/>
  <c r="EN21" i="16516" s="1"/>
  <c r="EH22" i="16516"/>
  <c r="ED22" i="16516"/>
  <c r="EF22" i="16516" s="1"/>
  <c r="DZ23" i="16516"/>
  <c r="HR31" i="16516"/>
  <c r="HV30" i="16516"/>
  <c r="HX30" i="16516" s="1"/>
  <c r="AD6" i="16514"/>
  <c r="AD76" i="16513" s="1"/>
  <c r="ET20" i="16516"/>
  <c r="EV20" i="16516" s="1"/>
  <c r="EP21" i="16516"/>
  <c r="HN31" i="16516"/>
  <c r="HP31" i="16516" s="1"/>
  <c r="HJ32" i="16516"/>
  <c r="HN32" i="16516" s="1"/>
  <c r="HP32" i="16516" s="1"/>
  <c r="FZ16" i="16516"/>
  <c r="GB16" i="16516" s="1"/>
  <c r="FV17" i="16516"/>
  <c r="AG10" i="16514"/>
  <c r="AG80" i="16513" s="1"/>
  <c r="FR17" i="16516"/>
  <c r="FT17" i="16516" s="1"/>
  <c r="FN18" i="16516"/>
  <c r="FJ18" i="16516"/>
  <c r="FL18" i="16516" s="1"/>
  <c r="FF19" i="16516"/>
  <c r="AG88" i="16513" l="1"/>
  <c r="AN55" i="16504"/>
  <c r="AN215" i="16461" s="1"/>
  <c r="S5" i="16514"/>
  <c r="S14" i="16514" s="1"/>
  <c r="DX9" i="16516"/>
  <c r="T5" i="16514" s="1"/>
  <c r="AF6" i="16514"/>
  <c r="AF76" i="16513" s="1"/>
  <c r="AO27" i="16504"/>
  <c r="AH87" i="16513" s="1"/>
  <c r="AO33" i="16504"/>
  <c r="AO53" i="16504" s="1"/>
  <c r="AH42" i="16501"/>
  <c r="R74" i="16513"/>
  <c r="IF61" i="16516"/>
  <c r="R22" i="16514"/>
  <c r="R23" i="16514" s="1"/>
  <c r="R15" i="16514"/>
  <c r="R25" i="16514"/>
  <c r="R26" i="16514" s="1"/>
  <c r="Y218" i="16461"/>
  <c r="AG86" i="16513"/>
  <c r="ET21" i="16516"/>
  <c r="EV21" i="16516" s="1"/>
  <c r="EP22" i="16516"/>
  <c r="FR18" i="16516"/>
  <c r="FT18" i="16516" s="1"/>
  <c r="FN19" i="16516"/>
  <c r="GX14" i="16516"/>
  <c r="GZ14" i="16516" s="1"/>
  <c r="GT15" i="16516"/>
  <c r="ID30" i="16516"/>
  <c r="IF30" i="16516" s="1"/>
  <c r="HZ31" i="16516"/>
  <c r="AE6" i="16514"/>
  <c r="AE76" i="16513" s="1"/>
  <c r="EL22" i="16516"/>
  <c r="EN22" i="16516" s="1"/>
  <c r="EH23" i="16516"/>
  <c r="AP25" i="16504"/>
  <c r="L25" i="16504" s="1"/>
  <c r="AP39" i="16504"/>
  <c r="AP24" i="16504"/>
  <c r="L24" i="16504" s="1"/>
  <c r="AP37" i="16504"/>
  <c r="AP23" i="16504"/>
  <c r="L23" i="16504" s="1"/>
  <c r="AP35" i="16504"/>
  <c r="AP22" i="16504"/>
  <c r="AP32" i="16504"/>
  <c r="L32" i="16504" s="1"/>
  <c r="AP51" i="16504"/>
  <c r="AP31" i="16504"/>
  <c r="L31" i="16504" s="1"/>
  <c r="AP47" i="16504"/>
  <c r="AP30" i="16504"/>
  <c r="AP45" i="16504"/>
  <c r="AP43" i="16504"/>
  <c r="HV31" i="16516"/>
  <c r="HX31" i="16516" s="1"/>
  <c r="HR32" i="16516"/>
  <c r="HV32" i="16516" s="1"/>
  <c r="HX32" i="16516" s="1"/>
  <c r="HZ11" i="16516"/>
  <c r="ID10" i="16516"/>
  <c r="IF10" i="16516" s="1"/>
  <c r="GP15" i="16516"/>
  <c r="GR15" i="16516" s="1"/>
  <c r="GL16" i="16516"/>
  <c r="HV11" i="16516"/>
  <c r="HX11" i="16516" s="1"/>
  <c r="HR12" i="16516"/>
  <c r="M22" i="16507"/>
  <c r="Q23" i="16501"/>
  <c r="IH10" i="16516"/>
  <c r="IL29" i="16516"/>
  <c r="IN29" i="16516" s="1"/>
  <c r="IH65" i="16516"/>
  <c r="IL65" i="16516" s="1"/>
  <c r="IN65" i="16516" s="1"/>
  <c r="IN61" i="16516" s="1"/>
  <c r="IH30" i="16516"/>
  <c r="FZ17" i="16516"/>
  <c r="GB17" i="16516" s="1"/>
  <c r="FV18" i="16516"/>
  <c r="ED23" i="16516"/>
  <c r="EF23" i="16516" s="1"/>
  <c r="DZ24" i="16516"/>
  <c r="ED24" i="16516" s="1"/>
  <c r="EF24" i="16516" s="1"/>
  <c r="AF86" i="16513"/>
  <c r="HF13" i="16516"/>
  <c r="HH13" i="16516" s="1"/>
  <c r="HB14" i="16516"/>
  <c r="Q74" i="16513"/>
  <c r="AG42" i="16501"/>
  <c r="FB20" i="16516"/>
  <c r="FD20" i="16516" s="1"/>
  <c r="EX21" i="16516"/>
  <c r="Q22" i="16514"/>
  <c r="Q23" i="16514" s="1"/>
  <c r="Q15" i="16514"/>
  <c r="Q25" i="16514"/>
  <c r="X218" i="16461"/>
  <c r="GH16" i="16516"/>
  <c r="GJ16" i="16516" s="1"/>
  <c r="GD17" i="16516"/>
  <c r="HN12" i="16516"/>
  <c r="HP12" i="16516" s="1"/>
  <c r="HJ13" i="16516"/>
  <c r="FJ19" i="16516"/>
  <c r="FL19" i="16516" s="1"/>
  <c r="FF20" i="16516"/>
  <c r="AF20" i="16501"/>
  <c r="AB19" i="16507"/>
  <c r="S75" i="16513" l="1"/>
  <c r="S74" i="16513" s="1"/>
  <c r="DY9" i="16516"/>
  <c r="AH88" i="16513"/>
  <c r="AO55" i="16504"/>
  <c r="AO215" i="16461" s="1"/>
  <c r="AG6" i="16514"/>
  <c r="AG76" i="16513" s="1"/>
  <c r="HZ32" i="16516"/>
  <c r="ID32" i="16516" s="1"/>
  <c r="IF32" i="16516" s="1"/>
  <c r="ID31" i="16516"/>
  <c r="IF31" i="16516" s="1"/>
  <c r="ET22" i="16516"/>
  <c r="EV22" i="16516" s="1"/>
  <c r="EP23" i="16516"/>
  <c r="HF14" i="16516"/>
  <c r="HH14" i="16516" s="1"/>
  <c r="HB15" i="16516"/>
  <c r="AI10" i="16514"/>
  <c r="HV12" i="16516"/>
  <c r="HX12" i="16516" s="1"/>
  <c r="HR13" i="16516"/>
  <c r="AI92" i="16513"/>
  <c r="L39" i="16504"/>
  <c r="AH20" i="16501"/>
  <c r="AD19" i="16507"/>
  <c r="IH31" i="16516"/>
  <c r="IL30" i="16516"/>
  <c r="IN30" i="16516" s="1"/>
  <c r="FB21" i="16516"/>
  <c r="FD21" i="16516" s="1"/>
  <c r="EX22" i="16516"/>
  <c r="AI97" i="16513"/>
  <c r="L51" i="16504"/>
  <c r="GX15" i="16516"/>
  <c r="GZ15" i="16516" s="1"/>
  <c r="GT16" i="16516"/>
  <c r="AH86" i="16513"/>
  <c r="H61" i="16516"/>
  <c r="AP33" i="16504"/>
  <c r="L30" i="16504"/>
  <c r="L33" i="16504" s="1"/>
  <c r="HN13" i="16516"/>
  <c r="HP13" i="16516" s="1"/>
  <c r="HJ14" i="16516"/>
  <c r="GH17" i="16516"/>
  <c r="GJ17" i="16516" s="1"/>
  <c r="GD18" i="16516"/>
  <c r="IL10" i="16516"/>
  <c r="IN10" i="16516" s="1"/>
  <c r="IH11" i="16516"/>
  <c r="AI42" i="16501"/>
  <c r="AH10" i="16514"/>
  <c r="AH80" i="16513" s="1"/>
  <c r="ID11" i="16516"/>
  <c r="IF11" i="16516" s="1"/>
  <c r="HZ12" i="16516"/>
  <c r="S22" i="16514"/>
  <c r="S23" i="16514" s="1"/>
  <c r="S15" i="16514"/>
  <c r="S25" i="16514"/>
  <c r="S26" i="16514" s="1"/>
  <c r="Z218" i="16461"/>
  <c r="EL23" i="16516"/>
  <c r="EN23" i="16516" s="1"/>
  <c r="EH24" i="16516"/>
  <c r="EL24" i="16516" s="1"/>
  <c r="EN24" i="16516" s="1"/>
  <c r="EF9" i="16516"/>
  <c r="GP16" i="16516"/>
  <c r="GR16" i="16516" s="1"/>
  <c r="GL17" i="16516"/>
  <c r="AP27" i="16504"/>
  <c r="L22" i="16504"/>
  <c r="T14" i="16514"/>
  <c r="T75" i="16513"/>
  <c r="AI90" i="16513"/>
  <c r="L43" i="16504"/>
  <c r="AI94" i="16513"/>
  <c r="L35" i="16504"/>
  <c r="AI93" i="16513"/>
  <c r="L37" i="16504"/>
  <c r="FR19" i="16516"/>
  <c r="FT19" i="16516" s="1"/>
  <c r="FN20" i="16516"/>
  <c r="S45" i="16501"/>
  <c r="AI96" i="16513"/>
  <c r="L47" i="16504"/>
  <c r="R45" i="16501"/>
  <c r="FJ20" i="16516"/>
  <c r="FL20" i="16516" s="1"/>
  <c r="FF21" i="16516"/>
  <c r="Q26" i="16514"/>
  <c r="AG20" i="16501"/>
  <c r="AC19" i="16507"/>
  <c r="FZ18" i="16516"/>
  <c r="GB18" i="16516" s="1"/>
  <c r="FV19" i="16516"/>
  <c r="AI95" i="16513"/>
  <c r="L45" i="16504"/>
  <c r="AH6" i="16514" l="1"/>
  <c r="AH76" i="16513" s="1"/>
  <c r="EN9" i="16516"/>
  <c r="EO9" i="16516" s="1"/>
  <c r="AG61" i="16516"/>
  <c r="AW61" i="16516"/>
  <c r="AO61" i="16516"/>
  <c r="Y61" i="16516"/>
  <c r="P61" i="16516"/>
  <c r="BE61" i="16516"/>
  <c r="CS61" i="16516"/>
  <c r="BU61" i="16516"/>
  <c r="CC61" i="16516"/>
  <c r="BM61" i="16516"/>
  <c r="CK61" i="16516"/>
  <c r="DA61" i="16516"/>
  <c r="DI61" i="16516"/>
  <c r="DQ61" i="16516"/>
  <c r="DY61" i="16516"/>
  <c r="EG61" i="16516"/>
  <c r="EO61" i="16516"/>
  <c r="FE61" i="16516"/>
  <c r="EW61" i="16516"/>
  <c r="FM61" i="16516"/>
  <c r="GC61" i="16516"/>
  <c r="FU61" i="16516"/>
  <c r="GK61" i="16516"/>
  <c r="GS61" i="16516"/>
  <c r="HI61" i="16516"/>
  <c r="HA61" i="16516"/>
  <c r="HY61" i="16516"/>
  <c r="HQ61" i="16516"/>
  <c r="FB22" i="16516"/>
  <c r="FD22" i="16516" s="1"/>
  <c r="EX23" i="16516"/>
  <c r="S23" i="16501"/>
  <c r="O22" i="16507"/>
  <c r="E94" i="16513"/>
  <c r="BO94" i="16513" s="1"/>
  <c r="AJ94" i="16513"/>
  <c r="IG61" i="16516"/>
  <c r="GH18" i="16516"/>
  <c r="GJ18" i="16516" s="1"/>
  <c r="GD19" i="16516"/>
  <c r="IO61" i="16516"/>
  <c r="ID12" i="16516"/>
  <c r="IF12" i="16516" s="1"/>
  <c r="HZ13" i="16516"/>
  <c r="T15" i="16514"/>
  <c r="T25" i="16514"/>
  <c r="T26" i="16514" s="1"/>
  <c r="T22" i="16514"/>
  <c r="T23" i="16514" s="1"/>
  <c r="AA218" i="16461"/>
  <c r="R23" i="16501"/>
  <c r="N22" i="16507"/>
  <c r="FR20" i="16516"/>
  <c r="FT20" i="16516" s="1"/>
  <c r="FN21" i="16516"/>
  <c r="AI87" i="16513"/>
  <c r="L27" i="16504"/>
  <c r="GX16" i="16516"/>
  <c r="GZ16" i="16516" s="1"/>
  <c r="GT17" i="16516"/>
  <c r="AI80" i="16513"/>
  <c r="E10" i="16514"/>
  <c r="T74" i="16513"/>
  <c r="IL11" i="16516"/>
  <c r="IN11" i="16516" s="1"/>
  <c r="IH12" i="16516"/>
  <c r="HV13" i="16516"/>
  <c r="HX13" i="16516" s="1"/>
  <c r="HR14" i="16516"/>
  <c r="AJ95" i="16513"/>
  <c r="E95" i="16513"/>
  <c r="HN14" i="16516"/>
  <c r="HP14" i="16516" s="1"/>
  <c r="HJ15" i="16516"/>
  <c r="HB16" i="16516"/>
  <c r="HF15" i="16516"/>
  <c r="HH15" i="16516" s="1"/>
  <c r="GP17" i="16516"/>
  <c r="GR17" i="16516" s="1"/>
  <c r="GL18" i="16516"/>
  <c r="T45" i="16501"/>
  <c r="FZ19" i="16516"/>
  <c r="GB19" i="16516" s="1"/>
  <c r="FV20" i="16516"/>
  <c r="AE19" i="16507"/>
  <c r="AI20" i="16501"/>
  <c r="L53" i="16504"/>
  <c r="AJ97" i="16513"/>
  <c r="E97" i="16513"/>
  <c r="BO97" i="16513" s="1"/>
  <c r="E96" i="16513"/>
  <c r="AJ96" i="16513"/>
  <c r="E90" i="16513"/>
  <c r="BO90" i="16513" s="1"/>
  <c r="AJ90" i="16513"/>
  <c r="E93" i="16513"/>
  <c r="BO93" i="16513" s="1"/>
  <c r="AJ93" i="16513"/>
  <c r="FJ21" i="16516"/>
  <c r="FL21" i="16516" s="1"/>
  <c r="FF22" i="16516"/>
  <c r="EG9" i="16516"/>
  <c r="U5" i="16514"/>
  <c r="AI88" i="16513"/>
  <c r="AP53" i="16504"/>
  <c r="AP55" i="16504" s="1"/>
  <c r="AP215" i="16461" s="1"/>
  <c r="IL31" i="16516"/>
  <c r="IN31" i="16516" s="1"/>
  <c r="IH32" i="16516"/>
  <c r="IL32" i="16516" s="1"/>
  <c r="IN32" i="16516" s="1"/>
  <c r="AJ92" i="16513"/>
  <c r="E92" i="16513"/>
  <c r="BO92" i="16513" s="1"/>
  <c r="EP24" i="16516"/>
  <c r="ET24" i="16516" s="1"/>
  <c r="EV24" i="16516" s="1"/>
  <c r="ET23" i="16516"/>
  <c r="EV23" i="16516" s="1"/>
  <c r="V5" i="16514" l="1"/>
  <c r="V75" i="16513" s="1"/>
  <c r="AJ42" i="16501"/>
  <c r="L215" i="16461"/>
  <c r="AI86" i="16513"/>
  <c r="E87" i="16513"/>
  <c r="BO87" i="16513" s="1"/>
  <c r="AJ87" i="16513"/>
  <c r="FB23" i="16516"/>
  <c r="FD23" i="16516" s="1"/>
  <c r="EX24" i="16516"/>
  <c r="FB24" i="16516" s="1"/>
  <c r="FD24" i="16516" s="1"/>
  <c r="FJ22" i="16516"/>
  <c r="FL22" i="16516" s="1"/>
  <c r="FF23" i="16516"/>
  <c r="GP18" i="16516"/>
  <c r="GR18" i="16516" s="1"/>
  <c r="GL19" i="16516"/>
  <c r="AN95" i="16513"/>
  <c r="AM95" i="16513"/>
  <c r="AL95" i="16513"/>
  <c r="AP95" i="16513"/>
  <c r="AO95" i="16513"/>
  <c r="AQ95" i="16513"/>
  <c r="AR95" i="16513"/>
  <c r="AS95" i="16513"/>
  <c r="AT95" i="16513"/>
  <c r="AU95" i="16513"/>
  <c r="AV95" i="16513"/>
  <c r="AW95" i="16513"/>
  <c r="AX95" i="16513"/>
  <c r="AY95" i="16513"/>
  <c r="AZ95" i="16513"/>
  <c r="BA95" i="16513"/>
  <c r="BB95" i="16513"/>
  <c r="BC95" i="16513"/>
  <c r="BD95" i="16513"/>
  <c r="BE95" i="16513"/>
  <c r="BF95" i="16513"/>
  <c r="BG95" i="16513"/>
  <c r="BH95" i="16513"/>
  <c r="BI95" i="16513"/>
  <c r="BJ95" i="16513"/>
  <c r="BK95" i="16513"/>
  <c r="BL95" i="16513"/>
  <c r="BM95" i="16513"/>
  <c r="BN95" i="16513"/>
  <c r="L55" i="16504"/>
  <c r="U45" i="16501"/>
  <c r="P22" i="16507"/>
  <c r="T23" i="16501"/>
  <c r="BO95" i="16513"/>
  <c r="FR21" i="16516"/>
  <c r="FT21" i="16516" s="1"/>
  <c r="FN22" i="16516"/>
  <c r="GH19" i="16516"/>
  <c r="GJ19" i="16516" s="1"/>
  <c r="GD20" i="16516"/>
  <c r="AM93" i="16513"/>
  <c r="AN93" i="16513"/>
  <c r="AL93" i="16513"/>
  <c r="AO93" i="16513"/>
  <c r="AP93" i="16513"/>
  <c r="AQ93" i="16513"/>
  <c r="AR93" i="16513"/>
  <c r="AS93" i="16513"/>
  <c r="AT93" i="16513"/>
  <c r="AU93" i="16513"/>
  <c r="AV93" i="16513"/>
  <c r="AW93" i="16513"/>
  <c r="AX93" i="16513"/>
  <c r="AY93" i="16513"/>
  <c r="AZ93" i="16513"/>
  <c r="BA93" i="16513"/>
  <c r="BB93" i="16513"/>
  <c r="BC93" i="16513"/>
  <c r="BD93" i="16513"/>
  <c r="BE93" i="16513"/>
  <c r="BF93" i="16513"/>
  <c r="BG93" i="16513"/>
  <c r="BH93" i="16513"/>
  <c r="BI93" i="16513"/>
  <c r="BJ93" i="16513"/>
  <c r="BK93" i="16513"/>
  <c r="BL93" i="16513"/>
  <c r="BM93" i="16513"/>
  <c r="BN93" i="16513"/>
  <c r="HV14" i="16516"/>
  <c r="HX14" i="16516" s="1"/>
  <c r="HR15" i="16516"/>
  <c r="AJ80" i="16513"/>
  <c r="E80" i="16513"/>
  <c r="BO80" i="16513" s="1"/>
  <c r="E88" i="16513"/>
  <c r="AJ88" i="16513"/>
  <c r="HF16" i="16516"/>
  <c r="HH16" i="16516" s="1"/>
  <c r="HB17" i="16516"/>
  <c r="GX17" i="16516"/>
  <c r="GZ17" i="16516" s="1"/>
  <c r="GT18" i="16516"/>
  <c r="AN96" i="16513"/>
  <c r="AM96" i="16513"/>
  <c r="AL96" i="16513"/>
  <c r="BP96" i="16513" s="1"/>
  <c r="AP96" i="16513"/>
  <c r="AO96" i="16513"/>
  <c r="AR96" i="16513"/>
  <c r="AQ96" i="16513"/>
  <c r="AT96" i="16513"/>
  <c r="AS96" i="16513"/>
  <c r="AU96" i="16513"/>
  <c r="AV96" i="16513"/>
  <c r="AW96" i="16513"/>
  <c r="AX96" i="16513"/>
  <c r="AY96" i="16513"/>
  <c r="AZ96" i="16513"/>
  <c r="BA96" i="16513"/>
  <c r="BB96" i="16513"/>
  <c r="BC96" i="16513"/>
  <c r="BD96" i="16513"/>
  <c r="BE96" i="16513"/>
  <c r="BF96" i="16513"/>
  <c r="BG96" i="16513"/>
  <c r="BH96" i="16513"/>
  <c r="BI96" i="16513"/>
  <c r="BJ96" i="16513"/>
  <c r="BK96" i="16513"/>
  <c r="BL96" i="16513"/>
  <c r="BM96" i="16513"/>
  <c r="BN96" i="16513"/>
  <c r="EV9" i="16516"/>
  <c r="BO96" i="16513"/>
  <c r="IL12" i="16516"/>
  <c r="IN12" i="16516" s="1"/>
  <c r="IH13" i="16516"/>
  <c r="ID13" i="16516"/>
  <c r="IF13" i="16516" s="1"/>
  <c r="HZ14" i="16516"/>
  <c r="V14" i="16514"/>
  <c r="AM92" i="16513"/>
  <c r="AN92" i="16513"/>
  <c r="AL92" i="16513"/>
  <c r="AP92" i="16513"/>
  <c r="AO92" i="16513"/>
  <c r="AQ92" i="16513"/>
  <c r="AR92" i="16513"/>
  <c r="AS92" i="16513"/>
  <c r="AT92" i="16513"/>
  <c r="AU92" i="16513"/>
  <c r="AV92" i="16513"/>
  <c r="AW92" i="16513"/>
  <c r="AX92" i="16513"/>
  <c r="AY92" i="16513"/>
  <c r="AZ92" i="16513"/>
  <c r="BA92" i="16513"/>
  <c r="BB92" i="16513"/>
  <c r="BC92" i="16513"/>
  <c r="BD92" i="16513"/>
  <c r="BE92" i="16513"/>
  <c r="BF92" i="16513"/>
  <c r="BG92" i="16513"/>
  <c r="BH92" i="16513"/>
  <c r="BI92" i="16513"/>
  <c r="BJ92" i="16513"/>
  <c r="BK92" i="16513"/>
  <c r="BL92" i="16513"/>
  <c r="BM92" i="16513"/>
  <c r="BN92" i="16513"/>
  <c r="U14" i="16514"/>
  <c r="U75" i="16513"/>
  <c r="AM90" i="16513"/>
  <c r="AN90" i="16513"/>
  <c r="AL90" i="16513"/>
  <c r="AO90" i="16513"/>
  <c r="AP90" i="16513"/>
  <c r="AQ90" i="16513"/>
  <c r="AR90" i="16513"/>
  <c r="AS90" i="16513"/>
  <c r="AT90" i="16513"/>
  <c r="AV90" i="16513"/>
  <c r="AU90" i="16513"/>
  <c r="AW90" i="16513"/>
  <c r="AX90" i="16513"/>
  <c r="AY90" i="16513"/>
  <c r="AZ90" i="16513"/>
  <c r="BA90" i="16513"/>
  <c r="BB90" i="16513"/>
  <c r="BC90" i="16513"/>
  <c r="BD90" i="16513"/>
  <c r="BE90" i="16513"/>
  <c r="BF90" i="16513"/>
  <c r="BG90" i="16513"/>
  <c r="BH90" i="16513"/>
  <c r="BI90" i="16513"/>
  <c r="BJ90" i="16513"/>
  <c r="BK90" i="16513"/>
  <c r="BL90" i="16513"/>
  <c r="BM90" i="16513"/>
  <c r="BN90" i="16513"/>
  <c r="AM97" i="16513"/>
  <c r="AN97" i="16513"/>
  <c r="AL97" i="16513"/>
  <c r="BP97" i="16513" s="1"/>
  <c r="AO97" i="16513"/>
  <c r="AP97" i="16513"/>
  <c r="AQ97" i="16513"/>
  <c r="AR97" i="16513"/>
  <c r="AS97" i="16513"/>
  <c r="AT97" i="16513"/>
  <c r="AU97" i="16513"/>
  <c r="AV97" i="16513"/>
  <c r="AW97" i="16513"/>
  <c r="AX97" i="16513"/>
  <c r="AY97" i="16513"/>
  <c r="AZ97" i="16513"/>
  <c r="BA97" i="16513"/>
  <c r="BB97" i="16513"/>
  <c r="BC97" i="16513"/>
  <c r="BD97" i="16513"/>
  <c r="BE97" i="16513"/>
  <c r="BF97" i="16513"/>
  <c r="BG97" i="16513"/>
  <c r="BH97" i="16513"/>
  <c r="BI97" i="16513"/>
  <c r="BJ97" i="16513"/>
  <c r="BK97" i="16513"/>
  <c r="BL97" i="16513"/>
  <c r="BM97" i="16513"/>
  <c r="BN97" i="16513"/>
  <c r="FZ20" i="16516"/>
  <c r="GB20" i="16516" s="1"/>
  <c r="FV21" i="16516"/>
  <c r="HN15" i="16516"/>
  <c r="HP15" i="16516" s="1"/>
  <c r="HJ16" i="16516"/>
  <c r="AM94" i="16513"/>
  <c r="AN94" i="16513"/>
  <c r="AL94" i="16513"/>
  <c r="AO94" i="16513"/>
  <c r="AP94" i="16513"/>
  <c r="AR94" i="16513"/>
  <c r="AQ94" i="16513"/>
  <c r="AS94" i="16513"/>
  <c r="AT94" i="16513"/>
  <c r="AU94" i="16513"/>
  <c r="AV94" i="16513"/>
  <c r="AW94" i="16513"/>
  <c r="AX94" i="16513"/>
  <c r="AY94" i="16513"/>
  <c r="AZ94" i="16513"/>
  <c r="BA94" i="16513"/>
  <c r="BB94" i="16513"/>
  <c r="BC94" i="16513"/>
  <c r="BD94" i="16513"/>
  <c r="BE94" i="16513"/>
  <c r="BF94" i="16513"/>
  <c r="BG94" i="16513"/>
  <c r="BH94" i="16513"/>
  <c r="BI94" i="16513"/>
  <c r="BJ94" i="16513"/>
  <c r="BK94" i="16513"/>
  <c r="BL94" i="16513"/>
  <c r="BM94" i="16513"/>
  <c r="BN94" i="16513"/>
  <c r="FD9" i="16516" l="1"/>
  <c r="V15" i="16514"/>
  <c r="V25" i="16514"/>
  <c r="V26" i="16514" s="1"/>
  <c r="V22" i="16514"/>
  <c r="V23" i="16514" s="1"/>
  <c r="AC218" i="16461"/>
  <c r="AN88" i="16513"/>
  <c r="AM88" i="16513"/>
  <c r="AL88" i="16513"/>
  <c r="AO88" i="16513"/>
  <c r="AP88" i="16513"/>
  <c r="AQ88" i="16513"/>
  <c r="AR88" i="16513"/>
  <c r="AS88" i="16513"/>
  <c r="AT88" i="16513"/>
  <c r="AU88" i="16513"/>
  <c r="AV88" i="16513"/>
  <c r="AX88" i="16513"/>
  <c r="AW88" i="16513"/>
  <c r="AY88" i="16513"/>
  <c r="AZ88" i="16513"/>
  <c r="BA88" i="16513"/>
  <c r="BB88" i="16513"/>
  <c r="BC88" i="16513"/>
  <c r="BD88" i="16513"/>
  <c r="BE88" i="16513"/>
  <c r="BF88" i="16513"/>
  <c r="BH88" i="16513"/>
  <c r="BG88" i="16513"/>
  <c r="BI88" i="16513"/>
  <c r="BJ88" i="16513"/>
  <c r="BK88" i="16513"/>
  <c r="BM88" i="16513"/>
  <c r="BL88" i="16513"/>
  <c r="BN88" i="16513"/>
  <c r="BO88" i="16513"/>
  <c r="AJ86" i="16513"/>
  <c r="U15" i="16514"/>
  <c r="U25" i="16514"/>
  <c r="U26" i="16514" s="1"/>
  <c r="U22" i="16514"/>
  <c r="U23" i="16514" s="1"/>
  <c r="AB218" i="16461"/>
  <c r="HZ15" i="16516"/>
  <c r="ID14" i="16516"/>
  <c r="IF14" i="16516" s="1"/>
  <c r="W5" i="16514"/>
  <c r="GX18" i="16516"/>
  <c r="GZ18" i="16516" s="1"/>
  <c r="GT19" i="16516"/>
  <c r="AP80" i="16513"/>
  <c r="AO80" i="16513"/>
  <c r="AN80" i="16513"/>
  <c r="AM80" i="16513"/>
  <c r="AL80" i="16513"/>
  <c r="AV80" i="16513"/>
  <c r="AQ80" i="16513"/>
  <c r="AS80" i="16513"/>
  <c r="AT80" i="16513"/>
  <c r="AR80" i="16513"/>
  <c r="AU80" i="16513"/>
  <c r="AX80" i="16513"/>
  <c r="AY80" i="16513"/>
  <c r="AW80" i="16513"/>
  <c r="BA80" i="16513"/>
  <c r="AZ80" i="16513"/>
  <c r="BB80" i="16513"/>
  <c r="BD80" i="16513"/>
  <c r="BC80" i="16513"/>
  <c r="BE80" i="16513"/>
  <c r="BF80" i="16513"/>
  <c r="BG80" i="16513"/>
  <c r="BI80" i="16513"/>
  <c r="BH80" i="16513"/>
  <c r="BJ80" i="16513"/>
  <c r="BK80" i="16513"/>
  <c r="BL80" i="16513"/>
  <c r="BM80" i="16513"/>
  <c r="BN80" i="16513"/>
  <c r="FZ21" i="16516"/>
  <c r="GB21" i="16516" s="1"/>
  <c r="FV22" i="16516"/>
  <c r="Q22" i="16507"/>
  <c r="U23" i="16501"/>
  <c r="AF19" i="16507"/>
  <c r="AJ20" i="16501"/>
  <c r="F42" i="16501"/>
  <c r="U74" i="16513"/>
  <c r="HN16" i="16516"/>
  <c r="HP16" i="16516" s="1"/>
  <c r="HJ17" i="16516"/>
  <c r="FR22" i="16516"/>
  <c r="FT22" i="16516" s="1"/>
  <c r="FN23" i="16516"/>
  <c r="BP90" i="16513"/>
  <c r="IL13" i="16516"/>
  <c r="IN13" i="16516" s="1"/>
  <c r="IH14" i="16516"/>
  <c r="BO83" i="16513"/>
  <c r="GP19" i="16516"/>
  <c r="GR19" i="16516" s="1"/>
  <c r="GL20" i="16516"/>
  <c r="V74" i="16513"/>
  <c r="AI6" i="16514"/>
  <c r="IO27" i="16516"/>
  <c r="BP95" i="16513"/>
  <c r="BP92" i="16513"/>
  <c r="BP94" i="16513"/>
  <c r="HF17" i="16516"/>
  <c r="HH17" i="16516" s="1"/>
  <c r="HB18" i="16516"/>
  <c r="HV15" i="16516"/>
  <c r="HX15" i="16516" s="1"/>
  <c r="HR16" i="16516"/>
  <c r="P27" i="16516"/>
  <c r="AG27" i="16516"/>
  <c r="Y27" i="16516"/>
  <c r="AO27" i="16516"/>
  <c r="BE27" i="16516"/>
  <c r="AW27" i="16516"/>
  <c r="BM27" i="16516"/>
  <c r="BU27" i="16516"/>
  <c r="CC27" i="16516"/>
  <c r="CK27" i="16516"/>
  <c r="CS27" i="16516"/>
  <c r="DA27" i="16516"/>
  <c r="DI27" i="16516"/>
  <c r="DQ27" i="16516"/>
  <c r="DY27" i="16516"/>
  <c r="EG27" i="16516"/>
  <c r="EO27" i="16516"/>
  <c r="EW27" i="16516"/>
  <c r="FE27" i="16516"/>
  <c r="FM27" i="16516"/>
  <c r="GC27" i="16516"/>
  <c r="FU27" i="16516"/>
  <c r="GK27" i="16516"/>
  <c r="GS27" i="16516"/>
  <c r="HA27" i="16516"/>
  <c r="HI27" i="16516"/>
  <c r="HQ27" i="16516"/>
  <c r="HY27" i="16516"/>
  <c r="IG27" i="16516"/>
  <c r="GH20" i="16516"/>
  <c r="GJ20" i="16516" s="1"/>
  <c r="GD21" i="16516"/>
  <c r="BP93" i="16513"/>
  <c r="FJ23" i="16516"/>
  <c r="FL23" i="16516" s="1"/>
  <c r="FF24" i="16516"/>
  <c r="FJ24" i="16516" s="1"/>
  <c r="FL24" i="16516" s="1"/>
  <c r="E86" i="16513"/>
  <c r="BO86" i="16513" s="1"/>
  <c r="AN87" i="16513"/>
  <c r="AM87" i="16513"/>
  <c r="AL87" i="16513"/>
  <c r="AO87" i="16513"/>
  <c r="AP87" i="16513"/>
  <c r="AQ87" i="16513"/>
  <c r="AR87" i="16513"/>
  <c r="AS87" i="16513"/>
  <c r="AT87" i="16513"/>
  <c r="AU87" i="16513"/>
  <c r="AV87" i="16513"/>
  <c r="AW87" i="16513"/>
  <c r="AX87" i="16513"/>
  <c r="AY87" i="16513"/>
  <c r="AZ87" i="16513"/>
  <c r="BA87" i="16513"/>
  <c r="BB87" i="16513"/>
  <c r="BC87" i="16513"/>
  <c r="BD87" i="16513"/>
  <c r="BE87" i="16513"/>
  <c r="BF87" i="16513"/>
  <c r="BG87" i="16513"/>
  <c r="BH87" i="16513"/>
  <c r="BJ87" i="16513"/>
  <c r="BI87" i="16513"/>
  <c r="BK87" i="16513"/>
  <c r="BM87" i="16513"/>
  <c r="BL87" i="16513"/>
  <c r="BN87" i="16513"/>
  <c r="X5" i="16514" l="1"/>
  <c r="X14" i="16514" s="1"/>
  <c r="FE9" i="16516"/>
  <c r="HN17" i="16516"/>
  <c r="HP17" i="16516" s="1"/>
  <c r="HJ18" i="16516"/>
  <c r="BG83" i="16513"/>
  <c r="AV83" i="16513"/>
  <c r="BN83" i="16513"/>
  <c r="BP80" i="16513"/>
  <c r="AL83" i="16513"/>
  <c r="BP87" i="16513"/>
  <c r="GH21" i="16516"/>
  <c r="GJ21" i="16516" s="1"/>
  <c r="GD22" i="16516"/>
  <c r="GP20" i="16516"/>
  <c r="GR20" i="16516" s="1"/>
  <c r="GL21" i="16516"/>
  <c r="IL14" i="16516"/>
  <c r="IN14" i="16516" s="1"/>
  <c r="IH15" i="16516"/>
  <c r="BM83" i="16513"/>
  <c r="BE83" i="16513"/>
  <c r="AX83" i="16513"/>
  <c r="AM83" i="16513"/>
  <c r="W14" i="16514"/>
  <c r="W75" i="16513"/>
  <c r="W45" i="16501"/>
  <c r="B19" i="16507"/>
  <c r="AY83" i="16513"/>
  <c r="HV16" i="16516"/>
  <c r="HX16" i="16516" s="1"/>
  <c r="HR17" i="16516"/>
  <c r="BL83" i="16513"/>
  <c r="BC83" i="16513"/>
  <c r="AU83" i="16513"/>
  <c r="AN83" i="16513"/>
  <c r="BK83" i="16513"/>
  <c r="BD83" i="16513"/>
  <c r="AR83" i="16513"/>
  <c r="AO83" i="16513"/>
  <c r="ID15" i="16516"/>
  <c r="IF15" i="16516" s="1"/>
  <c r="HZ16" i="16516"/>
  <c r="EW9" i="16516"/>
  <c r="BR86" i="16513"/>
  <c r="AN86" i="16513"/>
  <c r="AM86" i="16513"/>
  <c r="AL86" i="16513"/>
  <c r="AO86" i="16513"/>
  <c r="AP86" i="16513"/>
  <c r="AQ86" i="16513"/>
  <c r="AR86" i="16513"/>
  <c r="AS86" i="16513"/>
  <c r="AT86" i="16513"/>
  <c r="AV86" i="16513"/>
  <c r="AU86" i="16513"/>
  <c r="AW86" i="16513"/>
  <c r="AY86" i="16513"/>
  <c r="AX86" i="16513"/>
  <c r="AZ86" i="16513"/>
  <c r="BA86" i="16513"/>
  <c r="BB86" i="16513"/>
  <c r="BC86" i="16513"/>
  <c r="BD86" i="16513"/>
  <c r="BE86" i="16513"/>
  <c r="BF86" i="16513"/>
  <c r="BG86" i="16513"/>
  <c r="BH86" i="16513"/>
  <c r="BJ86" i="16513"/>
  <c r="BI86" i="16513"/>
  <c r="BK86" i="16513"/>
  <c r="BM86" i="16513"/>
  <c r="BL86" i="16513"/>
  <c r="BN86" i="16513"/>
  <c r="HF18" i="16516"/>
  <c r="HH18" i="16516" s="1"/>
  <c r="HB19" i="16516"/>
  <c r="BJ83" i="16513"/>
  <c r="BB83" i="16513"/>
  <c r="AT83" i="16513"/>
  <c r="AP83" i="16513"/>
  <c r="AW83" i="16513"/>
  <c r="BF83" i="16513"/>
  <c r="FL9" i="16516"/>
  <c r="AI76" i="16513"/>
  <c r="E6" i="16514"/>
  <c r="FR23" i="16516"/>
  <c r="FT23" i="16516" s="1"/>
  <c r="FN24" i="16516"/>
  <c r="FR24" i="16516" s="1"/>
  <c r="FT24" i="16516" s="1"/>
  <c r="BH83" i="16513"/>
  <c r="AZ83" i="16513"/>
  <c r="AS83" i="16513"/>
  <c r="GX19" i="16516"/>
  <c r="GZ19" i="16516" s="1"/>
  <c r="GT20" i="16516"/>
  <c r="V45" i="16501"/>
  <c r="F20" i="16501"/>
  <c r="FZ22" i="16516"/>
  <c r="GB22" i="16516" s="1"/>
  <c r="FV23" i="16516"/>
  <c r="BI83" i="16513"/>
  <c r="BA83" i="16513"/>
  <c r="AQ83" i="16513"/>
  <c r="BP88" i="16513"/>
  <c r="X75" i="16513" l="1"/>
  <c r="X74" i="16513" s="1"/>
  <c r="FT9" i="16516"/>
  <c r="Z5" i="16514" s="1"/>
  <c r="AS20" i="16501"/>
  <c r="AR20" i="16501"/>
  <c r="AQ20" i="16501"/>
  <c r="AT20" i="16501"/>
  <c r="AU20" i="16501"/>
  <c r="AV20" i="16501"/>
  <c r="AW20" i="16501"/>
  <c r="AX20" i="16501"/>
  <c r="AY20" i="16501"/>
  <c r="AZ20" i="16501"/>
  <c r="BA20" i="16501"/>
  <c r="BB20" i="16501"/>
  <c r="BD20" i="16501"/>
  <c r="BC20" i="16501"/>
  <c r="BE20" i="16501"/>
  <c r="BF20" i="16501"/>
  <c r="BG20" i="16501"/>
  <c r="BH20" i="16501"/>
  <c r="BI20" i="16501"/>
  <c r="BJ20" i="16501"/>
  <c r="BK20" i="16501"/>
  <c r="BL20" i="16501"/>
  <c r="BM20" i="16501"/>
  <c r="BN20" i="16501"/>
  <c r="BO20" i="16501"/>
  <c r="BP20" i="16501"/>
  <c r="BR20" i="16501"/>
  <c r="BQ20" i="16501"/>
  <c r="BS20" i="16501"/>
  <c r="HF19" i="16516"/>
  <c r="HH19" i="16516" s="1"/>
  <c r="HB20" i="16516"/>
  <c r="IL15" i="16516"/>
  <c r="IN15" i="16516" s="1"/>
  <c r="IH16" i="16516"/>
  <c r="ID16" i="16516"/>
  <c r="IF16" i="16516" s="1"/>
  <c r="HZ17" i="16516"/>
  <c r="GH22" i="16516"/>
  <c r="GJ22" i="16516" s="1"/>
  <c r="GD23" i="16516"/>
  <c r="FM9" i="16516"/>
  <c r="Y5" i="16514"/>
  <c r="S22" i="16507"/>
  <c r="W23" i="16501"/>
  <c r="X22" i="16514"/>
  <c r="X23" i="16514" s="1"/>
  <c r="X15" i="16514"/>
  <c r="X25" i="16514"/>
  <c r="X26" i="16514" s="1"/>
  <c r="AE218" i="16461"/>
  <c r="HN18" i="16516"/>
  <c r="HP18" i="16516" s="1"/>
  <c r="HJ19" i="16516"/>
  <c r="BT20" i="16501"/>
  <c r="W74" i="16513"/>
  <c r="GP21" i="16516"/>
  <c r="GR21" i="16516" s="1"/>
  <c r="GL22" i="16516"/>
  <c r="BP83" i="16513"/>
  <c r="FZ23" i="16516"/>
  <c r="GB23" i="16516" s="1"/>
  <c r="FV24" i="16516"/>
  <c r="FZ24" i="16516" s="1"/>
  <c r="GB24" i="16516" s="1"/>
  <c r="W15" i="16514"/>
  <c r="W25" i="16514"/>
  <c r="W26" i="16514" s="1"/>
  <c r="W22" i="16514"/>
  <c r="W23" i="16514" s="1"/>
  <c r="AD218" i="16461"/>
  <c r="R22" i="16507"/>
  <c r="V23" i="16501"/>
  <c r="BP86" i="16513"/>
  <c r="HR18" i="16516"/>
  <c r="HV17" i="16516"/>
  <c r="HX17" i="16516" s="1"/>
  <c r="GX20" i="16516"/>
  <c r="GZ20" i="16516" s="1"/>
  <c r="GT21" i="16516"/>
  <c r="AJ76" i="16513"/>
  <c r="E76" i="16513"/>
  <c r="FU9" i="16516" l="1"/>
  <c r="BO76" i="16513"/>
  <c r="ID17" i="16516"/>
  <c r="IF17" i="16516" s="1"/>
  <c r="HZ18" i="16516"/>
  <c r="AN76" i="16513"/>
  <c r="AM76" i="16513"/>
  <c r="AL76" i="16513"/>
  <c r="AO76" i="16513"/>
  <c r="AQ76" i="16513"/>
  <c r="AP76" i="16513"/>
  <c r="AS76" i="16513"/>
  <c r="AR76" i="16513"/>
  <c r="AT76" i="16513"/>
  <c r="AU76" i="16513"/>
  <c r="AV76" i="16513"/>
  <c r="AW76" i="16513"/>
  <c r="AX76" i="16513"/>
  <c r="AY76" i="16513"/>
  <c r="AZ76" i="16513"/>
  <c r="BA76" i="16513"/>
  <c r="BB76" i="16513"/>
  <c r="BC76" i="16513"/>
  <c r="BD76" i="16513"/>
  <c r="BE76" i="16513"/>
  <c r="BF76" i="16513"/>
  <c r="BG76" i="16513"/>
  <c r="BH76" i="16513"/>
  <c r="BI76" i="16513"/>
  <c r="BJ76" i="16513"/>
  <c r="BK76" i="16513"/>
  <c r="BL76" i="16513"/>
  <c r="BM76" i="16513"/>
  <c r="BN76" i="16513"/>
  <c r="Z14" i="16514"/>
  <c r="Z75" i="16513"/>
  <c r="Y75" i="16513"/>
  <c r="Y14" i="16514"/>
  <c r="HF20" i="16516"/>
  <c r="HH20" i="16516" s="1"/>
  <c r="HB21" i="16516"/>
  <c r="GP22" i="16516"/>
  <c r="GR22" i="16516" s="1"/>
  <c r="GL23" i="16516"/>
  <c r="HN19" i="16516"/>
  <c r="HP19" i="16516" s="1"/>
  <c r="HJ20" i="16516"/>
  <c r="HV18" i="16516"/>
  <c r="HX18" i="16516" s="1"/>
  <c r="HR19" i="16516"/>
  <c r="GX21" i="16516"/>
  <c r="GZ21" i="16516" s="1"/>
  <c r="GT22" i="16516"/>
  <c r="X45" i="16501"/>
  <c r="GB9" i="16516"/>
  <c r="Y45" i="16501"/>
  <c r="GH23" i="16516"/>
  <c r="GJ23" i="16516" s="1"/>
  <c r="GD24" i="16516"/>
  <c r="GH24" i="16516" s="1"/>
  <c r="GJ24" i="16516" s="1"/>
  <c r="IL16" i="16516"/>
  <c r="IN16" i="16516" s="1"/>
  <c r="IH17" i="16516"/>
  <c r="GJ9" i="16516" l="1"/>
  <c r="GK9" i="16516" s="1"/>
  <c r="Z74" i="16513"/>
  <c r="AA5" i="16514"/>
  <c r="GC9" i="16516"/>
  <c r="HV19" i="16516"/>
  <c r="HX19" i="16516" s="1"/>
  <c r="HR20" i="16516"/>
  <c r="Z22" i="16514"/>
  <c r="Z23" i="16514" s="1"/>
  <c r="Z15" i="16514"/>
  <c r="Z25" i="16514"/>
  <c r="Z26" i="16514" s="1"/>
  <c r="AG218" i="16461"/>
  <c r="HJ21" i="16516"/>
  <c r="HN20" i="16516"/>
  <c r="HP20" i="16516" s="1"/>
  <c r="Y22" i="16514"/>
  <c r="Y23" i="16514" s="1"/>
  <c r="Y15" i="16514"/>
  <c r="Y25" i="16514"/>
  <c r="Y26" i="16514" s="1"/>
  <c r="AF218" i="16461"/>
  <c r="BP76" i="16513"/>
  <c r="IL17" i="16516"/>
  <c r="IN17" i="16516" s="1"/>
  <c r="IH18" i="16516"/>
  <c r="Y74" i="16513"/>
  <c r="ID18" i="16516"/>
  <c r="IF18" i="16516" s="1"/>
  <c r="HZ19" i="16516"/>
  <c r="U22" i="16507"/>
  <c r="Y23" i="16501"/>
  <c r="T22" i="16507"/>
  <c r="X23" i="16501"/>
  <c r="GP23" i="16516"/>
  <c r="GR23" i="16516" s="1"/>
  <c r="GL24" i="16516"/>
  <c r="GP24" i="16516" s="1"/>
  <c r="GR24" i="16516" s="1"/>
  <c r="GX22" i="16516"/>
  <c r="GZ22" i="16516" s="1"/>
  <c r="GT23" i="16516"/>
  <c r="HF21" i="16516"/>
  <c r="HH21" i="16516" s="1"/>
  <c r="HB22" i="16516"/>
  <c r="AB5" i="16514" l="1"/>
  <c r="AB75" i="16513" s="1"/>
  <c r="GR9" i="16516"/>
  <c r="AA14" i="16514"/>
  <c r="AA75" i="16513"/>
  <c r="ID19" i="16516"/>
  <c r="IF19" i="16516" s="1"/>
  <c r="HZ20" i="16516"/>
  <c r="IL18" i="16516"/>
  <c r="IN18" i="16516" s="1"/>
  <c r="IH19" i="16516"/>
  <c r="HN21" i="16516"/>
  <c r="HP21" i="16516" s="1"/>
  <c r="HJ22" i="16516"/>
  <c r="HV20" i="16516"/>
  <c r="HX20" i="16516" s="1"/>
  <c r="HR21" i="16516"/>
  <c r="HF22" i="16516"/>
  <c r="HH22" i="16516" s="1"/>
  <c r="HB23" i="16516"/>
  <c r="AB14" i="16514"/>
  <c r="GX23" i="16516"/>
  <c r="GZ23" i="16516" s="1"/>
  <c r="GT24" i="16516"/>
  <c r="GX24" i="16516" s="1"/>
  <c r="GZ24" i="16516" s="1"/>
  <c r="Z45" i="16501"/>
  <c r="AA45" i="16501"/>
  <c r="GZ9" i="16516" l="1"/>
  <c r="HA9" i="16516" s="1"/>
  <c r="AA74" i="16513"/>
  <c r="HN22" i="16516"/>
  <c r="HP22" i="16516" s="1"/>
  <c r="HJ23" i="16516"/>
  <c r="AA22" i="16514"/>
  <c r="AA23" i="16514" s="1"/>
  <c r="AA15" i="16514"/>
  <c r="AA25" i="16514"/>
  <c r="AA26" i="16514" s="1"/>
  <c r="AH218" i="16461"/>
  <c r="GS9" i="16516"/>
  <c r="AC5" i="16514"/>
  <c r="AA23" i="16501"/>
  <c r="W22" i="16507"/>
  <c r="AB74" i="16513"/>
  <c r="AB15" i="16514"/>
  <c r="AB25" i="16514"/>
  <c r="AB26" i="16514" s="1"/>
  <c r="AB22" i="16514"/>
  <c r="AB23" i="16514" s="1"/>
  <c r="AI218" i="16461"/>
  <c r="IH20" i="16516"/>
  <c r="IL19" i="16516"/>
  <c r="IN19" i="16516" s="1"/>
  <c r="HV21" i="16516"/>
  <c r="HX21" i="16516" s="1"/>
  <c r="HR22" i="16516"/>
  <c r="Z23" i="16501"/>
  <c r="V22" i="16507"/>
  <c r="HF23" i="16516"/>
  <c r="HH23" i="16516" s="1"/>
  <c r="HB24" i="16516"/>
  <c r="HF24" i="16516" s="1"/>
  <c r="HH24" i="16516" s="1"/>
  <c r="ID20" i="16516"/>
  <c r="IF20" i="16516" s="1"/>
  <c r="HZ21" i="16516"/>
  <c r="HH9" i="16516" l="1"/>
  <c r="AD5" i="16514"/>
  <c r="AD14" i="16514" s="1"/>
  <c r="HN23" i="16516"/>
  <c r="HP23" i="16516" s="1"/>
  <c r="HJ24" i="16516"/>
  <c r="HN24" i="16516" s="1"/>
  <c r="HP24" i="16516" s="1"/>
  <c r="ID21" i="16516"/>
  <c r="IF21" i="16516" s="1"/>
  <c r="HZ22" i="16516"/>
  <c r="HV22" i="16516"/>
  <c r="HX22" i="16516" s="1"/>
  <c r="HR23" i="16516"/>
  <c r="AC14" i="16514"/>
  <c r="AC75" i="16513"/>
  <c r="AB45" i="16501"/>
  <c r="IL20" i="16516"/>
  <c r="IN20" i="16516" s="1"/>
  <c r="IH21" i="16516"/>
  <c r="AC45" i="16501"/>
  <c r="HP9" i="16516" l="1"/>
  <c r="AE5" i="16514"/>
  <c r="AE75" i="16513" s="1"/>
  <c r="AD75" i="16513"/>
  <c r="AD74" i="16513" s="1"/>
  <c r="AD15" i="16514"/>
  <c r="AD25" i="16514"/>
  <c r="AD26" i="16514" s="1"/>
  <c r="AD22" i="16514"/>
  <c r="AD23" i="16514" s="1"/>
  <c r="HI9" i="16516"/>
  <c r="AC74" i="16513"/>
  <c r="IL21" i="16516"/>
  <c r="IN21" i="16516" s="1"/>
  <c r="IH22" i="16516"/>
  <c r="AC23" i="16501"/>
  <c r="Y22" i="16507"/>
  <c r="HV23" i="16516"/>
  <c r="HX23" i="16516" s="1"/>
  <c r="HR24" i="16516"/>
  <c r="HV24" i="16516" s="1"/>
  <c r="HX24" i="16516" s="1"/>
  <c r="AC15" i="16514"/>
  <c r="AC25" i="16514"/>
  <c r="AC26" i="16514" s="1"/>
  <c r="AC22" i="16514"/>
  <c r="AC23" i="16514" s="1"/>
  <c r="AJ218" i="16461"/>
  <c r="X22" i="16507"/>
  <c r="AB23" i="16501"/>
  <c r="HZ23" i="16516"/>
  <c r="ID22" i="16516"/>
  <c r="IF22" i="16516" s="1"/>
  <c r="AE14" i="16514" l="1"/>
  <c r="AE25" i="16514" s="1"/>
  <c r="AE26" i="16514" s="1"/>
  <c r="HQ9" i="16516"/>
  <c r="AF5" i="16514"/>
  <c r="AF75" i="16513" s="1"/>
  <c r="AD45" i="16501"/>
  <c r="HX9" i="16516"/>
  <c r="AE74" i="16513"/>
  <c r="ID23" i="16516"/>
  <c r="IF23" i="16516" s="1"/>
  <c r="HZ24" i="16516"/>
  <c r="ID24" i="16516" s="1"/>
  <c r="IF24" i="16516" s="1"/>
  <c r="IL22" i="16516"/>
  <c r="IN22" i="16516" s="1"/>
  <c r="IH23" i="16516"/>
  <c r="AE15" i="16514" l="1"/>
  <c r="AK218" i="16461"/>
  <c r="AE22" i="16514"/>
  <c r="AE23" i="16514" s="1"/>
  <c r="AF14" i="16514"/>
  <c r="AF22" i="16514" s="1"/>
  <c r="AF23" i="16514" s="1"/>
  <c r="IF9" i="16516"/>
  <c r="IG9" i="16516" s="1"/>
  <c r="IL23" i="16516"/>
  <c r="IN23" i="16516" s="1"/>
  <c r="IH24" i="16516"/>
  <c r="IL24" i="16516" s="1"/>
  <c r="IN24" i="16516" s="1"/>
  <c r="AF74" i="16513"/>
  <c r="AG5" i="16514"/>
  <c r="HY9" i="16516"/>
  <c r="Z22" i="16507"/>
  <c r="AD23" i="16501"/>
  <c r="AE45" i="16501"/>
  <c r="AL218" i="16461" l="1"/>
  <c r="AF15" i="16514"/>
  <c r="AF25" i="16514"/>
  <c r="AF26" i="16514" s="1"/>
  <c r="AH5" i="16514"/>
  <c r="AH14" i="16514" s="1"/>
  <c r="AG14" i="16514"/>
  <c r="AG75" i="16513"/>
  <c r="IN9" i="16516"/>
  <c r="H9" i="16516"/>
  <c r="H71" i="16516" s="1"/>
  <c r="AF45" i="16501"/>
  <c r="AA22" i="16507"/>
  <c r="AE23" i="16501"/>
  <c r="AH75" i="16513" l="1"/>
  <c r="AH74" i="16513" s="1"/>
  <c r="P9" i="16516"/>
  <c r="AF23" i="16501"/>
  <c r="AB22" i="16507"/>
  <c r="AH22" i="16514"/>
  <c r="AH23" i="16514" s="1"/>
  <c r="AH15" i="16514"/>
  <c r="AH25" i="16514"/>
  <c r="AH26" i="16514" s="1"/>
  <c r="AN218" i="16461"/>
  <c r="AG74" i="16513"/>
  <c r="AG22" i="16514"/>
  <c r="AG23" i="16514" s="1"/>
  <c r="AG15" i="16514"/>
  <c r="AG25" i="16514"/>
  <c r="AG26" i="16514" s="1"/>
  <c r="AM218" i="16461"/>
  <c r="IO9" i="16516"/>
  <c r="AI5" i="16514"/>
  <c r="IO71" i="16516" l="1"/>
  <c r="AI14" i="16514"/>
  <c r="AI75" i="16513"/>
  <c r="E5" i="16514"/>
  <c r="AG45" i="16501"/>
  <c r="AH45" i="16501"/>
  <c r="P71" i="16516"/>
  <c r="AG71" i="16516"/>
  <c r="Y71" i="16516"/>
  <c r="AO71" i="16516"/>
  <c r="AW71" i="16516"/>
  <c r="BE71" i="16516"/>
  <c r="BM71" i="16516"/>
  <c r="BU71" i="16516"/>
  <c r="CC71" i="16516"/>
  <c r="CK71" i="16516"/>
  <c r="CS71" i="16516"/>
  <c r="DA71" i="16516"/>
  <c r="DI71" i="16516"/>
  <c r="DQ71" i="16516"/>
  <c r="DY71" i="16516"/>
  <c r="EO71" i="16516"/>
  <c r="EG71" i="16516"/>
  <c r="FE71" i="16516"/>
  <c r="EW71" i="16516"/>
  <c r="FM71" i="16516"/>
  <c r="FU71" i="16516"/>
  <c r="GC71" i="16516"/>
  <c r="GK71" i="16516"/>
  <c r="GS71" i="16516"/>
  <c r="HA71" i="16516"/>
  <c r="HI71" i="16516"/>
  <c r="HQ71" i="16516"/>
  <c r="HY71" i="16516"/>
  <c r="IG71" i="16516"/>
  <c r="AC22" i="16507" l="1"/>
  <c r="AG23" i="16501"/>
  <c r="AH23" i="16501"/>
  <c r="AD22" i="16507"/>
  <c r="AI74" i="16513"/>
  <c r="AJ75" i="16513"/>
  <c r="E75" i="16513"/>
  <c r="AI22" i="16514"/>
  <c r="AI15" i="16514"/>
  <c r="AI25" i="16514"/>
  <c r="AO218" i="16461"/>
  <c r="E14" i="16514"/>
  <c r="BO75" i="16513" l="1"/>
  <c r="AI26" i="16514"/>
  <c r="E26" i="16514" s="1"/>
  <c r="E25" i="16514"/>
  <c r="AI23" i="16514"/>
  <c r="E23" i="16514" s="1"/>
  <c r="E22" i="16514"/>
  <c r="AL75" i="16513"/>
  <c r="E74" i="16513"/>
  <c r="BO74" i="16513" s="1"/>
  <c r="AN75" i="16513"/>
  <c r="AM75" i="16513"/>
  <c r="AO75" i="16513"/>
  <c r="AP75" i="16513"/>
  <c r="AQ75" i="16513"/>
  <c r="AR75" i="16513"/>
  <c r="AS75" i="16513"/>
  <c r="AU75" i="16513"/>
  <c r="AT75" i="16513"/>
  <c r="AV75" i="16513"/>
  <c r="AW75" i="16513"/>
  <c r="AX75" i="16513"/>
  <c r="AY75" i="16513"/>
  <c r="AZ75" i="16513"/>
  <c r="BA75" i="16513"/>
  <c r="BB75" i="16513"/>
  <c r="BD75" i="16513"/>
  <c r="BC75" i="16513"/>
  <c r="BF75" i="16513"/>
  <c r="BE75" i="16513"/>
  <c r="BG75" i="16513"/>
  <c r="BH75" i="16513"/>
  <c r="BJ75" i="16513"/>
  <c r="BI75" i="16513"/>
  <c r="BK75" i="16513"/>
  <c r="BL75" i="16513"/>
  <c r="BN75" i="16513"/>
  <c r="BM75" i="16513"/>
  <c r="AI45" i="16501"/>
  <c r="L218" i="16461"/>
  <c r="AJ74" i="16513"/>
  <c r="AI23" i="16501" l="1"/>
  <c r="AE22" i="16507"/>
  <c r="F45" i="16501"/>
  <c r="AL74" i="16513"/>
  <c r="AN74" i="16513"/>
  <c r="AM74" i="16513"/>
  <c r="AO74" i="16513"/>
  <c r="AP74" i="16513"/>
  <c r="AQ74" i="16513"/>
  <c r="AR74" i="16513"/>
  <c r="AS74" i="16513"/>
  <c r="AT74" i="16513"/>
  <c r="AU74" i="16513"/>
  <c r="AV74" i="16513"/>
  <c r="AX74" i="16513"/>
  <c r="AW74" i="16513"/>
  <c r="AY74" i="16513"/>
  <c r="AZ74" i="16513"/>
  <c r="BA74" i="16513"/>
  <c r="BB74" i="16513"/>
  <c r="BC74" i="16513"/>
  <c r="BD74" i="16513"/>
  <c r="BE74" i="16513"/>
  <c r="BF74" i="16513"/>
  <c r="BH74" i="16513"/>
  <c r="BG74" i="16513"/>
  <c r="BJ74" i="16513"/>
  <c r="BI74" i="16513"/>
  <c r="BK74" i="16513"/>
  <c r="BL74" i="16513"/>
  <c r="BM74" i="16513"/>
  <c r="BN74" i="16513"/>
  <c r="BP75" i="16513"/>
  <c r="F23" i="16501" l="1"/>
  <c r="B22" i="16507"/>
  <c r="BP74" i="16513"/>
  <c r="BT23" i="16501" l="1"/>
  <c r="AQ23" i="16501"/>
  <c r="AS23" i="16501"/>
  <c r="AR23" i="16501"/>
  <c r="AT23" i="16501"/>
  <c r="AU23" i="16501"/>
  <c r="AV23" i="16501"/>
  <c r="AW23" i="16501"/>
  <c r="AX23" i="16501"/>
  <c r="AZ23" i="16501"/>
  <c r="AY23" i="16501"/>
  <c r="BA23" i="16501"/>
  <c r="BC23" i="16501"/>
  <c r="BB23" i="16501"/>
  <c r="BD23" i="16501"/>
  <c r="BE23" i="16501"/>
  <c r="BF23" i="16501"/>
  <c r="BG23" i="16501"/>
  <c r="BI23" i="16501"/>
  <c r="BH23" i="16501"/>
  <c r="BJ23" i="16501"/>
  <c r="BK23" i="16501"/>
  <c r="BL23" i="16501"/>
  <c r="BM23" i="16501"/>
  <c r="BN23" i="16501"/>
  <c r="BO23" i="16501"/>
  <c r="BP23" i="16501"/>
  <c r="BR23" i="16501"/>
  <c r="BQ23" i="16501"/>
  <c r="BS23" i="16501"/>
  <c r="M115" i="16506" l="1"/>
  <c r="AS112" i="16457"/>
  <c r="N115" i="16506" l="1"/>
  <c r="AT112" i="16457"/>
  <c r="DE112" i="16457"/>
  <c r="AS111" i="16457"/>
  <c r="AR115" i="16506"/>
  <c r="DB115" i="16506" s="1"/>
  <c r="DB114" i="16506" l="1"/>
  <c r="O115" i="16506"/>
  <c r="AU112" i="16457"/>
  <c r="AS132" i="16457"/>
  <c r="AS155" i="16457" s="1"/>
  <c r="H58" i="16501" s="1"/>
  <c r="DE111" i="16457"/>
  <c r="DE132" i="16457" s="1"/>
  <c r="DF112" i="16457"/>
  <c r="AT111" i="16457"/>
  <c r="AS115" i="16506"/>
  <c r="DC115" i="16506" s="1"/>
  <c r="H12" i="16501" l="1"/>
  <c r="DG112" i="16457"/>
  <c r="AU111" i="16457"/>
  <c r="DC114" i="16506"/>
  <c r="DC110" i="16506" s="1"/>
  <c r="AT115" i="16506"/>
  <c r="DD115" i="16506" s="1"/>
  <c r="DF111" i="16457"/>
  <c r="DF132" i="16457" s="1"/>
  <c r="AT132" i="16457"/>
  <c r="AT155" i="16457" s="1"/>
  <c r="I58" i="16501" s="1"/>
  <c r="I12" i="16501" s="1"/>
  <c r="DB110" i="16506"/>
  <c r="P115" i="16506"/>
  <c r="AV112" i="16457"/>
  <c r="DH112" i="16457" l="1"/>
  <c r="AV111" i="16457"/>
  <c r="Q115" i="16506"/>
  <c r="AW112" i="16457"/>
  <c r="AU132" i="16457"/>
  <c r="AU155" i="16457" s="1"/>
  <c r="J58" i="16501" s="1"/>
  <c r="J12" i="16501" s="1"/>
  <c r="DG111" i="16457"/>
  <c r="DG132" i="16457" s="1"/>
  <c r="AU115" i="16506"/>
  <c r="DE115" i="16506" s="1"/>
  <c r="DD114" i="16506"/>
  <c r="DD110" i="16506" s="1"/>
  <c r="R115" i="16506" l="1"/>
  <c r="AX112" i="16457"/>
  <c r="DE114" i="16506"/>
  <c r="DE110" i="16506" s="1"/>
  <c r="DI112" i="16457"/>
  <c r="AW111" i="16457"/>
  <c r="AV115" i="16506"/>
  <c r="DF115" i="16506" s="1"/>
  <c r="DH111" i="16457"/>
  <c r="DH132" i="16457" s="1"/>
  <c r="AV132" i="16457"/>
  <c r="AV155" i="16457" s="1"/>
  <c r="K58" i="16501" s="1"/>
  <c r="K12" i="16501" s="1"/>
  <c r="S115" i="16506" l="1"/>
  <c r="AY112" i="16457"/>
  <c r="DJ112" i="16457"/>
  <c r="AX111" i="16457"/>
  <c r="DI111" i="16457"/>
  <c r="DI132" i="16457" s="1"/>
  <c r="AW132" i="16457"/>
  <c r="AW155" i="16457" s="1"/>
  <c r="L58" i="16501" s="1"/>
  <c r="L12" i="16501" s="1"/>
  <c r="AW115" i="16506"/>
  <c r="DG115" i="16506" s="1"/>
  <c r="DF114" i="16506"/>
  <c r="DF110" i="16506" s="1"/>
  <c r="T115" i="16506" l="1"/>
  <c r="AZ112" i="16457"/>
  <c r="AY111" i="16457"/>
  <c r="DK112" i="16457"/>
  <c r="DG114" i="16506"/>
  <c r="DG110" i="16506" s="1"/>
  <c r="AX115" i="16506"/>
  <c r="DH115" i="16506" s="1"/>
  <c r="AX132" i="16457"/>
  <c r="AX155" i="16457" s="1"/>
  <c r="M58" i="16501" s="1"/>
  <c r="M12" i="16501" s="1"/>
  <c r="DJ111" i="16457"/>
  <c r="DJ132" i="16457" s="1"/>
  <c r="AY132" i="16457" l="1"/>
  <c r="AY155" i="16457" s="1"/>
  <c r="N58" i="16501" s="1"/>
  <c r="N12" i="16501" s="1"/>
  <c r="DK111" i="16457"/>
  <c r="DK132" i="16457" s="1"/>
  <c r="U115" i="16506"/>
  <c r="BA112" i="16457"/>
  <c r="DL112" i="16457"/>
  <c r="AZ111" i="16457"/>
  <c r="DH114" i="16506"/>
  <c r="DH110" i="16506" s="1"/>
  <c r="AY115" i="16506"/>
  <c r="DI115" i="16506" s="1"/>
  <c r="V115" i="16506" l="1"/>
  <c r="BB112" i="16457"/>
  <c r="DM112" i="16457"/>
  <c r="BA111" i="16457"/>
  <c r="DI114" i="16506"/>
  <c r="DI110" i="16506" s="1"/>
  <c r="AZ115" i="16506"/>
  <c r="DJ115" i="16506" s="1"/>
  <c r="AZ132" i="16457"/>
  <c r="AZ155" i="16457" s="1"/>
  <c r="O58" i="16501" s="1"/>
  <c r="O12" i="16501" s="1"/>
  <c r="DL111" i="16457"/>
  <c r="DL132" i="16457" s="1"/>
  <c r="BA132" i="16457" l="1"/>
  <c r="BA155" i="16457" s="1"/>
  <c r="P58" i="16501" s="1"/>
  <c r="P12" i="16501" s="1"/>
  <c r="DM111" i="16457"/>
  <c r="DM132" i="16457" s="1"/>
  <c r="W115" i="16506"/>
  <c r="BC112" i="16457"/>
  <c r="DN112" i="16457"/>
  <c r="BB111" i="16457"/>
  <c r="DJ114" i="16506"/>
  <c r="DJ110" i="16506" s="1"/>
  <c r="BA115" i="16506"/>
  <c r="DK115" i="16506" s="1"/>
  <c r="X115" i="16506" l="1"/>
  <c r="BD112" i="16457"/>
  <c r="DO112" i="16457"/>
  <c r="BC111" i="16457"/>
  <c r="DN111" i="16457"/>
  <c r="DN132" i="16457" s="1"/>
  <c r="BB132" i="16457"/>
  <c r="BB155" i="16457" s="1"/>
  <c r="Q58" i="16501" s="1"/>
  <c r="Q12" i="16501" s="1"/>
  <c r="DK114" i="16506"/>
  <c r="DK110" i="16506" s="1"/>
  <c r="BB115" i="16506"/>
  <c r="DL115" i="16506" s="1"/>
  <c r="BC132" i="16457" l="1"/>
  <c r="BC155" i="16457" s="1"/>
  <c r="R58" i="16501" s="1"/>
  <c r="R12" i="16501" s="1"/>
  <c r="DO111" i="16457"/>
  <c r="DO132" i="16457" s="1"/>
  <c r="Y115" i="16506"/>
  <c r="BE112" i="16457"/>
  <c r="DL114" i="16506"/>
  <c r="DL110" i="16506" s="1"/>
  <c r="DP112" i="16457"/>
  <c r="BD111" i="16457"/>
  <c r="BC115" i="16506"/>
  <c r="DM115" i="16506" s="1"/>
  <c r="Z115" i="16506" l="1"/>
  <c r="BF112" i="16457"/>
  <c r="DQ112" i="16457"/>
  <c r="BE111" i="16457"/>
  <c r="DM114" i="16506"/>
  <c r="DM110" i="16506" s="1"/>
  <c r="BD132" i="16457"/>
  <c r="BD155" i="16457" s="1"/>
  <c r="S58" i="16501" s="1"/>
  <c r="S12" i="16501" s="1"/>
  <c r="DP111" i="16457"/>
  <c r="DP132" i="16457" s="1"/>
  <c r="BD115" i="16506"/>
  <c r="DN115" i="16506" s="1"/>
  <c r="DQ111" i="16457" l="1"/>
  <c r="DQ132" i="16457" s="1"/>
  <c r="BE132" i="16457"/>
  <c r="BE155" i="16457" s="1"/>
  <c r="T58" i="16501" s="1"/>
  <c r="T12" i="16501" s="1"/>
  <c r="BF111" i="16457"/>
  <c r="DR112" i="16457"/>
  <c r="BE115" i="16506"/>
  <c r="DO115" i="16506" s="1"/>
  <c r="AA115" i="16506"/>
  <c r="BG112" i="16457"/>
  <c r="DN114" i="16506"/>
  <c r="DN110" i="16506" s="1"/>
  <c r="BF115" i="16506" l="1"/>
  <c r="DP115" i="16506" s="1"/>
  <c r="DO114" i="16506"/>
  <c r="DO110" i="16506" s="1"/>
  <c r="DS112" i="16457"/>
  <c r="BG111" i="16457"/>
  <c r="AB115" i="16506"/>
  <c r="BG115" i="16506" s="1"/>
  <c r="DQ115" i="16506" s="1"/>
  <c r="BH112" i="16457"/>
  <c r="DR111" i="16457"/>
  <c r="DR132" i="16457" s="1"/>
  <c r="BF132" i="16457"/>
  <c r="BF155" i="16457" s="1"/>
  <c r="U58" i="16501" s="1"/>
  <c r="U12" i="16501" s="1"/>
  <c r="DT112" i="16457" l="1"/>
  <c r="BH111" i="16457"/>
  <c r="DQ114" i="16506"/>
  <c r="DQ110" i="16506" s="1"/>
  <c r="BG132" i="16457"/>
  <c r="BG155" i="16457" s="1"/>
  <c r="V58" i="16501" s="1"/>
  <c r="V12" i="16501" s="1"/>
  <c r="DS111" i="16457"/>
  <c r="DS132" i="16457" s="1"/>
  <c r="AC115" i="16506"/>
  <c r="BI112" i="16457"/>
  <c r="DP114" i="16506"/>
  <c r="DP110" i="16506" s="1"/>
  <c r="BH115" i="16506" l="1"/>
  <c r="DR115" i="16506" s="1"/>
  <c r="AD115" i="16506"/>
  <c r="BJ112" i="16457"/>
  <c r="BH132" i="16457"/>
  <c r="BH155" i="16457" s="1"/>
  <c r="W58" i="16501" s="1"/>
  <c r="W12" i="16501" s="1"/>
  <c r="DT111" i="16457"/>
  <c r="DT132" i="16457" s="1"/>
  <c r="DU112" i="16457"/>
  <c r="BI111" i="16457"/>
  <c r="DV112" i="16457" l="1"/>
  <c r="BJ111" i="16457"/>
  <c r="AE115" i="16506"/>
  <c r="BJ115" i="16506" s="1"/>
  <c r="DT115" i="16506" s="1"/>
  <c r="BK112" i="16457"/>
  <c r="BI115" i="16506"/>
  <c r="DS115" i="16506" s="1"/>
  <c r="BI132" i="16457"/>
  <c r="BI155" i="16457" s="1"/>
  <c r="X58" i="16501" s="1"/>
  <c r="X12" i="16501" s="1"/>
  <c r="DU111" i="16457"/>
  <c r="DU132" i="16457" s="1"/>
  <c r="DR114" i="16506"/>
  <c r="DR110" i="16506" s="1"/>
  <c r="BK111" i="16457" l="1"/>
  <c r="DW112" i="16457"/>
  <c r="DT114" i="16506"/>
  <c r="DT110" i="16506" s="1"/>
  <c r="BJ132" i="16457"/>
  <c r="BJ155" i="16457" s="1"/>
  <c r="Y58" i="16501" s="1"/>
  <c r="Y12" i="16501" s="1"/>
  <c r="DV111" i="16457"/>
  <c r="DV132" i="16457" s="1"/>
  <c r="AF115" i="16506"/>
  <c r="BL112" i="16457"/>
  <c r="DS114" i="16506"/>
  <c r="DS110" i="16506" s="1"/>
  <c r="BK115" i="16506" l="1"/>
  <c r="DU115" i="16506" s="1"/>
  <c r="AG115" i="16506"/>
  <c r="BM112" i="16457"/>
  <c r="DX112" i="16457"/>
  <c r="BL111" i="16457"/>
  <c r="BK132" i="16457"/>
  <c r="BK155" i="16457" s="1"/>
  <c r="Z58" i="16501" s="1"/>
  <c r="Z12" i="16501" s="1"/>
  <c r="DW111" i="16457"/>
  <c r="DW132" i="16457" s="1"/>
  <c r="DY112" i="16457" l="1"/>
  <c r="BM111" i="16457"/>
  <c r="AH115" i="16506"/>
  <c r="BN112" i="16457"/>
  <c r="BL115" i="16506"/>
  <c r="DV115" i="16506" s="1"/>
  <c r="BL132" i="16457"/>
  <c r="BL155" i="16457" s="1"/>
  <c r="AA58" i="16501" s="1"/>
  <c r="AA12" i="16501" s="1"/>
  <c r="DX111" i="16457"/>
  <c r="DX132" i="16457" s="1"/>
  <c r="DU114" i="16506"/>
  <c r="DU110" i="16506" s="1"/>
  <c r="DV114" i="16506" l="1"/>
  <c r="DV110" i="16506" s="1"/>
  <c r="BN111" i="16457"/>
  <c r="DZ112" i="16457"/>
  <c r="BM115" i="16506"/>
  <c r="DW115" i="16506" s="1"/>
  <c r="DY111" i="16457"/>
  <c r="DY132" i="16457" s="1"/>
  <c r="BM132" i="16457"/>
  <c r="BM155" i="16457" s="1"/>
  <c r="AB58" i="16501" s="1"/>
  <c r="AB12" i="16501" s="1"/>
  <c r="AI115" i="16506"/>
  <c r="BO112" i="16457"/>
  <c r="DW114" i="16506" l="1"/>
  <c r="DW110" i="16506" s="1"/>
  <c r="EA112" i="16457"/>
  <c r="BO111" i="16457"/>
  <c r="BN132" i="16457"/>
  <c r="BN155" i="16457" s="1"/>
  <c r="AC58" i="16501" s="1"/>
  <c r="AC12" i="16501" s="1"/>
  <c r="DZ111" i="16457"/>
  <c r="DZ132" i="16457" s="1"/>
  <c r="AJ115" i="16506"/>
  <c r="BP112" i="16457"/>
  <c r="BN115" i="16506"/>
  <c r="DX115" i="16506" s="1"/>
  <c r="BO132" i="16457" l="1"/>
  <c r="BO155" i="16457" s="1"/>
  <c r="AD58" i="16501" s="1"/>
  <c r="AD12" i="16501" s="1"/>
  <c r="EA111" i="16457"/>
  <c r="EA132" i="16457" s="1"/>
  <c r="EB112" i="16457"/>
  <c r="BP111" i="16457"/>
  <c r="AK115" i="16506"/>
  <c r="BQ112" i="16457"/>
  <c r="DX114" i="16506"/>
  <c r="DX110" i="16506" s="1"/>
  <c r="EC112" i="16457" l="1"/>
  <c r="BQ111" i="16457"/>
  <c r="AL115" i="16506"/>
  <c r="BR112" i="16457"/>
  <c r="EB111" i="16457"/>
  <c r="EB132" i="16457" s="1"/>
  <c r="BP132" i="16457"/>
  <c r="BP155" i="16457" s="1"/>
  <c r="AE58" i="16501" s="1"/>
  <c r="AE12" i="16501" s="1"/>
  <c r="ED112" i="16457" l="1"/>
  <c r="BR111" i="16457"/>
  <c r="AM115" i="16506"/>
  <c r="BS112" i="16457"/>
  <c r="EC111" i="16457"/>
  <c r="EC132" i="16457" s="1"/>
  <c r="BQ132" i="16457"/>
  <c r="BQ155" i="16457" s="1"/>
  <c r="AF58" i="16501" s="1"/>
  <c r="AF12" i="16501" s="1"/>
  <c r="EE112" i="16457" l="1"/>
  <c r="BS111" i="16457"/>
  <c r="AN115" i="16506"/>
  <c r="BT112" i="16457"/>
  <c r="ED111" i="16457"/>
  <c r="ED132" i="16457" s="1"/>
  <c r="BR132" i="16457"/>
  <c r="BR155" i="16457" s="1"/>
  <c r="AG58" i="16501" s="1"/>
  <c r="AG12" i="16501" s="1"/>
  <c r="AO115" i="16506"/>
  <c r="BU112" i="16457"/>
  <c r="EF112" i="16457" l="1"/>
  <c r="BT111" i="16457"/>
  <c r="EG112" i="16457"/>
  <c r="BU111" i="16457"/>
  <c r="AQ112" i="16457"/>
  <c r="BT115" i="16506"/>
  <c r="EE111" i="16457"/>
  <c r="EE132" i="16457" s="1"/>
  <c r="BS132" i="16457"/>
  <c r="BS155" i="16457" s="1"/>
  <c r="AH58" i="16501" s="1"/>
  <c r="AH12" i="16501" s="1"/>
  <c r="BV115" i="16506" l="1"/>
  <c r="ED115" i="16506"/>
  <c r="DC112" i="16457"/>
  <c r="AQ111" i="16457"/>
  <c r="EF111" i="16457"/>
  <c r="EF132" i="16457" s="1"/>
  <c r="BT132" i="16457"/>
  <c r="BT155" i="16457" s="1"/>
  <c r="AI58" i="16501" s="1"/>
  <c r="AI12" i="16501" s="1"/>
  <c r="EG111" i="16457"/>
  <c r="EG132" i="16457" s="1"/>
  <c r="BU132" i="16457"/>
  <c r="BU155" i="16457" s="1"/>
  <c r="AJ58" i="16501" s="1"/>
  <c r="AQ132" i="16457" l="1"/>
  <c r="DC111" i="16457"/>
  <c r="DC132" i="16457" s="1"/>
  <c r="ED114" i="16506"/>
  <c r="AJ12" i="16501"/>
  <c r="F12" i="16501" s="1"/>
  <c r="F58" i="16501"/>
  <c r="EF115" i="16506"/>
  <c r="BW115" i="16506"/>
  <c r="EF114" i="16506" l="1"/>
  <c r="DA131" i="16506"/>
  <c r="BT12" i="16501"/>
  <c r="AQ12" i="16501"/>
  <c r="AS12" i="16501"/>
  <c r="AR12" i="16501"/>
  <c r="AT12" i="16501"/>
  <c r="AU12" i="16501"/>
  <c r="AV12" i="16501"/>
  <c r="AW12" i="16501"/>
  <c r="AX12" i="16501"/>
  <c r="AY12" i="16501"/>
  <c r="AZ12" i="16501"/>
  <c r="BA12" i="16501"/>
  <c r="BB12" i="16501"/>
  <c r="BC12" i="16501"/>
  <c r="BD12" i="16501"/>
  <c r="BE12" i="16501"/>
  <c r="BF12" i="16501"/>
  <c r="BG12" i="16501"/>
  <c r="BH12" i="16501"/>
  <c r="BI12" i="16501"/>
  <c r="BJ12" i="16501"/>
  <c r="BK12" i="16501"/>
  <c r="BL12" i="16501"/>
  <c r="BM12" i="16501"/>
  <c r="BN12" i="16501"/>
  <c r="BO12" i="16501"/>
  <c r="BP12" i="16501"/>
  <c r="BQ12" i="16501"/>
  <c r="BR12" i="16501"/>
  <c r="EG115" i="16506"/>
  <c r="BX115" i="16506"/>
  <c r="ED110" i="16506"/>
  <c r="H110" i="16506" s="1"/>
  <c r="H114" i="16506"/>
  <c r="G132" i="16457"/>
  <c r="AQ155" i="16457"/>
  <c r="BS12" i="16501"/>
  <c r="EG114" i="16506" l="1"/>
  <c r="EG110" i="16506" s="1"/>
  <c r="DB131" i="16506"/>
  <c r="EH115" i="16506"/>
  <c r="BY115" i="16506"/>
  <c r="EF110" i="16506"/>
  <c r="EI115" i="16506" l="1"/>
  <c r="BZ115" i="16506"/>
  <c r="EH114" i="16506"/>
  <c r="DC131" i="16506"/>
  <c r="EJ115" i="16506" l="1"/>
  <c r="CA115" i="16506"/>
  <c r="EI114" i="16506"/>
  <c r="EI110" i="16506" s="1"/>
  <c r="DD131" i="16506"/>
  <c r="EH110" i="16506"/>
  <c r="EK115" i="16506" l="1"/>
  <c r="CB115" i="16506"/>
  <c r="EJ114" i="16506"/>
  <c r="EJ110" i="16506" s="1"/>
  <c r="DE131" i="16506"/>
  <c r="EL115" i="16506" l="1"/>
  <c r="CC115" i="16506"/>
  <c r="EK114" i="16506"/>
  <c r="EK110" i="16506" s="1"/>
  <c r="DF131" i="16506"/>
  <c r="EM115" i="16506" l="1"/>
  <c r="CD115" i="16506"/>
  <c r="EL114" i="16506"/>
  <c r="DG131" i="16506"/>
  <c r="EN115" i="16506" l="1"/>
  <c r="CE115" i="16506"/>
  <c r="EL110" i="16506"/>
  <c r="EM114" i="16506"/>
  <c r="EM110" i="16506" s="1"/>
  <c r="DH131" i="16506"/>
  <c r="EO115" i="16506" l="1"/>
  <c r="CF115" i="16506"/>
  <c r="EN114" i="16506"/>
  <c r="EN110" i="16506" s="1"/>
  <c r="DI131" i="16506"/>
  <c r="EP115" i="16506" l="1"/>
  <c r="CG115" i="16506"/>
  <c r="EO114" i="16506"/>
  <c r="EO110" i="16506" s="1"/>
  <c r="DJ131" i="16506"/>
  <c r="EQ115" i="16506" l="1"/>
  <c r="CH115" i="16506"/>
  <c r="EP114" i="16506"/>
  <c r="EP110" i="16506" s="1"/>
  <c r="DK131" i="16506"/>
  <c r="ER115" i="16506" l="1"/>
  <c r="CI115" i="16506"/>
  <c r="EQ114" i="16506"/>
  <c r="EQ110" i="16506" s="1"/>
  <c r="DL131" i="16506"/>
  <c r="ES115" i="16506" l="1"/>
  <c r="CJ115" i="16506"/>
  <c r="ER114" i="16506"/>
  <c r="ER110" i="16506" s="1"/>
  <c r="DM131" i="16506"/>
  <c r="ET115" i="16506" l="1"/>
  <c r="CK115" i="16506"/>
  <c r="ES114" i="16506"/>
  <c r="ES110" i="16506" s="1"/>
  <c r="DN131" i="16506"/>
  <c r="CL115" i="16506" l="1"/>
  <c r="EU115" i="16506"/>
  <c r="ET114" i="16506"/>
  <c r="ET110" i="16506" s="1"/>
  <c r="DO131" i="16506"/>
  <c r="EU114" i="16506" l="1"/>
  <c r="EU110" i="16506" s="1"/>
  <c r="DP131" i="16506"/>
  <c r="EV115" i="16506"/>
  <c r="CM115" i="16506"/>
  <c r="EW115" i="16506" l="1"/>
  <c r="CN115" i="16506"/>
  <c r="EV114" i="16506"/>
  <c r="EV110" i="16506" s="1"/>
  <c r="DQ131" i="16506"/>
  <c r="CO115" i="16506" l="1"/>
  <c r="EX115" i="16506"/>
  <c r="EW114" i="16506"/>
  <c r="EW110" i="16506" s="1"/>
  <c r="DR131" i="16506"/>
  <c r="EX114" i="16506" l="1"/>
  <c r="EX110" i="16506" s="1"/>
  <c r="DS131" i="16506"/>
  <c r="EY115" i="16506"/>
  <c r="CP115" i="16506"/>
  <c r="EY114" i="16506" l="1"/>
  <c r="EY110" i="16506" s="1"/>
  <c r="DT131" i="16506"/>
  <c r="EZ115" i="16506"/>
  <c r="CQ115" i="16506"/>
  <c r="FA115" i="16506" l="1"/>
  <c r="CR115" i="16506"/>
  <c r="EZ114" i="16506"/>
  <c r="EZ110" i="16506" s="1"/>
  <c r="DU131" i="16506"/>
  <c r="FB115" i="16506" l="1"/>
  <c r="CS115" i="16506"/>
  <c r="FA114" i="16506"/>
  <c r="FA110" i="16506" s="1"/>
  <c r="DV131" i="16506"/>
  <c r="FC115" i="16506" l="1"/>
  <c r="CT115" i="16506"/>
  <c r="FB114" i="16506"/>
  <c r="FB110" i="16506" s="1"/>
  <c r="DW131" i="16506"/>
  <c r="FD115" i="16506" l="1"/>
  <c r="CU115" i="16506"/>
  <c r="FC114" i="16506"/>
  <c r="FC110" i="16506" s="1"/>
  <c r="DX131" i="16506"/>
  <c r="FE115" i="16506" l="1"/>
  <c r="CV115" i="16506"/>
  <c r="FD114" i="16506"/>
  <c r="FD110" i="16506" s="1"/>
  <c r="DY131" i="16506"/>
  <c r="FF115" i="16506" l="1"/>
  <c r="CW115" i="16506"/>
  <c r="FE114" i="16506"/>
  <c r="FE110" i="16506" s="1"/>
  <c r="DZ131" i="16506"/>
  <c r="FG115" i="16506" l="1"/>
  <c r="CX115" i="16506"/>
  <c r="FF114" i="16506"/>
  <c r="FF110" i="16506" s="1"/>
  <c r="EA131" i="16506"/>
  <c r="FH115" i="16506" l="1"/>
  <c r="CY115" i="16506"/>
  <c r="FI115" i="16506" s="1"/>
  <c r="FG114" i="16506"/>
  <c r="FG110" i="16506" s="1"/>
  <c r="EB131" i="16506"/>
  <c r="FH114" i="16506" l="1"/>
  <c r="FH110" i="16506" s="1"/>
  <c r="EC131" i="16506"/>
  <c r="FI114" i="16506"/>
  <c r="ED131" i="16506"/>
  <c r="CZ131" i="16506" l="1"/>
  <c r="FI110" i="16506"/>
  <c r="I110" i="16506" s="1"/>
  <c r="I114" i="16506"/>
  <c r="L105" i="16506" l="1"/>
  <c r="AR102" i="16457"/>
  <c r="L103" i="16506"/>
  <c r="AQ103" i="16506" s="1"/>
  <c r="DA103" i="16506" s="1"/>
  <c r="AR100" i="16457"/>
  <c r="AS100" i="16457" l="1"/>
  <c r="M103" i="16506"/>
  <c r="DD100" i="16457"/>
  <c r="DD102" i="16457"/>
  <c r="M105" i="16506"/>
  <c r="AS102" i="16457"/>
  <c r="DE102" i="16457" s="1"/>
  <c r="AQ105" i="16506"/>
  <c r="DA105" i="16506" s="1"/>
  <c r="BV105" i="16506"/>
  <c r="EF105" i="16506" s="1"/>
  <c r="DA126" i="16506" s="1"/>
  <c r="AT102" i="16457" l="1"/>
  <c r="DF102" i="16457" s="1"/>
  <c r="N105" i="16506"/>
  <c r="AT100" i="16457"/>
  <c r="N103" i="16506"/>
  <c r="AR105" i="16506"/>
  <c r="DB105" i="16506" s="1"/>
  <c r="AR103" i="16506"/>
  <c r="DB103" i="16506" s="1"/>
  <c r="DE100" i="16457"/>
  <c r="BW105" i="16506" l="1"/>
  <c r="EG105" i="16506" s="1"/>
  <c r="DB126" i="16506" s="1"/>
  <c r="O103" i="16506"/>
  <c r="AU100" i="16457"/>
  <c r="AU102" i="16457"/>
  <c r="DG102" i="16457" s="1"/>
  <c r="O105" i="16506"/>
  <c r="AS103" i="16506"/>
  <c r="DC103" i="16506" s="1"/>
  <c r="DF100" i="16457"/>
  <c r="AS105" i="16506"/>
  <c r="DC105" i="16506" s="1"/>
  <c r="AV100" i="16457" l="1"/>
  <c r="P103" i="16506"/>
  <c r="AT105" i="16506"/>
  <c r="DD105" i="16506" s="1"/>
  <c r="DG100" i="16457"/>
  <c r="BX105" i="16506"/>
  <c r="EH105" i="16506" s="1"/>
  <c r="DC126" i="16506" s="1"/>
  <c r="AT103" i="16506"/>
  <c r="DD103" i="16506" s="1"/>
  <c r="P105" i="16506"/>
  <c r="AV102" i="16457"/>
  <c r="BY105" i="16506" l="1"/>
  <c r="EI105" i="16506" s="1"/>
  <c r="DD126" i="16506" s="1"/>
  <c r="DH102" i="16457"/>
  <c r="AU105" i="16506"/>
  <c r="DE105" i="16506" s="1"/>
  <c r="AW102" i="16457"/>
  <c r="DI102" i="16457" s="1"/>
  <c r="Q105" i="16506"/>
  <c r="AW100" i="16457"/>
  <c r="Q103" i="16506"/>
  <c r="AU103" i="16506"/>
  <c r="DE103" i="16506" s="1"/>
  <c r="DH100" i="16457"/>
  <c r="BZ105" i="16506" l="1"/>
  <c r="EJ105" i="16506" s="1"/>
  <c r="DE126" i="16506" s="1"/>
  <c r="AV105" i="16506"/>
  <c r="DF105" i="16506" s="1"/>
  <c r="DI100" i="16457"/>
  <c r="AX100" i="16457"/>
  <c r="R103" i="16506"/>
  <c r="AX102" i="16457"/>
  <c r="DJ102" i="16457" s="1"/>
  <c r="R105" i="16506"/>
  <c r="AV103" i="16506"/>
  <c r="DF103" i="16506" s="1"/>
  <c r="CA105" i="16506" l="1"/>
  <c r="EK105" i="16506" s="1"/>
  <c r="DF126" i="16506" s="1"/>
  <c r="AY100" i="16457"/>
  <c r="S103" i="16506"/>
  <c r="DJ100" i="16457"/>
  <c r="S105" i="16506"/>
  <c r="AY102" i="16457"/>
  <c r="DK102" i="16457" s="1"/>
  <c r="AW105" i="16506"/>
  <c r="DG105" i="16506" s="1"/>
  <c r="AW103" i="16506"/>
  <c r="DG103" i="16506" s="1"/>
  <c r="AZ100" i="16457" l="1"/>
  <c r="T103" i="16506"/>
  <c r="T105" i="16506"/>
  <c r="AZ102" i="16457"/>
  <c r="DL102" i="16457" s="1"/>
  <c r="AX105" i="16506"/>
  <c r="DH105" i="16506" s="1"/>
  <c r="CB105" i="16506"/>
  <c r="EL105" i="16506" s="1"/>
  <c r="DG126" i="16506" s="1"/>
  <c r="AX103" i="16506"/>
  <c r="DH103" i="16506" s="1"/>
  <c r="DK100" i="16457"/>
  <c r="BA100" i="16457" l="1"/>
  <c r="U103" i="16506"/>
  <c r="BA102" i="16457"/>
  <c r="DM102" i="16457" s="1"/>
  <c r="U105" i="16506"/>
  <c r="AY105" i="16506"/>
  <c r="DI105" i="16506" s="1"/>
  <c r="CC105" i="16506"/>
  <c r="EM105" i="16506" s="1"/>
  <c r="DH126" i="16506" s="1"/>
  <c r="AY103" i="16506"/>
  <c r="DI103" i="16506" s="1"/>
  <c r="DL100" i="16457"/>
  <c r="CD105" i="16506" l="1"/>
  <c r="EN105" i="16506" s="1"/>
  <c r="DI126" i="16506" s="1"/>
  <c r="BB102" i="16457"/>
  <c r="DN102" i="16457" s="1"/>
  <c r="V105" i="16506"/>
  <c r="AZ105" i="16506"/>
  <c r="DJ105" i="16506" s="1"/>
  <c r="BB100" i="16457"/>
  <c r="V103" i="16506"/>
  <c r="AZ103" i="16506"/>
  <c r="DJ103" i="16506" s="1"/>
  <c r="DM100" i="16457"/>
  <c r="CE105" i="16506" l="1"/>
  <c r="EO105" i="16506" s="1"/>
  <c r="DJ126" i="16506" s="1"/>
  <c r="BC102" i="16457"/>
  <c r="DO102" i="16457" s="1"/>
  <c r="W105" i="16506"/>
  <c r="BA103" i="16506"/>
  <c r="DK103" i="16506" s="1"/>
  <c r="DN100" i="16457"/>
  <c r="W103" i="16506"/>
  <c r="BB103" i="16506" s="1"/>
  <c r="DL103" i="16506" s="1"/>
  <c r="BC100" i="16457"/>
  <c r="BA105" i="16506"/>
  <c r="DK105" i="16506" s="1"/>
  <c r="CF105" i="16506" l="1"/>
  <c r="EP105" i="16506" s="1"/>
  <c r="DK126" i="16506" s="1"/>
  <c r="DO100" i="16457"/>
  <c r="BD100" i="16457"/>
  <c r="X103" i="16506"/>
  <c r="BD102" i="16457"/>
  <c r="DP102" i="16457" s="1"/>
  <c r="X105" i="16506"/>
  <c r="BB105" i="16506"/>
  <c r="DL105" i="16506" s="1"/>
  <c r="CG105" i="16506" l="1"/>
  <c r="EQ105" i="16506" s="1"/>
  <c r="DL126" i="16506" s="1"/>
  <c r="Y103" i="16506"/>
  <c r="BE100" i="16457"/>
  <c r="BC103" i="16506"/>
  <c r="DM103" i="16506" s="1"/>
  <c r="DP100" i="16457"/>
  <c r="Y105" i="16506"/>
  <c r="BE102" i="16457"/>
  <c r="DQ102" i="16457" s="1"/>
  <c r="BC105" i="16506"/>
  <c r="DM105" i="16506" s="1"/>
  <c r="CH105" i="16506" l="1"/>
  <c r="ER105" i="16506" s="1"/>
  <c r="DM126" i="16506" s="1"/>
  <c r="BD105" i="16506"/>
  <c r="DN105" i="16506" s="1"/>
  <c r="BF100" i="16457"/>
  <c r="Z103" i="16506"/>
  <c r="BE103" i="16506" s="1"/>
  <c r="DO103" i="16506" s="1"/>
  <c r="BF102" i="16457"/>
  <c r="DR102" i="16457" s="1"/>
  <c r="Z105" i="16506"/>
  <c r="DQ100" i="16457"/>
  <c r="BD103" i="16506"/>
  <c r="DN103" i="16506" s="1"/>
  <c r="CI105" i="16506" l="1"/>
  <c r="ES105" i="16506" s="1"/>
  <c r="DN126" i="16506" s="1"/>
  <c r="BG102" i="16457"/>
  <c r="DS102" i="16457" s="1"/>
  <c r="AA105" i="16506"/>
  <c r="BE105" i="16506"/>
  <c r="DO105" i="16506" s="1"/>
  <c r="AA103" i="16506"/>
  <c r="BG100" i="16457"/>
  <c r="DR100" i="16457"/>
  <c r="CJ105" i="16506" l="1"/>
  <c r="ET105" i="16506" s="1"/>
  <c r="DO126" i="16506" s="1"/>
  <c r="DS100" i="16457"/>
  <c r="BF103" i="16506"/>
  <c r="DP103" i="16506" s="1"/>
  <c r="AB103" i="16506"/>
  <c r="BH100" i="16457"/>
  <c r="BH102" i="16457"/>
  <c r="DT102" i="16457" s="1"/>
  <c r="AB105" i="16506"/>
  <c r="BF105" i="16506"/>
  <c r="DP105" i="16506" s="1"/>
  <c r="CK105" i="16506" l="1"/>
  <c r="EU105" i="16506" s="1"/>
  <c r="DP126" i="16506" s="1"/>
  <c r="BG105" i="16506"/>
  <c r="DQ105" i="16506" s="1"/>
  <c r="DT100" i="16457"/>
  <c r="BG103" i="16506"/>
  <c r="DQ103" i="16506" s="1"/>
  <c r="BI100" i="16457"/>
  <c r="AC103" i="16506"/>
  <c r="BI102" i="16457"/>
  <c r="DU102" i="16457" s="1"/>
  <c r="AC105" i="16506"/>
  <c r="CL105" i="16506" l="1"/>
  <c r="EV105" i="16506" s="1"/>
  <c r="DQ126" i="16506" s="1"/>
  <c r="DU100" i="16457"/>
  <c r="BH103" i="16506"/>
  <c r="DR103" i="16506" s="1"/>
  <c r="BJ102" i="16457"/>
  <c r="DV102" i="16457" s="1"/>
  <c r="AD105" i="16506"/>
  <c r="BJ100" i="16457"/>
  <c r="AD103" i="16506"/>
  <c r="BH105" i="16506"/>
  <c r="DR105" i="16506" s="1"/>
  <c r="CM105" i="16506" l="1"/>
  <c r="EW105" i="16506" s="1"/>
  <c r="DR126" i="16506" s="1"/>
  <c r="BI105" i="16506"/>
  <c r="DS105" i="16506" s="1"/>
  <c r="BK100" i="16457"/>
  <c r="AE103" i="16506"/>
  <c r="BJ103" i="16506" s="1"/>
  <c r="DT103" i="16506" s="1"/>
  <c r="BK102" i="16457"/>
  <c r="DW102" i="16457" s="1"/>
  <c r="AE105" i="16506"/>
  <c r="BI103" i="16506"/>
  <c r="DS103" i="16506" s="1"/>
  <c r="DV100" i="16457"/>
  <c r="CN105" i="16506" l="1"/>
  <c r="EX105" i="16506" s="1"/>
  <c r="DS126" i="16506" s="1"/>
  <c r="BJ105" i="16506"/>
  <c r="DT105" i="16506" s="1"/>
  <c r="AF105" i="16506"/>
  <c r="BL102" i="16457"/>
  <c r="DX102" i="16457" s="1"/>
  <c r="AF103" i="16506"/>
  <c r="BK103" i="16506" s="1"/>
  <c r="DU103" i="16506" s="1"/>
  <c r="BL100" i="16457"/>
  <c r="DW100" i="16457"/>
  <c r="CO105" i="16506" l="1"/>
  <c r="EY105" i="16506" s="1"/>
  <c r="DT126" i="16506" s="1"/>
  <c r="DX100" i="16457"/>
  <c r="AG103" i="16506"/>
  <c r="BM100" i="16457"/>
  <c r="BK105" i="16506"/>
  <c r="DU105" i="16506" s="1"/>
  <c r="AG105" i="16506"/>
  <c r="BM102" i="16457"/>
  <c r="DY102" i="16457" s="1"/>
  <c r="CP105" i="16506" l="1"/>
  <c r="EZ105" i="16506" s="1"/>
  <c r="DU126" i="16506" s="1"/>
  <c r="DY100" i="16457"/>
  <c r="BN102" i="16457"/>
  <c r="DZ102" i="16457" s="1"/>
  <c r="AH105" i="16506"/>
  <c r="BL103" i="16506"/>
  <c r="DV103" i="16506" s="1"/>
  <c r="AH103" i="16506"/>
  <c r="BM103" i="16506" s="1"/>
  <c r="DW103" i="16506" s="1"/>
  <c r="BN100" i="16457"/>
  <c r="BL105" i="16506"/>
  <c r="DV105" i="16506" s="1"/>
  <c r="CQ105" i="16506" l="1"/>
  <c r="FA105" i="16506" s="1"/>
  <c r="DV126" i="16506" s="1"/>
  <c r="DZ100" i="16457"/>
  <c r="AI105" i="16506"/>
  <c r="BO102" i="16457"/>
  <c r="EA102" i="16457" s="1"/>
  <c r="BM105" i="16506"/>
  <c r="DW105" i="16506" s="1"/>
  <c r="AI103" i="16506"/>
  <c r="BO100" i="16457"/>
  <c r="CR105" i="16506" l="1"/>
  <c r="FB105" i="16506" s="1"/>
  <c r="DW126" i="16506" s="1"/>
  <c r="BN105" i="16506"/>
  <c r="DX105" i="16506" s="1"/>
  <c r="BP100" i="16457"/>
  <c r="AJ103" i="16506"/>
  <c r="AJ105" i="16506"/>
  <c r="BP102" i="16457"/>
  <c r="EB102" i="16457" s="1"/>
  <c r="BN103" i="16506"/>
  <c r="DX103" i="16506" s="1"/>
  <c r="EA100" i="16457"/>
  <c r="CS105" i="16506" l="1"/>
  <c r="FC105" i="16506" s="1"/>
  <c r="DX126" i="16506" s="1"/>
  <c r="AK103" i="16506"/>
  <c r="BQ100" i="16457"/>
  <c r="EB100" i="16457"/>
  <c r="AK105" i="16506"/>
  <c r="BQ102" i="16457"/>
  <c r="EC102" i="16457" s="1"/>
  <c r="EC100" i="16457" l="1"/>
  <c r="BR102" i="16457"/>
  <c r="ED102" i="16457" s="1"/>
  <c r="AL105" i="16506"/>
  <c r="AL103" i="16506"/>
  <c r="BR100" i="16457"/>
  <c r="ED100" i="16457" l="1"/>
  <c r="AM103" i="16506"/>
  <c r="BS100" i="16457"/>
  <c r="AM105" i="16506"/>
  <c r="BS102" i="16457"/>
  <c r="EE102" i="16457" s="1"/>
  <c r="EE100" i="16457" l="1"/>
  <c r="AN105" i="16506"/>
  <c r="BT102" i="16457"/>
  <c r="EF102" i="16457" s="1"/>
  <c r="BT100" i="16457"/>
  <c r="AN103" i="16506"/>
  <c r="EF100" i="16457" l="1"/>
  <c r="AO103" i="16506"/>
  <c r="BU100" i="16457"/>
  <c r="AO105" i="16506"/>
  <c r="BU102" i="16457"/>
  <c r="BT105" i="16506" l="1"/>
  <c r="BT103" i="16506"/>
  <c r="EG100" i="16457"/>
  <c r="AQ100" i="16457"/>
  <c r="L104" i="16506"/>
  <c r="AQ104" i="16506" s="1"/>
  <c r="DA104" i="16506" s="1"/>
  <c r="AR101" i="16457"/>
  <c r="EG102" i="16457"/>
  <c r="AQ102" i="16457"/>
  <c r="DC102" i="16457" s="1"/>
  <c r="DD101" i="16457" l="1"/>
  <c r="AR99" i="16457"/>
  <c r="BV103" i="16506"/>
  <c r="ED103" i="16506"/>
  <c r="AS101" i="16457"/>
  <c r="M104" i="16506"/>
  <c r="DA102" i="16506"/>
  <c r="DC100" i="16457"/>
  <c r="ED105" i="16506"/>
  <c r="CT105" i="16506"/>
  <c r="FD105" i="16506" s="1"/>
  <c r="DY126" i="16506" s="1"/>
  <c r="CU105" i="16506" l="1"/>
  <c r="FE105" i="16506" s="1"/>
  <c r="DZ126" i="16506" s="1"/>
  <c r="DA97" i="16506"/>
  <c r="EF103" i="16506"/>
  <c r="BW103" i="16506"/>
  <c r="N104" i="16506"/>
  <c r="AS104" i="16506" s="1"/>
  <c r="DC104" i="16506" s="1"/>
  <c r="AT101" i="16457"/>
  <c r="AR104" i="16506"/>
  <c r="DB104" i="16506" s="1"/>
  <c r="AR94" i="16457"/>
  <c r="DD99" i="16457"/>
  <c r="DD130" i="16457" s="1"/>
  <c r="DD147" i="16457" s="1"/>
  <c r="AR130" i="16457"/>
  <c r="DE101" i="16457"/>
  <c r="AS99" i="16457"/>
  <c r="CV105" i="16506" l="1"/>
  <c r="FF105" i="16506" s="1"/>
  <c r="EA126" i="16506" s="1"/>
  <c r="DB102" i="16506"/>
  <c r="DF101" i="16457"/>
  <c r="AT99" i="16457"/>
  <c r="DE99" i="16457"/>
  <c r="DE130" i="16457" s="1"/>
  <c r="DE147" i="16457" s="1"/>
  <c r="AS130" i="16457"/>
  <c r="AS94" i="16457"/>
  <c r="DC102" i="16506"/>
  <c r="DC97" i="16506" s="1"/>
  <c r="DC123" i="16506" s="1"/>
  <c r="H71" i="16513" s="1"/>
  <c r="DA129" i="16506"/>
  <c r="AR147" i="16457"/>
  <c r="AR153" i="16457"/>
  <c r="EG103" i="16506"/>
  <c r="DD94" i="16457"/>
  <c r="AR119" i="16457"/>
  <c r="DD119" i="16457" s="1"/>
  <c r="BX103" i="16506"/>
  <c r="O104" i="16506"/>
  <c r="AU101" i="16457"/>
  <c r="DA123" i="16506"/>
  <c r="CW105" i="16506" l="1"/>
  <c r="FG105" i="16506" s="1"/>
  <c r="EB126" i="16506" s="1"/>
  <c r="G56" i="16501"/>
  <c r="AR169" i="16457"/>
  <c r="DE94" i="16457"/>
  <c r="AS119" i="16457"/>
  <c r="DE119" i="16457" s="1"/>
  <c r="AS147" i="16457"/>
  <c r="AS153" i="16457"/>
  <c r="P104" i="16506"/>
  <c r="AU104" i="16506" s="1"/>
  <c r="DE104" i="16506" s="1"/>
  <c r="AV101" i="16457"/>
  <c r="AT130" i="16457"/>
  <c r="AT94" i="16457"/>
  <c r="DF99" i="16457"/>
  <c r="DF130" i="16457" s="1"/>
  <c r="DF147" i="16457" s="1"/>
  <c r="F71" i="16513"/>
  <c r="AT104" i="16506"/>
  <c r="DD104" i="16506" s="1"/>
  <c r="EH103" i="16506"/>
  <c r="DB97" i="16506"/>
  <c r="DG101" i="16457"/>
  <c r="AU99" i="16457"/>
  <c r="DB129" i="16506"/>
  <c r="BY103" i="16506"/>
  <c r="BZ103" i="16506" s="1"/>
  <c r="CX105" i="16506" l="1"/>
  <c r="FH105" i="16506" s="1"/>
  <c r="EC126" i="16506" s="1"/>
  <c r="DH101" i="16457"/>
  <c r="AV99" i="16457"/>
  <c r="DD102" i="16506"/>
  <c r="DE102" i="16506"/>
  <c r="DE97" i="16506" s="1"/>
  <c r="DE123" i="16506" s="1"/>
  <c r="J71" i="16513" s="1"/>
  <c r="AU130" i="16457"/>
  <c r="DG99" i="16457"/>
  <c r="DG130" i="16457" s="1"/>
  <c r="DG147" i="16457" s="1"/>
  <c r="AU94" i="16457"/>
  <c r="AS169" i="16457"/>
  <c r="H56" i="16501"/>
  <c r="DB123" i="16506"/>
  <c r="Q104" i="16506"/>
  <c r="AW101" i="16457"/>
  <c r="DF94" i="16457"/>
  <c r="AT119" i="16457"/>
  <c r="DF119" i="16457" s="1"/>
  <c r="EJ103" i="16506"/>
  <c r="EI103" i="16506"/>
  <c r="CA103" i="16506"/>
  <c r="DC129" i="16506"/>
  <c r="AT147" i="16457"/>
  <c r="AT153" i="16457"/>
  <c r="G74" i="16501"/>
  <c r="C23" i="16507" s="1"/>
  <c r="G10" i="16501"/>
  <c r="CY105" i="16506" l="1"/>
  <c r="FI105" i="16506" s="1"/>
  <c r="ED126" i="16506" s="1"/>
  <c r="CZ126" i="16506" s="1"/>
  <c r="DD97" i="16506"/>
  <c r="AU153" i="16457"/>
  <c r="AU147" i="16457"/>
  <c r="I56" i="16501"/>
  <c r="AT169" i="16457"/>
  <c r="EK103" i="16506"/>
  <c r="R104" i="16506"/>
  <c r="AX101" i="16457"/>
  <c r="AV104" i="16506"/>
  <c r="DF104" i="16506" s="1"/>
  <c r="DD129" i="16506"/>
  <c r="F113" i="16513"/>
  <c r="G71" i="16513"/>
  <c r="AV130" i="16457"/>
  <c r="DH99" i="16457"/>
  <c r="DH130" i="16457" s="1"/>
  <c r="DH147" i="16457" s="1"/>
  <c r="AV94" i="16457"/>
  <c r="H10" i="16501"/>
  <c r="H74" i="16501"/>
  <c r="D23" i="16507" s="1"/>
  <c r="DE129" i="16506"/>
  <c r="DI101" i="16457"/>
  <c r="AW99" i="16457"/>
  <c r="AU119" i="16457"/>
  <c r="DG119" i="16457" s="1"/>
  <c r="DG94" i="16457"/>
  <c r="CB103" i="16506"/>
  <c r="G113" i="16513" l="1"/>
  <c r="AW130" i="16457"/>
  <c r="DI99" i="16457"/>
  <c r="DI130" i="16457" s="1"/>
  <c r="DI147" i="16457" s="1"/>
  <c r="AW94" i="16457"/>
  <c r="AW104" i="16506"/>
  <c r="DG104" i="16506" s="1"/>
  <c r="J56" i="16501"/>
  <c r="AU169" i="16457"/>
  <c r="DH94" i="16457"/>
  <c r="AV119" i="16457"/>
  <c r="DH119" i="16457" s="1"/>
  <c r="AV153" i="16457"/>
  <c r="AV147" i="16457"/>
  <c r="S104" i="16506"/>
  <c r="AX104" i="16506" s="1"/>
  <c r="DH104" i="16506" s="1"/>
  <c r="AY101" i="16457"/>
  <c r="CC103" i="16506"/>
  <c r="EM103" i="16506" s="1"/>
  <c r="DF129" i="16506"/>
  <c r="DD123" i="16506"/>
  <c r="EL103" i="16506"/>
  <c r="DF102" i="16506"/>
  <c r="DJ101" i="16457"/>
  <c r="AX99" i="16457"/>
  <c r="I10" i="16501"/>
  <c r="I74" i="16501"/>
  <c r="E23" i="16507" s="1"/>
  <c r="AV169" i="16457" l="1"/>
  <c r="K56" i="16501"/>
  <c r="T104" i="16506"/>
  <c r="AZ101" i="16457"/>
  <c r="DF97" i="16506"/>
  <c r="DI94" i="16457"/>
  <c r="AW119" i="16457"/>
  <c r="DI119" i="16457" s="1"/>
  <c r="DH129" i="16506"/>
  <c r="DK101" i="16457"/>
  <c r="AY99" i="16457"/>
  <c r="J74" i="16501"/>
  <c r="F23" i="16507" s="1"/>
  <c r="J10" i="16501"/>
  <c r="AW153" i="16457"/>
  <c r="AW147" i="16457"/>
  <c r="H113" i="16513"/>
  <c r="CD103" i="16506"/>
  <c r="DH102" i="16506"/>
  <c r="DH97" i="16506" s="1"/>
  <c r="DH123" i="16506" s="1"/>
  <c r="M71" i="16513" s="1"/>
  <c r="I71" i="16513"/>
  <c r="AX130" i="16457"/>
  <c r="DJ99" i="16457"/>
  <c r="DJ130" i="16457" s="1"/>
  <c r="DJ147" i="16457" s="1"/>
  <c r="AX94" i="16457"/>
  <c r="DG129" i="16506"/>
  <c r="DG102" i="16506"/>
  <c r="DG97" i="16506" s="1"/>
  <c r="DG123" i="16506" s="1"/>
  <c r="L71" i="16513" s="1"/>
  <c r="AX119" i="16457" l="1"/>
  <c r="DJ119" i="16457" s="1"/>
  <c r="DJ94" i="16457"/>
  <c r="I113" i="16513"/>
  <c r="DF123" i="16506"/>
  <c r="DL101" i="16457"/>
  <c r="AZ99" i="16457"/>
  <c r="AX147" i="16457"/>
  <c r="AX153" i="16457"/>
  <c r="EN103" i="16506"/>
  <c r="CE103" i="16506"/>
  <c r="AY104" i="16506"/>
  <c r="DI104" i="16506" s="1"/>
  <c r="K74" i="16501"/>
  <c r="G23" i="16507" s="1"/>
  <c r="K10" i="16501"/>
  <c r="AY130" i="16457"/>
  <c r="AY94" i="16457"/>
  <c r="DK99" i="16457"/>
  <c r="DK130" i="16457" s="1"/>
  <c r="DK147" i="16457" s="1"/>
  <c r="U104" i="16506"/>
  <c r="AZ104" i="16506" s="1"/>
  <c r="DJ104" i="16506" s="1"/>
  <c r="BA101" i="16457"/>
  <c r="AW169" i="16457"/>
  <c r="L56" i="16501"/>
  <c r="DM101" i="16457" l="1"/>
  <c r="BA99" i="16457"/>
  <c r="DJ102" i="16506"/>
  <c r="DJ97" i="16506" s="1"/>
  <c r="DJ123" i="16506" s="1"/>
  <c r="O71" i="16513" s="1"/>
  <c r="DI129" i="16506"/>
  <c r="K71" i="16513"/>
  <c r="M56" i="16501"/>
  <c r="AX169" i="16457"/>
  <c r="DK94" i="16457"/>
  <c r="AY119" i="16457"/>
  <c r="DK119" i="16457" s="1"/>
  <c r="BB101" i="16457"/>
  <c r="V104" i="16506"/>
  <c r="L74" i="16501"/>
  <c r="H23" i="16507" s="1"/>
  <c r="L10" i="16501"/>
  <c r="AY153" i="16457"/>
  <c r="AY147" i="16457"/>
  <c r="AZ130" i="16457"/>
  <c r="AZ94" i="16457"/>
  <c r="DL99" i="16457"/>
  <c r="DL130" i="16457" s="1"/>
  <c r="DL147" i="16457" s="1"/>
  <c r="DI102" i="16506"/>
  <c r="DI97" i="16506" s="1"/>
  <c r="J113" i="16513"/>
  <c r="EO103" i="16506"/>
  <c r="CF103" i="16506"/>
  <c r="DL94" i="16457" l="1"/>
  <c r="AZ119" i="16457"/>
  <c r="DL119" i="16457" s="1"/>
  <c r="BA104" i="16506"/>
  <c r="DK104" i="16506" s="1"/>
  <c r="DN101" i="16457"/>
  <c r="BB99" i="16457"/>
  <c r="AZ147" i="16457"/>
  <c r="AZ153" i="16457"/>
  <c r="BC101" i="16457"/>
  <c r="W104" i="16506"/>
  <c r="DI123" i="16506"/>
  <c r="BA94" i="16457"/>
  <c r="DM99" i="16457"/>
  <c r="DM130" i="16457" s="1"/>
  <c r="DM147" i="16457" s="1"/>
  <c r="BA130" i="16457"/>
  <c r="N56" i="16501"/>
  <c r="AY169" i="16457"/>
  <c r="M74" i="16501"/>
  <c r="I23" i="16507" s="1"/>
  <c r="M10" i="16501"/>
  <c r="CG103" i="16506"/>
  <c r="CH103" i="16506" s="1"/>
  <c r="EP103" i="16506"/>
  <c r="DJ129" i="16506"/>
  <c r="K113" i="16513"/>
  <c r="ER103" i="16506" l="1"/>
  <c r="N71" i="16513"/>
  <c r="BB104" i="16506"/>
  <c r="DL104" i="16506" s="1"/>
  <c r="BB130" i="16457"/>
  <c r="BB94" i="16457"/>
  <c r="DN99" i="16457"/>
  <c r="DN130" i="16457" s="1"/>
  <c r="DN147" i="16457" s="1"/>
  <c r="CI103" i="16506"/>
  <c r="DO101" i="16457"/>
  <c r="BC99" i="16457"/>
  <c r="L113" i="16513"/>
  <c r="O56" i="16501"/>
  <c r="AZ169" i="16457"/>
  <c r="X104" i="16506"/>
  <c r="BC104" i="16506" s="1"/>
  <c r="DM104" i="16506" s="1"/>
  <c r="BD101" i="16457"/>
  <c r="DK129" i="16506"/>
  <c r="BA147" i="16457"/>
  <c r="BA153" i="16457"/>
  <c r="DK102" i="16506"/>
  <c r="DK97" i="16506" s="1"/>
  <c r="DK123" i="16506" s="1"/>
  <c r="P71" i="16513" s="1"/>
  <c r="EQ103" i="16506"/>
  <c r="N74" i="16501"/>
  <c r="J23" i="16507" s="1"/>
  <c r="N10" i="16501"/>
  <c r="BA119" i="16457"/>
  <c r="DM119" i="16457" s="1"/>
  <c r="DM94" i="16457"/>
  <c r="DP101" i="16457" l="1"/>
  <c r="BD99" i="16457"/>
  <c r="DL102" i="16506"/>
  <c r="DL97" i="16506" s="1"/>
  <c r="DL123" i="16506" s="1"/>
  <c r="Q71" i="16513" s="1"/>
  <c r="O74" i="16501"/>
  <c r="K23" i="16507" s="1"/>
  <c r="O10" i="16501"/>
  <c r="BE101" i="16457"/>
  <c r="Y104" i="16506"/>
  <c r="M113" i="16513"/>
  <c r="CJ103" i="16506"/>
  <c r="ES103" i="16506"/>
  <c r="DL129" i="16506"/>
  <c r="DO99" i="16457"/>
  <c r="DO130" i="16457" s="1"/>
  <c r="DO147" i="16457" s="1"/>
  <c r="BC130" i="16457"/>
  <c r="BC94" i="16457"/>
  <c r="DN94" i="16457"/>
  <c r="BB119" i="16457"/>
  <c r="DN119" i="16457" s="1"/>
  <c r="BB153" i="16457"/>
  <c r="BB147" i="16457"/>
  <c r="BA169" i="16457"/>
  <c r="P56" i="16501"/>
  <c r="DM102" i="16506"/>
  <c r="DM97" i="16506" s="1"/>
  <c r="DM123" i="16506" s="1"/>
  <c r="R71" i="16513" s="1"/>
  <c r="DM129" i="16506"/>
  <c r="BC153" i="16457" l="1"/>
  <c r="BC147" i="16457"/>
  <c r="BF101" i="16457"/>
  <c r="Z104" i="16506"/>
  <c r="BE104" i="16506" s="1"/>
  <c r="DO104" i="16506" s="1"/>
  <c r="N113" i="16513"/>
  <c r="BB169" i="16457"/>
  <c r="Q56" i="16501"/>
  <c r="DO94" i="16457"/>
  <c r="BC119" i="16457"/>
  <c r="DO119" i="16457" s="1"/>
  <c r="DN129" i="16506"/>
  <c r="ET103" i="16506"/>
  <c r="CK103" i="16506"/>
  <c r="EU103" i="16506" s="1"/>
  <c r="BD104" i="16506"/>
  <c r="DN104" i="16506" s="1"/>
  <c r="BD94" i="16457"/>
  <c r="BD130" i="16457"/>
  <c r="DP99" i="16457"/>
  <c r="DP130" i="16457" s="1"/>
  <c r="DP147" i="16457" s="1"/>
  <c r="P74" i="16501"/>
  <c r="L23" i="16507" s="1"/>
  <c r="P10" i="16501"/>
  <c r="DQ101" i="16457"/>
  <c r="BE99" i="16457"/>
  <c r="CL103" i="16506" l="1"/>
  <c r="EV103" i="16506" s="1"/>
  <c r="DO102" i="16506"/>
  <c r="DO97" i="16506" s="1"/>
  <c r="DO123" i="16506" s="1"/>
  <c r="T71" i="16513" s="1"/>
  <c r="DP129" i="16506"/>
  <c r="O113" i="16513"/>
  <c r="DO129" i="16506"/>
  <c r="DR101" i="16457"/>
  <c r="BF99" i="16457"/>
  <c r="Q74" i="16501"/>
  <c r="M23" i="16507" s="1"/>
  <c r="Q10" i="16501"/>
  <c r="DP94" i="16457"/>
  <c r="BD119" i="16457"/>
  <c r="DP119" i="16457" s="1"/>
  <c r="BD147" i="16457"/>
  <c r="BD153" i="16457"/>
  <c r="BE94" i="16457"/>
  <c r="DQ99" i="16457"/>
  <c r="DQ130" i="16457" s="1"/>
  <c r="DQ147" i="16457" s="1"/>
  <c r="BE130" i="16457"/>
  <c r="R56" i="16501"/>
  <c r="BC169" i="16457"/>
  <c r="AA104" i="16506"/>
  <c r="BG101" i="16457"/>
  <c r="DN102" i="16506"/>
  <c r="DN97" i="16506" s="1"/>
  <c r="DN123" i="16506" s="1"/>
  <c r="S71" i="16513" s="1"/>
  <c r="CM103" i="16506" l="1"/>
  <c r="CN103" i="16506" s="1"/>
  <c r="EX103" i="16506" s="1"/>
  <c r="BE153" i="16457"/>
  <c r="BE147" i="16457"/>
  <c r="P113" i="16513"/>
  <c r="BH101" i="16457"/>
  <c r="AB104" i="16506"/>
  <c r="DQ94" i="16457"/>
  <c r="BE119" i="16457"/>
  <c r="DQ119" i="16457" s="1"/>
  <c r="DS101" i="16457"/>
  <c r="BG99" i="16457"/>
  <c r="BF94" i="16457"/>
  <c r="BF130" i="16457"/>
  <c r="DR99" i="16457"/>
  <c r="DR130" i="16457" s="1"/>
  <c r="DR147" i="16457" s="1"/>
  <c r="S56" i="16501"/>
  <c r="BD169" i="16457"/>
  <c r="BF104" i="16506"/>
  <c r="DP104" i="16506" s="1"/>
  <c r="R74" i="16501"/>
  <c r="N23" i="16507" s="1"/>
  <c r="R10" i="16501"/>
  <c r="DQ129" i="16506"/>
  <c r="CO103" i="16506" l="1"/>
  <c r="EY103" i="16506" s="1"/>
  <c r="EW103" i="16506"/>
  <c r="DR129" i="16506" s="1"/>
  <c r="S74" i="16501"/>
  <c r="O23" i="16507" s="1"/>
  <c r="S10" i="16501"/>
  <c r="BF147" i="16457"/>
  <c r="BF153" i="16457"/>
  <c r="Q113" i="16513"/>
  <c r="DP102" i="16506"/>
  <c r="DP97" i="16506" s="1"/>
  <c r="DP123" i="16506" s="1"/>
  <c r="U71" i="16513" s="1"/>
  <c r="DR94" i="16457"/>
  <c r="BF119" i="16457"/>
  <c r="DR119" i="16457" s="1"/>
  <c r="BG104" i="16506"/>
  <c r="DQ104" i="16506" s="1"/>
  <c r="BG130" i="16457"/>
  <c r="BG94" i="16457"/>
  <c r="DS99" i="16457"/>
  <c r="DS130" i="16457" s="1"/>
  <c r="DS147" i="16457" s="1"/>
  <c r="DT101" i="16457"/>
  <c r="BH99" i="16457"/>
  <c r="BI101" i="16457"/>
  <c r="AC104" i="16506"/>
  <c r="DS129" i="16506"/>
  <c r="T56" i="16501"/>
  <c r="BE169" i="16457"/>
  <c r="CP103" i="16506" l="1"/>
  <c r="EZ103" i="16506" s="1"/>
  <c r="DU129" i="16506" s="1"/>
  <c r="DU101" i="16457"/>
  <c r="BI99" i="16457"/>
  <c r="BJ101" i="16457"/>
  <c r="AD104" i="16506"/>
  <c r="BI104" i="16506" s="1"/>
  <c r="DS104" i="16506" s="1"/>
  <c r="U56" i="16501"/>
  <c r="BF169" i="16457"/>
  <c r="T74" i="16501"/>
  <c r="P23" i="16507" s="1"/>
  <c r="T10" i="16501"/>
  <c r="BH94" i="16457"/>
  <c r="DT99" i="16457"/>
  <c r="DT130" i="16457" s="1"/>
  <c r="DT147" i="16457" s="1"/>
  <c r="BH130" i="16457"/>
  <c r="DQ102" i="16506"/>
  <c r="DQ97" i="16506" s="1"/>
  <c r="DQ123" i="16506" s="1"/>
  <c r="V71" i="16513" s="1"/>
  <c r="DS94" i="16457"/>
  <c r="BG119" i="16457"/>
  <c r="DS119" i="16457" s="1"/>
  <c r="R113" i="16513"/>
  <c r="DT129" i="16506"/>
  <c r="BG147" i="16457"/>
  <c r="BG153" i="16457"/>
  <c r="BH104" i="16506"/>
  <c r="DR104" i="16506" s="1"/>
  <c r="CQ103" i="16506" l="1"/>
  <c r="FA103" i="16506" s="1"/>
  <c r="DV129" i="16506" s="1"/>
  <c r="U74" i="16501"/>
  <c r="Q23" i="16507" s="1"/>
  <c r="U10" i="16501"/>
  <c r="BH153" i="16457"/>
  <c r="BH147" i="16457"/>
  <c r="DS102" i="16506"/>
  <c r="DS97" i="16506" s="1"/>
  <c r="DS123" i="16506" s="1"/>
  <c r="X71" i="16513" s="1"/>
  <c r="DV101" i="16457"/>
  <c r="BJ99" i="16457"/>
  <c r="DT94" i="16457"/>
  <c r="BH119" i="16457"/>
  <c r="DT119" i="16457" s="1"/>
  <c r="DR102" i="16506"/>
  <c r="DR97" i="16506" s="1"/>
  <c r="DR123" i="16506" s="1"/>
  <c r="W71" i="16513" s="1"/>
  <c r="V56" i="16501"/>
  <c r="BG169" i="16457"/>
  <c r="S113" i="16513"/>
  <c r="BK101" i="16457"/>
  <c r="AE104" i="16506"/>
  <c r="BI130" i="16457"/>
  <c r="BI94" i="16457"/>
  <c r="DU99" i="16457"/>
  <c r="DU130" i="16457" s="1"/>
  <c r="DU147" i="16457" s="1"/>
  <c r="CR103" i="16506" l="1"/>
  <c r="CS103" i="16506" s="1"/>
  <c r="FC103" i="16506" s="1"/>
  <c r="DX129" i="16506" s="1"/>
  <c r="DW101" i="16457"/>
  <c r="BK99" i="16457"/>
  <c r="DU94" i="16457"/>
  <c r="BI119" i="16457"/>
  <c r="DU119" i="16457" s="1"/>
  <c r="W56" i="16501"/>
  <c r="BH169" i="16457"/>
  <c r="BJ104" i="16506"/>
  <c r="DT104" i="16506" s="1"/>
  <c r="BI153" i="16457"/>
  <c r="BI147" i="16457"/>
  <c r="BL101" i="16457"/>
  <c r="AF104" i="16506"/>
  <c r="BK104" i="16506" s="1"/>
  <c r="DU104" i="16506" s="1"/>
  <c r="V74" i="16501"/>
  <c r="R23" i="16507" s="1"/>
  <c r="V10" i="16501"/>
  <c r="T113" i="16513"/>
  <c r="DV99" i="16457"/>
  <c r="DV130" i="16457" s="1"/>
  <c r="DV147" i="16457" s="1"/>
  <c r="BJ94" i="16457"/>
  <c r="BJ130" i="16457"/>
  <c r="CT103" i="16506" l="1"/>
  <c r="FB103" i="16506"/>
  <c r="DW129" i="16506" s="1"/>
  <c r="BI169" i="16457"/>
  <c r="X56" i="16501"/>
  <c r="U113" i="16513"/>
  <c r="DU102" i="16506"/>
  <c r="DU97" i="16506" s="1"/>
  <c r="DU123" i="16506" s="1"/>
  <c r="Z71" i="16513" s="1"/>
  <c r="DT102" i="16506"/>
  <c r="DT97" i="16506" s="1"/>
  <c r="DT123" i="16506" s="1"/>
  <c r="Y71" i="16513" s="1"/>
  <c r="DV94" i="16457"/>
  <c r="BJ119" i="16457"/>
  <c r="DV119" i="16457" s="1"/>
  <c r="DX101" i="16457"/>
  <c r="BL99" i="16457"/>
  <c r="BM101" i="16457"/>
  <c r="AG104" i="16506"/>
  <c r="W74" i="16501"/>
  <c r="S23" i="16507" s="1"/>
  <c r="W10" i="16501"/>
  <c r="BK94" i="16457"/>
  <c r="DW99" i="16457"/>
  <c r="DW130" i="16457" s="1"/>
  <c r="DW147" i="16457" s="1"/>
  <c r="BK130" i="16457"/>
  <c r="BJ153" i="16457"/>
  <c r="BJ147" i="16457"/>
  <c r="FD103" i="16506" l="1"/>
  <c r="DY129" i="16506" s="1"/>
  <c r="CU103" i="16506"/>
  <c r="BJ169" i="16457"/>
  <c r="Y56" i="16501"/>
  <c r="V113" i="16513"/>
  <c r="AH104" i="16506"/>
  <c r="BN101" i="16457"/>
  <c r="BL104" i="16506"/>
  <c r="DV104" i="16506" s="1"/>
  <c r="X74" i="16501"/>
  <c r="T23" i="16507" s="1"/>
  <c r="X10" i="16501"/>
  <c r="BK147" i="16457"/>
  <c r="BK153" i="16457"/>
  <c r="DY101" i="16457"/>
  <c r="BM99" i="16457"/>
  <c r="BL130" i="16457"/>
  <c r="DX99" i="16457"/>
  <c r="DX130" i="16457" s="1"/>
  <c r="DX147" i="16457" s="1"/>
  <c r="BL94" i="16457"/>
  <c r="DW94" i="16457"/>
  <c r="BK119" i="16457"/>
  <c r="DW119" i="16457" s="1"/>
  <c r="FE103" i="16506" l="1"/>
  <c r="DZ129" i="16506" s="1"/>
  <c r="CV103" i="16506"/>
  <c r="FF103" i="16506" s="1"/>
  <c r="EA129" i="16506" s="1"/>
  <c r="BL153" i="16457"/>
  <c r="BL147" i="16457"/>
  <c r="W113" i="16513"/>
  <c r="BO101" i="16457"/>
  <c r="AI104" i="16506"/>
  <c r="DV102" i="16506"/>
  <c r="DV97" i="16506" s="1"/>
  <c r="DV123" i="16506" s="1"/>
  <c r="AA71" i="16513" s="1"/>
  <c r="Y10" i="16501"/>
  <c r="Y74" i="16501"/>
  <c r="U23" i="16507" s="1"/>
  <c r="BM94" i="16457"/>
  <c r="DY99" i="16457"/>
  <c r="DY130" i="16457" s="1"/>
  <c r="DY147" i="16457" s="1"/>
  <c r="BM130" i="16457"/>
  <c r="DZ101" i="16457"/>
  <c r="BN99" i="16457"/>
  <c r="BM104" i="16506"/>
  <c r="DW104" i="16506" s="1"/>
  <c r="DX94" i="16457"/>
  <c r="BL119" i="16457"/>
  <c r="DX119" i="16457" s="1"/>
  <c r="Z56" i="16501"/>
  <c r="BK169" i="16457"/>
  <c r="CW103" i="16506" l="1"/>
  <c r="Z10" i="16501"/>
  <c r="Z74" i="16501"/>
  <c r="V23" i="16507" s="1"/>
  <c r="BN94" i="16457"/>
  <c r="DZ99" i="16457"/>
  <c r="DZ130" i="16457" s="1"/>
  <c r="DZ147" i="16457" s="1"/>
  <c r="BN130" i="16457"/>
  <c r="BN104" i="16506"/>
  <c r="DX104" i="16506" s="1"/>
  <c r="EA101" i="16457"/>
  <c r="BO99" i="16457"/>
  <c r="DW102" i="16506"/>
  <c r="DW97" i="16506" s="1"/>
  <c r="DW123" i="16506" s="1"/>
  <c r="AB71" i="16513" s="1"/>
  <c r="DY94" i="16457"/>
  <c r="BM119" i="16457"/>
  <c r="DY119" i="16457" s="1"/>
  <c r="BP101" i="16457"/>
  <c r="AJ104" i="16506"/>
  <c r="X113" i="16513"/>
  <c r="BM147" i="16457"/>
  <c r="BM153" i="16457"/>
  <c r="AA56" i="16501"/>
  <c r="BL169" i="16457"/>
  <c r="CX103" i="16506" l="1"/>
  <c r="FG103" i="16506"/>
  <c r="EB129" i="16506" s="1"/>
  <c r="AK104" i="16506"/>
  <c r="BQ101" i="16457"/>
  <c r="EB101" i="16457"/>
  <c r="BP99" i="16457"/>
  <c r="EA99" i="16457"/>
  <c r="EA130" i="16457" s="1"/>
  <c r="EA147" i="16457" s="1"/>
  <c r="BO130" i="16457"/>
  <c r="BO94" i="16457"/>
  <c r="AA74" i="16501"/>
  <c r="W23" i="16507" s="1"/>
  <c r="AA10" i="16501"/>
  <c r="BN147" i="16457"/>
  <c r="BN153" i="16457"/>
  <c r="BM169" i="16457"/>
  <c r="AB56" i="16501"/>
  <c r="BN119" i="16457"/>
  <c r="DZ119" i="16457" s="1"/>
  <c r="DZ94" i="16457"/>
  <c r="Y113" i="16513"/>
  <c r="DX102" i="16506"/>
  <c r="DX97" i="16506" s="1"/>
  <c r="DX123" i="16506" s="1"/>
  <c r="AC71" i="16513" s="1"/>
  <c r="FH103" i="16506" l="1"/>
  <c r="EC129" i="16506" s="1"/>
  <c r="CY103" i="16506"/>
  <c r="FI103" i="16506" s="1"/>
  <c r="Z113" i="16513"/>
  <c r="BP94" i="16457"/>
  <c r="EB99" i="16457"/>
  <c r="EB130" i="16457" s="1"/>
  <c r="EB147" i="16457" s="1"/>
  <c r="BP130" i="16457"/>
  <c r="AB74" i="16501"/>
  <c r="X23" i="16507" s="1"/>
  <c r="AB10" i="16501"/>
  <c r="AL104" i="16506"/>
  <c r="BR101" i="16457"/>
  <c r="BN169" i="16457"/>
  <c r="AC56" i="16501"/>
  <c r="EA94" i="16457"/>
  <c r="BO119" i="16457"/>
  <c r="EA119" i="16457" s="1"/>
  <c r="EC101" i="16457"/>
  <c r="BQ99" i="16457"/>
  <c r="BO147" i="16457"/>
  <c r="BO153" i="16457"/>
  <c r="ED129" i="16506" l="1"/>
  <c r="CZ129" i="16506" s="1"/>
  <c r="ED130" i="16506"/>
  <c r="CZ130" i="16506" s="1"/>
  <c r="AA113" i="16513"/>
  <c r="BP147" i="16457"/>
  <c r="BP153" i="16457"/>
  <c r="AC74" i="16501"/>
  <c r="Y23" i="16507" s="1"/>
  <c r="AC10" i="16501"/>
  <c r="BS101" i="16457"/>
  <c r="AM104" i="16506"/>
  <c r="EB94" i="16457"/>
  <c r="BP119" i="16457"/>
  <c r="EB119" i="16457" s="1"/>
  <c r="ED101" i="16457"/>
  <c r="BR99" i="16457"/>
  <c r="BO169" i="16457"/>
  <c r="AD56" i="16501"/>
  <c r="EC99" i="16457"/>
  <c r="EC130" i="16457" s="1"/>
  <c r="EC147" i="16457" s="1"/>
  <c r="BQ94" i="16457"/>
  <c r="BQ130" i="16457"/>
  <c r="AB113" i="16513" l="1"/>
  <c r="BP169" i="16457"/>
  <c r="AE56" i="16501"/>
  <c r="EC94" i="16457"/>
  <c r="BQ119" i="16457"/>
  <c r="EC119" i="16457" s="1"/>
  <c r="AD10" i="16501"/>
  <c r="AD74" i="16501"/>
  <c r="Z23" i="16507" s="1"/>
  <c r="BT101" i="16457"/>
  <c r="AN104" i="16506"/>
  <c r="EE101" i="16457"/>
  <c r="BS99" i="16457"/>
  <c r="BQ147" i="16457"/>
  <c r="BQ153" i="16457"/>
  <c r="BR94" i="16457"/>
  <c r="ED99" i="16457"/>
  <c r="ED130" i="16457" s="1"/>
  <c r="ED147" i="16457" s="1"/>
  <c r="BR130" i="16457"/>
  <c r="BR119" i="16457" l="1"/>
  <c r="ED119" i="16457" s="1"/>
  <c r="ED94" i="16457"/>
  <c r="BQ169" i="16457"/>
  <c r="AF56" i="16501"/>
  <c r="AE10" i="16501"/>
  <c r="AE74" i="16501"/>
  <c r="AA23" i="16507" s="1"/>
  <c r="BU101" i="16457"/>
  <c r="AO104" i="16506"/>
  <c r="BS94" i="16457"/>
  <c r="EE99" i="16457"/>
  <c r="EE130" i="16457" s="1"/>
  <c r="EE147" i="16457" s="1"/>
  <c r="BS130" i="16457"/>
  <c r="EF101" i="16457"/>
  <c r="BT99" i="16457"/>
  <c r="BR153" i="16457"/>
  <c r="BR147" i="16457"/>
  <c r="AC113" i="16513"/>
  <c r="EE94" i="16457" l="1"/>
  <c r="BS119" i="16457"/>
  <c r="EE119" i="16457" s="1"/>
  <c r="EF99" i="16457"/>
  <c r="EF130" i="16457" s="1"/>
  <c r="EF147" i="16457" s="1"/>
  <c r="BT130" i="16457"/>
  <c r="BT94" i="16457"/>
  <c r="AD113" i="16513"/>
  <c r="BT104" i="16506"/>
  <c r="EG101" i="16457"/>
  <c r="BU99" i="16457"/>
  <c r="AQ101" i="16457"/>
  <c r="AG56" i="16501"/>
  <c r="BR169" i="16457"/>
  <c r="BS147" i="16457"/>
  <c r="BS153" i="16457"/>
  <c r="AF10" i="16501"/>
  <c r="AF74" i="16501"/>
  <c r="AB23" i="16507" s="1"/>
  <c r="AG74" i="16501" l="1"/>
  <c r="AC23" i="16507" s="1"/>
  <c r="AG10" i="16501"/>
  <c r="BV104" i="16506"/>
  <c r="ED104" i="16506"/>
  <c r="BT119" i="16457"/>
  <c r="EF119" i="16457" s="1"/>
  <c r="EF94" i="16457"/>
  <c r="BT153" i="16457"/>
  <c r="BT147" i="16457"/>
  <c r="AE113" i="16513"/>
  <c r="DC101" i="16457"/>
  <c r="AQ99" i="16457"/>
  <c r="AH56" i="16501"/>
  <c r="BS169" i="16457"/>
  <c r="BU130" i="16457"/>
  <c r="EG99" i="16457"/>
  <c r="EG130" i="16457" s="1"/>
  <c r="EG147" i="16457" s="1"/>
  <c r="BU94" i="16457"/>
  <c r="AI56" i="16501" l="1"/>
  <c r="BT169" i="16457"/>
  <c r="AQ94" i="16457"/>
  <c r="DC99" i="16457"/>
  <c r="DC130" i="16457" s="1"/>
  <c r="DC147" i="16457" s="1"/>
  <c r="AQ130" i="16457"/>
  <c r="AF113" i="16513"/>
  <c r="BU153" i="16457"/>
  <c r="BU147" i="16457"/>
  <c r="ED102" i="16506"/>
  <c r="EG94" i="16457"/>
  <c r="BU119" i="16457"/>
  <c r="EG119" i="16457" s="1"/>
  <c r="AH74" i="16501"/>
  <c r="AD23" i="16507" s="1"/>
  <c r="AH10" i="16501"/>
  <c r="EF104" i="16506"/>
  <c r="BW104" i="16506"/>
  <c r="AQ147" i="16457" l="1"/>
  <c r="G130" i="16457"/>
  <c r="AQ153" i="16457"/>
  <c r="AQ169" i="16457" s="1"/>
  <c r="DC94" i="16457"/>
  <c r="AQ119" i="16457"/>
  <c r="AG113" i="16513"/>
  <c r="ED97" i="16506"/>
  <c r="H102" i="16506"/>
  <c r="DA127" i="16506"/>
  <c r="EF102" i="16506"/>
  <c r="BX104" i="16506"/>
  <c r="EH104" i="16506" s="1"/>
  <c r="EG104" i="16506"/>
  <c r="AJ56" i="16501"/>
  <c r="BU169" i="16457"/>
  <c r="AI74" i="16501"/>
  <c r="AE23" i="16507" s="1"/>
  <c r="AI10" i="16501"/>
  <c r="BY104" i="16506" l="1"/>
  <c r="BZ104" i="16506" s="1"/>
  <c r="CA104" i="16506" s="1"/>
  <c r="EK104" i="16506" s="1"/>
  <c r="DC127" i="16506"/>
  <c r="DC134" i="16506" s="1"/>
  <c r="EH102" i="16506"/>
  <c r="EH97" i="16506" s="1"/>
  <c r="DC119" i="16457"/>
  <c r="AQ148" i="16457"/>
  <c r="AH113" i="16513"/>
  <c r="DB127" i="16506"/>
  <c r="DB134" i="16506" s="1"/>
  <c r="EG102" i="16506"/>
  <c r="EG97" i="16506" s="1"/>
  <c r="DA134" i="16506"/>
  <c r="AJ74" i="16501"/>
  <c r="AF23" i="16507" s="1"/>
  <c r="AJ10" i="16501"/>
  <c r="F56" i="16501"/>
  <c r="F74" i="16501" s="1"/>
  <c r="EF97" i="16506"/>
  <c r="ED123" i="16506"/>
  <c r="H97" i="16506"/>
  <c r="EH123" i="16506" l="1"/>
  <c r="H72" i="16513" s="1"/>
  <c r="EG123" i="16506"/>
  <c r="G72" i="16513" s="1"/>
  <c r="EI104" i="16506"/>
  <c r="EI102" i="16506" s="1"/>
  <c r="EK102" i="16506"/>
  <c r="EK97" i="16506" s="1"/>
  <c r="DF127" i="16506"/>
  <c r="DF134" i="16506" s="1"/>
  <c r="EF123" i="16506"/>
  <c r="AI71" i="16513"/>
  <c r="H123" i="16506"/>
  <c r="F10" i="16501"/>
  <c r="AI113" i="16513"/>
  <c r="B23" i="16507"/>
  <c r="EJ104" i="16506"/>
  <c r="CB104" i="16506"/>
  <c r="EK123" i="16506" l="1"/>
  <c r="K72" i="16513" s="1"/>
  <c r="DD127" i="16506"/>
  <c r="E71" i="16513"/>
  <c r="BN71" i="16513" s="1"/>
  <c r="E113" i="16513"/>
  <c r="AO113" i="16513" s="1"/>
  <c r="F72" i="16513"/>
  <c r="AJ113" i="16513"/>
  <c r="AQ10" i="16501"/>
  <c r="AR10" i="16501"/>
  <c r="AS10" i="16501"/>
  <c r="AT10" i="16501"/>
  <c r="AU10" i="16501"/>
  <c r="AV10" i="16501"/>
  <c r="AW10" i="16501"/>
  <c r="AX10" i="16501"/>
  <c r="AY10" i="16501"/>
  <c r="AZ10" i="16501"/>
  <c r="BA10" i="16501"/>
  <c r="BB10" i="16501"/>
  <c r="BC10" i="16501"/>
  <c r="BD10" i="16501"/>
  <c r="BE10" i="16501"/>
  <c r="BF10" i="16501"/>
  <c r="BG10" i="16501"/>
  <c r="BH10" i="16501"/>
  <c r="BI10" i="16501"/>
  <c r="BJ10" i="16501"/>
  <c r="BK10" i="16501"/>
  <c r="BL10" i="16501"/>
  <c r="BM10" i="16501"/>
  <c r="BN10" i="16501"/>
  <c r="BO10" i="16501"/>
  <c r="BP10" i="16501"/>
  <c r="BQ10" i="16501"/>
  <c r="BR10" i="16501"/>
  <c r="BS10" i="16501"/>
  <c r="G70" i="16513"/>
  <c r="G127" i="16513"/>
  <c r="DE127" i="16506"/>
  <c r="DE134" i="16506" s="1"/>
  <c r="EJ102" i="16506"/>
  <c r="EJ97" i="16506" s="1"/>
  <c r="BT10" i="16501"/>
  <c r="EI97" i="16506"/>
  <c r="CC104" i="16506"/>
  <c r="EM104" i="16506" s="1"/>
  <c r="EL104" i="16506"/>
  <c r="H70" i="16513"/>
  <c r="H127" i="16513"/>
  <c r="AJ71" i="16513"/>
  <c r="BI113" i="16513" l="1"/>
  <c r="BH113" i="16513"/>
  <c r="AX113" i="16513"/>
  <c r="BG113" i="16513"/>
  <c r="AP113" i="16513"/>
  <c r="AQ113" i="16513"/>
  <c r="AN113" i="16513"/>
  <c r="BH71" i="16513"/>
  <c r="AY71" i="16513"/>
  <c r="BL71" i="16513"/>
  <c r="BM71" i="16513"/>
  <c r="AU113" i="16513"/>
  <c r="BD113" i="16513"/>
  <c r="AL113" i="16513"/>
  <c r="AZ113" i="16513"/>
  <c r="AY113" i="16513"/>
  <c r="BB71" i="16513"/>
  <c r="AZ71" i="16513"/>
  <c r="AS71" i="16513"/>
  <c r="AV71" i="16513"/>
  <c r="AU71" i="16513"/>
  <c r="BG71" i="16513"/>
  <c r="AR71" i="16513"/>
  <c r="BD71" i="16513"/>
  <c r="AP71" i="16513"/>
  <c r="BF113" i="16513"/>
  <c r="AV113" i="16513"/>
  <c r="AM113" i="16513"/>
  <c r="BL113" i="16513"/>
  <c r="BC113" i="16513"/>
  <c r="AT113" i="16513"/>
  <c r="BK113" i="16513"/>
  <c r="BB113" i="16513"/>
  <c r="AS113" i="16513"/>
  <c r="BN113" i="16513"/>
  <c r="BJ113" i="16513"/>
  <c r="BA113" i="16513"/>
  <c r="AR113" i="16513"/>
  <c r="EJ123" i="16506"/>
  <c r="J72" i="16513" s="1"/>
  <c r="BE71" i="16513"/>
  <c r="AW71" i="16513"/>
  <c r="AO71" i="16513"/>
  <c r="BJ71" i="16513"/>
  <c r="BF71" i="16513"/>
  <c r="AX71" i="16513"/>
  <c r="AM71" i="16513"/>
  <c r="BK71" i="16513"/>
  <c r="BC71" i="16513"/>
  <c r="AT71" i="16513"/>
  <c r="AL71" i="16513"/>
  <c r="AN71" i="16513"/>
  <c r="BO71" i="16513"/>
  <c r="BI71" i="16513"/>
  <c r="BA71" i="16513"/>
  <c r="AQ71" i="16513"/>
  <c r="DD134" i="16506"/>
  <c r="BO113" i="16513"/>
  <c r="BM113" i="16513"/>
  <c r="BE113" i="16513"/>
  <c r="AW113" i="16513"/>
  <c r="G13" i="16513"/>
  <c r="D13" i="16511"/>
  <c r="K70" i="16513"/>
  <c r="K127" i="16513"/>
  <c r="E13" i="16511"/>
  <c r="H13" i="16513"/>
  <c r="CD104" i="16506"/>
  <c r="DG127" i="16506"/>
  <c r="EL102" i="16506"/>
  <c r="EM102" i="16506"/>
  <c r="EM97" i="16506" s="1"/>
  <c r="DH127" i="16506"/>
  <c r="DH134" i="16506" s="1"/>
  <c r="EI123" i="16506"/>
  <c r="F127" i="16513"/>
  <c r="F70" i="16513"/>
  <c r="EM123" i="16506" l="1"/>
  <c r="M72" i="16513" s="1"/>
  <c r="BP71" i="16513"/>
  <c r="BP113" i="16513"/>
  <c r="J70" i="16513"/>
  <c r="J127" i="16513"/>
  <c r="I72" i="16513"/>
  <c r="CE104" i="16506"/>
  <c r="CF104" i="16506" s="1"/>
  <c r="EP104" i="16506" s="1"/>
  <c r="EN104" i="16506"/>
  <c r="D16" i="16511"/>
  <c r="D20" i="16511"/>
  <c r="D21" i="16511" s="1"/>
  <c r="F13" i="16513"/>
  <c r="C13" i="16511"/>
  <c r="EL97" i="16506"/>
  <c r="E20" i="16511"/>
  <c r="E21" i="16511" s="1"/>
  <c r="E16" i="16511"/>
  <c r="DG134" i="16506"/>
  <c r="H13" i="16511"/>
  <c r="K13" i="16513"/>
  <c r="EP102" i="16506" l="1"/>
  <c r="EP97" i="16506" s="1"/>
  <c r="DK127" i="16506"/>
  <c r="DK134" i="16506" s="1"/>
  <c r="C20" i="16511"/>
  <c r="C16" i="16511"/>
  <c r="DI127" i="16506"/>
  <c r="EN102" i="16506"/>
  <c r="EO104" i="16506"/>
  <c r="CG104" i="16506"/>
  <c r="I70" i="16513"/>
  <c r="I127" i="16513"/>
  <c r="H16" i="16511"/>
  <c r="H20" i="16511"/>
  <c r="H21" i="16511" s="1"/>
  <c r="EL123" i="16506"/>
  <c r="M70" i="16513"/>
  <c r="M127" i="16513"/>
  <c r="J13" i="16513"/>
  <c r="G13" i="16511"/>
  <c r="EP123" i="16506" l="1"/>
  <c r="P72" i="16513" s="1"/>
  <c r="J13" i="16511"/>
  <c r="M13" i="16513"/>
  <c r="EN97" i="16506"/>
  <c r="F13" i="16511"/>
  <c r="I13" i="16513"/>
  <c r="DI134" i="16506"/>
  <c r="DJ127" i="16506"/>
  <c r="DJ134" i="16506" s="1"/>
  <c r="EO102" i="16506"/>
  <c r="EO97" i="16506" s="1"/>
  <c r="L72" i="16513"/>
  <c r="G16" i="16511"/>
  <c r="G20" i="16511"/>
  <c r="G21" i="16511" s="1"/>
  <c r="C21" i="16511"/>
  <c r="CH104" i="16506"/>
  <c r="ER104" i="16506" s="1"/>
  <c r="EQ104" i="16506"/>
  <c r="EO123" i="16506" l="1"/>
  <c r="O72" i="16513" s="1"/>
  <c r="EN123" i="16506"/>
  <c r="P70" i="16513"/>
  <c r="P127" i="16513"/>
  <c r="DM127" i="16506"/>
  <c r="DM134" i="16506" s="1"/>
  <c r="ER102" i="16506"/>
  <c r="ER97" i="16506" s="1"/>
  <c r="CI104" i="16506"/>
  <c r="DL127" i="16506"/>
  <c r="DL134" i="16506" s="1"/>
  <c r="EQ102" i="16506"/>
  <c r="L70" i="16513"/>
  <c r="L127" i="16513"/>
  <c r="F20" i="16511"/>
  <c r="F16" i="16511"/>
  <c r="J20" i="16511"/>
  <c r="J21" i="16511" s="1"/>
  <c r="J16" i="16511"/>
  <c r="ER123" i="16506" l="1"/>
  <c r="R72" i="16513" s="1"/>
  <c r="O70" i="16513"/>
  <c r="O127" i="16513"/>
  <c r="I13" i="16511"/>
  <c r="L13" i="16513"/>
  <c r="CJ104" i="16506"/>
  <c r="CK104" i="16506" s="1"/>
  <c r="ES104" i="16506"/>
  <c r="P13" i="16513"/>
  <c r="M13" i="16511"/>
  <c r="EQ97" i="16506"/>
  <c r="F21" i="16511"/>
  <c r="N72" i="16513"/>
  <c r="EU104" i="16506" l="1"/>
  <c r="EQ123" i="16506"/>
  <c r="R70" i="16513"/>
  <c r="R127" i="16513"/>
  <c r="M16" i="16511"/>
  <c r="M20" i="16511"/>
  <c r="M21" i="16511" s="1"/>
  <c r="N127" i="16513"/>
  <c r="N70" i="16513"/>
  <c r="ES102" i="16506"/>
  <c r="ES97" i="16506" s="1"/>
  <c r="DN127" i="16506"/>
  <c r="DN134" i="16506" s="1"/>
  <c r="I20" i="16511"/>
  <c r="I16" i="16511"/>
  <c r="ET104" i="16506"/>
  <c r="CL104" i="16506"/>
  <c r="EV104" i="16506" s="1"/>
  <c r="O13" i="16513"/>
  <c r="L13" i="16511"/>
  <c r="ES123" i="16506" l="1"/>
  <c r="S72" i="16513" s="1"/>
  <c r="EV102" i="16506"/>
  <c r="EV97" i="16506" s="1"/>
  <c r="DQ127" i="16506"/>
  <c r="DQ134" i="16506" s="1"/>
  <c r="DO127" i="16506"/>
  <c r="DO134" i="16506" s="1"/>
  <c r="ET102" i="16506"/>
  <c r="ET97" i="16506" s="1"/>
  <c r="O13" i="16511"/>
  <c r="R13" i="16513"/>
  <c r="L16" i="16511"/>
  <c r="L20" i="16511"/>
  <c r="L21" i="16511" s="1"/>
  <c r="Q72" i="16513"/>
  <c r="N13" i="16513"/>
  <c r="K13" i="16511"/>
  <c r="CM104" i="16506"/>
  <c r="I21" i="16511"/>
  <c r="EU102" i="16506"/>
  <c r="EU97" i="16506" s="1"/>
  <c r="DP127" i="16506"/>
  <c r="DP134" i="16506" s="1"/>
  <c r="ET123" i="16506" l="1"/>
  <c r="T72" i="16513" s="1"/>
  <c r="EV123" i="16506"/>
  <c r="V72" i="16513" s="1"/>
  <c r="EU123" i="16506"/>
  <c r="U72" i="16513" s="1"/>
  <c r="O16" i="16511"/>
  <c r="O20" i="16511"/>
  <c r="O21" i="16511" s="1"/>
  <c r="Q70" i="16513"/>
  <c r="Q127" i="16513"/>
  <c r="CN104" i="16506"/>
  <c r="EX104" i="16506" s="1"/>
  <c r="EW104" i="16506"/>
  <c r="K20" i="16511"/>
  <c r="K16" i="16511"/>
  <c r="S70" i="16513"/>
  <c r="S127" i="16513"/>
  <c r="S13" i="16513" l="1"/>
  <c r="P13" i="16511"/>
  <c r="Q13" i="16513"/>
  <c r="N13" i="16511"/>
  <c r="U70" i="16513"/>
  <c r="U127" i="16513"/>
  <c r="EX102" i="16506"/>
  <c r="EX97" i="16506" s="1"/>
  <c r="DS127" i="16506"/>
  <c r="DS134" i="16506" s="1"/>
  <c r="V70" i="16513"/>
  <c r="V127" i="16513"/>
  <c r="CO104" i="16506"/>
  <c r="K21" i="16511"/>
  <c r="EW102" i="16506"/>
  <c r="EW97" i="16506" s="1"/>
  <c r="DR127" i="16506"/>
  <c r="DR134" i="16506" s="1"/>
  <c r="T70" i="16513"/>
  <c r="T127" i="16513"/>
  <c r="EX123" i="16506" l="1"/>
  <c r="X72" i="16513" s="1"/>
  <c r="EW123" i="16506"/>
  <c r="W72" i="16513" s="1"/>
  <c r="N20" i="16511"/>
  <c r="N16" i="16511"/>
  <c r="S13" i="16511"/>
  <c r="V13" i="16513"/>
  <c r="CP104" i="16506"/>
  <c r="CQ104" i="16506" s="1"/>
  <c r="EY104" i="16506"/>
  <c r="T13" i="16513"/>
  <c r="Q13" i="16511"/>
  <c r="P16" i="16511"/>
  <c r="P20" i="16511"/>
  <c r="P21" i="16511" s="1"/>
  <c r="U13" i="16513"/>
  <c r="R13" i="16511"/>
  <c r="W127" i="16513" l="1"/>
  <c r="W70" i="16513"/>
  <c r="S20" i="16511"/>
  <c r="S21" i="16511" s="1"/>
  <c r="S16" i="16511"/>
  <c r="FA104" i="16506"/>
  <c r="EZ104" i="16506"/>
  <c r="CR104" i="16506"/>
  <c r="CS104" i="16506" s="1"/>
  <c r="EY102" i="16506"/>
  <c r="EY97" i="16506" s="1"/>
  <c r="DT127" i="16506"/>
  <c r="DT134" i="16506" s="1"/>
  <c r="N21" i="16511"/>
  <c r="Q20" i="16511"/>
  <c r="Q21" i="16511" s="1"/>
  <c r="Q16" i="16511"/>
  <c r="R16" i="16511"/>
  <c r="R20" i="16511"/>
  <c r="R21" i="16511" s="1"/>
  <c r="X70" i="16513"/>
  <c r="X127" i="16513"/>
  <c r="EY123" i="16506" l="1"/>
  <c r="Y72" i="16513" s="1"/>
  <c r="FC104" i="16506"/>
  <c r="FA102" i="16506"/>
  <c r="FA97" i="16506" s="1"/>
  <c r="DV127" i="16506"/>
  <c r="DV134" i="16506" s="1"/>
  <c r="X13" i="16513"/>
  <c r="U13" i="16511"/>
  <c r="T13" i="16511"/>
  <c r="W13" i="16513"/>
  <c r="FB104" i="16506"/>
  <c r="CT104" i="16506"/>
  <c r="EZ102" i="16506"/>
  <c r="EZ97" i="16506" s="1"/>
  <c r="DU127" i="16506"/>
  <c r="DU134" i="16506" s="1"/>
  <c r="EZ123" i="16506" l="1"/>
  <c r="Z72" i="16513" s="1"/>
  <c r="FA123" i="16506"/>
  <c r="AA72" i="16513" s="1"/>
  <c r="FB102" i="16506"/>
  <c r="FB97" i="16506" s="1"/>
  <c r="DW127" i="16506"/>
  <c r="DW134" i="16506" s="1"/>
  <c r="U16" i="16511"/>
  <c r="U20" i="16511"/>
  <c r="U21" i="16511" s="1"/>
  <c r="FD104" i="16506"/>
  <c r="T20" i="16511"/>
  <c r="T21" i="16511" s="1"/>
  <c r="T16" i="16511"/>
  <c r="CU104" i="16506"/>
  <c r="FE104" i="16506" s="1"/>
  <c r="Y70" i="16513"/>
  <c r="Y127" i="16513"/>
  <c r="FC102" i="16506"/>
  <c r="FC97" i="16506" s="1"/>
  <c r="DX127" i="16506"/>
  <c r="DX134" i="16506" s="1"/>
  <c r="FB123" i="16506" l="1"/>
  <c r="AB72" i="16513" s="1"/>
  <c r="FC123" i="16506"/>
  <c r="AC72" i="16513" s="1"/>
  <c r="CV104" i="16506"/>
  <c r="FF104" i="16506" s="1"/>
  <c r="Z127" i="16513"/>
  <c r="Z70" i="16513"/>
  <c r="DY127" i="16506"/>
  <c r="DY134" i="16506" s="1"/>
  <c r="FD102" i="16506"/>
  <c r="FD97" i="16506" s="1"/>
  <c r="DZ127" i="16506"/>
  <c r="DZ134" i="16506" s="1"/>
  <c r="FE102" i="16506"/>
  <c r="FE97" i="16506" s="1"/>
  <c r="V13" i="16511"/>
  <c r="Y13" i="16513"/>
  <c r="AA70" i="16513"/>
  <c r="AA127" i="16513"/>
  <c r="FD123" i="16506" l="1"/>
  <c r="AD72" i="16513" s="1"/>
  <c r="FE123" i="16506"/>
  <c r="AE72" i="16513" s="1"/>
  <c r="CW104" i="16506"/>
  <c r="FG104" i="16506" s="1"/>
  <c r="AC127" i="16513"/>
  <c r="AC70" i="16513"/>
  <c r="Z13" i="16513"/>
  <c r="W13" i="16511"/>
  <c r="X13" i="16511"/>
  <c r="AA13" i="16513"/>
  <c r="AB70" i="16513"/>
  <c r="AB127" i="16513"/>
  <c r="V16" i="16511"/>
  <c r="V20" i="16511"/>
  <c r="V21" i="16511" s="1"/>
  <c r="EA127" i="16506"/>
  <c r="EA134" i="16506" s="1"/>
  <c r="FF102" i="16506"/>
  <c r="FF97" i="16506" s="1"/>
  <c r="FF123" i="16506" l="1"/>
  <c r="AF72" i="16513" s="1"/>
  <c r="CX104" i="16506"/>
  <c r="FH104" i="16506" s="1"/>
  <c r="EC127" i="16506" s="1"/>
  <c r="EC134" i="16506" s="1"/>
  <c r="Y13" i="16511"/>
  <c r="AB13" i="16513"/>
  <c r="AD70" i="16513"/>
  <c r="AD127" i="16513"/>
  <c r="AE70" i="16513"/>
  <c r="AE127" i="16513"/>
  <c r="W16" i="16511"/>
  <c r="W20" i="16511"/>
  <c r="W21" i="16511" s="1"/>
  <c r="EB127" i="16506"/>
  <c r="EB134" i="16506" s="1"/>
  <c r="FG102" i="16506"/>
  <c r="FG97" i="16506" s="1"/>
  <c r="X20" i="16511"/>
  <c r="X21" i="16511" s="1"/>
  <c r="X16" i="16511"/>
  <c r="AC13" i="16513"/>
  <c r="Z13" i="16511"/>
  <c r="FG123" i="16506" l="1"/>
  <c r="AG72" i="16513" s="1"/>
  <c r="CY104" i="16506"/>
  <c r="FI104" i="16506" s="1"/>
  <c r="ED127" i="16506" s="1"/>
  <c r="FH102" i="16506"/>
  <c r="FH97" i="16506" s="1"/>
  <c r="AA13" i="16511"/>
  <c r="AD13" i="16513"/>
  <c r="AF127" i="16513"/>
  <c r="AF70" i="16513"/>
  <c r="Z16" i="16511"/>
  <c r="Z20" i="16511"/>
  <c r="Z21" i="16511" s="1"/>
  <c r="Y20" i="16511"/>
  <c r="Y21" i="16511" s="1"/>
  <c r="Y16" i="16511"/>
  <c r="AE13" i="16513"/>
  <c r="AB13" i="16511"/>
  <c r="FH123" i="16506" l="1"/>
  <c r="AH72" i="16513" s="1"/>
  <c r="AH70" i="16513" s="1"/>
  <c r="FI102" i="16506"/>
  <c r="I102" i="16506" s="1"/>
  <c r="ED134" i="16506"/>
  <c r="CZ127" i="16506"/>
  <c r="AG127" i="16513"/>
  <c r="AG70" i="16513"/>
  <c r="AA20" i="16511"/>
  <c r="AA21" i="16511" s="1"/>
  <c r="AA16" i="16511"/>
  <c r="AB20" i="16511"/>
  <c r="AB21" i="16511" s="1"/>
  <c r="AB16" i="16511"/>
  <c r="AF13" i="16513"/>
  <c r="AC13" i="16511"/>
  <c r="AH127" i="16513" l="1"/>
  <c r="FI97" i="16506"/>
  <c r="AD13" i="16511"/>
  <c r="AG13" i="16513"/>
  <c r="AE13" i="16511"/>
  <c r="AH13" i="16513"/>
  <c r="AC16" i="16511"/>
  <c r="AC20" i="16511"/>
  <c r="AC21" i="16511" s="1"/>
  <c r="CZ134" i="16506"/>
  <c r="I97" i="16506" l="1"/>
  <c r="I94" i="16506"/>
  <c r="AE20" i="16511"/>
  <c r="AE21" i="16511" s="1"/>
  <c r="AE16" i="16511"/>
  <c r="AD16" i="16511"/>
  <c r="AD20" i="16511"/>
  <c r="AD21" i="16511" s="1"/>
  <c r="FI123" i="16506" l="1"/>
  <c r="AI72" i="16513" s="1"/>
  <c r="I123" i="16506" l="1"/>
  <c r="E72" i="16513" s="1"/>
  <c r="AI70" i="16513"/>
  <c r="AI127" i="16513"/>
  <c r="AJ72" i="16513"/>
  <c r="FI124" i="16506" l="1"/>
  <c r="BO72" i="16513" s="1"/>
  <c r="FG124" i="16506"/>
  <c r="BM72" i="16513" s="1"/>
  <c r="FH124" i="16506"/>
  <c r="BN72" i="16513" s="1"/>
  <c r="FF124" i="16506"/>
  <c r="BL72" i="16513" s="1"/>
  <c r="FE124" i="16506"/>
  <c r="BK72" i="16513" s="1"/>
  <c r="FD124" i="16506"/>
  <c r="BJ72" i="16513" s="1"/>
  <c r="FC124" i="16506"/>
  <c r="BI72" i="16513" s="1"/>
  <c r="FB124" i="16506"/>
  <c r="BH72" i="16513" s="1"/>
  <c r="EZ124" i="16506"/>
  <c r="BF72" i="16513" s="1"/>
  <c r="FA124" i="16506"/>
  <c r="BG72" i="16513" s="1"/>
  <c r="EY124" i="16506"/>
  <c r="BE72" i="16513" s="1"/>
  <c r="EW124" i="16506"/>
  <c r="BC72" i="16513" s="1"/>
  <c r="EX124" i="16506"/>
  <c r="BD72" i="16513" s="1"/>
  <c r="ET124" i="16506"/>
  <c r="AZ72" i="16513" s="1"/>
  <c r="EV124" i="16506"/>
  <c r="BB72" i="16513" s="1"/>
  <c r="EQ124" i="16506"/>
  <c r="AW72" i="16513" s="1"/>
  <c r="EU124" i="16506"/>
  <c r="BA72" i="16513" s="1"/>
  <c r="ES124" i="16506"/>
  <c r="AY72" i="16513" s="1"/>
  <c r="ER124" i="16506"/>
  <c r="AX72" i="16513" s="1"/>
  <c r="EN124" i="16506"/>
  <c r="AT72" i="16513" s="1"/>
  <c r="EO124" i="16506"/>
  <c r="AU72" i="16513" s="1"/>
  <c r="EL124" i="16506"/>
  <c r="AR72" i="16513" s="1"/>
  <c r="EI124" i="16506"/>
  <c r="AO72" i="16513" s="1"/>
  <c r="EM124" i="16506"/>
  <c r="AS72" i="16513" s="1"/>
  <c r="EJ124" i="16506"/>
  <c r="AP72" i="16513" s="1"/>
  <c r="EK124" i="16506"/>
  <c r="AQ72" i="16513" s="1"/>
  <c r="EF124" i="16506"/>
  <c r="AL72" i="16513" s="1"/>
  <c r="EG124" i="16506"/>
  <c r="AM72" i="16513" s="1"/>
  <c r="EP124" i="16506"/>
  <c r="AV72" i="16513" s="1"/>
  <c r="EH124" i="16506"/>
  <c r="AN72" i="16513" s="1"/>
  <c r="AI13" i="16513"/>
  <c r="AF13" i="16511"/>
  <c r="AJ70" i="16513"/>
  <c r="AJ127" i="16513"/>
  <c r="E70" i="16513"/>
  <c r="E127" i="16513"/>
  <c r="BO127" i="16513" s="1"/>
  <c r="FJ124" i="16506" l="1"/>
  <c r="BP72" i="16513"/>
  <c r="BO70" i="16513"/>
  <c r="E13" i="16513"/>
  <c r="BO13" i="16513" s="1"/>
  <c r="AM70" i="16513"/>
  <c r="AN70" i="16513"/>
  <c r="AL70" i="16513"/>
  <c r="AQ70" i="16513"/>
  <c r="AP70" i="16513"/>
  <c r="AS70" i="16513"/>
  <c r="AO70" i="16513"/>
  <c r="AR70" i="16513"/>
  <c r="AV70" i="16513"/>
  <c r="AU70" i="16513"/>
  <c r="AX70" i="16513"/>
  <c r="AT70" i="16513"/>
  <c r="AW70" i="16513"/>
  <c r="AY70" i="16513"/>
  <c r="BA70" i="16513"/>
  <c r="BB70" i="16513"/>
  <c r="AZ70" i="16513"/>
  <c r="BC70" i="16513"/>
  <c r="BD70" i="16513"/>
  <c r="BE70" i="16513"/>
  <c r="BG70" i="16513"/>
  <c r="BF70" i="16513"/>
  <c r="BH70" i="16513"/>
  <c r="BI70" i="16513"/>
  <c r="BJ70" i="16513"/>
  <c r="BK70" i="16513"/>
  <c r="BL70" i="16513"/>
  <c r="BM70" i="16513"/>
  <c r="BN70" i="16513"/>
  <c r="AF16" i="16511"/>
  <c r="B16" i="16511" s="1"/>
  <c r="AF20" i="16511"/>
  <c r="B13" i="16511"/>
  <c r="AH13" i="16511" s="1"/>
  <c r="AM127" i="16513"/>
  <c r="AN127" i="16513"/>
  <c r="AQ127" i="16513"/>
  <c r="AL127" i="16513"/>
  <c r="AP127" i="16513"/>
  <c r="AS127" i="16513"/>
  <c r="AO127" i="16513"/>
  <c r="AV127" i="16513"/>
  <c r="AR127" i="16513"/>
  <c r="AU127" i="16513"/>
  <c r="AT127" i="16513"/>
  <c r="AX127" i="16513"/>
  <c r="AW127" i="16513"/>
  <c r="AY127" i="16513"/>
  <c r="BB127" i="16513"/>
  <c r="BA127" i="16513"/>
  <c r="AZ127" i="16513"/>
  <c r="BD127" i="16513"/>
  <c r="BC127" i="16513"/>
  <c r="BE127" i="16513"/>
  <c r="BG127" i="16513"/>
  <c r="BF127" i="16513"/>
  <c r="BH127" i="16513"/>
  <c r="BI127" i="16513"/>
  <c r="BJ127" i="16513"/>
  <c r="BK127" i="16513"/>
  <c r="BL127" i="16513"/>
  <c r="BN127" i="16513"/>
  <c r="BM127" i="16513"/>
  <c r="AJ13" i="16513"/>
  <c r="B17" i="16511" l="1"/>
  <c r="BP127" i="16513"/>
  <c r="BP70" i="16513"/>
  <c r="AN13" i="16513"/>
  <c r="AM13" i="16513"/>
  <c r="AL13" i="16513"/>
  <c r="AQ13" i="16513"/>
  <c r="AP13" i="16513"/>
  <c r="AS13" i="16513"/>
  <c r="AO13" i="16513"/>
  <c r="AV13" i="16513"/>
  <c r="AR13" i="16513"/>
  <c r="AU13" i="16513"/>
  <c r="AT13" i="16513"/>
  <c r="AX13" i="16513"/>
  <c r="AW13" i="16513"/>
  <c r="AY13" i="16513"/>
  <c r="BB13" i="16513"/>
  <c r="BA13" i="16513"/>
  <c r="AZ13" i="16513"/>
  <c r="BD13" i="16513"/>
  <c r="BC13" i="16513"/>
  <c r="BE13" i="16513"/>
  <c r="BF13" i="16513"/>
  <c r="BG13" i="16513"/>
  <c r="BI13" i="16513"/>
  <c r="BH13" i="16513"/>
  <c r="BK13" i="16513"/>
  <c r="BJ13" i="16513"/>
  <c r="BL13" i="16513"/>
  <c r="BN13" i="16513"/>
  <c r="BM13" i="16513"/>
  <c r="AF21" i="16511"/>
  <c r="B21" i="16511" s="1"/>
  <c r="B20" i="16511"/>
  <c r="BP13" i="16513" l="1"/>
  <c r="G70" i="16508" l="1"/>
  <c r="J69" i="16508"/>
  <c r="L7" i="16533" l="1"/>
  <c r="K7" i="16533"/>
  <c r="M7" i="16533"/>
  <c r="Q7" i="16533"/>
  <c r="M4" i="16533"/>
  <c r="K4" i="16533"/>
  <c r="Q4" i="16533"/>
  <c r="L4" i="16533"/>
  <c r="Q3" i="16533"/>
  <c r="L3" i="16533"/>
  <c r="K3" i="16533"/>
  <c r="M3" i="16533"/>
  <c r="K5" i="16533"/>
  <c r="L5" i="16533"/>
  <c r="Q5" i="16533"/>
  <c r="M5" i="16533"/>
  <c r="F17" i="16533" l="1"/>
  <c r="M17" i="16533" s="1"/>
  <c r="F14" i="16533"/>
  <c r="M14" i="16533" s="1"/>
  <c r="F15" i="16533"/>
  <c r="M15" i="16533" s="1"/>
  <c r="F13" i="16533"/>
  <c r="F16" i="16533"/>
  <c r="M16" i="16533" s="1"/>
  <c r="F18" i="16533"/>
  <c r="M18" i="16533" s="1"/>
  <c r="E21" i="16533"/>
  <c r="E22" i="16533"/>
  <c r="L22" i="16533" s="1"/>
  <c r="E23" i="16533"/>
  <c r="L23" i="16533" s="1"/>
  <c r="E25" i="16533"/>
  <c r="L25" i="16533" s="1"/>
  <c r="E24" i="16533"/>
  <c r="L24" i="16533" s="1"/>
  <c r="F21" i="16533"/>
  <c r="F25" i="16533"/>
  <c r="M25" i="16533" s="1"/>
  <c r="F24" i="16533"/>
  <c r="M24" i="16533" s="1"/>
  <c r="F22" i="16533"/>
  <c r="M22" i="16533" s="1"/>
  <c r="F23" i="16533"/>
  <c r="M23" i="16533" s="1"/>
  <c r="D25" i="16533"/>
  <c r="K25" i="16533" s="1"/>
  <c r="D24" i="16533"/>
  <c r="K24" i="16533" s="1"/>
  <c r="D23" i="16533"/>
  <c r="K23" i="16533" s="1"/>
  <c r="D22" i="16533"/>
  <c r="K22" i="16533" s="1"/>
  <c r="D21" i="16533"/>
  <c r="H22" i="16533"/>
  <c r="O22" i="16533" s="1"/>
  <c r="H23" i="16533"/>
  <c r="O23" i="16533" s="1"/>
  <c r="H24" i="16533"/>
  <c r="O24" i="16533" s="1"/>
  <c r="H25" i="16533"/>
  <c r="O25" i="16533" s="1"/>
  <c r="H21" i="16533"/>
  <c r="D17" i="16533"/>
  <c r="K17" i="16533" s="1"/>
  <c r="D14" i="16533"/>
  <c r="K14" i="16533" s="1"/>
  <c r="D13" i="16533"/>
  <c r="D16" i="16533"/>
  <c r="K16" i="16533" s="1"/>
  <c r="D18" i="16533"/>
  <c r="K18" i="16533" s="1"/>
  <c r="D15" i="16533"/>
  <c r="K15" i="16533" s="1"/>
  <c r="E16" i="16533"/>
  <c r="L16" i="16533" s="1"/>
  <c r="E13" i="16533"/>
  <c r="E15" i="16533"/>
  <c r="L15" i="16533" s="1"/>
  <c r="E17" i="16533"/>
  <c r="L17" i="16533" s="1"/>
  <c r="E14" i="16533"/>
  <c r="L14" i="16533" s="1"/>
  <c r="E18" i="16533"/>
  <c r="L18" i="16533" s="1"/>
  <c r="H15" i="16533"/>
  <c r="O15" i="16533" s="1"/>
  <c r="H18" i="16533"/>
  <c r="O18" i="16533" s="1"/>
  <c r="H17" i="16533"/>
  <c r="O17" i="16533" s="1"/>
  <c r="H13" i="16533"/>
  <c r="H14" i="16533"/>
  <c r="O14" i="16533" s="1"/>
  <c r="H16" i="16533"/>
  <c r="O16" i="16533" s="1"/>
  <c r="E26" i="16533" l="1"/>
  <c r="L21" i="16533"/>
  <c r="L26" i="16533" s="1"/>
  <c r="P4" i="16533" s="1"/>
  <c r="K13" i="16533"/>
  <c r="K19" i="16533" s="1"/>
  <c r="O3" i="16533" s="1"/>
  <c r="D19" i="16533"/>
  <c r="K21" i="16533"/>
  <c r="K26" i="16533" s="1"/>
  <c r="P3" i="16533" s="1"/>
  <c r="D26" i="16533"/>
  <c r="F26" i="16533"/>
  <c r="M21" i="16533"/>
  <c r="M26" i="16533" s="1"/>
  <c r="P5" i="16533" s="1"/>
  <c r="M13" i="16533"/>
  <c r="M19" i="16533" s="1"/>
  <c r="O5" i="16533" s="1"/>
  <c r="F19" i="16533"/>
  <c r="H19" i="16533"/>
  <c r="O13" i="16533"/>
  <c r="O19" i="16533" s="1"/>
  <c r="O7" i="16533" s="1"/>
  <c r="L13" i="16533"/>
  <c r="L19" i="16533" s="1"/>
  <c r="O4" i="16533" s="1"/>
  <c r="E19" i="16533"/>
  <c r="H26" i="16533"/>
  <c r="O21" i="16533"/>
  <c r="O26" i="16533" s="1"/>
  <c r="P7" i="16533" s="1"/>
  <c r="R7" i="16533" s="1"/>
  <c r="R5" i="16533" l="1"/>
  <c r="R3" i="16533"/>
  <c r="R4" i="16533"/>
  <c r="M8" i="16533" l="1"/>
  <c r="K8" i="16533"/>
  <c r="Q8" i="16533"/>
  <c r="L8" i="16533"/>
  <c r="M6" i="16533"/>
  <c r="K6" i="16533"/>
  <c r="K9" i="16533" s="1"/>
  <c r="L6" i="16533"/>
  <c r="Q6" i="16533"/>
  <c r="Q9" i="16533" s="1"/>
  <c r="G15" i="16533" l="1"/>
  <c r="N15" i="16533" s="1"/>
  <c r="G17" i="16533"/>
  <c r="N17" i="16533" s="1"/>
  <c r="G14" i="16533"/>
  <c r="N14" i="16533" s="1"/>
  <c r="G16" i="16533"/>
  <c r="N16" i="16533" s="1"/>
  <c r="G18" i="16533"/>
  <c r="N18" i="16533" s="1"/>
  <c r="G13" i="16533"/>
  <c r="G22" i="16533"/>
  <c r="N22" i="16533" s="1"/>
  <c r="G21" i="16533"/>
  <c r="G24" i="16533"/>
  <c r="N24" i="16533" s="1"/>
  <c r="G25" i="16533"/>
  <c r="N25" i="16533" s="1"/>
  <c r="G23" i="16533"/>
  <c r="N23" i="16533" s="1"/>
  <c r="I15" i="16533"/>
  <c r="P15" i="16533" s="1"/>
  <c r="I17" i="16533"/>
  <c r="P17" i="16533" s="1"/>
  <c r="I16" i="16533"/>
  <c r="P16" i="16533" s="1"/>
  <c r="I14" i="16533"/>
  <c r="P14" i="16533" s="1"/>
  <c r="I18" i="16533"/>
  <c r="P18" i="16533" s="1"/>
  <c r="I13" i="16533"/>
  <c r="I21" i="16533"/>
  <c r="I22" i="16533"/>
  <c r="P22" i="16533" s="1"/>
  <c r="I25" i="16533"/>
  <c r="P25" i="16533" s="1"/>
  <c r="I23" i="16533"/>
  <c r="P23" i="16533" s="1"/>
  <c r="I24" i="16533"/>
  <c r="P24" i="16533" s="1"/>
  <c r="G26" i="16533" l="1"/>
  <c r="N21" i="16533"/>
  <c r="N26" i="16533" s="1"/>
  <c r="P6" i="16533" s="1"/>
  <c r="G19" i="16533"/>
  <c r="N13" i="16533"/>
  <c r="N19" i="16533" s="1"/>
  <c r="O6" i="16533" s="1"/>
  <c r="I26" i="16533"/>
  <c r="P21" i="16533"/>
  <c r="P26" i="16533" s="1"/>
  <c r="P8" i="16533" s="1"/>
  <c r="P13" i="16533"/>
  <c r="P19" i="16533" s="1"/>
  <c r="O8" i="16533" s="1"/>
  <c r="I19" i="16533"/>
  <c r="R8" i="16533" l="1"/>
  <c r="O9" i="16533"/>
  <c r="R6" i="16533"/>
  <c r="R9" i="16533" s="1"/>
  <c r="G45" i="16502" s="1"/>
  <c r="H45" i="16502" s="1"/>
  <c r="P9" i="16533"/>
  <c r="I45" i="16502" l="1"/>
  <c r="H54" i="16502"/>
  <c r="L45" i="16502" l="1"/>
  <c r="K45" i="16502"/>
  <c r="I54" i="16502"/>
  <c r="I58" i="16502" s="1"/>
  <c r="AF124" i="16513"/>
  <c r="AC124" i="16513"/>
  <c r="V124" i="16513"/>
  <c r="AG124" i="16513"/>
  <c r="J124" i="16513"/>
  <c r="S124" i="16513"/>
  <c r="G124" i="16513"/>
  <c r="F124" i="16513"/>
  <c r="K124" i="16513"/>
  <c r="Q124" i="16513"/>
  <c r="Z124" i="16513"/>
  <c r="X124" i="16513"/>
  <c r="AD124" i="16513"/>
  <c r="P124" i="16513"/>
  <c r="N124" i="16513"/>
  <c r="I124" i="16513"/>
  <c r="R124" i="16513"/>
  <c r="AI124" i="16513"/>
  <c r="M124" i="16513"/>
  <c r="AH124" i="16513"/>
  <c r="U124" i="16513"/>
  <c r="Y124" i="16513"/>
  <c r="T124" i="16513"/>
  <c r="H124" i="16513"/>
  <c r="AA124" i="16513"/>
  <c r="W124" i="16513"/>
  <c r="AE124" i="16513"/>
  <c r="AB124" i="16513"/>
  <c r="L124" i="16513"/>
  <c r="O124" i="16513"/>
  <c r="K54" i="16502" l="1"/>
  <c r="M216" i="16461" s="1"/>
  <c r="N45" i="16502"/>
  <c r="M45" i="16502"/>
  <c r="L54" i="16502"/>
  <c r="N216" i="16461" s="1"/>
  <c r="AJ124" i="16513"/>
  <c r="H43" i="16501" l="1"/>
  <c r="N221" i="16461"/>
  <c r="O45" i="16502"/>
  <c r="M54" i="16502"/>
  <c r="O216" i="16461" s="1"/>
  <c r="P45" i="16502"/>
  <c r="N54" i="16502"/>
  <c r="P216" i="16461" s="1"/>
  <c r="G43" i="16501"/>
  <c r="M221" i="16461"/>
  <c r="DE136" i="16506"/>
  <c r="DL136" i="16506"/>
  <c r="DZ136" i="16506"/>
  <c r="DX136" i="16506"/>
  <c r="ED136" i="16506"/>
  <c r="DT136" i="16506"/>
  <c r="DR136" i="16506"/>
  <c r="DN136" i="16506"/>
  <c r="DF136" i="16506"/>
  <c r="DP136" i="16506"/>
  <c r="DS136" i="16506"/>
  <c r="DO136" i="16506"/>
  <c r="DB136" i="16506"/>
  <c r="EB136" i="16506"/>
  <c r="DQ136" i="16506"/>
  <c r="DJ136" i="16506"/>
  <c r="DU136" i="16506"/>
  <c r="DC136" i="16506"/>
  <c r="DW136" i="16506"/>
  <c r="DG136" i="16506"/>
  <c r="DH136" i="16506"/>
  <c r="EC136" i="16506"/>
  <c r="DY136" i="16506"/>
  <c r="DD136" i="16506"/>
  <c r="DM136" i="16506"/>
  <c r="DV136" i="16506"/>
  <c r="DI136" i="16506"/>
  <c r="EA136" i="16506"/>
  <c r="DK136" i="16506"/>
  <c r="C20" i="16507" l="1"/>
  <c r="G21" i="16501"/>
  <c r="G51" i="16501"/>
  <c r="J43" i="16501"/>
  <c r="P221" i="16461"/>
  <c r="R45" i="16502"/>
  <c r="P54" i="16502"/>
  <c r="R216" i="16461" s="1"/>
  <c r="I43" i="16501"/>
  <c r="O221" i="16461"/>
  <c r="Q45" i="16502"/>
  <c r="O54" i="16502"/>
  <c r="Q216" i="16461" s="1"/>
  <c r="D20" i="16507"/>
  <c r="H21" i="16501"/>
  <c r="H51" i="16501"/>
  <c r="H26" i="16501" l="1"/>
  <c r="G111" i="16513"/>
  <c r="D26" i="16507"/>
  <c r="D32" i="16507" s="1"/>
  <c r="K43" i="16501"/>
  <c r="Q221" i="16461"/>
  <c r="S45" i="16502"/>
  <c r="Q54" i="16502"/>
  <c r="S216" i="16461" s="1"/>
  <c r="E20" i="16507"/>
  <c r="I21" i="16501"/>
  <c r="I51" i="16501"/>
  <c r="L43" i="16501"/>
  <c r="R221" i="16461"/>
  <c r="T45" i="16502"/>
  <c r="R54" i="16502"/>
  <c r="T216" i="16461" s="1"/>
  <c r="J21" i="16501"/>
  <c r="F20" i="16507"/>
  <c r="J51" i="16501"/>
  <c r="G26" i="16501"/>
  <c r="F111" i="16513"/>
  <c r="C26" i="16507"/>
  <c r="CZ135" i="16506"/>
  <c r="DA136" i="16506"/>
  <c r="CZ136" i="16506" s="1"/>
  <c r="C32" i="16507" l="1"/>
  <c r="F99" i="16513"/>
  <c r="I111" i="16513"/>
  <c r="F26" i="16507"/>
  <c r="F32" i="16507" s="1"/>
  <c r="J26" i="16501"/>
  <c r="N43" i="16501"/>
  <c r="T221" i="16461"/>
  <c r="V45" i="16502"/>
  <c r="T54" i="16502"/>
  <c r="V216" i="16461" s="1"/>
  <c r="L21" i="16501"/>
  <c r="H20" i="16507"/>
  <c r="L51" i="16501"/>
  <c r="I26" i="16501"/>
  <c r="H111" i="16513"/>
  <c r="E26" i="16507"/>
  <c r="M43" i="16501"/>
  <c r="S221" i="16461"/>
  <c r="U45" i="16502"/>
  <c r="S54" i="16502"/>
  <c r="U216" i="16461" s="1"/>
  <c r="K21" i="16501"/>
  <c r="G20" i="16507"/>
  <c r="K51" i="16501"/>
  <c r="G99" i="16513"/>
  <c r="J111" i="16513" l="1"/>
  <c r="G26" i="16507"/>
  <c r="G32" i="16507" s="1"/>
  <c r="K26" i="16501"/>
  <c r="O43" i="16501"/>
  <c r="U221" i="16461"/>
  <c r="W45" i="16502"/>
  <c r="U54" i="16502"/>
  <c r="W216" i="16461" s="1"/>
  <c r="I20" i="16507"/>
  <c r="M21" i="16501"/>
  <c r="M51" i="16501"/>
  <c r="E32" i="16507"/>
  <c r="H99" i="16513"/>
  <c r="K111" i="16513"/>
  <c r="H26" i="16507"/>
  <c r="L26" i="16501"/>
  <c r="P43" i="16501"/>
  <c r="V221" i="16461"/>
  <c r="X45" i="16502"/>
  <c r="V54" i="16502"/>
  <c r="X216" i="16461" s="1"/>
  <c r="N21" i="16501"/>
  <c r="J20" i="16507"/>
  <c r="N51" i="16501"/>
  <c r="I99" i="16513"/>
  <c r="U125" i="16513"/>
  <c r="T125" i="16513"/>
  <c r="AB125" i="16513"/>
  <c r="N125" i="16513"/>
  <c r="S125" i="16513"/>
  <c r="F125" i="16513"/>
  <c r="G125" i="16513"/>
  <c r="J125" i="16513"/>
  <c r="I125" i="16513"/>
  <c r="AE125" i="16513"/>
  <c r="L125" i="16513"/>
  <c r="X125" i="16513"/>
  <c r="P125" i="16513"/>
  <c r="AA125" i="16513"/>
  <c r="V125" i="16513"/>
  <c r="AH125" i="16513"/>
  <c r="E123" i="16513"/>
  <c r="AF125" i="16513"/>
  <c r="K125" i="16513"/>
  <c r="Q125" i="16513"/>
  <c r="AI125" i="16513"/>
  <c r="R125" i="16513"/>
  <c r="Z125" i="16513"/>
  <c r="O125" i="16513"/>
  <c r="AD125" i="16513"/>
  <c r="AC125" i="16513"/>
  <c r="W125" i="16513"/>
  <c r="H125" i="16513"/>
  <c r="Y125" i="16513"/>
  <c r="AG125" i="16513"/>
  <c r="M125" i="16513"/>
  <c r="M111" i="16513" l="1"/>
  <c r="M128" i="16513" s="1"/>
  <c r="J26" i="16507"/>
  <c r="J32" i="16507" s="1"/>
  <c r="N26" i="16501"/>
  <c r="R43" i="16501"/>
  <c r="X221" i="16461"/>
  <c r="Z45" i="16502"/>
  <c r="X54" i="16502"/>
  <c r="Z216" i="16461" s="1"/>
  <c r="P21" i="16501"/>
  <c r="L20" i="16507"/>
  <c r="P51" i="16501"/>
  <c r="H32" i="16507"/>
  <c r="K99" i="16513"/>
  <c r="M26" i="16501"/>
  <c r="L111" i="16513"/>
  <c r="I26" i="16507"/>
  <c r="Q43" i="16501"/>
  <c r="W221" i="16461"/>
  <c r="Y45" i="16502"/>
  <c r="W54" i="16502"/>
  <c r="Y216" i="16461" s="1"/>
  <c r="K20" i="16507"/>
  <c r="O21" i="16501"/>
  <c r="O51" i="16501"/>
  <c r="J99" i="16513"/>
  <c r="AH123" i="16513"/>
  <c r="AG123" i="16513"/>
  <c r="R123" i="16513"/>
  <c r="V123" i="16513"/>
  <c r="G123" i="16513"/>
  <c r="G73" i="16513" s="1"/>
  <c r="G128" i="16513"/>
  <c r="AA123" i="16513"/>
  <c r="F128" i="16513"/>
  <c r="F123" i="16513"/>
  <c r="AJ125" i="16513"/>
  <c r="H123" i="16513"/>
  <c r="H73" i="16513" s="1"/>
  <c r="H128" i="16513"/>
  <c r="AI123" i="16513"/>
  <c r="P123" i="16513"/>
  <c r="S123" i="16513"/>
  <c r="W123" i="16513"/>
  <c r="Q123" i="16513"/>
  <c r="X123" i="16513"/>
  <c r="N123" i="16513"/>
  <c r="Z123" i="16513"/>
  <c r="Y123" i="16513"/>
  <c r="AC123" i="16513"/>
  <c r="K123" i="16513"/>
  <c r="K128" i="16513"/>
  <c r="L128" i="16513"/>
  <c r="L123" i="16513"/>
  <c r="AB123" i="16513"/>
  <c r="M123" i="16513"/>
  <c r="AD123" i="16513"/>
  <c r="AF123" i="16513"/>
  <c r="AE123" i="16513"/>
  <c r="T123" i="16513"/>
  <c r="J128" i="16513"/>
  <c r="J123" i="16513"/>
  <c r="O123" i="16513"/>
  <c r="I128" i="16513"/>
  <c r="I123" i="16513"/>
  <c r="I73" i="16513" s="1"/>
  <c r="U123" i="16513"/>
  <c r="J73" i="16513" l="1"/>
  <c r="K73" i="16513"/>
  <c r="O26" i="16501"/>
  <c r="N111" i="16513"/>
  <c r="K26" i="16507"/>
  <c r="K32" i="16507" s="1"/>
  <c r="S43" i="16501"/>
  <c r="Y221" i="16461"/>
  <c r="AA45" i="16502"/>
  <c r="Y54" i="16502"/>
  <c r="AA216" i="16461" s="1"/>
  <c r="Q21" i="16501"/>
  <c r="M20" i="16507"/>
  <c r="Q51" i="16501"/>
  <c r="I32" i="16507"/>
  <c r="L99" i="16513"/>
  <c r="O111" i="16513"/>
  <c r="L26" i="16507"/>
  <c r="P26" i="16501"/>
  <c r="T43" i="16501"/>
  <c r="Z221" i="16461"/>
  <c r="AB45" i="16502"/>
  <c r="Z54" i="16502"/>
  <c r="AB216" i="16461" s="1"/>
  <c r="R21" i="16501"/>
  <c r="N20" i="16507"/>
  <c r="R51" i="16501"/>
  <c r="M99" i="16513"/>
  <c r="F73" i="16513"/>
  <c r="AJ123" i="16513"/>
  <c r="M73" i="16513" l="1"/>
  <c r="Q111" i="16513"/>
  <c r="N26" i="16507"/>
  <c r="N32" i="16507" s="1"/>
  <c r="R26" i="16501"/>
  <c r="V43" i="16501"/>
  <c r="AB221" i="16461"/>
  <c r="AD45" i="16502"/>
  <c r="AB54" i="16502"/>
  <c r="AD216" i="16461" s="1"/>
  <c r="T21" i="16501"/>
  <c r="P20" i="16507"/>
  <c r="T51" i="16501"/>
  <c r="L32" i="16507"/>
  <c r="O99" i="16513"/>
  <c r="O128" i="16513"/>
  <c r="L73" i="16513"/>
  <c r="P111" i="16513"/>
  <c r="M26" i="16507"/>
  <c r="Q26" i="16501"/>
  <c r="U43" i="16501"/>
  <c r="AA221" i="16461"/>
  <c r="AC45" i="16502"/>
  <c r="AA54" i="16502"/>
  <c r="AC216" i="16461" s="1"/>
  <c r="O20" i="16507"/>
  <c r="S21" i="16501"/>
  <c r="S51" i="16501"/>
  <c r="N99" i="16513"/>
  <c r="N128" i="16513"/>
  <c r="N73" i="16513" l="1"/>
  <c r="S26" i="16501"/>
  <c r="R111" i="16513"/>
  <c r="O26" i="16507"/>
  <c r="O32" i="16507" s="1"/>
  <c r="W43" i="16501"/>
  <c r="AC221" i="16461"/>
  <c r="AE45" i="16502"/>
  <c r="AC54" i="16502"/>
  <c r="AE216" i="16461" s="1"/>
  <c r="Q20" i="16507"/>
  <c r="U21" i="16501"/>
  <c r="U51" i="16501"/>
  <c r="M32" i="16507"/>
  <c r="P99" i="16513"/>
  <c r="P128" i="16513"/>
  <c r="O73" i="16513"/>
  <c r="S111" i="16513"/>
  <c r="P26" i="16507"/>
  <c r="T26" i="16501"/>
  <c r="X43" i="16501"/>
  <c r="AD221" i="16461"/>
  <c r="AF45" i="16502"/>
  <c r="AD54" i="16502"/>
  <c r="AF216" i="16461" s="1"/>
  <c r="V21" i="16501"/>
  <c r="R20" i="16507"/>
  <c r="V51" i="16501"/>
  <c r="Q99" i="16513"/>
  <c r="Q128" i="16513"/>
  <c r="Q73" i="16513" l="1"/>
  <c r="U111" i="16513"/>
  <c r="R26" i="16507"/>
  <c r="R32" i="16507" s="1"/>
  <c r="V26" i="16501"/>
  <c r="Z43" i="16501"/>
  <c r="AF221" i="16461"/>
  <c r="AH45" i="16502"/>
  <c r="AF54" i="16502"/>
  <c r="AH216" i="16461" s="1"/>
  <c r="T20" i="16507"/>
  <c r="X21" i="16501"/>
  <c r="X51" i="16501"/>
  <c r="P32" i="16507"/>
  <c r="S99" i="16513"/>
  <c r="S128" i="16513"/>
  <c r="P73" i="16513"/>
  <c r="U26" i="16501"/>
  <c r="T111" i="16513"/>
  <c r="Q26" i="16507"/>
  <c r="Y43" i="16501"/>
  <c r="AE221" i="16461"/>
  <c r="AG45" i="16502"/>
  <c r="AE54" i="16502"/>
  <c r="AG216" i="16461" s="1"/>
  <c r="W21" i="16501"/>
  <c r="S20" i="16507"/>
  <c r="W51" i="16501"/>
  <c r="R99" i="16513"/>
  <c r="R128" i="16513"/>
  <c r="R73" i="16513" l="1"/>
  <c r="V111" i="16513"/>
  <c r="S26" i="16507"/>
  <c r="S32" i="16507" s="1"/>
  <c r="W26" i="16501"/>
  <c r="AA43" i="16501"/>
  <c r="AG221" i="16461"/>
  <c r="AI45" i="16502"/>
  <c r="AG54" i="16502"/>
  <c r="AI216" i="16461" s="1"/>
  <c r="Y21" i="16501"/>
  <c r="U20" i="16507"/>
  <c r="Y51" i="16501"/>
  <c r="Q32" i="16507"/>
  <c r="T99" i="16513"/>
  <c r="T128" i="16513"/>
  <c r="S73" i="16513"/>
  <c r="X26" i="16501"/>
  <c r="W111" i="16513"/>
  <c r="T26" i="16507"/>
  <c r="AB43" i="16501"/>
  <c r="AH221" i="16461"/>
  <c r="AJ45" i="16502"/>
  <c r="AH54" i="16502"/>
  <c r="AJ216" i="16461" s="1"/>
  <c r="Z21" i="16501"/>
  <c r="V20" i="16507"/>
  <c r="Z51" i="16501"/>
  <c r="U99" i="16513"/>
  <c r="U128" i="16513"/>
  <c r="U73" i="16513" l="1"/>
  <c r="Y111" i="16513"/>
  <c r="V26" i="16507"/>
  <c r="V32" i="16507" s="1"/>
  <c r="Z26" i="16501"/>
  <c r="AD43" i="16501"/>
  <c r="AJ221" i="16461"/>
  <c r="AL45" i="16502"/>
  <c r="AJ54" i="16502"/>
  <c r="AL216" i="16461" s="1"/>
  <c r="AB21" i="16501"/>
  <c r="X20" i="16507"/>
  <c r="AB51" i="16501"/>
  <c r="T32" i="16507"/>
  <c r="W99" i="16513"/>
  <c r="W128" i="16513"/>
  <c r="T73" i="16513"/>
  <c r="X111" i="16513"/>
  <c r="U26" i="16507"/>
  <c r="Y26" i="16501"/>
  <c r="AC43" i="16501"/>
  <c r="AI221" i="16461"/>
  <c r="AK45" i="16502"/>
  <c r="AI54" i="16502"/>
  <c r="AK216" i="16461" s="1"/>
  <c r="AA21" i="16501"/>
  <c r="W20" i="16507"/>
  <c r="AA51" i="16501"/>
  <c r="V99" i="16513"/>
  <c r="V128" i="16513"/>
  <c r="V73" i="16513" l="1"/>
  <c r="Z111" i="16513"/>
  <c r="W26" i="16507"/>
  <c r="W32" i="16507" s="1"/>
  <c r="AA26" i="16501"/>
  <c r="AE43" i="16501"/>
  <c r="AK221" i="16461"/>
  <c r="AM45" i="16502"/>
  <c r="AM54" i="16502" s="1"/>
  <c r="AO216" i="16461" s="1"/>
  <c r="AK54" i="16502"/>
  <c r="AM216" i="16461" s="1"/>
  <c r="Y20" i="16507"/>
  <c r="AC21" i="16501"/>
  <c r="AC51" i="16501"/>
  <c r="U32" i="16507"/>
  <c r="X99" i="16513"/>
  <c r="X128" i="16513"/>
  <c r="W73" i="16513"/>
  <c r="AA111" i="16513"/>
  <c r="X26" i="16507"/>
  <c r="AB26" i="16501"/>
  <c r="AF43" i="16501"/>
  <c r="AL221" i="16461"/>
  <c r="AN45" i="16502"/>
  <c r="AL54" i="16502"/>
  <c r="AN216" i="16461" s="1"/>
  <c r="AD21" i="16501"/>
  <c r="Z20" i="16507"/>
  <c r="AD51" i="16501"/>
  <c r="Y99" i="16513"/>
  <c r="Y128" i="16513"/>
  <c r="Y73" i="16513" l="1"/>
  <c r="AC111" i="16513"/>
  <c r="Z26" i="16507"/>
  <c r="Z32" i="16507" s="1"/>
  <c r="AD26" i="16501"/>
  <c r="AH43" i="16501"/>
  <c r="AN221" i="16461"/>
  <c r="AN54" i="16502"/>
  <c r="AP216" i="16461" s="1"/>
  <c r="J45" i="16502"/>
  <c r="J54" i="16502" s="1"/>
  <c r="AF21" i="16501"/>
  <c r="AB20" i="16507"/>
  <c r="AF51" i="16501"/>
  <c r="X32" i="16507"/>
  <c r="AA99" i="16513"/>
  <c r="AA128" i="16513"/>
  <c r="X73" i="16513"/>
  <c r="AC26" i="16501"/>
  <c r="AB111" i="16513"/>
  <c r="Y26" i="16507"/>
  <c r="AG43" i="16501"/>
  <c r="AM221" i="16461"/>
  <c r="L216" i="16461"/>
  <c r="L221" i="16461" s="1"/>
  <c r="AI43" i="16501"/>
  <c r="AO221" i="16461"/>
  <c r="AE21" i="16501"/>
  <c r="AA20" i="16507"/>
  <c r="AE51" i="16501"/>
  <c r="Z99" i="16513"/>
  <c r="Z128" i="16513"/>
  <c r="Z73" i="16513" l="1"/>
  <c r="AD111" i="16513"/>
  <c r="AA26" i="16507"/>
  <c r="AA32" i="16507" s="1"/>
  <c r="AE26" i="16501"/>
  <c r="AE20" i="16507"/>
  <c r="AI21" i="16501"/>
  <c r="AI51" i="16501"/>
  <c r="AC20" i="16507"/>
  <c r="AG21" i="16501"/>
  <c r="AG51" i="16501"/>
  <c r="Y32" i="16507"/>
  <c r="AB99" i="16513"/>
  <c r="AB128" i="16513"/>
  <c r="AA73" i="16513"/>
  <c r="AE111" i="16513"/>
  <c r="AB26" i="16507"/>
  <c r="AF26" i="16501"/>
  <c r="AJ43" i="16501"/>
  <c r="AP221" i="16461"/>
  <c r="AH21" i="16501"/>
  <c r="AD20" i="16507"/>
  <c r="AH51" i="16501"/>
  <c r="AC99" i="16513"/>
  <c r="AC128" i="16513"/>
  <c r="AC73" i="16513" l="1"/>
  <c r="AG111" i="16513"/>
  <c r="AD26" i="16507"/>
  <c r="AD32" i="16507" s="1"/>
  <c r="AH26" i="16501"/>
  <c r="AF20" i="16507"/>
  <c r="AJ21" i="16501"/>
  <c r="AJ51" i="16501"/>
  <c r="F43" i="16501"/>
  <c r="F51" i="16501" s="1"/>
  <c r="AB32" i="16507"/>
  <c r="AE99" i="16513"/>
  <c r="AE128" i="16513"/>
  <c r="AB73" i="16513"/>
  <c r="AG26" i="16501"/>
  <c r="F21" i="16501"/>
  <c r="BS21" i="16501" s="1"/>
  <c r="AF111" i="16513"/>
  <c r="AC26" i="16507"/>
  <c r="B20" i="16507"/>
  <c r="E111" i="16513" s="1"/>
  <c r="BJ111" i="16513" s="1"/>
  <c r="AI26" i="16501"/>
  <c r="AH111" i="16513"/>
  <c r="AE26" i="16507"/>
  <c r="AE32" i="16507" s="1"/>
  <c r="AD99" i="16513"/>
  <c r="AD128" i="16513"/>
  <c r="AD73" i="16513" l="1"/>
  <c r="AH99" i="16513"/>
  <c r="AH73" i="16513" s="1"/>
  <c r="AH128" i="16513"/>
  <c r="BN111" i="16513"/>
  <c r="E99" i="16513"/>
  <c r="BK99" i="16513" s="1"/>
  <c r="AL111" i="16513"/>
  <c r="AM111" i="16513"/>
  <c r="AN111" i="16513"/>
  <c r="AO111" i="16513"/>
  <c r="E128" i="16513"/>
  <c r="BK128" i="16513" s="1"/>
  <c r="AQ111" i="16513"/>
  <c r="AP111" i="16513"/>
  <c r="AR111" i="16513"/>
  <c r="AS111" i="16513"/>
  <c r="AU111" i="16513"/>
  <c r="AT111" i="16513"/>
  <c r="AV111" i="16513"/>
  <c r="AW111" i="16513"/>
  <c r="AY111" i="16513"/>
  <c r="AX111" i="16513"/>
  <c r="AZ111" i="16513"/>
  <c r="BA111" i="16513"/>
  <c r="BC111" i="16513"/>
  <c r="BB111" i="16513"/>
  <c r="BD111" i="16513"/>
  <c r="BE111" i="16513"/>
  <c r="BG111" i="16513"/>
  <c r="BF111" i="16513"/>
  <c r="BH111" i="16513"/>
  <c r="BI111" i="16513"/>
  <c r="BK111" i="16513"/>
  <c r="AC32" i="16507"/>
  <c r="BL111" i="16513"/>
  <c r="AF99" i="16513"/>
  <c r="AF128" i="16513"/>
  <c r="AR21" i="16501"/>
  <c r="AQ21" i="16501"/>
  <c r="AT21" i="16501"/>
  <c r="AS21" i="16501"/>
  <c r="AU21" i="16501"/>
  <c r="AV21" i="16501"/>
  <c r="AX21" i="16501"/>
  <c r="AW21" i="16501"/>
  <c r="AY21" i="16501"/>
  <c r="AZ21" i="16501"/>
  <c r="BB21" i="16501"/>
  <c r="BA21" i="16501"/>
  <c r="BC21" i="16501"/>
  <c r="BD21" i="16501"/>
  <c r="BF21" i="16501"/>
  <c r="BE21" i="16501"/>
  <c r="BG21" i="16501"/>
  <c r="BH21" i="16501"/>
  <c r="BJ21" i="16501"/>
  <c r="BI21" i="16501"/>
  <c r="BK21" i="16501"/>
  <c r="BL21" i="16501"/>
  <c r="BN21" i="16501"/>
  <c r="BM21" i="16501"/>
  <c r="BO21" i="16501"/>
  <c r="BP21" i="16501"/>
  <c r="BR21" i="16501"/>
  <c r="BQ21" i="16501"/>
  <c r="AE73" i="16513"/>
  <c r="BT21" i="16501"/>
  <c r="AJ26" i="16501"/>
  <c r="F26" i="16501" s="1"/>
  <c r="AI111" i="16513"/>
  <c r="AF26" i="16507"/>
  <c r="BM111" i="16513"/>
  <c r="AG99" i="16513"/>
  <c r="AG128" i="16513"/>
  <c r="BM128" i="16513" s="1"/>
  <c r="BM99" i="16513" l="1"/>
  <c r="AG73" i="16513"/>
  <c r="AF32" i="16507"/>
  <c r="B32" i="16507" s="1"/>
  <c r="B26" i="16507"/>
  <c r="BO111" i="16513"/>
  <c r="BP111" i="16513" s="1"/>
  <c r="AI99" i="16513"/>
  <c r="AJ99" i="16513" s="1"/>
  <c r="AI128" i="16513"/>
  <c r="BO128" i="16513" s="1"/>
  <c r="AJ111" i="16513"/>
  <c r="BL128" i="16513"/>
  <c r="BL99" i="16513"/>
  <c r="AF73" i="16513"/>
  <c r="E131" i="16513"/>
  <c r="AO128" i="16513"/>
  <c r="AP128" i="16513"/>
  <c r="AS128" i="16513"/>
  <c r="AR128" i="16513"/>
  <c r="AQ128" i="16513"/>
  <c r="AN128" i="16513"/>
  <c r="AM128" i="16513"/>
  <c r="AL128" i="16513"/>
  <c r="AT128" i="16513"/>
  <c r="AU128" i="16513"/>
  <c r="AW128" i="16513"/>
  <c r="AV128" i="16513"/>
  <c r="AX128" i="16513"/>
  <c r="AY128" i="16513"/>
  <c r="BA128" i="16513"/>
  <c r="AZ128" i="16513"/>
  <c r="BB128" i="16513"/>
  <c r="BC128" i="16513"/>
  <c r="BE128" i="16513"/>
  <c r="BD128" i="16513"/>
  <c r="BF128" i="16513"/>
  <c r="BG128" i="16513"/>
  <c r="BI128" i="16513"/>
  <c r="BH128" i="16513"/>
  <c r="BJ128" i="16513"/>
  <c r="BN99" i="16513"/>
  <c r="B38" i="16507"/>
  <c r="B39" i="16507" s="1"/>
  <c r="AM99" i="16513"/>
  <c r="AL99" i="16513"/>
  <c r="E73" i="16513"/>
  <c r="BJ73" i="16513" s="1"/>
  <c r="AO99" i="16513"/>
  <c r="AN99" i="16513"/>
  <c r="AP99" i="16513"/>
  <c r="AQ99" i="16513"/>
  <c r="AS99" i="16513"/>
  <c r="AR99" i="16513"/>
  <c r="AT99" i="16513"/>
  <c r="AU99" i="16513"/>
  <c r="AW99" i="16513"/>
  <c r="AV99" i="16513"/>
  <c r="AX99" i="16513"/>
  <c r="AY99" i="16513"/>
  <c r="BA99" i="16513"/>
  <c r="AZ99" i="16513"/>
  <c r="BB99" i="16513"/>
  <c r="BC99" i="16513"/>
  <c r="BE99" i="16513"/>
  <c r="BD99" i="16513"/>
  <c r="BF99" i="16513"/>
  <c r="BG99" i="16513"/>
  <c r="BI99" i="16513"/>
  <c r="BH99" i="16513"/>
  <c r="BJ99" i="16513"/>
  <c r="BN128" i="16513"/>
  <c r="BN73" i="16513"/>
  <c r="AJ128" i="16513" l="1"/>
  <c r="AO73" i="16513"/>
  <c r="AP73" i="16513"/>
  <c r="AQ73" i="16513"/>
  <c r="AN73" i="16513"/>
  <c r="AM73" i="16513"/>
  <c r="AL73" i="16513"/>
  <c r="AR73" i="16513"/>
  <c r="AS73" i="16513"/>
  <c r="AU73" i="16513"/>
  <c r="AT73" i="16513"/>
  <c r="AV73" i="16513"/>
  <c r="AW73" i="16513"/>
  <c r="AY73" i="16513"/>
  <c r="AX73" i="16513"/>
  <c r="AZ73" i="16513"/>
  <c r="BA73" i="16513"/>
  <c r="BC73" i="16513"/>
  <c r="BB73" i="16513"/>
  <c r="BD73" i="16513"/>
  <c r="BE73" i="16513"/>
  <c r="BG73" i="16513"/>
  <c r="BF73" i="16513"/>
  <c r="BH73" i="16513"/>
  <c r="BI73" i="16513"/>
  <c r="BK73" i="16513"/>
  <c r="BP128" i="16513"/>
  <c r="BL73" i="16513"/>
  <c r="BO99" i="16513"/>
  <c r="BP99" i="16513" s="1"/>
  <c r="AI73" i="16513"/>
  <c r="BM73" i="16513"/>
  <c r="BO73" i="16513" l="1"/>
  <c r="BP73" i="16513" s="1"/>
  <c r="AJ73" i="1651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ROGERIO ANDRADE</author>
  </authors>
  <commentList>
    <comment ref="CB5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ROGERIO ANDRADE:</t>
        </r>
        <r>
          <rPr>
            <sz val="9"/>
            <color indexed="81"/>
            <rFont val="Tahoma"/>
            <family val="2"/>
          </rPr>
          <t xml:space="preserve">
excluído acostamento MG 231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ROGERIO ANDRADE</author>
  </authors>
  <commentList>
    <comment ref="E47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ROGERIO ANDRADE:</t>
        </r>
        <r>
          <rPr>
            <sz val="9"/>
            <color indexed="81"/>
            <rFont val="Tahoma"/>
            <family val="2"/>
          </rPr>
          <t xml:space="preserve">
orçamento da cunzolo</t>
        </r>
      </text>
    </comment>
    <comment ref="E48" authorId="0" shapeId="0" xr:uid="{00000000-0006-0000-0500-000002000000}">
      <text>
        <r>
          <rPr>
            <b/>
            <sz val="9"/>
            <color indexed="81"/>
            <rFont val="Tahoma"/>
            <family val="2"/>
          </rPr>
          <t>ROGERIO ANDRADE:</t>
        </r>
        <r>
          <rPr>
            <sz val="9"/>
            <color indexed="81"/>
            <rFont val="Tahoma"/>
            <family val="2"/>
          </rPr>
          <t xml:space="preserve">
orçamento da cunzolo</t>
        </r>
      </text>
    </comment>
    <comment ref="E49" authorId="0" shapeId="0" xr:uid="{00000000-0006-0000-0500-000003000000}">
      <text>
        <r>
          <rPr>
            <b/>
            <sz val="9"/>
            <color indexed="81"/>
            <rFont val="Tahoma"/>
            <family val="2"/>
          </rPr>
          <t>ROGERIO ANDRADE:</t>
        </r>
        <r>
          <rPr>
            <sz val="9"/>
            <color indexed="81"/>
            <rFont val="Tahoma"/>
            <family val="2"/>
          </rPr>
          <t xml:space="preserve">
orçamento da cunzolo</t>
        </r>
      </text>
    </comment>
    <comment ref="E50" authorId="0" shapeId="0" xr:uid="{00000000-0006-0000-0500-000004000000}">
      <text>
        <r>
          <rPr>
            <b/>
            <sz val="9"/>
            <color indexed="81"/>
            <rFont val="Tahoma"/>
            <family val="2"/>
          </rPr>
          <t>ROGERIO ANDRADE:</t>
        </r>
        <r>
          <rPr>
            <sz val="9"/>
            <color indexed="81"/>
            <rFont val="Tahoma"/>
            <family val="2"/>
          </rPr>
          <t xml:space="preserve">
orçamento da cunzolo</t>
        </r>
      </text>
    </comment>
    <comment ref="E68" authorId="0" shapeId="0" xr:uid="{00000000-0006-0000-0500-000005000000}">
      <text>
        <r>
          <rPr>
            <b/>
            <sz val="9"/>
            <color indexed="81"/>
            <rFont val="Tahoma"/>
            <family val="2"/>
          </rPr>
          <t>ROGERIO ANDRADE:</t>
        </r>
        <r>
          <rPr>
            <sz val="9"/>
            <color indexed="81"/>
            <rFont val="Tahoma"/>
            <family val="2"/>
          </rPr>
          <t xml:space="preserve">
orçamento master house - montes claros</t>
        </r>
      </text>
    </comment>
    <comment ref="E70" authorId="0" shapeId="0" xr:uid="{00000000-0006-0000-0500-000006000000}">
      <text>
        <r>
          <rPr>
            <b/>
            <sz val="9"/>
            <color indexed="81"/>
            <rFont val="Tahoma"/>
            <family val="2"/>
          </rPr>
          <t>ROGERIO ANDRADE:</t>
        </r>
        <r>
          <rPr>
            <sz val="9"/>
            <color indexed="81"/>
            <rFont val="Tahoma"/>
            <family val="2"/>
          </rPr>
          <t xml:space="preserve">
orçamento master house - montes claros</t>
        </r>
      </text>
    </comment>
  </commentList>
</comments>
</file>

<file path=xl/sharedStrings.xml><?xml version="1.0" encoding="utf-8"?>
<sst xmlns="http://schemas.openxmlformats.org/spreadsheetml/2006/main" count="7844" uniqueCount="2119">
  <si>
    <t>QUADRO 5 - CRONOGRAMA DO PROGRAMA DE EXPLORAÇÃO DA RODOVIA</t>
  </si>
  <si>
    <t>CRONOGRAMA FINANCEIRO</t>
  </si>
  <si>
    <t>CRONOGRAMA FÍSICO</t>
  </si>
  <si>
    <t>ITEM</t>
  </si>
  <si>
    <t>DESCRIÇÃO</t>
  </si>
  <si>
    <t>VALOR (R$)</t>
  </si>
  <si>
    <t>VALORES EM R$</t>
  </si>
  <si>
    <t>VALORES PERCENTUAIS</t>
  </si>
  <si>
    <t>1º ANO</t>
  </si>
  <si>
    <t>2º ANO</t>
  </si>
  <si>
    <t>3º ANO</t>
  </si>
  <si>
    <t>4º ANO</t>
  </si>
  <si>
    <t>5º ANO</t>
  </si>
  <si>
    <t>6º ANO</t>
  </si>
  <si>
    <t>7º ANO</t>
  </si>
  <si>
    <t>8º ANO</t>
  </si>
  <si>
    <t>9º ANO</t>
  </si>
  <si>
    <t>10º ANO</t>
  </si>
  <si>
    <t>11º ANO</t>
  </si>
  <si>
    <t>12º ANO</t>
  </si>
  <si>
    <t>13º ANO</t>
  </si>
  <si>
    <t>14º ANO</t>
  </si>
  <si>
    <t>15º ANO</t>
  </si>
  <si>
    <t>16º ANO</t>
  </si>
  <si>
    <t>17º ANO</t>
  </si>
  <si>
    <t>18º ANO</t>
  </si>
  <si>
    <t>19º ANO</t>
  </si>
  <si>
    <t>20º ANO</t>
  </si>
  <si>
    <t>21º ANO</t>
  </si>
  <si>
    <t>22º ANO</t>
  </si>
  <si>
    <t>23º ANO</t>
  </si>
  <si>
    <t>24º ANO</t>
  </si>
  <si>
    <t>25º ANO</t>
  </si>
  <si>
    <t>26º ANO</t>
  </si>
  <si>
    <t>27º ANO</t>
  </si>
  <si>
    <t>28º ANO</t>
  </si>
  <si>
    <t>29º ANO</t>
  </si>
  <si>
    <t>30º ANO</t>
  </si>
  <si>
    <t>TOTAL</t>
  </si>
  <si>
    <t>A</t>
  </si>
  <si>
    <t>CAPEX</t>
  </si>
  <si>
    <t>TRABALHOS INICIAIS</t>
  </si>
  <si>
    <t>INV</t>
  </si>
  <si>
    <t>1.1</t>
  </si>
  <si>
    <t xml:space="preserve">PAVIMENTO </t>
  </si>
  <si>
    <t>km eq mg424</t>
  </si>
  <si>
    <t>1.2</t>
  </si>
  <si>
    <t>OBRAS-DE-ARTE ESPECIAIS</t>
  </si>
  <si>
    <t>km eq br135</t>
  </si>
  <si>
    <t>1.3</t>
  </si>
  <si>
    <t>DRENAGEM E OBRAS-DE-ARTE CORRENTES</t>
  </si>
  <si>
    <t>1.4</t>
  </si>
  <si>
    <t>SINALIZAÇÃO E DISPOSITIVOS DE SEGURANÇA</t>
  </si>
  <si>
    <t>1.5</t>
  </si>
  <si>
    <t>CONSERVAÇÃO</t>
  </si>
  <si>
    <t>1.6</t>
  </si>
  <si>
    <t xml:space="preserve">TERRAPLENOS E ESTRUTURAS DE CONTENÇÃO </t>
  </si>
  <si>
    <t>1.7</t>
  </si>
  <si>
    <t>SISTEMAS ELÉTRICOS E DE ILUMINAÇÃO</t>
  </si>
  <si>
    <t>1.8</t>
  </si>
  <si>
    <t>NIVELAMENTO DE DEGRAU EM ACOSTAMENTO</t>
  </si>
  <si>
    <t>1.9</t>
  </si>
  <si>
    <t>.....</t>
  </si>
  <si>
    <t>1.10</t>
  </si>
  <si>
    <t>1.11</t>
  </si>
  <si>
    <t>RECUPERAÇÃO DO SISTEMA RODOVIÁRIO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</si>
  <si>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</si>
  <si>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</si>
  <si>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</si>
  <si>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</si>
  <si>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</si>
  <si>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</si>
  <si>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</si>
  <si>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</si>
  <si>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</si>
  <si>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</si>
  <si>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2.11</t>
  </si>
  <si>
    <t>MANUTENÇÃO DO SISTEMA RODOVIÁRIO</t>
  </si>
  <si>
    <t>3.1</t>
  </si>
  <si>
    <t>3.2</t>
  </si>
  <si>
    <t>3.3</t>
  </si>
  <si>
    <t>3.4</t>
  </si>
  <si>
    <t>3.5</t>
  </si>
  <si>
    <t>3.6</t>
  </si>
  <si>
    <t>3.7</t>
  </si>
  <si>
    <t>OBRAS DE AMPLIAÇÃO DA CAPACIDADE E OUTRAS MELHORIAS</t>
  </si>
  <si>
    <t>mg 424</t>
  </si>
  <si>
    <t>br 135</t>
  </si>
  <si>
    <t>4.1</t>
  </si>
  <si>
    <t>INTERSEÇÕES ALONGADAS</t>
  </si>
  <si>
    <t>4.2</t>
  </si>
  <si>
    <t>INTERSEÇÕES EM DOIS NÍVEIS</t>
  </si>
  <si>
    <t>4.3</t>
  </si>
  <si>
    <t>INTERSEÇÕES EM NÍVEL - 3 RAMOS</t>
  </si>
  <si>
    <t>4.4</t>
  </si>
  <si>
    <t>INTERSEÇÕES EM NÍVEL - 4 RAMOS</t>
  </si>
  <si>
    <t>4.5</t>
  </si>
  <si>
    <t>MELHORIAS EM INTERSEÇÕES EXISTENTES</t>
  </si>
  <si>
    <t>4.6</t>
  </si>
  <si>
    <t>MELHORIAS EM ACESSOS EXISTENTES</t>
  </si>
  <si>
    <t>4.7</t>
  </si>
  <si>
    <t>TERCEIRA FAIXA</t>
  </si>
  <si>
    <t>km</t>
  </si>
  <si>
    <t>4.8</t>
  </si>
  <si>
    <t>IMPLANTAÇÃO DE ACOSTAMENTOS</t>
  </si>
  <si>
    <t>4.9</t>
  </si>
  <si>
    <t>DUPLICAÇÃO</t>
  </si>
  <si>
    <t>4.10</t>
  </si>
  <si>
    <t>VIAS LATERAIS</t>
  </si>
  <si>
    <t>4.11</t>
  </si>
  <si>
    <t>EDIFICAÇÕES E INSTALAÇÕES OPERACIONAIS</t>
  </si>
  <si>
    <t>4.12</t>
  </si>
  <si>
    <t>CONTORNOS</t>
  </si>
  <si>
    <t>4.13</t>
  </si>
  <si>
    <t>PASSARELAS</t>
  </si>
  <si>
    <t>4.14</t>
  </si>
  <si>
    <t>PARADAS DE ÔNIBUS</t>
  </si>
  <si>
    <t>4.15</t>
  </si>
  <si>
    <t>DESAPROPRIAÇÕES</t>
  </si>
  <si>
    <t>4.16</t>
  </si>
  <si>
    <t>IMPLANTAÇÃO DE FAIXA ADICIONAL - CONTORNO PRUDENTE</t>
  </si>
  <si>
    <t>4.17</t>
  </si>
  <si>
    <t>IMPLANTAÇÃO DE FAIXA ADICIONAL - CONTORNO MATOZINHOS</t>
  </si>
  <si>
    <t>4.18</t>
  </si>
  <si>
    <t>4.19</t>
  </si>
  <si>
    <t>4.20</t>
  </si>
  <si>
    <t>GESTÃO AMBIENTAL DO SISTEMA RODOVIÁRIO</t>
  </si>
  <si>
    <t>5.1</t>
  </si>
  <si>
    <t>DESAPROPRIAÇÕES / REASSENTAMENTOS / INDENIZAÇÕES</t>
  </si>
  <si>
    <t>5.2</t>
  </si>
  <si>
    <r>
      <t xml:space="preserve">COMPENSAÇÃO AMBIENTAL </t>
    </r>
    <r>
      <rPr>
        <sz val="10"/>
        <color rgb="FFFF0000"/>
        <rFont val="Arial"/>
        <family val="2"/>
      </rPr>
      <t>(05% do valor dos Investimentos)</t>
    </r>
  </si>
  <si>
    <t>VEÍCULOS, EQUIPAMENTOS E SISTEMAS</t>
  </si>
  <si>
    <t>6.1</t>
  </si>
  <si>
    <t>IMPLANTAÇÃO E INSTALAÇÃO DOS EQUIPAMENTOS E SISTEMAS</t>
  </si>
  <si>
    <t>6.2</t>
  </si>
  <si>
    <t>REPOSIÇÃO E ATUALIZAÇÃO DOS VEÍCULOS, EQUIPAMENTOS E SISTEMAS</t>
  </si>
  <si>
    <t>OPEX</t>
  </si>
  <si>
    <t>CONSERVAÇÃO DO SISTEMA RODOVIÁRIO</t>
  </si>
  <si>
    <t>COP</t>
  </si>
  <si>
    <t>7.1</t>
  </si>
  <si>
    <t>7.2</t>
  </si>
  <si>
    <t>ELEMENTOS DE PROTEÇÃO E SEGURANÇA</t>
  </si>
  <si>
    <t>7.3</t>
  </si>
  <si>
    <t>OAE's</t>
  </si>
  <si>
    <t>7.4</t>
  </si>
  <si>
    <t>DRENAGEM E OAC</t>
  </si>
  <si>
    <t>7.5</t>
  </si>
  <si>
    <t>TERRAPLENO E ESTRUTURAS DE CONTENÇÃO</t>
  </si>
  <si>
    <t>7.6</t>
  </si>
  <si>
    <t>FAIXA DE DOMÍNIO</t>
  </si>
  <si>
    <t>7.7</t>
  </si>
  <si>
    <t>7.8</t>
  </si>
  <si>
    <t>ILUMINAÇÃO E INSTALAÇÕES ELÉTRICAS</t>
  </si>
  <si>
    <t>7.9</t>
  </si>
  <si>
    <t>CONSULTORIA</t>
  </si>
  <si>
    <t>7.10</t>
  </si>
  <si>
    <t>7.11</t>
  </si>
  <si>
    <t>MONITORAÇÃO DO SISTEMA RODOVIÁRIO</t>
  </si>
  <si>
    <t>OBRAS DE ARTE ESPECIAIS</t>
  </si>
  <si>
    <t>NÍVEL DE SERVIÇO</t>
  </si>
  <si>
    <t>ÍNDICE DE GRAVIDADE GLOBAL (IGG)</t>
  </si>
  <si>
    <t>ÍNDICE CRÍTICO</t>
  </si>
  <si>
    <t>TERRAPLENOS E ESTRUTURAS DE CONTENÇÃO</t>
  </si>
  <si>
    <t>CANTEIRO CENTRAL E FAIXA DE DOMÍNIO</t>
  </si>
  <si>
    <t>2.12</t>
  </si>
  <si>
    <t>Bburacos e panelas</t>
  </si>
  <si>
    <t>ADMINISTRAÇÃO E OPERAÇÃO DO SISTEMA RODOVIÁRIO</t>
  </si>
  <si>
    <t>9.1</t>
  </si>
  <si>
    <t>ADMINISTRAÇÃO E ENGENHARIA</t>
  </si>
  <si>
    <t>9.2</t>
  </si>
  <si>
    <t>CONTROLE DAS OPERAÇÕES</t>
  </si>
  <si>
    <t>9.3</t>
  </si>
  <si>
    <t>INSPEÇÃO DE TRÁFEGO</t>
  </si>
  <si>
    <t>9.4</t>
  </si>
  <si>
    <t>PESAGEM DE CAMINHÕES</t>
  </si>
  <si>
    <t>9.5</t>
  </si>
  <si>
    <t>ATENDIMENTO AOS USUÁRIOS (BSOs)</t>
  </si>
  <si>
    <t>9.6</t>
  </si>
  <si>
    <t>ATENDIMENTO PRÉ-HOSPITALAR</t>
  </si>
  <si>
    <t>9.7</t>
  </si>
  <si>
    <t>SERVIÇOS DE GUINCHO</t>
  </si>
  <si>
    <t>9.8</t>
  </si>
  <si>
    <t>ATENDIMENTO A INCIDENTES</t>
  </si>
  <si>
    <t>9.9</t>
  </si>
  <si>
    <t>VIGILÂNCIA E GUARDA PATRIMONIAL</t>
  </si>
  <si>
    <t>9.10</t>
  </si>
  <si>
    <t>SEGURANÇA DO TRÂNSITO</t>
  </si>
  <si>
    <t>9.11</t>
  </si>
  <si>
    <t>ARRECADAÇÃO DE PEDÁGIOS</t>
  </si>
  <si>
    <t>9.12</t>
  </si>
  <si>
    <t>DESPESAS GERAIS</t>
  </si>
  <si>
    <t>9.13</t>
  </si>
  <si>
    <t>CUSTOS SÓCIO AMBIENTAIS</t>
  </si>
  <si>
    <t>9.14</t>
  </si>
  <si>
    <t>CONSERVAÇÃO E MANUTENÇÃO DE VEÍCULOS, EQUIPAMENTOS E SISTEMAS</t>
  </si>
  <si>
    <t>9.15</t>
  </si>
  <si>
    <t>9.16</t>
  </si>
  <si>
    <t>9.17</t>
  </si>
  <si>
    <t xml:space="preserve">FISCALIZAÇÃO DA CONCESSÃO </t>
  </si>
  <si>
    <t>VERBA DE FISCALIZAÇÃO</t>
  </si>
  <si>
    <t>SEGURANÇA NO TRÂNSITO</t>
  </si>
  <si>
    <t>VERBA DE SEGURANÇA NO TRÂNSITO</t>
  </si>
  <si>
    <t>DESENVOLVIMENTO TECNOLÓGICO</t>
  </si>
  <si>
    <t>VERBA PARA RECURSOS PARA DESENVOLVIMENTO TECNOLÓGICO</t>
  </si>
  <si>
    <t>SEGUROS E GARANTIAS</t>
  </si>
  <si>
    <t>GARANTIAS DE EXECUÇÃO CONTRATUAL</t>
  </si>
  <si>
    <t>SEGUROS</t>
  </si>
  <si>
    <t>INVESTIMENTOS</t>
  </si>
  <si>
    <t>CUSTOS OPERACIONAIS</t>
  </si>
  <si>
    <t>Quadro 6 - Investimentos</t>
  </si>
  <si>
    <t>Valores em R$</t>
  </si>
  <si>
    <t>Ano 1</t>
  </si>
  <si>
    <t>Ano 2</t>
  </si>
  <si>
    <t>Ano 3</t>
  </si>
  <si>
    <t>Ano 4</t>
  </si>
  <si>
    <t>Ano 5</t>
  </si>
  <si>
    <t>Ano 6</t>
  </si>
  <si>
    <t>Ano 7</t>
  </si>
  <si>
    <t>Ano 8</t>
  </si>
  <si>
    <t>Ano 9</t>
  </si>
  <si>
    <t>Ano 10</t>
  </si>
  <si>
    <t>Ano 11</t>
  </si>
  <si>
    <t>Ano 12</t>
  </si>
  <si>
    <t>Ano 13</t>
  </si>
  <si>
    <t>Ano 14</t>
  </si>
  <si>
    <t>Ano 15</t>
  </si>
  <si>
    <t>Ano 16</t>
  </si>
  <si>
    <t>Ano 17</t>
  </si>
  <si>
    <t>Ano 18</t>
  </si>
  <si>
    <t>Ano 19</t>
  </si>
  <si>
    <t>Ano 20</t>
  </si>
  <si>
    <t>Ano 21</t>
  </si>
  <si>
    <t>Ano 22</t>
  </si>
  <si>
    <t>Ano 23</t>
  </si>
  <si>
    <t>Ano 24</t>
  </si>
  <si>
    <t>Ano 25</t>
  </si>
  <si>
    <t>Ano 26</t>
  </si>
  <si>
    <t>Ano 27</t>
  </si>
  <si>
    <t>Ano 28</t>
  </si>
  <si>
    <t>Ano 29</t>
  </si>
  <si>
    <t>Ano 30</t>
  </si>
  <si>
    <t>Trabalhos Iniciais</t>
  </si>
  <si>
    <t>Restauração da Rodovia</t>
  </si>
  <si>
    <t>Manutenção da Rodovia</t>
  </si>
  <si>
    <t>Obras de Ampliação e Melhorias ( edificações e instalações operacionais )</t>
  </si>
  <si>
    <t>Gestão Ambiental</t>
  </si>
  <si>
    <t>Sistemas de Operação</t>
  </si>
  <si>
    <t>Projetos</t>
  </si>
  <si>
    <t>Desapropriações e Desocupações</t>
  </si>
  <si>
    <t>Total</t>
  </si>
  <si>
    <t>Trabalhos Iniciais / Recuperação / Melhorias / Gestão Ambiental / Projetos / Desapropriações e Desocupações</t>
  </si>
  <si>
    <t>Equipamentos / Sistemas / Veículos</t>
  </si>
  <si>
    <t>Quadro 8 - Custos Operacionais</t>
  </si>
  <si>
    <t>CUSTOS E DESPESAS</t>
  </si>
  <si>
    <t>Administração e Engenharia</t>
  </si>
  <si>
    <t>Controle das Operações</t>
  </si>
  <si>
    <t>Inspeção de Tráfego</t>
  </si>
  <si>
    <t>Pesagem de Caminhões</t>
  </si>
  <si>
    <t>Atendimento aos Usuários (BSOs)</t>
  </si>
  <si>
    <t>Atendimento Pré-hospitalar</t>
  </si>
  <si>
    <t>Serviços de Guincho</t>
  </si>
  <si>
    <t>Artendimento a Incidentes</t>
  </si>
  <si>
    <t>Vigilância e Guarda Patrimonial</t>
  </si>
  <si>
    <t>Segurança do Trânsito</t>
  </si>
  <si>
    <t>Arrecadação de Pedágios</t>
  </si>
  <si>
    <t>Monitoração</t>
  </si>
  <si>
    <t>Despesas Gerais</t>
  </si>
  <si>
    <t>Custos Sócios Ambientais</t>
  </si>
  <si>
    <t>Conservação da Rodovia</t>
  </si>
  <si>
    <t>Conservação de Equipamentos e Sistemas</t>
  </si>
  <si>
    <t>Outros</t>
  </si>
  <si>
    <t>ADMINISTRAÇÃO / OPERAÇÃO / CONSERVAÇÃO / MONITORAÇÂO</t>
  </si>
  <si>
    <t>Garantias e Seguros</t>
  </si>
  <si>
    <t>Segurança no Trânsito</t>
  </si>
  <si>
    <t>Verba de Fiscalização</t>
  </si>
  <si>
    <t>Recursos de Desenvolvimento Tecnológico</t>
  </si>
  <si>
    <t>Garantias e Seguros / Segurança no Trânsito / Verba de Fiscalização / RDT</t>
  </si>
  <si>
    <t>Garantias de execução</t>
  </si>
  <si>
    <t>Seguros</t>
  </si>
  <si>
    <t>Total (Garantias + Seguros)</t>
  </si>
  <si>
    <t>MONITORAÇÃO</t>
  </si>
  <si>
    <t>SISTEMAS</t>
  </si>
  <si>
    <t>Sistema de Monitoração das Estruturas Físicas</t>
  </si>
  <si>
    <t>ETAPAS</t>
  </si>
  <si>
    <t>Coleta de dados e informações</t>
  </si>
  <si>
    <t>Transformação e processamento dos dados</t>
  </si>
  <si>
    <t xml:space="preserve">ANO 1 = </t>
  </si>
  <si>
    <t>(3 MESES)</t>
  </si>
  <si>
    <t>Análise e avaliação prospectiva dos resultados obtidos</t>
  </si>
  <si>
    <t>Programação das ações preventivas ou corretivas</t>
  </si>
  <si>
    <t>SISTEMA DE MONITORAÇÃO DE ESTRUTURAS FÍSICAS</t>
  </si>
  <si>
    <t>ANO DA CONCESSÃO</t>
  </si>
  <si>
    <t>Extensão da rodovia (km)</t>
  </si>
  <si>
    <t>Ano a ser executado FWD = 1</t>
  </si>
  <si>
    <t>Extensão das OAE - km</t>
  </si>
  <si>
    <t>PAVIMENTO</t>
  </si>
  <si>
    <t>Ensaios</t>
  </si>
  <si>
    <t>PERÍODO</t>
  </si>
  <si>
    <t>R$ por km</t>
  </si>
  <si>
    <t>Condições Estruturais</t>
  </si>
  <si>
    <t>LVC</t>
  </si>
  <si>
    <t>Todo ano</t>
  </si>
  <si>
    <t>faixa</t>
  </si>
  <si>
    <t>Condições Funcionais</t>
  </si>
  <si>
    <t>QI ou IRI</t>
  </si>
  <si>
    <t>Deflexão Característica</t>
  </si>
  <si>
    <t>FWD (cada 200 m)</t>
  </si>
  <si>
    <t>A cada 6 anos</t>
  </si>
  <si>
    <t>Resistência a derrapagem</t>
  </si>
  <si>
    <t>Aderência</t>
  </si>
  <si>
    <t>Pavimento Flexível</t>
  </si>
  <si>
    <t>ICPF (visual)</t>
  </si>
  <si>
    <t>gl</t>
  </si>
  <si>
    <t>Subtotal Monitoração do pavimento</t>
  </si>
  <si>
    <t>Dispositivos de Segurança</t>
  </si>
  <si>
    <t>Inspeção visual</t>
  </si>
  <si>
    <t>pista</t>
  </si>
  <si>
    <t>Sinalização Horizontal</t>
  </si>
  <si>
    <t>Retroreflectância</t>
  </si>
  <si>
    <t>Sinalização Vertical e Aérea</t>
  </si>
  <si>
    <t>Subtotal da Monitoração Elementos de Proteção e Segurança</t>
  </si>
  <si>
    <t>Inspeção Visual</t>
  </si>
  <si>
    <t>ÍNDICE DE GRAVIDADE GLOBAL</t>
  </si>
  <si>
    <t>ORAS DE ARTE ESPECIAIS</t>
  </si>
  <si>
    <t>km OAE</t>
  </si>
  <si>
    <t>SISTEMA DE DRENAGEM E OBRAS DE ARTE CORRENTES</t>
  </si>
  <si>
    <t>Subtotal da Monitoração Estruturas Físicas</t>
  </si>
  <si>
    <t>TOTAL MONITORAÇÃO</t>
  </si>
  <si>
    <t>CONSERVA DE ROTINA</t>
  </si>
  <si>
    <t>Pavimento</t>
  </si>
  <si>
    <t>Elementos de Proteção e Segurança</t>
  </si>
  <si>
    <t>Drenagem e OAC</t>
  </si>
  <si>
    <t>Terrapleno e Estruturas de Contenção</t>
  </si>
  <si>
    <t>Faixa de Domínio</t>
  </si>
  <si>
    <t>Edificações e Instalações Operacionais</t>
  </si>
  <si>
    <t>Iluminação e Instalações Elétricas</t>
  </si>
  <si>
    <t>Consultoria</t>
  </si>
  <si>
    <t>km equivalente</t>
  </si>
  <si>
    <t xml:space="preserve">área de pista </t>
  </si>
  <si>
    <t>m2</t>
  </si>
  <si>
    <t>custo conserva / km eq / ano</t>
  </si>
  <si>
    <t>custo conserva / km eq / mês</t>
  </si>
  <si>
    <t>custo conserva / m2 / ano</t>
  </si>
  <si>
    <t>custo conserva / m2 / mês</t>
  </si>
  <si>
    <t>PREÇO UNITÁRIO (R$)</t>
  </si>
  <si>
    <t>CÓD. DERMG</t>
  </si>
  <si>
    <t>SERVIÇOS A EXECUTAR POR FASE DA CONCESSÃO</t>
  </si>
  <si>
    <t>PREÇO TOTAL
 (R$)</t>
  </si>
  <si>
    <t>1º ano</t>
  </si>
  <si>
    <t>2º ano</t>
  </si>
  <si>
    <t>3º ano</t>
  </si>
  <si>
    <t>4º ano</t>
  </si>
  <si>
    <t>5º ano</t>
  </si>
  <si>
    <t>6 º ano</t>
  </si>
  <si>
    <t>7º ano</t>
  </si>
  <si>
    <t>8º ano</t>
  </si>
  <si>
    <t>9º ano</t>
  </si>
  <si>
    <t>10º ano</t>
  </si>
  <si>
    <t>11º ano</t>
  </si>
  <si>
    <t>12º ano</t>
  </si>
  <si>
    <t>13º ano</t>
  </si>
  <si>
    <t>14º ano</t>
  </si>
  <si>
    <t>15º ano</t>
  </si>
  <si>
    <t>16º ano</t>
  </si>
  <si>
    <t>17º ano</t>
  </si>
  <si>
    <t>18º ano</t>
  </si>
  <si>
    <t>19º ano</t>
  </si>
  <si>
    <t>20º ano</t>
  </si>
  <si>
    <t>21º ano</t>
  </si>
  <si>
    <t>22º ano</t>
  </si>
  <si>
    <t>23º ano</t>
  </si>
  <si>
    <t>24º ano</t>
  </si>
  <si>
    <t>25º ano</t>
  </si>
  <si>
    <t>26º ano</t>
  </si>
  <si>
    <t>27º ano</t>
  </si>
  <si>
    <t>28º ano</t>
  </si>
  <si>
    <t>29º ano</t>
  </si>
  <si>
    <t>30º ano</t>
  </si>
  <si>
    <t>Referência</t>
  </si>
  <si>
    <t>Padrão</t>
  </si>
  <si>
    <t>Executar (anual)</t>
  </si>
  <si>
    <t>R$</t>
  </si>
  <si>
    <t>%</t>
  </si>
  <si>
    <t>quant.</t>
  </si>
  <si>
    <t>un</t>
  </si>
  <si>
    <t>ano</t>
  </si>
  <si>
    <t>Definir padrão de cada Fase (min=3 med=4 max=5)</t>
  </si>
  <si>
    <t>Conserva da Pista</t>
  </si>
  <si>
    <t>Fresagem descontínua de pavimento asfáltico (3cm)</t>
  </si>
  <si>
    <t>m2/km</t>
  </si>
  <si>
    <t>m1</t>
  </si>
  <si>
    <t>Tapa-buraco com concreto betuminoso usinado a quente com material betuminoso (Execução incluindo usinagem, aplicação da massa, pintura de ligação, fornecimento e transporte dos agregados e do material betuminoso)</t>
  </si>
  <si>
    <t>m3</t>
  </si>
  <si>
    <t>m3/km</t>
  </si>
  <si>
    <t>Remendo Profundo (Execução, incluindo remoção de camada granular e revestimento betuminoso, transporte para bota-fora, imprimação, fornecimento e tarnsporte do material granular)</t>
  </si>
  <si>
    <t>Transporte de material de jazida para conservação. Distância média de transporte &lt; = 10,00 Km</t>
  </si>
  <si>
    <t>m3xkm</t>
  </si>
  <si>
    <t>Transporte de material de jazida para conservação. Distância média de transporte 15,10 a 20,00 Km</t>
  </si>
  <si>
    <t>Transporte de material de jazida para conservação. Distância média de transporte 20,10 a 25,00 Km</t>
  </si>
  <si>
    <t>Transporte de material de jazida para conservação. Distância média de transporte &gt; 50,10 km</t>
  </si>
  <si>
    <t>Transporte  de concreto betuminoso usinado a quente. Distância média de transporte &lt; = 10,00 km (Densidade do material solto)</t>
  </si>
  <si>
    <t>m3Km</t>
  </si>
  <si>
    <t>Transporte  de concreto betuminoso usinado a quente. Distância média de transporte 15,10 a 20,00 km (Densidade do material solto)</t>
  </si>
  <si>
    <t>Transporte  de concreto betuminoso usinado a quente. Distância média de transporte 25,10 a 30,00 km (Densidade do material solto)</t>
  </si>
  <si>
    <t>Transporte  de concreto betuminoso usinado a quente. Distância média de transporte &gt; = 50,10 Km (Densidade do material solto)</t>
  </si>
  <si>
    <t>Transporte de material de qualquer natureza. Distância média de transporte &lt; = 10,00 Km</t>
  </si>
  <si>
    <t>txkm</t>
  </si>
  <si>
    <t>Transporte de material de qualquer natureza. Distância média de transporte 15,10 a 20,00 Km</t>
  </si>
  <si>
    <t>Transporte de material de qualquer natureza. Distância média de transporte 25,10 a 30,00 Km</t>
  </si>
  <si>
    <t>Transporte de material de qualquer natureza. Distância média de transporte &gt; = 50,10 Km</t>
  </si>
  <si>
    <t>Reparo em placas de pavimento concreto</t>
  </si>
  <si>
    <t>m²</t>
  </si>
  <si>
    <t>m³/m²</t>
  </si>
  <si>
    <t>m³</t>
  </si>
  <si>
    <t>Limpeza e enchimento de juntas de pavimento concreto</t>
  </si>
  <si>
    <t>m/m²</t>
  </si>
  <si>
    <t>m</t>
  </si>
  <si>
    <t>Manutenção/recomposição de sinalização - pintura de faixa com tinta acrílica  - espessura de 0,4 mm</t>
  </si>
  <si>
    <t>km eq</t>
  </si>
  <si>
    <t>m²/km</t>
  </si>
  <si>
    <t>Reposição de tachas reflet.</t>
  </si>
  <si>
    <t>ud/km</t>
  </si>
  <si>
    <t>Balizador de lâmina flexivel de PVC, tipo SV-BLF</t>
  </si>
  <si>
    <t xml:space="preserve">Recomposição de balizadores </t>
  </si>
  <si>
    <t>Sinalização Vertical</t>
  </si>
  <si>
    <t xml:space="preserve">Substituição de placas </t>
  </si>
  <si>
    <t>m²/m²</t>
  </si>
  <si>
    <t>Colocação de placas</t>
  </si>
  <si>
    <t>Limpeza Placas</t>
  </si>
  <si>
    <t>Dispositivos de Proteção e Segurança</t>
  </si>
  <si>
    <t>Substituição de defensas metálicas (inclui suporte)</t>
  </si>
  <si>
    <t>km/km</t>
  </si>
  <si>
    <t>Reparo de barreira New Jersey (localizado)</t>
  </si>
  <si>
    <t>m³/km</t>
  </si>
  <si>
    <t>Reconstrução de barreira New Jersey</t>
  </si>
  <si>
    <t>Reparo de guarda corpo/roda de concreto</t>
  </si>
  <si>
    <t>m/m</t>
  </si>
  <si>
    <t>Limpeza em dispositivos de drenagem em OAE</t>
  </si>
  <si>
    <t>Troca de juntas de dilatação</t>
  </si>
  <si>
    <t>Troca de aparelhos de apoio (100% a c/ 10 anos)</t>
  </si>
  <si>
    <t>ud/ud</t>
  </si>
  <si>
    <t>Recuperação estrutural - leve</t>
  </si>
  <si>
    <t>Recuperação estrutural - pesada</t>
  </si>
  <si>
    <t>Inspeção rotineira (1 vêz/ano)</t>
  </si>
  <si>
    <t>Inspeção especial (1 vêz/3anos)</t>
  </si>
  <si>
    <t>Limpeza de dipositivo de drenagem superficial (Execução, incluindo capina lateral na largura de 0,20 m e remoção de entulho)</t>
  </si>
  <si>
    <t>Limpeza de valeta de corte</t>
  </si>
  <si>
    <t>Limpeza de bueiros e galerias</t>
  </si>
  <si>
    <t>Preenchimento de erosões em taludes de cortes e a aterros com solo vegetal e sementes de gramíneas</t>
  </si>
  <si>
    <t>Recomposição mecânica de taludes</t>
  </si>
  <si>
    <t>OBR-VIA-325</t>
  </si>
  <si>
    <t>Transporte de material de jazida para conservação</t>
  </si>
  <si>
    <t>t/km</t>
  </si>
  <si>
    <t>Remoção mecânica de barreiras</t>
  </si>
  <si>
    <t>Roçada manual</t>
  </si>
  <si>
    <t>vezes</t>
  </si>
  <si>
    <t>ha</t>
  </si>
  <si>
    <t xml:space="preserve">Roçada mecanizada </t>
  </si>
  <si>
    <t>Reparo parcial de cercas (mourão de concreto e arame)</t>
  </si>
  <si>
    <t>m/km</t>
  </si>
  <si>
    <t>Conservação geral de instalações operacionais</t>
  </si>
  <si>
    <t>Conservação de Sistema de Iluminação</t>
  </si>
  <si>
    <t>Total por Ano</t>
  </si>
  <si>
    <t>Edificações</t>
  </si>
  <si>
    <t>Área</t>
  </si>
  <si>
    <t>Sede da Concessionaria</t>
  </si>
  <si>
    <t>CCO</t>
  </si>
  <si>
    <t>BSO</t>
  </si>
  <si>
    <t>Postos da PRF</t>
  </si>
  <si>
    <t>Postos da PRE</t>
  </si>
  <si>
    <t>Total de instalações</t>
  </si>
  <si>
    <t>Conservação de Rotina - Quantidades Padrão</t>
  </si>
  <si>
    <t>Código</t>
  </si>
  <si>
    <t>Serviço</t>
  </si>
  <si>
    <t>unid</t>
  </si>
  <si>
    <t>Quantidade Padrão Executada</t>
  </si>
  <si>
    <t>Unid</t>
  </si>
  <si>
    <t>mínima</t>
  </si>
  <si>
    <t>média</t>
  </si>
  <si>
    <t>máxima</t>
  </si>
  <si>
    <t>1.</t>
  </si>
  <si>
    <t>1.01</t>
  </si>
  <si>
    <t>Revestimento Betuminoso</t>
  </si>
  <si>
    <t>1.01.01</t>
  </si>
  <si>
    <t>1.01.02</t>
  </si>
  <si>
    <t>1.01.03</t>
  </si>
  <si>
    <t>1.01.04</t>
  </si>
  <si>
    <t>1.01.05</t>
  </si>
  <si>
    <t>1.01.06</t>
  </si>
  <si>
    <t>1.01.07</t>
  </si>
  <si>
    <t>1.01.08</t>
  </si>
  <si>
    <t>1.01.09</t>
  </si>
  <si>
    <t>1.01.10</t>
  </si>
  <si>
    <t>1.01.11</t>
  </si>
  <si>
    <t>1.01.12</t>
  </si>
  <si>
    <t>1.01.13</t>
  </si>
  <si>
    <t>1.01.14</t>
  </si>
  <si>
    <t>1.01.15</t>
  </si>
  <si>
    <t>1.02</t>
  </si>
  <si>
    <t>Revestimento Rígido-concreto</t>
  </si>
  <si>
    <t>1.02.01</t>
  </si>
  <si>
    <t>m3/m2 pl.</t>
  </si>
  <si>
    <t>1.02.02</t>
  </si>
  <si>
    <t>m/m2 pl.</t>
  </si>
  <si>
    <t>1.03</t>
  </si>
  <si>
    <r>
      <t>Rev</t>
    </r>
    <r>
      <rPr>
        <sz val="8"/>
        <rFont val="Arial"/>
        <family val="2"/>
      </rPr>
      <t xml:space="preserve"> Primário/Leito natural</t>
    </r>
  </si>
  <si>
    <t>1.03.01</t>
  </si>
  <si>
    <t>Reconformação acostamento</t>
  </si>
  <si>
    <t>1.03.02</t>
  </si>
  <si>
    <t>Reposição rev. primário acost.</t>
  </si>
  <si>
    <t>2.</t>
  </si>
  <si>
    <t>2.01</t>
  </si>
  <si>
    <t>Revestimento Vegetal</t>
  </si>
  <si>
    <t>2.01.01</t>
  </si>
  <si>
    <t>ha/ha</t>
  </si>
  <si>
    <t>2.01.02</t>
  </si>
  <si>
    <t>2.01.03</t>
  </si>
  <si>
    <t>Aceiro de Cerca</t>
  </si>
  <si>
    <t>ha/km</t>
  </si>
  <si>
    <t>2.01.04</t>
  </si>
  <si>
    <t>Plantio/Conservação de árvores e arbustos</t>
  </si>
  <si>
    <t>ud</t>
  </si>
  <si>
    <t xml:space="preserve">ud/km </t>
  </si>
  <si>
    <t>2.01.05</t>
  </si>
  <si>
    <t>Limpeza de pistas e remoção dos entulhos</t>
  </si>
  <si>
    <t>ton</t>
  </si>
  <si>
    <t>tonxkm/km</t>
  </si>
  <si>
    <t>2.02</t>
  </si>
  <si>
    <t>Vedação</t>
  </si>
  <si>
    <t>2.02.01</t>
  </si>
  <si>
    <t>Construção de cercas (mourão concreto com 5 fios)</t>
  </si>
  <si>
    <t>2.02.02</t>
  </si>
  <si>
    <t>2.02.03</t>
  </si>
  <si>
    <t>Rep.parcial cercas (moirão)</t>
  </si>
  <si>
    <t>2.03</t>
  </si>
  <si>
    <t>Terraplenos/Estr.Contenção</t>
  </si>
  <si>
    <t>2.03.01</t>
  </si>
  <si>
    <t>m³/m² talud</t>
  </si>
  <si>
    <t>2.03.02</t>
  </si>
  <si>
    <t>2.03.03</t>
  </si>
  <si>
    <t>2.03.04</t>
  </si>
  <si>
    <t>3.</t>
  </si>
  <si>
    <t>Drenagem e OACs</t>
  </si>
  <si>
    <t>3.01</t>
  </si>
  <si>
    <t>Drenagem Superficial/Profunda</t>
  </si>
  <si>
    <t>3.01.01</t>
  </si>
  <si>
    <t>3.01.02</t>
  </si>
  <si>
    <t>3.01.03</t>
  </si>
  <si>
    <t>m³/m</t>
  </si>
  <si>
    <t>3.01.04</t>
  </si>
  <si>
    <t xml:space="preserve">Reparo de drenagem superficial em concreto </t>
  </si>
  <si>
    <t>4.</t>
  </si>
  <si>
    <t>Segurança Rodoviária</t>
  </si>
  <si>
    <t>4.01</t>
  </si>
  <si>
    <t>4.01.01</t>
  </si>
  <si>
    <t xml:space="preserve">m2 </t>
  </si>
  <si>
    <t>m2/m2 pl</t>
  </si>
  <si>
    <t>4.01.02</t>
  </si>
  <si>
    <t>4.01.03</t>
  </si>
  <si>
    <t>4.02</t>
  </si>
  <si>
    <t>4.02.01</t>
  </si>
  <si>
    <t>4.02.02</t>
  </si>
  <si>
    <t>4.02.03</t>
  </si>
  <si>
    <t>4.02.04</t>
  </si>
  <si>
    <t>5.</t>
  </si>
  <si>
    <t>Dispositivos de Proteção</t>
  </si>
  <si>
    <t>5.01</t>
  </si>
  <si>
    <t>Defensas e Barreiras</t>
  </si>
  <si>
    <t>5.01.01</t>
  </si>
  <si>
    <t>km/km def</t>
  </si>
  <si>
    <t>5.01.02</t>
  </si>
  <si>
    <t>km/km barr</t>
  </si>
  <si>
    <t>5.01.03</t>
  </si>
  <si>
    <t>m3/km barr</t>
  </si>
  <si>
    <t>6.</t>
  </si>
  <si>
    <t>Obras de Arte Especiais</t>
  </si>
  <si>
    <t>6.01</t>
  </si>
  <si>
    <t>Pontes,Viadutos e Outras Estr.</t>
  </si>
  <si>
    <t>6.01.01</t>
  </si>
  <si>
    <t>m3/m gc</t>
  </si>
  <si>
    <t>6.01.02</t>
  </si>
  <si>
    <t>Limpeza geral de superfícies de concreto</t>
  </si>
  <si>
    <t>m2/m2</t>
  </si>
  <si>
    <t>6.01.03</t>
  </si>
  <si>
    <t>Manutenção geral estruturas</t>
  </si>
  <si>
    <t>eq.dia</t>
  </si>
  <si>
    <t>eq.dia/km</t>
  </si>
  <si>
    <t>6.01.04</t>
  </si>
  <si>
    <t xml:space="preserve">Limpeza superf.c/ jto d'água </t>
  </si>
  <si>
    <t>6.01.05</t>
  </si>
  <si>
    <t>6.01.06</t>
  </si>
  <si>
    <t>6.01.07</t>
  </si>
  <si>
    <t>kg ap.apo</t>
  </si>
  <si>
    <t>6.01.08</t>
  </si>
  <si>
    <t>m2 tab.</t>
  </si>
  <si>
    <t>6.01.09</t>
  </si>
  <si>
    <t>6.01.10</t>
  </si>
  <si>
    <t>6.01.11</t>
  </si>
  <si>
    <t>7.</t>
  </si>
  <si>
    <t>km ilum.</t>
  </si>
  <si>
    <t>8.</t>
  </si>
  <si>
    <t>Conservação Predial</t>
  </si>
  <si>
    <t>8.1</t>
  </si>
  <si>
    <t>m² edif</t>
  </si>
  <si>
    <t>9.</t>
  </si>
  <si>
    <t>Conservação Sistemas e Equipamentos Operacionais</t>
  </si>
  <si>
    <t>Conservação sistemas de informática</t>
  </si>
  <si>
    <t>Conservação sistemas operacionais - telefonia, CFTV, etc</t>
  </si>
  <si>
    <t>Conservação sistemas operacionais do CCO</t>
  </si>
  <si>
    <t>EXTENSÃO</t>
  </si>
  <si>
    <t>ÁREA TOTAL DE PLACAS</t>
  </si>
  <si>
    <t>ÁREA DE PLACAS POR QUILÔMETRO</t>
  </si>
  <si>
    <t>ELEMENTO</t>
  </si>
  <si>
    <t>un.</t>
  </si>
  <si>
    <t>EXT. ROD</t>
  </si>
  <si>
    <t>INCIDÊNCIA</t>
  </si>
  <si>
    <t>LADO NORTE</t>
  </si>
  <si>
    <t>LADO SUL</t>
  </si>
  <si>
    <t>SUBSTITUIÇÃO/RECUPERAÇÃO</t>
  </si>
  <si>
    <t>NEW JERSEY</t>
  </si>
  <si>
    <t>DEFENSA</t>
  </si>
  <si>
    <t>UNID.</t>
  </si>
  <si>
    <t>Pontes</t>
  </si>
  <si>
    <t>BR 135</t>
  </si>
  <si>
    <t>Comprimento Total</t>
  </si>
  <si>
    <t>Contagem</t>
  </si>
  <si>
    <t>Tabuleiro</t>
  </si>
  <si>
    <t>Pintura ( Reparo) de Guarda Corpos (m)</t>
  </si>
  <si>
    <t>% REPARO</t>
  </si>
  <si>
    <t>REPARAR</t>
  </si>
  <si>
    <t>DEFENSA NEW JERSEY EM OBRA DE ARTE ESPECIAL</t>
  </si>
  <si>
    <t>GUARDA CORPO NA OBRA DE ARTE ESPECIAL</t>
  </si>
  <si>
    <t>Limpeza dos Sistemas Drenantes das OAE's</t>
  </si>
  <si>
    <t>% DESOBSTRUÇÃO</t>
  </si>
  <si>
    <t>Á DESOBSTRUIR</t>
  </si>
  <si>
    <t>DRENAGEM NO PAVIMENTO</t>
  </si>
  <si>
    <t>DRENAGEM NAS CABECEIRAS</t>
  </si>
  <si>
    <t>Recuperação Emergencial de OAE's</t>
  </si>
  <si>
    <t>% DE RECUPER.</t>
  </si>
  <si>
    <t>Á RECUPERAR</t>
  </si>
  <si>
    <t>JUNTAS DE DILATAÇÃO - ENCONTROS E TABULEIRO (m)</t>
  </si>
  <si>
    <t>APARELHOS DE APOIO (unid)</t>
  </si>
  <si>
    <t>RECUPERAÇÃO ESTRUTURAL LEVE (m2)</t>
  </si>
  <si>
    <t>RECUPERAÇÃO ESTRUTURAL PESADA (m2)</t>
  </si>
  <si>
    <t>Cadastro geral das OAE's</t>
  </si>
  <si>
    <t>% DE INSPEÇÂO</t>
  </si>
  <si>
    <t>Á INSPECIONAR</t>
  </si>
  <si>
    <t>INSPEÇÃO ROTINEIRA - 1 x / ANO (m2)</t>
  </si>
  <si>
    <t>INSPEÇÃO ESPECIAL - 1 x / 3 ANOS (m2)</t>
  </si>
  <si>
    <t>SERVIÇOS DE CONSERVAÇÃO</t>
  </si>
  <si>
    <t>Pintura ( Reparo) de Guarda Corpos</t>
  </si>
  <si>
    <t>TOTAL DEFENSA EM NEW JERSEY NA OBRA DE ARTE ESPECIAL</t>
  </si>
  <si>
    <t>TOTAL GUARDA CORPO NA OBRA DE ARTE ESPECIAL</t>
  </si>
  <si>
    <t>Limpeza geral e pintura de superfícies de concreto</t>
  </si>
  <si>
    <t>BR 134</t>
  </si>
  <si>
    <t>LMG 754</t>
  </si>
  <si>
    <t>Limpeza de drenagem</t>
  </si>
  <si>
    <t>LMG 755</t>
  </si>
  <si>
    <t>LMG 756</t>
  </si>
  <si>
    <t>LMG 757</t>
  </si>
  <si>
    <t>LMG 758</t>
  </si>
  <si>
    <t>Troca de aparelhos de apoio (100% a cada 10 anos)</t>
  </si>
  <si>
    <t>MG 231</t>
  </si>
  <si>
    <t>Recuperação Estrutural Leve</t>
  </si>
  <si>
    <t>Recuperação Estrutural Pesada</t>
  </si>
  <si>
    <t>Inspeção Rotineira ( 1 vêz / ano) - m2</t>
  </si>
  <si>
    <t>Limpeza Geral de Sarjetas e Valetas</t>
  </si>
  <si>
    <t>QUANTIDADE</t>
  </si>
  <si>
    <t>% DE LIMPEZA</t>
  </si>
  <si>
    <t>Á LIMPAR</t>
  </si>
  <si>
    <t>Defensas metálicas semi maleáveis</t>
  </si>
  <si>
    <t>Canaleta de Concreto na Plataforma - Lateral</t>
  </si>
  <si>
    <t>Canaleta de Concreto Fora da Plataforma</t>
  </si>
  <si>
    <t>Recuperação Emergencial de Sarjetas e Valetas</t>
  </si>
  <si>
    <t>Canaleta de Concreto na Plataforma - Canteiro Central</t>
  </si>
  <si>
    <t>Recuperação Emergencial de Entradas e Saídas D'Água</t>
  </si>
  <si>
    <t>Pista</t>
  </si>
  <si>
    <t>Reconstrução de Descidas D'Água, Emegencial</t>
  </si>
  <si>
    <t>% DE RECONS.</t>
  </si>
  <si>
    <t>Á RECONSTRUIR</t>
  </si>
  <si>
    <t>Reconstrução de Caixas Coletoras, Emegencial</t>
  </si>
  <si>
    <t>BUEIROS</t>
  </si>
  <si>
    <t>Limpeza Geral de Bueiros</t>
  </si>
  <si>
    <t>Bueiro de Greide / Bueiro Profundo</t>
  </si>
  <si>
    <t>Bueiro Profundo</t>
  </si>
  <si>
    <t>Galeria de Concreto</t>
  </si>
  <si>
    <t>Recuperação Emergencial de Bueiros</t>
  </si>
  <si>
    <t>MEIO FIO</t>
  </si>
  <si>
    <t>Limpeza Geral de Meio-Fio</t>
  </si>
  <si>
    <t>Meio-Fio</t>
  </si>
  <si>
    <t>Recuperação Emergencial de Meio-Fio</t>
  </si>
  <si>
    <t>Cadastro Geral do Sistema de Drenagem</t>
  </si>
  <si>
    <t>Á CADASTRAR</t>
  </si>
  <si>
    <t>Cadastro do Sistema de Drenagem</t>
  </si>
  <si>
    <t>Drenagem e OAC - Conservação</t>
  </si>
  <si>
    <t>Limpeza e Drenagem na Plataforma</t>
  </si>
  <si>
    <t>Limpeza e Drenagem Fora da Plataforma</t>
  </si>
  <si>
    <t>Limpeza de Buerios e Galerias</t>
  </si>
  <si>
    <t>Reparo de Drenagem Superfial em Concreto</t>
  </si>
  <si>
    <t>Remoção Manual de Taludes</t>
  </si>
  <si>
    <t>Trecho</t>
  </si>
  <si>
    <t>Tipo</t>
  </si>
  <si>
    <t>Ocorrência</t>
  </si>
  <si>
    <t>Extensão (m)</t>
  </si>
  <si>
    <t>Altura (m)</t>
  </si>
  <si>
    <t>Espessura (m)</t>
  </si>
  <si>
    <t>Volume (m³)</t>
  </si>
  <si>
    <t>Remoção Mecânica de Taludes</t>
  </si>
  <si>
    <t>Remoção Mecânica de Barreiras</t>
  </si>
  <si>
    <t>QUANTIDADES ILUMINAÇÃO</t>
  </si>
  <si>
    <t>EXTENSÃO ILUMINADA</t>
  </si>
  <si>
    <t>QUANTIDADE DE POSTES/LUMINÁRIAS</t>
  </si>
  <si>
    <t>Início</t>
  </si>
  <si>
    <t>Fim</t>
  </si>
  <si>
    <t>Extensão (km)</t>
  </si>
  <si>
    <t>Largura (m)</t>
  </si>
  <si>
    <t>Condições</t>
  </si>
  <si>
    <t>Área (m2)</t>
  </si>
  <si>
    <t>Observações</t>
  </si>
  <si>
    <t>Bom</t>
  </si>
  <si>
    <t>Regular</t>
  </si>
  <si>
    <t>Péssimo</t>
  </si>
  <si>
    <t>x</t>
  </si>
  <si>
    <t>Vegetação alta necessitando de poda e capina</t>
  </si>
  <si>
    <t>Vegetação rasteira</t>
  </si>
  <si>
    <t>Cantairo central cimentado</t>
  </si>
  <si>
    <t>ÁREA TOTAL COM VEGETAÇÃO</t>
  </si>
  <si>
    <t>ÁREA TOTAL CIMENTADA</t>
  </si>
  <si>
    <t>ÁREA TOTAL</t>
  </si>
  <si>
    <t>Extensão km</t>
  </si>
  <si>
    <t>% da Rodovia</t>
  </si>
  <si>
    <t>Vegetação alta e cobrindo parte do acostamento nos dois lados</t>
  </si>
  <si>
    <t xml:space="preserve">TOTAL </t>
  </si>
  <si>
    <t>LOCAL</t>
  </si>
  <si>
    <t>UNID</t>
  </si>
  <si>
    <t>m2 TOT</t>
  </si>
  <si>
    <t>PRAÇAS DE PEDÁGIO</t>
  </si>
  <si>
    <t>BASES PARA BALANÇAS MÓVEIS</t>
  </si>
  <si>
    <t>BR 153 - MONTES CLAROS - MG</t>
  </si>
  <si>
    <t>DESPESAS COM SALÁRIOS, ENCARGOS SOCIAIS, BENEFÍCIOS E CONSUMOS</t>
  </si>
  <si>
    <t>VALORES EM R$ x 1000</t>
  </si>
  <si>
    <t>Função</t>
  </si>
  <si>
    <t>Salário</t>
  </si>
  <si>
    <t>E. Sociais
e Benefícios</t>
  </si>
  <si>
    <t>Consumos</t>
  </si>
  <si>
    <t>Total
Mensal</t>
  </si>
  <si>
    <t>Total
30 Anos</t>
  </si>
  <si>
    <t>Anos</t>
  </si>
  <si>
    <t>1.1.1</t>
  </si>
  <si>
    <t>Conselho de Administração e Fiscal</t>
  </si>
  <si>
    <t>6.2.3</t>
  </si>
  <si>
    <t>P058</t>
  </si>
  <si>
    <t>P059</t>
  </si>
  <si>
    <t>1.1.2</t>
  </si>
  <si>
    <t>Diretoria Executiva</t>
  </si>
  <si>
    <t>P079</t>
  </si>
  <si>
    <t>P136</t>
  </si>
  <si>
    <t>P114</t>
  </si>
  <si>
    <t>1.1.3</t>
  </si>
  <si>
    <t>Assessorias</t>
  </si>
  <si>
    <t>Relações Institucionais</t>
  </si>
  <si>
    <t>P163</t>
  </si>
  <si>
    <t>P128</t>
  </si>
  <si>
    <t>Comunicação e Marketing</t>
  </si>
  <si>
    <t>P164</t>
  </si>
  <si>
    <t>P026</t>
  </si>
  <si>
    <t>P104</t>
  </si>
  <si>
    <t>P135</t>
  </si>
  <si>
    <t>Meio Ambiente</t>
  </si>
  <si>
    <t>6.2.15</t>
  </si>
  <si>
    <t>P087</t>
  </si>
  <si>
    <t>P031</t>
  </si>
  <si>
    <t>Jurídica</t>
  </si>
  <si>
    <t>P004</t>
  </si>
  <si>
    <t>P003</t>
  </si>
  <si>
    <t>Gestão de Qualidade</t>
  </si>
  <si>
    <t>P167</t>
  </si>
  <si>
    <t>P018</t>
  </si>
  <si>
    <t>Gestão do Contrato</t>
  </si>
  <si>
    <t>P166</t>
  </si>
  <si>
    <t>P068</t>
  </si>
  <si>
    <t>P030</t>
  </si>
  <si>
    <t>1.1.4</t>
  </si>
  <si>
    <t>Diretoria de Administração e Finanças</t>
  </si>
  <si>
    <t>p077</t>
  </si>
  <si>
    <t>Recursos Humanos</t>
  </si>
  <si>
    <t>P080</t>
  </si>
  <si>
    <t>P025</t>
  </si>
  <si>
    <t>P050</t>
  </si>
  <si>
    <t>P038</t>
  </si>
  <si>
    <t>Suprimentos e Patrimônio</t>
  </si>
  <si>
    <t>P085</t>
  </si>
  <si>
    <t>P055</t>
  </si>
  <si>
    <t>P014</t>
  </si>
  <si>
    <t>P039</t>
  </si>
  <si>
    <t>P037</t>
  </si>
  <si>
    <t>Sistemas e Tecnologia de Informação</t>
  </si>
  <si>
    <t>P019</t>
  </si>
  <si>
    <t>P125</t>
  </si>
  <si>
    <t>P162</t>
  </si>
  <si>
    <t>P034</t>
  </si>
  <si>
    <t>Serviços Gerais</t>
  </si>
  <si>
    <t>P133</t>
  </si>
  <si>
    <t>P113</t>
  </si>
  <si>
    <t>P159</t>
  </si>
  <si>
    <t>P073</t>
  </si>
  <si>
    <t>P008</t>
  </si>
  <si>
    <t>Segurança e Medicina do Trabalho</t>
  </si>
  <si>
    <t>P099</t>
  </si>
  <si>
    <t>P155</t>
  </si>
  <si>
    <t>P112</t>
  </si>
  <si>
    <t>P044</t>
  </si>
  <si>
    <t>Tesouraria &amp; Contas a Pagar</t>
  </si>
  <si>
    <t>P072</t>
  </si>
  <si>
    <t>P021</t>
  </si>
  <si>
    <t>P161</t>
  </si>
  <si>
    <t>P028</t>
  </si>
  <si>
    <t>Controladoria e Contabilidade</t>
  </si>
  <si>
    <t>P061</t>
  </si>
  <si>
    <t>P015</t>
  </si>
  <si>
    <t>1.1.5</t>
  </si>
  <si>
    <t>Diretoria de Engenharia e Operações</t>
  </si>
  <si>
    <t>P074</t>
  </si>
  <si>
    <t>P078</t>
  </si>
  <si>
    <t>1.1.6</t>
  </si>
  <si>
    <t>Departamento de Engenharia e Obras</t>
  </si>
  <si>
    <t>P107</t>
  </si>
  <si>
    <t>Contratos (Contratos e Obras)</t>
  </si>
  <si>
    <t>P094</t>
  </si>
  <si>
    <t>P089</t>
  </si>
  <si>
    <t>Recuperação da Rodovia</t>
  </si>
  <si>
    <t>P097</t>
  </si>
  <si>
    <t>P098</t>
  </si>
  <si>
    <t>P149</t>
  </si>
  <si>
    <t>Conservação e Manutenção da Rodovia</t>
  </si>
  <si>
    <t>P091</t>
  </si>
  <si>
    <t>Melhoramentos e Ampliação da Rodovia</t>
  </si>
  <si>
    <t>P093</t>
  </si>
  <si>
    <t>Monitoração da Rodovia e Projetos</t>
  </si>
  <si>
    <t>P090</t>
  </si>
  <si>
    <t>P051</t>
  </si>
  <si>
    <t>P095</t>
  </si>
  <si>
    <t>P101</t>
  </si>
  <si>
    <t>P052</t>
  </si>
  <si>
    <t>Sistema de Informações Georeferenciadas</t>
  </si>
  <si>
    <t>OPERAÇÃO</t>
  </si>
  <si>
    <t>1.2.1</t>
  </si>
  <si>
    <t>Departamento de Operação</t>
  </si>
  <si>
    <t>P109</t>
  </si>
  <si>
    <t>Centro de Controle Operacional - CCO</t>
  </si>
  <si>
    <t>6.1.4.1</t>
  </si>
  <si>
    <t>P140</t>
  </si>
  <si>
    <t>P123</t>
  </si>
  <si>
    <t>P035</t>
  </si>
  <si>
    <t>Controle de Tráfego</t>
  </si>
  <si>
    <t>6.3.3.1</t>
  </si>
  <si>
    <t>P143</t>
  </si>
  <si>
    <t>P118</t>
  </si>
  <si>
    <t>P200</t>
  </si>
  <si>
    <t>P047</t>
  </si>
  <si>
    <t>Arrecadação de Pedágio</t>
  </si>
  <si>
    <t>6.4.4.1</t>
  </si>
  <si>
    <t>P141</t>
  </si>
  <si>
    <t>P007</t>
  </si>
  <si>
    <t>P057</t>
  </si>
  <si>
    <t>P006</t>
  </si>
  <si>
    <t>Pesagem</t>
  </si>
  <si>
    <t>6.5.4.1.2</t>
  </si>
  <si>
    <t>P139</t>
  </si>
  <si>
    <t>P005</t>
  </si>
  <si>
    <t>P121</t>
  </si>
  <si>
    <t>Comunicação</t>
  </si>
  <si>
    <t>6.6.3</t>
  </si>
  <si>
    <t>P092</t>
  </si>
  <si>
    <t>P157</t>
  </si>
  <si>
    <t>P147</t>
  </si>
  <si>
    <t>P153</t>
  </si>
  <si>
    <t>Atendimento ao Usuário</t>
  </si>
  <si>
    <t>6.7.4.1.2</t>
  </si>
  <si>
    <t>P142</t>
  </si>
  <si>
    <t>P158</t>
  </si>
  <si>
    <t>6.7.4.1.3</t>
  </si>
  <si>
    <t>6.7.4.1.1.1</t>
  </si>
  <si>
    <t>P148</t>
  </si>
  <si>
    <t>P134</t>
  </si>
  <si>
    <t>P117</t>
  </si>
  <si>
    <t>6.7.4.1.1.2</t>
  </si>
  <si>
    <t>P126</t>
  </si>
  <si>
    <t>P127</t>
  </si>
  <si>
    <t>6.7.4.1.1.3</t>
  </si>
  <si>
    <t>P116</t>
  </si>
  <si>
    <t>P115</t>
  </si>
  <si>
    <t>P111</t>
  </si>
  <si>
    <t>Guarda e Vigilância Patrimonial</t>
  </si>
  <si>
    <t>6.8.3</t>
  </si>
  <si>
    <t>P160</t>
  </si>
  <si>
    <t>P131</t>
  </si>
  <si>
    <t>Transportes e Manutenção</t>
  </si>
  <si>
    <t>6.2.14</t>
  </si>
  <si>
    <t>P086</t>
  </si>
  <si>
    <t>P150</t>
  </si>
  <si>
    <t>P046</t>
  </si>
  <si>
    <t>P201</t>
  </si>
  <si>
    <t>P202</t>
  </si>
  <si>
    <t>Total Geral</t>
  </si>
  <si>
    <t>salarios sem consumos e benefícios</t>
  </si>
  <si>
    <t>SUB-ITEM</t>
  </si>
  <si>
    <t>memória específica</t>
  </si>
  <si>
    <t>TABELA SALARIAL POR FUNÇÃO</t>
  </si>
  <si>
    <t>FUNÇÃO</t>
  </si>
  <si>
    <t>Nível
Salarial</t>
  </si>
  <si>
    <t>E. Sociais</t>
  </si>
  <si>
    <t>Benefícios</t>
  </si>
  <si>
    <t>Atendente</t>
  </si>
  <si>
    <t>Mensageiro</t>
  </si>
  <si>
    <t>Estagiário</t>
  </si>
  <si>
    <t>Vigia</t>
  </si>
  <si>
    <t>Recepcionista</t>
  </si>
  <si>
    <t>Tesoureiro</t>
  </si>
  <si>
    <t>Topógrafo</t>
  </si>
  <si>
    <t>Diretor Operacional</t>
  </si>
  <si>
    <t>Diretor Superintendente</t>
  </si>
  <si>
    <t>DESPESAS DIVERSAS</t>
  </si>
  <si>
    <t>30 ANOS</t>
  </si>
  <si>
    <t>PERIODICIDADE</t>
  </si>
  <si>
    <t>QUANT</t>
  </si>
  <si>
    <t>POR MÊS</t>
  </si>
  <si>
    <t>POR ANO</t>
  </si>
  <si>
    <t>1 a 30</t>
  </si>
  <si>
    <t>Aluguéis</t>
  </si>
  <si>
    <t>Sede - somente primeiro ano</t>
  </si>
  <si>
    <t>por ano</t>
  </si>
  <si>
    <t xml:space="preserve"> = vb / ano</t>
  </si>
  <si>
    <t>IPTU</t>
  </si>
  <si>
    <t>Sede</t>
  </si>
  <si>
    <t xml:space="preserve"> = R$ 6,00 / m2 / ano</t>
  </si>
  <si>
    <t>Praça de Pedágio</t>
  </si>
  <si>
    <t>por praça/ano</t>
  </si>
  <si>
    <t>Posto de Pesagem</t>
  </si>
  <si>
    <t>por posto/ano</t>
  </si>
  <si>
    <t xml:space="preserve"> = R$ 1,00 / m2 / ano</t>
  </si>
  <si>
    <t>C C O</t>
  </si>
  <si>
    <t>por unidade/ano</t>
  </si>
  <si>
    <t>Base de Atendimento Médico</t>
  </si>
  <si>
    <t>por base/ano</t>
  </si>
  <si>
    <t>Limpeza</t>
  </si>
  <si>
    <t xml:space="preserve"> = R$ 3.000,00 por faxina mês</t>
  </si>
  <si>
    <t xml:space="preserve"> = R$ 1.200,00 por faxina mês</t>
  </si>
  <si>
    <t xml:space="preserve"> = R$ 3.00,00 por faxina mês</t>
  </si>
  <si>
    <t>Base de Polícia Rodoviária Estadual</t>
  </si>
  <si>
    <t>Viagens</t>
  </si>
  <si>
    <t xml:space="preserve"> =  verba de R$ 1.500 mil / mês  / pessoa( staff 10 pessoas )</t>
  </si>
  <si>
    <t>Auditorias</t>
  </si>
  <si>
    <t xml:space="preserve"> = verba de 100 mil / ano</t>
  </si>
  <si>
    <t>( auditoria contábil, ambiente, Qualidade , etc )</t>
  </si>
  <si>
    <t>Recrutamento (sobre o efetivo da Concessionária)</t>
  </si>
  <si>
    <t>Recrutamento</t>
  </si>
  <si>
    <t>por pessoa/ano</t>
  </si>
  <si>
    <t xml:space="preserve"> = R$ 100,00 por pessoa/ ano</t>
  </si>
  <si>
    <t>Treinamento (sobre o efetivo da Concessionária)</t>
  </si>
  <si>
    <t>Treinamento</t>
  </si>
  <si>
    <t>Consultorias</t>
  </si>
  <si>
    <t>Consultoria de Recursos Humanos ( ano 1 )</t>
  </si>
  <si>
    <t>Consultoria Jurídica (30 anos)</t>
  </si>
  <si>
    <t>Consultoria de Operações (30 anos)</t>
  </si>
  <si>
    <t>Consultoria de Tráfego (ano 1 a 5)</t>
  </si>
  <si>
    <t>Consultoria de Engenharia ( ano 1 ao 5)</t>
  </si>
  <si>
    <t>Integradora de Sistemas (ano 1)</t>
  </si>
  <si>
    <t>Consultoria Meio Ambiente</t>
  </si>
  <si>
    <t>Outras Consultorias</t>
  </si>
  <si>
    <t>Uniformes</t>
  </si>
  <si>
    <t xml:space="preserve"> = R$ 300,00 / pessoa / ano </t>
  </si>
  <si>
    <t>Consumos Diversos</t>
  </si>
  <si>
    <t>T.I</t>
  </si>
  <si>
    <t xml:space="preserve"> = R$ 2.500 por mês por posto</t>
  </si>
  <si>
    <t>Transporte de Pessoal - Pedágio</t>
  </si>
  <si>
    <t xml:space="preserve"> = ver memória quadros abaixo</t>
  </si>
  <si>
    <t>Transporte de Valores das Praças de Pedágio</t>
  </si>
  <si>
    <t xml:space="preserve"> = Memória específica</t>
  </si>
  <si>
    <t>RIMA / EIA</t>
  </si>
  <si>
    <t xml:space="preserve"> = vb / ano (anos 1 e 2)</t>
  </si>
  <si>
    <t>ABCR</t>
  </si>
  <si>
    <t>Verba p/ aferição das balanças - Portaria 47 CONTRAN</t>
  </si>
  <si>
    <t xml:space="preserve"> = vb / ano ( R$ 50.000 por balança)</t>
  </si>
  <si>
    <t>Transporte de Pessoal - Todos menos o  Pedágio</t>
  </si>
  <si>
    <t xml:space="preserve"> = vale transporte de R$ 8,00 dia x 22 dias x 12 meses</t>
  </si>
  <si>
    <t>Participação no Lucros e Resultados</t>
  </si>
  <si>
    <t xml:space="preserve"> = 1 salário ano</t>
  </si>
  <si>
    <t>Total por ano</t>
  </si>
  <si>
    <t>Efetivo médio da Concessionária</t>
  </si>
  <si>
    <t>Total por mês/pessoa</t>
  </si>
  <si>
    <t>seg a sex</t>
  </si>
  <si>
    <t>sab e dom</t>
  </si>
  <si>
    <t>PRAÇA</t>
  </si>
  <si>
    <t>FREQUENCIA ROTINEIRO DIAS</t>
  </si>
  <si>
    <t>EMBARQUE ROTINEIRO</t>
  </si>
  <si>
    <t>TOTAL EMBARQUE ROTINEIRO</t>
  </si>
  <si>
    <t>TOTAL EMBARQUE ROTINEIRO MÊS</t>
  </si>
  <si>
    <t>EMBARQUE EVENTUAL</t>
  </si>
  <si>
    <t>FREQUENCIA EVENTUAL DIAS MÊS</t>
  </si>
  <si>
    <t>TOTAL EMBARQUE EVENTUAL MÊS</t>
  </si>
  <si>
    <t xml:space="preserve">MÉDIA ARRECADAÇÃO ESPÉCIE MÊS </t>
  </si>
  <si>
    <t>AD VALOREM  0,056%</t>
  </si>
  <si>
    <t>ARRECADAÇÃO EM CÉDULAS        90%</t>
  </si>
  <si>
    <t>ARRECADAÇÃO EM MOEDAS 10%</t>
  </si>
  <si>
    <t>R$ POR MILHEIRO DE CÉLULAS</t>
  </si>
  <si>
    <t>R$       MILHEIRO DE CÉLULAS</t>
  </si>
  <si>
    <t>R$       MILHEIRO DE MOEDAS</t>
  </si>
  <si>
    <t>TAXA DE CUSTÓDIA      0,014%</t>
  </si>
  <si>
    <t>TOTAL CUSTÓDIA MÊS</t>
  </si>
  <si>
    <t>P1</t>
  </si>
  <si>
    <t>P2</t>
  </si>
  <si>
    <t>P3</t>
  </si>
  <si>
    <t>P4</t>
  </si>
  <si>
    <t>P5</t>
  </si>
  <si>
    <t>P6</t>
  </si>
  <si>
    <t>ARRECADAÇÃO EM CÉDULAS</t>
  </si>
  <si>
    <t>NÚMERO DE CÉDULAS E MOEDAS</t>
  </si>
  <si>
    <t>Cédulas</t>
  </si>
  <si>
    <t>% arrec</t>
  </si>
  <si>
    <t>CÉDULAS</t>
  </si>
  <si>
    <t>Moedas</t>
  </si>
  <si>
    <t>MOEDAS</t>
  </si>
  <si>
    <t>TRANSPORTE DE PESSOAL - PEDÁGIO</t>
  </si>
  <si>
    <t>Cálculo do custo das Vans</t>
  </si>
  <si>
    <t>Cáculo custo do transporte de pessoal</t>
  </si>
  <si>
    <t>km por ida</t>
  </si>
  <si>
    <t>pessoas por dia - apenas pessoal do pedágio</t>
  </si>
  <si>
    <t>ida e volta</t>
  </si>
  <si>
    <t>pessoas por van</t>
  </si>
  <si>
    <t>vezes por dia</t>
  </si>
  <si>
    <t>turnos</t>
  </si>
  <si>
    <t>por km</t>
  </si>
  <si>
    <t>vans por turno</t>
  </si>
  <si>
    <t>por dia</t>
  </si>
  <si>
    <t>vans por turno -adotado</t>
  </si>
  <si>
    <t>dias por mês</t>
  </si>
  <si>
    <t>R$/Mês por van</t>
  </si>
  <si>
    <t>R$ por mês por van</t>
  </si>
  <si>
    <t>R$/mês total</t>
  </si>
  <si>
    <t>meses por ano</t>
  </si>
  <si>
    <t>anos</t>
  </si>
  <si>
    <t>R$ total de transp-30 anos</t>
  </si>
  <si>
    <t>R$ por ano</t>
  </si>
  <si>
    <t>TABELA DE SALÁRIOS - MARÇO/2018 - QUORUN-RH</t>
  </si>
  <si>
    <t>COD</t>
  </si>
  <si>
    <t>CARGO</t>
  </si>
  <si>
    <t>PISO SALARIAL</t>
  </si>
  <si>
    <t>TETO SALARIAL</t>
  </si>
  <si>
    <t>SALÁRIO MÉDIO</t>
  </si>
  <si>
    <t>ADOTADO</t>
  </si>
  <si>
    <t>Benefícios Mensais</t>
  </si>
  <si>
    <t>Consumos Mensais</t>
  </si>
  <si>
    <t>P132</t>
  </si>
  <si>
    <t>Superintendente Executivo</t>
  </si>
  <si>
    <t>Refeição</t>
  </si>
  <si>
    <t>por pessoa mês</t>
  </si>
  <si>
    <t>Material  Escritório</t>
  </si>
  <si>
    <t>Cesta Básica</t>
  </si>
  <si>
    <t>Materiais Diversos</t>
  </si>
  <si>
    <t>P076</t>
  </si>
  <si>
    <t>Diretor de Engenharia</t>
  </si>
  <si>
    <t>Transporte</t>
  </si>
  <si>
    <t>Energia Elétrica</t>
  </si>
  <si>
    <t>Diretor de Engenharia e Operações</t>
  </si>
  <si>
    <t>Moradia</t>
  </si>
  <si>
    <t>Telefone</t>
  </si>
  <si>
    <t>P075</t>
  </si>
  <si>
    <t>Diretor de obras</t>
  </si>
  <si>
    <t>Ass Medica Odont</t>
  </si>
  <si>
    <t>Gás</t>
  </si>
  <si>
    <t>Água</t>
  </si>
  <si>
    <t>P077</t>
  </si>
  <si>
    <t>Diretor administrativo e financeiro</t>
  </si>
  <si>
    <t>P302</t>
  </si>
  <si>
    <t>Consultor de Operações</t>
  </si>
  <si>
    <t>Gerente de Engenharia e Obras</t>
  </si>
  <si>
    <t>Gerente de Operações</t>
  </si>
  <si>
    <t>pessoa mês</t>
  </si>
  <si>
    <t>P106</t>
  </si>
  <si>
    <t>Gerente de Engenharia</t>
  </si>
  <si>
    <t>P300</t>
  </si>
  <si>
    <t>Consultor de Obras</t>
  </si>
  <si>
    <t>P301</t>
  </si>
  <si>
    <t>Consultor de Engenharia</t>
  </si>
  <si>
    <t>P108</t>
  </si>
  <si>
    <t>Gerente de Obras</t>
  </si>
  <si>
    <t>Refeição =</t>
  </si>
  <si>
    <t xml:space="preserve"> = 18,50 por pessoa x 22 dias</t>
  </si>
  <si>
    <t>Engenheiro Coordenador de Obras</t>
  </si>
  <si>
    <t>Cesta Básica =</t>
  </si>
  <si>
    <t xml:space="preserve"> = 140 por pessoa</t>
  </si>
  <si>
    <t>Engenheiro Coordenador Técnico</t>
  </si>
  <si>
    <t>Transporte =</t>
  </si>
  <si>
    <t xml:space="preserve"> = Incluido nas despesas diversas linhas 43 e 49</t>
  </si>
  <si>
    <t>P105</t>
  </si>
  <si>
    <t>Gerente Administrativo e Financeiro</t>
  </si>
  <si>
    <t>Moradia =</t>
  </si>
  <si>
    <t xml:space="preserve"> = 00,00 por pessoa  mês ( 50% do efetivo)</t>
  </si>
  <si>
    <t>P303</t>
  </si>
  <si>
    <t xml:space="preserve">Consultor de I.S.O. </t>
  </si>
  <si>
    <t>Ass Medica Odont =</t>
  </si>
  <si>
    <t xml:space="preserve"> = 133,21 x 2 ( funcionario + 1 dependente ) - UNIMED Unipart Estadual</t>
  </si>
  <si>
    <t>Engenheiro Civil Senior</t>
  </si>
  <si>
    <t>Seguros =</t>
  </si>
  <si>
    <t xml:space="preserve"> = 15,50 por funcionário</t>
  </si>
  <si>
    <t>P110</t>
  </si>
  <si>
    <t>Gerente Financeiro</t>
  </si>
  <si>
    <t>Engenheiro Ambiental</t>
  </si>
  <si>
    <t>P088</t>
  </si>
  <si>
    <t>Engenheiro Assistente</t>
  </si>
  <si>
    <t>Engenheiro Civil Jr</t>
  </si>
  <si>
    <t>Engenheiro Civil Pleno</t>
  </si>
  <si>
    <t>Engenheiro Comunicações</t>
  </si>
  <si>
    <t>Engenheiro de Faixa de Domínio</t>
  </si>
  <si>
    <t>P096</t>
  </si>
  <si>
    <t>Engenheiro de Monitoração e Projetos</t>
  </si>
  <si>
    <t>Engenheiro de Obras e Conservação</t>
  </si>
  <si>
    <t>Engenheiro de Obras Pleno</t>
  </si>
  <si>
    <t>Engenheiro de Seg. Trabalho</t>
  </si>
  <si>
    <t>P100</t>
  </si>
  <si>
    <t>Engenheiro de Seg. Trânsito</t>
  </si>
  <si>
    <t>Engenheiro de Tráfego</t>
  </si>
  <si>
    <t>P102</t>
  </si>
  <si>
    <t>Engenheiro Elétrico</t>
  </si>
  <si>
    <t>P103</t>
  </si>
  <si>
    <t>Engenheiro Mecânico</t>
  </si>
  <si>
    <t>Advogado Sênior</t>
  </si>
  <si>
    <t>Assessor de Relações Externas</t>
  </si>
  <si>
    <t>P060</t>
  </si>
  <si>
    <t>Consultor Meio Ambiente</t>
  </si>
  <si>
    <t>Analista de Sistemas</t>
  </si>
  <si>
    <t>Assessor de Comun. e Marketing</t>
  </si>
  <si>
    <t>P165</t>
  </si>
  <si>
    <t>Assessor de Comunicação</t>
  </si>
  <si>
    <t>Assessor de Planejamento Estratégico</t>
  </si>
  <si>
    <t>Assessor de Qualidade</t>
  </si>
  <si>
    <t>P168</t>
  </si>
  <si>
    <t>Assessor de Rel. Institucionais</t>
  </si>
  <si>
    <t>P171</t>
  </si>
  <si>
    <t>Assessor de Relações Institucionais</t>
  </si>
  <si>
    <t>P169</t>
  </si>
  <si>
    <t>Assessor Jurídico</t>
  </si>
  <si>
    <t>P170</t>
  </si>
  <si>
    <t>Assessor Planej. Estratégico</t>
  </si>
  <si>
    <t>Advogado Pleno</t>
  </si>
  <si>
    <t>Contador</t>
  </si>
  <si>
    <t>P063</t>
  </si>
  <si>
    <t>Coordenador de Balança</t>
  </si>
  <si>
    <t>P064</t>
  </si>
  <si>
    <t>Coordenador de Depto Pessoal</t>
  </si>
  <si>
    <t>P065</t>
  </si>
  <si>
    <t>Coordenador de Manutenção</t>
  </si>
  <si>
    <t>P066</t>
  </si>
  <si>
    <t>Coordenador de Medições</t>
  </si>
  <si>
    <t>P067</t>
  </si>
  <si>
    <t>Coordenador de Obras Sr</t>
  </si>
  <si>
    <t>Coordenador de Planejamento</t>
  </si>
  <si>
    <t>P069</t>
  </si>
  <si>
    <t>Coordenador de RH</t>
  </si>
  <si>
    <t>P070</t>
  </si>
  <si>
    <t>Coordenador de Sistemas</t>
  </si>
  <si>
    <t>P071</t>
  </si>
  <si>
    <t>Coordenador de Tráfego</t>
  </si>
  <si>
    <t>Coordenador Financeiro</t>
  </si>
  <si>
    <t>P016</t>
  </si>
  <si>
    <t>Analista de Planejamento</t>
  </si>
  <si>
    <t>P036</t>
  </si>
  <si>
    <t>Auditor</t>
  </si>
  <si>
    <t>Médico</t>
  </si>
  <si>
    <t>Comprador Pleno</t>
  </si>
  <si>
    <t>P081</t>
  </si>
  <si>
    <t>Encarregado de Adrrecadação</t>
  </si>
  <si>
    <t>P082</t>
  </si>
  <si>
    <t>Encarregado de Conservação</t>
  </si>
  <si>
    <t>P084</t>
  </si>
  <si>
    <t>Encarregado de Obras</t>
  </si>
  <si>
    <t>Encarregado de Patrimônio</t>
  </si>
  <si>
    <t>P001</t>
  </si>
  <si>
    <t>Advogado</t>
  </si>
  <si>
    <t>Secretária Executiva</t>
  </si>
  <si>
    <t>P056</t>
  </si>
  <si>
    <t>Comprador Sênior</t>
  </si>
  <si>
    <t>Analista de Sistema de Qualidade</t>
  </si>
  <si>
    <t>Técnico de Segurança do Trabalho II</t>
  </si>
  <si>
    <t>P152</t>
  </si>
  <si>
    <t>Técnico de Planejamento II</t>
  </si>
  <si>
    <t>P083</t>
  </si>
  <si>
    <t>Encarregado de Materiais</t>
  </si>
  <si>
    <t>Secretária</t>
  </si>
  <si>
    <t>Cadista</t>
  </si>
  <si>
    <t>P002</t>
  </si>
  <si>
    <t>Advogado Júnior</t>
  </si>
  <si>
    <t>P053</t>
  </si>
  <si>
    <t>Comprador</t>
  </si>
  <si>
    <t>P022</t>
  </si>
  <si>
    <t>Analista Fiscal</t>
  </si>
  <si>
    <t>P138</t>
  </si>
  <si>
    <t>Supervisor Administrativo</t>
  </si>
  <si>
    <t>Supervisor de Balanças</t>
  </si>
  <si>
    <t>Supervisor de CCO</t>
  </si>
  <si>
    <t>Supervisor de Pedágio</t>
  </si>
  <si>
    <t>Supervisor de S.A.U</t>
  </si>
  <si>
    <t>Supervisor de Tráfego</t>
  </si>
  <si>
    <t>Encarregado de Transportes</t>
  </si>
  <si>
    <t>P145</t>
  </si>
  <si>
    <t>Técnico Civil II</t>
  </si>
  <si>
    <t>Técnico de Estradas</t>
  </si>
  <si>
    <t>P151</t>
  </si>
  <si>
    <t>Técnico de Planejamento I</t>
  </si>
  <si>
    <t>Almoxarife</t>
  </si>
  <si>
    <t>Analista Financeiro</t>
  </si>
  <si>
    <t>P023</t>
  </si>
  <si>
    <t>Arquivista Técnico</t>
  </si>
  <si>
    <t>P017</t>
  </si>
  <si>
    <t>Analista de Recursos Humanos</t>
  </si>
  <si>
    <t>Analista de Contabilidade</t>
  </si>
  <si>
    <t>Auxiliar Técnico II</t>
  </si>
  <si>
    <t>Encarregado Administrativo</t>
  </si>
  <si>
    <t>Operador de Guincho Pesado</t>
  </si>
  <si>
    <t>P130</t>
  </si>
  <si>
    <t>Pintor</t>
  </si>
  <si>
    <t>P129</t>
  </si>
  <si>
    <t>Pedreiro</t>
  </si>
  <si>
    <t>Eletricista CA</t>
  </si>
  <si>
    <t>Eletricista CC</t>
  </si>
  <si>
    <t>Mecânico</t>
  </si>
  <si>
    <t>Motorista Caminhão Boiadeiro</t>
  </si>
  <si>
    <t>Motorista Caminhão Pipa</t>
  </si>
  <si>
    <t>Motorista de Ambulância</t>
  </si>
  <si>
    <t>P054</t>
  </si>
  <si>
    <t>Comprador Júnior</t>
  </si>
  <si>
    <t>P144</t>
  </si>
  <si>
    <t>Técnico Civil I</t>
  </si>
  <si>
    <t>P146</t>
  </si>
  <si>
    <t>Técnico de Controle</t>
  </si>
  <si>
    <t>Técnico de Eletrônica</t>
  </si>
  <si>
    <t>Técnico de Enfermagem</t>
  </si>
  <si>
    <t>Técnico de Manutenção</t>
  </si>
  <si>
    <t>Técnico de Rádio</t>
  </si>
  <si>
    <t>P154</t>
  </si>
  <si>
    <t>Técnico de RH</t>
  </si>
  <si>
    <t>P156</t>
  </si>
  <si>
    <t>Técnico de Segurança do Trabalho I</t>
  </si>
  <si>
    <t>Técnico de Telecomunicações</t>
  </si>
  <si>
    <t>Assistente de Adm. Pessoal</t>
  </si>
  <si>
    <t>P119</t>
  </si>
  <si>
    <t>Motorista de Veículo Leve II</t>
  </si>
  <si>
    <t>P020</t>
  </si>
  <si>
    <t>Analista de Suporte</t>
  </si>
  <si>
    <t>Assistente de Contas a Pagar</t>
  </si>
  <si>
    <t>Assistente de Informática</t>
  </si>
  <si>
    <t>P033</t>
  </si>
  <si>
    <t>Assistente Financeiro</t>
  </si>
  <si>
    <t>Assistente Técnico de Informática</t>
  </si>
  <si>
    <t>P027</t>
  </si>
  <si>
    <t>Assistente de Contabilidade</t>
  </si>
  <si>
    <t>Ouvidor</t>
  </si>
  <si>
    <t>Operador de Balança</t>
  </si>
  <si>
    <t>P024</t>
  </si>
  <si>
    <t>Assistente Administrativo</t>
  </si>
  <si>
    <t>P040</t>
  </si>
  <si>
    <t>Auxiliar de Contabilidade</t>
  </si>
  <si>
    <t>P041</t>
  </si>
  <si>
    <t>Auxiliar de Contas a Pagar</t>
  </si>
  <si>
    <t>P042</t>
  </si>
  <si>
    <t>Auxiliar de Departamento Pessoal</t>
  </si>
  <si>
    <t>Auxiliar de Mecânico</t>
  </si>
  <si>
    <t>Operador de CCO</t>
  </si>
  <si>
    <t>Motorista</t>
  </si>
  <si>
    <t>Motorista de Veículo Leve I</t>
  </si>
  <si>
    <t>P043</t>
  </si>
  <si>
    <t>Auxiliar de Eletricista</t>
  </si>
  <si>
    <t>Auxiliar Técnico I</t>
  </si>
  <si>
    <t>P062</t>
  </si>
  <si>
    <t>Contador Classificador</t>
  </si>
  <si>
    <t>P122</t>
  </si>
  <si>
    <t>Operador de Caminhão Munck</t>
  </si>
  <si>
    <t>P124</t>
  </si>
  <si>
    <t>Operador de Computador</t>
  </si>
  <si>
    <t>Operador de CPD</t>
  </si>
  <si>
    <t>Operador de Guincho Leve</t>
  </si>
  <si>
    <t>Inspetor de Tráfego</t>
  </si>
  <si>
    <t>Resgatista</t>
  </si>
  <si>
    <t>Auxiliar Administrativo II</t>
  </si>
  <si>
    <t>Agente Autuador</t>
  </si>
  <si>
    <t>Agente Líder</t>
  </si>
  <si>
    <t>Assistente de Comunicação</t>
  </si>
  <si>
    <t>P120</t>
  </si>
  <si>
    <t>Nivelador</t>
  </si>
  <si>
    <t>Assistente de Meio Ambiente</t>
  </si>
  <si>
    <t>P032</t>
  </si>
  <si>
    <t>Assistente de Serviços Gerais</t>
  </si>
  <si>
    <t>P045</t>
  </si>
  <si>
    <t>Auxiliar de Escritório</t>
  </si>
  <si>
    <t>P029</t>
  </si>
  <si>
    <t>Assistente de Coordenação</t>
  </si>
  <si>
    <t>Atendente S.A.U</t>
  </si>
  <si>
    <t>Auxiliar Administrativo I</t>
  </si>
  <si>
    <t>Auxiliar de Compras</t>
  </si>
  <si>
    <t>Auxiliar de Enfermagem</t>
  </si>
  <si>
    <t>Auxiliar de Pista</t>
  </si>
  <si>
    <t>P049</t>
  </si>
  <si>
    <t>Auxiliar de Topografia</t>
  </si>
  <si>
    <t>Conferente</t>
  </si>
  <si>
    <t>Conselheiro - Conselho Administrativo</t>
  </si>
  <si>
    <t>Conselheiro - Conselho Fiscal</t>
  </si>
  <si>
    <t>Telefonista 0800</t>
  </si>
  <si>
    <t>P048</t>
  </si>
  <si>
    <t>Auxiliar de Sinalização</t>
  </si>
  <si>
    <t>Copeira</t>
  </si>
  <si>
    <t>Porteiro</t>
  </si>
  <si>
    <t>P137</t>
  </si>
  <si>
    <t>Servente</t>
  </si>
  <si>
    <t>Agente de Pedágio</t>
  </si>
  <si>
    <t>Ajudante</t>
  </si>
  <si>
    <t>P009</t>
  </si>
  <si>
    <t>Ajudante de Cozinha</t>
  </si>
  <si>
    <t>P010</t>
  </si>
  <si>
    <t>Ajudante de Elétrica</t>
  </si>
  <si>
    <t>P011</t>
  </si>
  <si>
    <t>Ajudante de Mecânica</t>
  </si>
  <si>
    <t>P012</t>
  </si>
  <si>
    <t>Ajudante de Motorista</t>
  </si>
  <si>
    <t>P013</t>
  </si>
  <si>
    <t>Ajudante de Produção</t>
  </si>
  <si>
    <t>ENCARGOS SOCIAIS</t>
  </si>
  <si>
    <t>MENSALISTA</t>
  </si>
  <si>
    <t>OBSERVAÇÕES</t>
  </si>
  <si>
    <t>GRUPO A</t>
  </si>
  <si>
    <t>INSS</t>
  </si>
  <si>
    <t>FGTS</t>
  </si>
  <si>
    <t>Adicional Noturno/Periculosidade</t>
  </si>
  <si>
    <t>Incluído nos Salários</t>
  </si>
  <si>
    <t>SESC / SESI</t>
  </si>
  <si>
    <t>SENAC / SENAI</t>
  </si>
  <si>
    <t>Sebrae</t>
  </si>
  <si>
    <t>Incra</t>
  </si>
  <si>
    <t>Salário Educação</t>
  </si>
  <si>
    <t>Acidente de Trabalho até 3%</t>
  </si>
  <si>
    <t>Total do Grupo A</t>
  </si>
  <si>
    <t>GRUPO B</t>
  </si>
  <si>
    <t>Repouso Semanal Remunerado</t>
  </si>
  <si>
    <t>Incluído na Escala</t>
  </si>
  <si>
    <t>Férias</t>
  </si>
  <si>
    <t>Feriados</t>
  </si>
  <si>
    <t>Incluídos na Escala</t>
  </si>
  <si>
    <t>Aviso</t>
  </si>
  <si>
    <t>Auxilio Previdenciário(Doença/Acidente)</t>
  </si>
  <si>
    <t>13º Salário</t>
  </si>
  <si>
    <t>Ausências Abonadas/Dias de Chuva</t>
  </si>
  <si>
    <t>Não Há</t>
  </si>
  <si>
    <t>Total do Grupo B</t>
  </si>
  <si>
    <t>GRUPO C</t>
  </si>
  <si>
    <t>Multa Rescisória - 40%</t>
  </si>
  <si>
    <t>Lei Complementar 110/01 ( 10% Multa FGTS)</t>
  </si>
  <si>
    <t>Total do Grupo C</t>
  </si>
  <si>
    <t>GRUPO D</t>
  </si>
  <si>
    <t>Taxa de Incidência A x B</t>
  </si>
  <si>
    <t>Total do Grupo D</t>
  </si>
  <si>
    <t>Total dos Encargos Sociais</t>
  </si>
  <si>
    <t>Total dos Encargos Sociais - Adotado</t>
  </si>
  <si>
    <t>CRONOGRAMA DE PERMANÊNCIA DE PESSOAL</t>
  </si>
  <si>
    <t>Veículos</t>
  </si>
  <si>
    <t>Computador</t>
  </si>
  <si>
    <t>Área na Sede</t>
  </si>
  <si>
    <t>Modelo</t>
  </si>
  <si>
    <t>Quant.</t>
  </si>
  <si>
    <t>6.2.</t>
  </si>
  <si>
    <t>CPU completa</t>
  </si>
  <si>
    <t>Ramal</t>
  </si>
  <si>
    <t>Coletiva</t>
  </si>
  <si>
    <t>Gran Sienna</t>
  </si>
  <si>
    <t>Estação Trabalho</t>
  </si>
  <si>
    <t>Individual</t>
  </si>
  <si>
    <t>Linha Direta</t>
  </si>
  <si>
    <t xml:space="preserve">Palio 1.0 </t>
  </si>
  <si>
    <t>Contratação de Obras e Serviços</t>
  </si>
  <si>
    <t>6.1.</t>
  </si>
  <si>
    <t>6.3.</t>
  </si>
  <si>
    <t>6.4.</t>
  </si>
  <si>
    <t>6.5.</t>
  </si>
  <si>
    <t>6.6.</t>
  </si>
  <si>
    <t>6.7.</t>
  </si>
  <si>
    <t>6.8.</t>
  </si>
  <si>
    <t>Resumos</t>
  </si>
  <si>
    <t>m²/pessoa</t>
  </si>
  <si>
    <t>vai p/ veiculos adm Aba-Sistemas-Manutenção</t>
  </si>
  <si>
    <t>CPU Completa</t>
  </si>
  <si>
    <t>Linha 0800</t>
  </si>
  <si>
    <t>VALORES EM R$ 1.000,00</t>
  </si>
  <si>
    <t>8.2.4</t>
  </si>
  <si>
    <t>8.3.4</t>
  </si>
  <si>
    <t>8.4.4</t>
  </si>
  <si>
    <t>8.5.4</t>
  </si>
  <si>
    <t>8.6.3</t>
  </si>
  <si>
    <t>8.7.1.3</t>
  </si>
  <si>
    <t>8.7.2.3</t>
  </si>
  <si>
    <t>8.7.3.3</t>
  </si>
  <si>
    <t>8.7.4.3</t>
  </si>
  <si>
    <t>8.7.5.3</t>
  </si>
  <si>
    <t>8.7.6.3</t>
  </si>
  <si>
    <t>8.7.7.3</t>
  </si>
  <si>
    <t>8.7.8.3</t>
  </si>
  <si>
    <t>8.8.1.1.3</t>
  </si>
  <si>
    <t>8.8.1.2.3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</si>
  <si>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</si>
  <si>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</si>
  <si>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</si>
  <si>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</si>
  <si>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</si>
  <si>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</si>
  <si>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</si>
  <si>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</si>
  <si>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</si>
  <si>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Arrecadação de Pedágios com Praças</t>
  </si>
  <si>
    <t>11.1</t>
  </si>
  <si>
    <t>Arrecadação de Pedágios com Free Flow</t>
  </si>
  <si>
    <t>12</t>
  </si>
  <si>
    <t>13</t>
  </si>
  <si>
    <t>14</t>
  </si>
  <si>
    <t>Custos Sócios Ambientais ( incluido planos RNS Ambiental ate ano 9)</t>
  </si>
  <si>
    <t>15</t>
  </si>
  <si>
    <t>16</t>
  </si>
  <si>
    <t>17</t>
  </si>
  <si>
    <t>CONSERVAÇÃO DE EQUIPAMENTOS E SISTEMAS</t>
  </si>
  <si>
    <t>Atendimento Pté-hospitalar</t>
  </si>
  <si>
    <t>SISTEMA DE ARRECADAÇÃO DE PEDÁGIO</t>
  </si>
  <si>
    <t>PLANILHA DE QUANTIDADE E PREÇOS</t>
  </si>
  <si>
    <t>Código        DER MG</t>
  </si>
  <si>
    <t>UNIDADE</t>
  </si>
  <si>
    <t>P. UNIT.</t>
  </si>
  <si>
    <t>P. TOTAL</t>
  </si>
  <si>
    <t>TERRAPLENAGEM</t>
  </si>
  <si>
    <t>Desmatamento, destocamento e limpeza de árvores, arbustos e vegetação rasteira (Execução na espessura de até 30cm, incluindo remanejamento para fora da linha de offsets e acerto do material)</t>
  </si>
  <si>
    <r>
      <t>m</t>
    </r>
    <r>
      <rPr>
        <vertAlign val="superscript"/>
        <sz val="8"/>
        <rFont val="Arial"/>
        <family val="2"/>
      </rPr>
      <t>2</t>
    </r>
  </si>
  <si>
    <t>Escavação, carga, descarga, espalhamento e transporte de material de 1ª categoria, com caminhão. Distância média de transporte de 601 a 800 m</t>
  </si>
  <si>
    <t xml:space="preserve">Compactação de aterro a 95% proctor normal </t>
  </si>
  <si>
    <t>CONCRETO ARMADO</t>
  </si>
  <si>
    <t>Concreto estrutural com resistência Fck &gt;= 30,0 Mpa (Execução, incluindo o fornecimento de todos os materiais, exclui o transporte dos agregados)</t>
  </si>
  <si>
    <t>Forma plana de MADEIRIT (Execução, incluindo desforma, fornecimento e transporte de todos os materiais)</t>
  </si>
  <si>
    <t>Armação de aço tipo CA-50 (Execução, incluindo preparo, dobragem, colocação nas formas e transporte de todos dos materiais)</t>
  </si>
  <si>
    <t>kg</t>
  </si>
  <si>
    <t>Barreira simples de concreto armado tipo new jersey (Execução, incluindo o fornecimento e transporte de todos os materiais)</t>
  </si>
  <si>
    <t>EDIFICAÇÕES</t>
  </si>
  <si>
    <t>Edifício de Administração</t>
  </si>
  <si>
    <t>Meio-fio de concreto, tipo DR.MF-01 (Execução, incluindo escavação, fornecimento e transporte de todos os materiais)</t>
  </si>
  <si>
    <t>Sarjeta de concreto em corte tipo DR.SCC-x/y. Largura = 70 cm tipo 60/20 (Execução, incluindo escavação, fornecimento e transporte de todos os materiais)</t>
  </si>
  <si>
    <t>Concreto magro Fck &gt;= 10,0 Mpa (Execução, incluindo o fornecimento e transporte dos agregados)</t>
  </si>
  <si>
    <r>
      <t>m</t>
    </r>
    <r>
      <rPr>
        <vertAlign val="superscript"/>
        <sz val="8"/>
        <rFont val="Arial"/>
        <family val="2"/>
      </rPr>
      <t>3</t>
    </r>
  </si>
  <si>
    <t>COBERTURAS</t>
  </si>
  <si>
    <t>TELHAS DE CONCRETO PRÉ-MOLDADAS</t>
  </si>
  <si>
    <t>COB-TEL-040</t>
  </si>
  <si>
    <t>Cobertura em Telha de fibrocimento tipo Kalhetão, canalete 90</t>
  </si>
  <si>
    <t>PAVIMENTO FLEXÍVEL</t>
  </si>
  <si>
    <t>Regularização do sub-leito, compactado na energia do proctor normal</t>
  </si>
  <si>
    <t>Base de brita graduada tratada com 1,5% de cimento com mistura em usina, compactada na energia do proctor modificado (Execução, incluindo fornecimento e transporte do cimento, fornecimento da brita, umidecimento, homogenização e compactação da mistura)</t>
  </si>
  <si>
    <t>Imprimação sem fornecimento do material betuminoso (Execução, incluindo transporte do material betuminoso dentro do canteiro de obras)</t>
  </si>
  <si>
    <t>Concreto betuminoso usinado a quente com fornecimento do material betuminoso (Faixa C) (Execução, incluindo fornecimento dos agregados)</t>
  </si>
  <si>
    <t>Transporte de concreto betuminoso usinado a quente. Distância média de transporte &gt;= 50,10 km</t>
  </si>
  <si>
    <t>m³ x KM</t>
  </si>
  <si>
    <t>Pintura de ligação sem fornecimento do material betuminoso (Execução, incluindo transporte do material betuminoso dentro do canteiro de obras)</t>
  </si>
  <si>
    <t>Reforço do sub-leito, compactado na energia do proctor intermediário (Execução, incluindo escavação, carga, descarga, homogenização, umidecimento, espalhamento e compactação do material)</t>
  </si>
  <si>
    <t>Concreto de cimento Portland, Fck &gt;= 30,0 Mpa (Execução, incluindo o fornecimento e transporte dos agregados)</t>
  </si>
  <si>
    <t>SINALIZAÇÃO</t>
  </si>
  <si>
    <t>4 S 06 110 01</t>
  </si>
  <si>
    <t>Pintura faixa c/termoplástico-3 anos (p/ aspersão)</t>
  </si>
  <si>
    <t>Forn. e colocação de Tacha refletiva tipo SHTRP, com catadióptrico nas duas faces (Execução, incluindo fornecimento, colocação e transporte de todos os materiais)</t>
  </si>
  <si>
    <t xml:space="preserve">und
</t>
  </si>
  <si>
    <t>Placa de aço carbono com película refletiva grau diamante tipo X da ABNT m2 255,69 Marcador de Alinhamento (Execução, incluindo fornecimento e transporte de todos materiais, inclusive poste de sustentação)</t>
  </si>
  <si>
    <t>Placa de aço carbono com película refletiva grau diamante tipo X da ABNT m2 255,69 Marcador de Perigo 0,30 x 0,90 m (Execução, incluindo fornecimento e transporte de todos materiais, inclusive poste de sustentação)</t>
  </si>
  <si>
    <t>2 S 06 210 51</t>
  </si>
  <si>
    <t>Portico Metálico AC/DC</t>
  </si>
  <si>
    <t>HIDROSSEMEADURA</t>
  </si>
  <si>
    <t>Revestimento vegetal com gramas em placas (Execução, incluindo fornecimento, umidecimento, corte e carga da grama)</t>
  </si>
  <si>
    <t>ILUMINAÇÃO</t>
  </si>
  <si>
    <t>Sistema de Iluminação</t>
  </si>
  <si>
    <t>vb</t>
  </si>
  <si>
    <t>DRENAGEM</t>
  </si>
  <si>
    <t>Bueiro simples tubular de concreto, classe CA-1. BSTC Ø 1,00 m - corpo (Execução, incluindo fornecimento e transporte de todos os materiais e berço, exclusive escavação e compactação)</t>
  </si>
  <si>
    <t>Bueiro simples tubular de concreto, classe CA-1. BSTC Ø 0,80 m - corpo (Execução, incluindo fornecimento e transporte de todos os materiais e berço, exclusive escavação e compactação)</t>
  </si>
  <si>
    <t>Bueiro simples tubular de concreto, classe CA-1. BSTC Ø 0,60 m - corpo (Execução, incluindo fornecimento e transporte de todos os materiais e berço, exclusive escavação e compactação)</t>
  </si>
  <si>
    <t>2 S 04 930 01</t>
  </si>
  <si>
    <t>Caixa coletora de sarjeta - CCS 01 AC/BC</t>
  </si>
  <si>
    <t>und</t>
  </si>
  <si>
    <t>CERCAS</t>
  </si>
  <si>
    <t>SEE-ALA-005</t>
  </si>
  <si>
    <t>Cerca tipo Alambrado H=3,30m</t>
  </si>
  <si>
    <t>TOTAL PARA</t>
  </si>
  <si>
    <t>PRAÇAS</t>
  </si>
  <si>
    <t>PRAÇAS DE PEDÁGIO (12 pistas)</t>
  </si>
  <si>
    <t>2.1. TERRAPLENAGEM</t>
  </si>
  <si>
    <t>2.1.1. Desmatamento e Limpeza</t>
  </si>
  <si>
    <r>
      <t>m</t>
    </r>
    <r>
      <rPr>
        <vertAlign val="superscript"/>
        <sz val="10"/>
        <rFont val="Arial"/>
        <family val="2"/>
      </rPr>
      <t>2</t>
    </r>
  </si>
  <si>
    <t>2.1.2. Escavação</t>
  </si>
  <si>
    <t>2.1.3. Aterro</t>
  </si>
  <si>
    <t>2.2. CONCRETO ARMADO</t>
  </si>
  <si>
    <t>2.2.1 Ilhas</t>
  </si>
  <si>
    <r>
      <t>m</t>
    </r>
    <r>
      <rPr>
        <vertAlign val="superscript"/>
        <sz val="10"/>
        <rFont val="Arial"/>
        <family val="2"/>
      </rPr>
      <t>3</t>
    </r>
  </si>
  <si>
    <t>2.2.2. Estrutura da Cobertura</t>
  </si>
  <si>
    <t>2.2.3. Pavimento de Concreto Rígido</t>
  </si>
  <si>
    <t>2.2.6. Caixa d'água Elevada</t>
  </si>
  <si>
    <t>2.2.7. Estrutura do Estacionamento Coberto</t>
  </si>
  <si>
    <t>Total de concreto</t>
  </si>
  <si>
    <t>2.2.8. Barreiras rígidas perfil New Jersey</t>
  </si>
  <si>
    <t>2.2.9. Formas</t>
  </si>
  <si>
    <t>2.2.10. Armação</t>
  </si>
  <si>
    <t>2.3. EDIFICAÇÕES</t>
  </si>
  <si>
    <t>2.3.1. Edifício de Administração</t>
  </si>
  <si>
    <t>2.3.2. Estacionamento</t>
  </si>
  <si>
    <t>2.3.3. Guias</t>
  </si>
  <si>
    <t>2.3.4. Sajetas</t>
  </si>
  <si>
    <t>2.3.5. Calçada concreto</t>
  </si>
  <si>
    <t>2.3.6. Cabines de pedágio</t>
  </si>
  <si>
    <t>2.4. COBERTURAS</t>
  </si>
  <si>
    <t>2.4.1. TELHAS DE CONCRETO PRÉ-MOLDADAS</t>
  </si>
  <si>
    <t>2.5. PAVIMENTO FLEXÍVEL</t>
  </si>
  <si>
    <t>2.5.2. Melhoria do subleito</t>
  </si>
  <si>
    <t>2.5.2. Base BGTC</t>
  </si>
  <si>
    <t>2.5.3. Imprimação</t>
  </si>
  <si>
    <t>2.5.4. Camada Intermediária de Binder</t>
  </si>
  <si>
    <t>2.5.5. Pintura de Ligação</t>
  </si>
  <si>
    <t>2.5.6. Capa de Rolamento CBUQ</t>
  </si>
  <si>
    <t>2.6. SINALIZAÇÃO</t>
  </si>
  <si>
    <t>2.6.1. Sinalização Horizontal</t>
  </si>
  <si>
    <t>2.6.1.1  Pintura faixa c/termoplástico-3 anos (p/ aspersão)</t>
  </si>
  <si>
    <t>2.6.1.2 Forn. e colocação de tacha reflet. Bidirecional</t>
  </si>
  <si>
    <t>2.6.2. Sinalização Vertical</t>
  </si>
  <si>
    <t>2.6.2.1 Placas de Regulamentação</t>
  </si>
  <si>
    <t>2.6.2.2 Placas de Indicação</t>
  </si>
  <si>
    <t>2.6.2.3 Portico</t>
  </si>
  <si>
    <t>2.7. HIDROSSEMEADURA</t>
  </si>
  <si>
    <t>2.8. ILUMINAÇÃO</t>
  </si>
  <si>
    <t>2.9. DRENAGEM</t>
  </si>
  <si>
    <t>2.9.1. Tubo Concreto Armado 1,00 m</t>
  </si>
  <si>
    <t>2.9.2. Tubo Concreto Armado 0,80 m</t>
  </si>
  <si>
    <t>2.9.3. Tubo Concreto Armado 0,40 m</t>
  </si>
  <si>
    <t>2.9.4. Caixas de Drenagem em alvenaria</t>
  </si>
  <si>
    <t>2.10. CERCAS E PORTÕES</t>
  </si>
  <si>
    <t>2.10.1. Cerca tipo Alambrado H=2,00m, incl. Portões</t>
  </si>
  <si>
    <t>2.11. GRADE DE PROTEÇÃO (PISTAS AVI)</t>
  </si>
  <si>
    <t>2.11.1. GRADE METÁLICA H=0,80m</t>
  </si>
  <si>
    <t>TOTAL - 1 PRAÇA</t>
  </si>
  <si>
    <t>TOTAL -0 PRAÇAS</t>
  </si>
  <si>
    <t>CENTRO DE CONTROLE OPERACIONAL</t>
  </si>
  <si>
    <t>QUANTITATIVO PARA</t>
  </si>
  <si>
    <t>UNIDADES</t>
  </si>
  <si>
    <t>UNIDADES A CONSTRUIR</t>
  </si>
  <si>
    <t>Atividade / Serviço</t>
  </si>
  <si>
    <t>Und</t>
  </si>
  <si>
    <t>Quantidade</t>
  </si>
  <si>
    <t>Custo
Unitário</t>
  </si>
  <si>
    <t>Preço
Unitário</t>
  </si>
  <si>
    <t>Concreto betuminoso usinado a quente comm fornecimento do material betuminoso (Faixa C) (Execução, incluindo fornecimento dos agregados)</t>
  </si>
  <si>
    <t>Tratamento Superficial Triplo com emulsão BC</t>
  </si>
  <si>
    <t>Placa de aço carbono com película refletiva grau diamante tipo X da ABNT Marcador de Perigo 0,30 x 0,90 m (Execução, incluindo fornecimento e transporte de todos materiais, inclusive poste de sustentação)</t>
  </si>
  <si>
    <t>DIVERSOS</t>
  </si>
  <si>
    <t>POSTOS PRF CONSTRUÇÃO</t>
  </si>
  <si>
    <t>QUANTITATIVOS PARA</t>
  </si>
  <si>
    <t xml:space="preserve">EDIFICAÇÃO </t>
  </si>
  <si>
    <t>42953</t>
  </si>
  <si>
    <t>GUIA PRE-FABRICADA CONCRETO FCK 20 MPA</t>
  </si>
  <si>
    <t>42905</t>
  </si>
  <si>
    <t>SARJETA DE CONCRETO FCK 20 MPA</t>
  </si>
  <si>
    <t>42606</t>
  </si>
  <si>
    <t>PASSEIO DE CONCRETO FCK 15MPA</t>
  </si>
  <si>
    <t>42112</t>
  </si>
  <si>
    <t>MELH/PREPARO SUB-LEITO - 100% EI</t>
  </si>
  <si>
    <t>42250</t>
  </si>
  <si>
    <t>SUB-BASE OU BASE BRITA GRAD. SIMPLES</t>
  </si>
  <si>
    <t>IMPRIMADURA BETUMINOSA IMPERMEABILIZANTE</t>
  </si>
  <si>
    <t>IMPRIMADURA BETUMINOSA LIGANTE</t>
  </si>
  <si>
    <t>TRATAMENTO SUPERFICIAL TRIPLO</t>
  </si>
  <si>
    <t>41894</t>
  </si>
  <si>
    <t>BRITAPARA FORRO ÁREA VEÍCULOS APRENDIDOS</t>
  </si>
  <si>
    <t>SINALIZ.HOR. C/TERMOPLAST.SPRAY-C/VISIB.</t>
  </si>
  <si>
    <t>Forn. e colocação de tacha reflet. Bidirecional</t>
  </si>
  <si>
    <t>COLOCACAO DE PLACA EM SUPORTE DE MADEIRA OU METALICO - SOLO</t>
  </si>
  <si>
    <t>PLANTIO DE GRAMA PROC.HIDROSSEMEADURA</t>
  </si>
  <si>
    <t>CERCA DE FECHAMENTO C/TELA PVC E ARAME FARPADO, DES. SP-088-032.051-020-</t>
  </si>
  <si>
    <t>TOTAL PARA 1 UNIDADE</t>
  </si>
  <si>
    <t>TOTAL PARA 0 UNIDADES</t>
  </si>
  <si>
    <t>POSTOS PRE REFORMA</t>
  </si>
  <si>
    <t>UNIDADES A REFORMAR</t>
  </si>
  <si>
    <t>RECUPERAÇÃO E REFORMA</t>
  </si>
  <si>
    <t>PRE</t>
  </si>
  <si>
    <t>SISTEMA DE ATENDIMENTO AOS USUÁRIOS - BASES OPERACIONAIS</t>
  </si>
  <si>
    <t>SISTEMA DE PESAGEM</t>
  </si>
  <si>
    <t>PLANILHA DE QUANTIDADE E PREÇOS - BASES DE PESAGEM MÓVEIS</t>
  </si>
  <si>
    <t>ESTRUTURA</t>
  </si>
  <si>
    <t>EDIFICAÇÃO DE APOIO</t>
  </si>
  <si>
    <t>BASE</t>
  </si>
  <si>
    <t>BASES</t>
  </si>
  <si>
    <t>PLANILHA DE QUANTIDADE E PREÇOS - POSTO DE PESAGEM FIXA</t>
  </si>
  <si>
    <t>UNIDADES A CONSTRUIR/REFORMAR</t>
  </si>
  <si>
    <t>42000</t>
  </si>
  <si>
    <t>LIMP.TERRENO C/DEST.ARV.PERIMETRO&lt;=78CM</t>
  </si>
  <si>
    <t>42027</t>
  </si>
  <si>
    <t>ESCAVACAO E CARGA DE MATERIAL DE 1/2A CATEGORIA</t>
  </si>
  <si>
    <t>42510</t>
  </si>
  <si>
    <t>COMPACTACAO DE ATERRO MAIOR/IGUAL 95% PS</t>
  </si>
  <si>
    <t>EDIFICAÇÃO DA BALANÇA</t>
  </si>
  <si>
    <t>EDIFICAÇÃO ADMINISTRAÇÃO</t>
  </si>
  <si>
    <t>PÁTIO DE MANOBRA</t>
  </si>
  <si>
    <t>CONCRETO</t>
  </si>
  <si>
    <t>42328</t>
  </si>
  <si>
    <t>BALANÇA</t>
  </si>
  <si>
    <t>42371</t>
  </si>
  <si>
    <t xml:space="preserve">FORMA PLANA PARA CONCRETO </t>
  </si>
  <si>
    <t>41582</t>
  </si>
  <si>
    <t>BARRA DE ACO CA-50</t>
  </si>
  <si>
    <t>BINDER</t>
  </si>
  <si>
    <t>CBUQ</t>
  </si>
  <si>
    <t>TACHÃO BIDIRECIONAL</t>
  </si>
  <si>
    <t>SEDE DA CONCESSIONÁRIA</t>
  </si>
  <si>
    <t>INÍCIO DA OPERAÇÃO</t>
  </si>
  <si>
    <t>SEDE</t>
  </si>
  <si>
    <t>EDIFICAÇÃO DER</t>
  </si>
  <si>
    <t>TOTAL  CAPEX  EDIFICAÇÕES E INSTALAÇÕES OPERACIONAIS</t>
  </si>
  <si>
    <t>Combust.
e Lubr.</t>
  </si>
  <si>
    <t>Autonomia
km/l</t>
  </si>
  <si>
    <t>km/mês</t>
  </si>
  <si>
    <t>IPVA
%</t>
  </si>
  <si>
    <t>Seguro
%</t>
  </si>
  <si>
    <t>PERMANÊNCIA</t>
  </si>
  <si>
    <t>TOTAL
R$ 1.000</t>
  </si>
  <si>
    <t>MANUTENÇÃO</t>
  </si>
  <si>
    <t>COMBUSTÍVEIS E LUBRIFICANTES, IPVA E SEGUROS</t>
  </si>
  <si>
    <t>CONSERVAÇÃO DOS EQUIPAMENTOS E SISTEMAS</t>
  </si>
  <si>
    <t>GESTÃO DA QUALIDADE</t>
  </si>
  <si>
    <t>SISTEMA ISO 9001</t>
  </si>
  <si>
    <t>SISTEMA DE RECEPÇÃO DE SINAL CFTV ( Praças de Pedágio)</t>
  </si>
  <si>
    <t>SISTEMA DE GERENCIAMENTO OPERACIONAL (SGO)</t>
  </si>
  <si>
    <t>SISTEMA DE INFORMAÇÕES GEOGRÁFICAS (SIG)</t>
  </si>
  <si>
    <t>CONJUNTO MÓVEIS E UTENSÍLIOS PARA CCO</t>
  </si>
  <si>
    <t>CONJUNTO MÓVEIS E UTENSÍLIOS PARA SEDE</t>
  </si>
  <si>
    <t>BASES OPERACIONAIS - BSO</t>
  </si>
  <si>
    <t>CONJUNTO MÓVEIS E UTENSÍLIOS PARA BSO</t>
  </si>
  <si>
    <t>VEÍCULOS E EQUIPAMENTOS DA ADMINISTRAÇÃO</t>
  </si>
  <si>
    <t>GRAN SIENNA</t>
  </si>
  <si>
    <t>G</t>
  </si>
  <si>
    <t>PALIO 1.0</t>
  </si>
  <si>
    <t>CPU COMPLETA</t>
  </si>
  <si>
    <t>ESTAÇÃO DE TRABALHO</t>
  </si>
  <si>
    <t>CONTROLE DE TRÁFEGO</t>
  </si>
  <si>
    <t>EQUIPAMENTOS DE DETECÇÃO E SENSORIAMENTO DE PISTAS</t>
  </si>
  <si>
    <t>UNIDADE DE DETECÇÃO E SENSORIAMENTO DE TRÁFEGO</t>
  </si>
  <si>
    <t>Painéis de Mensagens Variáveis – Fixos</t>
  </si>
  <si>
    <t>PAINEIS DE MENSAGENS VARIÁVEIS FIXOS</t>
  </si>
  <si>
    <t>PAINÉIS DE MENSAGENS VARIÁVEIS - MÓVEIS</t>
  </si>
  <si>
    <t>PAINÉIS DE MENSAGENS VARIÁVEIS MÓVEIS</t>
  </si>
  <si>
    <t>DOBLÔ</t>
  </si>
  <si>
    <t>Sistema de Monitoração Ambiental</t>
  </si>
  <si>
    <t>ESTAÇÃO METEOROLÓGICA</t>
  </si>
  <si>
    <t>ESTAÇÃO DE MONITORAMENTO AMBIENTAL</t>
  </si>
  <si>
    <t>SISTEMA DE INSPEÇÃO DE TRÁFEGO</t>
  </si>
  <si>
    <t>DETECTORES DE ALTURA</t>
  </si>
  <si>
    <t>DETECTOR DE ALTURA</t>
  </si>
  <si>
    <t>SISTEMA DE CONTROLE DE VELOCIDADE</t>
  </si>
  <si>
    <t>RADARES FIXOS</t>
  </si>
  <si>
    <t>RADARES MÓVEIS</t>
  </si>
  <si>
    <t>ATENDIMENTO AO USUÁRIO</t>
  </si>
  <si>
    <t>ATENDIMENTO MÉDICO DE EMERGÊNCIA</t>
  </si>
  <si>
    <t>AMBULÂNCIA TIPO C</t>
  </si>
  <si>
    <t>D</t>
  </si>
  <si>
    <t>SOCORRO MECÂNICO</t>
  </si>
  <si>
    <t>GUINCHO LEVE</t>
  </si>
  <si>
    <t>GUINCHO PESADO</t>
  </si>
  <si>
    <t>COMBATE A INCÊNCIOS E APREESÃO DE ANIMAIS</t>
  </si>
  <si>
    <t>PIPA 8.000 L</t>
  </si>
  <si>
    <t>CAMINHÃO BOIADEIRO</t>
  </si>
  <si>
    <t>SISTEMAS DE RECLAMAÇÕES E SUGESTÕES</t>
  </si>
  <si>
    <t>SISTEMA 0800</t>
  </si>
  <si>
    <t>INTEGRAÇÃO DO SISTEMA</t>
  </si>
  <si>
    <t>ARRECADAÇÃO</t>
  </si>
  <si>
    <t>CONJUNTO DE GESTÃO DE PRAÇA (EQUIPAMENTOS E SISTEMAS)</t>
  </si>
  <si>
    <t>CONJUNTO DE CABINES PARA PAGAMENTO MANUAL</t>
  </si>
  <si>
    <t xml:space="preserve">CONJUNTO DE CABINES PARA PAGAMENTO MISTA </t>
  </si>
  <si>
    <t>CONJUNTO DE CABINES PARA PAGAMENTO AUTOMÁTICO</t>
  </si>
  <si>
    <t>CONJUNTO DE PISTA AUXILIAR LIVRE</t>
  </si>
  <si>
    <t>CONJUNTO DE PISTAS REVERSÍVEIS</t>
  </si>
  <si>
    <t>CIRCUITO INTERNO DE TV</t>
  </si>
  <si>
    <t>GRUPO GERADOR</t>
  </si>
  <si>
    <t>CONJUNTO MÓVEIS E UTENSÍLIOS PARA PRAÇA DE PEDÁGIO</t>
  </si>
  <si>
    <t>SISTEMA DE FREE FOLW</t>
  </si>
  <si>
    <t>PÓRTICOS FF COM SISTEMA OPERANDO</t>
  </si>
  <si>
    <t>SISTEMA DE COMUNICAÇÃO</t>
  </si>
  <si>
    <t>SISTEMA DE COMUNICAÇÕES</t>
  </si>
  <si>
    <t>RADIOCOMUNICAÇÕES</t>
  </si>
  <si>
    <t>UNIDADES FIXAS</t>
  </si>
  <si>
    <t>UNIDADES MÓVEIS</t>
  </si>
  <si>
    <t>UNIDADES PORTÁTEIS</t>
  </si>
  <si>
    <t>REPETIDORAS+ENLACES(CONEXÃO ENTRE REPETIDORAS)</t>
  </si>
  <si>
    <t>Pesagem Fixa</t>
  </si>
  <si>
    <t>CONJUNTO COMPLETO DE BALANÇAS DE PRECISÃO</t>
  </si>
  <si>
    <t>BALANÇAS PRÉ-SELEÇÃO</t>
  </si>
  <si>
    <t>PESAGEM MÓVEL</t>
  </si>
  <si>
    <t>CONJUNTO COMPLETO DE BALANÇAS MÓVEIS</t>
  </si>
  <si>
    <t>GUARDA E VIGILÂNCIA PATRIMOMIAL</t>
  </si>
  <si>
    <t>R$ 1.000</t>
  </si>
  <si>
    <t>COMBUSTÍVEL + 20% LUBRIFICANTES</t>
  </si>
  <si>
    <t>R$/l</t>
  </si>
  <si>
    <t>ALCOOL</t>
  </si>
  <si>
    <t>DIESEL</t>
  </si>
  <si>
    <t>GASOLINA</t>
  </si>
  <si>
    <t>SISTEMA</t>
  </si>
  <si>
    <t>1</t>
  </si>
  <si>
    <t>2</t>
  </si>
  <si>
    <t>EQUIPAMENTOS, VEÍCULOS E SISTEMAS</t>
  </si>
  <si>
    <t>V. Aquis
R$</t>
  </si>
  <si>
    <t>V. Repos.
R$</t>
  </si>
  <si>
    <t>V. Útil
(anos)</t>
  </si>
  <si>
    <t>AQUISIÇÕES</t>
  </si>
  <si>
    <t>REPOSIÇÕES</t>
  </si>
  <si>
    <t>AQUIS</t>
  </si>
  <si>
    <t>REPOS.</t>
  </si>
  <si>
    <t>8.1.1</t>
  </si>
  <si>
    <t>V.Tot</t>
  </si>
  <si>
    <t>V.Unit</t>
  </si>
  <si>
    <t>8.3.2</t>
  </si>
  <si>
    <t>CONJUNTO DE MÓVEIS E UTENSÍLIOS CCO</t>
  </si>
  <si>
    <t>8.4.2</t>
  </si>
  <si>
    <t>8.5.2</t>
  </si>
  <si>
    <t>8.6.1</t>
  </si>
  <si>
    <t>8.7</t>
  </si>
  <si>
    <t>8.7.1.1</t>
  </si>
  <si>
    <t>8.7.2.1</t>
  </si>
  <si>
    <t>8.7.3.1</t>
  </si>
  <si>
    <t>8.7.4.1</t>
  </si>
  <si>
    <t>8.7.5.1</t>
  </si>
  <si>
    <t>8.7.6.1</t>
  </si>
  <si>
    <t>8.7.7.1</t>
  </si>
  <si>
    <t>8.7.8.1</t>
  </si>
  <si>
    <t>8.8</t>
  </si>
  <si>
    <t>8.8.1.1.1</t>
  </si>
  <si>
    <t>Sprinter Amb. tipo D</t>
  </si>
  <si>
    <t>8.8.1.2.1</t>
  </si>
  <si>
    <t>8.8.1.3.1</t>
  </si>
  <si>
    <t>8.8.2.1</t>
  </si>
  <si>
    <t>8.8.3.1</t>
  </si>
  <si>
    <t>8.9.2</t>
  </si>
  <si>
    <t>8.10</t>
  </si>
  <si>
    <t>SISTEMA DE FREE FLOW</t>
  </si>
  <si>
    <t>CONJUNTO PÓRTICO FREE FLOW COM SISTEMA</t>
  </si>
  <si>
    <t>8.10.1.1</t>
  </si>
  <si>
    <t>8.10.2.1</t>
  </si>
  <si>
    <t>8.10.3.1</t>
  </si>
  <si>
    <t>8.10.4.1</t>
  </si>
  <si>
    <t>8.11</t>
  </si>
  <si>
    <t>8.11.1.2</t>
  </si>
  <si>
    <t>8.11.2.2</t>
  </si>
  <si>
    <t>8.12.1</t>
  </si>
  <si>
    <t>TOTAL R$</t>
  </si>
  <si>
    <t>invest +reinv.</t>
  </si>
  <si>
    <t>2 anos</t>
  </si>
  <si>
    <t>3 anos</t>
  </si>
  <si>
    <t>4 anos</t>
  </si>
  <si>
    <t>5 anos</t>
  </si>
  <si>
    <t>7 anos</t>
  </si>
  <si>
    <t>10 anos</t>
  </si>
  <si>
    <t>20 anos</t>
  </si>
  <si>
    <t>(a) invest +reinv.</t>
  </si>
  <si>
    <t>total</t>
  </si>
  <si>
    <t>(b) investimentos total</t>
  </si>
  <si>
    <t>(b-a) investimentos 30 anos total</t>
  </si>
  <si>
    <t>IPCA ==&gt;</t>
  </si>
  <si>
    <t>DISCRIMINAÇÃO</t>
  </si>
  <si>
    <t>CUSTO
AQUISIÇÃO</t>
  </si>
  <si>
    <t>%
RESIDUAL</t>
  </si>
  <si>
    <t>V.ÚTIL
(Anos)</t>
  </si>
  <si>
    <t>FATOR
MANUT</t>
  </si>
  <si>
    <t>MANUT
ANUAL</t>
  </si>
  <si>
    <t>FORNECEDOR</t>
  </si>
  <si>
    <t>VEÍCULOS OPERACIONAIS</t>
  </si>
  <si>
    <t>Veículos Específicos</t>
  </si>
  <si>
    <t>UNI-S0S</t>
  </si>
  <si>
    <t>SIERRA GUINCHOS</t>
  </si>
  <si>
    <t>STRADA</t>
  </si>
  <si>
    <t>FIORINO</t>
  </si>
  <si>
    <t>ELLEVO/PRESTUS</t>
  </si>
  <si>
    <t>incluso instalação</t>
  </si>
  <si>
    <t>BVQI</t>
  </si>
  <si>
    <t>incluso consultoria para implantação e certificação</t>
  </si>
  <si>
    <t>CENTRO DE CONTROLE OPERACIONAL - CCO</t>
  </si>
  <si>
    <t>PERKONS</t>
  </si>
  <si>
    <t>COMPSIS</t>
  </si>
  <si>
    <t>NOVATERRA</t>
  </si>
  <si>
    <t>INFORMÁTICA</t>
  </si>
  <si>
    <t>DELL</t>
  </si>
  <si>
    <t>6.3</t>
  </si>
  <si>
    <t>SITEMAS DE CONTROLE DE TRÁFEGO</t>
  </si>
  <si>
    <t>ENGEBRÁS</t>
  </si>
  <si>
    <t>Incluso consultoria para instalação</t>
  </si>
  <si>
    <t>FRAITECH</t>
  </si>
  <si>
    <t>6.4</t>
  </si>
  <si>
    <t>Incluso licenças, softwares, instalação, outros</t>
  </si>
  <si>
    <t>PERKONS + EMIVE</t>
  </si>
  <si>
    <t>GRUPO GERAFORTE</t>
  </si>
  <si>
    <t>SISTEMA FREE FLOW</t>
  </si>
  <si>
    <t>KAPISH</t>
  </si>
  <si>
    <t>6.5</t>
  </si>
  <si>
    <t>CONFIANÇA / TOLEDO</t>
  </si>
  <si>
    <t xml:space="preserve">Incluso consultoria para instalação </t>
  </si>
  <si>
    <t>6.6</t>
  </si>
  <si>
    <t>WRF</t>
  </si>
  <si>
    <t>Incluso telefonia operacional, site internet e sistema de telefonia celular</t>
  </si>
  <si>
    <t>SISTEMA DE RADIOCOMUNICAÇÃO</t>
  </si>
  <si>
    <t>MÓVEIS E UTENSÍLIOS</t>
  </si>
  <si>
    <t>BH MÓVEIS</t>
  </si>
  <si>
    <t>pedagio</t>
  </si>
  <si>
    <t>multiplic</t>
  </si>
  <si>
    <t xml:space="preserve">TERCEIRIZAÇÃO DE SERVIÇOS </t>
  </si>
  <si>
    <t>EMPRESA</t>
  </si>
  <si>
    <t>UNIT/MÊS</t>
  </si>
  <si>
    <t>TOT MÊS</t>
  </si>
  <si>
    <t>TOT ANO</t>
  </si>
  <si>
    <t>Serviços de Atendimento Médico com Ambulâncias Tipo C</t>
  </si>
  <si>
    <t>UNI-SOS</t>
  </si>
  <si>
    <t>Serviços de Guincho Leve</t>
  </si>
  <si>
    <t>Serviços de Guincho Pesado</t>
  </si>
  <si>
    <t>Serviços de Pipa</t>
  </si>
  <si>
    <t>Serviços de Remoção Animais</t>
  </si>
  <si>
    <t>Serviços de Arrecadação de Pedágio Free Flow</t>
  </si>
  <si>
    <t>CW-FIRPO</t>
  </si>
  <si>
    <t>LOCAÇÃO DE EQUIPAMENTOS</t>
  </si>
  <si>
    <t>LOCALIZA</t>
  </si>
  <si>
    <t>EMC</t>
  </si>
  <si>
    <t>UNIDADES FIXAS DE RÁDIO</t>
  </si>
  <si>
    <t>DATRON</t>
  </si>
  <si>
    <t>UNIDADES MÓVEIS DE RÁDIO</t>
  </si>
  <si>
    <t>UNIDADES PORTÁTEIS DE RÁDIO</t>
  </si>
  <si>
    <t>ESTAÇÃO REPETIDORA</t>
  </si>
  <si>
    <t xml:space="preserve">Preço Unitário
</t>
  </si>
  <si>
    <t>INCC</t>
  </si>
  <si>
    <t>MULTIP.</t>
  </si>
  <si>
    <t>BDI ADOTADO=</t>
  </si>
  <si>
    <t>Concreto magro de cimento Portland, Fck &gt;= 10,0 Mpa (Execução, incluindo o fornecimento e transporte dos agregados)</t>
  </si>
  <si>
    <t xml:space="preserve"> Imprimação sem fornecimento do material betuminoso (Execução, incluindo transporte do material betuminoso dentro do canteiro de obras)</t>
  </si>
  <si>
    <t>Concreto betuminoso usinado a quente sem fornecimento do material betuminoso (Faixa C) (Execução, incluindo fornecimento dos agregados)</t>
  </si>
  <si>
    <t>Manutenção/recomposição de sinalização - pintura de faixa com tinta acrílica - espessura de 0,4 mm</t>
  </si>
  <si>
    <t>u</t>
  </si>
  <si>
    <t xml:space="preserve">Colocação de Placas  </t>
  </si>
  <si>
    <t>Limpeza de Placas</t>
  </si>
  <si>
    <t>Troca de Junta de dilatação</t>
  </si>
  <si>
    <t>Troca de Aparelho de apoio</t>
  </si>
  <si>
    <t>Limpeza de Bueiros</t>
  </si>
  <si>
    <t>Transporte de material de jazida</t>
  </si>
  <si>
    <t>há</t>
  </si>
  <si>
    <t>Roçada Mecanizada</t>
  </si>
  <si>
    <t>Plantio de arvores</t>
  </si>
  <si>
    <t>Recomposição de cercas</t>
  </si>
  <si>
    <t>Construção de cerca</t>
  </si>
  <si>
    <t>Revestimento Vegetal com Grama em Placas</t>
  </si>
  <si>
    <t>Reparo em placas de concreto</t>
  </si>
  <si>
    <t>Tranporte de material de conserva</t>
  </si>
  <si>
    <t>Pintura de ligação (Execução, incluindo fornecimento e transporte de material betuminoso)</t>
  </si>
  <si>
    <t>DEER MG</t>
  </si>
  <si>
    <t>PREART</t>
  </si>
  <si>
    <t>VILASA</t>
  </si>
  <si>
    <t>CONTORNO</t>
  </si>
  <si>
    <t>INFRATER</t>
  </si>
  <si>
    <t>Percentual sobre CUSTO DIRETO - CD</t>
  </si>
  <si>
    <t>Administração Central</t>
  </si>
  <si>
    <t>Risco</t>
  </si>
  <si>
    <t>Garantias</t>
  </si>
  <si>
    <t xml:space="preserve">TOTAL CD </t>
  </si>
  <si>
    <t>(A)</t>
  </si>
  <si>
    <t>Percentual DESPESAS FINANCEIRAS</t>
  </si>
  <si>
    <t>Financeiras</t>
  </si>
  <si>
    <t>(B)</t>
  </si>
  <si>
    <t>Percentual LUCRO BRUTO</t>
  </si>
  <si>
    <t>Lucro</t>
  </si>
  <si>
    <t>(C)</t>
  </si>
  <si>
    <t>Percentual de TRIBUTOS - PV</t>
  </si>
  <si>
    <t>COFINS</t>
  </si>
  <si>
    <t>PIS</t>
  </si>
  <si>
    <t>ISSQN - Variável</t>
  </si>
  <si>
    <t>TOTAL PV</t>
  </si>
  <si>
    <t>(D)</t>
  </si>
  <si>
    <t>(E)</t>
  </si>
  <si>
    <t>BDI (%)</t>
  </si>
  <si>
    <t>EDITAL</t>
  </si>
  <si>
    <t>BDI</t>
  </si>
  <si>
    <t>TI</t>
  </si>
  <si>
    <t>BDI MAT. ASFÁLTICO</t>
  </si>
  <si>
    <t>RECUPERAÇÃO</t>
  </si>
  <si>
    <t>Encargos Sociais</t>
  </si>
  <si>
    <t>AMPLI E MELHORIAS</t>
  </si>
  <si>
    <t>EQUIP E SIST</t>
  </si>
  <si>
    <t>PROGRAMA DE GESTÃO DO MEIO AMBIENTE - FASE DE OBRAS</t>
  </si>
  <si>
    <t>CRONOGRAMA  FASE  OBRAS</t>
  </si>
  <si>
    <t xml:space="preserve">Equipe Fixa </t>
  </si>
  <si>
    <t xml:space="preserve">Descrição </t>
  </si>
  <si>
    <t>Custo unitário</t>
  </si>
  <si>
    <t>Custo Total</t>
  </si>
  <si>
    <t>Frequência</t>
  </si>
  <si>
    <t xml:space="preserve">Prazo </t>
  </si>
  <si>
    <t>ano 1</t>
  </si>
  <si>
    <t>ano 2</t>
  </si>
  <si>
    <t>ano 3</t>
  </si>
  <si>
    <t>ano 4</t>
  </si>
  <si>
    <t>ano 5</t>
  </si>
  <si>
    <t>ano 6</t>
  </si>
  <si>
    <t>ano 7</t>
  </si>
  <si>
    <t>ano 8</t>
  </si>
  <si>
    <t>ano 9</t>
  </si>
  <si>
    <t>ano 10 ao 30</t>
  </si>
  <si>
    <t>Coordenador (profissional Meio Físico)</t>
  </si>
  <si>
    <t>Atividades a serem desenvolvidas pela equipe fixa:
- Programa de supervisão e gestão ambiental das obras
- Programa de apoio às Unidade de Conservação
- Programa de Comunicação social
- Programa de Educação Ambiental
- Programa de interferência com áreas minerárias
- Coordenação dos programas ambientais 
- Elaboração de relatórios periódicos</t>
  </si>
  <si>
    <t>Mensal</t>
  </si>
  <si>
    <t>96 meses</t>
  </si>
  <si>
    <t>1º ao 6º ano</t>
  </si>
  <si>
    <t>Profissional Meio Biótico</t>
  </si>
  <si>
    <t>Supervisor Ambiental</t>
  </si>
  <si>
    <t>Técnico Ambiental</t>
  </si>
  <si>
    <t>1 veículos</t>
  </si>
  <si>
    <t>Sub Total</t>
  </si>
  <si>
    <t>Programas Ambientais - Fase de Obras</t>
  </si>
  <si>
    <t>Programa de Supervisão e Gestão Ambiental das Obras</t>
  </si>
  <si>
    <t xml:space="preserve">Acompanhamento do atendimento às exigências ambientais legais durante as obras </t>
  </si>
  <si>
    <t>-</t>
  </si>
  <si>
    <t>Executado pela equipe fixa</t>
  </si>
  <si>
    <t>Programa de Monitoramento de Efluentes</t>
  </si>
  <si>
    <t>Aluguel, limpeza e destinação dos efluentes gerados em banheiros quimicos das obras</t>
  </si>
  <si>
    <t xml:space="preserve">Trimestral </t>
  </si>
  <si>
    <t xml:space="preserve">Laboratório Contratado </t>
  </si>
  <si>
    <t>Programa de Controle de Ruídos e emissões atmosféricas</t>
  </si>
  <si>
    <t>Medição de ruído durante as obras em 2 pontos</t>
  </si>
  <si>
    <t>Anual</t>
  </si>
  <si>
    <t>Programa de Controle da Supressão Vegetal</t>
  </si>
  <si>
    <t>Supressão de vegetação obedecendo  recomendações específicas, tais como demarcação da área a ser suprimida, sentido preferencial de corte,  utilização motosserra registrada no IBAMA  e eventual resgate de flora</t>
  </si>
  <si>
    <t>Mensal 
(durante supressão)</t>
  </si>
  <si>
    <t>48 meses</t>
  </si>
  <si>
    <t>24 meses em cada fase das obras intensas (1º ao 6º ano)</t>
  </si>
  <si>
    <t>Programa de Giamento de Resíduos Sólidos</t>
  </si>
  <si>
    <t>Serviços de Coleta, transporte, e destinação final de resíduos gerados durante as obras para locais devidamente licenciados</t>
  </si>
  <si>
    <t>Programa de Afugentamento e Resgate da Fauna</t>
  </si>
  <si>
    <t>Afugentamento da fauna e eventual resgate durante o período de supressão de vegetação</t>
  </si>
  <si>
    <t>Programas Sociais - Fase de Obras</t>
  </si>
  <si>
    <t>Programa de Comunicação Social</t>
  </si>
  <si>
    <t xml:space="preserve">Comunicação envolvendo moradores, usuários e colaboradores das empresas responsáveis pelas obras </t>
  </si>
  <si>
    <t xml:space="preserve">Quadrimestral </t>
  </si>
  <si>
    <t xml:space="preserve">Programa de Educação Ambiental </t>
  </si>
  <si>
    <t>Execução do Programa de educação ambiental, difundindo conhecimento e hábitos sustentáveis, voltado tanto para os trabalhadores quanto para a população atingida pela obra.</t>
  </si>
  <si>
    <t xml:space="preserve">Programa de Monitoramento Arqueológico </t>
  </si>
  <si>
    <t xml:space="preserve">Elaboração de Programa de Monitoramento e realização de prospecções antes do início das obras </t>
  </si>
  <si>
    <t>Antes do início das obras</t>
  </si>
  <si>
    <t>Verba única para cada fase de obras intensas (1º ao 6º ano)</t>
  </si>
  <si>
    <t xml:space="preserve">Monitoramento Arqueológico </t>
  </si>
  <si>
    <t>Acompanhamento das obras por arqueólogo</t>
  </si>
  <si>
    <t>2 meses</t>
  </si>
  <si>
    <t>Programa de interferência em áreas minerárias e acompanhamento de direitos minerários</t>
  </si>
  <si>
    <t>Identificação e quantificação das jazidas minerais na área de influência das obras de ampliação da capacidade das rodovias, e verificação das reais interferências causadas pelo empreendimento</t>
  </si>
  <si>
    <t>PROGRAMA DE GESTÃO DO MEIO AMBIENTE - FASE DE OPERAÇÃO</t>
  </si>
  <si>
    <t>Equipe da Concessionária</t>
  </si>
  <si>
    <t>Atividades a serem desenvolvidas pela equipe:
- Programa de supervisão e gestão ambiental 
- Programa de educação ambiental para os trabalhadores
- Programa de Comunicação Social
- Coordenação dos programas ambientais 
- Elaboração de relatórios periódicos</t>
  </si>
  <si>
    <t>Equipe Concessionária</t>
  </si>
  <si>
    <t>30 anos</t>
  </si>
  <si>
    <t>Considerados na Estrutura Admistrativa da Concessionária</t>
  </si>
  <si>
    <t>Programas Ambientais - Fase de Operação</t>
  </si>
  <si>
    <t xml:space="preserve">Programa de Supervisão e Gestão Ambiental </t>
  </si>
  <si>
    <t xml:space="preserve">Controle e monitoramento das drenagens da rodovia, dos resíduos lançados , do uso racional da água, de processos erosivos etc. </t>
  </si>
  <si>
    <t>Programa de Conservação e Manutenção da Rodovia</t>
  </si>
  <si>
    <t>Desobstrução de bueiros, limpeza de canaletas, coleta de resíduos etc.</t>
  </si>
  <si>
    <t>Diária</t>
  </si>
  <si>
    <t>Considerados na conserva de rotina</t>
  </si>
  <si>
    <t>Programa de Monitoramento de águas superficiais</t>
  </si>
  <si>
    <t>Coleta e análise de amostras de águas superficiais</t>
  </si>
  <si>
    <t xml:space="preserve">Programa de Manutenção de paisagismo </t>
  </si>
  <si>
    <t>Podas, replantio, limpezas superficiais em áreas vegetadas etc.</t>
  </si>
  <si>
    <t>Medição de ruído durante a operação em 2 pontos em caso de reclamação</t>
  </si>
  <si>
    <t>Eventual</t>
  </si>
  <si>
    <t>Programa de Controle de Erosão e Assoreamento</t>
  </si>
  <si>
    <t>Controle periódico e correção dos processos erosivos e assoreamento dos corpos d'água</t>
  </si>
  <si>
    <t>Semanal</t>
  </si>
  <si>
    <t>Inspeção semanal pela Equipe da Concessionária - Inspeção de Tráfego</t>
  </si>
  <si>
    <t>Programa de Monitoramento de atropelamento de fauna</t>
  </si>
  <si>
    <t>Controle sistemático dos animais atropelados e encaminhamento das carcaças para local adequado.</t>
  </si>
  <si>
    <t>Atendimento a Incidentes</t>
  </si>
  <si>
    <t>Programa de Recuperação de Passivos Ambientais causados pela Concessionária</t>
  </si>
  <si>
    <t>Recuperação dos passivos ambientais levantados, causados pela Concessionária</t>
  </si>
  <si>
    <t>60 meses</t>
  </si>
  <si>
    <t>Incluído nas Fases de Trabalhos Iniciais e Recuperação, Manutenção e Ampliação e Melhorias das Rodovias</t>
  </si>
  <si>
    <t>Programa de Recuperação de APPs</t>
  </si>
  <si>
    <t xml:space="preserve">Recuperação, plantio e monitoramento por 2 anos das áreas de preservação permanente </t>
  </si>
  <si>
    <t xml:space="preserve">Programa de Gerenciamento de Risco </t>
  </si>
  <si>
    <t>Resposta a acidentes envolvendo produtos perigosos ou vazamentos (deverá ser adquirido kit de atendimento à emergência)</t>
  </si>
  <si>
    <t xml:space="preserve">Eventual </t>
  </si>
  <si>
    <t>Em caso de acidente - Considerados 02 por ano</t>
  </si>
  <si>
    <t>Programas Sociais - Fase de Operação</t>
  </si>
  <si>
    <t>Comunicação com usuários, respostas às reclamações, atendimento ao usuário sobre temas ambientais etc.</t>
  </si>
  <si>
    <t>Programa de Educação Ambiental</t>
  </si>
  <si>
    <t>Execução do programa de educação ambiental voltado aos trabalhadores envolvidos na operação das Rodovias com o objetivo de desenvolver hábitos sustentáveis e estabelecer conscientização ambiental.</t>
  </si>
  <si>
    <t xml:space="preserve">Programa de Monitoramento do fluxo de pedestres </t>
  </si>
  <si>
    <t>Acompanhamento de pontos de travessia de pedestres, monitoramento de acidentes, propostas de melhorias</t>
  </si>
  <si>
    <t>Programa de proteção da faixa de domínio</t>
  </si>
  <si>
    <t>Manutenção das faixas de domínio devidamente desimpedidas,monitoramento de ocupações e usos irregulares</t>
  </si>
  <si>
    <t>Inspeção de Tráfego e Conserva de Rotina</t>
  </si>
  <si>
    <t>Programa de reassentamento de população</t>
  </si>
  <si>
    <t xml:space="preserve">Reassentamento involuntário de população de baixa renda e de ocupações irregulares </t>
  </si>
  <si>
    <t>Incluído nos Investimentos em Gestão Ambiental</t>
  </si>
  <si>
    <t>Incluído nas Fases de Trabalhos Iniciais (TI) e Recuperação das Rodovias</t>
  </si>
  <si>
    <t>OCUPAÇÕES IRREGULARES</t>
  </si>
  <si>
    <t>BARRACOS, BARRACÕES E BARRACAS</t>
  </si>
  <si>
    <t>Valor R$
Ago/2017</t>
  </si>
  <si>
    <t>Área considerada (m²)</t>
  </si>
  <si>
    <t>Indenização  por perdas nos lucros</t>
  </si>
  <si>
    <t>Valor unitário</t>
  </si>
  <si>
    <t>CUB para construção de galpões em JAN/2015 - MG</t>
  </si>
  <si>
    <t>RESIDÊNCIAS DE PADÃO BAIXO</t>
  </si>
  <si>
    <t>Valor R$
Ago/2016</t>
  </si>
  <si>
    <t>CUB para Residência Unifamiliar Popular  - MG</t>
  </si>
  <si>
    <t>PONRO COMERCIAL E COMERCIO NA RESIDÊNCIA</t>
  </si>
  <si>
    <t>PASSIVO</t>
  </si>
  <si>
    <t>TIPO DE PASSIVO</t>
  </si>
  <si>
    <t>VALOR</t>
  </si>
  <si>
    <t>Comércio</t>
  </si>
  <si>
    <t>Residências - padrão</t>
  </si>
  <si>
    <t>Comércio na residência</t>
  </si>
  <si>
    <t>Barraca(s) na pista (ocupada ou não)</t>
  </si>
  <si>
    <t xml:space="preserve">Total </t>
  </si>
  <si>
    <t>(*) CUB Custo Unitário Básico de Construção</t>
  </si>
  <si>
    <t>PROGRAMA DE REASSENTAMENTO</t>
  </si>
  <si>
    <t>QUADRO DE QUANTIDADES – RECONSTITUIÇÃO MEIO AMBIENTE</t>
  </si>
  <si>
    <r>
      <t>Rodovia:</t>
    </r>
    <r>
      <rPr>
        <sz val="8"/>
        <color theme="0"/>
        <rFont val="Arial"/>
        <family val="2"/>
      </rPr>
      <t xml:space="preserve"> Estadual               </t>
    </r>
    <r>
      <rPr>
        <b/>
        <sz val="8"/>
        <color theme="0"/>
        <rFont val="Arial"/>
        <family val="2"/>
      </rPr>
      <t xml:space="preserve">     Trecho</t>
    </r>
    <r>
      <rPr>
        <sz val="8"/>
        <color theme="0"/>
        <rFont val="Arial"/>
        <family val="2"/>
      </rPr>
      <t xml:space="preserve">: </t>
    </r>
    <r>
      <rPr>
        <b/>
        <sz val="8"/>
        <color theme="0"/>
        <rFont val="Arial"/>
        <family val="2"/>
      </rPr>
      <t>Montes Claros - BR-135 km 432,0 a km 537,4</t>
    </r>
    <r>
      <rPr>
        <sz val="8"/>
        <color theme="0"/>
        <rFont val="Arial"/>
        <family val="2"/>
      </rPr>
      <t xml:space="preserve">   </t>
    </r>
    <r>
      <rPr>
        <b/>
        <sz val="8"/>
        <color theme="0"/>
        <rFont val="Arial"/>
        <family val="2"/>
      </rPr>
      <t>Obra:</t>
    </r>
    <r>
      <rPr>
        <sz val="8"/>
        <color theme="0"/>
        <rFont val="Arial"/>
        <family val="2"/>
      </rPr>
      <t xml:space="preserve"> Meio Ambiente</t>
    </r>
  </si>
  <si>
    <t>CÓDIGO</t>
  </si>
  <si>
    <t>itam</t>
  </si>
  <si>
    <t>PREÇO UNITÁRIO</t>
  </si>
  <si>
    <t>PREÇO TOTAL</t>
  </si>
  <si>
    <t>7-91059-0000</t>
  </si>
  <si>
    <t>Estocagem da camada vegetal de áreas de empréstimos concentrados, empréstimos laterais, jazidas e bota-foras.</t>
  </si>
  <si>
    <t>7-92009-0000</t>
  </si>
  <si>
    <t>Reposição da camada vegetal de áreas de empréstimos concentrados, empréstimos laterais, jazidas e bota-foras.</t>
  </si>
  <si>
    <t>7-90068-0000</t>
  </si>
  <si>
    <t>Conformação das áreas de empréstimos, jazidas e passivos ambientais</t>
  </si>
  <si>
    <t>7-90068-1000</t>
  </si>
  <si>
    <t>Conformação e proteção dos locais de bota-fora</t>
  </si>
  <si>
    <t>Reposição de camada vegetal de áreas terraplenadas</t>
  </si>
  <si>
    <t>Transporte da camada vegetal (DMT 0 a 200m)</t>
  </si>
  <si>
    <r>
      <t>m</t>
    </r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>xkm</t>
    </r>
  </si>
  <si>
    <t>7-93413-3000</t>
  </si>
  <si>
    <t>Revestimento vegetal com hidrossemeadura (talude de corte e aterro, empréstimos concentrados e laterais, jazidas, bota-foras e passivos ambientais)</t>
  </si>
  <si>
    <t>Revestimento vegetal com semeadura manual de grama batatais (interseções)</t>
  </si>
  <si>
    <t>7-93003-3000</t>
  </si>
  <si>
    <t>Revestimento vegetal com semeadura manual (canteiro de obras)</t>
  </si>
  <si>
    <t>7-70000-1000</t>
  </si>
  <si>
    <t>Cerca de arame farpado com 4 fios e mourão de madeira (para recuperação de jazida)</t>
  </si>
  <si>
    <t>Revegetação por Espécies Arbóreas (empréstimos, jazidas, canteiro de obras e reabilitação de mata ciliar).</t>
  </si>
  <si>
    <t>Revegetação por Espécies Arbustivas (empréstimos, jazidas, canteiro de obras e reabilitação de mata ciliar).</t>
  </si>
  <si>
    <t>Rip-rap de solo vegetativo</t>
  </si>
  <si>
    <t xml:space="preserve"> = br 135 antigo com 105 km</t>
  </si>
  <si>
    <t xml:space="preserve"> = sistema 135 com 324 km</t>
  </si>
  <si>
    <t xml:space="preserve"> = ver anual para reconstituição meio ambiente</t>
  </si>
  <si>
    <t>Custo Unitário
DER MG OUT/23</t>
  </si>
  <si>
    <t>RO-43333</t>
  </si>
  <si>
    <t>RO-40249</t>
  </si>
  <si>
    <t>RO-42456</t>
  </si>
  <si>
    <t>RO-41558</t>
  </si>
  <si>
    <t>RO-41387</t>
  </si>
  <si>
    <t>RO-40989</t>
  </si>
  <si>
    <t>RO-40638</t>
  </si>
  <si>
    <t>RO-40654</t>
  </si>
  <si>
    <t>RO-42467</t>
  </si>
  <si>
    <t>RO-COB-TEL-040</t>
  </si>
  <si>
    <t>RO-41081</t>
  </si>
  <si>
    <t>RO-43859</t>
  </si>
  <si>
    <t>RO-41164</t>
  </si>
  <si>
    <t>RO-41177</t>
  </si>
  <si>
    <t>RO-41166</t>
  </si>
  <si>
    <t>RO-41093</t>
  </si>
  <si>
    <t>RO-41633</t>
  </si>
  <si>
    <t>RO-41230</t>
  </si>
  <si>
    <t>RO-42883</t>
  </si>
  <si>
    <t>RO-42884</t>
  </si>
  <si>
    <t>RO-41402</t>
  </si>
  <si>
    <t>RO-40272</t>
  </si>
  <si>
    <t>RO-40271</t>
  </si>
  <si>
    <t>RO-40270</t>
  </si>
  <si>
    <t>RO-41170</t>
  </si>
  <si>
    <t>RO-41368</t>
  </si>
  <si>
    <t>RO-42887</t>
  </si>
  <si>
    <t>RO-43226</t>
  </si>
  <si>
    <t>RO-41578</t>
  </si>
  <si>
    <t>RO-42874</t>
  </si>
  <si>
    <t>RO-41087</t>
  </si>
  <si>
    <t>RO-41292</t>
  </si>
  <si>
    <t>RO-41295</t>
  </si>
  <si>
    <t>RO-41279</t>
  </si>
  <si>
    <t>RO-99000</t>
  </si>
  <si>
    <t>RO-99001</t>
  </si>
  <si>
    <t>RO-99002</t>
  </si>
  <si>
    <t>RO-99003</t>
  </si>
  <si>
    <t>RO-99004</t>
  </si>
  <si>
    <t>RO-99005</t>
  </si>
  <si>
    <t>RO-55552</t>
  </si>
  <si>
    <t>RO-55553</t>
  </si>
  <si>
    <t>RO-42643</t>
  </si>
  <si>
    <t>RO-41326</t>
  </si>
  <si>
    <t>RO-41337</t>
  </si>
  <si>
    <t>RO-41339</t>
  </si>
  <si>
    <t>RO-41340</t>
  </si>
  <si>
    <t>RO-41344</t>
  </si>
  <si>
    <t>RO-41361</t>
  </si>
  <si>
    <t>RO-41363</t>
  </si>
  <si>
    <t>RO-41365</t>
  </si>
  <si>
    <t>RO-41369</t>
  </si>
  <si>
    <t>RO-41371</t>
  </si>
  <si>
    <t>RO-41373</t>
  </si>
  <si>
    <t>RO-41376</t>
  </si>
  <si>
    <t>RO-41297</t>
  </si>
  <si>
    <t>TABELA</t>
  </si>
  <si>
    <t>VR 17</t>
  </si>
  <si>
    <t>RO-40151</t>
  </si>
  <si>
    <t>Caixa coletora de sarjeta - CCS 01  - com grelha de concreto - TCC 01 - AC/BC</t>
  </si>
  <si>
    <t>Concreto betuminoso usinado a quente COM fornecimento do material betuminoso (Faixa C) (Execução, incluindo fornecimento dos agregados)</t>
  </si>
  <si>
    <t>RO-14020</t>
  </si>
  <si>
    <t>Limpeza, serragem e enchimento de fissuras niveladas com abertura entre 0,4m e 1,0 mm e profundidade de 25mm em pavimento de concreo com CAP</t>
  </si>
  <si>
    <t>RO-51229</t>
  </si>
  <si>
    <t>RO-41334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</si>
</sst>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3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&quot;R$&quot;* #,##0_-;\-&quot;R$&quot;* #,##0_-;_-&quot;R$&quot;* &quot;-&quot;_-;_-@_-"/>
    <numFmt numFmtId="165" formatCode="_(* #,##0.00_);_(* \(#,##0.00\);_(* &quot;-&quot;??_);_(@_)"/>
    <numFmt numFmtId="166" formatCode=";;;"/>
    <numFmt numFmtId="167" formatCode="#.##000"/>
    <numFmt numFmtId="168" formatCode="&quot;Cr$&quot;#,##0.00_);\(&quot;Cr$&quot;#,##0.00\)"/>
    <numFmt numFmtId="169" formatCode="_(&quot;Cr$&quot;* #,##0_);_(&quot;Cr$&quot;* \(#,##0\);_(&quot;Cr$&quot;* &quot;-&quot;_);_(@_)"/>
    <numFmt numFmtId="170" formatCode="%#,#00"/>
    <numFmt numFmtId="171" formatCode="#,#00"/>
    <numFmt numFmtId="172" formatCode="#.##0,"/>
    <numFmt numFmtId="173" formatCode="\$#,"/>
    <numFmt numFmtId="174" formatCode="_(&quot;R$&quot;* #,##0.00_);_(&quot;R$&quot;* \(#,##0.00\);_(&quot;R$&quot;* &quot;-&quot;??_);_(@_)"/>
    <numFmt numFmtId="175" formatCode="_(* #,##0.0000_);_(* \(#,##0.0000\);_(* &quot;-&quot;??_);_(@_)"/>
    <numFmt numFmtId="176" formatCode="General_)"/>
    <numFmt numFmtId="177" formatCode="#\ ###\ ###\ ##0\ "/>
    <numFmt numFmtId="178" formatCode="_(* #,##0_);_(* \(#,##0\);_(* &quot;-&quot;_);_(@_)"/>
    <numFmt numFmtId="179" formatCode="_([$€]* #,##0.00_);_([$€]* \(#,##0.00\);_([$€]* &quot;-&quot;??_);_(@_)"/>
    <numFmt numFmtId="180" formatCode="_(#,##0_);\(#,##0\)"/>
    <numFmt numFmtId="181" formatCode="#,##0&quot; m3&quot;"/>
    <numFmt numFmtId="182" formatCode="#,##0;\(0,000\)"/>
    <numFmt numFmtId="183" formatCode="_(* #,##0\x_);_(* \(#,##0\x\);_(* &quot;0x&quot;_);_(@_)"/>
    <numFmt numFmtId="184" formatCode="_(* #,##0.0\x_);_(* \(#,##0.0\x\);_(* &quot;0,0x&quot;_);_(@_)"/>
    <numFmt numFmtId="185" formatCode="_(* #,##0.00\x_);_(* \(#,##0.00\x\);_(* &quot;0,00x&quot;_);_(@_)"/>
    <numFmt numFmtId="186" formatCode="_(* #,##0_);_(* \(#,##0\);_(* &quot;0&quot;_);_(@_)"/>
    <numFmt numFmtId="187" formatCode="_(* #,##0.0_);_(* \(#,##0.0\);_(* &quot;0,0&quot;_);_(@_)"/>
    <numFmt numFmtId="188" formatCode="_(* #,##0.00_);_(* \(#,##0.00\);_(* &quot;0,00&quot;_);_(@_)"/>
    <numFmt numFmtId="189" formatCode="_(* #,##0%_);_(* \(#,##0%\);_(* &quot;0%&quot;??_);_(@_)"/>
    <numFmt numFmtId="190" formatCode="_(* #,##0.0%_);_(* \(#,##0.0%\);_(* &quot;0,0%&quot;_);_(@_)"/>
    <numFmt numFmtId="191" formatCode="_(* #,##0.00%_);_(* \(#,##0.00%\);_(* &quot;0,00%&quot;??_);_(@_)"/>
    <numFmt numFmtId="192" formatCode="0\+000"/>
    <numFmt numFmtId="193" formatCode="#,##0.0000"/>
    <numFmt numFmtId="194" formatCode="0.000000"/>
    <numFmt numFmtId="195" formatCode="#,##0.0"/>
    <numFmt numFmtId="196" formatCode="_(* #,##0.0000000_);_(* \(#,##0.0000000\);_(* &quot;-&quot;??_);_(@_)"/>
    <numFmt numFmtId="197" formatCode="#,##0_ ;\-#,##0\ "/>
    <numFmt numFmtId="198" formatCode="0.00000%"/>
    <numFmt numFmtId="199" formatCode="&quot;R$&quot;\ #,##0.00"/>
    <numFmt numFmtId="200" formatCode="_([$$-409]* #,##0.00000_);_([$$-409]* \(#,##0.00000\);_([$$-409]* &quot;-&quot;_);_(@_)"/>
    <numFmt numFmtId="201" formatCode="&quot;R$ &quot;#,##0.00_);[Red]\(&quot;R$ &quot;#,##0.00\)"/>
    <numFmt numFmtId="202" formatCode="_(&quot;R$&quot;* #,##0_);_(&quot;R$&quot;* \(#,##0\);_(&quot;R$&quot;* &quot;-&quot;_);_(@_)"/>
    <numFmt numFmtId="203" formatCode="_(* #,##0.000_);_(* \(#,##0.000\);_(* &quot;-&quot;??_);_(@_)"/>
    <numFmt numFmtId="204" formatCode="&quot;R$ &quot;#,##0_);\(&quot;R$ &quot;#,##0\)"/>
    <numFmt numFmtId="205" formatCode="&quot;$&quot;#,##0_);\(&quot;$&quot;#,##0\)"/>
    <numFmt numFmtId="206" formatCode="_([$€]\ * #,##0.00_);_([$€]\ * \(#,##0.00\);_([$€]\ * &quot;-&quot;??_);_(@_)"/>
    <numFmt numFmtId="207" formatCode="0.0_)\%;\(0.0\)\%;0.0_)\%;@_)_%"/>
    <numFmt numFmtId="208" formatCode="#,##0.0_)_%;\(#,##0.0\)_%;0.0_)_%;@_)_%"/>
    <numFmt numFmtId="209" formatCode="#,##0.0_);\(#,##0.0\);#,##0.0_);@_)"/>
    <numFmt numFmtId="210" formatCode="&quot;$&quot;_(#,##0.00_);&quot;$&quot;\(#,##0.00\);&quot;$&quot;_(0.00_);@_)"/>
    <numFmt numFmtId="211" formatCode="#,##0.00_);\(#,##0.00\);0.00_);@_)"/>
    <numFmt numFmtId="212" formatCode="\€_(#,##0.00_);\€\(#,##0.00\);\€_(0.00_);@_)"/>
    <numFmt numFmtId="213" formatCode="#,##0_)\x;\(#,##0\)\x;0_)\x;@_)_x"/>
    <numFmt numFmtId="214" formatCode="#,##0_)_x;\(#,##0\)_x;0_)_x;@_)_x"/>
    <numFmt numFmtId="215" formatCode="0.00&quot;x&quot;"/>
    <numFmt numFmtId="216" formatCode="&quot;$&quot;#,##0.0_);\(&quot;$&quot;#,##0.0\)"/>
    <numFmt numFmtId="217" formatCode="0.00;[Red]0.00"/>
    <numFmt numFmtId="218" formatCode="mmmmddyyyy"/>
    <numFmt numFmtId="219" formatCode="00000000"/>
    <numFmt numFmtId="220" formatCode="yyyymmmmdd"/>
    <numFmt numFmtId="221" formatCode="_(* #,##0_);_(* \(#,##0\);_(* &quot; - &quot;_);_(@_)"/>
    <numFmt numFmtId="222" formatCode="#,##0.0_);\(#,##0.0\)"/>
    <numFmt numFmtId="223" formatCode="[$-416]mmm/yy;@"/>
    <numFmt numFmtId="224" formatCode="&quot;$&quot;#,##0.000_);[Red]\(&quot;$&quot;#,##0.000\)"/>
    <numFmt numFmtId="225" formatCode="#,##0.0000_);[Red]\(#,##0.0000\)"/>
    <numFmt numFmtId="226" formatCode="#,##0.0000000000000_);[Red]\(#,##0.0000000000000\)"/>
    <numFmt numFmtId="227" formatCode="m\-d\-yy"/>
    <numFmt numFmtId="228" formatCode="0.0000"/>
    <numFmt numFmtId="229" formatCode="0.0%;\(0.0%\)"/>
    <numFmt numFmtId="230" formatCode="0.0%_);\(0.0%\)"/>
    <numFmt numFmtId="231" formatCode="0.000000000"/>
    <numFmt numFmtId="232" formatCode="[Blue]0.0%;[Blue]\-0.0%"/>
    <numFmt numFmtId="233" formatCode="\£#,##0_);\(\£#,##0\)"/>
    <numFmt numFmtId="234" formatCode="0.0_);\(0.0\)"/>
    <numFmt numFmtId="235" formatCode="&quot;$&quot;#,##0.00_);[Red]\(&quot;$&quot;#,##0.00\)"/>
    <numFmt numFmtId="236" formatCode="#,##0.0000000000_);[Red]\(#,##0.0000000000\)"/>
    <numFmt numFmtId="237" formatCode="_([$€-2]* #,##0.00_);_([$€-2]* \(#,##0.00\);_([$€-2]* &quot;-&quot;??_)"/>
    <numFmt numFmtId="238" formatCode="#,##0.0_);[Red]\(#,##0.0\)"/>
    <numFmt numFmtId="239" formatCode="#,##0.000_);[Red]\(#,##0.000\)"/>
    <numFmt numFmtId="240" formatCode="#,##0_%_);\(#,##0\)_%;#,##0_%_);@_%_)"/>
    <numFmt numFmtId="241" formatCode="0.0\x"/>
    <numFmt numFmtId="242" formatCode="#,##0_%_);\(#,##0\)_%;**;@_%_)"/>
    <numFmt numFmtId="243" formatCode="[$$-409]#,##0.00"/>
    <numFmt numFmtId="244" formatCode="&quot;$&quot;#,##0.00;[Red]&quot;$&quot;#,##0.00"/>
    <numFmt numFmtId="245" formatCode="&quot;$&quot;#,##0_);[Red]\(&quot;$&quot;#,##0\)"/>
    <numFmt numFmtId="246" formatCode="&quot;R$&quot;#,##0_);[Red]\(&quot;R$&quot;#,##0\)"/>
    <numFmt numFmtId="247" formatCode="_-&quot;$&quot;* #,##0_-;\-&quot;$&quot;* #,##0_-;_-&quot;$&quot;* &quot;-&quot;_-;_-@_-"/>
    <numFmt numFmtId="248" formatCode="&quot;$&quot;#,##0.0_);[Red]\(&quot;$&quot;#,##0.0\)"/>
    <numFmt numFmtId="249" formatCode="&quot;$&quot;#,##0_%_);\(&quot;$&quot;#,##0\)_%;&quot;$&quot;#,##0_%_);@_%_)"/>
    <numFmt numFmtId="250" formatCode="_(&quot;$&quot;* #,##0.0_);_(&quot;$&quot;* \(#,##0.0\);_(&quot;$&quot;* &quot;-&quot;??_);_(@_)"/>
    <numFmt numFmtId="251" formatCode="#,##0.000_);\(#,##0.000\)"/>
    <numFmt numFmtId="252" formatCode="0_);\(0\)"/>
    <numFmt numFmtId="253" formatCode="_(&quot;R$ &quot;* #,##0.00_);_(&quot;R$ &quot;* \(#,##0.00\);_(&quot;R$ &quot;* &quot;-&quot;??_);_(@_)"/>
    <numFmt numFmtId="254" formatCode="_-&quot;$&quot;* #,##0.00_-;\-&quot;$&quot;* #,##0.00_-;_-&quot;$&quot;* &quot;-&quot;??_-;_-@_-"/>
    <numFmt numFmtId="255" formatCode="&quot;$&quot;#,##0\ ;\(&quot;$&quot;#,##0\)"/>
    <numFmt numFmtId="256" formatCode="&quot;$&quot;#,##0.00_)\ \ ;\(&quot;$&quot;#,##0.00\)\ \ "/>
    <numFmt numFmtId="257" formatCode="&quot;$&quot;#,##0.00_);\(&quot;$&quot;#,##0.00\)"/>
    <numFmt numFmtId="258" formatCode="0.0&quot;x&quot;"/>
    <numFmt numFmtId="259" formatCode="mmmm\ d\,\ yyyy"/>
    <numFmt numFmtId="260" formatCode="mmm\-d\-yyyy"/>
    <numFmt numFmtId="261" formatCode="mmm\-yyyy"/>
    <numFmt numFmtId="262" formatCode="m/d/yy_%_)"/>
    <numFmt numFmtId="263" formatCode="&quot;$&quot;#,##0.0\ \ \ ;\(&quot;$&quot;#,##0.0\)\ \ "/>
    <numFmt numFmtId="264" formatCode="0_%_);\(0\)_%;0_%_);@_%_)"/>
    <numFmt numFmtId="265" formatCode="#,##0.0000_);\(#,##0.0000\)"/>
    <numFmt numFmtId="266" formatCode="_(&quot;$&quot;* #,##0_);_(&quot;$&quot;* \(#,##0\);_(&quot;$&quot;* &quot;-&quot;_);_(@_)"/>
    <numFmt numFmtId="267" formatCode="_(* #,##0_);_(* \(#,##0\);_(* &quot;-&quot;??_);_(@_)"/>
    <numFmt numFmtId="268" formatCode="_(* #,##0.00_);_(* \(#,##0.00\);_(* \-??_);_(@_)"/>
    <numFmt numFmtId="269" formatCode="0\ \.0\ \.00"/>
    <numFmt numFmtId="270" formatCode="0\ \.0\ \.0"/>
    <numFmt numFmtId="271" formatCode="###0_);\(###0\)"/>
    <numFmt numFmtId="272" formatCode="00"/>
    <numFmt numFmtId="273" formatCode="\ #,##0\ \ \ ;\(#,##0\)\ \ ;\—\ \ \ \ "/>
    <numFmt numFmtId="274" formatCode="_ * #,##0_ ;_ * \-#,##0_ ;_ * &quot;-&quot;_ ;_ @_ "/>
    <numFmt numFmtId="275" formatCode="&quot;$&quot;#,##0"/>
    <numFmt numFmtId="276" formatCode="0.0\%_);\(0.0\%\);0.0\%_);@_%_)"/>
    <numFmt numFmtId="277" formatCode="_(* #,##0.00000_);_(* \(#,##0.00000\);_(* &quot;-&quot;??_);_(@_)"/>
    <numFmt numFmtId="278" formatCode="\X"/>
    <numFmt numFmtId="279" formatCode="#,##0.0000000_);\(#,##0.0000000\)"/>
    <numFmt numFmtId="280" formatCode="0.0%;[Red]\(0.0%\)"/>
    <numFmt numFmtId="281" formatCode="0.0%"/>
    <numFmt numFmtId="282" formatCode="&quot;$&quot;#,##0.0_)\ \ ;\(&quot;$&quot;#,##0.0\)\ \ "/>
    <numFmt numFmtId="283" formatCode="0.0\ \x\ \ \ \ ;&quot;NM      &quot;;\ 0.0\ \x\ \ \ \ "/>
    <numFmt numFmtId="284" formatCode="0.0%_)\ \ ;\(0.0%\)\ \ "/>
    <numFmt numFmtId="285" formatCode=";;"/>
    <numFmt numFmtId="286" formatCode="_-* #,##0_-;_-* #,##0\-;_-* &quot;-&quot;_-;_-@_-"/>
    <numFmt numFmtId="287" formatCode="_-* #,##0.00_-;_-* #,##0.00\-;_-* &quot;-&quot;??_-;_-@_-"/>
    <numFmt numFmtId="288" formatCode="_ * #,##0.00_ ;_ * \-#,##0.00_ ;_ * &quot;-&quot;??_ ;_ @_ "/>
    <numFmt numFmtId="289" formatCode="##\ ###\ ###\ ##0.00_);\(#,##0\)"/>
    <numFmt numFmtId="290" formatCode="_-* #,##0\ _F_-;\-* #,##0\ _F_-;_-* &quot;-&quot;\ _F_-;_-@_-"/>
    <numFmt numFmtId="291" formatCode="_-* #,##0.00\ _€_-;\-* #,##0.00\ _€_-;_-* &quot;-&quot;??\ _€_-;_-@_-"/>
    <numFmt numFmtId="292" formatCode="&quot;R$&quot;#,##0_);\(&quot;R$&quot;#,##0\)"/>
    <numFmt numFmtId="293" formatCode="#,##0&quot; pts&quot;"/>
    <numFmt numFmtId="294" formatCode="_(&quot;$&quot;* #,##0.00_);_(&quot;$&quot;* \(#,##0.00\);_(&quot;$&quot;* &quot;-&quot;??_);_(@_)"/>
    <numFmt numFmtId="295" formatCode="&quot;R$&quot;\ #,##0_);[Red]\(&quot;R$&quot;\ #,##0\)"/>
    <numFmt numFmtId="296" formatCode="_-* #,##0.00\ &quot;€&quot;_-;\-* #,##0.00\ &quot;€&quot;_-;_-* &quot;-&quot;??\ &quot;€&quot;_-;_-@_-"/>
    <numFmt numFmtId="297" formatCode="&quot;R$&quot;\ #,##0.00_);\(&quot;R$&quot;\ #,##0.00\)"/>
    <numFmt numFmtId="298" formatCode="_(&quot;Cr$&quot;* #,##0.00_);_(&quot;Cr$&quot;* \(#,##0.00\);_(&quot;Cr$&quot;* &quot;-&quot;??_);_(@_)"/>
    <numFmt numFmtId="299" formatCode="0.0\x_)_);&quot;NM&quot;_x_)_);0.0\x_)_);@_%_)"/>
    <numFmt numFmtId="300" formatCode="0.0_ &quot;  &quot;"/>
    <numFmt numFmtId="301" formatCode="0.000%"/>
    <numFmt numFmtId="302" formatCode="#,##0.0\x_);\(#,##0.0\x\)"/>
    <numFmt numFmtId="303" formatCode="#,##0.00\x_);\(#,##0.00\x\);\-_)"/>
    <numFmt numFmtId="304" formatCode="_(* #,##0.0_);_(* \(#,##0.0\);_(* &quot;-&quot;?_);_(@_)"/>
    <numFmt numFmtId="305" formatCode="#,##0.0_);[Red]\(#,##0.0\);&quot;N/A &quot;"/>
    <numFmt numFmtId="306" formatCode="0.00_)"/>
    <numFmt numFmtId="307" formatCode="0.0"/>
    <numFmt numFmtId="308" formatCode="0.00%;\(0.00%\)"/>
    <numFmt numFmtId="309" formatCode="#,##0.00;\(#,##0.00\)"/>
    <numFmt numFmtId="310" formatCode="_-[$R$-416]\ * #,##0.00_-;\-[$R$-416]\ * #,##0.00_-;_-[$R$-416]\ * &quot;-&quot;??_-;_-@_-"/>
    <numFmt numFmtId="311" formatCode="#,##0.0_)\ \ ;[Red]\(#,##0.0\)\ \ "/>
    <numFmt numFmtId="312" formatCode="#,##0.00_)\ \ ;\(#,##0.00\)\ \ "/>
    <numFmt numFmtId="313" formatCode="#,##0.0\x_);[Red]\(#,##0.0\x\);&quot;--  &quot;"/>
    <numFmt numFmtId="314" formatCode="0.0%&quot;NetPPE/sales&quot;"/>
    <numFmt numFmtId="315" formatCode="#,##0.0\ ;\(#,##0.0\)"/>
    <numFmt numFmtId="316" formatCode="0.0%&quot;NWI/Sls&quot;"/>
    <numFmt numFmtId="317" formatCode="#,##0.0\ \ \ ;\(#,##0.0\)\ \ "/>
    <numFmt numFmtId="318" formatCode="#,##0.000000_);\(#,##0.000000\)"/>
    <numFmt numFmtId="319" formatCode="&quot;$&quot;General"/>
    <numFmt numFmtId="320" formatCode="0.0%_%;\(0.0%\)_%"/>
    <numFmt numFmtId="321" formatCode="&quot;$&quot;#,##0.000"/>
    <numFmt numFmtId="322" formatCode="0.0_%"/>
    <numFmt numFmtId="323" formatCode="#,##0.0\%_);\(#,##0.0\%\);#,##0.0\%_);@_)"/>
    <numFmt numFmtId="324" formatCode="#,##0.0%_);\(#,##0.0%\)"/>
    <numFmt numFmtId="325" formatCode="0.0*100"/>
    <numFmt numFmtId="326" formatCode="0.0%&quot;Sales&quot;"/>
    <numFmt numFmtId="327" formatCode="\£#,##0.00_);[Red]\(\£#,##0.00\)"/>
    <numFmt numFmtId="328" formatCode="#,##0.00\x"/>
    <numFmt numFmtId="329" formatCode="#,##0.00_x"/>
    <numFmt numFmtId="330" formatCode="&quot;$&quot;#,##0.0;\(&quot;$&quot;#,##0.0\)"/>
    <numFmt numFmtId="331" formatCode="#,##0.00000000000000"/>
    <numFmt numFmtId="332" formatCode="#,##0.000%;\-#,##0.000%;\-\%"/>
    <numFmt numFmtId="333" formatCode="#,##0.000;\-#,##0.000;\-\ "/>
    <numFmt numFmtId="334" formatCode="#."/>
    <numFmt numFmtId="335" formatCode="#,"/>
    <numFmt numFmtId="336" formatCode="0.0_x"/>
    <numFmt numFmtId="337" formatCode="&quot;$&quot;#\ ?/?"/>
    <numFmt numFmtId="338" formatCode="0,000"/>
    <numFmt numFmtId="339" formatCode="0.0&quot;pp&quot;"/>
    <numFmt numFmtId="340" formatCode="&quot;TFCF: &quot;#,##0_);[Red]&quot;No! &quot;\(#,##0\)"/>
    <numFmt numFmtId="341" formatCode="#,##0.00_)\ \x;\(#,##0.00\)\ \x"/>
    <numFmt numFmtId="342" formatCode="#,##0."/>
    <numFmt numFmtId="343" formatCode="_-&quot;F&quot;\ * #,##0_-;_-&quot;F&quot;\ * #,##0\-;_-&quot;F&quot;\ * &quot;-&quot;_-;_-@_-"/>
    <numFmt numFmtId="344" formatCode="_-&quot;F&quot;\ * #,##0.00_-;_-&quot;F&quot;\ * #,##0.00\-;_-&quot;F&quot;\ * &quot;-&quot;??_-;_-@_-"/>
    <numFmt numFmtId="345" formatCode="&quot;$&quot;#,##0.000_);\(&quot;$&quot;#,##0.000\)"/>
    <numFmt numFmtId="346" formatCode="0\ \ ;\(0\)\ \ \ "/>
    <numFmt numFmtId="347" formatCode="0_)"/>
    <numFmt numFmtId="348" formatCode="0&quot; years&quot;_);&quot;nm&quot;_);0&quot; years&quot;;* @_)"/>
    <numFmt numFmtId="349" formatCode="\¥#,##0_);\(\¥#,##0\)"/>
    <numFmt numFmtId="350" formatCode="0.000"/>
    <numFmt numFmtId="351" formatCode="#,##0.000"/>
    <numFmt numFmtId="352" formatCode="#.00\ &quot;km&quot;"/>
    <numFmt numFmtId="353" formatCode="0.00\ &quot;m²&quot;"/>
    <numFmt numFmtId="354" formatCode="0.00\ &quot;m²/km&quot;"/>
    <numFmt numFmtId="355" formatCode="#,##0\ &quot;m&quot;"/>
    <numFmt numFmtId="356" formatCode="0\ &quot;un&quot;"/>
    <numFmt numFmtId="357" formatCode="#,##0\ &quot;m³&quot;"/>
    <numFmt numFmtId="358" formatCode="#,##0\ &quot;luminárias&quot;"/>
    <numFmt numFmtId="359" formatCode="0.00\ &quot;km&quot;"/>
    <numFmt numFmtId="360" formatCode="&quot;R$&quot;\ #,##0"/>
    <numFmt numFmtId="361" formatCode="_(* #,##0.0_);_(* \(#,##0.0\);_(* &quot;-&quot;??_);_(@_)"/>
    <numFmt numFmtId="362" formatCode="_-* #,##0.0000_-;\-* #,##0.0000_-;_-* &quot;-&quot;????_-;_-@_-"/>
    <numFmt numFmtId="363" formatCode="&quot;Ano&quot;\ 0"/>
  </numFmts>
  <fonts count="31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sz val="10"/>
      <name val="Courier"/>
      <family val="3"/>
    </font>
    <font>
      <sz val="8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b/>
      <sz val="10"/>
      <color indexed="8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"/>
      <color indexed="8"/>
      <name val="Courier"/>
      <family val="3"/>
    </font>
    <font>
      <sz val="10"/>
      <name val="MS Sans Serif"/>
      <family val="2"/>
    </font>
    <font>
      <sz val="1"/>
      <color indexed="8"/>
      <name val="Courier"/>
      <family val="3"/>
    </font>
    <font>
      <b/>
      <sz val="10"/>
      <name val="AvantGarde Md BT"/>
    </font>
    <font>
      <b/>
      <sz val="7"/>
      <name val="Arial"/>
      <family val="2"/>
    </font>
    <font>
      <sz val="12"/>
      <name val="Arial"/>
      <family val="2"/>
    </font>
    <font>
      <sz val="10"/>
      <color indexed="8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0"/>
      <name val="Arial"/>
      <family val="2"/>
    </font>
    <font>
      <b/>
      <sz val="9"/>
      <color theme="0"/>
      <name val="Arial"/>
      <family val="2"/>
    </font>
    <font>
      <sz val="8"/>
      <color theme="0"/>
      <name val="Arial"/>
      <family val="2"/>
    </font>
    <font>
      <sz val="10"/>
      <color theme="0"/>
      <name val="Arial"/>
      <family val="2"/>
    </font>
    <font>
      <sz val="9"/>
      <color theme="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Times New Roman"/>
      <family val="1"/>
      <charset val="204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8"/>
      <color indexed="1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sz val="12"/>
      <name val="Times New Roman"/>
      <family val="1"/>
    </font>
    <font>
      <sz val="12"/>
      <name val="Helv"/>
    </font>
    <font>
      <b/>
      <sz val="10"/>
      <color indexed="18"/>
      <name val="Arial"/>
      <family val="2"/>
    </font>
    <font>
      <sz val="8"/>
      <name val="SwitzerlandLight"/>
    </font>
    <font>
      <sz val="7"/>
      <name val="SwitzerlandLight"/>
    </font>
    <font>
      <sz val="7"/>
      <name val="Times New Roman"/>
      <family val="1"/>
    </font>
    <font>
      <sz val="12"/>
      <color indexed="24"/>
      <name val="Arial"/>
      <family val="2"/>
    </font>
    <font>
      <sz val="14"/>
      <color indexed="24"/>
      <name val="Arial"/>
      <family val="2"/>
    </font>
    <font>
      <sz val="10"/>
      <name val="Times New Roman"/>
      <family val="1"/>
    </font>
    <font>
      <b/>
      <sz val="12"/>
      <name val="Times New Roman"/>
      <family val="1"/>
    </font>
    <font>
      <b/>
      <sz val="12"/>
      <name val="Arial Narrow"/>
      <family val="2"/>
    </font>
    <font>
      <sz val="10"/>
      <color indexed="17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10"/>
      <color indexed="12"/>
      <name val="Arial"/>
      <family val="2"/>
    </font>
    <font>
      <b/>
      <sz val="10"/>
      <name val="Arial (PCL6)"/>
      <family val="2"/>
    </font>
    <font>
      <sz val="12"/>
      <name val="SWISS"/>
    </font>
    <font>
      <sz val="8"/>
      <name val="Times New Roman"/>
      <family val="1"/>
    </font>
    <font>
      <sz val="10"/>
      <color indexed="24"/>
      <name val="Arial"/>
      <family val="2"/>
    </font>
    <font>
      <b/>
      <sz val="10"/>
      <name val="MS Sans Serif"/>
      <family val="2"/>
    </font>
    <font>
      <b/>
      <sz val="14"/>
      <name val="Times New Roman"/>
      <family val="1"/>
    </font>
    <font>
      <sz val="8"/>
      <color theme="1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0"/>
      <color indexed="16"/>
      <name val="Arial"/>
      <family val="2"/>
    </font>
    <font>
      <sz val="10"/>
      <color indexed="62"/>
      <name val="Arial"/>
      <family val="2"/>
    </font>
    <font>
      <sz val="10"/>
      <color indexed="18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vertAlign val="superscript"/>
      <sz val="10"/>
      <name val="Arial"/>
      <family val="2"/>
    </font>
    <font>
      <sz val="8"/>
      <color theme="1"/>
      <name val="Calibri"/>
      <family val="2"/>
      <scheme val="minor"/>
    </font>
    <font>
      <sz val="11"/>
      <name val="Arial"/>
      <family val="2"/>
    </font>
    <font>
      <b/>
      <sz val="11"/>
      <color theme="0"/>
      <name val="Arial"/>
      <family val="2"/>
    </font>
    <font>
      <sz val="10"/>
      <color rgb="FF0070C0"/>
      <name val="Arial"/>
      <family val="2"/>
    </font>
    <font>
      <b/>
      <sz val="10"/>
      <color theme="5" tint="-0.499984740745262"/>
      <name val="Arial"/>
      <family val="2"/>
    </font>
    <font>
      <b/>
      <i/>
      <sz val="10"/>
      <color theme="0"/>
      <name val="Arial"/>
      <family val="2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indexed="12"/>
      <name val="Arial"/>
      <family val="2"/>
    </font>
    <font>
      <sz val="10"/>
      <name val="GillSans"/>
      <family val="2"/>
    </font>
    <font>
      <sz val="10"/>
      <name val="Geneva"/>
      <family val="2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sz val="9"/>
      <color indexed="8"/>
      <name val="Arial"/>
      <family val="2"/>
    </font>
    <font>
      <b/>
      <u val="singleAccounting"/>
      <sz val="10"/>
      <color indexed="18"/>
      <name val="Arial"/>
      <family val="2"/>
    </font>
    <font>
      <sz val="11"/>
      <name val="Times New Roman"/>
      <family val="1"/>
    </font>
    <font>
      <u/>
      <sz val="10"/>
      <name val="Helv"/>
    </font>
    <font>
      <sz val="8"/>
      <name val="Antique Olive"/>
      <family val="2"/>
    </font>
    <font>
      <sz val="8"/>
      <name val="Geneva"/>
    </font>
    <font>
      <sz val="12"/>
      <color indexed="8"/>
      <name val="Arial"/>
      <family val="2"/>
    </font>
    <font>
      <sz val="11"/>
      <name val="Century Gothic"/>
      <family val="2"/>
    </font>
    <font>
      <sz val="7"/>
      <name val="Helvetica"/>
      <family val="2"/>
    </font>
    <font>
      <sz val="12"/>
      <color indexed="9"/>
      <name val="Arial"/>
      <family val="2"/>
    </font>
    <font>
      <sz val="12"/>
      <name val="Tms Rmn"/>
    </font>
    <font>
      <sz val="8"/>
      <color indexed="12"/>
      <name val="Helv"/>
    </font>
    <font>
      <sz val="10"/>
      <name val="Geneva"/>
    </font>
    <font>
      <strike/>
      <sz val="8"/>
      <name val="Arial"/>
      <family val="2"/>
    </font>
    <font>
      <sz val="8"/>
      <name val="Geneva"/>
      <family val="2"/>
    </font>
    <font>
      <sz val="8"/>
      <color indexed="12"/>
      <name val="Tms Rmn"/>
    </font>
    <font>
      <sz val="8"/>
      <color indexed="12"/>
      <name val="Helvetica"/>
      <family val="2"/>
    </font>
    <font>
      <sz val="10"/>
      <color indexed="12"/>
      <name val="MS Sans Serif"/>
      <family val="2"/>
    </font>
    <font>
      <sz val="8"/>
      <name val="Palatino"/>
      <family val="1"/>
    </font>
    <font>
      <sz val="12"/>
      <color indexed="17"/>
      <name val="Arial"/>
      <family val="2"/>
    </font>
    <font>
      <b/>
      <i/>
      <sz val="12"/>
      <name val="Times New Roman"/>
      <family val="1"/>
    </font>
    <font>
      <u val="singleAccounting"/>
      <sz val="10"/>
      <name val="Arial"/>
      <family val="2"/>
    </font>
    <font>
      <b/>
      <sz val="16"/>
      <color indexed="24"/>
      <name val="Arial"/>
      <family val="2"/>
    </font>
    <font>
      <sz val="8"/>
      <name val="Times"/>
      <family val="1"/>
    </font>
    <font>
      <b/>
      <sz val="12"/>
      <color indexed="52"/>
      <name val="Arial"/>
      <family val="2"/>
    </font>
    <font>
      <b/>
      <sz val="12"/>
      <color indexed="9"/>
      <name val="Arial"/>
      <family val="2"/>
    </font>
    <font>
      <sz val="12"/>
      <color indexed="52"/>
      <name val="Arial"/>
      <family val="2"/>
    </font>
    <font>
      <b/>
      <u/>
      <sz val="8"/>
      <name val="Arial"/>
      <family val="2"/>
    </font>
    <font>
      <sz val="12"/>
      <color indexed="9"/>
      <name val="Calibri"/>
      <family val="2"/>
    </font>
    <font>
      <b/>
      <sz val="8"/>
      <name val="Times New Roman"/>
      <family val="1"/>
    </font>
    <font>
      <sz val="9"/>
      <name val="Comic Sans MS"/>
      <family val="4"/>
    </font>
    <font>
      <sz val="10"/>
      <name val="Palatino Linotype"/>
      <family val="1"/>
    </font>
    <font>
      <sz val="10"/>
      <name val="Helv"/>
    </font>
    <font>
      <sz val="10"/>
      <name val="BERNHARD"/>
    </font>
    <font>
      <sz val="10"/>
      <name val="Helvetica"/>
      <family val="2"/>
    </font>
    <font>
      <b/>
      <sz val="9"/>
      <name val="CG Times"/>
      <family val="1"/>
    </font>
    <font>
      <b/>
      <sz val="8"/>
      <color indexed="14"/>
      <name val="Arial"/>
      <family val="2"/>
    </font>
    <font>
      <sz val="10"/>
      <name val="Book Antiqua"/>
      <family val="1"/>
    </font>
    <font>
      <b/>
      <sz val="9"/>
      <color indexed="9"/>
      <name val="Arial"/>
      <family val="2"/>
    </font>
    <font>
      <sz val="8"/>
      <name val="Helv"/>
    </font>
    <font>
      <sz val="8"/>
      <color indexed="18"/>
      <name val="Times New Roman"/>
      <family val="1"/>
    </font>
    <font>
      <b/>
      <u val="double"/>
      <sz val="9"/>
      <name val="Arial"/>
      <family val="2"/>
    </font>
    <font>
      <u val="doubleAccounting"/>
      <sz val="10"/>
      <name val="Arial"/>
      <family val="2"/>
    </font>
    <font>
      <b/>
      <sz val="11"/>
      <color indexed="8"/>
      <name val="Calibri"/>
      <family val="2"/>
    </font>
    <font>
      <b/>
      <sz val="11"/>
      <color indexed="62"/>
      <name val="Calibri"/>
      <family val="2"/>
    </font>
    <font>
      <sz val="12"/>
      <color indexed="62"/>
      <name val="Arial"/>
      <family val="2"/>
    </font>
    <font>
      <sz val="11"/>
      <name val="Calibri"/>
      <family val="2"/>
    </font>
    <font>
      <sz val="10"/>
      <name val="Comic Sans MS"/>
      <family val="4"/>
    </font>
    <font>
      <sz val="12"/>
      <color indexed="12"/>
      <name val="Book Antiqua"/>
      <family val="1"/>
    </font>
    <font>
      <sz val="7"/>
      <name val="Arial"/>
      <family val="2"/>
    </font>
    <font>
      <u/>
      <sz val="10"/>
      <color indexed="61"/>
      <name val="Verdana"/>
      <family val="2"/>
    </font>
    <font>
      <sz val="10"/>
      <name val="Century Schoolbook"/>
      <family val="1"/>
    </font>
    <font>
      <sz val="7"/>
      <name val="Palatino"/>
      <family val="1"/>
    </font>
    <font>
      <b/>
      <sz val="8"/>
      <name val="MS Sans Serif"/>
      <family val="2"/>
    </font>
    <font>
      <b/>
      <sz val="48"/>
      <color indexed="12"/>
      <name val="Lucida Console"/>
      <family val="3"/>
    </font>
    <font>
      <b/>
      <u/>
      <sz val="16"/>
      <name val="Times New Roman"/>
      <family val="1"/>
    </font>
    <font>
      <sz val="6"/>
      <color indexed="16"/>
      <name val="Palatino"/>
      <family val="1"/>
    </font>
    <font>
      <b/>
      <sz val="16"/>
      <name val="Times New Roman"/>
      <family val="1"/>
    </font>
    <font>
      <sz val="18"/>
      <name val="Helvetica-Black"/>
    </font>
    <font>
      <i/>
      <sz val="14"/>
      <name val="Palatino"/>
      <family val="1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u/>
      <sz val="7.5"/>
      <color indexed="12"/>
      <name val="Arial"/>
      <family val="2"/>
    </font>
    <font>
      <u/>
      <sz val="10"/>
      <color indexed="36"/>
      <name val="Times New Roman"/>
      <family val="1"/>
    </font>
    <font>
      <u/>
      <sz val="9"/>
      <color indexed="12"/>
      <name val="Times New Roman"/>
      <family val="1"/>
    </font>
    <font>
      <u/>
      <sz val="9"/>
      <color indexed="12"/>
      <name val="Comic Sans MS"/>
      <family val="4"/>
    </font>
    <font>
      <u/>
      <sz val="10"/>
      <color indexed="36"/>
      <name val="Courier"/>
      <family val="3"/>
    </font>
    <font>
      <sz val="12"/>
      <color indexed="20"/>
      <name val="Arial"/>
      <family val="2"/>
    </font>
    <font>
      <b/>
      <sz val="8"/>
      <color indexed="12"/>
      <name val="Arial"/>
      <family val="2"/>
    </font>
    <font>
      <sz val="10"/>
      <color indexed="49"/>
      <name val="Arial"/>
      <family val="2"/>
    </font>
    <font>
      <sz val="8"/>
      <color indexed="39"/>
      <name val="Arial"/>
      <family val="2"/>
    </font>
    <font>
      <sz val="8"/>
      <color indexed="12"/>
      <name val="Palatino"/>
      <family val="1"/>
    </font>
    <font>
      <b/>
      <sz val="12"/>
      <color indexed="16"/>
      <name val="Arial MT"/>
    </font>
    <font>
      <b/>
      <sz val="10"/>
      <color indexed="16"/>
      <name val="Arial MT"/>
    </font>
    <font>
      <sz val="7"/>
      <name val="Times"/>
      <family val="1"/>
    </font>
    <font>
      <b/>
      <sz val="10"/>
      <name val="Bookman Old Style"/>
      <family val="1"/>
    </font>
    <font>
      <sz val="18"/>
      <name val="Times New Roman"/>
      <family val="1"/>
    </font>
    <font>
      <b/>
      <sz val="13"/>
      <name val="Times New Roman"/>
      <family val="1"/>
    </font>
    <font>
      <i/>
      <sz val="12"/>
      <name val="Times New Roman"/>
      <family val="1"/>
    </font>
    <font>
      <b/>
      <sz val="10"/>
      <name val="Helv"/>
    </font>
    <font>
      <sz val="10"/>
      <name val="Tahoma"/>
      <family val="2"/>
    </font>
    <font>
      <b/>
      <sz val="12"/>
      <color indexed="17"/>
      <name val="Wingdings"/>
      <charset val="2"/>
    </font>
    <font>
      <sz val="8"/>
      <color indexed="8"/>
      <name val="Helv"/>
    </font>
    <font>
      <b/>
      <sz val="9.75"/>
      <name val="Helv"/>
    </font>
    <font>
      <sz val="10"/>
      <color indexed="20"/>
      <name val="Times New Roman"/>
      <family val="1"/>
    </font>
    <font>
      <b/>
      <sz val="10"/>
      <color indexed="12"/>
      <name val="Arial"/>
      <family val="2"/>
    </font>
    <font>
      <sz val="10"/>
      <name val="Century Gothic"/>
      <family val="2"/>
    </font>
    <font>
      <sz val="10"/>
      <color indexed="8"/>
      <name val="MS Sans Serif"/>
      <family val="2"/>
    </font>
    <font>
      <sz val="11"/>
      <color theme="1"/>
      <name val="Arial"/>
      <family val="2"/>
    </font>
    <font>
      <sz val="11"/>
      <name val="‚l‚r ‚oƒSƒVƒbƒN"/>
      <family val="3"/>
      <charset val="128"/>
    </font>
    <font>
      <b/>
      <sz val="11"/>
      <name val="Helv"/>
    </font>
    <font>
      <sz val="8"/>
      <color indexed="23"/>
      <name val="Arial Narrow"/>
      <family val="2"/>
    </font>
    <font>
      <sz val="12"/>
      <color indexed="60"/>
      <name val="Arial"/>
      <family val="2"/>
    </font>
    <font>
      <sz val="7"/>
      <name val="Small Fonts"/>
      <family val="2"/>
    </font>
    <font>
      <sz val="12"/>
      <name val="Arial MT"/>
    </font>
    <font>
      <b/>
      <i/>
      <sz val="16"/>
      <name val="Helv"/>
    </font>
    <font>
      <sz val="10"/>
      <name val="Palatino"/>
      <family val="1"/>
    </font>
    <font>
      <sz val="8"/>
      <name val="Tahoma"/>
      <family val="2"/>
    </font>
    <font>
      <sz val="10"/>
      <name val="Verdana"/>
      <family val="2"/>
    </font>
    <font>
      <sz val="11"/>
      <name val="CG Omega"/>
      <family val="2"/>
    </font>
    <font>
      <sz val="11"/>
      <color theme="1"/>
      <name val="Calibri"/>
      <family val="2"/>
    </font>
    <font>
      <b/>
      <u/>
      <sz val="10"/>
      <name val="Times New Roman"/>
      <family val="1"/>
    </font>
    <font>
      <u/>
      <sz val="10"/>
      <name val="Times New Roman"/>
      <family val="1"/>
    </font>
    <font>
      <b/>
      <sz val="10"/>
      <name val="HELVETICA"/>
      <family val="2"/>
    </font>
    <font>
      <u/>
      <sz val="10"/>
      <name val="Helvetica"/>
      <family val="2"/>
    </font>
    <font>
      <sz val="8"/>
      <name val="Helvetica"/>
      <family val="2"/>
    </font>
    <font>
      <sz val="10"/>
      <name val="Arial CE"/>
      <charset val="238"/>
    </font>
    <font>
      <sz val="11"/>
      <name val="‚l‚r ‚o–¾’©"/>
      <family val="1"/>
      <charset val="128"/>
    </font>
    <font>
      <sz val="10"/>
      <name val="CG Times"/>
      <family val="1"/>
    </font>
    <font>
      <b/>
      <sz val="26"/>
      <name val="Times New Roman"/>
      <family val="1"/>
    </font>
    <font>
      <b/>
      <sz val="18"/>
      <name val="Times New Roman"/>
      <family val="1"/>
    </font>
    <font>
      <sz val="10"/>
      <color indexed="16"/>
      <name val="Helvetica-Black"/>
    </font>
    <font>
      <b/>
      <sz val="18"/>
      <name val="Arial"/>
      <family val="2"/>
    </font>
    <font>
      <sz val="9"/>
      <name val="Geneva"/>
    </font>
    <font>
      <i/>
      <sz val="8"/>
      <name val="Arial"/>
      <family val="2"/>
    </font>
    <font>
      <sz val="10"/>
      <color indexed="64"/>
      <name val="Arial"/>
      <family val="2"/>
    </font>
    <font>
      <i/>
      <sz val="8"/>
      <color indexed="12"/>
      <name val="Arial"/>
      <family val="2"/>
    </font>
    <font>
      <sz val="10"/>
      <color indexed="8"/>
      <name val="Calibri"/>
      <family val="2"/>
    </font>
    <font>
      <sz val="7"/>
      <color indexed="12"/>
      <name val="Arial"/>
      <family val="2"/>
    </font>
    <font>
      <sz val="8"/>
      <color indexed="10"/>
      <name val="Arial"/>
      <family val="2"/>
    </font>
    <font>
      <sz val="10"/>
      <color indexed="10"/>
      <name val="MS Sans Serif"/>
      <family val="2"/>
    </font>
    <font>
      <sz val="8"/>
      <name val="MS Sans Serif"/>
      <family val="2"/>
    </font>
    <font>
      <sz val="8"/>
      <color indexed="14"/>
      <name val="Helvetica"/>
      <family val="2"/>
    </font>
    <font>
      <sz val="12"/>
      <color indexed="10"/>
      <name val="Helv"/>
    </font>
    <font>
      <b/>
      <sz val="12"/>
      <color indexed="63"/>
      <name val="Arial"/>
      <family val="2"/>
    </font>
    <font>
      <sz val="9.5"/>
      <color indexed="23"/>
      <name val="Helvetica-Black"/>
    </font>
    <font>
      <b/>
      <sz val="12"/>
      <color indexed="56"/>
      <name val="Arial"/>
      <family val="2"/>
    </font>
    <font>
      <b/>
      <sz val="10"/>
      <color indexed="10"/>
      <name val="Times New Roman"/>
      <family val="1"/>
    </font>
    <font>
      <sz val="1"/>
      <color indexed="18"/>
      <name val="Courier"/>
      <family val="3"/>
    </font>
    <font>
      <b/>
      <sz val="10"/>
      <name val="Century Schoolbook"/>
      <family val="1"/>
    </font>
    <font>
      <sz val="10"/>
      <name val="Futura UBS Bk"/>
      <family val="2"/>
    </font>
    <font>
      <b/>
      <sz val="7"/>
      <color indexed="10"/>
      <name val="Arial"/>
      <family val="2"/>
    </font>
    <font>
      <b/>
      <sz val="9"/>
      <name val="Palatino"/>
      <family val="1"/>
    </font>
    <font>
      <sz val="9"/>
      <color indexed="21"/>
      <name val="Helvetica-Black"/>
    </font>
    <font>
      <b/>
      <sz val="10"/>
      <name val="Palatino"/>
      <family val="1"/>
    </font>
    <font>
      <sz val="9"/>
      <name val="Helvetica-Black"/>
    </font>
    <font>
      <b/>
      <sz val="10"/>
      <name val="Times New Roman"/>
      <family val="1"/>
    </font>
    <font>
      <sz val="6"/>
      <name val="Arial"/>
      <family val="2"/>
    </font>
    <font>
      <sz val="12"/>
      <color indexed="8"/>
      <name val="Palatino"/>
      <family val="1"/>
    </font>
    <font>
      <sz val="11"/>
      <name val="Helvetica-Black"/>
    </font>
    <font>
      <sz val="11"/>
      <color indexed="8"/>
      <name val="Helvetica-Black"/>
    </font>
    <font>
      <sz val="12"/>
      <color indexed="10"/>
      <name val="Arial"/>
      <family val="2"/>
    </font>
    <font>
      <i/>
      <sz val="12"/>
      <color indexed="23"/>
      <name val="Arial"/>
      <family val="2"/>
    </font>
    <font>
      <b/>
      <u/>
      <sz val="9"/>
      <name val="Arial"/>
      <family val="2"/>
    </font>
    <font>
      <b/>
      <i/>
      <u/>
      <sz val="12"/>
      <color indexed="8"/>
      <name val="Arial MT"/>
    </font>
    <font>
      <b/>
      <sz val="18"/>
      <color indexed="54"/>
      <name val="Cambria"/>
      <family val="2"/>
    </font>
    <font>
      <b/>
      <sz val="18"/>
      <color indexed="62"/>
      <name val="Cambria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b/>
      <sz val="8"/>
      <color indexed="9"/>
      <name val="Arial"/>
      <family val="2"/>
    </font>
    <font>
      <sz val="9"/>
      <name val="CG Times"/>
      <family val="1"/>
    </font>
    <font>
      <i/>
      <sz val="10"/>
      <name val="Times New Roman"/>
      <family val="1"/>
    </font>
    <font>
      <b/>
      <sz val="12"/>
      <color indexed="8"/>
      <name val="Arial"/>
      <family val="2"/>
    </font>
    <font>
      <b/>
      <sz val="8"/>
      <name val="Palatino"/>
      <family val="1"/>
    </font>
    <font>
      <b/>
      <sz val="7"/>
      <color indexed="12"/>
      <name val="Arial"/>
      <family val="2"/>
    </font>
    <font>
      <u/>
      <sz val="8"/>
      <color indexed="8"/>
      <name val="Arial"/>
      <family val="2"/>
    </font>
    <font>
      <i/>
      <sz val="12"/>
      <color indexed="8"/>
      <name val="Arial MT"/>
    </font>
    <font>
      <sz val="9"/>
      <color indexed="9"/>
      <name val="Arial Narrow"/>
      <family val="2"/>
    </font>
    <font>
      <sz val="8"/>
      <color indexed="9"/>
      <name val="Arial"/>
      <family val="2"/>
    </font>
    <font>
      <b/>
      <i/>
      <sz val="8"/>
      <name val="Helv"/>
    </font>
    <font>
      <b/>
      <u/>
      <sz val="10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b/>
      <i/>
      <sz val="10"/>
      <color indexed="10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i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0"/>
      <name val="Arial"/>
      <family val="2"/>
    </font>
    <font>
      <b/>
      <sz val="8"/>
      <color theme="1"/>
      <name val="Arial"/>
      <family val="2"/>
    </font>
    <font>
      <b/>
      <sz val="11"/>
      <color rgb="FF3B3B3D"/>
      <name val="Inherit"/>
    </font>
    <font>
      <b/>
      <sz val="12"/>
      <color rgb="FFE53B51"/>
      <name val="Arial"/>
      <family val="2"/>
    </font>
    <font>
      <b/>
      <sz val="12"/>
      <color rgb="FF3B3B3D"/>
      <name val="Inherit"/>
    </font>
    <font>
      <sz val="10"/>
      <color rgb="FF3B3B3D"/>
      <name val="Inherit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8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i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vertAlign val="superscript"/>
      <sz val="8"/>
      <name val="Arial"/>
      <family val="2"/>
    </font>
    <font>
      <b/>
      <sz val="11"/>
      <color theme="1"/>
      <name val="Arial"/>
      <family val="2"/>
    </font>
    <font>
      <sz val="10"/>
      <color theme="1"/>
      <name val="Times New Roman"/>
      <family val="1"/>
    </font>
    <font>
      <vertAlign val="superscript"/>
      <sz val="8"/>
      <color theme="1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Calibri"/>
      <family val="2"/>
      <scheme val="minor"/>
    </font>
    <font>
      <b/>
      <sz val="14"/>
      <color theme="0"/>
      <name val="Arial"/>
      <family val="2"/>
    </font>
    <font>
      <sz val="8"/>
      <color theme="0"/>
      <name val="Calibri"/>
      <family val="2"/>
      <scheme val="minor"/>
    </font>
    <font>
      <b/>
      <sz val="8"/>
      <color theme="0"/>
      <name val="AvantGarde Md BT"/>
    </font>
    <font>
      <b/>
      <sz val="10"/>
      <color theme="0"/>
      <name val="AvantGarde Md BT"/>
    </font>
    <font>
      <b/>
      <sz val="11"/>
      <color theme="0"/>
      <name val="Calibri"/>
      <family val="2"/>
    </font>
    <font>
      <b/>
      <sz val="12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6"/>
      <color rgb="FF000000"/>
      <name val="Verdana"/>
      <family val="2"/>
    </font>
  </fonts>
  <fills count="14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gray0625"/>
    </fill>
    <fill>
      <patternFill patternType="solid">
        <fgColor indexed="26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-0.249977111117893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3" tint="0.39997558519241921"/>
        <bgColor theme="0"/>
      </patternFill>
    </fill>
    <fill>
      <patternFill patternType="solid">
        <fgColor theme="3" tint="0.59999389629810485"/>
        <bgColor theme="0"/>
      </patternFill>
    </fill>
    <fill>
      <patternFill patternType="solid">
        <fgColor rgb="FFFFFF00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0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solid">
        <fgColor indexed="47"/>
        <bgColor indexed="47"/>
      </patternFill>
    </fill>
    <fill>
      <patternFill patternType="solid">
        <fgColor indexed="52"/>
        <b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theme="0" tint="-0.1499679555650502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</patternFill>
    </fill>
    <fill>
      <patternFill patternType="solid">
        <fgColor indexed="23"/>
      </patternFill>
    </fill>
    <fill>
      <patternFill patternType="solid">
        <fgColor indexed="23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theme="0" tint="-0.14996795556505021"/>
        <bgColor theme="0" tint="-0.14996795556505021"/>
      </patternFill>
    </fill>
    <fill>
      <patternFill patternType="solid">
        <fgColor indexed="40"/>
      </patternFill>
    </fill>
    <fill>
      <patternFill patternType="solid">
        <fgColor indexed="50"/>
        <bgColor indexed="64"/>
      </patternFill>
    </fill>
    <fill>
      <patternFill patternType="darkGray">
        <fgColor indexed="9"/>
        <bgColor indexed="22"/>
      </patternFill>
    </fill>
    <fill>
      <patternFill patternType="solid">
        <fgColor indexed="48"/>
        <bgColor indexed="64"/>
      </patternFill>
    </fill>
    <fill>
      <patternFill patternType="solid">
        <fgColor indexed="26"/>
        <bgColor indexed="34"/>
      </patternFill>
    </fill>
    <fill>
      <patternFill patternType="gray0625">
        <fgColor indexed="9"/>
        <bgColor indexed="9"/>
      </patternFill>
    </fill>
    <fill>
      <patternFill patternType="gray0625">
        <fgColor indexed="9"/>
        <bgColor indexed="22"/>
      </patternFill>
    </fill>
    <fill>
      <patternFill patternType="mediumGray">
        <fgColor indexed="9"/>
        <bgColor indexed="31"/>
      </patternFill>
    </fill>
    <fill>
      <patternFill patternType="solid">
        <fgColor indexed="8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26"/>
      </patternFill>
    </fill>
    <fill>
      <patternFill patternType="solid">
        <fgColor indexed="53"/>
        <bgColor indexed="64"/>
      </patternFill>
    </fill>
    <fill>
      <patternFill patternType="mediumGray">
        <fgColor indexed="22"/>
      </patternFill>
    </fill>
    <fill>
      <patternFill patternType="solid">
        <fgColor indexed="46"/>
        <bgColor indexed="45"/>
      </patternFill>
    </fill>
    <fill>
      <patternFill patternType="solid">
        <fgColor indexed="40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mediumGray">
        <fgColor indexed="41"/>
        <bgColor indexed="9"/>
      </patternFill>
    </fill>
    <fill>
      <patternFill patternType="solid">
        <fgColor indexed="46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2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theme="0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C00000"/>
        <bgColor theme="0"/>
      </patternFill>
    </fill>
    <fill>
      <patternFill patternType="solid">
        <fgColor rgb="FFFF0000"/>
        <bgColor theme="0"/>
      </patternFill>
    </fill>
    <fill>
      <patternFill patternType="solid">
        <fgColor rgb="FFFF5050"/>
        <bgColor theme="0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75B5B"/>
        <bgColor theme="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indexed="31"/>
      </patternFill>
    </fill>
  </fills>
  <borders count="125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44"/>
      </bottom>
      <diagonal/>
    </border>
    <border>
      <left/>
      <right/>
      <top style="thin">
        <color indexed="8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thin">
        <color indexed="22"/>
      </top>
      <bottom style="thin">
        <color indexed="2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ouble">
        <color rgb="FFFF0000"/>
      </left>
      <right style="double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4041">
    <xf numFmtId="0" fontId="0" fillId="0" borderId="0"/>
    <xf numFmtId="168" fontId="23" fillId="0" borderId="0">
      <protection locked="0"/>
    </xf>
    <xf numFmtId="168" fontId="23" fillId="0" borderId="0">
      <protection locked="0"/>
    </xf>
    <xf numFmtId="168" fontId="25" fillId="0" borderId="0">
      <protection locked="0"/>
    </xf>
    <xf numFmtId="171" fontId="25" fillId="0" borderId="0">
      <protection locked="0"/>
    </xf>
    <xf numFmtId="0" fontId="16" fillId="0" borderId="0"/>
    <xf numFmtId="173" fontId="25" fillId="0" borderId="0">
      <protection locked="0"/>
    </xf>
    <xf numFmtId="0" fontId="9" fillId="0" borderId="0"/>
    <xf numFmtId="0" fontId="28" fillId="0" borderId="0"/>
    <xf numFmtId="0" fontId="9" fillId="0" borderId="0"/>
    <xf numFmtId="0" fontId="9" fillId="0" borderId="0"/>
    <xf numFmtId="170" fontId="25" fillId="0" borderId="0">
      <protection locked="0"/>
    </xf>
    <xf numFmtId="167" fontId="25" fillId="0" borderId="0">
      <protection locked="0"/>
    </xf>
    <xf numFmtId="9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6" fontId="23" fillId="0" borderId="0">
      <protection locked="0"/>
    </xf>
    <xf numFmtId="166" fontId="23" fillId="0" borderId="0">
      <protection locked="0"/>
    </xf>
    <xf numFmtId="168" fontId="25" fillId="0" borderId="1">
      <protection locked="0"/>
    </xf>
    <xf numFmtId="167" fontId="25" fillId="0" borderId="0">
      <protection locked="0"/>
    </xf>
    <xf numFmtId="172" fontId="25" fillId="0" borderId="0">
      <protection locked="0"/>
    </xf>
    <xf numFmtId="0" fontId="9" fillId="0" borderId="0"/>
    <xf numFmtId="0" fontId="8" fillId="0" borderId="0"/>
    <xf numFmtId="9" fontId="38" fillId="0" borderId="0" applyFont="0" applyFill="0" applyBorder="0" applyAlignment="0" applyProtection="0"/>
    <xf numFmtId="0" fontId="9" fillId="0" borderId="0"/>
    <xf numFmtId="0" fontId="41" fillId="13" borderId="0" applyNumberFormat="0" applyBorder="0" applyAlignment="0" applyProtection="0"/>
    <xf numFmtId="0" fontId="41" fillId="14" borderId="0" applyNumberFormat="0" applyBorder="0" applyAlignment="0" applyProtection="0"/>
    <xf numFmtId="0" fontId="41" fillId="15" borderId="0" applyNumberFormat="0" applyBorder="0" applyAlignment="0" applyProtection="0"/>
    <xf numFmtId="0" fontId="41" fillId="16" borderId="0" applyNumberFormat="0" applyBorder="0" applyAlignment="0" applyProtection="0"/>
    <xf numFmtId="0" fontId="41" fillId="17" borderId="0" applyNumberFormat="0" applyBorder="0" applyAlignment="0" applyProtection="0"/>
    <xf numFmtId="0" fontId="41" fillId="18" borderId="0" applyNumberFormat="0" applyBorder="0" applyAlignment="0" applyProtection="0"/>
    <xf numFmtId="0" fontId="41" fillId="19" borderId="0" applyNumberFormat="0" applyBorder="0" applyAlignment="0" applyProtection="0"/>
    <xf numFmtId="0" fontId="41" fillId="20" borderId="0" applyNumberFormat="0" applyBorder="0" applyAlignment="0" applyProtection="0"/>
    <xf numFmtId="0" fontId="41" fillId="21" borderId="0" applyNumberFormat="0" applyBorder="0" applyAlignment="0" applyProtection="0"/>
    <xf numFmtId="0" fontId="41" fillId="16" borderId="0" applyNumberFormat="0" applyBorder="0" applyAlignment="0" applyProtection="0"/>
    <xf numFmtId="0" fontId="41" fillId="19" borderId="0" applyNumberFormat="0" applyBorder="0" applyAlignment="0" applyProtection="0"/>
    <xf numFmtId="0" fontId="41" fillId="22" borderId="0" applyNumberFormat="0" applyBorder="0" applyAlignment="0" applyProtection="0"/>
    <xf numFmtId="0" fontId="42" fillId="23" borderId="0" applyNumberFormat="0" applyBorder="0" applyAlignment="0" applyProtection="0"/>
    <xf numFmtId="0" fontId="42" fillId="20" borderId="0" applyNumberFormat="0" applyBorder="0" applyAlignment="0" applyProtection="0"/>
    <xf numFmtId="0" fontId="42" fillId="21" borderId="0" applyNumberFormat="0" applyBorder="0" applyAlignment="0" applyProtection="0"/>
    <xf numFmtId="0" fontId="42" fillId="24" borderId="0" applyNumberFormat="0" applyBorder="0" applyAlignment="0" applyProtection="0"/>
    <xf numFmtId="0" fontId="42" fillId="25" borderId="0" applyNumberFormat="0" applyBorder="0" applyAlignment="0" applyProtection="0"/>
    <xf numFmtId="0" fontId="42" fillId="26" borderId="0" applyNumberFormat="0" applyBorder="0" applyAlignment="0" applyProtection="0"/>
    <xf numFmtId="0" fontId="42" fillId="27" borderId="0" applyNumberFormat="0" applyBorder="0" applyAlignment="0" applyProtection="0"/>
    <xf numFmtId="0" fontId="42" fillId="28" borderId="0" applyNumberFormat="0" applyBorder="0" applyAlignment="0" applyProtection="0"/>
    <xf numFmtId="0" fontId="42" fillId="29" borderId="0" applyNumberFormat="0" applyBorder="0" applyAlignment="0" applyProtection="0"/>
    <xf numFmtId="0" fontId="42" fillId="24" borderId="0" applyNumberFormat="0" applyBorder="0" applyAlignment="0" applyProtection="0"/>
    <xf numFmtId="0" fontId="42" fillId="25" borderId="0" applyNumberFormat="0" applyBorder="0" applyAlignment="0" applyProtection="0"/>
    <xf numFmtId="0" fontId="42" fillId="30" borderId="0" applyNumberFormat="0" applyBorder="0" applyAlignment="0" applyProtection="0"/>
    <xf numFmtId="0" fontId="43" fillId="14" borderId="0" applyNumberFormat="0" applyBorder="0" applyAlignment="0" applyProtection="0"/>
    <xf numFmtId="0" fontId="44" fillId="31" borderId="10" applyNumberFormat="0" applyAlignment="0" applyProtection="0"/>
    <xf numFmtId="0" fontId="45" fillId="32" borderId="11" applyNumberFormat="0" applyAlignment="0" applyProtection="0"/>
    <xf numFmtId="0" fontId="46" fillId="0" borderId="0" applyNumberFormat="0" applyFill="0" applyBorder="0" applyAlignment="0" applyProtection="0"/>
    <xf numFmtId="0" fontId="47" fillId="15" borderId="0" applyNumberFormat="0" applyBorder="0" applyAlignment="0" applyProtection="0"/>
    <xf numFmtId="0" fontId="48" fillId="0" borderId="12" applyNumberFormat="0" applyFill="0" applyAlignment="0" applyProtection="0"/>
    <xf numFmtId="0" fontId="49" fillId="0" borderId="13" applyNumberFormat="0" applyFill="0" applyAlignment="0" applyProtection="0"/>
    <xf numFmtId="0" fontId="50" fillId="0" borderId="14" applyNumberFormat="0" applyFill="0" applyAlignment="0" applyProtection="0"/>
    <xf numFmtId="0" fontId="50" fillId="0" borderId="0" applyNumberFormat="0" applyFill="0" applyBorder="0" applyAlignment="0" applyProtection="0"/>
    <xf numFmtId="0" fontId="51" fillId="18" borderId="10" applyNumberFormat="0" applyAlignment="0" applyProtection="0"/>
    <xf numFmtId="0" fontId="52" fillId="0" borderId="15" applyNumberFormat="0" applyFill="0" applyAlignment="0" applyProtection="0"/>
    <xf numFmtId="0" fontId="53" fillId="33" borderId="0" applyNumberFormat="0" applyBorder="0" applyAlignment="0" applyProtection="0"/>
    <xf numFmtId="0" fontId="54" fillId="0" borderId="0" applyNumberFormat="0" applyFill="0" applyBorder="0" applyProtection="0">
      <alignment vertical="top" wrapText="1"/>
    </xf>
    <xf numFmtId="0" fontId="41" fillId="34" borderId="16" applyNumberFormat="0" applyFont="0" applyAlignment="0" applyProtection="0"/>
    <xf numFmtId="0" fontId="55" fillId="31" borderId="17" applyNumberFormat="0" applyAlignment="0" applyProtection="0"/>
    <xf numFmtId="0" fontId="56" fillId="0" borderId="0" applyNumberFormat="0" applyFill="0" applyBorder="0" applyAlignment="0" applyProtection="0"/>
    <xf numFmtId="165" fontId="9" fillId="0" borderId="0" applyFont="0" applyFill="0" applyBorder="0" applyAlignment="0" applyProtection="0"/>
    <xf numFmtId="165" fontId="38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74" fontId="9" fillId="0" borderId="0" applyFont="0" applyFill="0" applyBorder="0" applyAlignment="0" applyProtection="0"/>
    <xf numFmtId="174" fontId="9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9" fillId="0" borderId="0"/>
    <xf numFmtId="0" fontId="64" fillId="0" borderId="0"/>
    <xf numFmtId="37" fontId="65" fillId="0" borderId="0"/>
    <xf numFmtId="14" fontId="66" fillId="3" borderId="41" applyNumberFormat="0" applyFont="0" applyBorder="0" applyAlignment="0" applyProtection="0">
      <alignment horizontal="center" vertical="center"/>
    </xf>
    <xf numFmtId="176" fontId="16" fillId="0" borderId="42"/>
    <xf numFmtId="0" fontId="29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176" fontId="67" fillId="0" borderId="0">
      <alignment vertical="top"/>
    </xf>
    <xf numFmtId="177" fontId="68" fillId="0" borderId="43"/>
    <xf numFmtId="176" fontId="69" fillId="0" borderId="0">
      <alignment horizontal="left"/>
    </xf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3" fontId="63" fillId="0" borderId="2">
      <alignment horizontal="center"/>
    </xf>
    <xf numFmtId="0" fontId="72" fillId="0" borderId="0" applyNumberFormat="0" applyFont="0" applyFill="0" applyBorder="0" applyProtection="0">
      <alignment horizontal="center" vertical="center" wrapText="1"/>
    </xf>
    <xf numFmtId="178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37" fontId="73" fillId="39" borderId="44" applyNumberFormat="0" applyAlignment="0">
      <alignment horizontal="left"/>
    </xf>
    <xf numFmtId="0" fontId="74" fillId="0" borderId="2">
      <alignment vertical="center"/>
    </xf>
    <xf numFmtId="179" fontId="9" fillId="0" borderId="0" applyFont="0" applyFill="0" applyBorder="0" applyAlignment="0" applyProtection="0"/>
    <xf numFmtId="0" fontId="64" fillId="0" borderId="0" applyNumberFormat="0" applyFill="0" applyBorder="0" applyAlignment="0" applyProtection="0"/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180" fontId="64" fillId="0" borderId="0"/>
    <xf numFmtId="0" fontId="72" fillId="0" borderId="0" applyFont="0" applyFill="0" applyBorder="0" applyAlignment="0" applyProtection="0"/>
    <xf numFmtId="2" fontId="72" fillId="0" borderId="0" applyFont="0" applyFill="0" applyBorder="0" applyAlignment="0" applyProtection="0"/>
    <xf numFmtId="10" fontId="9" fillId="40" borderId="0" applyNumberFormat="0" applyFont="0" applyBorder="0" applyAlignment="0"/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0" borderId="0" applyNumberFormat="0" applyFill="0" applyBorder="0" applyAlignment="0" applyProtection="0">
      <alignment vertical="top"/>
      <protection locked="0"/>
    </xf>
    <xf numFmtId="181" fontId="79" fillId="0" borderId="8" applyFill="0" applyBorder="0" applyAlignment="0" applyProtection="0">
      <alignment horizontal="center"/>
    </xf>
    <xf numFmtId="44" fontId="6" fillId="0" borderId="0" applyFont="0" applyFill="0" applyBorder="0" applyAlignment="0" applyProtection="0"/>
    <xf numFmtId="44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3" fontId="9" fillId="0" borderId="0" applyFont="0" applyFill="0" applyBorder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0" fontId="80" fillId="0" borderId="0"/>
    <xf numFmtId="0" fontId="9" fillId="0" borderId="0"/>
    <xf numFmtId="0" fontId="18" fillId="0" borderId="0"/>
    <xf numFmtId="186" fontId="9" fillId="0" borderId="0" applyFont="0" applyFill="0" applyBorder="0" applyAlignment="0" applyProtection="0"/>
    <xf numFmtId="187" fontId="9" fillId="0" borderId="0" applyFont="0" applyFill="0" applyBorder="0" applyAlignment="0" applyProtection="0"/>
    <xf numFmtId="188" fontId="9" fillId="0" borderId="0" applyFont="0" applyFill="0" applyBorder="0" applyAlignment="0" applyProtection="0"/>
    <xf numFmtId="189" fontId="9" fillId="0" borderId="0" applyFont="0" applyFill="0" applyBorder="0" applyAlignment="0" applyProtection="0"/>
    <xf numFmtId="190" fontId="9" fillId="0" borderId="0" applyFont="0" applyFill="0" applyBorder="0" applyAlignment="0" applyProtection="0"/>
    <xf numFmtId="191" fontId="9" fillId="0" borderId="0" applyFont="0" applyFill="0" applyBorder="0" applyAlignment="0" applyProtection="0"/>
    <xf numFmtId="192" fontId="81" fillId="0" borderId="7">
      <alignment vertical="center"/>
    </xf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72" fillId="0" borderId="0" applyFont="0" applyFill="0" applyBorder="0" applyAlignment="0" applyProtection="0"/>
    <xf numFmtId="10" fontId="72" fillId="0" borderId="0" applyFont="0" applyFill="0" applyBorder="0" applyAlignment="0" applyProtection="0"/>
    <xf numFmtId="3" fontId="8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4" fontId="60" fillId="36" borderId="45" applyBorder="0" applyProtection="0"/>
    <xf numFmtId="177" fontId="69" fillId="0" borderId="0"/>
    <xf numFmtId="38" fontId="24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83" fillId="0" borderId="0" applyNumberFormat="0" applyFill="0" applyBorder="0" applyAlignment="0" applyProtection="0"/>
    <xf numFmtId="176" fontId="84" fillId="0" borderId="40"/>
    <xf numFmtId="43" fontId="41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6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4" fillId="0" borderId="0"/>
    <xf numFmtId="0" fontId="9" fillId="0" borderId="0"/>
    <xf numFmtId="0" fontId="3" fillId="0" borderId="0"/>
    <xf numFmtId="165" fontId="3" fillId="0" borderId="0" applyFont="0" applyFill="0" applyBorder="0" applyAlignment="0" applyProtection="0"/>
    <xf numFmtId="0" fontId="9" fillId="0" borderId="0"/>
    <xf numFmtId="0" fontId="9" fillId="0" borderId="0"/>
    <xf numFmtId="9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5" fillId="0" borderId="0" applyNumberFormat="0" applyFont="0" applyFill="0" applyAlignment="0">
      <protection hidden="1"/>
    </xf>
    <xf numFmtId="9" fontId="102" fillId="0" borderId="0">
      <alignment horizontal="right"/>
    </xf>
    <xf numFmtId="0" fontId="9" fillId="0" borderId="0"/>
    <xf numFmtId="0" fontId="9" fillId="0" borderId="0"/>
    <xf numFmtId="200" fontId="72" fillId="0" borderId="0"/>
    <xf numFmtId="200" fontId="103" fillId="0" borderId="0"/>
    <xf numFmtId="201" fontId="104" fillId="0" borderId="0" applyFont="0" applyFill="0" applyBorder="0" applyAlignment="0" applyProtection="0"/>
    <xf numFmtId="202" fontId="58" fillId="0" borderId="0"/>
    <xf numFmtId="200" fontId="58" fillId="0" borderId="0"/>
    <xf numFmtId="203" fontId="58" fillId="0" borderId="0"/>
    <xf numFmtId="204" fontId="104" fillId="0" borderId="0" applyFont="0" applyFill="0" applyBorder="0" applyAlignment="0" applyProtection="0"/>
    <xf numFmtId="205" fontId="104" fillId="0" borderId="0" applyFont="0" applyFill="0" applyBorder="0" applyAlignment="0" applyProtection="0"/>
    <xf numFmtId="205" fontId="104" fillId="0" borderId="0" applyFont="0" applyFill="0" applyBorder="0" applyAlignment="0" applyProtection="0"/>
    <xf numFmtId="205" fontId="104" fillId="0" borderId="0" applyFont="0" applyFill="0" applyBorder="0" applyAlignment="0" applyProtection="0"/>
    <xf numFmtId="0" fontId="9" fillId="0" borderId="0"/>
    <xf numFmtId="206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207" fontId="9" fillId="0" borderId="0" applyFont="0" applyFill="0" applyBorder="0" applyAlignment="0" applyProtection="0"/>
    <xf numFmtId="208" fontId="9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 applyNumberFormat="0" applyFill="0" applyBorder="0" applyAlignment="0" applyProtection="0"/>
    <xf numFmtId="0" fontId="16" fillId="0" borderId="0">
      <alignment vertical="center"/>
    </xf>
    <xf numFmtId="209" fontId="9" fillId="0" borderId="0" applyFont="0" applyFill="0" applyBorder="0" applyAlignment="0" applyProtection="0"/>
    <xf numFmtId="210" fontId="9" fillId="0" borderId="0" applyFont="0" applyFill="0" applyBorder="0" applyAlignment="0" applyProtection="0"/>
    <xf numFmtId="211" fontId="9" fillId="0" borderId="0" applyFont="0" applyFill="0" applyBorder="0" applyAlignment="0" applyProtection="0"/>
    <xf numFmtId="212" fontId="9" fillId="0" borderId="0" applyFon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9" fillId="33" borderId="0" applyNumberFormat="0" applyFont="0" applyAlignment="0" applyProtection="0"/>
    <xf numFmtId="194" fontId="9" fillId="0" borderId="0">
      <alignment horizontal="left" wrapText="1"/>
    </xf>
    <xf numFmtId="213" fontId="9" fillId="0" borderId="0" applyFont="0" applyFill="0" applyBorder="0" applyAlignment="0" applyProtection="0"/>
    <xf numFmtId="214" fontId="9" fillId="0" borderId="0" applyFont="0" applyFill="0" applyBorder="0" applyProtection="0">
      <alignment horizontal="right"/>
    </xf>
    <xf numFmtId="0" fontId="106" fillId="0" borderId="0" applyNumberFormat="0" applyFill="0" applyBorder="0" applyProtection="0">
      <alignment vertical="top"/>
    </xf>
    <xf numFmtId="0" fontId="106" fillId="0" borderId="0" applyNumberFormat="0" applyFill="0" applyBorder="0" applyProtection="0">
      <alignment vertical="top"/>
    </xf>
    <xf numFmtId="0" fontId="106" fillId="0" borderId="0" applyNumberFormat="0" applyFill="0" applyBorder="0" applyProtection="0">
      <alignment vertical="top"/>
    </xf>
    <xf numFmtId="0" fontId="106" fillId="0" borderId="0" applyNumberFormat="0" applyFill="0" applyBorder="0" applyProtection="0">
      <alignment vertical="top"/>
    </xf>
    <xf numFmtId="0" fontId="106" fillId="0" borderId="0" applyNumberFormat="0" applyFill="0" applyBorder="0" applyProtection="0">
      <alignment vertical="top"/>
    </xf>
    <xf numFmtId="0" fontId="106" fillId="0" borderId="0" applyNumberFormat="0" applyFill="0" applyBorder="0" applyProtection="0">
      <alignment vertical="top"/>
    </xf>
    <xf numFmtId="0" fontId="106" fillId="0" borderId="0" applyNumberFormat="0" applyFill="0" applyBorder="0" applyProtection="0">
      <alignment vertical="top"/>
    </xf>
    <xf numFmtId="0" fontId="16" fillId="0" borderId="0">
      <alignment vertical="center"/>
    </xf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107" fillId="0" borderId="58" applyNumberFormat="0" applyFill="0" applyAlignment="0" applyProtection="0"/>
    <xf numFmtId="0" fontId="66" fillId="0" borderId="59" applyNumberFormat="0" applyFill="0" applyProtection="0">
      <alignment horizontal="center"/>
    </xf>
    <xf numFmtId="0" fontId="66" fillId="0" borderId="59" applyNumberFormat="0" applyFill="0" applyProtection="0">
      <alignment horizontal="center"/>
    </xf>
    <xf numFmtId="0" fontId="66" fillId="0" borderId="59" applyNumberFormat="0" applyFill="0" applyProtection="0">
      <alignment horizontal="center"/>
    </xf>
    <xf numFmtId="0" fontId="66" fillId="0" borderId="59" applyNumberFormat="0" applyFill="0" applyProtection="0">
      <alignment horizontal="center"/>
    </xf>
    <xf numFmtId="0" fontId="66" fillId="0" borderId="59" applyNumberFormat="0" applyFill="0" applyProtection="0">
      <alignment horizontal="center"/>
    </xf>
    <xf numFmtId="0" fontId="66" fillId="0" borderId="59" applyNumberFormat="0" applyFill="0" applyProtection="0">
      <alignment horizontal="center"/>
    </xf>
    <xf numFmtId="0" fontId="66" fillId="0" borderId="59" applyNumberFormat="0" applyFill="0" applyProtection="0">
      <alignment horizontal="center"/>
    </xf>
    <xf numFmtId="0" fontId="66" fillId="0" borderId="59" applyNumberFormat="0" applyFill="0" applyProtection="0">
      <alignment horizontal="center"/>
    </xf>
    <xf numFmtId="0" fontId="66" fillId="0" borderId="59" applyNumberFormat="0" applyFill="0" applyProtection="0">
      <alignment horizontal="center"/>
    </xf>
    <xf numFmtId="0" fontId="66" fillId="0" borderId="59" applyNumberFormat="0" applyFill="0" applyProtection="0">
      <alignment horizontal="center"/>
    </xf>
    <xf numFmtId="0" fontId="66" fillId="0" borderId="59" applyNumberFormat="0" applyFill="0" applyProtection="0">
      <alignment horizontal="center"/>
    </xf>
    <xf numFmtId="0" fontId="66" fillId="0" borderId="0" applyNumberFormat="0" applyFill="0" applyBorder="0" applyProtection="0">
      <alignment horizontal="left"/>
    </xf>
    <xf numFmtId="0" fontId="66" fillId="0" borderId="0" applyNumberFormat="0" applyFill="0" applyBorder="0" applyProtection="0">
      <alignment horizontal="left"/>
    </xf>
    <xf numFmtId="0" fontId="66" fillId="0" borderId="0" applyNumberFormat="0" applyFill="0" applyBorder="0" applyProtection="0">
      <alignment horizontal="left"/>
    </xf>
    <xf numFmtId="0" fontId="66" fillId="0" borderId="0" applyNumberFormat="0" applyFill="0" applyBorder="0" applyProtection="0">
      <alignment horizontal="left"/>
    </xf>
    <xf numFmtId="0" fontId="66" fillId="0" borderId="0" applyNumberFormat="0" applyFill="0" applyBorder="0" applyProtection="0">
      <alignment horizontal="left"/>
    </xf>
    <xf numFmtId="0" fontId="66" fillId="0" borderId="0" applyNumberFormat="0" applyFill="0" applyBorder="0" applyProtection="0">
      <alignment horizontal="left"/>
    </xf>
    <xf numFmtId="0" fontId="66" fillId="0" borderId="0" applyNumberFormat="0" applyFill="0" applyBorder="0" applyProtection="0">
      <alignment horizontal="left"/>
    </xf>
    <xf numFmtId="0" fontId="66" fillId="0" borderId="0" applyNumberFormat="0" applyFill="0" applyBorder="0" applyProtection="0">
      <alignment horizontal="left"/>
    </xf>
    <xf numFmtId="0" fontId="66" fillId="0" borderId="0" applyNumberFormat="0" applyFill="0" applyBorder="0" applyProtection="0">
      <alignment horizontal="left"/>
    </xf>
    <xf numFmtId="0" fontId="66" fillId="0" borderId="0" applyNumberFormat="0" applyFill="0" applyBorder="0" applyProtection="0">
      <alignment horizontal="left"/>
    </xf>
    <xf numFmtId="0" fontId="66" fillId="0" borderId="0" applyNumberFormat="0" applyFill="0" applyBorder="0" applyProtection="0">
      <alignment horizontal="left"/>
    </xf>
    <xf numFmtId="0" fontId="108" fillId="0" borderId="0" applyNumberFormat="0" applyFill="0" applyBorder="0" applyProtection="0">
      <alignment horizontal="centerContinuous"/>
    </xf>
    <xf numFmtId="0" fontId="108" fillId="0" borderId="0" applyNumberFormat="0" applyFill="0" applyBorder="0" applyProtection="0">
      <alignment horizontal="centerContinuous"/>
    </xf>
    <xf numFmtId="0" fontId="108" fillId="0" borderId="0" applyNumberFormat="0" applyFill="0" applyBorder="0" applyProtection="0">
      <alignment horizontal="centerContinuous"/>
    </xf>
    <xf numFmtId="0" fontId="108" fillId="0" borderId="0" applyNumberFormat="0" applyFill="0" applyBorder="0" applyProtection="0">
      <alignment horizontal="centerContinuous"/>
    </xf>
    <xf numFmtId="0" fontId="108" fillId="0" borderId="0" applyNumberFormat="0" applyFill="0" applyBorder="0" applyProtection="0">
      <alignment horizontal="centerContinuous"/>
    </xf>
    <xf numFmtId="0" fontId="108" fillId="0" borderId="0" applyNumberFormat="0" applyFill="0" applyBorder="0" applyProtection="0">
      <alignment horizontal="centerContinuous"/>
    </xf>
    <xf numFmtId="0" fontId="108" fillId="0" borderId="0" applyNumberFormat="0" applyFill="0" applyBorder="0" applyProtection="0">
      <alignment horizontal="centerContinuous"/>
    </xf>
    <xf numFmtId="215" fontId="109" fillId="0" borderId="0" applyFont="0" applyFill="0" applyBorder="0" applyAlignment="0" applyProtection="0"/>
    <xf numFmtId="216" fontId="109" fillId="0" borderId="0" applyFont="0" applyFill="0" applyBorder="0" applyAlignment="0" applyProtection="0"/>
    <xf numFmtId="0" fontId="9" fillId="0" borderId="0"/>
    <xf numFmtId="1" fontId="24" fillId="0" borderId="0"/>
    <xf numFmtId="2" fontId="110" fillId="0" borderId="0">
      <alignment horizontal="left"/>
    </xf>
    <xf numFmtId="1" fontId="24" fillId="0" borderId="0"/>
    <xf numFmtId="1" fontId="24" fillId="0" borderId="0"/>
    <xf numFmtId="217" fontId="111" fillId="0" borderId="0">
      <alignment horizontal="left"/>
    </xf>
    <xf numFmtId="218" fontId="9" fillId="0" borderId="0">
      <alignment horizontal="left"/>
    </xf>
    <xf numFmtId="219" fontId="112" fillId="0" borderId="0">
      <alignment horizontal="left"/>
    </xf>
    <xf numFmtId="220" fontId="9" fillId="0" borderId="0">
      <alignment horizontal="left"/>
    </xf>
    <xf numFmtId="221" fontId="107" fillId="0" borderId="0">
      <alignment horizontal="right" vertical="top"/>
    </xf>
    <xf numFmtId="176" fontId="19" fillId="0" borderId="60" applyBorder="0" applyAlignment="0">
      <alignment horizontal="center" vertical="center"/>
    </xf>
    <xf numFmtId="222" fontId="15" fillId="0" borderId="0"/>
    <xf numFmtId="222" fontId="15" fillId="0" borderId="0"/>
    <xf numFmtId="0" fontId="9" fillId="0" borderId="0"/>
    <xf numFmtId="176" fontId="10" fillId="0" borderId="60" applyBorder="0" applyAlignment="0">
      <alignment horizontal="center"/>
    </xf>
    <xf numFmtId="176" fontId="10" fillId="0" borderId="60" applyBorder="0" applyAlignment="0">
      <alignment horizontal="center"/>
    </xf>
    <xf numFmtId="176" fontId="21" fillId="0" borderId="60" applyBorder="0" applyAlignment="0">
      <alignment horizontal="center" vertical="center"/>
    </xf>
    <xf numFmtId="176" fontId="21" fillId="0" borderId="60" applyBorder="0" applyAlignment="0">
      <alignment horizontal="center" vertical="center"/>
    </xf>
    <xf numFmtId="176" fontId="22" fillId="0" borderId="60" applyBorder="0" applyAlignment="0">
      <alignment horizontal="center" vertical="center"/>
    </xf>
    <xf numFmtId="176" fontId="22" fillId="0" borderId="60" applyBorder="0" applyAlignment="0">
      <alignment horizontal="center" vertical="center"/>
    </xf>
    <xf numFmtId="176" fontId="22" fillId="0" borderId="60" applyBorder="0" applyAlignment="0">
      <alignment horizontal="center" vertical="center"/>
    </xf>
    <xf numFmtId="206" fontId="41" fillId="13" borderId="0" applyNumberFormat="0" applyBorder="0" applyAlignment="0" applyProtection="0"/>
    <xf numFmtId="0" fontId="41" fillId="13" borderId="0" applyNumberFormat="0" applyBorder="0" applyAlignment="0" applyProtection="0"/>
    <xf numFmtId="206" fontId="41" fillId="14" borderId="0" applyNumberFormat="0" applyBorder="0" applyAlignment="0" applyProtection="0"/>
    <xf numFmtId="0" fontId="41" fillId="14" borderId="0" applyNumberFormat="0" applyBorder="0" applyAlignment="0" applyProtection="0"/>
    <xf numFmtId="206" fontId="41" fillId="15" borderId="0" applyNumberFormat="0" applyBorder="0" applyAlignment="0" applyProtection="0"/>
    <xf numFmtId="0" fontId="41" fillId="15" borderId="0" applyNumberFormat="0" applyBorder="0" applyAlignment="0" applyProtection="0"/>
    <xf numFmtId="206" fontId="41" fillId="16" borderId="0" applyNumberFormat="0" applyBorder="0" applyAlignment="0" applyProtection="0"/>
    <xf numFmtId="0" fontId="41" fillId="16" borderId="0" applyNumberFormat="0" applyBorder="0" applyAlignment="0" applyProtection="0"/>
    <xf numFmtId="206" fontId="41" fillId="17" borderId="0" applyNumberFormat="0" applyBorder="0" applyAlignment="0" applyProtection="0"/>
    <xf numFmtId="0" fontId="41" fillId="17" borderId="0" applyNumberFormat="0" applyBorder="0" applyAlignment="0" applyProtection="0"/>
    <xf numFmtId="206" fontId="41" fillId="18" borderId="0" applyNumberFormat="0" applyBorder="0" applyAlignment="0" applyProtection="0"/>
    <xf numFmtId="0" fontId="41" fillId="18" borderId="0" applyNumberFormat="0" applyBorder="0" applyAlignment="0" applyProtection="0"/>
    <xf numFmtId="0" fontId="41" fillId="13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0" fontId="41" fillId="13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0" fontId="41" fillId="13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0" fontId="41" fillId="13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0" fontId="41" fillId="13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0" fontId="41" fillId="13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0" fontId="41" fillId="13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0" fontId="41" fillId="13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0" fontId="41" fillId="67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0" fontId="41" fillId="13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0" fontId="113" fillId="13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0" fontId="3" fillId="55" borderId="0" applyNumberFormat="0" applyBorder="0" applyAlignment="0" applyProtection="0"/>
    <xf numFmtId="0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0" fontId="41" fillId="13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0" fontId="41" fillId="13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0" fontId="41" fillId="13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0" fontId="41" fillId="13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0" fontId="41" fillId="13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0" fontId="41" fillId="14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0" fontId="41" fillId="14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0" fontId="41" fillId="14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0" fontId="41" fillId="14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0" fontId="41" fillId="14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0" fontId="41" fillId="14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0" fontId="41" fillId="14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0" fontId="41" fillId="14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0" fontId="41" fillId="68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0" fontId="41" fillId="14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0" fontId="113" fillId="14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0" fontId="3" fillId="57" borderId="0" applyNumberFormat="0" applyBorder="0" applyAlignment="0" applyProtection="0"/>
    <xf numFmtId="0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0" fontId="41" fillId="14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0" fontId="41" fillId="14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0" fontId="41" fillId="14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0" fontId="41" fillId="14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0" fontId="41" fillId="14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0" fontId="41" fillId="15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0" fontId="41" fillId="15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0" fontId="41" fillId="15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0" fontId="41" fillId="15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0" fontId="41" fillId="15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0" fontId="41" fillId="15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0" fontId="41" fillId="15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0" fontId="41" fillId="15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0" fontId="41" fillId="6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0" fontId="41" fillId="15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0" fontId="113" fillId="15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0" fontId="41" fillId="15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0" fontId="41" fillId="15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0" fontId="41" fillId="15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0" fontId="41" fillId="15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0" fontId="41" fillId="15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0" fontId="41" fillId="16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0" fontId="41" fillId="16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0" fontId="41" fillId="16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0" fontId="41" fillId="16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0" fontId="41" fillId="16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0" fontId="41" fillId="16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0" fontId="41" fillId="16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0" fontId="41" fillId="16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0" fontId="41" fillId="70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0" fontId="41" fillId="16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0" fontId="113" fillId="16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0" fontId="41" fillId="16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0" fontId="41" fillId="16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0" fontId="41" fillId="16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0" fontId="41" fillId="16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0" fontId="41" fillId="16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0" fontId="41" fillId="17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0" fontId="41" fillId="17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0" fontId="41" fillId="17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0" fontId="41" fillId="17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0" fontId="41" fillId="17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0" fontId="41" fillId="17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0" fontId="41" fillId="17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0" fontId="41" fillId="17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0" fontId="41" fillId="71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0" fontId="41" fillId="17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0" fontId="113" fillId="17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0" fontId="41" fillId="17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0" fontId="41" fillId="17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0" fontId="41" fillId="17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0" fontId="41" fillId="17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0" fontId="41" fillId="17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0" fontId="41" fillId="18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0" fontId="41" fillId="18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0" fontId="41" fillId="18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0" fontId="41" fillId="18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0" fontId="41" fillId="18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0" fontId="41" fillId="18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0" fontId="41" fillId="18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0" fontId="41" fillId="18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0" fontId="41" fillId="72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0" fontId="41" fillId="18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0" fontId="113" fillId="18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0" fontId="41" fillId="18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0" fontId="41" fillId="18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0" fontId="41" fillId="18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0" fontId="41" fillId="18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0" fontId="41" fillId="18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5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7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59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1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3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223" fontId="3" fillId="65" borderId="0" applyNumberFormat="0" applyBorder="0" applyAlignment="0" applyProtection="0"/>
    <xf numFmtId="4" fontId="114" fillId="0" borderId="38" applyNumberFormat="0" applyBorder="0" applyAlignment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/>
    <xf numFmtId="206" fontId="41" fillId="19" borderId="0" applyNumberFormat="0" applyBorder="0" applyAlignment="0" applyProtection="0"/>
    <xf numFmtId="0" fontId="41" fillId="19" borderId="0" applyNumberFormat="0" applyBorder="0" applyAlignment="0" applyProtection="0"/>
    <xf numFmtId="206" fontId="41" fillId="20" borderId="0" applyNumberFormat="0" applyBorder="0" applyAlignment="0" applyProtection="0"/>
    <xf numFmtId="0" fontId="41" fillId="20" borderId="0" applyNumberFormat="0" applyBorder="0" applyAlignment="0" applyProtection="0"/>
    <xf numFmtId="206" fontId="41" fillId="21" borderId="0" applyNumberFormat="0" applyBorder="0" applyAlignment="0" applyProtection="0"/>
    <xf numFmtId="0" fontId="41" fillId="21" borderId="0" applyNumberFormat="0" applyBorder="0" applyAlignment="0" applyProtection="0"/>
    <xf numFmtId="206" fontId="41" fillId="16" borderId="0" applyNumberFormat="0" applyBorder="0" applyAlignment="0" applyProtection="0"/>
    <xf numFmtId="0" fontId="41" fillId="16" borderId="0" applyNumberFormat="0" applyBorder="0" applyAlignment="0" applyProtection="0"/>
    <xf numFmtId="206" fontId="41" fillId="19" borderId="0" applyNumberFormat="0" applyBorder="0" applyAlignment="0" applyProtection="0"/>
    <xf numFmtId="0" fontId="41" fillId="19" borderId="0" applyNumberFormat="0" applyBorder="0" applyAlignment="0" applyProtection="0"/>
    <xf numFmtId="206" fontId="41" fillId="22" borderId="0" applyNumberFormat="0" applyBorder="0" applyAlignment="0" applyProtection="0"/>
    <xf numFmtId="0" fontId="41" fillId="22" borderId="0" applyNumberFormat="0" applyBorder="0" applyAlignment="0" applyProtection="0"/>
    <xf numFmtId="0" fontId="41" fillId="19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0" fontId="41" fillId="19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0" fontId="41" fillId="19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0" fontId="41" fillId="19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0" fontId="41" fillId="19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0" fontId="41" fillId="19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0" fontId="41" fillId="19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0" fontId="41" fillId="19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0" fontId="41" fillId="73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0" fontId="41" fillId="19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0" fontId="113" fillId="19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0" fontId="3" fillId="56" borderId="0" applyNumberFormat="0" applyBorder="0" applyAlignment="0" applyProtection="0"/>
    <xf numFmtId="0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0" fontId="41" fillId="19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0" fontId="41" fillId="19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0" fontId="41" fillId="19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0" fontId="41" fillId="19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0" fontId="41" fillId="19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0" fontId="41" fillId="20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0" fontId="41" fillId="20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0" fontId="41" fillId="20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0" fontId="41" fillId="20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0" fontId="41" fillId="20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0" fontId="41" fillId="20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0" fontId="41" fillId="20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0" fontId="41" fillId="20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0" fontId="41" fillId="74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0" fontId="41" fillId="20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0" fontId="113" fillId="20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0" fontId="41" fillId="20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0" fontId="41" fillId="20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0" fontId="41" fillId="20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0" fontId="41" fillId="20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0" fontId="41" fillId="20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0" fontId="41" fillId="21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0" fontId="41" fillId="21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0" fontId="41" fillId="21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0" fontId="41" fillId="21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0" fontId="41" fillId="21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0" fontId="41" fillId="21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0" fontId="41" fillId="21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0" fontId="41" fillId="21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0" fontId="41" fillId="75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0" fontId="41" fillId="21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0" fontId="113" fillId="21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0" fontId="41" fillId="21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0" fontId="41" fillId="21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0" fontId="41" fillId="21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0" fontId="41" fillId="21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0" fontId="41" fillId="21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0" fontId="41" fillId="16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0" fontId="41" fillId="16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0" fontId="41" fillId="16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0" fontId="41" fillId="16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0" fontId="41" fillId="16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0" fontId="41" fillId="16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0" fontId="41" fillId="16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0" fontId="41" fillId="16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0" fontId="41" fillId="70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0" fontId="41" fillId="16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0" fontId="113" fillId="16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0" fontId="41" fillId="16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0" fontId="41" fillId="16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0" fontId="41" fillId="16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0" fontId="41" fillId="16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0" fontId="41" fillId="16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0" fontId="41" fillId="19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0" fontId="41" fillId="19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0" fontId="41" fillId="19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0" fontId="41" fillId="19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0" fontId="41" fillId="19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0" fontId="41" fillId="19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0" fontId="41" fillId="19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0" fontId="41" fillId="19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0" fontId="41" fillId="73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0" fontId="41" fillId="19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0" fontId="113" fillId="19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0" fontId="41" fillId="19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0" fontId="41" fillId="19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0" fontId="41" fillId="19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0" fontId="41" fillId="19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0" fontId="41" fillId="19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0" fontId="41" fillId="22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0" fontId="41" fillId="22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0" fontId="41" fillId="22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0" fontId="41" fillId="22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0" fontId="41" fillId="22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0" fontId="41" fillId="22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0" fontId="41" fillId="22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0" fontId="41" fillId="22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0" fontId="41" fillId="7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0" fontId="41" fillId="22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0" fontId="113" fillId="22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0" fontId="41" fillId="22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0" fontId="41" fillId="22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0" fontId="41" fillId="22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0" fontId="41" fillId="22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0" fontId="41" fillId="22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6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58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0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2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4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223" fontId="3" fillId="66" borderId="0" applyNumberFormat="0" applyBorder="0" applyAlignment="0" applyProtection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206" fontId="42" fillId="23" borderId="0" applyNumberFormat="0" applyBorder="0" applyAlignment="0" applyProtection="0"/>
    <xf numFmtId="206" fontId="42" fillId="20" borderId="0" applyNumberFormat="0" applyBorder="0" applyAlignment="0" applyProtection="0"/>
    <xf numFmtId="206" fontId="42" fillId="21" borderId="0" applyNumberFormat="0" applyBorder="0" applyAlignment="0" applyProtection="0"/>
    <xf numFmtId="206" fontId="42" fillId="24" borderId="0" applyNumberFormat="0" applyBorder="0" applyAlignment="0" applyProtection="0"/>
    <xf numFmtId="206" fontId="42" fillId="25" borderId="0" applyNumberFormat="0" applyBorder="0" applyAlignment="0" applyProtection="0"/>
    <xf numFmtId="206" fontId="42" fillId="26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77" borderId="0" applyNumberFormat="0" applyBorder="0" applyAlignment="0" applyProtection="0"/>
    <xf numFmtId="0" fontId="116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0" borderId="0" applyNumberFormat="0" applyBorder="0" applyAlignment="0" applyProtection="0"/>
    <xf numFmtId="0" fontId="42" fillId="20" borderId="0" applyNumberFormat="0" applyBorder="0" applyAlignment="0" applyProtection="0"/>
    <xf numFmtId="0" fontId="42" fillId="20" borderId="0" applyNumberFormat="0" applyBorder="0" applyAlignment="0" applyProtection="0"/>
    <xf numFmtId="0" fontId="42" fillId="20" borderId="0" applyNumberFormat="0" applyBorder="0" applyAlignment="0" applyProtection="0"/>
    <xf numFmtId="0" fontId="42" fillId="20" borderId="0" applyNumberFormat="0" applyBorder="0" applyAlignment="0" applyProtection="0"/>
    <xf numFmtId="0" fontId="42" fillId="20" borderId="0" applyNumberFormat="0" applyBorder="0" applyAlignment="0" applyProtection="0"/>
    <xf numFmtId="0" fontId="42" fillId="20" borderId="0" applyNumberFormat="0" applyBorder="0" applyAlignment="0" applyProtection="0"/>
    <xf numFmtId="0" fontId="42" fillId="20" borderId="0" applyNumberFormat="0" applyBorder="0" applyAlignment="0" applyProtection="0"/>
    <xf numFmtId="0" fontId="42" fillId="74" borderId="0" applyNumberFormat="0" applyBorder="0" applyAlignment="0" applyProtection="0"/>
    <xf numFmtId="0" fontId="116" fillId="20" borderId="0" applyNumberFormat="0" applyBorder="0" applyAlignment="0" applyProtection="0"/>
    <xf numFmtId="0" fontId="42" fillId="20" borderId="0" applyNumberFormat="0" applyBorder="0" applyAlignment="0" applyProtection="0"/>
    <xf numFmtId="0" fontId="42" fillId="20" borderId="0" applyNumberFormat="0" applyBorder="0" applyAlignment="0" applyProtection="0"/>
    <xf numFmtId="0" fontId="42" fillId="20" borderId="0" applyNumberFormat="0" applyBorder="0" applyAlignment="0" applyProtection="0"/>
    <xf numFmtId="0" fontId="42" fillId="20" borderId="0" applyNumberFormat="0" applyBorder="0" applyAlignment="0" applyProtection="0"/>
    <xf numFmtId="0" fontId="42" fillId="20" borderId="0" applyNumberFormat="0" applyBorder="0" applyAlignment="0" applyProtection="0"/>
    <xf numFmtId="0" fontId="42" fillId="20" borderId="0" applyNumberFormat="0" applyBorder="0" applyAlignment="0" applyProtection="0"/>
    <xf numFmtId="0" fontId="42" fillId="21" borderId="0" applyNumberFormat="0" applyBorder="0" applyAlignment="0" applyProtection="0"/>
    <xf numFmtId="0" fontId="42" fillId="21" borderId="0" applyNumberFormat="0" applyBorder="0" applyAlignment="0" applyProtection="0"/>
    <xf numFmtId="0" fontId="42" fillId="21" borderId="0" applyNumberFormat="0" applyBorder="0" applyAlignment="0" applyProtection="0"/>
    <xf numFmtId="0" fontId="42" fillId="21" borderId="0" applyNumberFormat="0" applyBorder="0" applyAlignment="0" applyProtection="0"/>
    <xf numFmtId="0" fontId="42" fillId="21" borderId="0" applyNumberFormat="0" applyBorder="0" applyAlignment="0" applyProtection="0"/>
    <xf numFmtId="0" fontId="42" fillId="21" borderId="0" applyNumberFormat="0" applyBorder="0" applyAlignment="0" applyProtection="0"/>
    <xf numFmtId="0" fontId="42" fillId="21" borderId="0" applyNumberFormat="0" applyBorder="0" applyAlignment="0" applyProtection="0"/>
    <xf numFmtId="0" fontId="42" fillId="21" borderId="0" applyNumberFormat="0" applyBorder="0" applyAlignment="0" applyProtection="0"/>
    <xf numFmtId="0" fontId="42" fillId="75" borderId="0" applyNumberFormat="0" applyBorder="0" applyAlignment="0" applyProtection="0"/>
    <xf numFmtId="0" fontId="116" fillId="21" borderId="0" applyNumberFormat="0" applyBorder="0" applyAlignment="0" applyProtection="0"/>
    <xf numFmtId="0" fontId="42" fillId="21" borderId="0" applyNumberFormat="0" applyBorder="0" applyAlignment="0" applyProtection="0"/>
    <xf numFmtId="0" fontId="42" fillId="21" borderId="0" applyNumberFormat="0" applyBorder="0" applyAlignment="0" applyProtection="0"/>
    <xf numFmtId="0" fontId="42" fillId="21" borderId="0" applyNumberFormat="0" applyBorder="0" applyAlignment="0" applyProtection="0"/>
    <xf numFmtId="0" fontId="42" fillId="21" borderId="0" applyNumberFormat="0" applyBorder="0" applyAlignment="0" applyProtection="0"/>
    <xf numFmtId="0" fontId="42" fillId="21" borderId="0" applyNumberFormat="0" applyBorder="0" applyAlignment="0" applyProtection="0"/>
    <xf numFmtId="0" fontId="42" fillId="21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78" borderId="0" applyNumberFormat="0" applyBorder="0" applyAlignment="0" applyProtection="0"/>
    <xf numFmtId="0" fontId="116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79" borderId="0" applyNumberFormat="0" applyBorder="0" applyAlignment="0" applyProtection="0"/>
    <xf numFmtId="0" fontId="116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80" borderId="0" applyNumberFormat="0" applyBorder="0" applyAlignment="0" applyProtection="0"/>
    <xf numFmtId="0" fontId="116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63" fillId="36" borderId="0" applyFont="0" applyFill="0"/>
    <xf numFmtId="206" fontId="63" fillId="36" borderId="0" applyFont="0" applyFill="0"/>
    <xf numFmtId="37" fontId="9" fillId="0" borderId="0"/>
    <xf numFmtId="37" fontId="9" fillId="0" borderId="0"/>
    <xf numFmtId="37" fontId="9" fillId="0" borderId="0"/>
    <xf numFmtId="0" fontId="41" fillId="81" borderId="0" applyNumberFormat="0" applyBorder="0" applyAlignment="0" applyProtection="0"/>
    <xf numFmtId="0" fontId="41" fillId="81" borderId="0" applyNumberFormat="0" applyBorder="0" applyAlignment="0" applyProtection="0"/>
    <xf numFmtId="0" fontId="42" fillId="82" borderId="0" applyNumberFormat="0" applyBorder="0" applyAlignment="0" applyProtection="0"/>
    <xf numFmtId="206" fontId="42" fillId="27" borderId="0" applyNumberFormat="0" applyBorder="0" applyAlignment="0" applyProtection="0"/>
    <xf numFmtId="0" fontId="42" fillId="83" borderId="0" applyNumberFormat="0" applyBorder="0" applyAlignment="0" applyProtection="0"/>
    <xf numFmtId="0" fontId="41" fillId="84" borderId="0" applyNumberFormat="0" applyBorder="0" applyAlignment="0" applyProtection="0"/>
    <xf numFmtId="0" fontId="41" fillId="85" borderId="0" applyNumberFormat="0" applyBorder="0" applyAlignment="0" applyProtection="0"/>
    <xf numFmtId="0" fontId="42" fillId="86" borderId="0" applyNumberFormat="0" applyBorder="0" applyAlignment="0" applyProtection="0"/>
    <xf numFmtId="206" fontId="42" fillId="28" borderId="0" applyNumberFormat="0" applyBorder="0" applyAlignment="0" applyProtection="0"/>
    <xf numFmtId="0" fontId="42" fillId="87" borderId="0" applyNumberFormat="0" applyBorder="0" applyAlignment="0" applyProtection="0"/>
    <xf numFmtId="0" fontId="41" fillId="84" borderId="0" applyNumberFormat="0" applyBorder="0" applyAlignment="0" applyProtection="0"/>
    <xf numFmtId="0" fontId="41" fillId="88" borderId="0" applyNumberFormat="0" applyBorder="0" applyAlignment="0" applyProtection="0"/>
    <xf numFmtId="0" fontId="42" fillId="85" borderId="0" applyNumberFormat="0" applyBorder="0" applyAlignment="0" applyProtection="0"/>
    <xf numFmtId="206" fontId="42" fillId="29" borderId="0" applyNumberFormat="0" applyBorder="0" applyAlignment="0" applyProtection="0"/>
    <xf numFmtId="0" fontId="42" fillId="86" borderId="0" applyNumberFormat="0" applyBorder="0" applyAlignment="0" applyProtection="0"/>
    <xf numFmtId="0" fontId="41" fillId="81" borderId="0" applyNumberFormat="0" applyBorder="0" applyAlignment="0" applyProtection="0"/>
    <xf numFmtId="0" fontId="41" fillId="85" borderId="0" applyNumberFormat="0" applyBorder="0" applyAlignment="0" applyProtection="0"/>
    <xf numFmtId="0" fontId="42" fillId="85" borderId="0" applyNumberFormat="0" applyBorder="0" applyAlignment="0" applyProtection="0"/>
    <xf numFmtId="206" fontId="42" fillId="24" borderId="0" applyNumberFormat="0" applyBorder="0" applyAlignment="0" applyProtection="0"/>
    <xf numFmtId="0" fontId="42" fillId="83" borderId="0" applyNumberFormat="0" applyBorder="0" applyAlignment="0" applyProtection="0"/>
    <xf numFmtId="0" fontId="41" fillId="89" borderId="0" applyNumberFormat="0" applyBorder="0" applyAlignment="0" applyProtection="0"/>
    <xf numFmtId="0" fontId="41" fillId="81" borderId="0" applyNumberFormat="0" applyBorder="0" applyAlignment="0" applyProtection="0"/>
    <xf numFmtId="0" fontId="42" fillId="82" borderId="0" applyNumberFormat="0" applyBorder="0" applyAlignment="0" applyProtection="0"/>
    <xf numFmtId="206" fontId="42" fillId="25" borderId="0" applyNumberFormat="0" applyBorder="0" applyAlignment="0" applyProtection="0"/>
    <xf numFmtId="0" fontId="42" fillId="90" borderId="0" applyNumberFormat="0" applyBorder="0" applyAlignment="0" applyProtection="0"/>
    <xf numFmtId="0" fontId="41" fillId="84" borderId="0" applyNumberFormat="0" applyBorder="0" applyAlignment="0" applyProtection="0"/>
    <xf numFmtId="0" fontId="41" fillId="91" borderId="0" applyNumberFormat="0" applyBorder="0" applyAlignment="0" applyProtection="0"/>
    <xf numFmtId="0" fontId="42" fillId="91" borderId="0" applyNumberFormat="0" applyBorder="0" applyAlignment="0" applyProtection="0"/>
    <xf numFmtId="206" fontId="42" fillId="30" borderId="0" applyNumberFormat="0" applyBorder="0" applyAlignment="0" applyProtection="0"/>
    <xf numFmtId="0" fontId="42" fillId="92" borderId="0" applyNumberFormat="0" applyBorder="0" applyAlignment="0" applyProtection="0"/>
    <xf numFmtId="224" fontId="117" fillId="0" borderId="0" applyFont="0" applyFill="0" applyBorder="0" applyAlignment="0" applyProtection="0"/>
    <xf numFmtId="225" fontId="117" fillId="0" borderId="0" applyFont="0" applyFill="0" applyBorder="0" applyAlignment="0" applyProtection="0"/>
    <xf numFmtId="226" fontId="9" fillId="0" borderId="0" applyFont="0" applyFill="0" applyBorder="0" applyAlignment="0" applyProtection="0"/>
    <xf numFmtId="227" fontId="10" fillId="93" borderId="61">
      <alignment horizontal="center" vertical="center"/>
    </xf>
    <xf numFmtId="227" fontId="10" fillId="93" borderId="61">
      <alignment horizontal="center" vertical="center"/>
    </xf>
    <xf numFmtId="0" fontId="9" fillId="0" borderId="0"/>
    <xf numFmtId="10" fontId="9" fillId="40" borderId="0" applyFont="0" applyBorder="0" applyAlignment="0">
      <protection locked="0"/>
    </xf>
    <xf numFmtId="228" fontId="9" fillId="40" borderId="0" applyBorder="0" applyAlignment="0">
      <protection locked="0"/>
    </xf>
    <xf numFmtId="0" fontId="10" fillId="0" borderId="0"/>
    <xf numFmtId="0" fontId="87" fillId="94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206" fontId="18" fillId="0" borderId="0" applyNumberFormat="0" applyFill="0" applyBorder="0" applyAlignment="0" applyProtection="0"/>
    <xf numFmtId="0" fontId="118" fillId="0" borderId="6">
      <protection hidden="1"/>
    </xf>
    <xf numFmtId="0" fontId="119" fillId="31" borderId="6" applyNumberFormat="0" applyFont="0" applyBorder="0" applyAlignment="0" applyProtection="0">
      <protection hidden="1"/>
    </xf>
    <xf numFmtId="1" fontId="9" fillId="95" borderId="0"/>
    <xf numFmtId="206" fontId="43" fillId="14" borderId="0" applyNumberFormat="0" applyBorder="0" applyAlignment="0" applyProtection="0"/>
    <xf numFmtId="0" fontId="24" fillId="0" borderId="0" applyNumberFormat="0" applyFill="0" applyBorder="0" applyAlignment="0" applyProtection="0">
      <alignment horizontal="center"/>
    </xf>
    <xf numFmtId="0" fontId="120" fillId="0" borderId="0" applyNumberFormat="0" applyFill="0" applyBorder="0" applyAlignment="0" applyProtection="0"/>
    <xf numFmtId="206" fontId="120" fillId="0" borderId="0" applyNumberFormat="0" applyFill="0" applyBorder="0" applyAlignment="0" applyProtection="0"/>
    <xf numFmtId="0" fontId="58" fillId="96" borderId="0" applyNumberFormat="0" applyFill="0" applyBorder="0" applyAlignment="0" applyProtection="0">
      <protection locked="0"/>
    </xf>
    <xf numFmtId="206" fontId="58" fillId="96" borderId="0" applyNumberFormat="0" applyFill="0" applyBorder="0" applyAlignment="0" applyProtection="0">
      <protection locked="0"/>
    </xf>
    <xf numFmtId="229" fontId="15" fillId="0" borderId="0" applyNumberFormat="0" applyFont="0" applyAlignment="0"/>
    <xf numFmtId="0" fontId="112" fillId="0" borderId="0" applyFont="0" applyFill="0" applyBorder="0" applyAlignment="0" applyProtection="0">
      <alignment horizontal="right"/>
    </xf>
    <xf numFmtId="229" fontId="15" fillId="0" borderId="0" applyNumberFormat="0" applyFont="0" applyAlignment="0"/>
    <xf numFmtId="0" fontId="121" fillId="0" borderId="0" applyFont="0" applyFill="0" applyBorder="0" applyAlignment="0" applyProtection="0">
      <alignment horizontal="right"/>
    </xf>
    <xf numFmtId="230" fontId="63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14" fontId="123" fillId="0" borderId="0" applyNumberFormat="0" applyFill="0" applyBorder="0" applyAlignment="0" applyProtection="0">
      <alignment horizontal="center"/>
    </xf>
    <xf numFmtId="14" fontId="123" fillId="0" borderId="0" applyNumberFormat="0" applyFill="0" applyBorder="0" applyAlignment="0" applyProtection="0">
      <alignment horizontal="center"/>
    </xf>
    <xf numFmtId="14" fontId="123" fillId="0" borderId="0" applyNumberFormat="0" applyFill="0" applyBorder="0" applyAlignment="0" applyProtection="0">
      <alignment horizontal="center"/>
    </xf>
    <xf numFmtId="14" fontId="123" fillId="0" borderId="0" applyNumberFormat="0" applyFill="0" applyBorder="0" applyAlignment="0" applyProtection="0">
      <alignment horizontal="center"/>
    </xf>
    <xf numFmtId="230" fontId="63" fillId="0" borderId="0" applyNumberFormat="0" applyFill="0" applyBorder="0" applyAlignment="0" applyProtection="0"/>
    <xf numFmtId="230" fontId="63" fillId="0" borderId="0" applyNumberFormat="0" applyFill="0" applyBorder="0" applyAlignment="0" applyProtection="0"/>
    <xf numFmtId="230" fontId="63" fillId="0" borderId="0" applyNumberFormat="0" applyFill="0" applyBorder="0" applyAlignment="0" applyProtection="0"/>
    <xf numFmtId="0" fontId="124" fillId="0" borderId="0"/>
    <xf numFmtId="231" fontId="125" fillId="0" borderId="0" applyBorder="0" applyProtection="0"/>
    <xf numFmtId="232" fontId="9" fillId="0" borderId="0"/>
    <xf numFmtId="0" fontId="72" fillId="0" borderId="0"/>
    <xf numFmtId="0" fontId="73" fillId="0" borderId="9" applyNumberFormat="0" applyFill="0" applyAlignment="0" applyProtection="0"/>
    <xf numFmtId="0" fontId="59" fillId="96" borderId="38" applyNumberFormat="0" applyFill="0" applyBorder="0" applyAlignment="0" applyProtection="0">
      <protection locked="0"/>
    </xf>
    <xf numFmtId="206" fontId="59" fillId="96" borderId="38" applyNumberFormat="0" applyFill="0" applyBorder="0" applyAlignment="0" applyProtection="0">
      <protection locked="0"/>
    </xf>
    <xf numFmtId="0" fontId="47" fillId="15" borderId="0" applyNumberFormat="0" applyBorder="0" applyAlignment="0" applyProtection="0"/>
    <xf numFmtId="0" fontId="47" fillId="15" borderId="0" applyNumberFormat="0" applyBorder="0" applyAlignment="0" applyProtection="0"/>
    <xf numFmtId="0" fontId="47" fillId="15" borderId="0" applyNumberFormat="0" applyBorder="0" applyAlignment="0" applyProtection="0"/>
    <xf numFmtId="0" fontId="47" fillId="15" borderId="0" applyNumberFormat="0" applyBorder="0" applyAlignment="0" applyProtection="0"/>
    <xf numFmtId="0" fontId="47" fillId="15" borderId="0" applyNumberFormat="0" applyBorder="0" applyAlignment="0" applyProtection="0"/>
    <xf numFmtId="0" fontId="47" fillId="15" borderId="0" applyNumberFormat="0" applyBorder="0" applyAlignment="0" applyProtection="0"/>
    <xf numFmtId="0" fontId="47" fillId="15" borderId="0" applyNumberFormat="0" applyBorder="0" applyAlignment="0" applyProtection="0"/>
    <xf numFmtId="0" fontId="47" fillId="15" borderId="0" applyNumberFormat="0" applyBorder="0" applyAlignment="0" applyProtection="0"/>
    <xf numFmtId="0" fontId="47" fillId="69" borderId="0" applyNumberFormat="0" applyBorder="0" applyAlignment="0" applyProtection="0"/>
    <xf numFmtId="0" fontId="126" fillId="15" borderId="0" applyNumberFormat="0" applyBorder="0" applyAlignment="0" applyProtection="0"/>
    <xf numFmtId="0" fontId="47" fillId="15" borderId="0" applyNumberFormat="0" applyBorder="0" applyAlignment="0" applyProtection="0"/>
    <xf numFmtId="0" fontId="47" fillId="15" borderId="0" applyNumberFormat="0" applyBorder="0" applyAlignment="0" applyProtection="0"/>
    <xf numFmtId="0" fontId="47" fillId="15" borderId="0" applyNumberFormat="0" applyBorder="0" applyAlignment="0" applyProtection="0"/>
    <xf numFmtId="0" fontId="47" fillId="15" borderId="0" applyNumberFormat="0" applyBorder="0" applyAlignment="0" applyProtection="0"/>
    <xf numFmtId="0" fontId="47" fillId="15" borderId="0" applyNumberFormat="0" applyBorder="0" applyAlignment="0" applyProtection="0"/>
    <xf numFmtId="0" fontId="47" fillId="15" borderId="0" applyNumberFormat="0" applyBorder="0" applyAlignment="0" applyProtection="0"/>
    <xf numFmtId="0" fontId="81" fillId="0" borderId="62" applyNumberFormat="0" applyFont="0" applyFill="0" applyAlignment="0" applyProtection="0"/>
    <xf numFmtId="0" fontId="81" fillId="0" borderId="62" applyNumberFormat="0" applyFont="0" applyFill="0" applyAlignment="0" applyProtection="0"/>
    <xf numFmtId="0" fontId="81" fillId="0" borderId="63" applyNumberFormat="0" applyFont="0" applyFill="0" applyAlignment="0" applyProtection="0"/>
    <xf numFmtId="206" fontId="81" fillId="0" borderId="63" applyNumberFormat="0" applyFont="0" applyFill="0" applyAlignment="0" applyProtection="0"/>
    <xf numFmtId="0" fontId="127" fillId="0" borderId="64" applyFill="0" applyProtection="0">
      <alignment horizontal="right"/>
    </xf>
    <xf numFmtId="233" fontId="128" fillId="0" borderId="0" applyFont="0" applyFill="0" applyBorder="0" applyAlignment="0" applyProtection="0"/>
    <xf numFmtId="223" fontId="47" fillId="17" borderId="0" applyNumberFormat="0" applyBorder="0" applyAlignment="0" applyProtection="0"/>
    <xf numFmtId="234" fontId="109" fillId="0" borderId="0" applyFont="0" applyFill="0" applyBorder="0" applyAlignment="0" applyProtection="0"/>
    <xf numFmtId="1" fontId="23" fillId="0" borderId="0">
      <protection locked="0"/>
    </xf>
    <xf numFmtId="1" fontId="23" fillId="0" borderId="0">
      <protection locked="0"/>
    </xf>
    <xf numFmtId="0" fontId="22" fillId="40" borderId="8" applyNumberFormat="0" applyFont="0" applyBorder="0" applyAlignment="0">
      <alignment horizontal="left" vertical="center"/>
    </xf>
    <xf numFmtId="0" fontId="129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14" fontId="66" fillId="42" borderId="65" applyBorder="0" applyAlignment="0">
      <alignment horizontal="center" vertical="center"/>
    </xf>
    <xf numFmtId="14" fontId="66" fillId="42" borderId="65" applyBorder="0" applyAlignment="0">
      <alignment horizontal="center" vertical="center"/>
    </xf>
    <xf numFmtId="14" fontId="66" fillId="42" borderId="65" applyBorder="0" applyAlignment="0">
      <alignment horizontal="center" vertical="center"/>
    </xf>
    <xf numFmtId="14" fontId="66" fillId="42" borderId="65" applyBorder="0" applyAlignment="0">
      <alignment horizontal="center" vertical="center"/>
    </xf>
    <xf numFmtId="14" fontId="66" fillId="42" borderId="65" applyBorder="0" applyAlignment="0">
      <alignment horizontal="center" vertical="center"/>
    </xf>
    <xf numFmtId="14" fontId="66" fillId="42" borderId="65" applyBorder="0" applyAlignment="0">
      <alignment horizontal="center" vertical="center"/>
    </xf>
    <xf numFmtId="14" fontId="66" fillId="42" borderId="65" applyBorder="0" applyAlignment="0">
      <alignment horizontal="center" vertical="center"/>
    </xf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14" fontId="66" fillId="42" borderId="65" applyBorder="0" applyAlignment="0">
      <alignment horizontal="center" vertical="center"/>
    </xf>
    <xf numFmtId="14" fontId="66" fillId="42" borderId="65" applyBorder="0" applyAlignment="0">
      <alignment horizontal="center" vertical="center"/>
    </xf>
    <xf numFmtId="14" fontId="66" fillId="42" borderId="65" applyBorder="0" applyAlignment="0">
      <alignment horizontal="center" vertical="center"/>
    </xf>
    <xf numFmtId="14" fontId="66" fillId="42" borderId="65" applyBorder="0" applyAlignment="0">
      <alignment horizontal="center" vertical="center"/>
    </xf>
    <xf numFmtId="14" fontId="66" fillId="42" borderId="65" applyBorder="0" applyAlignment="0">
      <alignment horizontal="center" vertical="center"/>
    </xf>
    <xf numFmtId="14" fontId="66" fillId="42" borderId="65" applyBorder="0" applyAlignment="0">
      <alignment horizontal="center" vertical="center"/>
    </xf>
    <xf numFmtId="14" fontId="66" fillId="42" borderId="65" applyBorder="0" applyAlignment="0">
      <alignment horizontal="center" vertical="center"/>
    </xf>
    <xf numFmtId="0" fontId="66" fillId="8" borderId="65" applyNumberFormat="0" applyBorder="0" applyAlignment="0">
      <alignment horizontal="center" vertical="center"/>
    </xf>
    <xf numFmtId="39" fontId="130" fillId="0" borderId="0" applyFill="0" applyBorder="0" applyAlignment="0"/>
    <xf numFmtId="0" fontId="44" fillId="31" borderId="66" applyNumberFormat="0" applyAlignment="0" applyProtection="0"/>
    <xf numFmtId="0" fontId="44" fillId="31" borderId="66" applyNumberFormat="0" applyAlignment="0" applyProtection="0"/>
    <xf numFmtId="0" fontId="44" fillId="31" borderId="66" applyNumberFormat="0" applyAlignment="0" applyProtection="0"/>
    <xf numFmtId="0" fontId="44" fillId="31" borderId="66" applyNumberFormat="0" applyAlignment="0" applyProtection="0"/>
    <xf numFmtId="0" fontId="44" fillId="31" borderId="66" applyNumberFormat="0" applyAlignment="0" applyProtection="0"/>
    <xf numFmtId="0" fontId="44" fillId="31" borderId="66" applyNumberFormat="0" applyAlignment="0" applyProtection="0"/>
    <xf numFmtId="0" fontId="44" fillId="31" borderId="66" applyNumberFormat="0" applyAlignment="0" applyProtection="0"/>
    <xf numFmtId="0" fontId="44" fillId="31" borderId="66" applyNumberFormat="0" applyAlignment="0" applyProtection="0"/>
    <xf numFmtId="0" fontId="44" fillId="31" borderId="66" applyNumberFormat="0" applyAlignment="0" applyProtection="0"/>
    <xf numFmtId="0" fontId="44" fillId="31" borderId="66" applyNumberFormat="0" applyAlignment="0" applyProtection="0"/>
    <xf numFmtId="0" fontId="44" fillId="97" borderId="66" applyNumberFormat="0" applyAlignment="0" applyProtection="0"/>
    <xf numFmtId="0" fontId="44" fillId="31" borderId="66" applyNumberFormat="0" applyAlignment="0" applyProtection="0"/>
    <xf numFmtId="0" fontId="131" fillId="31" borderId="66" applyNumberFormat="0" applyAlignment="0" applyProtection="0"/>
    <xf numFmtId="0" fontId="44" fillId="31" borderId="66" applyNumberFormat="0" applyAlignment="0" applyProtection="0"/>
    <xf numFmtId="0" fontId="44" fillId="31" borderId="66" applyNumberFormat="0" applyAlignment="0" applyProtection="0"/>
    <xf numFmtId="0" fontId="44" fillId="31" borderId="66" applyNumberFormat="0" applyAlignment="0" applyProtection="0"/>
    <xf numFmtId="0" fontId="44" fillId="31" borderId="66" applyNumberFormat="0" applyAlignment="0" applyProtection="0"/>
    <xf numFmtId="0" fontId="44" fillId="31" borderId="66" applyNumberFormat="0" applyAlignment="0" applyProtection="0"/>
    <xf numFmtId="0" fontId="44" fillId="31" borderId="66" applyNumberFormat="0" applyAlignment="0" applyProtection="0"/>
    <xf numFmtId="0" fontId="9" fillId="0" borderId="0"/>
    <xf numFmtId="223" fontId="45" fillId="32" borderId="11" applyNumberFormat="0" applyAlignment="0" applyProtection="0"/>
    <xf numFmtId="223" fontId="57" fillId="0" borderId="67" applyNumberFormat="0" applyFill="0" applyAlignment="0" applyProtection="0"/>
    <xf numFmtId="0" fontId="45" fillId="32" borderId="11" applyNumberFormat="0" applyAlignment="0" applyProtection="0"/>
    <xf numFmtId="0" fontId="45" fillId="32" borderId="11" applyNumberFormat="0" applyAlignment="0" applyProtection="0"/>
    <xf numFmtId="0" fontId="45" fillId="32" borderId="11" applyNumberFormat="0" applyAlignment="0" applyProtection="0"/>
    <xf numFmtId="0" fontId="45" fillId="32" borderId="11" applyNumberFormat="0" applyAlignment="0" applyProtection="0"/>
    <xf numFmtId="0" fontId="45" fillId="32" borderId="11" applyNumberFormat="0" applyAlignment="0" applyProtection="0"/>
    <xf numFmtId="0" fontId="45" fillId="32" borderId="11" applyNumberFormat="0" applyAlignment="0" applyProtection="0"/>
    <xf numFmtId="0" fontId="45" fillId="32" borderId="11" applyNumberFormat="0" applyAlignment="0" applyProtection="0"/>
    <xf numFmtId="0" fontId="45" fillId="32" borderId="11" applyNumberFormat="0" applyAlignment="0" applyProtection="0"/>
    <xf numFmtId="0" fontId="45" fillId="98" borderId="11" applyNumberFormat="0" applyAlignment="0" applyProtection="0"/>
    <xf numFmtId="0" fontId="132" fillId="32" borderId="11" applyNumberFormat="0" applyAlignment="0" applyProtection="0"/>
    <xf numFmtId="0" fontId="45" fillId="32" borderId="11" applyNumberFormat="0" applyAlignment="0" applyProtection="0"/>
    <xf numFmtId="0" fontId="45" fillId="32" borderId="11" applyNumberFormat="0" applyAlignment="0" applyProtection="0"/>
    <xf numFmtId="0" fontId="45" fillId="32" borderId="11" applyNumberFormat="0" applyAlignment="0" applyProtection="0"/>
    <xf numFmtId="0" fontId="45" fillId="32" borderId="11" applyNumberFormat="0" applyAlignment="0" applyProtection="0"/>
    <xf numFmtId="0" fontId="45" fillId="32" borderId="11" applyNumberFormat="0" applyAlignment="0" applyProtection="0"/>
    <xf numFmtId="0" fontId="45" fillId="32" borderId="11" applyNumberFormat="0" applyAlignment="0" applyProtection="0"/>
    <xf numFmtId="0" fontId="52" fillId="0" borderId="15" applyNumberFormat="0" applyFill="0" applyAlignment="0" applyProtection="0"/>
    <xf numFmtId="0" fontId="52" fillId="0" borderId="15" applyNumberFormat="0" applyFill="0" applyAlignment="0" applyProtection="0"/>
    <xf numFmtId="0" fontId="52" fillId="0" borderId="15" applyNumberFormat="0" applyFill="0" applyAlignment="0" applyProtection="0"/>
    <xf numFmtId="0" fontId="52" fillId="0" borderId="15" applyNumberFormat="0" applyFill="0" applyAlignment="0" applyProtection="0"/>
    <xf numFmtId="0" fontId="52" fillId="0" borderId="15" applyNumberFormat="0" applyFill="0" applyAlignment="0" applyProtection="0"/>
    <xf numFmtId="0" fontId="52" fillId="0" borderId="15" applyNumberFormat="0" applyFill="0" applyAlignment="0" applyProtection="0"/>
    <xf numFmtId="0" fontId="52" fillId="0" borderId="15" applyNumberFormat="0" applyFill="0" applyAlignment="0" applyProtection="0"/>
    <xf numFmtId="0" fontId="52" fillId="0" borderId="15" applyNumberFormat="0" applyFill="0" applyAlignment="0" applyProtection="0"/>
    <xf numFmtId="0" fontId="52" fillId="0" borderId="15" applyNumberFormat="0" applyFill="0" applyAlignment="0" applyProtection="0"/>
    <xf numFmtId="0" fontId="133" fillId="0" borderId="15" applyNumberFormat="0" applyFill="0" applyAlignment="0" applyProtection="0"/>
    <xf numFmtId="0" fontId="52" fillId="0" borderId="15" applyNumberFormat="0" applyFill="0" applyAlignment="0" applyProtection="0"/>
    <xf numFmtId="0" fontId="52" fillId="0" borderId="15" applyNumberFormat="0" applyFill="0" applyAlignment="0" applyProtection="0"/>
    <xf numFmtId="0" fontId="52" fillId="0" borderId="15" applyNumberFormat="0" applyFill="0" applyAlignment="0" applyProtection="0"/>
    <xf numFmtId="0" fontId="52" fillId="0" borderId="15" applyNumberFormat="0" applyFill="0" applyAlignment="0" applyProtection="0"/>
    <xf numFmtId="0" fontId="52" fillId="0" borderId="15" applyNumberFormat="0" applyFill="0" applyAlignment="0" applyProtection="0"/>
    <xf numFmtId="0" fontId="52" fillId="0" borderId="15" applyNumberFormat="0" applyFill="0" applyAlignment="0" applyProtection="0"/>
    <xf numFmtId="0" fontId="72" fillId="0" borderId="0" applyNumberFormat="0" applyFont="0" applyFill="0" applyBorder="0" applyProtection="0">
      <alignment horizontal="center" vertical="center" wrapText="1"/>
    </xf>
    <xf numFmtId="235" fontId="9" fillId="0" borderId="68" applyFont="0" applyFill="0" applyBorder="0" applyProtection="0">
      <alignment horizontal="right"/>
    </xf>
    <xf numFmtId="235" fontId="9" fillId="0" borderId="68" applyFont="0" applyFill="0" applyBorder="0" applyProtection="0">
      <alignment horizontal="right"/>
    </xf>
    <xf numFmtId="206" fontId="45" fillId="32" borderId="11" applyNumberFormat="0" applyAlignment="0" applyProtection="0"/>
    <xf numFmtId="0" fontId="15" fillId="0" borderId="0" applyNumberFormat="0" applyFill="0" applyBorder="0" applyAlignment="0" applyProtection="0"/>
    <xf numFmtId="0" fontId="134" fillId="0" borderId="0" applyNumberFormat="0" applyFill="0" applyBorder="0" applyProtection="0">
      <alignment horizontal="right"/>
    </xf>
    <xf numFmtId="206" fontId="134" fillId="0" borderId="0" applyNumberFormat="0" applyFill="0" applyBorder="0" applyProtection="0">
      <alignment horizontal="right"/>
    </xf>
    <xf numFmtId="0" fontId="22" fillId="0" borderId="69">
      <alignment horizontal="center"/>
    </xf>
    <xf numFmtId="0" fontId="135" fillId="99" borderId="0" applyFont="0" applyBorder="0" applyAlignment="0">
      <alignment horizontal="center"/>
    </xf>
    <xf numFmtId="195" fontId="82" fillId="0" borderId="0" applyFont="0" applyFill="0" applyBorder="0" applyAlignment="0" applyProtection="0"/>
    <xf numFmtId="165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36" fontId="9" fillId="0" borderId="0" applyFont="0" applyFill="0" applyBorder="0" applyAlignment="0" applyProtection="0"/>
    <xf numFmtId="237" fontId="9" fillId="0" borderId="0" applyFont="0" applyFill="0" applyBorder="0" applyAlignment="0" applyProtection="0"/>
    <xf numFmtId="238" fontId="81" fillId="0" borderId="0" applyFont="0" applyFill="0" applyBorder="0" applyAlignment="0" applyProtection="0"/>
    <xf numFmtId="238" fontId="81" fillId="0" borderId="0" applyFont="0" applyFill="0" applyBorder="0" applyAlignment="0" applyProtection="0"/>
    <xf numFmtId="40" fontId="136" fillId="0" borderId="0" applyFont="0" applyFill="0" applyBorder="0" applyAlignment="0" applyProtection="0">
      <alignment horizontal="center"/>
    </xf>
    <xf numFmtId="239" fontId="136" fillId="0" borderId="0" applyFont="0" applyFill="0" applyBorder="0" applyAlignment="0" applyProtection="0">
      <alignment horizontal="center"/>
    </xf>
    <xf numFmtId="240" fontId="125" fillId="0" borderId="0" applyFont="0" applyFill="0" applyBorder="0" applyAlignment="0" applyProtection="0">
      <alignment horizontal="right"/>
    </xf>
    <xf numFmtId="241" fontId="9" fillId="0" borderId="0" applyFont="0" applyFill="0" applyBorder="0" applyAlignment="0" applyProtection="0">
      <alignment horizontal="right"/>
    </xf>
    <xf numFmtId="242" fontId="125" fillId="0" borderId="0" applyFont="0" applyFill="0" applyBorder="0" applyAlignment="0" applyProtection="0"/>
    <xf numFmtId="0" fontId="125" fillId="0" borderId="0" applyFont="0" applyFill="0" applyBorder="0" applyAlignment="0" applyProtection="0">
      <alignment horizontal="right"/>
    </xf>
    <xf numFmtId="165" fontId="137" fillId="0" borderId="0" applyFont="0" applyFill="0" applyBorder="0" applyAlignment="0" applyProtection="0"/>
    <xf numFmtId="205" fontId="9" fillId="0" borderId="0" applyFont="0" applyFill="0" applyBorder="0" applyAlignment="0" applyProtection="0"/>
    <xf numFmtId="165" fontId="137" fillId="0" borderId="0" applyFont="0" applyFill="0" applyBorder="0" applyAlignment="0" applyProtection="0"/>
    <xf numFmtId="20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205" fontId="9" fillId="0" borderId="0" applyFont="0" applyFill="0" applyBorder="0" applyAlignment="0" applyProtection="0"/>
    <xf numFmtId="176" fontId="9" fillId="0" borderId="0" applyFont="0" applyFill="0" applyBorder="0" applyAlignment="0" applyProtection="0"/>
    <xf numFmtId="205" fontId="9" fillId="0" borderId="0" applyFont="0" applyFill="0" applyBorder="0" applyAlignment="0" applyProtection="0"/>
    <xf numFmtId="176" fontId="9" fillId="0" borderId="0" applyFont="0" applyFill="0" applyBorder="0" applyAlignment="0" applyProtection="0"/>
    <xf numFmtId="205" fontId="9" fillId="0" borderId="0" applyFont="0" applyFill="0" applyBorder="0" applyAlignment="0" applyProtection="0"/>
    <xf numFmtId="243" fontId="125" fillId="0" borderId="0" applyFont="0" applyFill="0" applyBorder="0" applyAlignment="0" applyProtection="0">
      <alignment horizontal="right"/>
    </xf>
    <xf numFmtId="205" fontId="9" fillId="0" borderId="0" applyFont="0" applyFill="0" applyBorder="0" applyAlignment="0" applyProtection="0"/>
    <xf numFmtId="243" fontId="125" fillId="0" borderId="0" applyFont="0" applyFill="0" applyBorder="0" applyAlignment="0" applyProtection="0">
      <alignment horizontal="right"/>
    </xf>
    <xf numFmtId="244" fontId="9" fillId="0" borderId="0" applyFont="0" applyFill="0" applyBorder="0" applyAlignment="0" applyProtection="0"/>
    <xf numFmtId="165" fontId="138" fillId="0" borderId="0" applyFont="0" applyFill="0" applyBorder="0" applyAlignment="0" applyProtection="0"/>
    <xf numFmtId="244" fontId="9" fillId="0" borderId="0" applyFont="0" applyFill="0" applyBorder="0" applyAlignment="0" applyProtection="0"/>
    <xf numFmtId="165" fontId="41" fillId="0" borderId="0" applyFont="0" applyFill="0" applyBorder="0" applyAlignment="0" applyProtection="0"/>
    <xf numFmtId="178" fontId="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137" fillId="0" borderId="0" applyFont="0" applyFill="0" applyBorder="0" applyAlignment="0" applyProtection="0"/>
    <xf numFmtId="165" fontId="137" fillId="0" borderId="0" applyFont="0" applyFill="0" applyBorder="0" applyAlignment="0" applyProtection="0"/>
    <xf numFmtId="165" fontId="137" fillId="0" borderId="0" applyFont="0" applyFill="0" applyBorder="0" applyAlignment="0" applyProtection="0"/>
    <xf numFmtId="165" fontId="137" fillId="0" borderId="0" applyFont="0" applyFill="0" applyBorder="0" applyAlignment="0" applyProtection="0"/>
    <xf numFmtId="165" fontId="137" fillId="0" borderId="0" applyFont="0" applyFill="0" applyBorder="0" applyAlignment="0" applyProtection="0"/>
    <xf numFmtId="165" fontId="137" fillId="0" borderId="0" applyFont="0" applyFill="0" applyBorder="0" applyAlignment="0" applyProtection="0"/>
    <xf numFmtId="165" fontId="137" fillId="0" borderId="0" applyFont="0" applyFill="0" applyBorder="0" applyAlignment="0" applyProtection="0"/>
    <xf numFmtId="165" fontId="137" fillId="0" borderId="0" applyFont="0" applyFill="0" applyBorder="0" applyAlignment="0" applyProtection="0"/>
    <xf numFmtId="165" fontId="137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137" fillId="0" borderId="0" applyFont="0" applyFill="0" applyBorder="0" applyAlignment="0" applyProtection="0"/>
    <xf numFmtId="165" fontId="137" fillId="0" borderId="0" applyFont="0" applyFill="0" applyBorder="0" applyAlignment="0" applyProtection="0"/>
    <xf numFmtId="165" fontId="137" fillId="0" borderId="0" applyFont="0" applyFill="0" applyBorder="0" applyAlignment="0" applyProtection="0"/>
    <xf numFmtId="165" fontId="137" fillId="0" borderId="0" applyFont="0" applyFill="0" applyBorder="0" applyAlignment="0" applyProtection="0"/>
    <xf numFmtId="165" fontId="137" fillId="0" borderId="0" applyFont="0" applyFill="0" applyBorder="0" applyAlignment="0" applyProtection="0"/>
    <xf numFmtId="165" fontId="137" fillId="0" borderId="0" applyFont="0" applyFill="0" applyBorder="0" applyAlignment="0" applyProtection="0"/>
    <xf numFmtId="165" fontId="137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37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72" fillId="0" borderId="0" applyFont="0" applyFill="0" applyBorder="0" applyAlignment="0" applyProtection="0"/>
    <xf numFmtId="165" fontId="9" fillId="0" borderId="0" applyFont="0" applyFill="0" applyBorder="0" applyAlignment="0" applyProtection="0"/>
    <xf numFmtId="205" fontId="9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20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41" fillId="0" borderId="0" applyFont="0" applyFill="0" applyBorder="0" applyAlignment="0" applyProtection="0"/>
    <xf numFmtId="205" fontId="9" fillId="0" borderId="0" applyFont="0" applyFill="0" applyBorder="0" applyAlignment="0" applyProtection="0"/>
    <xf numFmtId="243" fontId="9" fillId="0" borderId="0" applyFont="0" applyFill="0" applyBorder="0" applyAlignment="0" applyProtection="0"/>
    <xf numFmtId="205" fontId="9" fillId="0" borderId="0" applyFont="0" applyFill="0" applyBorder="0" applyAlignment="0" applyProtection="0"/>
    <xf numFmtId="243" fontId="9" fillId="0" borderId="0" applyFont="0" applyFill="0" applyBorder="0" applyAlignment="0" applyProtection="0"/>
    <xf numFmtId="205" fontId="9" fillId="0" borderId="0" applyFont="0" applyFill="0" applyBorder="0" applyAlignment="0" applyProtection="0"/>
    <xf numFmtId="165" fontId="137" fillId="0" borderId="0" applyFont="0" applyFill="0" applyBorder="0" applyAlignment="0" applyProtection="0"/>
    <xf numFmtId="205" fontId="9" fillId="0" borderId="0" applyFont="0" applyFill="0" applyBorder="0" applyAlignment="0" applyProtection="0"/>
    <xf numFmtId="165" fontId="72" fillId="0" borderId="0" applyFont="0" applyFill="0" applyBorder="0" applyAlignment="0" applyProtection="0"/>
    <xf numFmtId="205" fontId="9" fillId="0" borderId="0" applyFont="0" applyFill="0" applyBorder="0" applyAlignment="0" applyProtection="0"/>
    <xf numFmtId="40" fontId="9" fillId="0" borderId="0" applyFont="0" applyFill="0" applyBorder="0" applyProtection="0">
      <alignment horizontal="right"/>
    </xf>
    <xf numFmtId="222" fontId="15" fillId="0" borderId="0"/>
    <xf numFmtId="222" fontId="15" fillId="0" borderId="0"/>
    <xf numFmtId="165" fontId="9" fillId="0" borderId="0" applyFont="0" applyFill="0" applyBorder="0" applyAlignment="0" applyProtection="0"/>
    <xf numFmtId="3" fontId="9" fillId="0" borderId="0" applyFill="0" applyBorder="0" applyAlignment="0" applyProtection="0"/>
    <xf numFmtId="0" fontId="139" fillId="0" borderId="0"/>
    <xf numFmtId="0" fontId="139" fillId="0" borderId="0"/>
    <xf numFmtId="0" fontId="140" fillId="0" borderId="0"/>
    <xf numFmtId="0" fontId="139" fillId="0" borderId="0"/>
    <xf numFmtId="3" fontId="82" fillId="0" borderId="0" applyFont="0" applyFill="0" applyBorder="0" applyAlignment="0" applyProtection="0"/>
    <xf numFmtId="3" fontId="70" fillId="0" borderId="0" applyFont="0" applyFill="0" applyBorder="0" applyAlignment="0" applyProtection="0"/>
    <xf numFmtId="3" fontId="141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0" fontId="139" fillId="0" borderId="0"/>
    <xf numFmtId="0" fontId="140" fillId="0" borderId="0"/>
    <xf numFmtId="0" fontId="139" fillId="0" borderId="0"/>
    <xf numFmtId="165" fontId="9" fillId="36" borderId="0" applyNumberFormat="0" applyFont="0" applyBorder="0" applyAlignment="0" applyProtection="0"/>
    <xf numFmtId="37" fontId="142" fillId="6" borderId="2">
      <alignment horizontal="right"/>
    </xf>
    <xf numFmtId="2" fontId="9" fillId="100" borderId="0"/>
    <xf numFmtId="176" fontId="143" fillId="0" borderId="0"/>
    <xf numFmtId="49" fontId="20" fillId="8" borderId="70" applyNumberFormat="0" applyBorder="0" applyAlignment="0">
      <alignment horizontal="left" vertical="center"/>
    </xf>
    <xf numFmtId="245" fontId="24" fillId="0" borderId="0" applyFont="0" applyFill="0" applyBorder="0" applyAlignment="0" applyProtection="0"/>
    <xf numFmtId="174" fontId="9" fillId="0" borderId="0" applyFont="0" applyFill="0" applyBorder="0" applyAlignment="0" applyProtection="0"/>
    <xf numFmtId="246" fontId="2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247" fontId="9" fillId="0" borderId="0" applyFont="0" applyFill="0" applyBorder="0" applyAlignment="0" applyProtection="0"/>
    <xf numFmtId="248" fontId="72" fillId="0" borderId="0" applyFont="0" applyFill="0" applyBorder="0" applyAlignment="0" applyProtection="0"/>
    <xf numFmtId="235" fontId="81" fillId="0" borderId="0" applyFont="0" applyFill="0" applyBorder="0" applyAlignment="0" applyProtection="0"/>
    <xf numFmtId="235" fontId="9" fillId="0" borderId="0" applyBorder="0"/>
    <xf numFmtId="235" fontId="81" fillId="0" borderId="0" applyFont="0" applyFill="0" applyBorder="0" applyAlignment="0" applyProtection="0"/>
    <xf numFmtId="235" fontId="144" fillId="0" borderId="0" applyBorder="0"/>
    <xf numFmtId="224" fontId="81" fillId="0" borderId="0" applyFont="0" applyFill="0" applyBorder="0" applyAlignment="0" applyProtection="0"/>
    <xf numFmtId="224" fontId="81" fillId="0" borderId="0" applyFont="0" applyFill="0" applyBorder="0" applyAlignment="0" applyProtection="0"/>
    <xf numFmtId="249" fontId="125" fillId="0" borderId="0" applyFont="0" applyFill="0" applyBorder="0" applyAlignment="0" applyProtection="0">
      <alignment horizontal="right"/>
    </xf>
    <xf numFmtId="250" fontId="9" fillId="0" borderId="0" applyFont="0" applyFill="0" applyBorder="0" applyAlignment="0" applyProtection="0">
      <alignment horizontal="right"/>
    </xf>
    <xf numFmtId="174" fontId="9" fillId="0" borderId="0" applyFont="0" applyFill="0" applyBorder="0" applyAlignment="0" applyProtection="0"/>
    <xf numFmtId="251" fontId="9" fillId="0" borderId="0" applyFont="0" applyFill="0" applyBorder="0" applyAlignment="0" applyProtection="0">
      <alignment horizontal="right"/>
    </xf>
    <xf numFmtId="174" fontId="3" fillId="0" borderId="0" applyFont="0" applyFill="0" applyBorder="0" applyAlignment="0" applyProtection="0"/>
    <xf numFmtId="252" fontId="138" fillId="0" borderId="0" applyFont="0" applyFill="0" applyBorder="0" applyAlignment="0" applyProtection="0"/>
    <xf numFmtId="253" fontId="41" fillId="0" borderId="0" applyFont="0" applyFill="0" applyBorder="0" applyAlignment="0" applyProtection="0"/>
    <xf numFmtId="254" fontId="9" fillId="0" borderId="0" applyFont="0" applyFill="0" applyBorder="0" applyAlignment="0" applyProtection="0"/>
    <xf numFmtId="204" fontId="9" fillId="0" borderId="0" applyFill="0" applyBorder="0" applyAlignment="0" applyProtection="0"/>
    <xf numFmtId="255" fontId="82" fillId="0" borderId="0" applyFont="0" applyFill="0" applyBorder="0" applyAlignment="0" applyProtection="0"/>
    <xf numFmtId="255" fontId="70" fillId="0" borderId="0" applyFont="0" applyFill="0" applyBorder="0" applyAlignment="0" applyProtection="0"/>
    <xf numFmtId="0" fontId="141" fillId="0" borderId="0" applyFont="0" applyFill="0" applyBorder="0" applyAlignment="0" applyProtection="0"/>
    <xf numFmtId="256" fontId="125" fillId="0" borderId="0" applyFill="0" applyBorder="0" applyProtection="0">
      <alignment vertical="center"/>
    </xf>
    <xf numFmtId="49" fontId="145" fillId="101" borderId="0">
      <alignment vertical="center"/>
    </xf>
    <xf numFmtId="257" fontId="146" fillId="0" borderId="0" applyFill="0" applyBorder="0">
      <alignment horizontal="right"/>
    </xf>
    <xf numFmtId="258" fontId="109" fillId="0" borderId="0" applyFont="0" applyFill="0" applyBorder="0" applyAlignment="0" applyProtection="0"/>
    <xf numFmtId="0" fontId="25" fillId="0" borderId="0">
      <protection locked="0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235" fontId="147" fillId="0" borderId="0" applyNumberFormat="0" applyFill="0" applyBorder="0" applyAlignment="0"/>
    <xf numFmtId="0" fontId="15" fillId="4" borderId="0" applyNumberFormat="0" applyFont="0" applyBorder="0" applyAlignment="0" applyProtection="0">
      <protection locked="0"/>
    </xf>
    <xf numFmtId="259" fontId="9" fillId="0" borderId="0" applyFill="0" applyBorder="0" applyAlignment="0" applyProtection="0"/>
    <xf numFmtId="0" fontId="139" fillId="0" borderId="0"/>
    <xf numFmtId="0" fontId="139" fillId="0" borderId="0"/>
    <xf numFmtId="15" fontId="22" fillId="0" borderId="0" applyFill="0" applyBorder="0" applyAlignment="0"/>
    <xf numFmtId="238" fontId="22" fillId="40" borderId="0" applyFont="0" applyFill="0" applyBorder="0" applyAlignment="0" applyProtection="0"/>
    <xf numFmtId="260" fontId="102" fillId="40" borderId="3" applyFont="0" applyFill="0" applyBorder="0" applyAlignment="0" applyProtection="0"/>
    <xf numFmtId="260" fontId="15" fillId="40" borderId="0" applyFont="0" applyFill="0" applyBorder="0" applyAlignment="0" applyProtection="0"/>
    <xf numFmtId="17" fontId="22" fillId="0" borderId="0" applyFill="0" applyBorder="0">
      <alignment horizontal="right"/>
    </xf>
    <xf numFmtId="17" fontId="22" fillId="0" borderId="0" applyFill="0" applyBorder="0">
      <alignment horizontal="right"/>
    </xf>
    <xf numFmtId="261" fontId="22" fillId="0" borderId="9"/>
    <xf numFmtId="261" fontId="22" fillId="0" borderId="9"/>
    <xf numFmtId="0" fontId="70" fillId="0" borderId="0" applyFont="0" applyFill="0" applyBorder="0" applyAlignment="0" applyProtection="0"/>
    <xf numFmtId="14" fontId="109" fillId="0" borderId="0" applyFont="0" applyFill="0" applyBorder="0" applyAlignment="0" applyProtection="0"/>
    <xf numFmtId="14" fontId="109" fillId="0" borderId="0" applyFont="0" applyFill="0" applyBorder="0" applyAlignment="0" applyProtection="0"/>
    <xf numFmtId="14" fontId="109" fillId="0" borderId="0" applyFont="0" applyFill="0" applyBorder="0" applyAlignment="0" applyProtection="0"/>
    <xf numFmtId="14" fontId="109" fillId="0" borderId="0" applyFont="0" applyFill="0" applyBorder="0" applyAlignment="0" applyProtection="0"/>
    <xf numFmtId="14" fontId="109" fillId="0" borderId="0" applyFont="0" applyFill="0" applyBorder="0" applyAlignment="0" applyProtection="0"/>
    <xf numFmtId="14" fontId="109" fillId="0" borderId="0" applyFont="0" applyFill="0" applyBorder="0" applyAlignment="0" applyProtection="0"/>
    <xf numFmtId="14" fontId="109" fillId="0" borderId="0" applyFont="0" applyFill="0" applyBorder="0" applyAlignment="0" applyProtection="0"/>
    <xf numFmtId="14" fontId="109" fillId="0" borderId="0" applyFont="0" applyFill="0" applyBorder="0" applyAlignment="0" applyProtection="0"/>
    <xf numFmtId="14" fontId="109" fillId="0" borderId="0" applyFont="0" applyFill="0" applyBorder="0" applyAlignment="0" applyProtection="0"/>
    <xf numFmtId="15" fontId="9" fillId="0" borderId="0" applyFont="0" applyFill="0" applyBorder="0" applyProtection="0">
      <alignment horizontal="right"/>
    </xf>
    <xf numFmtId="14" fontId="109" fillId="0" borderId="0" applyFont="0" applyFill="0" applyBorder="0" applyAlignment="0" applyProtection="0"/>
    <xf numFmtId="14" fontId="109" fillId="0" borderId="0" applyFont="0" applyFill="0" applyBorder="0" applyAlignment="0" applyProtection="0"/>
    <xf numFmtId="14" fontId="109" fillId="0" borderId="0" applyFont="0" applyFill="0" applyBorder="0" applyAlignment="0" applyProtection="0"/>
    <xf numFmtId="14" fontId="109" fillId="0" borderId="0" applyFont="0" applyFill="0" applyBorder="0" applyAlignment="0" applyProtection="0"/>
    <xf numFmtId="14" fontId="109" fillId="0" borderId="0" applyFont="0" applyFill="0" applyBorder="0" applyAlignment="0" applyProtection="0"/>
    <xf numFmtId="15" fontId="9" fillId="0" borderId="0" applyFont="0" applyFill="0" applyBorder="0" applyProtection="0">
      <alignment horizontal="right"/>
    </xf>
    <xf numFmtId="15" fontId="9" fillId="0" borderId="0" applyFont="0" applyFill="0" applyBorder="0" applyProtection="0">
      <alignment horizontal="right"/>
    </xf>
    <xf numFmtId="15" fontId="9" fillId="0" borderId="0" applyFont="0" applyFill="0" applyBorder="0" applyProtection="0">
      <alignment horizontal="right"/>
    </xf>
    <xf numFmtId="15" fontId="9" fillId="0" borderId="0" applyFont="0" applyFill="0" applyBorder="0" applyProtection="0">
      <alignment horizontal="right"/>
    </xf>
    <xf numFmtId="15" fontId="9" fillId="0" borderId="0" applyFont="0" applyFill="0" applyBorder="0" applyProtection="0">
      <alignment horizontal="right"/>
    </xf>
    <xf numFmtId="15" fontId="9" fillId="0" borderId="0" applyFont="0" applyFill="0" applyBorder="0" applyProtection="0">
      <alignment horizontal="right"/>
    </xf>
    <xf numFmtId="0" fontId="70" fillId="0" borderId="0" applyFont="0" applyFill="0" applyBorder="0" applyAlignment="0" applyProtection="0"/>
    <xf numFmtId="262" fontId="125" fillId="0" borderId="0" applyFont="0" applyFill="0" applyBorder="0" applyAlignment="0" applyProtection="0"/>
    <xf numFmtId="248" fontId="9" fillId="0" borderId="0" applyFont="0" applyFill="0" applyBorder="0" applyAlignment="0" applyProtection="0"/>
    <xf numFmtId="16" fontId="29" fillId="0" borderId="0" applyFont="0" applyFill="0" applyBorder="0" applyAlignment="0" applyProtection="0"/>
    <xf numFmtId="15" fontId="29" fillId="0" borderId="0" applyFont="0" applyFill="0" applyBorder="0" applyAlignment="0" applyProtection="0"/>
    <xf numFmtId="17" fontId="29" fillId="0" borderId="0" applyFont="0" applyFill="0" applyBorder="0" applyAlignment="0" applyProtection="0"/>
    <xf numFmtId="14" fontId="22" fillId="36" borderId="5" applyFill="0" applyBorder="0">
      <alignment horizontal="right"/>
    </xf>
    <xf numFmtId="260" fontId="22" fillId="0" borderId="0" applyFill="0" applyBorder="0">
      <alignment horizontal="right"/>
    </xf>
    <xf numFmtId="260" fontId="22" fillId="0" borderId="0" applyFill="0" applyBorder="0">
      <alignment horizontal="right"/>
    </xf>
    <xf numFmtId="248" fontId="9" fillId="0" borderId="24">
      <alignment horizontal="center"/>
    </xf>
    <xf numFmtId="14" fontId="24" fillId="0" borderId="0"/>
    <xf numFmtId="0" fontId="15" fillId="102" borderId="0">
      <alignment horizontal="right"/>
    </xf>
    <xf numFmtId="0" fontId="24" fillId="0" borderId="71" applyFont="0" applyFill="0" applyBorder="0" applyAlignment="0" applyProtection="0"/>
    <xf numFmtId="0" fontId="9" fillId="0" borderId="0" applyNumberFormat="0" applyFont="0" applyBorder="0" applyAlignment="0"/>
    <xf numFmtId="15" fontId="90" fillId="10" borderId="0" applyNumberFormat="0" applyFont="0" applyBorder="0" applyAlignment="0" applyProtection="0"/>
    <xf numFmtId="216" fontId="72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25" fillId="0" borderId="0">
      <protection locked="0"/>
    </xf>
    <xf numFmtId="223" fontId="9" fillId="0" borderId="0" applyFill="0" applyBorder="0"/>
    <xf numFmtId="257" fontId="15" fillId="0" borderId="0"/>
    <xf numFmtId="263" fontId="9" fillId="0" borderId="0" applyBorder="0" applyProtection="0"/>
    <xf numFmtId="257" fontId="15" fillId="0" borderId="0"/>
    <xf numFmtId="235" fontId="9" fillId="0" borderId="0" applyFill="0" applyBorder="0" applyAlignment="0" applyProtection="0"/>
    <xf numFmtId="235" fontId="9" fillId="0" borderId="0" applyFill="0" applyBorder="0" applyAlignment="0" applyProtection="0"/>
    <xf numFmtId="264" fontId="125" fillId="0" borderId="72" applyNumberFormat="0" applyFont="0" applyFill="0" applyAlignment="0" applyProtection="0"/>
    <xf numFmtId="265" fontId="9" fillId="0" borderId="72" applyNumberFormat="0" applyFont="0" applyFill="0" applyAlignment="0" applyProtection="0"/>
    <xf numFmtId="221" fontId="148" fillId="103" borderId="0">
      <alignment horizontal="right"/>
    </xf>
    <xf numFmtId="266" fontId="149" fillId="0" borderId="0" applyFill="0" applyBorder="0" applyAlignment="0" applyProtection="0"/>
    <xf numFmtId="3" fontId="15" fillId="0" borderId="73" applyNumberFormat="0" applyBorder="0"/>
    <xf numFmtId="3" fontId="15" fillId="0" borderId="73" applyNumberFormat="0" applyBorder="0"/>
    <xf numFmtId="0" fontId="150" fillId="104" borderId="0" applyNumberFormat="0" applyBorder="0" applyAlignment="0" applyProtection="0"/>
    <xf numFmtId="0" fontId="150" fillId="105" borderId="0" applyNumberFormat="0" applyBorder="0" applyAlignment="0" applyProtection="0"/>
    <xf numFmtId="0" fontId="150" fillId="106" borderId="0" applyNumberFormat="0" applyBorder="0" applyAlignment="0" applyProtection="0"/>
    <xf numFmtId="0" fontId="23" fillId="0" borderId="0">
      <protection locked="0"/>
    </xf>
    <xf numFmtId="0" fontId="23" fillId="0" borderId="0">
      <protection locked="0"/>
    </xf>
    <xf numFmtId="223" fontId="151" fillId="0" borderId="0" applyNumberFormat="0" applyFill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107" borderId="0" applyNumberFormat="0" applyBorder="0" applyAlignment="0" applyProtection="0"/>
    <xf numFmtId="0" fontId="116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108" borderId="0" applyNumberFormat="0" applyBorder="0" applyAlignment="0" applyProtection="0"/>
    <xf numFmtId="0" fontId="116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29" borderId="0" applyNumberFormat="0" applyBorder="0" applyAlignment="0" applyProtection="0"/>
    <xf numFmtId="0" fontId="42" fillId="29" borderId="0" applyNumberFormat="0" applyBorder="0" applyAlignment="0" applyProtection="0"/>
    <xf numFmtId="0" fontId="42" fillId="29" borderId="0" applyNumberFormat="0" applyBorder="0" applyAlignment="0" applyProtection="0"/>
    <xf numFmtId="0" fontId="42" fillId="29" borderId="0" applyNumberFormat="0" applyBorder="0" applyAlignment="0" applyProtection="0"/>
    <xf numFmtId="0" fontId="42" fillId="29" borderId="0" applyNumberFormat="0" applyBorder="0" applyAlignment="0" applyProtection="0"/>
    <xf numFmtId="0" fontId="42" fillId="29" borderId="0" applyNumberFormat="0" applyBorder="0" applyAlignment="0" applyProtection="0"/>
    <xf numFmtId="0" fontId="42" fillId="29" borderId="0" applyNumberFormat="0" applyBorder="0" applyAlignment="0" applyProtection="0"/>
    <xf numFmtId="0" fontId="42" fillId="29" borderId="0" applyNumberFormat="0" applyBorder="0" applyAlignment="0" applyProtection="0"/>
    <xf numFmtId="0" fontId="42" fillId="109" borderId="0" applyNumberFormat="0" applyBorder="0" applyAlignment="0" applyProtection="0"/>
    <xf numFmtId="0" fontId="116" fillId="29" borderId="0" applyNumberFormat="0" applyBorder="0" applyAlignment="0" applyProtection="0"/>
    <xf numFmtId="0" fontId="42" fillId="29" borderId="0" applyNumberFormat="0" applyBorder="0" applyAlignment="0" applyProtection="0"/>
    <xf numFmtId="0" fontId="42" fillId="29" borderId="0" applyNumberFormat="0" applyBorder="0" applyAlignment="0" applyProtection="0"/>
    <xf numFmtId="0" fontId="42" fillId="29" borderId="0" applyNumberFormat="0" applyBorder="0" applyAlignment="0" applyProtection="0"/>
    <xf numFmtId="0" fontId="42" fillId="29" borderId="0" applyNumberFormat="0" applyBorder="0" applyAlignment="0" applyProtection="0"/>
    <xf numFmtId="0" fontId="42" fillId="29" borderId="0" applyNumberFormat="0" applyBorder="0" applyAlignment="0" applyProtection="0"/>
    <xf numFmtId="0" fontId="42" fillId="29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78" borderId="0" applyNumberFormat="0" applyBorder="0" applyAlignment="0" applyProtection="0"/>
    <xf numFmtId="0" fontId="116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79" borderId="0" applyNumberFormat="0" applyBorder="0" applyAlignment="0" applyProtection="0"/>
    <xf numFmtId="0" fontId="116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30" borderId="0" applyNumberFormat="0" applyBorder="0" applyAlignment="0" applyProtection="0"/>
    <xf numFmtId="0" fontId="42" fillId="30" borderId="0" applyNumberFormat="0" applyBorder="0" applyAlignment="0" applyProtection="0"/>
    <xf numFmtId="0" fontId="42" fillId="30" borderId="0" applyNumberFormat="0" applyBorder="0" applyAlignment="0" applyProtection="0"/>
    <xf numFmtId="0" fontId="42" fillId="30" borderId="0" applyNumberFormat="0" applyBorder="0" applyAlignment="0" applyProtection="0"/>
    <xf numFmtId="0" fontId="42" fillId="30" borderId="0" applyNumberFormat="0" applyBorder="0" applyAlignment="0" applyProtection="0"/>
    <xf numFmtId="0" fontId="42" fillId="30" borderId="0" applyNumberFormat="0" applyBorder="0" applyAlignment="0" applyProtection="0"/>
    <xf numFmtId="0" fontId="42" fillId="30" borderId="0" applyNumberFormat="0" applyBorder="0" applyAlignment="0" applyProtection="0"/>
    <xf numFmtId="0" fontId="42" fillId="30" borderId="0" applyNumberFormat="0" applyBorder="0" applyAlignment="0" applyProtection="0"/>
    <xf numFmtId="0" fontId="42" fillId="110" borderId="0" applyNumberFormat="0" applyBorder="0" applyAlignment="0" applyProtection="0"/>
    <xf numFmtId="0" fontId="116" fillId="30" borderId="0" applyNumberFormat="0" applyBorder="0" applyAlignment="0" applyProtection="0"/>
    <xf numFmtId="0" fontId="42" fillId="30" borderId="0" applyNumberFormat="0" applyBorder="0" applyAlignment="0" applyProtection="0"/>
    <xf numFmtId="0" fontId="42" fillId="30" borderId="0" applyNumberFormat="0" applyBorder="0" applyAlignment="0" applyProtection="0"/>
    <xf numFmtId="0" fontId="42" fillId="30" borderId="0" applyNumberFormat="0" applyBorder="0" applyAlignment="0" applyProtection="0"/>
    <xf numFmtId="0" fontId="42" fillId="30" borderId="0" applyNumberFormat="0" applyBorder="0" applyAlignment="0" applyProtection="0"/>
    <xf numFmtId="0" fontId="42" fillId="30" borderId="0" applyNumberFormat="0" applyBorder="0" applyAlignment="0" applyProtection="0"/>
    <xf numFmtId="0" fontId="42" fillId="30" borderId="0" applyNumberFormat="0" applyBorder="0" applyAlignment="0" applyProtection="0"/>
    <xf numFmtId="0" fontId="51" fillId="18" borderId="66" applyNumberFormat="0" applyAlignment="0" applyProtection="0"/>
    <xf numFmtId="0" fontId="51" fillId="18" borderId="66" applyNumberFormat="0" applyAlignment="0" applyProtection="0"/>
    <xf numFmtId="0" fontId="51" fillId="18" borderId="66" applyNumberFormat="0" applyAlignment="0" applyProtection="0"/>
    <xf numFmtId="0" fontId="51" fillId="18" borderId="66" applyNumberFormat="0" applyAlignment="0" applyProtection="0"/>
    <xf numFmtId="0" fontId="51" fillId="18" borderId="66" applyNumberFormat="0" applyAlignment="0" applyProtection="0"/>
    <xf numFmtId="0" fontId="51" fillId="18" borderId="66" applyNumberFormat="0" applyAlignment="0" applyProtection="0"/>
    <xf numFmtId="0" fontId="51" fillId="18" borderId="66" applyNumberFormat="0" applyAlignment="0" applyProtection="0"/>
    <xf numFmtId="0" fontId="51" fillId="18" borderId="66" applyNumberFormat="0" applyAlignment="0" applyProtection="0"/>
    <xf numFmtId="0" fontId="51" fillId="18" borderId="66" applyNumberFormat="0" applyAlignment="0" applyProtection="0"/>
    <xf numFmtId="0" fontId="51" fillId="18" borderId="66" applyNumberFormat="0" applyAlignment="0" applyProtection="0"/>
    <xf numFmtId="0" fontId="51" fillId="72" borderId="66" applyNumberFormat="0" applyAlignment="0" applyProtection="0"/>
    <xf numFmtId="0" fontId="51" fillId="18" borderId="66" applyNumberFormat="0" applyAlignment="0" applyProtection="0"/>
    <xf numFmtId="0" fontId="152" fillId="18" borderId="66" applyNumberFormat="0" applyAlignment="0" applyProtection="0"/>
    <xf numFmtId="0" fontId="51" fillId="18" borderId="66" applyNumberFormat="0" applyAlignment="0" applyProtection="0"/>
    <xf numFmtId="0" fontId="51" fillId="18" borderId="66" applyNumberFormat="0" applyAlignment="0" applyProtection="0"/>
    <xf numFmtId="0" fontId="51" fillId="18" borderId="66" applyNumberFormat="0" applyAlignment="0" applyProtection="0"/>
    <xf numFmtId="0" fontId="51" fillId="18" borderId="66" applyNumberFormat="0" applyAlignment="0" applyProtection="0"/>
    <xf numFmtId="0" fontId="51" fillId="18" borderId="66" applyNumberFormat="0" applyAlignment="0" applyProtection="0"/>
    <xf numFmtId="0" fontId="51" fillId="18" borderId="66" applyNumberFormat="0" applyAlignment="0" applyProtection="0"/>
    <xf numFmtId="0" fontId="29" fillId="0" borderId="0">
      <alignment vertical="top"/>
    </xf>
    <xf numFmtId="206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1" fillId="94" borderId="73" applyBorder="0"/>
    <xf numFmtId="49" fontId="41" fillId="0" borderId="0"/>
    <xf numFmtId="267" fontId="47" fillId="99" borderId="73" applyBorder="0" applyAlignment="0"/>
    <xf numFmtId="267" fontId="153" fillId="111" borderId="73" applyFont="0" applyBorder="0" applyAlignment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237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NumberFormat="0" applyFont="0" applyFill="0" applyBorder="0" applyAlignment="0" applyProtection="0"/>
    <xf numFmtId="179" fontId="9" fillId="0" borderId="0" applyNumberFormat="0" applyFont="0" applyFill="0" applyBorder="0" applyAlignment="0" applyProtection="0"/>
    <xf numFmtId="179" fontId="9" fillId="0" borderId="0" applyNumberFormat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154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NumberFormat="0" applyFont="0" applyFill="0" applyBorder="0" applyAlignment="0" applyProtection="0"/>
    <xf numFmtId="179" fontId="9" fillId="0" borderId="0" applyNumberFormat="0" applyFont="0" applyFill="0" applyBorder="0" applyAlignment="0" applyProtection="0"/>
    <xf numFmtId="179" fontId="9" fillId="0" borderId="0" applyNumberFormat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NumberFormat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NumberFormat="0" applyFont="0" applyFill="0" applyBorder="0" applyAlignment="0" applyProtection="0"/>
    <xf numFmtId="179" fontId="9" fillId="0" borderId="0" applyNumberFormat="0" applyFont="0" applyFill="0" applyBorder="0" applyAlignment="0" applyProtection="0"/>
    <xf numFmtId="179" fontId="9" fillId="0" borderId="0" applyNumberFormat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NumberFormat="0" applyFont="0" applyFill="0" applyBorder="0" applyAlignment="0" applyProtection="0"/>
    <xf numFmtId="179" fontId="9" fillId="0" borderId="0" applyNumberFormat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NumberFormat="0" applyFont="0" applyFill="0" applyBorder="0" applyAlignment="0" applyProtection="0"/>
    <xf numFmtId="179" fontId="9" fillId="0" borderId="0" applyNumberFormat="0" applyFont="0" applyFill="0" applyBorder="0" applyAlignment="0" applyProtection="0"/>
    <xf numFmtId="179" fontId="9" fillId="0" borderId="0" applyNumberFormat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NumberFormat="0" applyFont="0" applyFill="0" applyBorder="0" applyAlignment="0" applyProtection="0"/>
    <xf numFmtId="179" fontId="9" fillId="0" borderId="0" applyNumberFormat="0" applyFont="0" applyFill="0" applyBorder="0" applyAlignment="0" applyProtection="0"/>
    <xf numFmtId="179" fontId="9" fillId="0" borderId="0" applyNumberFormat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9" fontId="9" fillId="0" borderId="0" applyNumberFormat="0" applyFont="0" applyFill="0" applyBorder="0" applyAlignment="0" applyProtection="0"/>
    <xf numFmtId="37" fontId="9" fillId="0" borderId="0" applyNumberFormat="0" applyFont="0" applyFill="0" applyBorder="0" applyAlignment="0">
      <protection hidden="1"/>
    </xf>
    <xf numFmtId="0" fontId="41" fillId="0" borderId="0"/>
    <xf numFmtId="0" fontId="41" fillId="0" borderId="0"/>
    <xf numFmtId="0" fontId="41" fillId="0" borderId="0"/>
    <xf numFmtId="0" fontId="41" fillId="0" borderId="0"/>
    <xf numFmtId="176" fontId="16" fillId="0" borderId="0"/>
    <xf numFmtId="268" fontId="9" fillId="0" borderId="0" applyFill="0" applyBorder="0" applyAlignment="0" applyProtection="0"/>
    <xf numFmtId="206" fontId="46" fillId="0" borderId="0" applyNumberFormat="0" applyFill="0" applyBorder="0" applyAlignment="0" applyProtection="0"/>
    <xf numFmtId="206" fontId="64" fillId="0" borderId="0" applyNumberFormat="0" applyFill="0" applyBorder="0" applyAlignment="0" applyProtection="0"/>
    <xf numFmtId="40" fontId="155" fillId="0" borderId="0"/>
    <xf numFmtId="269" fontId="156" fillId="0" borderId="0">
      <alignment horizontal="left"/>
    </xf>
    <xf numFmtId="270" fontId="156" fillId="0" borderId="0">
      <alignment horizontal="left"/>
    </xf>
    <xf numFmtId="0" fontId="25" fillId="0" borderId="0">
      <protection locked="0"/>
    </xf>
    <xf numFmtId="3" fontId="9" fillId="0" borderId="0" applyFont="0" applyFill="0" applyBorder="0" applyAlignment="0" applyProtection="0"/>
    <xf numFmtId="2" fontId="9" fillId="0" borderId="0" applyFill="0" applyBorder="0" applyAlignment="0" applyProtection="0"/>
    <xf numFmtId="271" fontId="9" fillId="40" borderId="0" applyFont="0" applyFill="0" applyBorder="0" applyAlignment="0"/>
    <xf numFmtId="271" fontId="9" fillId="40" borderId="0" applyFont="0" applyFill="0" applyBorder="0" applyAlignment="0"/>
    <xf numFmtId="2" fontId="70" fillId="0" borderId="0" applyFont="0" applyFill="0" applyBorder="0" applyAlignment="0" applyProtection="0"/>
    <xf numFmtId="2" fontId="9" fillId="0" borderId="0" applyFill="0" applyBorder="0" applyAlignment="0" applyProtection="0"/>
    <xf numFmtId="2" fontId="9" fillId="0" borderId="0" applyFill="0" applyBorder="0" applyAlignment="0" applyProtection="0"/>
    <xf numFmtId="2" fontId="9" fillId="0" borderId="0" applyFill="0" applyBorder="0" applyAlignment="0" applyProtection="0"/>
    <xf numFmtId="2" fontId="9" fillId="0" borderId="0" applyFill="0" applyBorder="0" applyAlignment="0" applyProtection="0"/>
    <xf numFmtId="2" fontId="9" fillId="0" borderId="0" applyFill="0" applyBorder="0" applyAlignment="0" applyProtection="0"/>
    <xf numFmtId="2" fontId="9" fillId="0" borderId="0" applyFill="0" applyBorder="0" applyAlignment="0" applyProtection="0"/>
    <xf numFmtId="2" fontId="9" fillId="0" borderId="0" applyFill="0" applyBorder="0" applyAlignment="0" applyProtection="0"/>
    <xf numFmtId="2" fontId="70" fillId="0" borderId="0" applyFont="0" applyFill="0" applyBorder="0" applyAlignment="0" applyProtection="0"/>
    <xf numFmtId="272" fontId="72" fillId="0" borderId="0">
      <protection locked="0"/>
    </xf>
    <xf numFmtId="251" fontId="146" fillId="0" borderId="0" applyFill="0" applyBorder="0">
      <alignment horizontal="right"/>
    </xf>
    <xf numFmtId="2" fontId="70" fillId="0" borderId="0" applyFont="0" applyFill="0" applyBorder="0" applyAlignment="0" applyProtection="0"/>
    <xf numFmtId="2" fontId="70" fillId="0" borderId="0" applyFont="0" applyFill="0" applyBorder="0" applyAlignment="0" applyProtection="0"/>
    <xf numFmtId="2" fontId="70" fillId="0" borderId="0" applyFont="0" applyFill="0" applyBorder="0" applyAlignment="0" applyProtection="0"/>
    <xf numFmtId="2" fontId="70" fillId="0" borderId="0" applyFont="0" applyFill="0" applyBorder="0" applyAlignment="0" applyProtection="0"/>
    <xf numFmtId="2" fontId="70" fillId="0" borderId="0" applyFont="0" applyFill="0" applyBorder="0" applyAlignment="0" applyProtection="0"/>
    <xf numFmtId="2" fontId="70" fillId="0" borderId="0" applyFont="0" applyFill="0" applyBorder="0" applyAlignment="0" applyProtection="0"/>
    <xf numFmtId="2" fontId="70" fillId="0" borderId="0" applyFont="0" applyFill="0" applyBorder="0" applyAlignment="0" applyProtection="0"/>
    <xf numFmtId="2" fontId="70" fillId="0" borderId="0" applyFont="0" applyFill="0" applyBorder="0" applyAlignment="0" applyProtection="0"/>
    <xf numFmtId="0" fontId="157" fillId="0" borderId="0" applyNumberFormat="0" applyFill="0" applyBorder="0" applyAlignment="0" applyProtection="0">
      <alignment vertical="top"/>
      <protection locked="0"/>
    </xf>
    <xf numFmtId="3" fontId="158" fillId="0" borderId="0" applyFill="0" applyBorder="0" applyProtection="0">
      <alignment horizontal="right"/>
    </xf>
    <xf numFmtId="0" fontId="159" fillId="0" borderId="0" applyFill="0" applyBorder="0" applyProtection="0">
      <alignment horizontal="left"/>
    </xf>
    <xf numFmtId="0" fontId="145" fillId="112" borderId="0">
      <alignment horizontal="right" vertical="center"/>
    </xf>
    <xf numFmtId="273" fontId="109" fillId="0" borderId="0">
      <alignment horizontal="right"/>
    </xf>
    <xf numFmtId="238" fontId="15" fillId="96" borderId="74" applyFont="0" applyBorder="0" applyAlignment="0" applyProtection="0">
      <alignment vertical="top"/>
    </xf>
    <xf numFmtId="238" fontId="15" fillId="96" borderId="74" applyFont="0" applyBorder="0" applyAlignment="0" applyProtection="0">
      <alignment vertical="top"/>
    </xf>
    <xf numFmtId="3" fontId="160" fillId="113" borderId="74">
      <alignment horizontal="right" vertical="center"/>
    </xf>
    <xf numFmtId="1" fontId="9" fillId="5" borderId="74"/>
    <xf numFmtId="1" fontId="9" fillId="5" borderId="74"/>
    <xf numFmtId="0" fontId="15" fillId="114" borderId="4" applyNumberFormat="0" applyFont="0" applyBorder="0" applyAlignment="0"/>
    <xf numFmtId="0" fontId="161" fillId="40" borderId="0" applyNumberFormat="0" applyFont="0" applyBorder="0" applyAlignment="0" applyProtection="0">
      <alignment horizontal="centerContinuous"/>
    </xf>
    <xf numFmtId="0" fontId="161" fillId="115" borderId="0" applyNumberFormat="0" applyFont="0" applyBorder="0" applyAlignment="0" applyProtection="0">
      <alignment horizontal="centerContinuous"/>
    </xf>
    <xf numFmtId="0" fontId="90" fillId="2" borderId="75" applyNumberFormat="0" applyFont="0" applyBorder="0" applyAlignment="0"/>
    <xf numFmtId="0" fontId="9" fillId="40" borderId="76" applyNumberFormat="0" applyFont="0" applyBorder="0" applyAlignment="0" applyProtection="0"/>
    <xf numFmtId="206" fontId="47" fillId="15" borderId="0" applyNumberFormat="0" applyBorder="0" applyAlignment="0" applyProtection="0"/>
    <xf numFmtId="3" fontId="162" fillId="0" borderId="0" applyNumberFormat="0" applyFill="0" applyBorder="0" applyAlignment="0" applyProtection="0">
      <protection locked="0"/>
    </xf>
    <xf numFmtId="38" fontId="15" fillId="2" borderId="0" applyNumberFormat="0" applyBorder="0" applyAlignment="0" applyProtection="0"/>
    <xf numFmtId="38" fontId="15" fillId="2" borderId="0" applyNumberFormat="0" applyBorder="0" applyAlignment="0" applyProtection="0"/>
    <xf numFmtId="0" fontId="10" fillId="0" borderId="0" applyBorder="0">
      <alignment horizontal="left"/>
    </xf>
    <xf numFmtId="206" fontId="10" fillId="0" borderId="0" applyBorder="0">
      <alignment horizontal="left"/>
    </xf>
    <xf numFmtId="274" fontId="100" fillId="37" borderId="77" applyAlignment="0" applyProtection="0"/>
    <xf numFmtId="275" fontId="9" fillId="40" borderId="74" applyNumberFormat="0" applyFont="0" applyAlignment="0"/>
    <xf numFmtId="275" fontId="9" fillId="40" borderId="74" applyNumberFormat="0" applyFont="0" applyAlignment="0"/>
    <xf numFmtId="276" fontId="125" fillId="0" borderId="0" applyFont="0" applyFill="0" applyBorder="0" applyAlignment="0" applyProtection="0">
      <alignment horizontal="right"/>
    </xf>
    <xf numFmtId="277" fontId="9" fillId="0" borderId="0" applyFont="0" applyFill="0" applyBorder="0" applyAlignment="0" applyProtection="0">
      <alignment horizontal="right"/>
    </xf>
    <xf numFmtId="0" fontId="24" fillId="0" borderId="0" applyNumberFormat="0" applyFill="0" applyBorder="0" applyProtection="0"/>
    <xf numFmtId="0" fontId="163" fillId="0" borderId="0" applyProtection="0">
      <alignment horizontal="right"/>
    </xf>
    <xf numFmtId="0" fontId="164" fillId="0" borderId="0"/>
    <xf numFmtId="0" fontId="163" fillId="0" borderId="0" applyProtection="0">
      <alignment horizontal="right"/>
    </xf>
    <xf numFmtId="0" fontId="164" fillId="0" borderId="0"/>
    <xf numFmtId="0" fontId="164" fillId="0" borderId="0"/>
    <xf numFmtId="0" fontId="164" fillId="0" borderId="0"/>
    <xf numFmtId="0" fontId="164" fillId="0" borderId="0"/>
    <xf numFmtId="0" fontId="164" fillId="0" borderId="0"/>
    <xf numFmtId="0" fontId="164" fillId="0" borderId="0"/>
    <xf numFmtId="0" fontId="164" fillId="0" borderId="0"/>
    <xf numFmtId="0" fontId="24" fillId="0" borderId="0"/>
    <xf numFmtId="0" fontId="11" fillId="0" borderId="78" applyNumberFormat="0" applyAlignment="0" applyProtection="0">
      <alignment horizontal="left" vertical="center"/>
    </xf>
    <xf numFmtId="0" fontId="24" fillId="0" borderId="0"/>
    <xf numFmtId="0" fontId="11" fillId="0" borderId="79">
      <alignment horizontal="left" vertical="center"/>
    </xf>
    <xf numFmtId="0" fontId="11" fillId="0" borderId="0"/>
    <xf numFmtId="0" fontId="11" fillId="0" borderId="0"/>
    <xf numFmtId="0" fontId="11" fillId="0" borderId="0"/>
    <xf numFmtId="206" fontId="48" fillId="0" borderId="12" applyNumberFormat="0" applyFill="0" applyAlignment="0" applyProtection="0"/>
    <xf numFmtId="0" fontId="165" fillId="0" borderId="0" applyProtection="0">
      <alignment horizontal="left"/>
    </xf>
    <xf numFmtId="206" fontId="50" fillId="0" borderId="80" applyNumberFormat="0" applyFill="0" applyAlignment="0" applyProtection="0"/>
    <xf numFmtId="0" fontId="166" fillId="0" borderId="0" applyProtection="0">
      <alignment horizontal="left"/>
    </xf>
    <xf numFmtId="206" fontId="50" fillId="0" borderId="0" applyNumberFormat="0" applyFill="0" applyBorder="0" applyAlignment="0" applyProtection="0"/>
    <xf numFmtId="0" fontId="21" fillId="0" borderId="0" applyFill="0" applyBorder="0" applyProtection="0">
      <alignment horizontal="right"/>
    </xf>
    <xf numFmtId="14" fontId="10" fillId="8" borderId="62">
      <alignment horizontal="center" vertical="center" wrapText="1"/>
    </xf>
    <xf numFmtId="222" fontId="15" fillId="0" borderId="9">
      <alignment horizontal="right" vertical="center"/>
    </xf>
    <xf numFmtId="14" fontId="10" fillId="8" borderId="62">
      <alignment horizontal="center" vertical="center" wrapText="1"/>
    </xf>
    <xf numFmtId="0" fontId="76" fillId="0" borderId="0" applyNumberFormat="0" applyFill="0" applyBorder="0" applyAlignment="0" applyProtection="0"/>
    <xf numFmtId="278" fontId="9" fillId="0" borderId="0">
      <protection locked="0"/>
    </xf>
    <xf numFmtId="0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278" fontId="9" fillId="0" borderId="0">
      <protection locked="0"/>
    </xf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24" fillId="0" borderId="0" applyNumberFormat="0" applyFill="0" applyBorder="0" applyAlignment="0" applyProtection="0">
      <alignment horizontal="left"/>
    </xf>
    <xf numFmtId="0" fontId="63" fillId="0" borderId="81" applyNumberFormat="0" applyFill="0" applyAlignment="0" applyProtection="0"/>
    <xf numFmtId="206" fontId="63" fillId="0" borderId="81" applyNumberFormat="0" applyFill="0" applyAlignment="0" applyProtection="0"/>
    <xf numFmtId="0" fontId="78" fillId="0" borderId="0" applyNumberFormat="0" applyFill="0" applyBorder="0" applyAlignment="0" applyProtection="0">
      <alignment vertical="top"/>
      <protection locked="0"/>
    </xf>
    <xf numFmtId="0" fontId="167" fillId="0" borderId="0" applyNumberFormat="0" applyFill="0" applyBorder="0" applyAlignment="0" applyProtection="0">
      <alignment vertical="top"/>
      <protection locked="0"/>
    </xf>
    <xf numFmtId="0" fontId="168" fillId="0" borderId="0" applyNumberFormat="0" applyFill="0" applyBorder="0" applyAlignment="0" applyProtection="0"/>
    <xf numFmtId="0" fontId="169" fillId="0" borderId="0" applyNumberFormat="0" applyFill="0" applyBorder="0" applyAlignment="0" applyProtection="0">
      <alignment vertical="top"/>
      <protection locked="0"/>
    </xf>
    <xf numFmtId="206" fontId="169" fillId="0" borderId="0" applyNumberFormat="0" applyFill="0" applyBorder="0" applyAlignment="0" applyProtection="0">
      <alignment vertical="top"/>
      <protection locked="0"/>
    </xf>
    <xf numFmtId="0" fontId="170" fillId="0" borderId="0" applyNumberFormat="0" applyFill="0" applyBorder="0" applyAlignment="0" applyProtection="0">
      <alignment vertical="top"/>
      <protection locked="0"/>
    </xf>
    <xf numFmtId="0" fontId="171" fillId="0" borderId="0" applyNumberFormat="0" applyFill="0" applyBorder="0" applyAlignment="0" applyProtection="0">
      <alignment vertical="top"/>
      <protection locked="0"/>
    </xf>
    <xf numFmtId="0" fontId="172" fillId="0" borderId="0" applyNumberFormat="0" applyFill="0" applyBorder="0" applyAlignment="0" applyProtection="0">
      <alignment vertical="top"/>
      <protection locked="0"/>
    </xf>
    <xf numFmtId="0" fontId="167" fillId="0" borderId="0" applyNumberFormat="0" applyFill="0" applyBorder="0" applyAlignment="0" applyProtection="0">
      <alignment vertical="top"/>
      <protection locked="0"/>
    </xf>
    <xf numFmtId="0" fontId="173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68" borderId="0" applyNumberFormat="0" applyBorder="0" applyAlignment="0" applyProtection="0"/>
    <xf numFmtId="0" fontId="174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37" fontId="175" fillId="4" borderId="0">
      <alignment horizontal="center" vertical="center"/>
    </xf>
    <xf numFmtId="10" fontId="15" fillId="40" borderId="74" applyNumberFormat="0" applyBorder="0" applyAlignment="0" applyProtection="0"/>
    <xf numFmtId="10" fontId="175" fillId="5" borderId="74" applyNumberFormat="0" applyBorder="0" applyAlignment="0" applyProtection="0"/>
    <xf numFmtId="222" fontId="63" fillId="0" borderId="0" applyNumberFormat="0" applyFill="0" applyBorder="0" applyAlignment="0" applyProtection="0"/>
    <xf numFmtId="222" fontId="63" fillId="0" borderId="0" applyNumberFormat="0" applyFill="0" applyBorder="0" applyAlignment="0" applyProtection="0"/>
    <xf numFmtId="235" fontId="15" fillId="0" borderId="0"/>
    <xf numFmtId="10" fontId="176" fillId="0" borderId="0" applyNumberFormat="0" applyFill="0" applyBorder="0" applyAlignment="0" applyProtection="0">
      <alignment horizontal="right" indent="1"/>
    </xf>
    <xf numFmtId="279" fontId="9" fillId="40" borderId="0" applyFont="0" applyBorder="0" applyAlignment="0" applyProtection="0">
      <protection locked="0"/>
    </xf>
    <xf numFmtId="231" fontId="9" fillId="40" borderId="0" applyFont="0" applyBorder="0" applyAlignment="0">
      <protection locked="0"/>
    </xf>
    <xf numFmtId="238" fontId="177" fillId="116" borderId="0">
      <protection locked="0"/>
    </xf>
    <xf numFmtId="280" fontId="102" fillId="40" borderId="0" applyBorder="0" applyAlignment="0">
      <protection locked="0"/>
    </xf>
    <xf numFmtId="10" fontId="15" fillId="40" borderId="0">
      <protection locked="0"/>
    </xf>
    <xf numFmtId="239" fontId="9" fillId="0" borderId="0"/>
    <xf numFmtId="238" fontId="9" fillId="40" borderId="0" applyNumberFormat="0" applyBorder="0" applyAlignment="0">
      <protection locked="0"/>
    </xf>
    <xf numFmtId="216" fontId="178" fillId="0" borderId="82" applyFill="0" applyBorder="0" applyAlignment="0" applyProtection="0"/>
    <xf numFmtId="275" fontId="15" fillId="40" borderId="0" applyNumberFormat="0" applyFont="0" applyBorder="0" applyAlignment="0" applyProtection="0">
      <alignment horizontal="center"/>
      <protection locked="0"/>
    </xf>
    <xf numFmtId="275" fontId="15" fillId="40" borderId="0" applyNumberFormat="0" applyFont="0" applyBorder="0" applyAlignment="0" applyProtection="0">
      <alignment horizontal="center"/>
      <protection locked="0"/>
    </xf>
    <xf numFmtId="281" fontId="15" fillId="40" borderId="9" applyNumberFormat="0" applyFont="0" applyAlignment="0" applyProtection="0">
      <alignment horizontal="center"/>
      <protection locked="0"/>
    </xf>
    <xf numFmtId="281" fontId="15" fillId="40" borderId="9" applyNumberFormat="0" applyFont="0" applyAlignment="0" applyProtection="0">
      <alignment horizontal="center"/>
      <protection locked="0"/>
    </xf>
    <xf numFmtId="281" fontId="15" fillId="40" borderId="9" applyNumberFormat="0" applyFont="0" applyAlignment="0" applyProtection="0">
      <alignment horizontal="center"/>
      <protection locked="0"/>
    </xf>
    <xf numFmtId="222" fontId="63" fillId="0" borderId="0" applyNumberFormat="0" applyBorder="0" applyAlignment="0" applyProtection="0"/>
    <xf numFmtId="282" fontId="178" fillId="0" borderId="0" applyFill="0" applyBorder="0" applyProtection="0">
      <alignment vertical="center"/>
    </xf>
    <xf numFmtId="256" fontId="178" fillId="0" borderId="0" applyFill="0" applyBorder="0" applyProtection="0">
      <alignment vertical="center"/>
    </xf>
    <xf numFmtId="283" fontId="178" fillId="0" borderId="0" applyFill="0" applyBorder="0" applyProtection="0">
      <alignment vertical="center"/>
    </xf>
    <xf numFmtId="284" fontId="178" fillId="0" borderId="0" applyFill="0" applyBorder="0" applyProtection="0">
      <alignment vertical="center"/>
    </xf>
    <xf numFmtId="0" fontId="179" fillId="117" borderId="0" applyNumberFormat="0" applyBorder="0" applyProtection="0"/>
    <xf numFmtId="206" fontId="179" fillId="117" borderId="0" applyNumberFormat="0" applyBorder="0" applyProtection="0"/>
    <xf numFmtId="0" fontId="180" fillId="118" borderId="0" applyNumberFormat="0"/>
    <xf numFmtId="206" fontId="180" fillId="118" borderId="0" applyNumberFormat="0"/>
    <xf numFmtId="0" fontId="181" fillId="0" borderId="4" applyBorder="0"/>
    <xf numFmtId="206" fontId="181" fillId="0" borderId="4" applyBorder="0"/>
    <xf numFmtId="206" fontId="181" fillId="0" borderId="4" applyBorder="0"/>
    <xf numFmtId="0" fontId="181" fillId="0" borderId="4" applyBorder="0"/>
    <xf numFmtId="0" fontId="181" fillId="0" borderId="4" applyBorder="0"/>
    <xf numFmtId="285" fontId="109" fillId="0" borderId="0" applyFont="0" applyFill="0" applyBorder="0" applyAlignment="0" applyProtection="0"/>
    <xf numFmtId="272" fontId="182" fillId="0" borderId="0"/>
    <xf numFmtId="0" fontId="15" fillId="96" borderId="0"/>
    <xf numFmtId="222" fontId="9" fillId="0" borderId="0" applyFont="0" applyFill="0" applyBorder="0" applyAlignment="0" applyProtection="0"/>
    <xf numFmtId="222" fontId="9" fillId="0" borderId="0" applyFont="0" applyFill="0" applyBorder="0" applyAlignment="0" applyProtection="0"/>
    <xf numFmtId="38" fontId="9" fillId="0" borderId="0" applyFont="0" applyFill="0" applyBorder="0" applyAlignment="0" applyProtection="0"/>
    <xf numFmtId="38" fontId="9" fillId="0" borderId="0" applyFont="0" applyFill="0" applyBorder="0" applyAlignment="0" applyProtection="0"/>
    <xf numFmtId="286" fontId="9" fillId="0" borderId="0" applyFont="0" applyFill="0" applyBorder="0" applyAlignment="0" applyProtection="0"/>
    <xf numFmtId="287" fontId="9" fillId="0" borderId="0" applyFont="0" applyFill="0" applyBorder="0" applyAlignment="0" applyProtection="0"/>
    <xf numFmtId="38" fontId="183" fillId="0" borderId="0"/>
    <xf numFmtId="38" fontId="184" fillId="0" borderId="0"/>
    <xf numFmtId="38" fontId="127" fillId="0" borderId="0"/>
    <xf numFmtId="38" fontId="185" fillId="0" borderId="0"/>
    <xf numFmtId="0" fontId="109" fillId="0" borderId="0"/>
    <xf numFmtId="0" fontId="109" fillId="0" borderId="0"/>
    <xf numFmtId="0" fontId="186" fillId="0" borderId="0"/>
    <xf numFmtId="0" fontId="187" fillId="0" borderId="0" applyProtection="0">
      <alignment horizontal="center"/>
    </xf>
    <xf numFmtId="3" fontId="9" fillId="119" borderId="0" applyFont="0" applyBorder="0" applyAlignment="0"/>
    <xf numFmtId="3" fontId="9" fillId="119" borderId="0" applyFont="0" applyBorder="0" applyAlignment="0"/>
    <xf numFmtId="206" fontId="52" fillId="0" borderId="15" applyNumberFormat="0" applyFill="0" applyAlignment="0" applyProtection="0"/>
    <xf numFmtId="222" fontId="9" fillId="0" borderId="0" applyNumberFormat="0" applyFont="0" applyFill="0" applyBorder="0" applyAlignment="0"/>
    <xf numFmtId="222" fontId="188" fillId="0" borderId="0" applyNumberFormat="0" applyFont="0" applyFill="0" applyBorder="0" applyAlignment="0">
      <protection hidden="1"/>
    </xf>
    <xf numFmtId="0" fontId="145" fillId="120" borderId="0">
      <alignment horizontal="right"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9" fillId="0" borderId="6">
      <alignment horizontal="left"/>
      <protection locked="0"/>
    </xf>
    <xf numFmtId="223" fontId="40" fillId="0" borderId="6" applyNumberFormat="0" applyFont="0" applyBorder="0" applyAlignment="0" applyProtection="0">
      <alignment horizontal="left"/>
    </xf>
    <xf numFmtId="223" fontId="9" fillId="0" borderId="0">
      <alignment horizontal="centerContinuous" vertical="justify"/>
    </xf>
    <xf numFmtId="0" fontId="10" fillId="121" borderId="0">
      <alignment horizontal="left" vertical="top" wrapText="1"/>
    </xf>
    <xf numFmtId="1" fontId="190" fillId="0" borderId="0" applyNumberFormat="0" applyFill="0" applyBorder="0" applyAlignment="0" applyProtection="0">
      <alignment horizontal="center"/>
    </xf>
    <xf numFmtId="0" fontId="191" fillId="0" borderId="0" applyBorder="0"/>
    <xf numFmtId="178" fontId="9" fillId="0" borderId="0" applyFont="0" applyFill="0" applyBorder="0" applyAlignment="0" applyProtection="0"/>
    <xf numFmtId="2" fontId="192" fillId="0" borderId="0" applyFont="0"/>
    <xf numFmtId="288" fontId="193" fillId="0" borderId="0" applyFont="0" applyFill="0" applyBorder="0" applyAlignment="0" applyProtection="0"/>
    <xf numFmtId="165" fontId="9" fillId="0" borderId="0" applyFont="0" applyFill="0" applyBorder="0" applyAlignment="0" applyProtection="0"/>
    <xf numFmtId="289" fontId="193" fillId="0" borderId="0" applyFont="0" applyFill="0" applyBorder="0" applyAlignment="0" applyProtection="0"/>
    <xf numFmtId="288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288" fontId="194" fillId="0" borderId="0" applyFont="0" applyFill="0" applyBorder="0" applyAlignment="0" applyProtection="0"/>
    <xf numFmtId="289" fontId="193" fillId="0" borderId="0" applyFont="0" applyFill="0" applyBorder="0" applyAlignment="0" applyProtection="0"/>
    <xf numFmtId="43" fontId="3" fillId="0" borderId="0" applyFont="0" applyFill="0" applyBorder="0" applyAlignment="0" applyProtection="0"/>
    <xf numFmtId="239" fontId="9" fillId="0" borderId="0" applyFont="0" applyFill="0" applyBorder="0" applyAlignment="0" applyProtection="0"/>
    <xf numFmtId="288" fontId="3" fillId="0" borderId="0" applyFont="0" applyFill="0" applyBorder="0" applyAlignment="0" applyProtection="0"/>
    <xf numFmtId="288" fontId="195" fillId="0" borderId="0" applyFont="0" applyFill="0" applyBorder="0" applyAlignment="0" applyProtection="0"/>
    <xf numFmtId="288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38" fontId="196" fillId="0" borderId="0" applyFont="0" applyFill="0" applyBorder="0" applyAlignment="0" applyProtection="0"/>
    <xf numFmtId="290" fontId="18" fillId="0" borderId="0" applyFont="0" applyFill="0" applyBorder="0" applyAlignment="0" applyProtection="0">
      <alignment horizontal="center" vertical="center"/>
    </xf>
    <xf numFmtId="3" fontId="18" fillId="0" borderId="0" applyFont="0" applyFill="0" applyBorder="0" applyAlignment="0" applyProtection="0">
      <alignment horizontal="right" vertical="center"/>
    </xf>
    <xf numFmtId="291" fontId="72" fillId="0" borderId="0" applyFont="0" applyFill="0" applyBorder="0" applyAlignment="0" applyProtection="0"/>
    <xf numFmtId="223" fontId="197" fillId="0" borderId="62"/>
    <xf numFmtId="202" fontId="9" fillId="0" borderId="0" applyFont="0" applyFill="0" applyBorder="0" applyAlignment="0" applyProtection="0"/>
    <xf numFmtId="174" fontId="3" fillId="0" borderId="0" applyFont="0" applyFill="0" applyBorder="0" applyAlignment="0" applyProtection="0"/>
    <xf numFmtId="267" fontId="194" fillId="0" borderId="0" applyFill="0" applyBorder="0" applyAlignment="0" applyProtection="0"/>
    <xf numFmtId="267" fontId="194" fillId="0" borderId="0" applyFill="0" applyBorder="0" applyAlignment="0" applyProtection="0"/>
    <xf numFmtId="25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25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174" fontId="9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67" fontId="194" fillId="0" borderId="0" applyFill="0" applyBorder="0" applyAlignment="0" applyProtection="0"/>
    <xf numFmtId="267" fontId="194" fillId="0" borderId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67" fontId="194" fillId="0" borderId="0" applyFill="0" applyBorder="0" applyAlignment="0" applyProtection="0"/>
    <xf numFmtId="267" fontId="194" fillId="0" borderId="0" applyFill="0" applyBorder="0" applyAlignment="0" applyProtection="0"/>
    <xf numFmtId="267" fontId="194" fillId="0" borderId="0" applyFill="0" applyBorder="0" applyAlignment="0" applyProtection="0"/>
    <xf numFmtId="267" fontId="194" fillId="0" borderId="0" applyFill="0" applyBorder="0" applyAlignment="0" applyProtection="0"/>
    <xf numFmtId="267" fontId="194" fillId="0" borderId="0" applyFill="0" applyBorder="0" applyAlignment="0" applyProtection="0"/>
    <xf numFmtId="267" fontId="194" fillId="0" borderId="0" applyFill="0" applyBorder="0" applyAlignment="0" applyProtection="0"/>
    <xf numFmtId="253" fontId="41" fillId="0" borderId="0" applyFont="0" applyFill="0" applyBorder="0" applyAlignment="0" applyProtection="0"/>
    <xf numFmtId="174" fontId="9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74" fontId="9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253" fontId="9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9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292" fontId="9" fillId="0" borderId="0" applyFill="0" applyBorder="0" applyAlignment="0" applyProtection="0"/>
    <xf numFmtId="293" fontId="10" fillId="0" borderId="21" applyFont="0" applyFill="0" applyBorder="0" applyAlignment="0" applyProtection="0">
      <alignment horizontal="left"/>
    </xf>
    <xf numFmtId="266" fontId="9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294" fontId="9" fillId="0" borderId="0" applyFont="0" applyFill="0" applyBorder="0" applyAlignment="0" applyProtection="0"/>
    <xf numFmtId="295" fontId="9" fillId="0" borderId="0" applyFont="0" applyFill="0" applyBorder="0" applyAlignment="0" applyProtection="0"/>
    <xf numFmtId="296" fontId="9" fillId="0" borderId="0" applyFont="0" applyFill="0" applyBorder="0" applyAlignment="0" applyProtection="0"/>
    <xf numFmtId="297" fontId="9" fillId="0" borderId="0" applyFont="0" applyFill="0" applyBorder="0" applyAlignment="0" applyProtection="0"/>
    <xf numFmtId="0" fontId="25" fillId="0" borderId="0">
      <protection locked="0"/>
    </xf>
    <xf numFmtId="182" fontId="9" fillId="0" borderId="0" applyFont="0" applyFill="0" applyBorder="0" applyAlignment="0" applyProtection="0"/>
    <xf numFmtId="298" fontId="9" fillId="0" borderId="0" applyFont="0" applyFill="0" applyBorder="0" applyAlignment="0" applyProtection="0"/>
    <xf numFmtId="299" fontId="125" fillId="0" borderId="0" applyFont="0" applyFill="0" applyBorder="0" applyAlignment="0" applyProtection="0">
      <alignment horizontal="right"/>
    </xf>
    <xf numFmtId="300" fontId="81" fillId="0" borderId="0" applyFill="0" applyBorder="0" applyProtection="0">
      <alignment horizontal="right"/>
    </xf>
    <xf numFmtId="184" fontId="9" fillId="0" borderId="0" applyFont="0" applyFill="0" applyBorder="0" applyAlignment="0" applyProtection="0"/>
    <xf numFmtId="299" fontId="125" fillId="0" borderId="0" applyFont="0" applyFill="0" applyBorder="0" applyAlignment="0" applyProtection="0">
      <alignment horizontal="right"/>
    </xf>
    <xf numFmtId="301" fontId="9" fillId="0" borderId="0" applyFont="0" applyFill="0" applyBorder="0" applyAlignment="0" applyProtection="0">
      <alignment horizontal="right"/>
    </xf>
    <xf numFmtId="301" fontId="9" fillId="0" borderId="0" applyFont="0" applyFill="0" applyBorder="0" applyAlignment="0" applyProtection="0">
      <alignment horizontal="right"/>
    </xf>
    <xf numFmtId="301" fontId="9" fillId="0" borderId="0" applyFont="0" applyFill="0" applyBorder="0" applyAlignment="0" applyProtection="0">
      <alignment horizontal="right"/>
    </xf>
    <xf numFmtId="301" fontId="9" fillId="0" borderId="0" applyFont="0" applyFill="0" applyBorder="0" applyAlignment="0" applyProtection="0">
      <alignment horizontal="right"/>
    </xf>
    <xf numFmtId="301" fontId="9" fillId="0" borderId="0" applyFont="0" applyFill="0" applyBorder="0" applyAlignment="0" applyProtection="0">
      <alignment horizontal="right"/>
    </xf>
    <xf numFmtId="301" fontId="9" fillId="0" borderId="0" applyFont="0" applyFill="0" applyBorder="0" applyAlignment="0" applyProtection="0">
      <alignment horizontal="right"/>
    </xf>
    <xf numFmtId="301" fontId="9" fillId="0" borderId="0" applyFont="0" applyFill="0" applyBorder="0" applyAlignment="0" applyProtection="0">
      <alignment horizontal="right"/>
    </xf>
    <xf numFmtId="301" fontId="9" fillId="0" borderId="0" applyFont="0" applyFill="0" applyBorder="0" applyAlignment="0" applyProtection="0">
      <alignment horizontal="right"/>
    </xf>
    <xf numFmtId="301" fontId="9" fillId="0" borderId="0" applyFont="0" applyFill="0" applyBorder="0" applyAlignment="0" applyProtection="0">
      <alignment horizontal="right"/>
    </xf>
    <xf numFmtId="299" fontId="125" fillId="0" borderId="0" applyFont="0" applyFill="0" applyBorder="0" applyAlignment="0" applyProtection="0">
      <alignment horizontal="right"/>
    </xf>
    <xf numFmtId="301" fontId="9" fillId="0" borderId="0" applyFont="0" applyFill="0" applyBorder="0" applyAlignment="0" applyProtection="0">
      <alignment horizontal="right"/>
    </xf>
    <xf numFmtId="301" fontId="9" fillId="0" borderId="0" applyFont="0" applyFill="0" applyBorder="0" applyAlignment="0" applyProtection="0">
      <alignment horizontal="right"/>
    </xf>
    <xf numFmtId="301" fontId="9" fillId="0" borderId="0" applyFont="0" applyFill="0" applyBorder="0" applyAlignment="0" applyProtection="0">
      <alignment horizontal="right"/>
    </xf>
    <xf numFmtId="301" fontId="9" fillId="0" borderId="0" applyFont="0" applyFill="0" applyBorder="0" applyAlignment="0" applyProtection="0">
      <alignment horizontal="right"/>
    </xf>
    <xf numFmtId="301" fontId="9" fillId="0" borderId="0" applyFont="0" applyFill="0" applyBorder="0" applyAlignment="0" applyProtection="0">
      <alignment horizontal="right"/>
    </xf>
    <xf numFmtId="299" fontId="125" fillId="0" borderId="0" applyFont="0" applyFill="0" applyBorder="0" applyAlignment="0" applyProtection="0">
      <alignment horizontal="right"/>
    </xf>
    <xf numFmtId="299" fontId="125" fillId="0" borderId="0" applyFont="0" applyFill="0" applyBorder="0" applyAlignment="0" applyProtection="0">
      <alignment horizontal="right"/>
    </xf>
    <xf numFmtId="299" fontId="125" fillId="0" borderId="0" applyFont="0" applyFill="0" applyBorder="0" applyAlignment="0" applyProtection="0">
      <alignment horizontal="right"/>
    </xf>
    <xf numFmtId="299" fontId="125" fillId="0" borderId="0" applyFont="0" applyFill="0" applyBorder="0" applyAlignment="0" applyProtection="0">
      <alignment horizontal="right"/>
    </xf>
    <xf numFmtId="299" fontId="125" fillId="0" borderId="0" applyFont="0" applyFill="0" applyBorder="0" applyAlignment="0" applyProtection="0">
      <alignment horizontal="right"/>
    </xf>
    <xf numFmtId="299" fontId="125" fillId="0" borderId="0" applyFont="0" applyFill="0" applyBorder="0" applyAlignment="0" applyProtection="0">
      <alignment horizontal="right"/>
    </xf>
    <xf numFmtId="299" fontId="125" fillId="0" borderId="0" applyFont="0" applyFill="0" applyBorder="0" applyAlignment="0" applyProtection="0">
      <alignment horizontal="right"/>
    </xf>
    <xf numFmtId="302" fontId="146" fillId="0" borderId="0" applyFill="0" applyBorder="0">
      <alignment horizontal="right"/>
    </xf>
    <xf numFmtId="303" fontId="9" fillId="0" borderId="0" applyFont="0" applyFill="0" applyBorder="0" applyAlignment="0" applyProtection="0"/>
    <xf numFmtId="283" fontId="125" fillId="0" borderId="0" applyFill="0" applyBorder="0" applyProtection="0">
      <alignment vertical="center"/>
    </xf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4" fontId="72" fillId="0" borderId="0"/>
    <xf numFmtId="305" fontId="15" fillId="2" borderId="0" applyFont="0" applyBorder="0" applyAlignment="0" applyProtection="0">
      <alignment horizontal="right"/>
      <protection hidden="1"/>
    </xf>
    <xf numFmtId="305" fontId="15" fillId="2" borderId="0" applyFont="0" applyBorder="0" applyAlignment="0" applyProtection="0">
      <alignment horizontal="right"/>
      <protection hidden="1"/>
    </xf>
    <xf numFmtId="0" fontId="198" fillId="0" borderId="0" applyNumberFormat="0" applyFill="0" applyBorder="0" applyAlignment="0" applyProtection="0">
      <protection locked="0"/>
    </xf>
    <xf numFmtId="206" fontId="198" fillId="0" borderId="0" applyNumberFormat="0" applyFill="0" applyBorder="0" applyAlignment="0" applyProtection="0">
      <protection locked="0"/>
    </xf>
    <xf numFmtId="0" fontId="53" fillId="122" borderId="0" applyNumberFormat="0" applyBorder="0" applyAlignment="0" applyProtection="0"/>
    <xf numFmtId="0" fontId="199" fillId="33" borderId="0" applyNumberFormat="0" applyBorder="0" applyAlignment="0" applyProtection="0"/>
    <xf numFmtId="0" fontId="53" fillId="33" borderId="0" applyNumberFormat="0" applyBorder="0" applyAlignment="0" applyProtection="0"/>
    <xf numFmtId="206" fontId="53" fillId="33" borderId="0" applyNumberFormat="0" applyBorder="0" applyAlignment="0" applyProtection="0"/>
    <xf numFmtId="3" fontId="160" fillId="113" borderId="83" applyNumberFormat="0">
      <alignment horizontal="right" vertical="center"/>
    </xf>
    <xf numFmtId="37" fontId="200" fillId="0" borderId="0"/>
    <xf numFmtId="0" fontId="80" fillId="0" borderId="0"/>
    <xf numFmtId="0" fontId="201" fillId="0" borderId="0"/>
    <xf numFmtId="0" fontId="201" fillId="0" borderId="0"/>
    <xf numFmtId="0" fontId="201" fillId="0" borderId="0"/>
    <xf numFmtId="0" fontId="201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306" fontId="202" fillId="0" borderId="0"/>
    <xf numFmtId="307" fontId="202" fillId="0" borderId="0"/>
    <xf numFmtId="0" fontId="146" fillId="0" borderId="0"/>
    <xf numFmtId="308" fontId="203" fillId="0" borderId="0"/>
    <xf numFmtId="309" fontId="203" fillId="0" borderId="0"/>
    <xf numFmtId="38" fontId="15" fillId="0" borderId="0" applyFont="0" applyFill="0" applyBorder="0" applyAlignment="0"/>
    <xf numFmtId="38" fontId="15" fillId="0" borderId="0" applyFont="0" applyFill="0" applyBorder="0" applyAlignment="0"/>
    <xf numFmtId="238" fontId="9" fillId="0" borderId="0" applyFont="0" applyFill="0" applyBorder="0" applyAlignment="0"/>
    <xf numFmtId="238" fontId="9" fillId="0" borderId="0" applyFont="0" applyFill="0" applyBorder="0" applyAlignment="0"/>
    <xf numFmtId="40" fontId="15" fillId="0" borderId="0" applyFont="0" applyFill="0" applyBorder="0" applyAlignment="0"/>
    <xf numFmtId="40" fontId="15" fillId="0" borderId="0" applyFont="0" applyFill="0" applyBorder="0" applyAlignment="0"/>
    <xf numFmtId="239" fontId="15" fillId="0" borderId="0" applyFont="0" applyFill="0" applyBorder="0" applyAlignment="0"/>
    <xf numFmtId="239" fontId="15" fillId="0" borderId="0" applyFont="0" applyFill="0" applyBorder="0" applyAlignment="0"/>
    <xf numFmtId="179" fontId="9" fillId="0" borderId="0"/>
    <xf numFmtId="223" fontId="3" fillId="0" borderId="0"/>
    <xf numFmtId="223" fontId="3" fillId="0" borderId="0"/>
    <xf numFmtId="0" fontId="9" fillId="0" borderId="0" applyNumberFormat="0" applyFont="0" applyFill="0" applyBorder="0" applyAlignment="0" applyProtection="0">
      <alignment vertical="top"/>
    </xf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37" fontId="9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9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153" fillId="0" borderId="0"/>
    <xf numFmtId="0" fontId="9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9" fillId="0" borderId="0" applyNumberFormat="0" applyFont="0" applyFill="0" applyBorder="0" applyAlignment="0" applyProtection="0">
      <alignment vertical="top"/>
    </xf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204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9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3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3" fillId="0" borderId="0"/>
    <xf numFmtId="0" fontId="3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3" fillId="0" borderId="0"/>
    <xf numFmtId="0" fontId="3" fillId="0" borderId="0"/>
    <xf numFmtId="179" fontId="72" fillId="0" borderId="0"/>
    <xf numFmtId="243" fontId="72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3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205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41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3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41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37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137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137" fillId="0" borderId="0"/>
    <xf numFmtId="0" fontId="3" fillId="0" borderId="0"/>
    <xf numFmtId="223" fontId="3" fillId="0" borderId="0"/>
    <xf numFmtId="223" fontId="3" fillId="0" borderId="0"/>
    <xf numFmtId="0" fontId="137" fillId="0" borderId="0"/>
    <xf numFmtId="0" fontId="3" fillId="0" borderId="0"/>
    <xf numFmtId="223" fontId="3" fillId="0" borderId="0"/>
    <xf numFmtId="223" fontId="3" fillId="0" borderId="0"/>
    <xf numFmtId="0" fontId="137" fillId="0" borderId="0"/>
    <xf numFmtId="0" fontId="3" fillId="0" borderId="0"/>
    <xf numFmtId="223" fontId="3" fillId="0" borderId="0"/>
    <xf numFmtId="223" fontId="3" fillId="0" borderId="0"/>
    <xf numFmtId="0" fontId="137" fillId="0" borderId="0"/>
    <xf numFmtId="0" fontId="3" fillId="0" borderId="0"/>
    <xf numFmtId="223" fontId="3" fillId="0" borderId="0"/>
    <xf numFmtId="223" fontId="3" fillId="0" borderId="0"/>
    <xf numFmtId="0" fontId="137" fillId="0" borderId="0"/>
    <xf numFmtId="0" fontId="3" fillId="0" borderId="0"/>
    <xf numFmtId="223" fontId="3" fillId="0" borderId="0"/>
    <xf numFmtId="223" fontId="3" fillId="0" borderId="0"/>
    <xf numFmtId="0" fontId="137" fillId="0" borderId="0"/>
    <xf numFmtId="0" fontId="3" fillId="0" borderId="0"/>
    <xf numFmtId="0" fontId="137" fillId="0" borderId="0"/>
    <xf numFmtId="0" fontId="9" fillId="0" borderId="0"/>
    <xf numFmtId="0" fontId="3" fillId="0" borderId="0"/>
    <xf numFmtId="37" fontId="9" fillId="0" borderId="0"/>
    <xf numFmtId="223" fontId="3" fillId="0" borderId="0"/>
    <xf numFmtId="223" fontId="3" fillId="0" borderId="0"/>
    <xf numFmtId="223" fontId="3" fillId="0" borderId="0"/>
    <xf numFmtId="37" fontId="9" fillId="0" borderId="0"/>
    <xf numFmtId="223" fontId="3" fillId="0" borderId="0"/>
    <xf numFmtId="223" fontId="3" fillId="0" borderId="0"/>
    <xf numFmtId="223" fontId="3" fillId="0" borderId="0"/>
    <xf numFmtId="37" fontId="9" fillId="0" borderId="0"/>
    <xf numFmtId="223" fontId="3" fillId="0" borderId="0"/>
    <xf numFmtId="37" fontId="9" fillId="0" borderId="0"/>
    <xf numFmtId="37" fontId="9" fillId="0" borderId="0"/>
    <xf numFmtId="37" fontId="9" fillId="0" borderId="0"/>
    <xf numFmtId="37" fontId="9" fillId="0" borderId="0"/>
    <xf numFmtId="0" fontId="9" fillId="0" borderId="0"/>
    <xf numFmtId="37" fontId="9" fillId="0" borderId="0"/>
    <xf numFmtId="0" fontId="9" fillId="0" borderId="0"/>
    <xf numFmtId="0" fontId="24" fillId="0" borderId="0"/>
    <xf numFmtId="223" fontId="3" fillId="0" borderId="0"/>
    <xf numFmtId="223" fontId="3" fillId="0" borderId="0"/>
    <xf numFmtId="223" fontId="3" fillId="0" borderId="0"/>
    <xf numFmtId="37" fontId="9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9" fillId="0" borderId="0"/>
    <xf numFmtId="223" fontId="9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37" fontId="9" fillId="0" borderId="0"/>
    <xf numFmtId="37" fontId="9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37" fontId="9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37" fontId="9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37" fontId="9" fillId="0" borderId="0"/>
    <xf numFmtId="223" fontId="3" fillId="0" borderId="0"/>
    <xf numFmtId="223" fontId="3" fillId="0" borderId="0"/>
    <xf numFmtId="223" fontId="3" fillId="0" borderId="0"/>
    <xf numFmtId="37" fontId="9" fillId="0" borderId="0"/>
    <xf numFmtId="223" fontId="3" fillId="0" borderId="0"/>
    <xf numFmtId="223" fontId="3" fillId="0" borderId="0"/>
    <xf numFmtId="223" fontId="3" fillId="0" borderId="0"/>
    <xf numFmtId="37" fontId="9" fillId="0" borderId="0"/>
    <xf numFmtId="223" fontId="3" fillId="0" borderId="0"/>
    <xf numFmtId="223" fontId="3" fillId="0" borderId="0"/>
    <xf numFmtId="223" fontId="3" fillId="0" borderId="0"/>
    <xf numFmtId="0" fontId="24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9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3" fillId="0" borderId="0"/>
    <xf numFmtId="0" fontId="3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3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3" fillId="0" borderId="0"/>
    <xf numFmtId="0" fontId="3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3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37" fillId="0" borderId="0"/>
    <xf numFmtId="223" fontId="3" fillId="0" borderId="0"/>
    <xf numFmtId="223" fontId="3" fillId="0" borderId="0"/>
    <xf numFmtId="223" fontId="3" fillId="0" borderId="0"/>
    <xf numFmtId="0" fontId="3" fillId="0" borderId="0"/>
    <xf numFmtId="0" fontId="3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3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37" fillId="0" borderId="0"/>
    <xf numFmtId="223" fontId="3" fillId="0" borderId="0"/>
    <xf numFmtId="223" fontId="3" fillId="0" borderId="0"/>
    <xf numFmtId="223" fontId="3" fillId="0" borderId="0"/>
    <xf numFmtId="0" fontId="3" fillId="0" borderId="0"/>
    <xf numFmtId="0" fontId="3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3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41" fillId="0" borderId="0"/>
    <xf numFmtId="0" fontId="41" fillId="0" borderId="0"/>
    <xf numFmtId="0" fontId="41" fillId="0" borderId="0"/>
    <xf numFmtId="310" fontId="24" fillId="0" borderId="0"/>
    <xf numFmtId="0" fontId="137" fillId="0" borderId="0"/>
    <xf numFmtId="223" fontId="3" fillId="0" borderId="0"/>
    <xf numFmtId="223" fontId="3" fillId="0" borderId="0"/>
    <xf numFmtId="223" fontId="3" fillId="0" borderId="0"/>
    <xf numFmtId="0" fontId="3" fillId="0" borderId="0"/>
    <xf numFmtId="0" fontId="3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3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41" fillId="0" borderId="0"/>
    <xf numFmtId="223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137" fillId="0" borderId="0"/>
    <xf numFmtId="0" fontId="3" fillId="0" borderId="0"/>
    <xf numFmtId="0" fontId="137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9" fillId="0" borderId="0"/>
    <xf numFmtId="0" fontId="3" fillId="0" borderId="0"/>
    <xf numFmtId="223" fontId="41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3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3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3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9" fillId="0" borderId="0"/>
    <xf numFmtId="243" fontId="3" fillId="0" borderId="0"/>
    <xf numFmtId="243" fontId="41" fillId="0" borderId="0"/>
    <xf numFmtId="243" fontId="41" fillId="0" borderId="0"/>
    <xf numFmtId="0" fontId="72" fillId="0" borderId="0"/>
    <xf numFmtId="0" fontId="72" fillId="0" borderId="0"/>
    <xf numFmtId="243" fontId="9" fillId="0" borderId="0"/>
    <xf numFmtId="0" fontId="72" fillId="0" borderId="0"/>
    <xf numFmtId="0" fontId="72" fillId="0" borderId="0"/>
    <xf numFmtId="0" fontId="72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0" fontId="72" fillId="0" borderId="0"/>
    <xf numFmtId="0" fontId="72" fillId="0" borderId="0"/>
    <xf numFmtId="0" fontId="72" fillId="0" borderId="0"/>
    <xf numFmtId="0" fontId="3" fillId="0" borderId="0"/>
    <xf numFmtId="0" fontId="3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0" fontId="9" fillId="0" borderId="0"/>
    <xf numFmtId="3" fontId="3" fillId="0" borderId="0"/>
    <xf numFmtId="3" fontId="3" fillId="0" borderId="0"/>
    <xf numFmtId="3" fontId="41" fillId="0" borderId="0"/>
    <xf numFmtId="3" fontId="41" fillId="0" borderId="0"/>
    <xf numFmtId="3" fontId="41" fillId="0" borderId="0"/>
    <xf numFmtId="3" fontId="41" fillId="0" borderId="0"/>
    <xf numFmtId="243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1" fillId="0" borderId="0"/>
    <xf numFmtId="0" fontId="3" fillId="0" borderId="0"/>
    <xf numFmtId="0" fontId="41" fillId="0" borderId="0"/>
    <xf numFmtId="0" fontId="41" fillId="0" borderId="0"/>
    <xf numFmtId="243" fontId="3" fillId="0" borderId="0"/>
    <xf numFmtId="243" fontId="3" fillId="0" borderId="0"/>
    <xf numFmtId="243" fontId="41" fillId="0" borderId="0"/>
    <xf numFmtId="0" fontId="9" fillId="0" borderId="0"/>
    <xf numFmtId="0" fontId="9" fillId="0" borderId="0"/>
    <xf numFmtId="0" fontId="9" fillId="0" borderId="0"/>
    <xf numFmtId="0" fontId="41" fillId="0" borderId="0"/>
    <xf numFmtId="0" fontId="41" fillId="0" borderId="0"/>
    <xf numFmtId="0" fontId="3" fillId="0" borderId="0"/>
    <xf numFmtId="310" fontId="3" fillId="0" borderId="0"/>
    <xf numFmtId="310" fontId="3" fillId="0" borderId="0"/>
    <xf numFmtId="310" fontId="3" fillId="0" borderId="0"/>
    <xf numFmtId="310" fontId="3" fillId="0" borderId="0"/>
    <xf numFmtId="310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310" fontId="3" fillId="0" borderId="0"/>
    <xf numFmtId="0" fontId="3" fillId="0" borderId="0"/>
    <xf numFmtId="31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0" fontId="9" fillId="0" borderId="0"/>
    <xf numFmtId="0" fontId="3" fillId="0" borderId="0"/>
    <xf numFmtId="0" fontId="9" fillId="0" borderId="0"/>
    <xf numFmtId="0" fontId="9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223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0" fontId="9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72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194" fillId="0" borderId="0"/>
    <xf numFmtId="223" fontId="194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9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9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4" fontId="15" fillId="0" borderId="0" applyNumberFormat="0"/>
    <xf numFmtId="4" fontId="15" fillId="0" borderId="0" applyNumberFormat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125" fillId="0" borderId="0" applyFont="0" applyFill="0" applyBorder="0" applyAlignment="0" applyProtection="0"/>
    <xf numFmtId="0" fontId="9" fillId="0" borderId="0" applyBorder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206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9" fillId="0" borderId="0"/>
    <xf numFmtId="0" fontId="153" fillId="0" borderId="0"/>
    <xf numFmtId="223" fontId="3" fillId="0" borderId="0"/>
    <xf numFmtId="223" fontId="3" fillId="0" borderId="0"/>
    <xf numFmtId="0" fontId="207" fillId="0" borderId="0"/>
    <xf numFmtId="0" fontId="3" fillId="0" borderId="0"/>
    <xf numFmtId="0" fontId="3" fillId="0" borderId="0"/>
    <xf numFmtId="0" fontId="5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0" fontId="15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9" fillId="0" borderId="0"/>
    <xf numFmtId="0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41" fillId="0" borderId="0"/>
    <xf numFmtId="0" fontId="15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223" fontId="9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223" fontId="9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153" fillId="0" borderId="0"/>
    <xf numFmtId="0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9" fillId="0" borderId="0"/>
    <xf numFmtId="0" fontId="3" fillId="0" borderId="0"/>
    <xf numFmtId="0" fontId="41" fillId="0" borderId="0"/>
    <xf numFmtId="0" fontId="41" fillId="0" borderId="0"/>
    <xf numFmtId="0" fontId="41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9" fillId="0" borderId="0"/>
    <xf numFmtId="0" fontId="3" fillId="0" borderId="0"/>
    <xf numFmtId="0" fontId="3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3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3" fillId="0" borderId="0"/>
    <xf numFmtId="0" fontId="3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3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3" fillId="0" borderId="0"/>
    <xf numFmtId="0" fontId="3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3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3" fillId="0" borderId="0"/>
    <xf numFmtId="0" fontId="3" fillId="0" borderId="0"/>
    <xf numFmtId="0" fontId="41" fillId="0" borderId="0"/>
    <xf numFmtId="0" fontId="41" fillId="0" borderId="0"/>
    <xf numFmtId="0" fontId="3" fillId="0" borderId="0"/>
    <xf numFmtId="223" fontId="3" fillId="0" borderId="0"/>
    <xf numFmtId="223" fontId="3" fillId="0" borderId="0"/>
    <xf numFmtId="0" fontId="41" fillId="0" borderId="0"/>
    <xf numFmtId="0" fontId="3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41" fillId="0" borderId="0"/>
    <xf numFmtId="0" fontId="41" fillId="0" borderId="0"/>
    <xf numFmtId="223" fontId="3" fillId="0" borderId="0"/>
    <xf numFmtId="0" fontId="3" fillId="0" borderId="0"/>
    <xf numFmtId="223" fontId="3" fillId="0" borderId="0"/>
    <xf numFmtId="0" fontId="3" fillId="0" borderId="0"/>
    <xf numFmtId="0" fontId="41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41" fillId="0" borderId="0"/>
    <xf numFmtId="0" fontId="153" fillId="0" borderId="0"/>
    <xf numFmtId="223" fontId="3" fillId="0" borderId="0"/>
    <xf numFmtId="0" fontId="9" fillId="0" borderId="0"/>
    <xf numFmtId="0" fontId="153" fillId="0" borderId="0"/>
    <xf numFmtId="223" fontId="3" fillId="0" borderId="0"/>
    <xf numFmtId="0" fontId="153" fillId="0" borderId="0"/>
    <xf numFmtId="0" fontId="41" fillId="0" borderId="0"/>
    <xf numFmtId="0" fontId="153" fillId="0" borderId="0"/>
    <xf numFmtId="223" fontId="3" fillId="0" borderId="0"/>
    <xf numFmtId="0" fontId="153" fillId="0" borderId="0"/>
    <xf numFmtId="223" fontId="3" fillId="0" borderId="0"/>
    <xf numFmtId="0" fontId="153" fillId="0" borderId="0"/>
    <xf numFmtId="223" fontId="3" fillId="0" borderId="0"/>
    <xf numFmtId="0" fontId="153" fillId="0" borderId="0"/>
    <xf numFmtId="223" fontId="3" fillId="0" borderId="0"/>
    <xf numFmtId="0" fontId="153" fillId="0" borderId="0"/>
    <xf numFmtId="223" fontId="3" fillId="0" borderId="0"/>
    <xf numFmtId="0" fontId="153" fillId="0" borderId="0"/>
    <xf numFmtId="223" fontId="3" fillId="0" borderId="0"/>
    <xf numFmtId="0" fontId="15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9" fillId="0" borderId="0" applyNumberFormat="0" applyFont="0" applyFill="0" applyBorder="0" applyAlignment="0" applyProtection="0">
      <alignment vertical="top"/>
    </xf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9" fillId="0" borderId="0"/>
    <xf numFmtId="0" fontId="3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53" fillId="0" borderId="0"/>
    <xf numFmtId="223" fontId="3" fillId="0" borderId="0"/>
    <xf numFmtId="0" fontId="15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3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9" fillId="0" borderId="0"/>
    <xf numFmtId="310" fontId="3" fillId="0" borderId="0"/>
    <xf numFmtId="310" fontId="3" fillId="0" borderId="0"/>
    <xf numFmtId="310" fontId="3" fillId="0" borderId="0"/>
    <xf numFmtId="310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310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0" fontId="18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9" fillId="0" borderId="0"/>
    <xf numFmtId="223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9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0" fontId="9" fillId="0" borderId="0"/>
    <xf numFmtId="0" fontId="9" fillId="0" borderId="0"/>
    <xf numFmtId="223" fontId="3" fillId="0" borderId="0"/>
    <xf numFmtId="223" fontId="3" fillId="0" borderId="0"/>
    <xf numFmtId="223" fontId="3" fillId="0" borderId="0"/>
    <xf numFmtId="0" fontId="9" fillId="0" borderId="0"/>
    <xf numFmtId="223" fontId="3" fillId="0" borderId="0"/>
    <xf numFmtId="223" fontId="3" fillId="0" borderId="0"/>
    <xf numFmtId="223" fontId="3" fillId="0" borderId="0"/>
    <xf numFmtId="0" fontId="9" fillId="0" borderId="0"/>
    <xf numFmtId="223" fontId="3" fillId="0" borderId="0"/>
    <xf numFmtId="223" fontId="3" fillId="0" borderId="0"/>
    <xf numFmtId="223" fontId="3" fillId="0" borderId="0"/>
    <xf numFmtId="0" fontId="9" fillId="0" borderId="0"/>
    <xf numFmtId="223" fontId="3" fillId="0" borderId="0"/>
    <xf numFmtId="223" fontId="3" fillId="0" borderId="0"/>
    <xf numFmtId="223" fontId="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3" fillId="0" borderId="0"/>
    <xf numFmtId="0" fontId="3" fillId="0" borderId="0"/>
    <xf numFmtId="0" fontId="41" fillId="0" borderId="0"/>
    <xf numFmtId="0" fontId="41" fillId="0" borderId="0"/>
    <xf numFmtId="0" fontId="41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3" fillId="0" borderId="0"/>
    <xf numFmtId="223" fontId="41" fillId="0" borderId="0"/>
    <xf numFmtId="0" fontId="41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238" fontId="22" fillId="0" borderId="0" applyNumberFormat="0" applyFill="0" applyBorder="0" applyAlignment="0" applyProtection="0"/>
    <xf numFmtId="238" fontId="22" fillId="0" borderId="0" applyNumberFormat="0" applyFill="0" applyBorder="0" applyAlignment="0" applyProtection="0"/>
    <xf numFmtId="3" fontId="208" fillId="0" borderId="0" applyNumberFormat="0" applyFill="0" applyBorder="0" applyAlignment="0" applyProtection="0">
      <protection locked="0"/>
    </xf>
    <xf numFmtId="311" fontId="15" fillId="0" borderId="0" applyFont="0" applyFill="0" applyBorder="0" applyAlignment="0" applyProtection="0"/>
    <xf numFmtId="311" fontId="15" fillId="0" borderId="0" applyFont="0" applyFill="0" applyBorder="0" applyAlignment="0" applyProtection="0"/>
    <xf numFmtId="0" fontId="9" fillId="0" borderId="0"/>
    <xf numFmtId="3" fontId="209" fillId="0" borderId="0" applyNumberFormat="0" applyFill="0" applyBorder="0" applyAlignment="0" applyProtection="0">
      <protection locked="0"/>
    </xf>
    <xf numFmtId="312" fontId="125" fillId="0" borderId="0" applyFill="0" applyBorder="0" applyProtection="0">
      <alignment vertical="center"/>
    </xf>
    <xf numFmtId="0" fontId="64" fillId="0" borderId="0"/>
    <xf numFmtId="0" fontId="203" fillId="0" borderId="0"/>
    <xf numFmtId="0" fontId="210" fillId="0" borderId="0" applyNumberFormat="0" applyFill="0" applyBorder="0" applyAlignment="0" applyProtection="0"/>
    <xf numFmtId="0" fontId="211" fillId="0" borderId="0" applyNumberFormat="0" applyFill="0" applyBorder="0" applyAlignment="0" applyProtection="0"/>
    <xf numFmtId="0" fontId="212" fillId="0" borderId="0" applyFill="0" applyBorder="0" applyAlignment="0" applyProtection="0"/>
    <xf numFmtId="206" fontId="212" fillId="0" borderId="0" applyFill="0" applyBorder="0" applyAlignment="0" applyProtection="0"/>
    <xf numFmtId="0" fontId="141" fillId="0" borderId="0" applyNumberFormat="0" applyFill="0" applyBorder="0" applyAlignment="0" applyProtection="0"/>
    <xf numFmtId="0" fontId="141" fillId="0" borderId="0" applyNumberFormat="0" applyFill="0" applyBorder="0" applyAlignment="0" applyProtection="0"/>
    <xf numFmtId="238" fontId="15" fillId="0" borderId="0"/>
    <xf numFmtId="238" fontId="15" fillId="0" borderId="0"/>
    <xf numFmtId="0" fontId="213" fillId="0" borderId="0"/>
    <xf numFmtId="313" fontId="15" fillId="0" borderId="0" applyFont="0" applyFill="0" applyBorder="0" applyAlignment="0" applyProtection="0"/>
    <xf numFmtId="0" fontId="41" fillId="34" borderId="84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41" fillId="34" borderId="84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9" fillId="34" borderId="84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9" fillId="34" borderId="84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9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41" fillId="34" borderId="84" applyNumberFormat="0" applyFont="0" applyAlignment="0" applyProtection="0"/>
    <xf numFmtId="0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41" fillId="34" borderId="84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3" fillId="54" borderId="57" applyNumberFormat="0" applyFont="0" applyAlignment="0" applyProtection="0"/>
    <xf numFmtId="0" fontId="9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41" fillId="34" borderId="84" applyNumberFormat="0" applyFont="0" applyAlignment="0" applyProtection="0"/>
    <xf numFmtId="0" fontId="41" fillId="54" borderId="57" applyNumberFormat="0" applyFont="0" applyAlignment="0" applyProtection="0"/>
    <xf numFmtId="223" fontId="3" fillId="54" borderId="57" applyNumberFormat="0" applyFont="0" applyAlignment="0" applyProtection="0"/>
    <xf numFmtId="0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41" fillId="34" borderId="84" applyNumberFormat="0" applyFont="0" applyAlignment="0" applyProtection="0"/>
    <xf numFmtId="223" fontId="3" fillId="54" borderId="57" applyNumberFormat="0" applyFont="0" applyAlignment="0" applyProtection="0"/>
    <xf numFmtId="0" fontId="41" fillId="54" borderId="57" applyNumberFormat="0" applyFont="0" applyAlignment="0" applyProtection="0"/>
    <xf numFmtId="0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41" fillId="34" borderId="84" applyNumberFormat="0" applyFont="0" applyAlignment="0" applyProtection="0"/>
    <xf numFmtId="0" fontId="41" fillId="54" borderId="57" applyNumberFormat="0" applyFont="0" applyAlignment="0" applyProtection="0"/>
    <xf numFmtId="0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41" fillId="34" borderId="84" applyNumberFormat="0" applyFont="0" applyAlignment="0" applyProtection="0"/>
    <xf numFmtId="0" fontId="41" fillId="54" borderId="57" applyNumberFormat="0" applyFont="0" applyAlignment="0" applyProtection="0"/>
    <xf numFmtId="0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41" fillId="34" borderId="84" applyNumberFormat="0" applyFont="0" applyAlignment="0" applyProtection="0"/>
    <xf numFmtId="0" fontId="41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41" fillId="34" borderId="84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194" fillId="34" borderId="84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223" fontId="3" fillId="54" borderId="57" applyNumberFormat="0" applyFont="0" applyAlignment="0" applyProtection="0"/>
    <xf numFmtId="0" fontId="9" fillId="34" borderId="84" applyNumberFormat="0" applyFont="0" applyAlignment="0" applyProtection="0"/>
    <xf numFmtId="0" fontId="9" fillId="34" borderId="84" applyNumberFormat="0" applyFont="0" applyAlignment="0" applyProtection="0"/>
    <xf numFmtId="314" fontId="15" fillId="0" borderId="0" applyFont="0" applyFill="0" applyBorder="0" applyAlignment="0" applyProtection="0"/>
    <xf numFmtId="314" fontId="15" fillId="0" borderId="0" applyFont="0" applyFill="0" applyBorder="0" applyAlignment="0" applyProtection="0"/>
    <xf numFmtId="39" fontId="15" fillId="0" borderId="0"/>
    <xf numFmtId="39" fontId="15" fillId="0" borderId="0"/>
    <xf numFmtId="39" fontId="102" fillId="2" borderId="74"/>
    <xf numFmtId="315" fontId="15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5" fillId="96" borderId="0" applyFont="0"/>
    <xf numFmtId="316" fontId="15" fillId="0" borderId="0" applyFont="0" applyFill="0" applyBorder="0" applyAlignment="0" applyProtection="0"/>
    <xf numFmtId="316" fontId="15" fillId="0" borderId="0" applyFont="0" applyFill="0" applyBorder="0" applyAlignment="0" applyProtection="0"/>
    <xf numFmtId="40" fontId="214" fillId="0" borderId="0" applyFont="0" applyFill="0" applyBorder="0" applyAlignment="0" applyProtection="0"/>
    <xf numFmtId="38" fontId="214" fillId="0" borderId="0" applyFont="0" applyFill="0" applyBorder="0" applyAlignment="0" applyProtection="0"/>
    <xf numFmtId="307" fontId="58" fillId="0" borderId="0"/>
    <xf numFmtId="317" fontId="9" fillId="0" borderId="0" applyBorder="0" applyProtection="0"/>
    <xf numFmtId="37" fontId="215" fillId="2" borderId="74">
      <alignment horizontal="right"/>
    </xf>
    <xf numFmtId="0" fontId="55" fillId="31" borderId="85" applyNumberFormat="0" applyAlignment="0" applyProtection="0"/>
    <xf numFmtId="37" fontId="15" fillId="0" borderId="0" applyBorder="0">
      <protection locked="0"/>
    </xf>
    <xf numFmtId="37" fontId="15" fillId="0" borderId="0" applyBorder="0">
      <protection locked="0"/>
    </xf>
    <xf numFmtId="0" fontId="216" fillId="0" borderId="0" applyProtection="0">
      <alignment horizontal="left"/>
    </xf>
    <xf numFmtId="206" fontId="216" fillId="0" borderId="0" applyProtection="0">
      <alignment horizontal="left"/>
    </xf>
    <xf numFmtId="0" fontId="216" fillId="0" borderId="0" applyFill="0" applyBorder="0" applyProtection="0">
      <alignment horizontal="left"/>
    </xf>
    <xf numFmtId="206" fontId="216" fillId="0" borderId="0" applyFill="0" applyBorder="0" applyProtection="0">
      <alignment horizontal="left"/>
    </xf>
    <xf numFmtId="0" fontId="217" fillId="0" borderId="0" applyFill="0" applyBorder="0" applyProtection="0">
      <alignment horizontal="left"/>
    </xf>
    <xf numFmtId="206" fontId="217" fillId="0" borderId="0" applyFill="0" applyBorder="0" applyProtection="0">
      <alignment horizontal="left"/>
    </xf>
    <xf numFmtId="1" fontId="218" fillId="0" borderId="0" applyProtection="0">
      <alignment horizontal="right" vertical="center"/>
    </xf>
    <xf numFmtId="37" fontId="219" fillId="0" borderId="0" applyNumberFormat="0" applyFill="0" applyBorder="0" applyAlignment="0" applyProtection="0"/>
    <xf numFmtId="318" fontId="9" fillId="0" borderId="0" applyFont="0" applyFill="0" applyBorder="0" applyAlignment="0"/>
    <xf numFmtId="318" fontId="9" fillId="0" borderId="0" applyFont="0" applyFill="0" applyBorder="0" applyAlignment="0"/>
    <xf numFmtId="319" fontId="9" fillId="0" borderId="0" applyFill="0" applyBorder="0"/>
    <xf numFmtId="319" fontId="9" fillId="0" borderId="0" applyFill="0" applyBorder="0"/>
    <xf numFmtId="320" fontId="9" fillId="0" borderId="0" applyFont="0" applyFill="0" applyBorder="0" applyAlignment="0" applyProtection="0"/>
    <xf numFmtId="0" fontId="139" fillId="0" borderId="0"/>
    <xf numFmtId="0" fontId="139" fillId="0" borderId="0"/>
    <xf numFmtId="9" fontId="9" fillId="0" borderId="0" applyFont="0" applyFill="0" applyBorder="0" applyAlignment="0" applyProtection="0"/>
    <xf numFmtId="281" fontId="9" fillId="0" borderId="0" applyFont="0" applyFill="0" applyBorder="0" applyAlignment="0" applyProtection="0"/>
    <xf numFmtId="9" fontId="72" fillId="0" borderId="0" applyFont="0" applyFill="0" applyBorder="0" applyAlignment="0" applyProtection="0"/>
    <xf numFmtId="9" fontId="72" fillId="0" borderId="0" applyFont="0" applyFill="0" applyBorder="0" applyAlignment="0" applyProtection="0"/>
    <xf numFmtId="10" fontId="72" fillId="0" borderId="0" applyFont="0" applyFill="0" applyBorder="0" applyAlignment="0" applyProtection="0"/>
    <xf numFmtId="10" fontId="72" fillId="0" borderId="0" applyFont="0" applyFill="0" applyBorder="0" applyAlignment="0" applyProtection="0"/>
    <xf numFmtId="321" fontId="9" fillId="0" borderId="0" applyFont="0" applyFill="0" applyBorder="0" applyAlignment="0"/>
    <xf numFmtId="190" fontId="9" fillId="0" borderId="0" applyFont="0" applyFill="0" applyBorder="0" applyAlignment="0" applyProtection="0"/>
    <xf numFmtId="10" fontId="9" fillId="0" borderId="0" applyFont="0" applyFill="0" applyBorder="0" applyAlignment="0" applyProtection="0"/>
    <xf numFmtId="9" fontId="137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220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13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37" fillId="0" borderId="0" applyFont="0" applyFill="0" applyBorder="0" applyAlignment="0" applyProtection="0"/>
    <xf numFmtId="9" fontId="137" fillId="0" borderId="0" applyFont="0" applyFill="0" applyBorder="0" applyAlignment="0" applyProtection="0"/>
    <xf numFmtId="9" fontId="137" fillId="0" borderId="0" applyFont="0" applyFill="0" applyBorder="0" applyAlignment="0" applyProtection="0"/>
    <xf numFmtId="9" fontId="137" fillId="0" borderId="0" applyFont="0" applyFill="0" applyBorder="0" applyAlignment="0" applyProtection="0"/>
    <xf numFmtId="9" fontId="137" fillId="0" borderId="0" applyFont="0" applyFill="0" applyBorder="0" applyAlignment="0" applyProtection="0"/>
    <xf numFmtId="9" fontId="137" fillId="0" borderId="0" applyFont="0" applyFill="0" applyBorder="0" applyAlignment="0" applyProtection="0"/>
    <xf numFmtId="9" fontId="137" fillId="0" borderId="0" applyFont="0" applyFill="0" applyBorder="0" applyAlignment="0" applyProtection="0"/>
    <xf numFmtId="9" fontId="137" fillId="0" borderId="0" applyFont="0" applyFill="0" applyBorder="0" applyAlignment="0" applyProtection="0"/>
    <xf numFmtId="9" fontId="13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37" fillId="0" borderId="0" applyFont="0" applyFill="0" applyBorder="0" applyAlignment="0" applyProtection="0"/>
    <xf numFmtId="9" fontId="137" fillId="0" borderId="0" applyFont="0" applyFill="0" applyBorder="0" applyAlignment="0" applyProtection="0"/>
    <xf numFmtId="9" fontId="137" fillId="0" borderId="0" applyFont="0" applyFill="0" applyBorder="0" applyAlignment="0" applyProtection="0"/>
    <xf numFmtId="9" fontId="137" fillId="0" borderId="0" applyFont="0" applyFill="0" applyBorder="0" applyAlignment="0" applyProtection="0"/>
    <xf numFmtId="9" fontId="137" fillId="0" borderId="0" applyFont="0" applyFill="0" applyBorder="0" applyAlignment="0" applyProtection="0"/>
    <xf numFmtId="9" fontId="137" fillId="0" borderId="0" applyFont="0" applyFill="0" applyBorder="0" applyAlignment="0" applyProtection="0"/>
    <xf numFmtId="9" fontId="137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9" fillId="0" borderId="0" applyFont="0" applyFill="0" applyBorder="0" applyAlignment="0" applyProtection="0"/>
    <xf numFmtId="237" fontId="125" fillId="0" borderId="0" applyFont="0" applyFill="0" applyBorder="0" applyAlignment="0" applyProtection="0">
      <alignment horizontal="right"/>
    </xf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237" fontId="125" fillId="0" borderId="0" applyFont="0" applyFill="0" applyBorder="0" applyAlignment="0" applyProtection="0">
      <alignment horizontal="right"/>
    </xf>
    <xf numFmtId="9" fontId="138" fillId="0" borderId="0" applyFont="0" applyFill="0" applyBorder="0" applyAlignment="0" applyProtection="0"/>
    <xf numFmtId="322" fontId="9" fillId="0" borderId="0" applyFont="0" applyFill="0" applyBorder="0" applyProtection="0">
      <alignment horizontal="right"/>
    </xf>
    <xf numFmtId="323" fontId="81" fillId="0" borderId="0" applyFont="0" applyFill="0" applyBorder="0" applyProtection="0">
      <alignment horizontal="right"/>
    </xf>
    <xf numFmtId="323" fontId="81" fillId="0" borderId="0" applyFont="0" applyFill="0" applyBorder="0" applyProtection="0">
      <alignment horizontal="right"/>
    </xf>
    <xf numFmtId="324" fontId="221" fillId="0" borderId="0"/>
    <xf numFmtId="284" fontId="125" fillId="0" borderId="0" applyFill="0" applyBorder="0" applyProtection="0">
      <alignment vertical="center"/>
    </xf>
    <xf numFmtId="325" fontId="144" fillId="0" borderId="0"/>
    <xf numFmtId="9" fontId="222" fillId="0" borderId="0" applyFont="0" applyFill="0" applyBorder="0" applyAlignment="0" applyProtection="0"/>
    <xf numFmtId="9" fontId="9" fillId="0" borderId="0" applyFont="0" applyFill="0" applyBorder="0" applyAlignment="0" applyProtection="0"/>
    <xf numFmtId="324" fontId="223" fillId="2" borderId="74"/>
    <xf numFmtId="326" fontId="15" fillId="0" borderId="0" applyFont="0" applyFill="0" applyBorder="0" applyAlignment="0" applyProtection="0"/>
    <xf numFmtId="326" fontId="15" fillId="0" borderId="0" applyFont="0" applyFill="0" applyBorder="0" applyAlignment="0" applyProtection="0"/>
    <xf numFmtId="301" fontId="146" fillId="0" borderId="0" applyFill="0" applyBorder="0">
      <alignment horizontal="right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224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72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5" fillId="0" borderId="0">
      <protection locked="0"/>
    </xf>
    <xf numFmtId="9" fontId="9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9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9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72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327" fontId="21" fillId="0" borderId="0"/>
    <xf numFmtId="233" fontId="21" fillId="0" borderId="0"/>
    <xf numFmtId="233" fontId="21" fillId="0" borderId="0"/>
    <xf numFmtId="327" fontId="21" fillId="0" borderId="0"/>
    <xf numFmtId="327" fontId="21" fillId="0" borderId="0"/>
    <xf numFmtId="327" fontId="21" fillId="0" borderId="0"/>
    <xf numFmtId="0" fontId="10" fillId="93" borderId="41" applyNumberFormat="0" applyFont="0" applyBorder="0" applyAlignment="0" applyProtection="0"/>
    <xf numFmtId="200" fontId="10" fillId="93" borderId="41" applyNumberFormat="0" applyFont="0" applyBorder="0" applyAlignment="0" applyProtection="0"/>
    <xf numFmtId="257" fontId="203" fillId="0" borderId="0" applyFont="0" applyFill="0" applyBorder="0" applyAlignment="0" applyProtection="0"/>
    <xf numFmtId="0" fontId="22" fillId="2" borderId="74" applyNumberFormat="0" applyFont="0" applyAlignment="0" applyProtection="0"/>
    <xf numFmtId="206" fontId="22" fillId="2" borderId="74" applyNumberFormat="0" applyFont="0" applyAlignment="0" applyProtection="0"/>
    <xf numFmtId="275" fontId="15" fillId="2" borderId="0" applyNumberFormat="0" applyFont="0" applyBorder="0" applyAlignment="0" applyProtection="0">
      <alignment horizontal="center"/>
      <protection locked="0"/>
    </xf>
    <xf numFmtId="275" fontId="15" fillId="2" borderId="0" applyNumberFormat="0" applyFont="0" applyBorder="0" applyAlignment="0" applyProtection="0">
      <alignment horizontal="center"/>
      <protection locked="0"/>
    </xf>
    <xf numFmtId="14" fontId="66" fillId="123" borderId="81" applyNumberFormat="0" applyFont="0" applyBorder="0" applyAlignment="0" applyProtection="0">
      <alignment horizontal="center" vertical="center"/>
    </xf>
    <xf numFmtId="9" fontId="24" fillId="0" borderId="0" applyFont="0" applyFill="0" applyBorder="0" applyAlignment="0" applyProtection="0"/>
    <xf numFmtId="0" fontId="24" fillId="0" borderId="0" applyNumberFormat="0" applyFont="0" applyFill="0" applyBorder="0" applyAlignment="0" applyProtection="0">
      <alignment horizontal="left"/>
    </xf>
    <xf numFmtId="15" fontId="24" fillId="0" borderId="0" applyFont="0" applyFill="0" applyBorder="0" applyAlignment="0" applyProtection="0"/>
    <xf numFmtId="4" fontId="24" fillId="0" borderId="0" applyFont="0" applyFill="0" applyBorder="0" applyAlignment="0" applyProtection="0"/>
    <xf numFmtId="0" fontId="83" fillId="0" borderId="62">
      <alignment horizontal="center"/>
    </xf>
    <xf numFmtId="3" fontId="24" fillId="0" borderId="0" applyFont="0" applyFill="0" applyBorder="0" applyAlignment="0" applyProtection="0"/>
    <xf numFmtId="0" fontId="24" fillId="124" borderId="0" applyNumberFormat="0" applyFont="0" applyBorder="0" applyAlignment="0" applyProtection="0"/>
    <xf numFmtId="222" fontId="72" fillId="0" borderId="0">
      <alignment vertical="top"/>
    </xf>
    <xf numFmtId="0" fontId="72" fillId="0" borderId="0">
      <alignment vertical="top"/>
    </xf>
    <xf numFmtId="216" fontId="225" fillId="0" borderId="0"/>
    <xf numFmtId="328" fontId="9" fillId="0" borderId="0" applyFont="0" applyFill="0" applyBorder="0" applyProtection="0">
      <alignment horizontal="right"/>
    </xf>
    <xf numFmtId="329" fontId="9" fillId="0" borderId="0" applyFont="0" applyFill="0" applyBorder="0" applyProtection="0">
      <alignment horizontal="right"/>
    </xf>
    <xf numFmtId="330" fontId="125" fillId="0" borderId="0" applyFont="0" applyFill="0" applyBorder="0" applyProtection="0">
      <alignment horizontal="right"/>
    </xf>
    <xf numFmtId="238" fontId="226" fillId="0" borderId="0" applyNumberFormat="0" applyFill="0" applyBorder="0" applyAlignment="0" applyProtection="0">
      <alignment horizontal="left"/>
    </xf>
    <xf numFmtId="331" fontId="226" fillId="0" borderId="0" applyNumberFormat="0" applyFill="0" applyBorder="0" applyAlignment="0" applyProtection="0">
      <alignment horizontal="left"/>
    </xf>
    <xf numFmtId="0" fontId="227" fillId="0" borderId="6" applyNumberFormat="0" applyFill="0" applyBorder="0" applyAlignment="0" applyProtection="0">
      <protection hidden="1"/>
    </xf>
    <xf numFmtId="3" fontId="228" fillId="125" borderId="74"/>
    <xf numFmtId="332" fontId="9" fillId="0" borderId="0" applyProtection="0">
      <alignment horizontal="right"/>
    </xf>
    <xf numFmtId="332" fontId="9" fillId="0" borderId="0" applyProtection="0">
      <alignment horizontal="right"/>
    </xf>
    <xf numFmtId="3" fontId="228" fillId="125" borderId="74"/>
    <xf numFmtId="3" fontId="228" fillId="125" borderId="74"/>
    <xf numFmtId="333" fontId="9" fillId="0" borderId="0" applyProtection="0">
      <alignment horizontal="right"/>
    </xf>
    <xf numFmtId="333" fontId="9" fillId="0" borderId="0" applyProtection="0">
      <alignment horizontal="right"/>
    </xf>
    <xf numFmtId="3" fontId="228" fillId="125" borderId="74"/>
    <xf numFmtId="37" fontId="229" fillId="0" borderId="0" applyNumberFormat="0" applyFill="0" applyBorder="0" applyAlignment="0" applyProtection="0"/>
    <xf numFmtId="37" fontId="229" fillId="0" borderId="0" applyNumberFormat="0" applyFill="0" applyBorder="0" applyAlignment="0" applyProtection="0"/>
    <xf numFmtId="38" fontId="146" fillId="0" borderId="0"/>
    <xf numFmtId="0" fontId="230" fillId="0" borderId="0" applyNumberFormat="0" applyFill="0" applyBorder="0" applyAlignment="0" applyProtection="0"/>
    <xf numFmtId="0" fontId="22" fillId="0" borderId="0" applyNumberFormat="0" applyFill="0" applyBorder="0"/>
    <xf numFmtId="206" fontId="22" fillId="0" borderId="0" applyNumberFormat="0" applyFill="0" applyBorder="0"/>
    <xf numFmtId="0" fontId="9" fillId="0" borderId="0"/>
    <xf numFmtId="0" fontId="55" fillId="97" borderId="85" applyNumberFormat="0" applyAlignment="0" applyProtection="0"/>
    <xf numFmtId="0" fontId="55" fillId="31" borderId="85" applyNumberFormat="0" applyAlignment="0" applyProtection="0"/>
    <xf numFmtId="0" fontId="231" fillId="31" borderId="85" applyNumberFormat="0" applyAlignment="0" applyProtection="0"/>
    <xf numFmtId="0" fontId="55" fillId="31" borderId="85" applyNumberFormat="0" applyAlignment="0" applyProtection="0"/>
    <xf numFmtId="0" fontId="232" fillId="0" borderId="86">
      <alignment vertical="center"/>
    </xf>
    <xf numFmtId="0" fontId="11" fillId="0" borderId="0" applyFill="0" applyBorder="0" applyProtection="0">
      <alignment horizontal="left"/>
    </xf>
    <xf numFmtId="222" fontId="233" fillId="0" borderId="0">
      <alignment horizontal="left"/>
    </xf>
    <xf numFmtId="3" fontId="234" fillId="0" borderId="0">
      <alignment horizontal="center"/>
      <protection locked="0"/>
    </xf>
    <xf numFmtId="0" fontId="29" fillId="126" borderId="0" applyNumberFormat="0"/>
    <xf numFmtId="206" fontId="29" fillId="126" borderId="0" applyNumberFormat="0"/>
    <xf numFmtId="222" fontId="11" fillId="10" borderId="87" applyNumberFormat="0" applyFont="0" applyAlignment="0" applyProtection="0"/>
    <xf numFmtId="222" fontId="11" fillId="10" borderId="87" applyNumberFormat="0" applyFont="0" applyAlignment="0" applyProtection="0"/>
    <xf numFmtId="334" fontId="235" fillId="0" borderId="0">
      <protection locked="0"/>
    </xf>
    <xf numFmtId="334" fontId="235" fillId="0" borderId="0">
      <protection locked="0"/>
    </xf>
    <xf numFmtId="335" fontId="235" fillId="0" borderId="0">
      <protection locked="0"/>
    </xf>
    <xf numFmtId="281" fontId="9" fillId="0" borderId="0" applyFont="0" applyFill="0" applyBorder="0" applyAlignment="0" applyProtection="0"/>
    <xf numFmtId="281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281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72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40" fontId="24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40" fontId="24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72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224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72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4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281" fontId="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281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281" fontId="9" fillId="0" borderId="0" applyFont="0" applyFill="0" applyBorder="0" applyAlignment="0" applyProtection="0"/>
    <xf numFmtId="222" fontId="236" fillId="31" borderId="74">
      <alignment horizontal="left"/>
    </xf>
    <xf numFmtId="0" fontId="72" fillId="127" borderId="0" applyNumberFormat="0" applyFont="0" applyBorder="0" applyAlignment="0" applyProtection="0"/>
    <xf numFmtId="0" fontId="72" fillId="127" borderId="0" applyNumberFormat="0" applyFont="0" applyBorder="0" applyAlignment="0" applyProtection="0"/>
    <xf numFmtId="238" fontId="109" fillId="1" borderId="0" applyNumberFormat="0" applyFont="0" applyBorder="0" applyAlignment="0" applyProtection="0"/>
    <xf numFmtId="336" fontId="237" fillId="0" borderId="0">
      <alignment horizontal="center"/>
    </xf>
    <xf numFmtId="241" fontId="237" fillId="0" borderId="0">
      <alignment horizontal="center"/>
    </xf>
    <xf numFmtId="266" fontId="128" fillId="0" borderId="0" applyFill="0" applyBorder="0" applyAlignment="0" applyProtection="0"/>
    <xf numFmtId="0" fontId="205" fillId="0" borderId="0"/>
    <xf numFmtId="0" fontId="9" fillId="0" borderId="0"/>
    <xf numFmtId="12" fontId="9" fillId="0" borderId="0" applyFont="0" applyFill="0" applyBorder="0" applyProtection="0">
      <alignment horizontal="right"/>
    </xf>
    <xf numFmtId="337" fontId="9" fillId="121" borderId="0" applyFont="0" applyFill="0" applyBorder="0" applyProtection="0">
      <alignment horizontal="right"/>
    </xf>
    <xf numFmtId="0" fontId="201" fillId="0" borderId="0"/>
    <xf numFmtId="0" fontId="72" fillId="0" borderId="68"/>
    <xf numFmtId="0" fontId="9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Font="0" applyFill="0" applyBorder="0" applyAlignment="0" applyProtection="0"/>
    <xf numFmtId="338" fontId="177" fillId="0" borderId="0" applyFill="0" applyBorder="0" applyProtection="0">
      <alignment horizontal="right" wrapText="1"/>
    </xf>
    <xf numFmtId="223" fontId="197" fillId="0" borderId="0"/>
    <xf numFmtId="0" fontId="60" fillId="40" borderId="20" applyNumberFormat="0" applyBorder="0" applyAlignment="0">
      <alignment horizontal="left" vertical="center" indent="1"/>
    </xf>
    <xf numFmtId="0" fontId="9" fillId="126" borderId="0" applyNumberFormat="0" applyFont="0" applyBorder="0" applyAlignment="0" applyProtection="0">
      <protection locked="0"/>
    </xf>
    <xf numFmtId="206" fontId="9" fillId="126" borderId="0" applyNumberFormat="0" applyFont="0" applyBorder="0" applyAlignment="0" applyProtection="0">
      <protection locked="0"/>
    </xf>
    <xf numFmtId="0" fontId="9" fillId="126" borderId="0" applyNumberFormat="0" applyFont="0" applyBorder="0" applyAlignment="0" applyProtection="0">
      <protection locked="0"/>
    </xf>
    <xf numFmtId="0" fontId="238" fillId="0" borderId="20" applyNumberFormat="0" applyBorder="0" applyAlignment="0">
      <alignment horizontal="center" vertical="center"/>
    </xf>
    <xf numFmtId="0" fontId="22" fillId="2" borderId="0" applyNumberFormat="0" applyFont="0" applyBorder="0" applyAlignment="0" applyProtection="0"/>
    <xf numFmtId="206" fontId="22" fillId="2" borderId="0" applyNumberFormat="0" applyFont="0" applyBorder="0" applyAlignment="0" applyProtection="0"/>
    <xf numFmtId="0" fontId="16" fillId="0" borderId="0"/>
    <xf numFmtId="0" fontId="21" fillId="0" borderId="0" applyFill="0" applyBorder="0" applyProtection="0">
      <alignment horizontal="center" vertical="center"/>
    </xf>
    <xf numFmtId="206" fontId="21" fillId="0" borderId="0" applyFill="0" applyBorder="0" applyProtection="0">
      <alignment horizontal="center" vertical="center"/>
    </xf>
    <xf numFmtId="0" fontId="239" fillId="0" borderId="0" applyBorder="0" applyProtection="0">
      <alignment vertical="center"/>
    </xf>
    <xf numFmtId="264" fontId="239" fillId="0" borderId="9" applyBorder="0" applyProtection="0">
      <alignment horizontal="right" vertical="center"/>
    </xf>
    <xf numFmtId="264" fontId="239" fillId="0" borderId="9" applyBorder="0" applyProtection="0">
      <alignment horizontal="right" vertical="center"/>
    </xf>
    <xf numFmtId="264" fontId="239" fillId="0" borderId="9" applyBorder="0" applyProtection="0">
      <alignment horizontal="right" vertical="center"/>
    </xf>
    <xf numFmtId="265" fontId="9" fillId="0" borderId="9" applyBorder="0" applyProtection="0">
      <alignment horizontal="right" vertical="center"/>
    </xf>
    <xf numFmtId="0" fontId="240" fillId="128" borderId="0" applyBorder="0" applyProtection="0">
      <alignment horizontal="centerContinuous" vertical="center"/>
    </xf>
    <xf numFmtId="0" fontId="240" fillId="129" borderId="9" applyBorder="0" applyProtection="0">
      <alignment horizontal="centerContinuous" vertical="center"/>
    </xf>
    <xf numFmtId="0" fontId="240" fillId="129" borderId="9" applyBorder="0" applyProtection="0">
      <alignment horizontal="centerContinuous" vertical="center"/>
    </xf>
    <xf numFmtId="0" fontId="240" fillId="129" borderId="9" applyBorder="0" applyProtection="0">
      <alignment horizontal="centerContinuous" vertical="center"/>
    </xf>
    <xf numFmtId="0" fontId="241" fillId="0" borderId="0" applyFill="0" applyBorder="0" applyProtection="0">
      <alignment horizontal="center" vertical="center"/>
    </xf>
    <xf numFmtId="0" fontId="22" fillId="0" borderId="0" applyBorder="0" applyProtection="0">
      <alignment horizontal="left"/>
    </xf>
    <xf numFmtId="0" fontId="21" fillId="0" borderId="0" applyFill="0" applyBorder="0" applyProtection="0"/>
    <xf numFmtId="206" fontId="21" fillId="0" borderId="0" applyFill="0" applyBorder="0" applyProtection="0"/>
    <xf numFmtId="0" fontId="203" fillId="0" borderId="0"/>
    <xf numFmtId="0" fontId="242" fillId="0" borderId="0" applyFill="0" applyBorder="0" applyProtection="0">
      <alignment horizontal="left"/>
    </xf>
    <xf numFmtId="0" fontId="242" fillId="0" borderId="0" applyFill="0" applyBorder="0" applyProtection="0">
      <alignment horizontal="left"/>
    </xf>
    <xf numFmtId="0" fontId="159" fillId="0" borderId="4" applyFill="0" applyBorder="0" applyProtection="0">
      <alignment horizontal="left" vertical="top"/>
    </xf>
    <xf numFmtId="0" fontId="159" fillId="0" borderId="4" applyFill="0" applyBorder="0" applyProtection="0">
      <alignment horizontal="left" vertical="top"/>
    </xf>
    <xf numFmtId="0" fontId="159" fillId="0" borderId="4" applyFill="0" applyBorder="0" applyProtection="0">
      <alignment horizontal="left" vertical="top"/>
    </xf>
    <xf numFmtId="0" fontId="159" fillId="0" borderId="4" applyFill="0" applyBorder="0" applyProtection="0">
      <alignment horizontal="left" vertical="top"/>
    </xf>
    <xf numFmtId="0" fontId="159" fillId="0" borderId="4" applyFill="0" applyBorder="0" applyProtection="0">
      <alignment horizontal="left" vertical="top"/>
    </xf>
    <xf numFmtId="0" fontId="159" fillId="0" borderId="4" applyFill="0" applyBorder="0" applyProtection="0">
      <alignment horizontal="left" vertical="top"/>
    </xf>
    <xf numFmtId="0" fontId="159" fillId="0" borderId="4" applyFill="0" applyBorder="0" applyProtection="0">
      <alignment horizontal="left" vertical="top"/>
    </xf>
    <xf numFmtId="0" fontId="159" fillId="0" borderId="4" applyFill="0" applyBorder="0" applyProtection="0">
      <alignment horizontal="left" vertical="top"/>
    </xf>
    <xf numFmtId="0" fontId="159" fillId="0" borderId="4" applyFill="0" applyBorder="0" applyProtection="0">
      <alignment horizontal="left" vertical="top"/>
    </xf>
    <xf numFmtId="0" fontId="159" fillId="0" borderId="4" applyFill="0" applyBorder="0" applyProtection="0">
      <alignment horizontal="left" vertical="top"/>
    </xf>
    <xf numFmtId="0" fontId="159" fillId="0" borderId="4" applyFill="0" applyBorder="0" applyProtection="0">
      <alignment horizontal="left" vertical="top"/>
    </xf>
    <xf numFmtId="0" fontId="243" fillId="0" borderId="0">
      <alignment horizontal="centerContinuous"/>
    </xf>
    <xf numFmtId="0" fontId="58" fillId="96" borderId="73" applyNumberFormat="0" applyFont="0" applyFill="0" applyAlignment="0" applyProtection="0">
      <protection locked="0"/>
    </xf>
    <xf numFmtId="0" fontId="58" fillId="96" borderId="73" applyNumberFormat="0" applyFont="0" applyFill="0" applyAlignment="0" applyProtection="0">
      <protection locked="0"/>
    </xf>
    <xf numFmtId="0" fontId="58" fillId="96" borderId="88" applyNumberFormat="0" applyFont="0" applyFill="0" applyAlignment="0" applyProtection="0">
      <protection locked="0"/>
    </xf>
    <xf numFmtId="206" fontId="58" fillId="96" borderId="88" applyNumberFormat="0" applyFont="0" applyFill="0" applyAlignment="0" applyProtection="0">
      <protection locked="0"/>
    </xf>
    <xf numFmtId="1" fontId="244" fillId="0" borderId="0"/>
    <xf numFmtId="0" fontId="9" fillId="0" borderId="0"/>
    <xf numFmtId="0" fontId="136" fillId="0" borderId="0"/>
    <xf numFmtId="0" fontId="179" fillId="117" borderId="0" applyNumberFormat="0" applyBorder="0" applyProtection="0"/>
    <xf numFmtId="0" fontId="15" fillId="0" borderId="0"/>
    <xf numFmtId="0" fontId="22" fillId="0" borderId="0" applyNumberFormat="0" applyFill="0" applyBorder="0" applyAlignment="0" applyProtection="0"/>
    <xf numFmtId="0" fontId="245" fillId="0" borderId="0"/>
    <xf numFmtId="0" fontId="245" fillId="0" borderId="4" applyFill="0" applyBorder="0" applyProtection="0"/>
    <xf numFmtId="0" fontId="245" fillId="0" borderId="4" applyFill="0" applyBorder="0" applyProtection="0"/>
    <xf numFmtId="339" fontId="95" fillId="0" borderId="0" applyFill="0" applyBorder="0" applyAlignment="0" applyProtection="0"/>
    <xf numFmtId="339" fontId="95" fillId="0" borderId="0" applyFill="0" applyBorder="0" applyAlignment="0" applyProtection="0"/>
    <xf numFmtId="339" fontId="95" fillId="0" borderId="0" applyFill="0" applyBorder="0" applyAlignment="0" applyProtection="0"/>
    <xf numFmtId="339" fontId="95" fillId="0" borderId="0" applyFill="0" applyBorder="0" applyAlignment="0" applyProtection="0"/>
    <xf numFmtId="339" fontId="95" fillId="0" borderId="0" applyFill="0" applyBorder="0" applyAlignment="0" applyProtection="0"/>
    <xf numFmtId="339" fontId="95" fillId="0" borderId="0" applyFill="0" applyBorder="0" applyAlignment="0" applyProtection="0"/>
    <xf numFmtId="339" fontId="95" fillId="0" borderId="0" applyFill="0" applyBorder="0" applyAlignment="0" applyProtection="0"/>
    <xf numFmtId="339" fontId="95" fillId="0" borderId="0" applyFill="0" applyBorder="0" applyAlignment="0" applyProtection="0"/>
    <xf numFmtId="0" fontId="245" fillId="0" borderId="4" applyFill="0" applyBorder="0" applyProtection="0"/>
    <xf numFmtId="339" fontId="95" fillId="0" borderId="0" applyFill="0" applyBorder="0" applyAlignment="0" applyProtection="0"/>
    <xf numFmtId="339" fontId="95" fillId="0" borderId="0" applyFill="0" applyBorder="0" applyAlignment="0" applyProtection="0"/>
    <xf numFmtId="339" fontId="95" fillId="0" borderId="0" applyFill="0" applyBorder="0" applyAlignment="0" applyProtection="0"/>
    <xf numFmtId="339" fontId="95" fillId="0" borderId="0" applyFill="0" applyBorder="0" applyAlignment="0" applyProtection="0"/>
    <xf numFmtId="339" fontId="95" fillId="0" borderId="0" applyFill="0" applyBorder="0" applyAlignment="0" applyProtection="0"/>
    <xf numFmtId="339" fontId="95" fillId="0" borderId="0" applyFill="0" applyBorder="0" applyAlignment="0" applyProtection="0"/>
    <xf numFmtId="0" fontId="245" fillId="0" borderId="4" applyFill="0" applyBorder="0" applyProtection="0"/>
    <xf numFmtId="0" fontId="245" fillId="0" borderId="4" applyFill="0" applyBorder="0" applyProtection="0"/>
    <xf numFmtId="0" fontId="245" fillId="0" borderId="4" applyFill="0" applyBorder="0" applyProtection="0"/>
    <xf numFmtId="0" fontId="245" fillId="0" borderId="4" applyFill="0" applyBorder="0" applyProtection="0"/>
    <xf numFmtId="0" fontId="245" fillId="0" borderId="4" applyFill="0" applyBorder="0" applyProtection="0"/>
    <xf numFmtId="0" fontId="245" fillId="0" borderId="4" applyFill="0" applyBorder="0" applyProtection="0"/>
    <xf numFmtId="0" fontId="245" fillId="0" borderId="4" applyFill="0" applyBorder="0" applyProtection="0"/>
    <xf numFmtId="0" fontId="246" fillId="0" borderId="0" applyFill="0" applyBorder="0" applyProtection="0"/>
    <xf numFmtId="0" fontId="247" fillId="0" borderId="0"/>
    <xf numFmtId="0" fontId="58" fillId="0" borderId="0">
      <alignment vertical="top"/>
    </xf>
    <xf numFmtId="223" fontId="57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340" fontId="156" fillId="0" borderId="0" applyFill="0" applyBorder="0" applyAlignment="0" applyProtection="0">
      <alignment horizontal="right"/>
    </xf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13" fillId="0" borderId="0" applyFill="0" applyBorder="0" applyProtection="0">
      <alignment horizontal="left" vertical="top"/>
    </xf>
    <xf numFmtId="18" fontId="58" fillId="96" borderId="0" applyFont="0" applyFill="0" applyBorder="0" applyAlignment="0" applyProtection="0">
      <protection locked="0"/>
    </xf>
    <xf numFmtId="18" fontId="58" fillId="96" borderId="0" applyFont="0" applyFill="0" applyBorder="0" applyAlignment="0" applyProtection="0">
      <protection locked="0"/>
    </xf>
    <xf numFmtId="341" fontId="9" fillId="0" borderId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206" fontId="64" fillId="0" borderId="0" applyNumberFormat="0" applyFill="0" applyBorder="0" applyAlignment="0" applyProtection="0"/>
    <xf numFmtId="0" fontId="250" fillId="0" borderId="0" applyNumberFormat="0" applyFill="0" applyBorder="0" applyAlignment="0" applyProtection="0"/>
    <xf numFmtId="206" fontId="56" fillId="0" borderId="0" applyNumberFormat="0" applyFill="0" applyBorder="0" applyAlignment="0" applyProtection="0"/>
    <xf numFmtId="0" fontId="251" fillId="0" borderId="0"/>
    <xf numFmtId="0" fontId="21" fillId="0" borderId="0" applyNumberFormat="0" applyFill="0" applyBorder="0" applyAlignment="0" applyProtection="0"/>
    <xf numFmtId="206" fontId="251" fillId="0" borderId="0"/>
    <xf numFmtId="0" fontId="252" fillId="0" borderId="0" applyNumberFormat="0" applyFill="0" applyBorder="0" applyAlignment="0" applyProtection="0"/>
    <xf numFmtId="0" fontId="253" fillId="0" borderId="0" applyNumberFormat="0" applyFill="0" applyBorder="0" applyAlignment="0" applyProtection="0"/>
    <xf numFmtId="0" fontId="48" fillId="0" borderId="12" applyNumberFormat="0" applyFill="0" applyAlignment="0" applyProtection="0"/>
    <xf numFmtId="0" fontId="48" fillId="0" borderId="12" applyNumberFormat="0" applyFill="0" applyAlignment="0" applyProtection="0"/>
    <xf numFmtId="0" fontId="254" fillId="0" borderId="12" applyNumberFormat="0" applyFill="0" applyAlignment="0" applyProtection="0"/>
    <xf numFmtId="0" fontId="49" fillId="0" borderId="13" applyNumberFormat="0" applyFill="0" applyAlignment="0" applyProtection="0"/>
    <xf numFmtId="0" fontId="255" fillId="0" borderId="13" applyNumberFormat="0" applyFill="0" applyAlignment="0" applyProtection="0"/>
    <xf numFmtId="0" fontId="50" fillId="0" borderId="80" applyNumberFormat="0" applyFill="0" applyAlignment="0" applyProtection="0"/>
    <xf numFmtId="0" fontId="256" fillId="0" borderId="80" applyNumberFormat="0" applyFill="0" applyAlignment="0" applyProtection="0"/>
    <xf numFmtId="0" fontId="50" fillId="0" borderId="0" applyNumberFormat="0" applyFill="0" applyBorder="0" applyAlignment="0" applyProtection="0"/>
    <xf numFmtId="0" fontId="256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1" fontId="257" fillId="115" borderId="0">
      <alignment vertical="center"/>
    </xf>
    <xf numFmtId="3" fontId="22" fillId="130" borderId="89" applyNumberFormat="0">
      <alignment horizontal="center" vertical="center"/>
    </xf>
    <xf numFmtId="176" fontId="84" fillId="0" borderId="90"/>
    <xf numFmtId="335" fontId="23" fillId="0" borderId="0">
      <protection locked="0"/>
    </xf>
    <xf numFmtId="335" fontId="23" fillId="0" borderId="0">
      <protection locked="0"/>
    </xf>
    <xf numFmtId="0" fontId="156" fillId="0" borderId="70" applyBorder="0" applyAlignment="0">
      <alignment horizontal="center" vertical="center"/>
    </xf>
    <xf numFmtId="37" fontId="258" fillId="131" borderId="74">
      <alignment horizontal="right"/>
    </xf>
    <xf numFmtId="3" fontId="228" fillId="132" borderId="74"/>
    <xf numFmtId="281" fontId="179" fillId="133" borderId="0" applyNumberFormat="0" applyProtection="0"/>
    <xf numFmtId="0" fontId="259" fillId="0" borderId="0" applyFill="0" applyBorder="0" applyAlignment="0" applyProtection="0"/>
    <xf numFmtId="0" fontId="146" fillId="31" borderId="6"/>
    <xf numFmtId="222" fontId="9" fillId="0" borderId="73" applyNumberFormat="0" applyFont="0" applyFill="0" applyAlignment="0"/>
    <xf numFmtId="222" fontId="9" fillId="0" borderId="73" applyNumberFormat="0" applyFont="0" applyFill="0" applyAlignment="0"/>
    <xf numFmtId="222" fontId="9" fillId="0" borderId="73" applyNumberFormat="0" applyFont="0" applyFill="0" applyAlignment="0"/>
    <xf numFmtId="222" fontId="9" fillId="0" borderId="1" applyNumberFormat="0" applyFont="0" applyFill="0" applyAlignment="0" applyProtection="0"/>
    <xf numFmtId="222" fontId="9" fillId="0" borderId="73" applyNumberFormat="0" applyFont="0" applyFill="0" applyAlignment="0"/>
    <xf numFmtId="0" fontId="150" fillId="0" borderId="91" applyNumberFormat="0" applyFill="0" applyAlignment="0" applyProtection="0"/>
    <xf numFmtId="0" fontId="150" fillId="0" borderId="91" applyNumberFormat="0" applyFill="0" applyAlignment="0" applyProtection="0"/>
    <xf numFmtId="0" fontId="260" fillId="0" borderId="91" applyNumberFormat="0" applyFill="0" applyAlignment="0" applyProtection="0"/>
    <xf numFmtId="0" fontId="150" fillId="0" borderId="91" applyNumberFormat="0" applyFill="0" applyAlignment="0" applyProtection="0"/>
    <xf numFmtId="282" fontId="261" fillId="0" borderId="72" applyFill="0" applyBorder="0" applyProtection="0">
      <alignment vertical="center"/>
    </xf>
    <xf numFmtId="216" fontId="236" fillId="0" borderId="89"/>
    <xf numFmtId="176" fontId="262" fillId="0" borderId="0">
      <alignment horizontal="left"/>
      <protection locked="0"/>
    </xf>
    <xf numFmtId="20" fontId="24" fillId="0" borderId="0"/>
    <xf numFmtId="0" fontId="179" fillId="117" borderId="0" applyNumberFormat="0" applyBorder="0" applyProtection="0"/>
    <xf numFmtId="206" fontId="179" fillId="117" borderId="0" applyNumberFormat="0" applyBorder="0" applyProtection="0"/>
    <xf numFmtId="0" fontId="263" fillId="0" borderId="0">
      <alignment horizontal="fill"/>
    </xf>
    <xf numFmtId="0" fontId="264" fillId="0" borderId="0" applyNumberFormat="0" applyFont="0" applyFill="0"/>
    <xf numFmtId="206" fontId="264" fillId="0" borderId="0" applyNumberFormat="0" applyFont="0" applyFill="0"/>
    <xf numFmtId="222" fontId="9" fillId="0" borderId="2" applyNumberFormat="0" applyFont="0" applyFill="0" applyBorder="0" applyAlignment="0">
      <protection locked="0"/>
    </xf>
    <xf numFmtId="222" fontId="9" fillId="0" borderId="2" applyNumberFormat="0" applyFont="0" applyFill="0" applyBorder="0" applyAlignment="0">
      <protection locked="0"/>
    </xf>
    <xf numFmtId="37" fontId="15" fillId="36" borderId="0" applyNumberFormat="0" applyBorder="0" applyAlignment="0" applyProtection="0"/>
    <xf numFmtId="37" fontId="15" fillId="36" borderId="0" applyNumberFormat="0" applyBorder="0" applyAlignment="0" applyProtection="0"/>
    <xf numFmtId="37" fontId="15" fillId="0" borderId="0"/>
    <xf numFmtId="37" fontId="15" fillId="0" borderId="0"/>
    <xf numFmtId="37" fontId="15" fillId="36" borderId="0" applyNumberFormat="0" applyBorder="0" applyAlignment="0" applyProtection="0"/>
    <xf numFmtId="3" fontId="102" fillId="0" borderId="81" applyProtection="0"/>
    <xf numFmtId="0" fontId="16" fillId="0" borderId="0"/>
    <xf numFmtId="4" fontId="25" fillId="0" borderId="0">
      <protection locked="0"/>
    </xf>
    <xf numFmtId="342" fontId="25" fillId="0" borderId="0">
      <protection locked="0"/>
    </xf>
    <xf numFmtId="343" fontId="9" fillId="0" borderId="0" applyFont="0" applyFill="0" applyBorder="0" applyAlignment="0" applyProtection="0"/>
    <xf numFmtId="344" fontId="9" fillId="0" borderId="0" applyFont="0" applyFill="0" applyBorder="0" applyAlignment="0" applyProtection="0"/>
    <xf numFmtId="176" fontId="22" fillId="0" borderId="0">
      <alignment horizontal="center"/>
    </xf>
    <xf numFmtId="222" fontId="236" fillId="0" borderId="2">
      <alignment horizontal="center"/>
    </xf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7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4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4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4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4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288" fontId="18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9" fillId="0" borderId="0" applyFont="0" applyFill="0" applyBorder="0" applyAlignment="0" applyProtection="0"/>
    <xf numFmtId="165" fontId="206" fillId="0" borderId="0" applyFont="0" applyFill="0" applyBorder="0" applyAlignment="0" applyProtection="0"/>
    <xf numFmtId="165" fontId="206" fillId="0" borderId="0" applyFont="0" applyFill="0" applyBorder="0" applyAlignment="0" applyProtection="0"/>
    <xf numFmtId="288" fontId="3" fillId="0" borderId="0" applyFont="0" applyFill="0" applyBorder="0" applyAlignment="0" applyProtection="0"/>
    <xf numFmtId="288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4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4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3" fontId="70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06" fontId="72" fillId="0" borderId="0" applyFont="0" applyFill="0" applyBorder="0" applyAlignment="0" applyProtection="0"/>
    <xf numFmtId="345" fontId="72" fillId="0" borderId="0" applyFont="0" applyFill="0" applyBorder="0" applyAlignment="0" applyProtection="0"/>
    <xf numFmtId="206" fontId="57" fillId="0" borderId="0" applyNumberFormat="0" applyFill="0" applyBorder="0" applyAlignment="0" applyProtection="0"/>
    <xf numFmtId="0" fontId="265" fillId="0" borderId="38" applyBorder="0"/>
    <xf numFmtId="206" fontId="265" fillId="0" borderId="38" applyBorder="0"/>
    <xf numFmtId="0" fontId="22" fillId="96" borderId="0" applyNumberFormat="0" applyFont="0" applyAlignment="0" applyProtection="0"/>
    <xf numFmtId="206" fontId="22" fillId="96" borderId="0" applyNumberFormat="0" applyFont="0" applyAlignment="0" applyProtection="0"/>
    <xf numFmtId="0" fontId="22" fillId="96" borderId="55" applyNumberFormat="0" applyFont="0" applyAlignment="0" applyProtection="0">
      <protection locked="0"/>
    </xf>
    <xf numFmtId="0" fontId="22" fillId="96" borderId="55" applyNumberFormat="0" applyFont="0" applyAlignment="0" applyProtection="0">
      <protection locked="0"/>
    </xf>
    <xf numFmtId="0" fontId="266" fillId="0" borderId="0" applyNumberFormat="0" applyFill="0" applyBorder="0" applyAlignment="0" applyProtection="0"/>
    <xf numFmtId="206" fontId="266" fillId="0" borderId="0" applyNumberFormat="0" applyFill="0" applyBorder="0" applyAlignment="0" applyProtection="0"/>
    <xf numFmtId="346" fontId="267" fillId="0" borderId="9" applyBorder="0" applyProtection="0">
      <alignment horizontal="right"/>
    </xf>
    <xf numFmtId="347" fontId="268" fillId="0" borderId="0"/>
    <xf numFmtId="346" fontId="267" fillId="0" borderId="9" applyBorder="0" applyProtection="0">
      <alignment horizontal="right"/>
    </xf>
    <xf numFmtId="346" fontId="267" fillId="0" borderId="9" applyBorder="0" applyProtection="0">
      <alignment horizontal="right"/>
    </xf>
    <xf numFmtId="346" fontId="267" fillId="0" borderId="9" applyBorder="0" applyProtection="0">
      <alignment horizontal="right"/>
    </xf>
    <xf numFmtId="347" fontId="268" fillId="0" borderId="0"/>
    <xf numFmtId="347" fontId="268" fillId="0" borderId="0"/>
    <xf numFmtId="347" fontId="268" fillId="0" borderId="0"/>
    <xf numFmtId="347" fontId="268" fillId="0" borderId="0"/>
    <xf numFmtId="347" fontId="268" fillId="0" borderId="0"/>
    <xf numFmtId="1" fontId="261" fillId="0" borderId="6">
      <alignment horizontal="center"/>
    </xf>
    <xf numFmtId="348" fontId="15" fillId="0" borderId="0" applyFont="0" applyFill="0" applyBorder="0" applyAlignment="0" applyProtection="0"/>
    <xf numFmtId="349" fontId="128" fillId="0" borderId="0" applyFont="0" applyFill="0" applyBorder="0" applyAlignment="0" applyProtection="0"/>
    <xf numFmtId="0" fontId="194" fillId="0" borderId="0"/>
    <xf numFmtId="0" fontId="9" fillId="0" borderId="0"/>
    <xf numFmtId="0" fontId="2" fillId="0" borderId="0"/>
    <xf numFmtId="9" fontId="272" fillId="0" borderId="0" applyFont="0" applyFill="0" applyBorder="0" applyAlignment="0" applyProtection="0"/>
    <xf numFmtId="165" fontId="272" fillId="0" borderId="0" applyFont="0" applyFill="0" applyBorder="0" applyAlignment="0" applyProtection="0"/>
  </cellStyleXfs>
  <cellXfs count="2001">
    <xf numFmtId="0" fontId="0" fillId="0" borderId="0" xfId="0"/>
    <xf numFmtId="0" fontId="12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49" fontId="12" fillId="0" borderId="0" xfId="0" applyNumberFormat="1" applyFont="1" applyAlignment="1">
      <alignment horizontal="center" vertical="center"/>
    </xf>
    <xf numFmtId="0" fontId="9" fillId="0" borderId="0" xfId="9"/>
    <xf numFmtId="3" fontId="9" fillId="0" borderId="0" xfId="9" applyNumberFormat="1" applyAlignment="1">
      <alignment horizontal="center"/>
    </xf>
    <xf numFmtId="0" fontId="9" fillId="0" borderId="0" xfId="9" applyAlignment="1">
      <alignment horizontal="center"/>
    </xf>
    <xf numFmtId="0" fontId="9" fillId="0" borderId="0" xfId="9" applyAlignment="1">
      <alignment horizontal="center" vertical="center"/>
    </xf>
    <xf numFmtId="0" fontId="9" fillId="6" borderId="0" xfId="9" applyFill="1" applyAlignment="1">
      <alignment horizontal="center" vertical="center"/>
    </xf>
    <xf numFmtId="0" fontId="10" fillId="6" borderId="0" xfId="9" applyFont="1" applyFill="1"/>
    <xf numFmtId="0" fontId="10" fillId="0" borderId="0" xfId="9" applyFont="1"/>
    <xf numFmtId="0" fontId="9" fillId="6" borderId="0" xfId="9" applyFill="1"/>
    <xf numFmtId="0" fontId="9" fillId="3" borderId="0" xfId="9" applyFill="1"/>
    <xf numFmtId="0" fontId="9" fillId="4" borderId="0" xfId="9" applyFill="1"/>
    <xf numFmtId="0" fontId="9" fillId="9" borderId="0" xfId="9" applyFill="1"/>
    <xf numFmtId="0" fontId="9" fillId="10" borderId="0" xfId="9" applyFill="1"/>
    <xf numFmtId="0" fontId="9" fillId="11" borderId="0" xfId="9" applyFill="1"/>
    <xf numFmtId="0" fontId="9" fillId="5" borderId="0" xfId="9" applyFill="1"/>
    <xf numFmtId="0" fontId="9" fillId="7" borderId="0" xfId="9" applyFill="1"/>
    <xf numFmtId="4" fontId="12" fillId="0" borderId="0" xfId="8" applyNumberFormat="1" applyFont="1" applyAlignment="1">
      <alignment horizontal="center" vertical="center"/>
    </xf>
    <xf numFmtId="4" fontId="12" fillId="0" borderId="0" xfId="8" applyNumberFormat="1" applyFont="1" applyAlignment="1">
      <alignment vertical="center"/>
    </xf>
    <xf numFmtId="3" fontId="12" fillId="0" borderId="0" xfId="0" applyNumberFormat="1" applyFont="1" applyAlignment="1">
      <alignment vertical="center"/>
    </xf>
    <xf numFmtId="0" fontId="10" fillId="0" borderId="6" xfId="7" applyFont="1" applyBorder="1" applyAlignment="1">
      <alignment horizontal="centerContinuous" vertical="center"/>
    </xf>
    <xf numFmtId="3" fontId="10" fillId="0" borderId="6" xfId="7" applyNumberFormat="1" applyFont="1" applyBorder="1" applyAlignment="1">
      <alignment horizontal="right" vertical="center"/>
    </xf>
    <xf numFmtId="0" fontId="26" fillId="0" borderId="6" xfId="7" applyFont="1" applyBorder="1" applyAlignment="1">
      <alignment horizontal="centerContinuous" vertical="center"/>
    </xf>
    <xf numFmtId="0" fontId="10" fillId="0" borderId="6" xfId="10" applyFont="1" applyBorder="1" applyAlignment="1">
      <alignment horizontal="center" vertical="center"/>
    </xf>
    <xf numFmtId="10" fontId="27" fillId="0" borderId="6" xfId="13" applyNumberFormat="1" applyFont="1" applyBorder="1" applyAlignment="1">
      <alignment vertical="center"/>
    </xf>
    <xf numFmtId="3" fontId="15" fillId="0" borderId="0" xfId="0" applyNumberFormat="1" applyFont="1" applyAlignment="1">
      <alignment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4" fontId="31" fillId="0" borderId="6" xfId="7" applyNumberFormat="1" applyFont="1" applyBorder="1" applyAlignment="1">
      <alignment horizontal="center" vertical="center" wrapText="1"/>
    </xf>
    <xf numFmtId="0" fontId="31" fillId="0" borderId="6" xfId="1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1" fillId="0" borderId="9" xfId="0" applyFont="1" applyBorder="1" applyAlignment="1">
      <alignment horizontal="left" vertical="center"/>
    </xf>
    <xf numFmtId="3" fontId="11" fillId="0" borderId="9" xfId="7" applyNumberFormat="1" applyFont="1" applyBorder="1" applyAlignment="1">
      <alignment horizontal="centerContinuous" vertical="center"/>
    </xf>
    <xf numFmtId="0" fontId="11" fillId="0" borderId="9" xfId="7" applyFont="1" applyBorder="1" applyAlignment="1">
      <alignment horizontal="centerContinuous" vertical="center"/>
    </xf>
    <xf numFmtId="0" fontId="11" fillId="0" borderId="0" xfId="7" applyFont="1" applyAlignment="1">
      <alignment horizontal="centerContinuous" vertical="center"/>
    </xf>
    <xf numFmtId="0" fontId="18" fillId="0" borderId="9" xfId="0" applyFont="1" applyBorder="1" applyAlignment="1">
      <alignment horizontal="centerContinuous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vertical="center"/>
    </xf>
    <xf numFmtId="4" fontId="8" fillId="0" borderId="0" xfId="21" applyNumberFormat="1" applyAlignment="1">
      <alignment horizontal="center" vertical="center"/>
    </xf>
    <xf numFmtId="0" fontId="9" fillId="0" borderId="0" xfId="0" applyFont="1" applyAlignment="1">
      <alignment vertical="center"/>
    </xf>
    <xf numFmtId="0" fontId="8" fillId="0" borderId="0" xfId="21" applyAlignment="1">
      <alignment vertical="center"/>
    </xf>
    <xf numFmtId="4" fontId="11" fillId="0" borderId="9" xfId="7" applyNumberFormat="1" applyFont="1" applyBorder="1" applyAlignment="1">
      <alignment horizontal="center" vertical="center"/>
    </xf>
    <xf numFmtId="4" fontId="15" fillId="0" borderId="0" xfId="0" applyNumberFormat="1" applyFont="1" applyAlignment="1">
      <alignment horizontal="center" vertical="center"/>
    </xf>
    <xf numFmtId="4" fontId="12" fillId="0" borderId="0" xfId="0" applyNumberFormat="1" applyFont="1" applyAlignment="1">
      <alignment horizontal="center" vertical="center"/>
    </xf>
    <xf numFmtId="10" fontId="11" fillId="0" borderId="9" xfId="13" applyNumberFormat="1" applyFont="1" applyBorder="1" applyAlignment="1">
      <alignment horizontal="centerContinuous" vertical="center"/>
    </xf>
    <xf numFmtId="10" fontId="15" fillId="0" borderId="0" xfId="13" applyNumberFormat="1" applyFont="1" applyAlignment="1">
      <alignment vertical="center"/>
    </xf>
    <xf numFmtId="10" fontId="12" fillId="0" borderId="0" xfId="13" applyNumberFormat="1" applyFont="1" applyAlignment="1">
      <alignment vertical="center"/>
    </xf>
    <xf numFmtId="0" fontId="8" fillId="0" borderId="0" xfId="21" applyAlignment="1">
      <alignment horizontal="center" vertical="center"/>
    </xf>
    <xf numFmtId="4" fontId="8" fillId="0" borderId="0" xfId="21" applyNumberFormat="1" applyAlignment="1">
      <alignment horizontal="right" vertical="center"/>
    </xf>
    <xf numFmtId="4" fontId="8" fillId="0" borderId="0" xfId="21" applyNumberFormat="1" applyAlignment="1">
      <alignment vertical="center"/>
    </xf>
    <xf numFmtId="49" fontId="9" fillId="0" borderId="0" xfId="8" applyNumberFormat="1" applyFont="1" applyAlignment="1">
      <alignment horizontal="center" vertical="center"/>
    </xf>
    <xf numFmtId="3" fontId="32" fillId="0" borderId="3" xfId="7" applyNumberFormat="1" applyFont="1" applyBorder="1" applyAlignment="1">
      <alignment horizontal="center" vertical="center" wrapText="1"/>
    </xf>
    <xf numFmtId="4" fontId="32" fillId="0" borderId="3" xfId="7" applyNumberFormat="1" applyFont="1" applyBorder="1" applyAlignment="1">
      <alignment horizontal="center" vertical="center" wrapText="1"/>
    </xf>
    <xf numFmtId="0" fontId="32" fillId="0" borderId="3" xfId="7" applyFont="1" applyBorder="1" applyAlignment="1">
      <alignment horizontal="center" vertical="center" wrapText="1"/>
    </xf>
    <xf numFmtId="10" fontId="32" fillId="0" borderId="3" xfId="13" applyNumberFormat="1" applyFont="1" applyFill="1" applyBorder="1" applyAlignment="1">
      <alignment horizontal="center" vertical="center" wrapText="1"/>
    </xf>
    <xf numFmtId="4" fontId="32" fillId="0" borderId="3" xfId="7" applyNumberFormat="1" applyFont="1" applyBorder="1" applyAlignment="1">
      <alignment horizontal="center" vertical="center"/>
    </xf>
    <xf numFmtId="4" fontId="31" fillId="0" borderId="6" xfId="10" applyNumberFormat="1" applyFont="1" applyBorder="1" applyAlignment="1">
      <alignment horizontal="center" vertical="center"/>
    </xf>
    <xf numFmtId="4" fontId="27" fillId="0" borderId="6" xfId="13" applyNumberFormat="1" applyFont="1" applyBorder="1" applyAlignment="1">
      <alignment vertical="center"/>
    </xf>
    <xf numFmtId="4" fontId="32" fillId="0" borderId="3" xfId="7" applyNumberFormat="1" applyFont="1" applyBorder="1" applyAlignment="1">
      <alignment horizontal="right" vertical="center"/>
    </xf>
    <xf numFmtId="0" fontId="22" fillId="0" borderId="0" xfId="0" applyFont="1" applyAlignment="1">
      <alignment horizontal="center" vertical="center"/>
    </xf>
    <xf numFmtId="4" fontId="9" fillId="0" borderId="0" xfId="0" applyNumberFormat="1" applyFont="1" applyAlignment="1">
      <alignment horizontal="right" vertical="center"/>
    </xf>
    <xf numFmtId="4" fontId="9" fillId="0" borderId="6" xfId="0" applyNumberFormat="1" applyFont="1" applyBorder="1" applyAlignment="1">
      <alignment horizontal="right" vertical="center"/>
    </xf>
    <xf numFmtId="4" fontId="10" fillId="0" borderId="6" xfId="0" applyNumberFormat="1" applyFont="1" applyBorder="1" applyAlignment="1">
      <alignment horizontal="right" vertical="center"/>
    </xf>
    <xf numFmtId="4" fontId="10" fillId="0" borderId="0" xfId="8" applyNumberFormat="1" applyFont="1" applyAlignment="1">
      <alignment horizontal="center" vertical="center"/>
    </xf>
    <xf numFmtId="4" fontId="10" fillId="0" borderId="0" xfId="0" applyNumberFormat="1" applyFont="1" applyAlignment="1">
      <alignment horizontal="center" vertical="center"/>
    </xf>
    <xf numFmtId="0" fontId="9" fillId="0" borderId="0" xfId="20" applyAlignment="1">
      <alignment vertical="center"/>
    </xf>
    <xf numFmtId="0" fontId="15" fillId="0" borderId="0" xfId="20" applyFont="1" applyAlignment="1">
      <alignment horizontal="center" vertical="center"/>
    </xf>
    <xf numFmtId="0" fontId="61" fillId="0" borderId="9" xfId="20" applyFont="1" applyBorder="1" applyAlignment="1">
      <alignment horizontal="left" vertical="center"/>
    </xf>
    <xf numFmtId="3" fontId="19" fillId="0" borderId="9" xfId="7" applyNumberFormat="1" applyFont="1" applyBorder="1" applyAlignment="1">
      <alignment horizontal="right" vertical="center"/>
    </xf>
    <xf numFmtId="0" fontId="19" fillId="0" borderId="9" xfId="7" applyFont="1" applyBorder="1" applyAlignment="1">
      <alignment horizontal="centerContinuous" vertical="center"/>
    </xf>
    <xf numFmtId="0" fontId="10" fillId="0" borderId="0" xfId="7" applyFont="1" applyAlignment="1">
      <alignment horizontal="centerContinuous" vertical="center"/>
    </xf>
    <xf numFmtId="0" fontId="10" fillId="0" borderId="9" xfId="7" applyFont="1" applyBorder="1" applyAlignment="1">
      <alignment horizontal="centerContinuous" vertical="center"/>
    </xf>
    <xf numFmtId="0" fontId="9" fillId="0" borderId="9" xfId="20" applyBorder="1" applyAlignment="1">
      <alignment horizontal="centerContinuous" vertical="center"/>
    </xf>
    <xf numFmtId="0" fontId="9" fillId="0" borderId="0" xfId="20" applyAlignment="1">
      <alignment horizontal="centerContinuous" vertical="center"/>
    </xf>
    <xf numFmtId="3" fontId="9" fillId="0" borderId="6" xfId="7" applyNumberFormat="1" applyBorder="1" applyAlignment="1">
      <alignment horizontal="right" vertical="center"/>
    </xf>
    <xf numFmtId="1" fontId="9" fillId="0" borderId="6" xfId="10" applyNumberFormat="1" applyBorder="1" applyAlignment="1">
      <alignment horizontal="center" vertical="center"/>
    </xf>
    <xf numFmtId="3" fontId="15" fillId="0" borderId="6" xfId="10" applyNumberFormat="1" applyFont="1" applyBorder="1" applyAlignment="1">
      <alignment horizontal="center" vertical="center"/>
    </xf>
    <xf numFmtId="3" fontId="9" fillId="0" borderId="6" xfId="10" applyNumberFormat="1" applyBorder="1" applyAlignment="1">
      <alignment horizontal="center" vertical="center"/>
    </xf>
    <xf numFmtId="1" fontId="9" fillId="0" borderId="6" xfId="7" applyNumberFormat="1" applyBorder="1" applyAlignment="1">
      <alignment horizontal="center" vertical="center"/>
    </xf>
    <xf numFmtId="1" fontId="9" fillId="0" borderId="6" xfId="20" applyNumberFormat="1" applyBorder="1" applyAlignment="1">
      <alignment vertical="center"/>
    </xf>
    <xf numFmtId="3" fontId="15" fillId="0" borderId="6" xfId="20" applyNumberFormat="1" applyFont="1" applyBorder="1" applyAlignment="1">
      <alignment vertical="center"/>
    </xf>
    <xf numFmtId="3" fontId="15" fillId="0" borderId="3" xfId="7" applyNumberFormat="1" applyFont="1" applyBorder="1" applyAlignment="1">
      <alignment horizontal="right" vertical="center"/>
    </xf>
    <xf numFmtId="3" fontId="15" fillId="0" borderId="6" xfId="20" applyNumberFormat="1" applyFont="1" applyBorder="1" applyAlignment="1">
      <alignment horizontal="centerContinuous" vertical="center"/>
    </xf>
    <xf numFmtId="10" fontId="27" fillId="0" borderId="6" xfId="143" applyNumberFormat="1" applyFont="1" applyBorder="1" applyAlignment="1">
      <alignment vertical="center"/>
    </xf>
    <xf numFmtId="3" fontId="15" fillId="35" borderId="37" xfId="20" applyNumberFormat="1" applyFont="1" applyFill="1" applyBorder="1" applyAlignment="1">
      <alignment horizontal="right" vertical="center"/>
    </xf>
    <xf numFmtId="3" fontId="15" fillId="35" borderId="3" xfId="20" applyNumberFormat="1" applyFont="1" applyFill="1" applyBorder="1" applyAlignment="1">
      <alignment horizontal="right" vertical="center"/>
    </xf>
    <xf numFmtId="0" fontId="14" fillId="0" borderId="0" xfId="20" applyFont="1" applyAlignment="1">
      <alignment vertical="center"/>
    </xf>
    <xf numFmtId="3" fontId="22" fillId="0" borderId="6" xfId="7" applyNumberFormat="1" applyFont="1" applyBorder="1" applyAlignment="1">
      <alignment horizontal="centerContinuous" vertical="center"/>
    </xf>
    <xf numFmtId="3" fontId="9" fillId="0" borderId="6" xfId="7" applyNumberFormat="1" applyBorder="1" applyAlignment="1">
      <alignment horizontal="center" vertical="center"/>
    </xf>
    <xf numFmtId="3" fontId="15" fillId="0" borderId="0" xfId="20" applyNumberFormat="1" applyFont="1" applyAlignment="1">
      <alignment horizontal="right" vertical="center"/>
    </xf>
    <xf numFmtId="0" fontId="15" fillId="0" borderId="0" xfId="20" applyFont="1" applyAlignment="1">
      <alignment vertical="center"/>
    </xf>
    <xf numFmtId="0" fontId="9" fillId="0" borderId="0" xfId="20" applyAlignment="1">
      <alignment horizontal="right" vertical="center"/>
    </xf>
    <xf numFmtId="3" fontId="9" fillId="0" borderId="0" xfId="20" applyNumberFormat="1" applyAlignment="1">
      <alignment horizontal="right" vertical="center"/>
    </xf>
    <xf numFmtId="4" fontId="85" fillId="0" borderId="6" xfId="7" applyNumberFormat="1" applyFont="1" applyBorder="1" applyAlignment="1">
      <alignment horizontal="center" vertical="center" wrapText="1"/>
    </xf>
    <xf numFmtId="4" fontId="15" fillId="0" borderId="6" xfId="7" applyNumberFormat="1" applyFont="1" applyBorder="1" applyAlignment="1">
      <alignment horizontal="center" vertical="center" wrapText="1"/>
    </xf>
    <xf numFmtId="4" fontId="15" fillId="0" borderId="6" xfId="7" applyNumberFormat="1" applyFont="1" applyBorder="1" applyAlignment="1">
      <alignment horizontal="right" vertical="center"/>
    </xf>
    <xf numFmtId="4" fontId="15" fillId="0" borderId="6" xfId="7" applyNumberFormat="1" applyFont="1" applyBorder="1" applyAlignment="1">
      <alignment horizontal="centerContinuous" vertical="center"/>
    </xf>
    <xf numFmtId="4" fontId="15" fillId="0" borderId="6" xfId="20" applyNumberFormat="1" applyFont="1" applyBorder="1" applyAlignment="1">
      <alignment horizontal="right" vertical="center"/>
    </xf>
    <xf numFmtId="4" fontId="15" fillId="0" borderId="6" xfId="7" applyNumberFormat="1" applyFont="1" applyBorder="1" applyAlignment="1">
      <alignment vertical="center"/>
    </xf>
    <xf numFmtId="0" fontId="9" fillId="0" borderId="0" xfId="20"/>
    <xf numFmtId="0" fontId="61" fillId="0" borderId="0" xfId="20" applyFont="1"/>
    <xf numFmtId="0" fontId="11" fillId="0" borderId="0" xfId="20" applyFont="1"/>
    <xf numFmtId="0" fontId="86" fillId="0" borderId="0" xfId="20" applyFont="1" applyAlignment="1">
      <alignment horizontal="center" vertical="center"/>
    </xf>
    <xf numFmtId="0" fontId="87" fillId="0" borderId="0" xfId="20" applyFont="1" applyAlignment="1">
      <alignment horizontal="center" vertical="center"/>
    </xf>
    <xf numFmtId="165" fontId="88" fillId="0" borderId="29" xfId="14" applyFont="1" applyFill="1" applyBorder="1" applyProtection="1"/>
    <xf numFmtId="165" fontId="89" fillId="8" borderId="30" xfId="20" applyNumberFormat="1" applyFont="1" applyFill="1" applyBorder="1" applyProtection="1">
      <protection locked="0"/>
    </xf>
    <xf numFmtId="165" fontId="89" fillId="8" borderId="31" xfId="20" applyNumberFormat="1" applyFont="1" applyFill="1" applyBorder="1" applyProtection="1">
      <protection locked="0"/>
    </xf>
    <xf numFmtId="0" fontId="9" fillId="0" borderId="19" xfId="20" applyBorder="1"/>
    <xf numFmtId="165" fontId="89" fillId="8" borderId="32" xfId="20" applyNumberFormat="1" applyFont="1" applyFill="1" applyBorder="1" applyProtection="1">
      <protection locked="0"/>
    </xf>
    <xf numFmtId="0" fontId="9" fillId="0" borderId="36" xfId="20" applyBorder="1"/>
    <xf numFmtId="165" fontId="88" fillId="0" borderId="36" xfId="14" applyFont="1" applyFill="1" applyBorder="1" applyProtection="1"/>
    <xf numFmtId="165" fontId="89" fillId="8" borderId="23" xfId="20" applyNumberFormat="1" applyFont="1" applyFill="1" applyBorder="1" applyProtection="1">
      <protection locked="0"/>
    </xf>
    <xf numFmtId="165" fontId="89" fillId="8" borderId="34" xfId="20" applyNumberFormat="1" applyFont="1" applyFill="1" applyBorder="1" applyProtection="1">
      <protection locked="0"/>
    </xf>
    <xf numFmtId="165" fontId="89" fillId="8" borderId="35" xfId="20" applyNumberFormat="1" applyFont="1" applyFill="1" applyBorder="1" applyProtection="1">
      <protection locked="0"/>
    </xf>
    <xf numFmtId="0" fontId="10" fillId="0" borderId="24" xfId="20" applyFont="1" applyBorder="1" applyAlignment="1">
      <alignment horizontal="left" vertical="center" wrapText="1"/>
    </xf>
    <xf numFmtId="165" fontId="88" fillId="0" borderId="24" xfId="14" applyFont="1" applyFill="1" applyBorder="1" applyProtection="1"/>
    <xf numFmtId="165" fontId="88" fillId="0" borderId="27" xfId="14" applyFont="1" applyFill="1" applyBorder="1" applyProtection="1"/>
    <xf numFmtId="0" fontId="9" fillId="0" borderId="28" xfId="20" applyBorder="1"/>
    <xf numFmtId="165" fontId="88" fillId="0" borderId="28" xfId="14" applyFont="1" applyFill="1" applyBorder="1" applyProtection="1"/>
    <xf numFmtId="165" fontId="90" fillId="0" borderId="31" xfId="14" quotePrefix="1" applyFont="1" applyFill="1" applyBorder="1" applyProtection="1"/>
    <xf numFmtId="165" fontId="90" fillId="0" borderId="31" xfId="14" applyFont="1" applyFill="1" applyBorder="1" applyProtection="1"/>
    <xf numFmtId="165" fontId="90" fillId="0" borderId="22" xfId="14" applyFont="1" applyFill="1" applyBorder="1" applyProtection="1"/>
    <xf numFmtId="165" fontId="90" fillId="0" borderId="34" xfId="14" applyFont="1" applyFill="1" applyBorder="1" applyProtection="1"/>
    <xf numFmtId="165" fontId="90" fillId="0" borderId="35" xfId="14" applyFont="1" applyFill="1" applyBorder="1" applyProtection="1"/>
    <xf numFmtId="165" fontId="9" fillId="0" borderId="0" xfId="20" applyNumberFormat="1"/>
    <xf numFmtId="0" fontId="9" fillId="0" borderId="18" xfId="20" applyBorder="1"/>
    <xf numFmtId="165" fontId="90" fillId="0" borderId="23" xfId="14" applyFont="1" applyFill="1" applyBorder="1" applyProtection="1"/>
    <xf numFmtId="0" fontId="10" fillId="0" borderId="24" xfId="20" applyFont="1" applyBorder="1"/>
    <xf numFmtId="165" fontId="88" fillId="0" borderId="26" xfId="14" applyFont="1" applyFill="1" applyBorder="1" applyProtection="1"/>
    <xf numFmtId="0" fontId="10" fillId="0" borderId="0" xfId="20" applyFont="1"/>
    <xf numFmtId="165" fontId="89" fillId="8" borderId="46" xfId="20" applyNumberFormat="1" applyFont="1" applyFill="1" applyBorder="1" applyProtection="1">
      <protection locked="0"/>
    </xf>
    <xf numFmtId="165" fontId="9" fillId="0" borderId="0" xfId="14" applyFont="1" applyProtection="1"/>
    <xf numFmtId="4" fontId="9" fillId="0" borderId="0" xfId="20" applyNumberFormat="1"/>
    <xf numFmtId="1" fontId="9" fillId="0" borderId="0" xfId="20" applyNumberFormat="1"/>
    <xf numFmtId="3" fontId="85" fillId="0" borderId="3" xfId="7" applyNumberFormat="1" applyFont="1" applyBorder="1" applyAlignment="1">
      <alignment horizontal="right" vertical="center" wrapText="1"/>
    </xf>
    <xf numFmtId="0" fontId="85" fillId="0" borderId="3" xfId="7" applyFont="1" applyBorder="1" applyAlignment="1">
      <alignment horizontal="center" vertical="center" wrapText="1"/>
    </xf>
    <xf numFmtId="43" fontId="9" fillId="0" borderId="0" xfId="20" applyNumberFormat="1"/>
    <xf numFmtId="0" fontId="91" fillId="0" borderId="0" xfId="0" applyFont="1"/>
    <xf numFmtId="0" fontId="11" fillId="0" borderId="0" xfId="0" applyFont="1"/>
    <xf numFmtId="0" fontId="61" fillId="0" borderId="0" xfId="0" applyFont="1"/>
    <xf numFmtId="0" fontId="9" fillId="0" borderId="0" xfId="0" applyFont="1"/>
    <xf numFmtId="4" fontId="0" fillId="0" borderId="0" xfId="0" applyNumberFormat="1"/>
    <xf numFmtId="0" fontId="87" fillId="41" borderId="0" xfId="0" applyFont="1" applyFill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0" fillId="0" borderId="29" xfId="0" applyBorder="1"/>
    <xf numFmtId="4" fontId="90" fillId="8" borderId="30" xfId="14" applyNumberFormat="1" applyFont="1" applyFill="1" applyBorder="1" applyProtection="1">
      <protection locked="0"/>
    </xf>
    <xf numFmtId="165" fontId="88" fillId="0" borderId="19" xfId="14" applyFont="1" applyFill="1" applyBorder="1" applyProtection="1"/>
    <xf numFmtId="0" fontId="0" fillId="0" borderId="36" xfId="0" applyBorder="1"/>
    <xf numFmtId="4" fontId="90" fillId="8" borderId="23" xfId="14" applyNumberFormat="1" applyFont="1" applyFill="1" applyBorder="1" applyProtection="1">
      <protection locked="0"/>
    </xf>
    <xf numFmtId="4" fontId="90" fillId="8" borderId="34" xfId="14" applyNumberFormat="1" applyFont="1" applyFill="1" applyBorder="1" applyProtection="1">
      <protection locked="0"/>
    </xf>
    <xf numFmtId="4" fontId="90" fillId="8" borderId="46" xfId="14" applyNumberFormat="1" applyFont="1" applyFill="1" applyBorder="1" applyProtection="1">
      <protection locked="0"/>
    </xf>
    <xf numFmtId="43" fontId="9" fillId="0" borderId="0" xfId="0" applyNumberFormat="1" applyFont="1"/>
    <xf numFmtId="0" fontId="9" fillId="0" borderId="19" xfId="0" applyFont="1" applyBorder="1"/>
    <xf numFmtId="196" fontId="88" fillId="0" borderId="0" xfId="14" applyNumberFormat="1" applyFont="1" applyFill="1" applyBorder="1" applyProtection="1"/>
    <xf numFmtId="165" fontId="9" fillId="0" borderId="0" xfId="14" applyFont="1" applyFill="1" applyBorder="1" applyProtection="1"/>
    <xf numFmtId="165" fontId="0" fillId="0" borderId="0" xfId="0" applyNumberFormat="1"/>
    <xf numFmtId="195" fontId="0" fillId="0" borderId="0" xfId="0" applyNumberFormat="1"/>
    <xf numFmtId="43" fontId="0" fillId="0" borderId="0" xfId="0" applyNumberFormat="1"/>
    <xf numFmtId="0" fontId="10" fillId="0" borderId="0" xfId="0" applyFont="1"/>
    <xf numFmtId="195" fontId="10" fillId="0" borderId="0" xfId="0" applyNumberFormat="1" applyFont="1"/>
    <xf numFmtId="0" fontId="0" fillId="0" borderId="0" xfId="0" applyAlignment="1">
      <alignment horizontal="right"/>
    </xf>
    <xf numFmtId="3" fontId="0" fillId="0" borderId="0" xfId="0" applyNumberFormat="1"/>
    <xf numFmtId="197" fontId="0" fillId="0" borderId="0" xfId="0" applyNumberFormat="1"/>
    <xf numFmtId="4" fontId="0" fillId="0" borderId="0" xfId="0" applyNumberFormat="1" applyAlignment="1">
      <alignment horizontal="right"/>
    </xf>
    <xf numFmtId="0" fontId="91" fillId="0" borderId="0" xfId="0" applyFont="1" applyAlignment="1">
      <alignment horizontal="right"/>
    </xf>
    <xf numFmtId="4" fontId="91" fillId="0" borderId="0" xfId="0" applyNumberFormat="1" applyFont="1"/>
    <xf numFmtId="10" fontId="0" fillId="0" borderId="0" xfId="13" applyNumberFormat="1" applyFont="1" applyProtection="1"/>
    <xf numFmtId="9" fontId="0" fillId="0" borderId="0" xfId="13" applyFont="1" applyProtection="1"/>
    <xf numFmtId="198" fontId="0" fillId="0" borderId="0" xfId="13" applyNumberFormat="1" applyFont="1" applyProtection="1"/>
    <xf numFmtId="2" fontId="9" fillId="0" borderId="0" xfId="0" applyNumberFormat="1" applyFont="1" applyAlignment="1">
      <alignment vertical="center"/>
    </xf>
    <xf numFmtId="165" fontId="0" fillId="0" borderId="0" xfId="14" applyFont="1" applyProtection="1"/>
    <xf numFmtId="165" fontId="11" fillId="0" borderId="0" xfId="14" applyFont="1" applyFill="1" applyProtection="1"/>
    <xf numFmtId="165" fontId="0" fillId="0" borderId="0" xfId="14" applyFont="1" applyFill="1" applyProtection="1"/>
    <xf numFmtId="0" fontId="9" fillId="0" borderId="0" xfId="153" applyFont="1" applyAlignment="1">
      <alignment vertical="center"/>
    </xf>
    <xf numFmtId="0" fontId="9" fillId="0" borderId="0" xfId="153" applyFont="1" applyAlignment="1">
      <alignment horizontal="center" vertical="center"/>
    </xf>
    <xf numFmtId="0" fontId="10" fillId="0" borderId="0" xfId="153" applyFont="1"/>
    <xf numFmtId="0" fontId="9" fillId="0" borderId="0" xfId="153" applyFont="1" applyAlignment="1">
      <alignment horizontal="center"/>
    </xf>
    <xf numFmtId="0" fontId="9" fillId="0" borderId="0" xfId="153" applyFont="1"/>
    <xf numFmtId="0" fontId="11" fillId="0" borderId="0" xfId="153" applyFont="1"/>
    <xf numFmtId="49" fontId="13" fillId="0" borderId="0" xfId="153" applyNumberFormat="1" applyFont="1" applyAlignment="1">
      <alignment horizontal="left" vertical="center"/>
    </xf>
    <xf numFmtId="0" fontId="14" fillId="0" borderId="0" xfId="153" applyFont="1" applyAlignment="1">
      <alignment vertical="center"/>
    </xf>
    <xf numFmtId="49" fontId="13" fillId="0" borderId="0" xfId="153" applyNumberFormat="1" applyFont="1" applyAlignment="1">
      <alignment horizontal="center" vertical="center"/>
    </xf>
    <xf numFmtId="0" fontId="10" fillId="0" borderId="0" xfId="153" applyFont="1" applyAlignment="1">
      <alignment vertical="center"/>
    </xf>
    <xf numFmtId="49" fontId="10" fillId="0" borderId="47" xfId="153" applyNumberFormat="1" applyFont="1" applyBorder="1" applyAlignment="1">
      <alignment horizontal="center" vertical="center"/>
    </xf>
    <xf numFmtId="49" fontId="10" fillId="0" borderId="0" xfId="153" applyNumberFormat="1" applyFont="1" applyAlignment="1">
      <alignment horizontal="center" vertical="center"/>
    </xf>
    <xf numFmtId="0" fontId="95" fillId="0" borderId="0" xfId="153" applyFont="1" applyAlignment="1">
      <alignment horizontal="center" vertical="center"/>
    </xf>
    <xf numFmtId="0" fontId="19" fillId="0" borderId="0" xfId="153" applyFont="1" applyAlignment="1">
      <alignment vertical="center"/>
    </xf>
    <xf numFmtId="0" fontId="9" fillId="0" borderId="28" xfId="153" applyFont="1" applyBorder="1" applyAlignment="1">
      <alignment horizontal="center" vertical="center"/>
    </xf>
    <xf numFmtId="0" fontId="9" fillId="0" borderId="28" xfId="153" applyFont="1" applyBorder="1" applyAlignment="1">
      <alignment vertical="center"/>
    </xf>
    <xf numFmtId="3" fontId="10" fillId="43" borderId="28" xfId="153" applyNumberFormat="1" applyFont="1" applyFill="1" applyBorder="1" applyAlignment="1" applyProtection="1">
      <alignment horizontal="right" vertical="center"/>
      <protection locked="0"/>
    </xf>
    <xf numFmtId="3" fontId="10" fillId="0" borderId="29" xfId="153" applyNumberFormat="1" applyFont="1" applyBorder="1" applyAlignment="1">
      <alignment horizontal="right" vertical="center"/>
    </xf>
    <xf numFmtId="10" fontId="98" fillId="0" borderId="28" xfId="153" applyNumberFormat="1" applyFont="1" applyBorder="1" applyAlignment="1">
      <alignment horizontal="right" vertical="center"/>
    </xf>
    <xf numFmtId="0" fontId="9" fillId="0" borderId="29" xfId="153" applyFont="1" applyBorder="1" applyAlignment="1">
      <alignment horizontal="center" vertical="center"/>
    </xf>
    <xf numFmtId="0" fontId="9" fillId="0" borderId="29" xfId="153" applyFont="1" applyBorder="1" applyAlignment="1">
      <alignment vertical="center"/>
    </xf>
    <xf numFmtId="3" fontId="10" fillId="43" borderId="29" xfId="153" applyNumberFormat="1" applyFont="1" applyFill="1" applyBorder="1" applyAlignment="1" applyProtection="1">
      <alignment horizontal="right" vertical="center"/>
      <protection locked="0"/>
    </xf>
    <xf numFmtId="3" fontId="10" fillId="0" borderId="28" xfId="153" applyNumberFormat="1" applyFont="1" applyBorder="1" applyAlignment="1">
      <alignment horizontal="right" vertical="center"/>
    </xf>
    <xf numFmtId="10" fontId="97" fillId="0" borderId="30" xfId="153" applyNumberFormat="1" applyFont="1" applyBorder="1" applyAlignment="1">
      <alignment horizontal="right" vertical="center"/>
    </xf>
    <xf numFmtId="10" fontId="98" fillId="0" borderId="29" xfId="153" applyNumberFormat="1" applyFont="1" applyBorder="1" applyAlignment="1">
      <alignment horizontal="right" vertical="center"/>
    </xf>
    <xf numFmtId="0" fontId="9" fillId="0" borderId="19" xfId="153" applyFont="1" applyBorder="1" applyAlignment="1">
      <alignment vertical="center"/>
    </xf>
    <xf numFmtId="3" fontId="10" fillId="43" borderId="19" xfId="153" applyNumberFormat="1" applyFont="1" applyFill="1" applyBorder="1" applyAlignment="1" applyProtection="1">
      <alignment horizontal="right" vertical="center"/>
      <protection locked="0"/>
    </xf>
    <xf numFmtId="10" fontId="98" fillId="0" borderId="19" xfId="153" applyNumberFormat="1" applyFont="1" applyBorder="1" applyAlignment="1">
      <alignment horizontal="right" vertical="center"/>
    </xf>
    <xf numFmtId="0" fontId="9" fillId="0" borderId="19" xfId="153" applyFont="1" applyBorder="1" applyAlignment="1">
      <alignment horizontal="center" vertical="center"/>
    </xf>
    <xf numFmtId="3" fontId="10" fillId="0" borderId="18" xfId="153" applyNumberFormat="1" applyFont="1" applyBorder="1" applyAlignment="1">
      <alignment horizontal="right" vertical="center"/>
    </xf>
    <xf numFmtId="3" fontId="10" fillId="44" borderId="29" xfId="153" applyNumberFormat="1" applyFont="1" applyFill="1" applyBorder="1" applyAlignment="1">
      <alignment horizontal="right" vertical="center"/>
    </xf>
    <xf numFmtId="10" fontId="98" fillId="44" borderId="29" xfId="153" applyNumberFormat="1" applyFont="1" applyFill="1" applyBorder="1" applyAlignment="1">
      <alignment horizontal="right" vertical="center"/>
    </xf>
    <xf numFmtId="0" fontId="9" fillId="0" borderId="29" xfId="153" applyFont="1" applyBorder="1" applyAlignment="1">
      <alignment horizontal="justify" vertical="center" wrapText="1"/>
    </xf>
    <xf numFmtId="0" fontId="9" fillId="0" borderId="19" xfId="153" applyFont="1" applyBorder="1" applyAlignment="1">
      <alignment horizontal="justify" vertical="center" wrapText="1"/>
    </xf>
    <xf numFmtId="3" fontId="10" fillId="0" borderId="19" xfId="153" applyNumberFormat="1" applyFont="1" applyBorder="1" applyAlignment="1">
      <alignment horizontal="right" vertical="center"/>
    </xf>
    <xf numFmtId="0" fontId="9" fillId="0" borderId="29" xfId="153" applyFont="1" applyBorder="1" applyAlignment="1">
      <alignment vertical="center" wrapText="1"/>
    </xf>
    <xf numFmtId="3" fontId="97" fillId="0" borderId="30" xfId="153" applyNumberFormat="1" applyFont="1" applyBorder="1" applyAlignment="1">
      <alignment horizontal="right" vertical="center"/>
    </xf>
    <xf numFmtId="3" fontId="97" fillId="0" borderId="31" xfId="153" applyNumberFormat="1" applyFont="1" applyBorder="1" applyAlignment="1">
      <alignment horizontal="right" vertical="center"/>
    </xf>
    <xf numFmtId="3" fontId="9" fillId="0" borderId="33" xfId="153" applyNumberFormat="1" applyFont="1" applyBorder="1" applyAlignment="1">
      <alignment horizontal="right" vertical="center"/>
    </xf>
    <xf numFmtId="3" fontId="9" fillId="0" borderId="3" xfId="153" applyNumberFormat="1" applyFont="1" applyBorder="1" applyAlignment="1">
      <alignment horizontal="right" vertical="center"/>
    </xf>
    <xf numFmtId="3" fontId="9" fillId="0" borderId="37" xfId="153" applyNumberFormat="1" applyFont="1" applyBorder="1" applyAlignment="1">
      <alignment horizontal="right" vertical="center"/>
    </xf>
    <xf numFmtId="3" fontId="9" fillId="0" borderId="53" xfId="153" applyNumberFormat="1" applyFont="1" applyBorder="1" applyAlignment="1">
      <alignment horizontal="right" vertical="center"/>
    </xf>
    <xf numFmtId="10" fontId="9" fillId="43" borderId="34" xfId="153" applyNumberFormat="1" applyFont="1" applyFill="1" applyBorder="1" applyAlignment="1" applyProtection="1">
      <alignment horizontal="right" vertical="center"/>
      <protection locked="0"/>
    </xf>
    <xf numFmtId="10" fontId="9" fillId="43" borderId="35" xfId="153" applyNumberFormat="1" applyFont="1" applyFill="1" applyBorder="1" applyAlignment="1" applyProtection="1">
      <alignment horizontal="right" vertical="center"/>
      <protection locked="0"/>
    </xf>
    <xf numFmtId="0" fontId="9" fillId="0" borderId="36" xfId="153" applyFont="1" applyBorder="1" applyAlignment="1">
      <alignment horizontal="center" vertical="center"/>
    </xf>
    <xf numFmtId="0" fontId="9" fillId="0" borderId="36" xfId="153" applyFont="1" applyBorder="1" applyAlignment="1">
      <alignment vertical="center"/>
    </xf>
    <xf numFmtId="3" fontId="10" fillId="0" borderId="36" xfId="153" applyNumberFormat="1" applyFont="1" applyBorder="1" applyAlignment="1">
      <alignment horizontal="right" vertical="center"/>
    </xf>
    <xf numFmtId="10" fontId="98" fillId="0" borderId="36" xfId="153" applyNumberFormat="1" applyFont="1" applyBorder="1" applyAlignment="1">
      <alignment horizontal="right" vertical="center"/>
    </xf>
    <xf numFmtId="10" fontId="9" fillId="43" borderId="54" xfId="153" applyNumberFormat="1" applyFont="1" applyFill="1" applyBorder="1" applyAlignment="1" applyProtection="1">
      <alignment horizontal="right" vertical="center"/>
      <protection locked="0"/>
    </xf>
    <xf numFmtId="0" fontId="10" fillId="45" borderId="0" xfId="153" applyFont="1" applyFill="1" applyAlignment="1">
      <alignment vertical="center"/>
    </xf>
    <xf numFmtId="0" fontId="9" fillId="0" borderId="9" xfId="153" applyFont="1" applyBorder="1" applyAlignment="1">
      <alignment vertical="center" wrapText="1"/>
    </xf>
    <xf numFmtId="0" fontId="9" fillId="0" borderId="9" xfId="153" applyFont="1" applyBorder="1" applyAlignment="1">
      <alignment vertical="center"/>
    </xf>
    <xf numFmtId="3" fontId="9" fillId="0" borderId="38" xfId="153" applyNumberFormat="1" applyFont="1" applyBorder="1" applyAlignment="1">
      <alignment horizontal="right" vertical="center"/>
    </xf>
    <xf numFmtId="10" fontId="98" fillId="0" borderId="18" xfId="153" applyNumberFormat="1" applyFont="1" applyBorder="1" applyAlignment="1">
      <alignment horizontal="right" vertical="center"/>
    </xf>
    <xf numFmtId="3" fontId="9" fillId="0" borderId="50" xfId="153" applyNumberFormat="1" applyFont="1" applyBorder="1" applyAlignment="1">
      <alignment horizontal="right" vertical="center"/>
    </xf>
    <xf numFmtId="3" fontId="9" fillId="0" borderId="49" xfId="153" applyNumberFormat="1" applyFont="1" applyBorder="1" applyAlignment="1">
      <alignment horizontal="right" vertical="center"/>
    </xf>
    <xf numFmtId="3" fontId="9" fillId="0" borderId="48" xfId="153" applyNumberFormat="1" applyFont="1" applyBorder="1" applyAlignment="1">
      <alignment horizontal="right" vertical="center"/>
    </xf>
    <xf numFmtId="3" fontId="10" fillId="0" borderId="21" xfId="153" applyNumberFormat="1" applyFont="1" applyBorder="1" applyAlignment="1">
      <alignment horizontal="right" vertical="center"/>
    </xf>
    <xf numFmtId="0" fontId="9" fillId="0" borderId="0" xfId="153" applyFont="1" applyAlignment="1">
      <alignment horizontal="justify" vertical="center" wrapText="1"/>
    </xf>
    <xf numFmtId="3" fontId="10" fillId="0" borderId="0" xfId="153" applyNumberFormat="1" applyFont="1" applyAlignment="1">
      <alignment horizontal="right" vertical="center"/>
    </xf>
    <xf numFmtId="3" fontId="9" fillId="0" borderId="0" xfId="153" applyNumberFormat="1" applyFont="1" applyAlignment="1">
      <alignment horizontal="right" vertical="center"/>
    </xf>
    <xf numFmtId="10" fontId="9" fillId="0" borderId="0" xfId="153" applyNumberFormat="1" applyFont="1" applyAlignment="1">
      <alignment horizontal="right" vertical="center"/>
    </xf>
    <xf numFmtId="10" fontId="9" fillId="0" borderId="38" xfId="153" applyNumberFormat="1" applyFont="1" applyBorder="1" applyAlignment="1">
      <alignment horizontal="right" vertical="center"/>
    </xf>
    <xf numFmtId="10" fontId="10" fillId="0" borderId="0" xfId="153" applyNumberFormat="1" applyFont="1" applyAlignment="1">
      <alignment horizontal="right" vertical="center"/>
    </xf>
    <xf numFmtId="0" fontId="11" fillId="0" borderId="0" xfId="0" applyFont="1" applyAlignment="1">
      <alignment vertical="center"/>
    </xf>
    <xf numFmtId="0" fontId="9" fillId="46" borderId="0" xfId="0" applyFont="1" applyFill="1"/>
    <xf numFmtId="0" fontId="9" fillId="47" borderId="0" xfId="0" applyFont="1" applyFill="1"/>
    <xf numFmtId="0" fontId="9" fillId="48" borderId="0" xfId="0" applyFont="1" applyFill="1"/>
    <xf numFmtId="0" fontId="10" fillId="49" borderId="0" xfId="0" applyFont="1" applyFill="1"/>
    <xf numFmtId="0" fontId="0" fillId="47" borderId="0" xfId="0" applyFill="1"/>
    <xf numFmtId="0" fontId="10" fillId="47" borderId="0" xfId="0" applyFont="1" applyFill="1"/>
    <xf numFmtId="17" fontId="9" fillId="47" borderId="0" xfId="8" applyNumberFormat="1" applyFont="1" applyFill="1"/>
    <xf numFmtId="0" fontId="12" fillId="47" borderId="0" xfId="8" applyFont="1" applyFill="1"/>
    <xf numFmtId="175" fontId="9" fillId="47" borderId="0" xfId="14" applyNumberFormat="1" applyFont="1" applyFill="1" applyAlignment="1">
      <alignment horizontal="center"/>
    </xf>
    <xf numFmtId="0" fontId="0" fillId="47" borderId="0" xfId="0" applyFill="1" applyAlignment="1">
      <alignment horizontal="left" indent="2"/>
    </xf>
    <xf numFmtId="4" fontId="0" fillId="47" borderId="0" xfId="0" applyNumberFormat="1" applyFill="1"/>
    <xf numFmtId="0" fontId="0" fillId="47" borderId="0" xfId="0" applyFill="1" applyAlignment="1">
      <alignment horizontal="center"/>
    </xf>
    <xf numFmtId="165" fontId="0" fillId="47" borderId="0" xfId="14" applyFont="1" applyFill="1"/>
    <xf numFmtId="43" fontId="0" fillId="47" borderId="0" xfId="0" applyNumberFormat="1" applyFill="1"/>
    <xf numFmtId="0" fontId="9" fillId="47" borderId="0" xfId="0" applyFont="1" applyFill="1" applyAlignment="1">
      <alignment horizontal="left" vertical="center"/>
    </xf>
    <xf numFmtId="0" fontId="0" fillId="47" borderId="0" xfId="0" applyFill="1" applyAlignment="1">
      <alignment vertical="center"/>
    </xf>
    <xf numFmtId="0" fontId="0" fillId="47" borderId="0" xfId="0" applyFill="1" applyAlignment="1">
      <alignment horizontal="center" vertical="center"/>
    </xf>
    <xf numFmtId="0" fontId="0" fillId="47" borderId="0" xfId="0" applyFill="1" applyAlignment="1">
      <alignment horizontal="left" vertical="center"/>
    </xf>
    <xf numFmtId="0" fontId="9" fillId="35" borderId="0" xfId="9" applyFill="1" applyAlignment="1">
      <alignment horizontal="center" vertical="center"/>
    </xf>
    <xf numFmtId="0" fontId="10" fillId="35" borderId="0" xfId="9" applyFont="1" applyFill="1" applyAlignment="1">
      <alignment horizontal="center"/>
    </xf>
    <xf numFmtId="0" fontId="9" fillId="35" borderId="0" xfId="9" applyFill="1" applyAlignment="1">
      <alignment horizontal="center"/>
    </xf>
    <xf numFmtId="0" fontId="10" fillId="35" borderId="0" xfId="9" applyFont="1" applyFill="1" applyAlignment="1">
      <alignment horizontal="center" vertical="center"/>
    </xf>
    <xf numFmtId="4" fontId="10" fillId="35" borderId="0" xfId="8" applyNumberFormat="1" applyFont="1" applyFill="1" applyAlignment="1">
      <alignment vertical="center"/>
    </xf>
    <xf numFmtId="49" fontId="9" fillId="35" borderId="0" xfId="8" applyNumberFormat="1" applyFont="1" applyFill="1" applyAlignment="1">
      <alignment horizontal="center" vertical="center"/>
    </xf>
    <xf numFmtId="4" fontId="9" fillId="35" borderId="0" xfId="8" applyNumberFormat="1" applyFont="1" applyFill="1" applyAlignment="1">
      <alignment horizontal="center" vertical="center"/>
    </xf>
    <xf numFmtId="4" fontId="9" fillId="35" borderId="0" xfId="8" applyNumberFormat="1" applyFont="1" applyFill="1" applyAlignment="1">
      <alignment vertical="center"/>
    </xf>
    <xf numFmtId="4" fontId="9" fillId="35" borderId="37" xfId="20" applyNumberFormat="1" applyFill="1" applyBorder="1" applyAlignment="1">
      <alignment vertical="center"/>
    </xf>
    <xf numFmtId="0" fontId="9" fillId="35" borderId="0" xfId="20" applyFill="1" applyAlignment="1">
      <alignment vertical="center"/>
    </xf>
    <xf numFmtId="3" fontId="9" fillId="35" borderId="0" xfId="20" applyNumberFormat="1" applyFill="1" applyAlignment="1">
      <alignment vertical="center"/>
    </xf>
    <xf numFmtId="165" fontId="9" fillId="35" borderId="0" xfId="14" applyFill="1" applyAlignment="1">
      <alignment vertical="center"/>
    </xf>
    <xf numFmtId="43" fontId="9" fillId="35" borderId="0" xfId="20" applyNumberFormat="1" applyFill="1" applyAlignment="1">
      <alignment vertical="center"/>
    </xf>
    <xf numFmtId="4" fontId="9" fillId="35" borderId="0" xfId="20" applyNumberFormat="1" applyFill="1" applyAlignment="1">
      <alignment vertical="center"/>
    </xf>
    <xf numFmtId="0" fontId="9" fillId="47" borderId="0" xfId="8" applyFont="1" applyFill="1"/>
    <xf numFmtId="49" fontId="12" fillId="47" borderId="0" xfId="8" applyNumberFormat="1" applyFont="1" applyFill="1"/>
    <xf numFmtId="0" fontId="10" fillId="35" borderId="0" xfId="9" applyFont="1" applyFill="1" applyAlignment="1">
      <alignment horizontal="left"/>
    </xf>
    <xf numFmtId="0" fontId="9" fillId="35" borderId="0" xfId="9" applyFill="1"/>
    <xf numFmtId="3" fontId="9" fillId="35" borderId="0" xfId="9" applyNumberFormat="1" applyFill="1" applyAlignment="1">
      <alignment horizontal="center"/>
    </xf>
    <xf numFmtId="1" fontId="9" fillId="35" borderId="0" xfId="9" applyNumberFormat="1" applyFill="1" applyAlignment="1">
      <alignment horizontal="center"/>
    </xf>
    <xf numFmtId="0" fontId="10" fillId="35" borderId="0" xfId="9" applyFont="1" applyFill="1"/>
    <xf numFmtId="3" fontId="9" fillId="35" borderId="0" xfId="9" applyNumberFormat="1" applyFill="1" applyAlignment="1">
      <alignment horizontal="left"/>
    </xf>
    <xf numFmtId="3" fontId="9" fillId="35" borderId="0" xfId="8" applyNumberFormat="1" applyFont="1" applyFill="1" applyAlignment="1">
      <alignment vertical="center"/>
    </xf>
    <xf numFmtId="3" fontId="9" fillId="35" borderId="0" xfId="9" applyNumberFormat="1" applyFill="1"/>
    <xf numFmtId="0" fontId="10" fillId="35" borderId="0" xfId="0" applyFont="1" applyFill="1"/>
    <xf numFmtId="0" fontId="0" fillId="35" borderId="0" xfId="0" applyFill="1"/>
    <xf numFmtId="0" fontId="10" fillId="35" borderId="0" xfId="0" applyFont="1" applyFill="1" applyAlignment="1">
      <alignment horizontal="centerContinuous"/>
    </xf>
    <xf numFmtId="0" fontId="10" fillId="35" borderId="0" xfId="0" applyFont="1" applyFill="1" applyAlignment="1">
      <alignment horizontal="left"/>
    </xf>
    <xf numFmtId="0" fontId="10" fillId="35" borderId="4" xfId="0" applyFont="1" applyFill="1" applyBorder="1" applyAlignment="1">
      <alignment horizontal="center"/>
    </xf>
    <xf numFmtId="0" fontId="10" fillId="35" borderId="0" xfId="0" applyFont="1" applyFill="1" applyAlignment="1">
      <alignment horizontal="center"/>
    </xf>
    <xf numFmtId="0" fontId="10" fillId="35" borderId="38" xfId="0" applyFont="1" applyFill="1" applyBorder="1"/>
    <xf numFmtId="0" fontId="0" fillId="35" borderId="4" xfId="0" applyFill="1" applyBorder="1"/>
    <xf numFmtId="0" fontId="0" fillId="35" borderId="38" xfId="0" applyFill="1" applyBorder="1"/>
    <xf numFmtId="3" fontId="0" fillId="35" borderId="4" xfId="0" applyNumberFormat="1" applyFill="1" applyBorder="1"/>
    <xf numFmtId="3" fontId="0" fillId="35" borderId="0" xfId="0" applyNumberFormat="1" applyFill="1"/>
    <xf numFmtId="3" fontId="91" fillId="35" borderId="4" xfId="0" applyNumberFormat="1" applyFont="1" applyFill="1" applyBorder="1"/>
    <xf numFmtId="3" fontId="91" fillId="35" borderId="0" xfId="0" applyNumberFormat="1" applyFont="1" applyFill="1"/>
    <xf numFmtId="0" fontId="91" fillId="35" borderId="38" xfId="0" applyFont="1" applyFill="1" applyBorder="1"/>
    <xf numFmtId="0" fontId="91" fillId="35" borderId="0" xfId="0" applyFont="1" applyFill="1"/>
    <xf numFmtId="3" fontId="10" fillId="35" borderId="4" xfId="0" applyNumberFormat="1" applyFont="1" applyFill="1" applyBorder="1"/>
    <xf numFmtId="3" fontId="10" fillId="35" borderId="0" xfId="0" applyNumberFormat="1" applyFont="1" applyFill="1"/>
    <xf numFmtId="3" fontId="91" fillId="35" borderId="0" xfId="8" applyNumberFormat="1" applyFont="1" applyFill="1" applyAlignment="1">
      <alignment vertical="center"/>
    </xf>
    <xf numFmtId="3" fontId="10" fillId="35" borderId="0" xfId="8" applyNumberFormat="1" applyFont="1" applyFill="1" applyAlignment="1">
      <alignment vertical="center"/>
    </xf>
    <xf numFmtId="10" fontId="0" fillId="35" borderId="0" xfId="13" applyNumberFormat="1" applyFont="1" applyFill="1"/>
    <xf numFmtId="10" fontId="0" fillId="35" borderId="0" xfId="0" applyNumberFormat="1" applyFill="1"/>
    <xf numFmtId="4" fontId="9" fillId="47" borderId="0" xfId="23" applyNumberFormat="1" applyFill="1" applyAlignment="1">
      <alignment horizontal="center" vertical="center"/>
    </xf>
    <xf numFmtId="0" fontId="9" fillId="47" borderId="0" xfId="23" applyFill="1" applyAlignment="1">
      <alignment horizontal="right" vertical="center"/>
    </xf>
    <xf numFmtId="4" fontId="9" fillId="47" borderId="0" xfId="23" applyNumberFormat="1" applyFill="1" applyAlignment="1">
      <alignment horizontal="right" vertical="center"/>
    </xf>
    <xf numFmtId="0" fontId="9" fillId="47" borderId="0" xfId="23" applyFill="1" applyAlignment="1">
      <alignment vertical="center"/>
    </xf>
    <xf numFmtId="0" fontId="15" fillId="47" borderId="0" xfId="23" applyFont="1" applyFill="1" applyAlignment="1">
      <alignment horizontal="center" vertical="center"/>
    </xf>
    <xf numFmtId="0" fontId="10" fillId="51" borderId="0" xfId="0" applyFont="1" applyFill="1"/>
    <xf numFmtId="0" fontId="9" fillId="51" borderId="0" xfId="23" applyFill="1" applyAlignment="1">
      <alignment vertical="center"/>
    </xf>
    <xf numFmtId="0" fontId="13" fillId="53" borderId="0" xfId="0" applyFont="1" applyFill="1" applyAlignment="1">
      <alignment horizontal="center"/>
    </xf>
    <xf numFmtId="0" fontId="92" fillId="53" borderId="0" xfId="0" applyFont="1" applyFill="1" applyAlignment="1">
      <alignment horizontal="center"/>
    </xf>
    <xf numFmtId="0" fontId="92" fillId="53" borderId="9" xfId="0" applyFont="1" applyFill="1" applyBorder="1" applyAlignment="1">
      <alignment horizontal="center"/>
    </xf>
    <xf numFmtId="0" fontId="10" fillId="35" borderId="0" xfId="20" applyFont="1" applyFill="1" applyAlignment="1">
      <alignment vertical="center"/>
    </xf>
    <xf numFmtId="3" fontId="22" fillId="52" borderId="3" xfId="7" applyNumberFormat="1" applyFont="1" applyFill="1" applyBorder="1" applyAlignment="1">
      <alignment horizontal="right" vertical="center" wrapText="1"/>
    </xf>
    <xf numFmtId="3" fontId="22" fillId="35" borderId="37" xfId="7" applyNumberFormat="1" applyFont="1" applyFill="1" applyBorder="1" applyAlignment="1">
      <alignment horizontal="right" vertical="center" wrapText="1"/>
    </xf>
    <xf numFmtId="3" fontId="22" fillId="35" borderId="3" xfId="7" applyNumberFormat="1" applyFont="1" applyFill="1" applyBorder="1" applyAlignment="1">
      <alignment horizontal="right" vertical="center" wrapText="1"/>
    </xf>
    <xf numFmtId="10" fontId="9" fillId="47" borderId="0" xfId="13" applyNumberFormat="1" applyFill="1" applyAlignment="1">
      <alignment horizontal="center" vertical="center"/>
    </xf>
    <xf numFmtId="0" fontId="11" fillId="47" borderId="0" xfId="0" applyFont="1" applyFill="1" applyAlignment="1">
      <alignment vertical="center"/>
    </xf>
    <xf numFmtId="0" fontId="9" fillId="47" borderId="0" xfId="20" applyFill="1" applyAlignment="1">
      <alignment vertical="center"/>
    </xf>
    <xf numFmtId="175" fontId="40" fillId="47" borderId="0" xfId="14" applyNumberFormat="1" applyFont="1" applyFill="1" applyAlignment="1">
      <alignment horizontal="center" vertical="center"/>
    </xf>
    <xf numFmtId="0" fontId="13" fillId="47" borderId="0" xfId="0" applyFont="1" applyFill="1" applyAlignment="1">
      <alignment vertical="center"/>
    </xf>
    <xf numFmtId="165" fontId="0" fillId="47" borderId="0" xfId="14" applyFont="1" applyFill="1" applyAlignment="1">
      <alignment vertical="center"/>
    </xf>
    <xf numFmtId="0" fontId="61" fillId="47" borderId="0" xfId="20" applyFont="1" applyFill="1" applyAlignment="1">
      <alignment horizontal="centerContinuous" vertical="center"/>
    </xf>
    <xf numFmtId="4" fontId="9" fillId="47" borderId="0" xfId="8" applyNumberFormat="1" applyFont="1" applyFill="1" applyAlignment="1">
      <alignment horizontal="right" vertical="center"/>
    </xf>
    <xf numFmtId="0" fontId="9" fillId="50" borderId="0" xfId="8" applyFont="1" applyFill="1" applyAlignment="1">
      <alignment horizontal="center" vertical="center"/>
    </xf>
    <xf numFmtId="4" fontId="9" fillId="47" borderId="0" xfId="20" applyNumberFormat="1" applyFill="1" applyAlignment="1">
      <alignment vertical="center"/>
    </xf>
    <xf numFmtId="4" fontId="10" fillId="35" borderId="0" xfId="8" applyNumberFormat="1" applyFont="1" applyFill="1" applyAlignment="1">
      <alignment horizontal="centerContinuous" vertical="center"/>
    </xf>
    <xf numFmtId="4" fontId="9" fillId="0" borderId="0" xfId="8" applyNumberFormat="1" applyFont="1" applyAlignment="1">
      <alignment horizontal="center" vertical="center"/>
    </xf>
    <xf numFmtId="0" fontId="9" fillId="35" borderId="4" xfId="20" applyFill="1" applyBorder="1" applyAlignment="1">
      <alignment vertical="center"/>
    </xf>
    <xf numFmtId="4" fontId="10" fillId="35" borderId="0" xfId="20" applyNumberFormat="1" applyFont="1" applyFill="1" applyAlignment="1">
      <alignment vertical="center"/>
    </xf>
    <xf numFmtId="0" fontId="9" fillId="35" borderId="0" xfId="20" applyFill="1" applyAlignment="1">
      <alignment horizontal="centerContinuous" vertical="center"/>
    </xf>
    <xf numFmtId="3" fontId="10" fillId="35" borderId="0" xfId="20" applyNumberFormat="1" applyFont="1" applyFill="1" applyAlignment="1">
      <alignment vertical="center"/>
    </xf>
    <xf numFmtId="199" fontId="0" fillId="47" borderId="0" xfId="14" applyNumberFormat="1" applyFont="1" applyFill="1"/>
    <xf numFmtId="3" fontId="0" fillId="47" borderId="0" xfId="0" applyNumberFormat="1" applyFill="1"/>
    <xf numFmtId="0" fontId="0" fillId="47" borderId="73" xfId="0" applyFill="1" applyBorder="1"/>
    <xf numFmtId="0" fontId="0" fillId="47" borderId="56" xfId="0" applyFill="1" applyBorder="1"/>
    <xf numFmtId="4" fontId="269" fillId="0" borderId="0" xfId="0" applyNumberFormat="1" applyFont="1"/>
    <xf numFmtId="8" fontId="9" fillId="35" borderId="0" xfId="20" applyNumberFormat="1" applyFill="1" applyAlignment="1">
      <alignment vertical="center"/>
    </xf>
    <xf numFmtId="3" fontId="9" fillId="0" borderId="0" xfId="20" applyNumberFormat="1"/>
    <xf numFmtId="43" fontId="10" fillId="0" borderId="0" xfId="20" applyNumberFormat="1" applyFont="1"/>
    <xf numFmtId="0" fontId="9" fillId="0" borderId="0" xfId="158" applyAlignment="1">
      <alignment vertical="center"/>
    </xf>
    <xf numFmtId="4" fontId="9" fillId="0" borderId="0" xfId="158" applyNumberFormat="1" applyAlignment="1">
      <alignment vertical="center"/>
    </xf>
    <xf numFmtId="0" fontId="9" fillId="0" borderId="0" xfId="158"/>
    <xf numFmtId="0" fontId="9" fillId="0" borderId="0" xfId="158" applyAlignment="1">
      <alignment horizontal="center"/>
    </xf>
    <xf numFmtId="0" fontId="9" fillId="35" borderId="0" xfId="158" applyFill="1" applyAlignment="1">
      <alignment vertical="center"/>
    </xf>
    <xf numFmtId="4" fontId="9" fillId="35" borderId="0" xfId="158" applyNumberFormat="1" applyFill="1" applyAlignment="1">
      <alignment vertical="center"/>
    </xf>
    <xf numFmtId="4" fontId="22" fillId="35" borderId="0" xfId="158" applyNumberFormat="1" applyFont="1" applyFill="1" applyAlignment="1">
      <alignment vertical="center"/>
    </xf>
    <xf numFmtId="4" fontId="15" fillId="35" borderId="0" xfId="158" applyNumberFormat="1" applyFont="1" applyFill="1" applyAlignment="1">
      <alignment vertical="center"/>
    </xf>
    <xf numFmtId="0" fontId="2" fillId="35" borderId="0" xfId="24038" applyFill="1" applyAlignment="1">
      <alignment vertical="center"/>
    </xf>
    <xf numFmtId="0" fontId="9" fillId="35" borderId="0" xfId="158" applyFill="1"/>
    <xf numFmtId="3" fontId="9" fillId="35" borderId="0" xfId="158" applyNumberFormat="1" applyFill="1"/>
    <xf numFmtId="3" fontId="10" fillId="43" borderId="29" xfId="153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right"/>
    </xf>
    <xf numFmtId="3" fontId="18" fillId="0" borderId="0" xfId="0" applyNumberFormat="1" applyFont="1"/>
    <xf numFmtId="0" fontId="0" fillId="0" borderId="0" xfId="0" applyAlignment="1">
      <alignment horizontal="center"/>
    </xf>
    <xf numFmtId="0" fontId="0" fillId="35" borderId="0" xfId="0" applyFill="1" applyAlignment="1">
      <alignment vertical="center"/>
    </xf>
    <xf numFmtId="0" fontId="9" fillId="0" borderId="0" xfId="0" applyFont="1" applyAlignment="1">
      <alignment horizontal="center"/>
    </xf>
    <xf numFmtId="0" fontId="9" fillId="35" borderId="0" xfId="0" applyFont="1" applyFill="1"/>
    <xf numFmtId="0" fontId="9" fillId="35" borderId="0" xfId="0" applyFont="1" applyFill="1" applyAlignment="1">
      <alignment horizontal="center"/>
    </xf>
    <xf numFmtId="0" fontId="9" fillId="35" borderId="0" xfId="0" applyFont="1" applyFill="1" applyAlignment="1">
      <alignment horizontal="right"/>
    </xf>
    <xf numFmtId="0" fontId="10" fillId="35" borderId="0" xfId="0" applyFont="1" applyFill="1" applyAlignment="1">
      <alignment vertical="center"/>
    </xf>
    <xf numFmtId="0" fontId="9" fillId="35" borderId="0" xfId="0" applyFont="1" applyFill="1" applyAlignment="1">
      <alignment vertical="center"/>
    </xf>
    <xf numFmtId="3" fontId="9" fillId="35" borderId="0" xfId="0" applyNumberFormat="1" applyFont="1" applyFill="1" applyAlignment="1">
      <alignment vertical="center"/>
    </xf>
    <xf numFmtId="43" fontId="0" fillId="35" borderId="0" xfId="0" applyNumberFormat="1" applyFill="1"/>
    <xf numFmtId="165" fontId="0" fillId="35" borderId="0" xfId="24040" applyFont="1" applyFill="1"/>
    <xf numFmtId="0" fontId="9" fillId="35" borderId="0" xfId="0" applyFont="1" applyFill="1" applyAlignment="1">
      <alignment horizontal="center" vertical="center"/>
    </xf>
    <xf numFmtId="0" fontId="10" fillId="35" borderId="0" xfId="0" applyFont="1" applyFill="1" applyAlignment="1">
      <alignment horizontal="center" vertical="center"/>
    </xf>
    <xf numFmtId="0" fontId="0" fillId="35" borderId="0" xfId="0" applyFill="1" applyAlignment="1">
      <alignment horizontal="center"/>
    </xf>
    <xf numFmtId="0" fontId="18" fillId="35" borderId="0" xfId="0" applyFont="1" applyFill="1" applyAlignment="1">
      <alignment vertical="center"/>
    </xf>
    <xf numFmtId="0" fontId="18" fillId="35" borderId="0" xfId="0" applyFont="1" applyFill="1" applyAlignment="1">
      <alignment horizontal="left" vertical="center"/>
    </xf>
    <xf numFmtId="165" fontId="9" fillId="35" borderId="0" xfId="0" applyNumberFormat="1" applyFont="1" applyFill="1"/>
    <xf numFmtId="9" fontId="10" fillId="35" borderId="0" xfId="24039" applyFont="1" applyFill="1"/>
    <xf numFmtId="4" fontId="273" fillId="0" borderId="0" xfId="0" applyNumberFormat="1" applyFont="1"/>
    <xf numFmtId="0" fontId="5" fillId="0" borderId="0" xfId="0" applyFont="1"/>
    <xf numFmtId="10" fontId="5" fillId="0" borderId="0" xfId="0" applyNumberFormat="1" applyFont="1"/>
    <xf numFmtId="1" fontId="9" fillId="0" borderId="0" xfId="158" applyNumberFormat="1" applyAlignment="1">
      <alignment horizontal="center"/>
    </xf>
    <xf numFmtId="4" fontId="9" fillId="47" borderId="0" xfId="23" applyNumberFormat="1" applyFill="1" applyAlignment="1">
      <alignment vertical="center"/>
    </xf>
    <xf numFmtId="1" fontId="8" fillId="0" borderId="0" xfId="21" applyNumberFormat="1" applyAlignment="1">
      <alignment horizontal="center" vertical="center"/>
    </xf>
    <xf numFmtId="4" fontId="10" fillId="35" borderId="0" xfId="24039" applyNumberFormat="1" applyFont="1" applyFill="1"/>
    <xf numFmtId="2" fontId="0" fillId="47" borderId="0" xfId="0" applyNumberFormat="1" applyFill="1"/>
    <xf numFmtId="10" fontId="0" fillId="35" borderId="6" xfId="0" applyNumberFormat="1" applyFill="1" applyBorder="1" applyAlignment="1">
      <alignment horizontal="center"/>
    </xf>
    <xf numFmtId="0" fontId="0" fillId="35" borderId="90" xfId="0" applyFill="1" applyBorder="1"/>
    <xf numFmtId="0" fontId="39" fillId="35" borderId="0" xfId="0" applyFont="1" applyFill="1"/>
    <xf numFmtId="165" fontId="89" fillId="8" borderId="96" xfId="20" applyNumberFormat="1" applyFont="1" applyFill="1" applyBorder="1" applyProtection="1">
      <protection locked="0"/>
    </xf>
    <xf numFmtId="165" fontId="89" fillId="8" borderId="97" xfId="20" applyNumberFormat="1" applyFont="1" applyFill="1" applyBorder="1" applyProtection="1">
      <protection locked="0"/>
    </xf>
    <xf numFmtId="165" fontId="88" fillId="0" borderId="51" xfId="14" applyFont="1" applyFill="1" applyBorder="1" applyProtection="1"/>
    <xf numFmtId="165" fontId="90" fillId="0" borderId="96" xfId="14" applyFont="1" applyFill="1" applyBorder="1" applyProtection="1"/>
    <xf numFmtId="165" fontId="88" fillId="0" borderId="96" xfId="14" applyFont="1" applyFill="1" applyBorder="1" applyProtection="1"/>
    <xf numFmtId="4" fontId="9" fillId="47" borderId="0" xfId="0" applyNumberFormat="1" applyFont="1" applyFill="1" applyAlignment="1">
      <alignment vertical="center"/>
    </xf>
    <xf numFmtId="1" fontId="31" fillId="0" borderId="6" xfId="10" applyNumberFormat="1" applyFont="1" applyBorder="1" applyAlignment="1">
      <alignment horizontal="center" vertical="center"/>
    </xf>
    <xf numFmtId="1" fontId="10" fillId="0" borderId="6" xfId="10" applyNumberFormat="1" applyFont="1" applyBorder="1" applyAlignment="1">
      <alignment horizontal="center" vertical="center"/>
    </xf>
    <xf numFmtId="1" fontId="9" fillId="0" borderId="6" xfId="20" applyNumberFormat="1" applyBorder="1" applyAlignment="1">
      <alignment horizontal="centerContinuous" vertical="center"/>
    </xf>
    <xf numFmtId="1" fontId="27" fillId="0" borderId="6" xfId="143" applyNumberFormat="1" applyFont="1" applyBorder="1" applyAlignment="1">
      <alignment vertical="center"/>
    </xf>
    <xf numFmtId="1" fontId="10" fillId="0" borderId="6" xfId="7" applyNumberFormat="1" applyFont="1" applyBorder="1" applyAlignment="1">
      <alignment horizontal="centerContinuous" vertical="center"/>
    </xf>
    <xf numFmtId="10" fontId="9" fillId="0" borderId="0" xfId="0" applyNumberFormat="1" applyFont="1"/>
    <xf numFmtId="3" fontId="22" fillId="12" borderId="3" xfId="7" applyNumberFormat="1" applyFont="1" applyFill="1" applyBorder="1" applyAlignment="1">
      <alignment horizontal="right" vertical="center" wrapText="1"/>
    </xf>
    <xf numFmtId="0" fontId="22" fillId="12" borderId="6" xfId="7" applyFont="1" applyFill="1" applyBorder="1" applyAlignment="1">
      <alignment horizontal="center" vertical="center"/>
    </xf>
    <xf numFmtId="49" fontId="15" fillId="0" borderId="3" xfId="7" applyNumberFormat="1" applyFont="1" applyBorder="1" applyAlignment="1">
      <alignment horizontal="center" vertical="center"/>
    </xf>
    <xf numFmtId="0" fontId="15" fillId="0" borderId="6" xfId="20" applyFont="1" applyBorder="1" applyAlignment="1">
      <alignment horizontal="center" vertical="center"/>
    </xf>
    <xf numFmtId="49" fontId="22" fillId="0" borderId="37" xfId="7" applyNumberFormat="1" applyFont="1" applyBorder="1" applyAlignment="1">
      <alignment horizontal="center" vertical="center"/>
    </xf>
    <xf numFmtId="0" fontId="22" fillId="0" borderId="37" xfId="144" applyFont="1" applyBorder="1" applyAlignment="1">
      <alignment horizontal="center" vertical="center"/>
    </xf>
    <xf numFmtId="0" fontId="15" fillId="35" borderId="38" xfId="20" applyFont="1" applyFill="1" applyBorder="1" applyAlignment="1">
      <alignment horizontal="center" vertical="center"/>
    </xf>
    <xf numFmtId="0" fontId="22" fillId="0" borderId="9" xfId="20" applyFont="1" applyBorder="1" applyAlignment="1">
      <alignment horizontal="center" vertical="center"/>
    </xf>
    <xf numFmtId="0" fontId="22" fillId="52" borderId="6" xfId="7" applyFont="1" applyFill="1" applyBorder="1" applyAlignment="1">
      <alignment horizontal="center" vertical="center"/>
    </xf>
    <xf numFmtId="0" fontId="279" fillId="0" borderId="3" xfId="20" applyFont="1" applyBorder="1" applyAlignment="1">
      <alignment horizontal="center" vertical="center"/>
    </xf>
    <xf numFmtId="0" fontId="22" fillId="35" borderId="38" xfId="7" applyFont="1" applyFill="1" applyBorder="1" applyAlignment="1">
      <alignment horizontal="center" vertical="center"/>
    </xf>
    <xf numFmtId="0" fontId="15" fillId="12" borderId="0" xfId="0" applyFont="1" applyFill="1" applyAlignment="1">
      <alignment horizontal="center" vertical="center"/>
    </xf>
    <xf numFmtId="0" fontId="12" fillId="12" borderId="0" xfId="0" applyFont="1" applyFill="1" applyAlignment="1">
      <alignment vertical="center"/>
    </xf>
    <xf numFmtId="307" fontId="9" fillId="35" borderId="0" xfId="0" applyNumberFormat="1" applyFont="1" applyFill="1"/>
    <xf numFmtId="307" fontId="9" fillId="0" borderId="0" xfId="0" applyNumberFormat="1" applyFont="1"/>
    <xf numFmtId="0" fontId="18" fillId="0" borderId="0" xfId="0" applyFont="1"/>
    <xf numFmtId="0" fontId="9" fillId="47" borderId="90" xfId="20" applyFill="1" applyBorder="1" applyAlignment="1">
      <alignment vertical="center"/>
    </xf>
    <xf numFmtId="4" fontId="9" fillId="47" borderId="56" xfId="20" applyNumberFormat="1" applyFill="1" applyBorder="1" applyAlignment="1">
      <alignment vertical="center"/>
    </xf>
    <xf numFmtId="0" fontId="284" fillId="0" borderId="0" xfId="0" applyFont="1" applyAlignment="1">
      <alignment vertical="center" wrapText="1"/>
    </xf>
    <xf numFmtId="0" fontId="94" fillId="0" borderId="0" xfId="0" applyFont="1" applyAlignment="1">
      <alignment vertical="center"/>
    </xf>
    <xf numFmtId="4" fontId="285" fillId="0" borderId="0" xfId="0" applyNumberFormat="1" applyFont="1" applyAlignment="1">
      <alignment horizontal="center" vertical="center"/>
    </xf>
    <xf numFmtId="4" fontId="94" fillId="0" borderId="0" xfId="0" applyNumberFormat="1" applyFont="1" applyAlignment="1">
      <alignment horizontal="center" vertical="center"/>
    </xf>
    <xf numFmtId="0" fontId="9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84" fillId="0" borderId="0" xfId="0" applyFont="1" applyAlignment="1">
      <alignment horizontal="center" vertical="center"/>
    </xf>
    <xf numFmtId="0" fontId="285" fillId="0" borderId="0" xfId="0" applyFont="1" applyAlignment="1">
      <alignment vertical="center"/>
    </xf>
    <xf numFmtId="0" fontId="290" fillId="0" borderId="0" xfId="0" applyFont="1" applyAlignment="1">
      <alignment vertical="center"/>
    </xf>
    <xf numFmtId="0" fontId="291" fillId="0" borderId="0" xfId="0" applyFont="1" applyAlignment="1">
      <alignment vertical="center"/>
    </xf>
    <xf numFmtId="165" fontId="0" fillId="0" borderId="6" xfId="14" applyFont="1" applyBorder="1" applyAlignment="1">
      <alignment vertical="center"/>
    </xf>
    <xf numFmtId="0" fontId="0" fillId="0" borderId="6" xfId="0" applyBorder="1" applyAlignment="1">
      <alignment vertical="center"/>
    </xf>
    <xf numFmtId="165" fontId="0" fillId="0" borderId="98" xfId="14" applyFont="1" applyBorder="1" applyAlignment="1">
      <alignment vertical="center"/>
    </xf>
    <xf numFmtId="165" fontId="0" fillId="0" borderId="98" xfId="0" applyNumberFormat="1" applyBorder="1" applyAlignment="1">
      <alignment vertical="center"/>
    </xf>
    <xf numFmtId="4" fontId="0" fillId="0" borderId="98" xfId="0" applyNumberFormat="1" applyBorder="1" applyAlignment="1">
      <alignment vertical="center"/>
    </xf>
    <xf numFmtId="0" fontId="0" fillId="0" borderId="98" xfId="0" applyBorder="1" applyAlignment="1">
      <alignment vertical="center"/>
    </xf>
    <xf numFmtId="0" fontId="8" fillId="0" borderId="0" xfId="21" applyAlignment="1">
      <alignment vertical="center" wrapText="1"/>
    </xf>
    <xf numFmtId="0" fontId="10" fillId="47" borderId="0" xfId="23" applyFont="1" applyFill="1" applyAlignment="1">
      <alignment vertical="center" wrapText="1"/>
    </xf>
    <xf numFmtId="0" fontId="9" fillId="47" borderId="0" xfId="23" applyFill="1" applyAlignment="1">
      <alignment vertical="center" wrapText="1"/>
    </xf>
    <xf numFmtId="0" fontId="0" fillId="47" borderId="0" xfId="0" applyFill="1" applyAlignment="1">
      <alignment horizontal="right" vertical="center"/>
    </xf>
    <xf numFmtId="4" fontId="0" fillId="47" borderId="0" xfId="0" applyNumberFormat="1" applyFill="1" applyAlignment="1">
      <alignment horizontal="right" vertical="center"/>
    </xf>
    <xf numFmtId="0" fontId="0" fillId="53" borderId="0" xfId="0" applyFill="1" applyAlignment="1">
      <alignment horizontal="right" vertical="center"/>
    </xf>
    <xf numFmtId="4" fontId="0" fillId="53" borderId="38" xfId="0" applyNumberFormat="1" applyFill="1" applyBorder="1" applyAlignment="1">
      <alignment horizontal="right" vertical="center"/>
    </xf>
    <xf numFmtId="0" fontId="92" fillId="53" borderId="38" xfId="0" applyFont="1" applyFill="1" applyBorder="1" applyAlignment="1">
      <alignment horizontal="right" vertical="center"/>
    </xf>
    <xf numFmtId="4" fontId="92" fillId="53" borderId="9" xfId="0" applyNumberFormat="1" applyFont="1" applyFill="1" applyBorder="1" applyAlignment="1">
      <alignment horizontal="right" vertical="center"/>
    </xf>
    <xf numFmtId="0" fontId="92" fillId="53" borderId="37" xfId="0" applyFont="1" applyFill="1" applyBorder="1" applyAlignment="1">
      <alignment horizontal="right" vertical="center"/>
    </xf>
    <xf numFmtId="0" fontId="15" fillId="47" borderId="98" xfId="23" applyFont="1" applyFill="1" applyBorder="1" applyAlignment="1">
      <alignment horizontal="center" vertical="center"/>
    </xf>
    <xf numFmtId="4" fontId="9" fillId="47" borderId="98" xfId="23" applyNumberFormat="1" applyFill="1" applyBorder="1" applyAlignment="1">
      <alignment horizontal="center" vertical="center"/>
    </xf>
    <xf numFmtId="4" fontId="9" fillId="47" borderId="98" xfId="23" applyNumberFormat="1" applyFill="1" applyBorder="1" applyAlignment="1">
      <alignment horizontal="right" vertical="center"/>
    </xf>
    <xf numFmtId="0" fontId="9" fillId="47" borderId="98" xfId="23" applyFill="1" applyBorder="1" applyAlignment="1">
      <alignment vertical="center" wrapText="1"/>
    </xf>
    <xf numFmtId="0" fontId="9" fillId="47" borderId="98" xfId="23" applyFill="1" applyBorder="1" applyAlignment="1">
      <alignment horizontal="center" vertical="center"/>
    </xf>
    <xf numFmtId="0" fontId="293" fillId="47" borderId="0" xfId="23" applyFont="1" applyFill="1" applyAlignment="1">
      <alignment vertical="center"/>
    </xf>
    <xf numFmtId="49" fontId="58" fillId="47" borderId="98" xfId="144" applyNumberFormat="1" applyFont="1" applyFill="1" applyBorder="1" applyAlignment="1">
      <alignment wrapText="1"/>
    </xf>
    <xf numFmtId="49" fontId="58" fillId="47" borderId="98" xfId="144" applyNumberFormat="1" applyFont="1" applyFill="1" applyBorder="1" applyAlignment="1">
      <alignment horizontal="center"/>
    </xf>
    <xf numFmtId="1" fontId="58" fillId="47" borderId="98" xfId="144" applyNumberFormat="1" applyFont="1" applyFill="1" applyBorder="1" applyAlignment="1">
      <alignment horizontal="center" vertical="center"/>
    </xf>
    <xf numFmtId="0" fontId="10" fillId="47" borderId="0" xfId="23" applyFont="1" applyFill="1" applyAlignment="1">
      <alignment horizontal="center" vertical="center"/>
    </xf>
    <xf numFmtId="0" fontId="20" fillId="47" borderId="0" xfId="0" applyFont="1" applyFill="1" applyAlignment="1">
      <alignment horizontal="center" vertical="center"/>
    </xf>
    <xf numFmtId="0" fontId="92" fillId="53" borderId="39" xfId="0" applyFont="1" applyFill="1" applyBorder="1" applyAlignment="1">
      <alignment horizontal="center" vertical="center"/>
    </xf>
    <xf numFmtId="0" fontId="94" fillId="47" borderId="98" xfId="144" applyFont="1" applyFill="1" applyBorder="1" applyAlignment="1">
      <alignment horizontal="center" vertical="center"/>
    </xf>
    <xf numFmtId="4" fontId="39" fillId="47" borderId="98" xfId="144" applyNumberFormat="1" applyFont="1" applyFill="1" applyBorder="1" applyAlignment="1">
      <alignment horizontal="right" vertical="center"/>
    </xf>
    <xf numFmtId="0" fontId="15" fillId="47" borderId="98" xfId="144" applyFont="1" applyFill="1" applyBorder="1" applyAlignment="1">
      <alignment wrapText="1"/>
    </xf>
    <xf numFmtId="0" fontId="1" fillId="47" borderId="98" xfId="144" applyFont="1" applyFill="1" applyBorder="1" applyAlignment="1">
      <alignment horizontal="center"/>
    </xf>
    <xf numFmtId="0" fontId="15" fillId="47" borderId="98" xfId="23" applyFont="1" applyFill="1" applyBorder="1" applyAlignment="1">
      <alignment horizontal="left" vertical="center" wrapText="1"/>
    </xf>
    <xf numFmtId="0" fontId="10" fillId="53" borderId="4" xfId="0" applyFont="1" applyFill="1" applyBorder="1" applyAlignment="1">
      <alignment horizontal="left" vertical="center"/>
    </xf>
    <xf numFmtId="0" fontId="92" fillId="53" borderId="4" xfId="0" applyFont="1" applyFill="1" applyBorder="1" applyAlignment="1">
      <alignment horizontal="left" vertical="center"/>
    </xf>
    <xf numFmtId="49" fontId="58" fillId="47" borderId="98" xfId="144" applyNumberFormat="1" applyFont="1" applyFill="1" applyBorder="1" applyAlignment="1">
      <alignment horizontal="center" vertical="center"/>
    </xf>
    <xf numFmtId="4" fontId="9" fillId="47" borderId="98" xfId="144" applyNumberFormat="1" applyFont="1" applyFill="1" applyBorder="1" applyAlignment="1">
      <alignment horizontal="right" vertical="center"/>
    </xf>
    <xf numFmtId="0" fontId="15" fillId="47" borderId="98" xfId="144" applyFont="1" applyFill="1" applyBorder="1" applyAlignment="1">
      <alignment horizontal="center" vertical="center"/>
    </xf>
    <xf numFmtId="0" fontId="10" fillId="136" borderId="98" xfId="8" applyFont="1" applyFill="1" applyBorder="1" applyAlignment="1">
      <alignment horizontal="center"/>
    </xf>
    <xf numFmtId="4" fontId="10" fillId="136" borderId="98" xfId="8" applyNumberFormat="1" applyFont="1" applyFill="1" applyBorder="1"/>
    <xf numFmtId="4" fontId="10" fillId="136" borderId="98" xfId="8" applyNumberFormat="1" applyFont="1" applyFill="1" applyBorder="1" applyAlignment="1">
      <alignment horizontal="left"/>
    </xf>
    <xf numFmtId="0" fontId="9" fillId="51" borderId="0" xfId="8" applyFont="1" applyFill="1"/>
    <xf numFmtId="0" fontId="0" fillId="35" borderId="4" xfId="0" applyFill="1" applyBorder="1" applyAlignment="1">
      <alignment horizontal="right"/>
    </xf>
    <xf numFmtId="0" fontId="15" fillId="47" borderId="98" xfId="23" applyFont="1" applyFill="1" applyBorder="1" applyAlignment="1">
      <alignment vertical="center" wrapText="1"/>
    </xf>
    <xf numFmtId="9" fontId="9" fillId="47" borderId="0" xfId="13" applyFont="1" applyFill="1" applyAlignment="1">
      <alignment vertical="center"/>
    </xf>
    <xf numFmtId="1" fontId="94" fillId="0" borderId="98" xfId="21" applyNumberFormat="1" applyFont="1" applyBorder="1" applyAlignment="1">
      <alignment horizontal="center" vertical="center"/>
    </xf>
    <xf numFmtId="0" fontId="94" fillId="0" borderId="0" xfId="21" applyFont="1" applyAlignment="1">
      <alignment horizontal="center" vertical="center"/>
    </xf>
    <xf numFmtId="0" fontId="94" fillId="0" borderId="98" xfId="21" applyFont="1" applyBorder="1" applyAlignment="1">
      <alignment vertical="center" wrapText="1"/>
    </xf>
    <xf numFmtId="1" fontId="85" fillId="0" borderId="98" xfId="21" applyNumberFormat="1" applyFont="1" applyBorder="1" applyAlignment="1">
      <alignment horizontal="center" vertical="center"/>
    </xf>
    <xf numFmtId="0" fontId="85" fillId="0" borderId="98" xfId="21" applyFont="1" applyBorder="1" applyAlignment="1">
      <alignment horizontal="left" vertical="center" wrapText="1"/>
    </xf>
    <xf numFmtId="0" fontId="85" fillId="0" borderId="0" xfId="21" applyFont="1" applyAlignment="1">
      <alignment horizontal="center" vertical="center"/>
    </xf>
    <xf numFmtId="4" fontId="9" fillId="0" borderId="0" xfId="153" applyNumberFormat="1" applyFont="1" applyAlignment="1">
      <alignment vertical="center"/>
    </xf>
    <xf numFmtId="4" fontId="15" fillId="47" borderId="98" xfId="23" applyNumberFormat="1" applyFont="1" applyFill="1" applyBorder="1" applyAlignment="1">
      <alignment horizontal="right" vertical="center"/>
    </xf>
    <xf numFmtId="4" fontId="15" fillId="47" borderId="98" xfId="23" applyNumberFormat="1" applyFont="1" applyFill="1" applyBorder="1" applyAlignment="1">
      <alignment horizontal="center" vertical="center"/>
    </xf>
    <xf numFmtId="4" fontId="85" fillId="47" borderId="98" xfId="144" applyNumberFormat="1" applyFont="1" applyFill="1" applyBorder="1" applyAlignment="1">
      <alignment horizontal="right" vertical="center"/>
    </xf>
    <xf numFmtId="4" fontId="85" fillId="47" borderId="0" xfId="144" applyNumberFormat="1" applyFont="1" applyFill="1" applyAlignment="1">
      <alignment horizontal="right" vertical="center"/>
    </xf>
    <xf numFmtId="0" fontId="94" fillId="47" borderId="98" xfId="144" applyFont="1" applyFill="1" applyBorder="1" applyAlignment="1">
      <alignment horizontal="center"/>
    </xf>
    <xf numFmtId="0" fontId="94" fillId="47" borderId="98" xfId="144" applyFont="1" applyFill="1" applyBorder="1" applyAlignment="1">
      <alignment horizontal="right" vertical="center"/>
    </xf>
    <xf numFmtId="4" fontId="286" fillId="47" borderId="98" xfId="144" applyNumberFormat="1" applyFont="1" applyFill="1" applyBorder="1" applyAlignment="1">
      <alignment horizontal="right" vertical="center"/>
    </xf>
    <xf numFmtId="4" fontId="15" fillId="51" borderId="98" xfId="23" applyNumberFormat="1" applyFont="1" applyFill="1" applyBorder="1" applyAlignment="1">
      <alignment horizontal="right" vertical="center"/>
    </xf>
    <xf numFmtId="4" fontId="15" fillId="47" borderId="0" xfId="144" applyNumberFormat="1" applyFont="1" applyFill="1" applyAlignment="1">
      <alignment horizontal="right" vertical="center"/>
    </xf>
    <xf numFmtId="4" fontId="15" fillId="47" borderId="98" xfId="144" applyNumberFormat="1" applyFont="1" applyFill="1" applyBorder="1" applyAlignment="1">
      <alignment horizontal="right" vertical="center"/>
    </xf>
    <xf numFmtId="3" fontId="9" fillId="0" borderId="0" xfId="20" applyNumberFormat="1" applyAlignment="1">
      <alignment vertical="center"/>
    </xf>
    <xf numFmtId="3" fontId="15" fillId="0" borderId="0" xfId="20" applyNumberFormat="1" applyFont="1" applyAlignment="1">
      <alignment vertical="center"/>
    </xf>
    <xf numFmtId="10" fontId="0" fillId="35" borderId="6" xfId="13" applyNumberFormat="1" applyFont="1" applyFill="1" applyBorder="1" applyAlignment="1">
      <alignment horizontal="center"/>
    </xf>
    <xf numFmtId="9" fontId="0" fillId="35" borderId="0" xfId="0" applyNumberFormat="1" applyFill="1"/>
    <xf numFmtId="0" fontId="39" fillId="35" borderId="4" xfId="0" applyFont="1" applyFill="1" applyBorder="1" applyAlignment="1">
      <alignment horizontal="center"/>
    </xf>
    <xf numFmtId="10" fontId="39" fillId="35" borderId="6" xfId="13" applyNumberFormat="1" applyFont="1" applyFill="1" applyBorder="1" applyAlignment="1">
      <alignment horizontal="center"/>
    </xf>
    <xf numFmtId="10" fontId="0" fillId="134" borderId="6" xfId="13" applyNumberFormat="1" applyFont="1" applyFill="1" applyBorder="1" applyAlignment="1">
      <alignment horizontal="center"/>
    </xf>
    <xf numFmtId="228" fontId="0" fillId="35" borderId="92" xfId="13" applyNumberFormat="1" applyFont="1" applyFill="1" applyBorder="1" applyAlignment="1">
      <alignment horizontal="center"/>
    </xf>
    <xf numFmtId="4" fontId="0" fillId="35" borderId="0" xfId="0" applyNumberFormat="1" applyFill="1" applyAlignment="1">
      <alignment horizontal="center"/>
    </xf>
    <xf numFmtId="281" fontId="0" fillId="35" borderId="38" xfId="13" applyNumberFormat="1" applyFont="1" applyFill="1" applyBorder="1" applyAlignment="1">
      <alignment horizontal="center"/>
    </xf>
    <xf numFmtId="4" fontId="0" fillId="0" borderId="0" xfId="0" applyNumberFormat="1" applyAlignment="1">
      <alignment horizontal="center"/>
    </xf>
    <xf numFmtId="0" fontId="39" fillId="35" borderId="98" xfId="0" applyFont="1" applyFill="1" applyBorder="1" applyAlignment="1">
      <alignment horizontal="center"/>
    </xf>
    <xf numFmtId="0" fontId="0" fillId="35" borderId="98" xfId="0" applyFill="1" applyBorder="1"/>
    <xf numFmtId="0" fontId="10" fillId="35" borderId="98" xfId="0" applyFont="1" applyFill="1" applyBorder="1" applyAlignment="1">
      <alignment horizontal="left" vertical="center"/>
    </xf>
    <xf numFmtId="10" fontId="10" fillId="35" borderId="98" xfId="126" applyNumberFormat="1" applyFont="1" applyFill="1" applyBorder="1" applyAlignment="1">
      <alignment horizontal="center" vertical="center"/>
    </xf>
    <xf numFmtId="0" fontId="5" fillId="35" borderId="98" xfId="0" applyFont="1" applyFill="1" applyBorder="1"/>
    <xf numFmtId="165" fontId="9" fillId="0" borderId="0" xfId="14" applyFont="1" applyFill="1" applyBorder="1" applyAlignment="1" applyProtection="1">
      <alignment vertical="center"/>
    </xf>
    <xf numFmtId="165" fontId="9" fillId="0" borderId="0" xfId="14" applyFont="1" applyFill="1" applyBorder="1" applyAlignment="1" applyProtection="1"/>
    <xf numFmtId="165" fontId="10" fillId="0" borderId="0" xfId="14" applyFont="1" applyFill="1" applyBorder="1" applyAlignment="1" applyProtection="1">
      <alignment vertical="center"/>
    </xf>
    <xf numFmtId="165" fontId="10" fillId="0" borderId="0" xfId="14" applyFont="1" applyFill="1" applyBorder="1" applyAlignment="1" applyProtection="1">
      <alignment horizontal="center" vertical="center"/>
    </xf>
    <xf numFmtId="165" fontId="19" fillId="0" borderId="0" xfId="14" applyFont="1" applyFill="1" applyBorder="1" applyAlignment="1" applyProtection="1">
      <alignment vertical="center"/>
    </xf>
    <xf numFmtId="165" fontId="10" fillId="45" borderId="0" xfId="14" applyFont="1" applyFill="1" applyBorder="1" applyAlignment="1" applyProtection="1">
      <alignment vertical="center"/>
    </xf>
    <xf numFmtId="165" fontId="19" fillId="0" borderId="0" xfId="14" applyFont="1" applyFill="1" applyBorder="1" applyAlignment="1" applyProtection="1">
      <alignment horizontal="right" vertical="center"/>
    </xf>
    <xf numFmtId="0" fontId="0" fillId="0" borderId="98" xfId="0" applyBorder="1"/>
    <xf numFmtId="0" fontId="10" fillId="12" borderId="98" xfId="0" applyFont="1" applyFill="1" applyBorder="1" applyAlignment="1">
      <alignment horizontal="center" vertical="center" wrapText="1"/>
    </xf>
    <xf numFmtId="4" fontId="0" fillId="35" borderId="98" xfId="0" applyNumberFormat="1" applyFill="1" applyBorder="1"/>
    <xf numFmtId="175" fontId="9" fillId="0" borderId="0" xfId="14" applyNumberFormat="1" applyFont="1" applyFill="1" applyBorder="1" applyAlignment="1" applyProtection="1"/>
    <xf numFmtId="10" fontId="9" fillId="0" borderId="0" xfId="13" applyNumberFormat="1" applyFont="1" applyFill="1" applyBorder="1" applyAlignment="1" applyProtection="1">
      <alignment vertical="center"/>
    </xf>
    <xf numFmtId="165" fontId="0" fillId="47" borderId="4" xfId="14" applyFont="1" applyFill="1" applyBorder="1" applyAlignment="1">
      <alignment vertical="center"/>
    </xf>
    <xf numFmtId="0" fontId="9" fillId="47" borderId="0" xfId="0" applyFont="1" applyFill="1" applyAlignment="1">
      <alignment horizontal="center" vertical="center"/>
    </xf>
    <xf numFmtId="0" fontId="9" fillId="47" borderId="0" xfId="0" applyFont="1" applyFill="1" applyAlignment="1">
      <alignment vertical="center"/>
    </xf>
    <xf numFmtId="0" fontId="15" fillId="0" borderId="0" xfId="0" applyFont="1"/>
    <xf numFmtId="43" fontId="15" fillId="0" borderId="0" xfId="0" applyNumberFormat="1" applyFont="1"/>
    <xf numFmtId="43" fontId="22" fillId="0" borderId="0" xfId="0" applyNumberFormat="1" applyFont="1"/>
    <xf numFmtId="0" fontId="15" fillId="0" borderId="0" xfId="158" applyFont="1" applyAlignment="1">
      <alignment wrapText="1"/>
    </xf>
    <xf numFmtId="0" fontId="9" fillId="35" borderId="0" xfId="20" applyFill="1" applyAlignment="1">
      <alignment horizontal="center" vertical="center"/>
    </xf>
    <xf numFmtId="1" fontId="9" fillId="35" borderId="0" xfId="20" applyNumberFormat="1" applyFill="1" applyAlignment="1">
      <alignment horizontal="center" vertical="center"/>
    </xf>
    <xf numFmtId="8" fontId="9" fillId="35" borderId="0" xfId="20" applyNumberFormat="1" applyFill="1" applyAlignment="1">
      <alignment horizontal="center" vertical="center"/>
    </xf>
    <xf numFmtId="165" fontId="9" fillId="35" borderId="0" xfId="14" applyFill="1" applyBorder="1" applyAlignment="1">
      <alignment horizontal="center" vertical="center"/>
    </xf>
    <xf numFmtId="0" fontId="15" fillId="51" borderId="98" xfId="23" applyFont="1" applyFill="1" applyBorder="1" applyAlignment="1">
      <alignment horizontal="center" vertical="center"/>
    </xf>
    <xf numFmtId="361" fontId="9" fillId="0" borderId="0" xfId="14" applyNumberFormat="1" applyFont="1" applyFill="1" applyBorder="1" applyAlignment="1" applyProtection="1">
      <alignment vertical="center"/>
    </xf>
    <xf numFmtId="281" fontId="9" fillId="0" borderId="0" xfId="13" applyNumberFormat="1" applyFont="1" applyFill="1" applyBorder="1" applyAlignment="1" applyProtection="1">
      <alignment vertical="center"/>
    </xf>
    <xf numFmtId="165" fontId="91" fillId="0" borderId="0" xfId="14" applyFont="1" applyFill="1" applyBorder="1" applyAlignment="1" applyProtection="1">
      <alignment vertical="center"/>
    </xf>
    <xf numFmtId="361" fontId="91" fillId="0" borderId="0" xfId="14" applyNumberFormat="1" applyFont="1" applyFill="1" applyBorder="1" applyAlignment="1" applyProtection="1">
      <alignment vertical="center"/>
    </xf>
    <xf numFmtId="4" fontId="10" fillId="0" borderId="0" xfId="14" applyNumberFormat="1" applyFont="1" applyFill="1" applyBorder="1" applyAlignment="1" applyProtection="1">
      <alignment vertical="center"/>
    </xf>
    <xf numFmtId="43" fontId="9" fillId="0" borderId="0" xfId="153" applyNumberFormat="1" applyFont="1" applyAlignment="1">
      <alignment vertical="center"/>
    </xf>
    <xf numFmtId="165" fontId="9" fillId="0" borderId="0" xfId="14" applyFont="1" applyBorder="1"/>
    <xf numFmtId="43" fontId="9" fillId="0" borderId="0" xfId="158" applyNumberFormat="1"/>
    <xf numFmtId="0" fontId="284" fillId="35" borderId="0" xfId="0" applyFont="1" applyFill="1" applyAlignment="1">
      <alignment horizontal="center" vertical="center"/>
    </xf>
    <xf numFmtId="0" fontId="285" fillId="35" borderId="0" xfId="0" applyFont="1" applyFill="1" applyAlignment="1">
      <alignment vertical="center"/>
    </xf>
    <xf numFmtId="0" fontId="9" fillId="35" borderId="0" xfId="158" applyFill="1" applyAlignment="1">
      <alignment horizontal="right" vertical="center"/>
    </xf>
    <xf numFmtId="3" fontId="15" fillId="35" borderId="0" xfId="158" applyNumberFormat="1" applyFont="1" applyFill="1" applyAlignment="1">
      <alignment vertical="center"/>
    </xf>
    <xf numFmtId="199" fontId="15" fillId="35" borderId="0" xfId="158" applyNumberFormat="1" applyFont="1" applyFill="1" applyAlignment="1">
      <alignment vertical="center"/>
    </xf>
    <xf numFmtId="199" fontId="2" fillId="35" borderId="0" xfId="24038" applyNumberFormat="1" applyFill="1" applyAlignment="1">
      <alignment vertical="center"/>
    </xf>
    <xf numFmtId="199" fontId="9" fillId="35" borderId="0" xfId="158" applyNumberFormat="1" applyFill="1" applyAlignment="1">
      <alignment vertical="center"/>
    </xf>
    <xf numFmtId="4" fontId="2" fillId="35" borderId="0" xfId="24038" applyNumberFormat="1" applyFill="1" applyAlignment="1">
      <alignment vertical="center"/>
    </xf>
    <xf numFmtId="0" fontId="9" fillId="0" borderId="98" xfId="0" applyFont="1" applyBorder="1" applyAlignment="1">
      <alignment vertical="center"/>
    </xf>
    <xf numFmtId="0" fontId="9" fillId="0" borderId="98" xfId="0" applyFont="1" applyBorder="1" applyAlignment="1">
      <alignment horizontal="center" vertical="center"/>
    </xf>
    <xf numFmtId="0" fontId="9" fillId="0" borderId="98" xfId="0" applyFont="1" applyBorder="1" applyAlignment="1">
      <alignment horizontal="center"/>
    </xf>
    <xf numFmtId="174" fontId="9" fillId="0" borderId="98" xfId="14" applyNumberFormat="1" applyFont="1" applyBorder="1" applyAlignment="1">
      <alignment vertical="center"/>
    </xf>
    <xf numFmtId="174" fontId="9" fillId="0" borderId="98" xfId="0" applyNumberFormat="1" applyFont="1" applyBorder="1" applyAlignment="1">
      <alignment vertical="center"/>
    </xf>
    <xf numFmtId="44" fontId="9" fillId="0" borderId="0" xfId="0" applyNumberFormat="1" applyFont="1"/>
    <xf numFmtId="165" fontId="9" fillId="0" borderId="0" xfId="14" applyFont="1"/>
    <xf numFmtId="174" fontId="297" fillId="0" borderId="98" xfId="0" applyNumberFormat="1" applyFont="1" applyBorder="1" applyAlignment="1">
      <alignment vertical="center"/>
    </xf>
    <xf numFmtId="44" fontId="9" fillId="0" borderId="98" xfId="0" applyNumberFormat="1" applyFont="1" applyBorder="1" applyAlignment="1">
      <alignment vertical="center"/>
    </xf>
    <xf numFmtId="350" fontId="277" fillId="35" borderId="0" xfId="0" applyNumberFormat="1" applyFont="1" applyFill="1" applyAlignment="1">
      <alignment horizontal="center" vertical="center"/>
    </xf>
    <xf numFmtId="165" fontId="0" fillId="35" borderId="0" xfId="14" applyFont="1" applyFill="1"/>
    <xf numFmtId="0" fontId="32" fillId="35" borderId="0" xfId="0" applyFont="1" applyFill="1"/>
    <xf numFmtId="0" fontId="39" fillId="35" borderId="100" xfId="0" applyFont="1" applyFill="1" applyBorder="1" applyAlignment="1">
      <alignment vertical="center"/>
    </xf>
    <xf numFmtId="0" fontId="39" fillId="35" borderId="99" xfId="0" applyFont="1" applyFill="1" applyBorder="1" applyAlignment="1">
      <alignment vertical="center"/>
    </xf>
    <xf numFmtId="174" fontId="39" fillId="35" borderId="101" xfId="0" applyNumberFormat="1" applyFont="1" applyFill="1" applyBorder="1" applyAlignment="1">
      <alignment vertical="center"/>
    </xf>
    <xf numFmtId="3" fontId="9" fillId="0" borderId="0" xfId="153" applyNumberFormat="1" applyFont="1" applyAlignment="1">
      <alignment vertical="center"/>
    </xf>
    <xf numFmtId="4" fontId="0" fillId="35" borderId="0" xfId="0" applyNumberFormat="1" applyFill="1"/>
    <xf numFmtId="0" fontId="9" fillId="35" borderId="39" xfId="20" applyFill="1" applyBorder="1" applyAlignment="1">
      <alignment horizontal="left" vertical="center" indent="3"/>
    </xf>
    <xf numFmtId="0" fontId="9" fillId="35" borderId="9" xfId="20" applyFill="1" applyBorder="1" applyAlignment="1">
      <alignment horizontal="centerContinuous" vertical="center"/>
    </xf>
    <xf numFmtId="4" fontId="9" fillId="35" borderId="9" xfId="20" applyNumberFormat="1" applyFill="1" applyBorder="1" applyAlignment="1">
      <alignment vertical="center"/>
    </xf>
    <xf numFmtId="0" fontId="9" fillId="35" borderId="98" xfId="20" applyFill="1" applyBorder="1" applyAlignment="1">
      <alignment horizontal="centerContinuous" vertical="center"/>
    </xf>
    <xf numFmtId="4" fontId="9" fillId="35" borderId="98" xfId="20" applyNumberFormat="1" applyFill="1" applyBorder="1" applyAlignment="1">
      <alignment vertical="center"/>
    </xf>
    <xf numFmtId="0" fontId="10" fillId="0" borderId="0" xfId="153" applyFont="1" applyAlignment="1">
      <alignment horizontal="center" vertical="center"/>
    </xf>
    <xf numFmtId="165" fontId="10" fillId="0" borderId="0" xfId="153" applyNumberFormat="1" applyFont="1" applyAlignment="1">
      <alignment vertical="center"/>
    </xf>
    <xf numFmtId="165" fontId="9" fillId="134" borderId="0" xfId="14" applyFont="1" applyFill="1" applyBorder="1" applyAlignment="1" applyProtection="1">
      <alignment vertical="center"/>
    </xf>
    <xf numFmtId="0" fontId="91" fillId="0" borderId="0" xfId="153" applyFont="1" applyAlignment="1">
      <alignment vertical="center"/>
    </xf>
    <xf numFmtId="0" fontId="0" fillId="136" borderId="0" xfId="0" applyFill="1"/>
    <xf numFmtId="0" fontId="9" fillId="0" borderId="0" xfId="20" applyAlignment="1">
      <alignment horizontal="right"/>
    </xf>
    <xf numFmtId="165" fontId="9" fillId="0" borderId="0" xfId="20" applyNumberFormat="1" applyAlignment="1">
      <alignment horizontal="center" vertical="center"/>
    </xf>
    <xf numFmtId="43" fontId="0" fillId="0" borderId="0" xfId="0" applyNumberFormat="1" applyAlignment="1">
      <alignment vertical="center"/>
    </xf>
    <xf numFmtId="281" fontId="10" fillId="35" borderId="0" xfId="13" applyNumberFormat="1" applyFont="1" applyFill="1" applyBorder="1" applyAlignment="1">
      <alignment horizontal="center"/>
    </xf>
    <xf numFmtId="3" fontId="9" fillId="0" borderId="0" xfId="153" applyNumberFormat="1" applyFont="1"/>
    <xf numFmtId="3" fontId="9" fillId="0" borderId="0" xfId="13" applyNumberFormat="1" applyFont="1" applyFill="1" applyBorder="1" applyAlignment="1" applyProtection="1"/>
    <xf numFmtId="3" fontId="10" fillId="0" borderId="47" xfId="153" applyNumberFormat="1" applyFont="1" applyBorder="1" applyAlignment="1">
      <alignment horizontal="center" vertical="center"/>
    </xf>
    <xf numFmtId="4" fontId="0" fillId="47" borderId="0" xfId="0" applyNumberFormat="1" applyFill="1" applyAlignment="1">
      <alignment vertical="center"/>
    </xf>
    <xf numFmtId="0" fontId="284" fillId="0" borderId="98" xfId="0" applyFont="1" applyBorder="1" applyAlignment="1">
      <alignment horizontal="center" vertical="center"/>
    </xf>
    <xf numFmtId="43" fontId="0" fillId="0" borderId="98" xfId="0" applyNumberFormat="1" applyBorder="1" applyAlignment="1">
      <alignment vertical="center"/>
    </xf>
    <xf numFmtId="0" fontId="285" fillId="0" borderId="98" xfId="0" applyFont="1" applyBorder="1" applyAlignment="1">
      <alignment vertical="center"/>
    </xf>
    <xf numFmtId="0" fontId="0" fillId="0" borderId="92" xfId="0" applyBorder="1" applyAlignment="1">
      <alignment vertical="center"/>
    </xf>
    <xf numFmtId="4" fontId="0" fillId="0" borderId="6" xfId="0" applyNumberFormat="1" applyBorder="1" applyAlignment="1">
      <alignment vertical="center"/>
    </xf>
    <xf numFmtId="0" fontId="9" fillId="35" borderId="29" xfId="153" applyFont="1" applyFill="1" applyBorder="1" applyAlignment="1">
      <alignment horizontal="justify" vertical="center" wrapText="1"/>
    </xf>
    <xf numFmtId="10" fontId="9" fillId="0" borderId="0" xfId="153" applyNumberFormat="1" applyFont="1" applyAlignment="1">
      <alignment horizontal="center" vertical="center"/>
    </xf>
    <xf numFmtId="0" fontId="9" fillId="134" borderId="18" xfId="153" applyFont="1" applyFill="1" applyBorder="1" applyAlignment="1">
      <alignment vertical="center"/>
    </xf>
    <xf numFmtId="0" fontId="9" fillId="134" borderId="29" xfId="153" applyFont="1" applyFill="1" applyBorder="1" applyAlignment="1">
      <alignment vertical="center"/>
    </xf>
    <xf numFmtId="43" fontId="10" fillId="0" borderId="0" xfId="153" applyNumberFormat="1" applyFont="1" applyAlignment="1">
      <alignment vertical="center"/>
    </xf>
    <xf numFmtId="0" fontId="33" fillId="138" borderId="25" xfId="20" applyFont="1" applyFill="1" applyBorder="1" applyAlignment="1">
      <alignment horizontal="center" vertical="center" wrapText="1"/>
    </xf>
    <xf numFmtId="0" fontId="33" fillId="138" borderId="24" xfId="20" applyFont="1" applyFill="1" applyBorder="1" applyAlignment="1">
      <alignment horizontal="center" vertical="center"/>
    </xf>
    <xf numFmtId="0" fontId="33" fillId="138" borderId="27" xfId="20" applyFont="1" applyFill="1" applyBorder="1" applyAlignment="1">
      <alignment horizontal="center" vertical="center"/>
    </xf>
    <xf numFmtId="0" fontId="33" fillId="138" borderId="24" xfId="20" applyFont="1" applyFill="1" applyBorder="1" applyAlignment="1">
      <alignment horizontal="left" vertical="center" wrapText="1"/>
    </xf>
    <xf numFmtId="165" fontId="33" fillId="138" borderId="24" xfId="14" applyFont="1" applyFill="1" applyBorder="1" applyProtection="1"/>
    <xf numFmtId="165" fontId="33" fillId="138" borderId="27" xfId="14" applyFont="1" applyFill="1" applyBorder="1" applyProtection="1"/>
    <xf numFmtId="165" fontId="33" fillId="138" borderId="51" xfId="14" applyFont="1" applyFill="1" applyBorder="1" applyProtection="1"/>
    <xf numFmtId="0" fontId="9" fillId="0" borderId="29" xfId="20" applyBorder="1"/>
    <xf numFmtId="0" fontId="9" fillId="139" borderId="0" xfId="0" applyFont="1" applyFill="1"/>
    <xf numFmtId="0" fontId="33" fillId="139" borderId="0" xfId="0" applyFont="1" applyFill="1"/>
    <xf numFmtId="0" fontId="0" fillId="139" borderId="0" xfId="0" applyFill="1"/>
    <xf numFmtId="0" fontId="9" fillId="140" borderId="0" xfId="0" applyFont="1" applyFill="1"/>
    <xf numFmtId="0" fontId="10" fillId="141" borderId="0" xfId="0" applyFont="1" applyFill="1"/>
    <xf numFmtId="0" fontId="9" fillId="141" borderId="0" xfId="0" applyFont="1" applyFill="1"/>
    <xf numFmtId="0" fontId="10" fillId="141" borderId="38" xfId="0" applyFont="1" applyFill="1" applyBorder="1"/>
    <xf numFmtId="0" fontId="9" fillId="142" borderId="0" xfId="158" applyFill="1" applyAlignment="1">
      <alignment vertical="center"/>
    </xf>
    <xf numFmtId="0" fontId="9" fillId="142" borderId="0" xfId="158" applyFill="1"/>
    <xf numFmtId="1" fontId="9" fillId="139" borderId="0" xfId="0" applyNumberFormat="1" applyFont="1" applyFill="1" applyAlignment="1">
      <alignment horizontal="center"/>
    </xf>
    <xf numFmtId="1" fontId="9" fillId="140" borderId="0" xfId="0" applyNumberFormat="1" applyFont="1" applyFill="1" applyAlignment="1">
      <alignment horizontal="center"/>
    </xf>
    <xf numFmtId="0" fontId="9" fillId="143" borderId="0" xfId="158" applyFill="1"/>
    <xf numFmtId="1" fontId="10" fillId="141" borderId="0" xfId="0" applyNumberFormat="1" applyFont="1" applyFill="1" applyAlignment="1">
      <alignment horizontal="center"/>
    </xf>
    <xf numFmtId="0" fontId="9" fillId="138" borderId="0" xfId="158" applyFill="1"/>
    <xf numFmtId="0" fontId="36" fillId="139" borderId="0" xfId="0" applyFont="1" applyFill="1"/>
    <xf numFmtId="0" fontId="36" fillId="140" borderId="0" xfId="0" applyFont="1" applyFill="1"/>
    <xf numFmtId="0" fontId="33" fillId="141" borderId="0" xfId="0" applyFont="1" applyFill="1"/>
    <xf numFmtId="0" fontId="0" fillId="142" borderId="0" xfId="0" applyFill="1"/>
    <xf numFmtId="3" fontId="18" fillId="142" borderId="0" xfId="0" applyNumberFormat="1" applyFont="1" applyFill="1"/>
    <xf numFmtId="307" fontId="9" fillId="139" borderId="0" xfId="0" applyNumberFormat="1" applyFont="1" applyFill="1"/>
    <xf numFmtId="0" fontId="9" fillId="142" borderId="0" xfId="0" applyFont="1" applyFill="1" applyAlignment="1">
      <alignment vertical="center"/>
    </xf>
    <xf numFmtId="0" fontId="9" fillId="142" borderId="0" xfId="0" applyFont="1" applyFill="1"/>
    <xf numFmtId="307" fontId="9" fillId="140" borderId="0" xfId="0" applyNumberFormat="1" applyFont="1" applyFill="1"/>
    <xf numFmtId="307" fontId="10" fillId="141" borderId="0" xfId="0" applyNumberFormat="1" applyFont="1" applyFill="1"/>
    <xf numFmtId="0" fontId="36" fillId="35" borderId="0" xfId="0" applyFont="1" applyFill="1"/>
    <xf numFmtId="0" fontId="36" fillId="0" borderId="0" xfId="0" applyFont="1"/>
    <xf numFmtId="0" fontId="10" fillId="140" borderId="0" xfId="0" applyFont="1" applyFill="1"/>
    <xf numFmtId="4" fontId="12" fillId="142" borderId="0" xfId="8" applyNumberFormat="1" applyFont="1" applyFill="1" applyAlignment="1">
      <alignment vertical="center"/>
    </xf>
    <xf numFmtId="0" fontId="36" fillId="35" borderId="0" xfId="9" applyFont="1" applyFill="1" applyAlignment="1">
      <alignment horizontal="center" vertical="center"/>
    </xf>
    <xf numFmtId="4" fontId="36" fillId="0" borderId="0" xfId="8" applyNumberFormat="1" applyFont="1" applyAlignment="1">
      <alignment vertical="center"/>
    </xf>
    <xf numFmtId="0" fontId="36" fillId="35" borderId="0" xfId="9" applyFont="1" applyFill="1" applyAlignment="1">
      <alignment horizontal="center"/>
    </xf>
    <xf numFmtId="0" fontId="33" fillId="35" borderId="0" xfId="9" applyFont="1" applyFill="1" applyAlignment="1">
      <alignment horizontal="center"/>
    </xf>
    <xf numFmtId="4" fontId="36" fillId="35" borderId="0" xfId="8" applyNumberFormat="1" applyFont="1" applyFill="1" applyAlignment="1">
      <alignment horizontal="center" vertical="center"/>
    </xf>
    <xf numFmtId="0" fontId="12" fillId="139" borderId="0" xfId="8" applyFont="1" applyFill="1"/>
    <xf numFmtId="0" fontId="33" fillId="141" borderId="4" xfId="8" applyFont="1" applyFill="1" applyBorder="1" applyAlignment="1">
      <alignment horizontal="centerContinuous" vertical="center"/>
    </xf>
    <xf numFmtId="0" fontId="33" fillId="141" borderId="0" xfId="8" applyFont="1" applyFill="1" applyAlignment="1">
      <alignment horizontal="centerContinuous" vertical="center"/>
    </xf>
    <xf numFmtId="49" fontId="36" fillId="141" borderId="0" xfId="8" applyNumberFormat="1" applyFont="1" applyFill="1" applyAlignment="1">
      <alignment horizontal="centerContinuous"/>
    </xf>
    <xf numFmtId="0" fontId="36" fillId="141" borderId="0" xfId="8" applyFont="1" applyFill="1" applyAlignment="1">
      <alignment horizontal="centerContinuous"/>
    </xf>
    <xf numFmtId="0" fontId="36" fillId="141" borderId="38" xfId="8" applyFont="1" applyFill="1" applyBorder="1" applyAlignment="1">
      <alignment horizontal="centerContinuous"/>
    </xf>
    <xf numFmtId="0" fontId="33" fillId="141" borderId="39" xfId="8" applyFont="1" applyFill="1" applyBorder="1"/>
    <xf numFmtId="0" fontId="36" fillId="141" borderId="9" xfId="8" applyFont="1" applyFill="1" applyBorder="1"/>
    <xf numFmtId="49" fontId="36" fillId="141" borderId="9" xfId="8" applyNumberFormat="1" applyFont="1" applyFill="1" applyBorder="1"/>
    <xf numFmtId="0" fontId="36" fillId="141" borderId="37" xfId="8" applyFont="1" applyFill="1" applyBorder="1"/>
    <xf numFmtId="0" fontId="9" fillId="142" borderId="0" xfId="20" applyFill="1" applyAlignment="1">
      <alignment vertical="center"/>
    </xf>
    <xf numFmtId="17" fontId="10" fillId="141" borderId="0" xfId="0" applyNumberFormat="1" applyFont="1" applyFill="1" applyAlignment="1">
      <alignment horizontal="center"/>
    </xf>
    <xf numFmtId="0" fontId="61" fillId="138" borderId="56" xfId="20" applyFont="1" applyFill="1" applyBorder="1" applyAlignment="1">
      <alignment horizontal="centerContinuous" vertical="center"/>
    </xf>
    <xf numFmtId="0" fontId="10" fillId="138" borderId="3" xfId="20" applyFont="1" applyFill="1" applyBorder="1" applyAlignment="1">
      <alignment horizontal="center" vertical="center"/>
    </xf>
    <xf numFmtId="4" fontId="33" fillId="138" borderId="56" xfId="20" applyNumberFormat="1" applyFont="1" applyFill="1" applyBorder="1" applyAlignment="1">
      <alignment vertical="center"/>
    </xf>
    <xf numFmtId="0" fontId="10" fillId="139" borderId="0" xfId="0" applyFont="1" applyFill="1"/>
    <xf numFmtId="0" fontId="21" fillId="35" borderId="0" xfId="20" applyFont="1" applyFill="1" applyAlignment="1">
      <alignment horizontal="center" vertical="center"/>
    </xf>
    <xf numFmtId="0" fontId="10" fillId="0" borderId="0" xfId="20" applyFont="1" applyAlignment="1">
      <alignment vertical="center"/>
    </xf>
    <xf numFmtId="0" fontId="10" fillId="138" borderId="9" xfId="20" applyFont="1" applyFill="1" applyBorder="1" applyAlignment="1">
      <alignment vertical="center"/>
    </xf>
    <xf numFmtId="0" fontId="10" fillId="138" borderId="37" xfId="20" applyFont="1" applyFill="1" applyBorder="1" applyAlignment="1">
      <alignment vertical="center"/>
    </xf>
    <xf numFmtId="17" fontId="10" fillId="35" borderId="0" xfId="8" applyNumberFormat="1" applyFont="1" applyFill="1"/>
    <xf numFmtId="194" fontId="10" fillId="35" borderId="0" xfId="8" applyNumberFormat="1" applyFont="1" applyFill="1"/>
    <xf numFmtId="0" fontId="10" fillId="35" borderId="0" xfId="8" applyFont="1" applyFill="1"/>
    <xf numFmtId="0" fontId="0" fillId="138" borderId="4" xfId="0" applyFill="1" applyBorder="1"/>
    <xf numFmtId="0" fontId="0" fillId="138" borderId="0" xfId="0" applyFill="1"/>
    <xf numFmtId="0" fontId="0" fillId="138" borderId="38" xfId="0" applyFill="1" applyBorder="1"/>
    <xf numFmtId="0" fontId="5" fillId="142" borderId="0" xfId="0" applyFont="1" applyFill="1"/>
    <xf numFmtId="0" fontId="5" fillId="143" borderId="0" xfId="0" applyFont="1" applyFill="1"/>
    <xf numFmtId="0" fontId="36" fillId="138" borderId="6" xfId="0" applyFont="1" applyFill="1" applyBorder="1"/>
    <xf numFmtId="0" fontId="9" fillId="142" borderId="0" xfId="9" applyFill="1"/>
    <xf numFmtId="0" fontId="33" fillId="139" borderId="0" xfId="0" applyFont="1" applyFill="1" applyAlignment="1">
      <alignment horizontal="center" vertical="center"/>
    </xf>
    <xf numFmtId="0" fontId="9" fillId="139" borderId="0" xfId="0" applyFont="1" applyFill="1" applyAlignment="1">
      <alignment wrapText="1"/>
    </xf>
    <xf numFmtId="0" fontId="9" fillId="139" borderId="0" xfId="0" applyFont="1" applyFill="1" applyAlignment="1">
      <alignment horizontal="right" vertical="center"/>
    </xf>
    <xf numFmtId="4" fontId="9" fillId="139" borderId="0" xfId="0" applyNumberFormat="1" applyFont="1" applyFill="1"/>
    <xf numFmtId="0" fontId="9" fillId="139" borderId="0" xfId="23" applyFill="1" applyAlignment="1">
      <alignment vertical="center"/>
    </xf>
    <xf numFmtId="0" fontId="9" fillId="140" borderId="0" xfId="0" applyFont="1" applyFill="1" applyAlignment="1">
      <alignment horizontal="center" vertical="center"/>
    </xf>
    <xf numFmtId="0" fontId="9" fillId="140" borderId="0" xfId="0" applyFont="1" applyFill="1" applyAlignment="1">
      <alignment wrapText="1"/>
    </xf>
    <xf numFmtId="0" fontId="9" fillId="140" borderId="0" xfId="0" applyFont="1" applyFill="1" applyAlignment="1">
      <alignment horizontal="right" vertical="center"/>
    </xf>
    <xf numFmtId="4" fontId="9" fillId="140" borderId="0" xfId="0" applyNumberFormat="1" applyFont="1" applyFill="1"/>
    <xf numFmtId="0" fontId="10" fillId="141" borderId="0" xfId="0" applyFont="1" applyFill="1" applyAlignment="1">
      <alignment horizontal="center" vertical="center"/>
    </xf>
    <xf numFmtId="0" fontId="10" fillId="141" borderId="0" xfId="0" applyFont="1" applyFill="1" applyAlignment="1">
      <alignment wrapText="1"/>
    </xf>
    <xf numFmtId="0" fontId="10" fillId="141" borderId="0" xfId="0" applyFont="1" applyFill="1" applyAlignment="1">
      <alignment horizontal="right" vertical="center"/>
    </xf>
    <xf numFmtId="4" fontId="10" fillId="141" borderId="0" xfId="0" applyNumberFormat="1" applyFont="1" applyFill="1"/>
    <xf numFmtId="0" fontId="33" fillId="141" borderId="9" xfId="144" applyFont="1" applyFill="1" applyBorder="1" applyAlignment="1">
      <alignment horizontal="center"/>
    </xf>
    <xf numFmtId="0" fontId="33" fillId="141" borderId="4" xfId="144" applyFont="1" applyFill="1" applyBorder="1" applyAlignment="1">
      <alignment vertical="center"/>
    </xf>
    <xf numFmtId="0" fontId="101" fillId="141" borderId="0" xfId="144" applyFont="1" applyFill="1" applyAlignment="1">
      <alignment wrapText="1"/>
    </xf>
    <xf numFmtId="0" fontId="33" fillId="141" borderId="0" xfId="144" applyFont="1" applyFill="1" applyAlignment="1">
      <alignment horizontal="center"/>
    </xf>
    <xf numFmtId="4" fontId="36" fillId="141" borderId="0" xfId="144" applyNumberFormat="1" applyFont="1" applyFill="1" applyAlignment="1">
      <alignment horizontal="right" vertical="center"/>
    </xf>
    <xf numFmtId="0" fontId="101" fillId="141" borderId="0" xfId="144" applyFont="1" applyFill="1" applyAlignment="1">
      <alignment horizontal="right" vertical="center"/>
    </xf>
    <xf numFmtId="4" fontId="101" fillId="141" borderId="38" xfId="144" applyNumberFormat="1" applyFont="1" applyFill="1" applyBorder="1" applyAlignment="1">
      <alignment horizontal="right" vertical="center"/>
    </xf>
    <xf numFmtId="0" fontId="36" fillId="141" borderId="0" xfId="144" applyFont="1" applyFill="1" applyAlignment="1">
      <alignment wrapText="1"/>
    </xf>
    <xf numFmtId="3" fontId="33" fillId="141" borderId="0" xfId="144" applyNumberFormat="1" applyFont="1" applyFill="1" applyAlignment="1">
      <alignment horizontal="right" vertical="center"/>
    </xf>
    <xf numFmtId="4" fontId="33" fillId="141" borderId="38" xfId="144" applyNumberFormat="1" applyFont="1" applyFill="1" applyBorder="1" applyAlignment="1">
      <alignment horizontal="right" vertical="center"/>
    </xf>
    <xf numFmtId="0" fontId="33" fillId="141" borderId="39" xfId="144" applyFont="1" applyFill="1" applyBorder="1" applyAlignment="1">
      <alignment horizontal="center" vertical="center"/>
    </xf>
    <xf numFmtId="0" fontId="33" fillId="141" borderId="9" xfId="144" applyFont="1" applyFill="1" applyBorder="1" applyAlignment="1">
      <alignment wrapText="1"/>
    </xf>
    <xf numFmtId="4" fontId="33" fillId="141" borderId="9" xfId="144" applyNumberFormat="1" applyFont="1" applyFill="1" applyBorder="1" applyAlignment="1">
      <alignment horizontal="right" vertical="center"/>
    </xf>
    <xf numFmtId="4" fontId="36" fillId="141" borderId="37" xfId="144" applyNumberFormat="1" applyFont="1" applyFill="1" applyBorder="1" applyAlignment="1">
      <alignment horizontal="right" vertical="center"/>
    </xf>
    <xf numFmtId="0" fontId="302" fillId="141" borderId="90" xfId="23" applyFont="1" applyFill="1" applyBorder="1" applyAlignment="1">
      <alignment horizontal="left" vertical="center"/>
    </xf>
    <xf numFmtId="0" fontId="35" fillId="141" borderId="73" xfId="144" applyFont="1" applyFill="1" applyBorder="1" applyAlignment="1">
      <alignment wrapText="1"/>
    </xf>
    <xf numFmtId="0" fontId="101" fillId="141" borderId="73" xfId="144" applyFont="1" applyFill="1" applyBorder="1" applyAlignment="1">
      <alignment horizontal="center"/>
    </xf>
    <xf numFmtId="4" fontId="36" fillId="141" borderId="73" xfId="144" applyNumberFormat="1" applyFont="1" applyFill="1" applyBorder="1" applyAlignment="1">
      <alignment horizontal="right" vertical="center"/>
    </xf>
    <xf numFmtId="0" fontId="101" fillId="141" borderId="73" xfId="144" applyFont="1" applyFill="1" applyBorder="1" applyAlignment="1">
      <alignment horizontal="right" vertical="center"/>
    </xf>
    <xf numFmtId="4" fontId="101" fillId="141" borderId="56" xfId="144" applyNumberFormat="1" applyFont="1" applyFill="1" applyBorder="1" applyAlignment="1">
      <alignment horizontal="right" vertical="center"/>
    </xf>
    <xf numFmtId="0" fontId="33" fillId="141" borderId="4" xfId="144" applyFont="1" applyFill="1" applyBorder="1" applyAlignment="1">
      <alignment horizontal="left" vertical="center"/>
    </xf>
    <xf numFmtId="3" fontId="33" fillId="141" borderId="98" xfId="144" applyNumberFormat="1" applyFont="1" applyFill="1" applyBorder="1" applyAlignment="1">
      <alignment horizontal="center" vertical="center"/>
    </xf>
    <xf numFmtId="0" fontId="33" fillId="141" borderId="0" xfId="144" applyFont="1" applyFill="1" applyAlignment="1">
      <alignment wrapText="1"/>
    </xf>
    <xf numFmtId="0" fontId="33" fillId="141" borderId="0" xfId="144" applyFont="1" applyFill="1" applyAlignment="1">
      <alignment horizontal="right" vertical="center"/>
    </xf>
    <xf numFmtId="0" fontId="36" fillId="141" borderId="9" xfId="144" applyFont="1" applyFill="1" applyBorder="1" applyAlignment="1">
      <alignment wrapText="1"/>
    </xf>
    <xf numFmtId="4" fontId="36" fillId="141" borderId="9" xfId="144" applyNumberFormat="1" applyFont="1" applyFill="1" applyBorder="1" applyAlignment="1">
      <alignment horizontal="right" vertical="center"/>
    </xf>
    <xf numFmtId="0" fontId="33" fillId="141" borderId="9" xfId="144" applyFont="1" applyFill="1" applyBorder="1" applyAlignment="1">
      <alignment horizontal="right" vertical="center"/>
    </xf>
    <xf numFmtId="4" fontId="33" fillId="141" borderId="37" xfId="144" applyNumberFormat="1" applyFont="1" applyFill="1" applyBorder="1" applyAlignment="1">
      <alignment horizontal="right" vertical="center"/>
    </xf>
    <xf numFmtId="0" fontId="302" fillId="141" borderId="4" xfId="23" applyFont="1" applyFill="1" applyBorder="1" applyAlignment="1">
      <alignment horizontal="left" vertical="center"/>
    </xf>
    <xf numFmtId="0" fontId="36" fillId="141" borderId="0" xfId="144" applyFont="1" applyFill="1" applyAlignment="1">
      <alignment horizontal="left"/>
    </xf>
    <xf numFmtId="0" fontId="36" fillId="141" borderId="0" xfId="144" applyFont="1" applyFill="1" applyAlignment="1">
      <alignment horizontal="right" vertical="center"/>
    </xf>
    <xf numFmtId="4" fontId="33" fillId="141" borderId="0" xfId="144" applyNumberFormat="1" applyFont="1" applyFill="1" applyAlignment="1">
      <alignment horizontal="right" vertical="center"/>
    </xf>
    <xf numFmtId="4" fontId="36" fillId="141" borderId="38" xfId="144" applyNumberFormat="1" applyFont="1" applyFill="1" applyBorder="1" applyAlignment="1">
      <alignment horizontal="right" vertical="center"/>
    </xf>
    <xf numFmtId="0" fontId="35" fillId="141" borderId="39" xfId="23" applyFont="1" applyFill="1" applyBorder="1" applyAlignment="1">
      <alignment horizontal="center" vertical="center"/>
    </xf>
    <xf numFmtId="0" fontId="36" fillId="141" borderId="9" xfId="23" applyFont="1" applyFill="1" applyBorder="1" applyAlignment="1">
      <alignment vertical="center" wrapText="1"/>
    </xf>
    <xf numFmtId="4" fontId="36" fillId="141" borderId="9" xfId="23" applyNumberFormat="1" applyFont="1" applyFill="1" applyBorder="1" applyAlignment="1">
      <alignment horizontal="center" vertical="center"/>
    </xf>
    <xf numFmtId="0" fontId="36" fillId="141" borderId="9" xfId="23" applyFont="1" applyFill="1" applyBorder="1" applyAlignment="1">
      <alignment horizontal="right" vertical="center"/>
    </xf>
    <xf numFmtId="4" fontId="36" fillId="141" borderId="9" xfId="23" applyNumberFormat="1" applyFont="1" applyFill="1" applyBorder="1" applyAlignment="1">
      <alignment horizontal="right" vertical="center"/>
    </xf>
    <xf numFmtId="4" fontId="36" fillId="141" borderId="37" xfId="23" applyNumberFormat="1" applyFont="1" applyFill="1" applyBorder="1" applyAlignment="1">
      <alignment horizontal="right" vertical="center"/>
    </xf>
    <xf numFmtId="0" fontId="12" fillId="142" borderId="0" xfId="0" applyFont="1" applyFill="1" applyAlignment="1">
      <alignment vertical="center"/>
    </xf>
    <xf numFmtId="4" fontId="33" fillId="138" borderId="6" xfId="7" applyNumberFormat="1" applyFont="1" applyFill="1" applyBorder="1" applyAlignment="1">
      <alignment horizontal="center" vertical="center" wrapText="1"/>
    </xf>
    <xf numFmtId="0" fontId="99" fillId="138" borderId="6" xfId="7" applyFont="1" applyFill="1" applyBorder="1" applyAlignment="1">
      <alignment horizontal="left" vertical="center"/>
    </xf>
    <xf numFmtId="0" fontId="36" fillId="138" borderId="0" xfId="0" applyFont="1" applyFill="1" applyAlignment="1">
      <alignment vertical="center"/>
    </xf>
    <xf numFmtId="3" fontId="34" fillId="138" borderId="3" xfId="7" applyNumberFormat="1" applyFont="1" applyFill="1" applyBorder="1" applyAlignment="1">
      <alignment horizontal="center" vertical="center" wrapText="1"/>
    </xf>
    <xf numFmtId="4" fontId="34" fillId="138" borderId="3" xfId="7" applyNumberFormat="1" applyFont="1" applyFill="1" applyBorder="1" applyAlignment="1">
      <alignment horizontal="center" vertical="center" wrapText="1"/>
    </xf>
    <xf numFmtId="0" fontId="34" fillId="138" borderId="3" xfId="7" applyFont="1" applyFill="1" applyBorder="1" applyAlignment="1">
      <alignment horizontal="center" vertical="center" wrapText="1"/>
    </xf>
    <xf numFmtId="10" fontId="34" fillId="138" borderId="3" xfId="13" applyNumberFormat="1" applyFont="1" applyFill="1" applyBorder="1" applyAlignment="1">
      <alignment horizontal="center" vertical="center" wrapText="1"/>
    </xf>
    <xf numFmtId="0" fontId="33" fillId="138" borderId="6" xfId="10" applyFont="1" applyFill="1" applyBorder="1" applyAlignment="1">
      <alignment horizontal="center" vertical="center"/>
    </xf>
    <xf numFmtId="4" fontId="34" fillId="138" borderId="3" xfId="7" applyNumberFormat="1" applyFont="1" applyFill="1" applyBorder="1" applyAlignment="1">
      <alignment horizontal="right" vertical="center"/>
    </xf>
    <xf numFmtId="4" fontId="33" fillId="138" borderId="6" xfId="10" applyNumberFormat="1" applyFont="1" applyFill="1" applyBorder="1" applyAlignment="1">
      <alignment horizontal="center" vertical="center"/>
    </xf>
    <xf numFmtId="3" fontId="36" fillId="138" borderId="6" xfId="7" applyNumberFormat="1" applyFont="1" applyFill="1" applyBorder="1" applyAlignment="1">
      <alignment horizontal="right" vertical="center"/>
    </xf>
    <xf numFmtId="1" fontId="36" fillId="138" borderId="6" xfId="0" applyNumberFormat="1" applyFont="1" applyFill="1" applyBorder="1" applyAlignment="1">
      <alignment vertical="center"/>
    </xf>
    <xf numFmtId="0" fontId="33" fillId="138" borderId="6" xfId="7" applyFont="1" applyFill="1" applyBorder="1" applyAlignment="1">
      <alignment horizontal="centerContinuous" vertical="center"/>
    </xf>
    <xf numFmtId="0" fontId="36" fillId="138" borderId="6" xfId="0" applyFont="1" applyFill="1" applyBorder="1" applyAlignment="1">
      <alignment horizontal="centerContinuous" vertical="center"/>
    </xf>
    <xf numFmtId="4" fontId="36" fillId="138" borderId="6" xfId="0" applyNumberFormat="1" applyFont="1" applyFill="1" applyBorder="1" applyAlignment="1">
      <alignment horizontal="centerContinuous" vertical="center"/>
    </xf>
    <xf numFmtId="0" fontId="305" fillId="138" borderId="6" xfId="7" applyFont="1" applyFill="1" applyBorder="1" applyAlignment="1">
      <alignment horizontal="centerContinuous" vertical="center"/>
    </xf>
    <xf numFmtId="4" fontId="36" fillId="138" borderId="6" xfId="10" applyNumberFormat="1" applyFont="1" applyFill="1" applyBorder="1" applyAlignment="1">
      <alignment horizontal="center" vertical="center"/>
    </xf>
    <xf numFmtId="0" fontId="15" fillId="139" borderId="0" xfId="0" applyFont="1" applyFill="1" applyAlignment="1">
      <alignment horizontal="center"/>
    </xf>
    <xf numFmtId="0" fontId="15" fillId="140" borderId="0" xfId="0" applyFont="1" applyFill="1" applyAlignment="1">
      <alignment horizontal="center"/>
    </xf>
    <xf numFmtId="0" fontId="22" fillId="141" borderId="0" xfId="0" applyFont="1" applyFill="1" applyAlignment="1">
      <alignment horizontal="center"/>
    </xf>
    <xf numFmtId="0" fontId="278" fillId="138" borderId="92" xfId="20" applyFont="1" applyFill="1" applyBorder="1" applyAlignment="1">
      <alignment horizontal="center" vertical="center"/>
    </xf>
    <xf numFmtId="0" fontId="278" fillId="138" borderId="3" xfId="20" applyFont="1" applyFill="1" applyBorder="1" applyAlignment="1">
      <alignment horizontal="center" vertical="center"/>
    </xf>
    <xf numFmtId="0" fontId="278" fillId="138" borderId="6" xfId="7" applyFont="1" applyFill="1" applyBorder="1" applyAlignment="1">
      <alignment horizontal="center" vertical="center"/>
    </xf>
    <xf numFmtId="3" fontId="278" fillId="138" borderId="3" xfId="7" applyNumberFormat="1" applyFont="1" applyFill="1" applyBorder="1" applyAlignment="1">
      <alignment horizontal="right" vertical="center" wrapText="1"/>
    </xf>
    <xf numFmtId="0" fontId="278" fillId="138" borderId="3" xfId="7" applyFont="1" applyFill="1" applyBorder="1" applyAlignment="1">
      <alignment horizontal="center" vertical="center" wrapText="1"/>
    </xf>
    <xf numFmtId="3" fontId="278" fillId="138" borderId="37" xfId="7" applyNumberFormat="1" applyFont="1" applyFill="1" applyBorder="1" applyAlignment="1">
      <alignment horizontal="right" vertical="center" wrapText="1"/>
    </xf>
    <xf numFmtId="0" fontId="278" fillId="138" borderId="38" xfId="7" applyFont="1" applyFill="1" applyBorder="1" applyAlignment="1">
      <alignment horizontal="center" vertical="center"/>
    </xf>
    <xf numFmtId="0" fontId="36" fillId="138" borderId="6" xfId="20" applyFont="1" applyFill="1" applyBorder="1" applyAlignment="1">
      <alignment vertical="center"/>
    </xf>
    <xf numFmtId="0" fontId="9" fillId="139" borderId="0" xfId="0" applyFont="1" applyFill="1" applyAlignment="1">
      <alignment horizontal="center"/>
    </xf>
    <xf numFmtId="0" fontId="0" fillId="139" borderId="0" xfId="0" applyFill="1" applyAlignment="1">
      <alignment vertical="center"/>
    </xf>
    <xf numFmtId="0" fontId="9" fillId="140" borderId="0" xfId="0" applyFont="1" applyFill="1" applyAlignment="1">
      <alignment horizontal="center"/>
    </xf>
    <xf numFmtId="0" fontId="10" fillId="141" borderId="0" xfId="0" applyFont="1" applyFill="1" applyAlignment="1">
      <alignment horizontal="center"/>
    </xf>
    <xf numFmtId="0" fontId="36" fillId="141" borderId="0" xfId="0" applyFont="1" applyFill="1" applyAlignment="1">
      <alignment vertical="center"/>
    </xf>
    <xf numFmtId="0" fontId="9" fillId="139" borderId="0" xfId="20" applyFill="1" applyAlignment="1">
      <alignment vertical="center"/>
    </xf>
    <xf numFmtId="1" fontId="9" fillId="139" borderId="0" xfId="0" applyNumberFormat="1" applyFont="1" applyFill="1"/>
    <xf numFmtId="0" fontId="33" fillId="139" borderId="0" xfId="0" applyFont="1" applyFill="1" applyAlignment="1">
      <alignment wrapText="1"/>
    </xf>
    <xf numFmtId="0" fontId="8" fillId="142" borderId="0" xfId="21" applyFill="1" applyAlignment="1">
      <alignment vertical="center"/>
    </xf>
    <xf numFmtId="1" fontId="9" fillId="140" borderId="0" xfId="0" applyNumberFormat="1" applyFont="1" applyFill="1"/>
    <xf numFmtId="0" fontId="8" fillId="143" borderId="0" xfId="21" applyFill="1" applyAlignment="1">
      <alignment vertical="center"/>
    </xf>
    <xf numFmtId="1" fontId="10" fillId="141" borderId="0" xfId="0" applyNumberFormat="1" applyFont="1" applyFill="1"/>
    <xf numFmtId="0" fontId="8" fillId="138" borderId="0" xfId="21" applyFill="1" applyAlignment="1">
      <alignment vertical="center"/>
    </xf>
    <xf numFmtId="1" fontId="301" fillId="138" borderId="0" xfId="21" applyNumberFormat="1" applyFont="1" applyFill="1" applyAlignment="1">
      <alignment horizontal="center" vertical="center"/>
    </xf>
    <xf numFmtId="0" fontId="301" fillId="138" borderId="0" xfId="21" applyFont="1" applyFill="1" applyAlignment="1">
      <alignment vertical="center" wrapText="1"/>
    </xf>
    <xf numFmtId="0" fontId="301" fillId="138" borderId="0" xfId="21" applyFont="1" applyFill="1" applyAlignment="1">
      <alignment horizontal="center" vertical="center"/>
    </xf>
    <xf numFmtId="4" fontId="301" fillId="138" borderId="0" xfId="21" applyNumberFormat="1" applyFont="1" applyFill="1" applyAlignment="1">
      <alignment horizontal="center" vertical="center" wrapText="1"/>
    </xf>
    <xf numFmtId="4" fontId="36" fillId="138" borderId="90" xfId="0" applyNumberFormat="1" applyFont="1" applyFill="1" applyBorder="1" applyAlignment="1">
      <alignment vertical="center"/>
    </xf>
    <xf numFmtId="4" fontId="36" fillId="138" borderId="92" xfId="0" applyNumberFormat="1" applyFont="1" applyFill="1" applyBorder="1" applyAlignment="1">
      <alignment horizontal="center" vertical="center"/>
    </xf>
    <xf numFmtId="0" fontId="36" fillId="138" borderId="0" xfId="0" applyFont="1" applyFill="1"/>
    <xf numFmtId="0" fontId="36" fillId="138" borderId="4" xfId="0" applyFont="1" applyFill="1" applyBorder="1"/>
    <xf numFmtId="4" fontId="101" fillId="138" borderId="6" xfId="0" applyNumberFormat="1" applyFont="1" applyFill="1" applyBorder="1" applyAlignment="1">
      <alignment horizontal="center"/>
    </xf>
    <xf numFmtId="4" fontId="306" fillId="138" borderId="98" xfId="0" applyNumberFormat="1" applyFont="1" applyFill="1" applyBorder="1" applyAlignment="1">
      <alignment horizontal="center" vertical="center"/>
    </xf>
    <xf numFmtId="10" fontId="36" fillId="138" borderId="98" xfId="13" applyNumberFormat="1" applyFont="1" applyFill="1" applyBorder="1" applyAlignment="1">
      <alignment horizontal="center"/>
    </xf>
    <xf numFmtId="10" fontId="306" fillId="138" borderId="98" xfId="13" applyNumberFormat="1" applyFont="1" applyFill="1" applyBorder="1" applyAlignment="1">
      <alignment horizontal="center" vertical="center"/>
    </xf>
    <xf numFmtId="10" fontId="36" fillId="138" borderId="0" xfId="0" applyNumberFormat="1" applyFont="1" applyFill="1"/>
    <xf numFmtId="0" fontId="0" fillId="142" borderId="0" xfId="0" applyFill="1" applyAlignment="1">
      <alignment vertical="center"/>
    </xf>
    <xf numFmtId="0" fontId="308" fillId="138" borderId="98" xfId="0" applyFont="1" applyFill="1" applyBorder="1" applyAlignment="1">
      <alignment horizontal="center" vertical="center"/>
    </xf>
    <xf numFmtId="165" fontId="10" fillId="138" borderId="98" xfId="0" applyNumberFormat="1" applyFont="1" applyFill="1" applyBorder="1" applyAlignment="1">
      <alignment vertical="center"/>
    </xf>
    <xf numFmtId="0" fontId="33" fillId="138" borderId="6" xfId="0" applyFont="1" applyFill="1" applyBorder="1" applyAlignment="1">
      <alignment vertical="center"/>
    </xf>
    <xf numFmtId="165" fontId="33" fillId="138" borderId="98" xfId="0" applyNumberFormat="1" applyFont="1" applyFill="1" applyBorder="1" applyAlignment="1">
      <alignment vertical="center"/>
    </xf>
    <xf numFmtId="165" fontId="33" fillId="138" borderId="6" xfId="0" applyNumberFormat="1" applyFont="1" applyFill="1" applyBorder="1" applyAlignment="1">
      <alignment vertical="center"/>
    </xf>
    <xf numFmtId="165" fontId="33" fillId="138" borderId="98" xfId="14" applyFont="1" applyFill="1" applyBorder="1" applyAlignment="1">
      <alignment vertical="center"/>
    </xf>
    <xf numFmtId="0" fontId="96" fillId="138" borderId="98" xfId="0" applyFont="1" applyFill="1" applyBorder="1" applyAlignment="1">
      <alignment horizontal="center" vertical="center"/>
    </xf>
    <xf numFmtId="0" fontId="96" fillId="138" borderId="0" xfId="0" applyFont="1" applyFill="1" applyAlignment="1">
      <alignment horizontal="center" vertical="center" wrapText="1"/>
    </xf>
    <xf numFmtId="0" fontId="34" fillId="138" borderId="98" xfId="0" applyFont="1" applyFill="1" applyBorder="1" applyAlignment="1">
      <alignment horizontal="center" vertical="center" wrapText="1"/>
    </xf>
    <xf numFmtId="0" fontId="96" fillId="138" borderId="101" xfId="0" applyFont="1" applyFill="1" applyBorder="1" applyAlignment="1">
      <alignment horizontal="centerContinuous" vertical="center"/>
    </xf>
    <xf numFmtId="0" fontId="33" fillId="138" borderId="98" xfId="0" applyFont="1" applyFill="1" applyBorder="1" applyAlignment="1">
      <alignment horizontal="center"/>
    </xf>
    <xf numFmtId="0" fontId="33" fillId="138" borderId="98" xfId="0" applyFont="1" applyFill="1" applyBorder="1" applyAlignment="1">
      <alignment horizontal="center" vertical="center"/>
    </xf>
    <xf numFmtId="0" fontId="96" fillId="138" borderId="100" xfId="0" applyFont="1" applyFill="1" applyBorder="1" applyAlignment="1">
      <alignment horizontal="center" vertical="center"/>
    </xf>
    <xf numFmtId="0" fontId="96" fillId="138" borderId="99" xfId="0" applyFont="1" applyFill="1" applyBorder="1"/>
    <xf numFmtId="174" fontId="96" fillId="138" borderId="98" xfId="0" applyNumberFormat="1" applyFont="1" applyFill="1" applyBorder="1" applyAlignment="1">
      <alignment vertical="center"/>
    </xf>
    <xf numFmtId="0" fontId="96" fillId="142" borderId="24" xfId="153" applyFont="1" applyFill="1" applyBorder="1" applyAlignment="1">
      <alignment horizontal="center" vertical="center"/>
    </xf>
    <xf numFmtId="0" fontId="96" fillId="142" borderId="24" xfId="153" applyFont="1" applyFill="1" applyBorder="1" applyAlignment="1">
      <alignment vertical="center"/>
    </xf>
    <xf numFmtId="3" fontId="96" fillId="142" borderId="24" xfId="153" applyNumberFormat="1" applyFont="1" applyFill="1" applyBorder="1" applyAlignment="1">
      <alignment horizontal="right" vertical="center"/>
    </xf>
    <xf numFmtId="3" fontId="96" fillId="142" borderId="26" xfId="153" applyNumberFormat="1" applyFont="1" applyFill="1" applyBorder="1" applyAlignment="1">
      <alignment horizontal="right" vertical="center"/>
    </xf>
    <xf numFmtId="3" fontId="96" fillId="142" borderId="27" xfId="153" applyNumberFormat="1" applyFont="1" applyFill="1" applyBorder="1" applyAlignment="1">
      <alignment horizontal="right" vertical="center"/>
    </xf>
    <xf numFmtId="3" fontId="96" fillId="142" borderId="51" xfId="153" applyNumberFormat="1" applyFont="1" applyFill="1" applyBorder="1" applyAlignment="1">
      <alignment horizontal="right" vertical="center"/>
    </xf>
    <xf numFmtId="10" fontId="96" fillId="142" borderId="26" xfId="153" applyNumberFormat="1" applyFont="1" applyFill="1" applyBorder="1" applyAlignment="1">
      <alignment horizontal="right" vertical="center"/>
    </xf>
    <xf numFmtId="10" fontId="96" fillId="142" borderId="27" xfId="153" applyNumberFormat="1" applyFont="1" applyFill="1" applyBorder="1" applyAlignment="1">
      <alignment horizontal="right" vertical="center"/>
    </xf>
    <xf numFmtId="10" fontId="96" fillId="142" borderId="24" xfId="153" applyNumberFormat="1" applyFont="1" applyFill="1" applyBorder="1" applyAlignment="1">
      <alignment horizontal="right" vertical="center"/>
    </xf>
    <xf numFmtId="0" fontId="33" fillId="138" borderId="24" xfId="153" applyFont="1" applyFill="1" applyBorder="1" applyAlignment="1">
      <alignment horizontal="center" vertical="center"/>
    </xf>
    <xf numFmtId="0" fontId="33" fillId="138" borderId="24" xfId="153" applyFont="1" applyFill="1" applyBorder="1" applyAlignment="1">
      <alignment vertical="center"/>
    </xf>
    <xf numFmtId="3" fontId="33" fillId="138" borderId="24" xfId="153" applyNumberFormat="1" applyFont="1" applyFill="1" applyBorder="1" applyAlignment="1">
      <alignment horizontal="right" vertical="center"/>
    </xf>
    <xf numFmtId="10" fontId="96" fillId="138" borderId="24" xfId="153" applyNumberFormat="1" applyFont="1" applyFill="1" applyBorder="1" applyAlignment="1">
      <alignment horizontal="right" vertical="center"/>
    </xf>
    <xf numFmtId="3" fontId="33" fillId="138" borderId="27" xfId="153" applyNumberFormat="1" applyFont="1" applyFill="1" applyBorder="1" applyAlignment="1">
      <alignment horizontal="right" vertical="center"/>
    </xf>
    <xf numFmtId="3" fontId="33" fillId="138" borderId="51" xfId="153" applyNumberFormat="1" applyFont="1" applyFill="1" applyBorder="1" applyAlignment="1">
      <alignment horizontal="right" vertical="center"/>
    </xf>
    <xf numFmtId="10" fontId="33" fillId="138" borderId="26" xfId="153" applyNumberFormat="1" applyFont="1" applyFill="1" applyBorder="1" applyAlignment="1">
      <alignment horizontal="right" vertical="center"/>
    </xf>
    <xf numFmtId="10" fontId="33" fillId="138" borderId="27" xfId="153" applyNumberFormat="1" applyFont="1" applyFill="1" applyBorder="1" applyAlignment="1">
      <alignment horizontal="right" vertical="center"/>
    </xf>
    <xf numFmtId="10" fontId="33" fillId="138" borderId="24" xfId="153" applyNumberFormat="1" applyFont="1" applyFill="1" applyBorder="1" applyAlignment="1">
      <alignment horizontal="right" vertical="center"/>
    </xf>
    <xf numFmtId="3" fontId="33" fillId="138" borderId="26" xfId="153" applyNumberFormat="1" applyFont="1" applyFill="1" applyBorder="1" applyAlignment="1">
      <alignment horizontal="right" vertical="center"/>
    </xf>
    <xf numFmtId="0" fontId="33" fillId="138" borderId="24" xfId="153" applyFont="1" applyFill="1" applyBorder="1" applyAlignment="1">
      <alignment vertical="center" wrapText="1"/>
    </xf>
    <xf numFmtId="10" fontId="33" fillId="138" borderId="51" xfId="153" applyNumberFormat="1" applyFont="1" applyFill="1" applyBorder="1" applyAlignment="1">
      <alignment horizontal="right" vertical="center"/>
    </xf>
    <xf numFmtId="0" fontId="33" fillId="142" borderId="24" xfId="153" applyFont="1" applyFill="1" applyBorder="1" applyAlignment="1">
      <alignment horizontal="center" vertical="center"/>
    </xf>
    <xf numFmtId="0" fontId="33" fillId="142" borderId="24" xfId="153" applyFont="1" applyFill="1" applyBorder="1" applyAlignment="1">
      <alignment vertical="center"/>
    </xf>
    <xf numFmtId="3" fontId="33" fillId="142" borderId="25" xfId="153" applyNumberFormat="1" applyFont="1" applyFill="1" applyBorder="1" applyAlignment="1">
      <alignment vertical="center"/>
    </xf>
    <xf numFmtId="3" fontId="33" fillId="142" borderId="26" xfId="153" applyNumberFormat="1" applyFont="1" applyFill="1" applyBorder="1" applyAlignment="1">
      <alignment vertical="center"/>
    </xf>
    <xf numFmtId="3" fontId="33" fillId="142" borderId="27" xfId="153" applyNumberFormat="1" applyFont="1" applyFill="1" applyBorder="1" applyAlignment="1">
      <alignment vertical="center"/>
    </xf>
    <xf numFmtId="3" fontId="33" fillId="142" borderId="24" xfId="153" applyNumberFormat="1" applyFont="1" applyFill="1" applyBorder="1" applyAlignment="1">
      <alignment horizontal="right" vertical="center"/>
    </xf>
    <xf numFmtId="10" fontId="33" fillId="142" borderId="26" xfId="153" applyNumberFormat="1" applyFont="1" applyFill="1" applyBorder="1" applyAlignment="1">
      <alignment vertical="center"/>
    </xf>
    <xf numFmtId="10" fontId="33" fillId="142" borderId="27" xfId="153" applyNumberFormat="1" applyFont="1" applyFill="1" applyBorder="1" applyAlignment="1">
      <alignment vertical="center"/>
    </xf>
    <xf numFmtId="10" fontId="33" fillId="142" borderId="24" xfId="153" applyNumberFormat="1" applyFont="1" applyFill="1" applyBorder="1" applyAlignment="1">
      <alignment horizontal="right" vertical="center"/>
    </xf>
    <xf numFmtId="0" fontId="33" fillId="142" borderId="25" xfId="0" applyFont="1" applyFill="1" applyBorder="1" applyAlignment="1">
      <alignment horizontal="center" vertical="center" wrapText="1"/>
    </xf>
    <xf numFmtId="0" fontId="33" fillId="142" borderId="24" xfId="0" applyFont="1" applyFill="1" applyBorder="1" applyAlignment="1">
      <alignment horizontal="center" vertical="center"/>
    </xf>
    <xf numFmtId="0" fontId="33" fillId="142" borderId="27" xfId="0" applyFont="1" applyFill="1" applyBorder="1" applyAlignment="1">
      <alignment horizontal="center" vertical="center"/>
    </xf>
    <xf numFmtId="0" fontId="33" fillId="138" borderId="21" xfId="0" applyFont="1" applyFill="1" applyBorder="1"/>
    <xf numFmtId="0" fontId="33" fillId="138" borderId="24" xfId="0" applyFont="1" applyFill="1" applyBorder="1"/>
    <xf numFmtId="165" fontId="33" fillId="138" borderId="21" xfId="14" applyFont="1" applyFill="1" applyBorder="1" applyProtection="1"/>
    <xf numFmtId="165" fontId="33" fillId="138" borderId="26" xfId="14" applyFont="1" applyFill="1" applyBorder="1" applyProtection="1"/>
    <xf numFmtId="0" fontId="9" fillId="35" borderId="0" xfId="153" applyFont="1" applyFill="1" applyAlignment="1">
      <alignment vertical="center"/>
    </xf>
    <xf numFmtId="0" fontId="9" fillId="35" borderId="0" xfId="153" applyFont="1" applyFill="1"/>
    <xf numFmtId="0" fontId="10" fillId="35" borderId="0" xfId="153" applyFont="1" applyFill="1" applyAlignment="1">
      <alignment vertical="center"/>
    </xf>
    <xf numFmtId="49" fontId="10" fillId="35" borderId="0" xfId="153" applyNumberFormat="1" applyFont="1" applyFill="1" applyAlignment="1">
      <alignment horizontal="center" vertical="center"/>
    </xf>
    <xf numFmtId="0" fontId="33" fillId="35" borderId="0" xfId="153" applyFont="1" applyFill="1" applyAlignment="1">
      <alignment vertical="center"/>
    </xf>
    <xf numFmtId="0" fontId="10" fillId="35" borderId="52" xfId="153" applyFont="1" applyFill="1" applyBorder="1" applyAlignment="1">
      <alignment vertical="center"/>
    </xf>
    <xf numFmtId="0" fontId="9" fillId="35" borderId="52" xfId="153" applyFont="1" applyFill="1" applyBorder="1" applyAlignment="1">
      <alignment vertical="center"/>
    </xf>
    <xf numFmtId="0" fontId="36" fillId="35" borderId="0" xfId="153" applyFont="1" applyFill="1" applyAlignment="1">
      <alignment vertical="center"/>
    </xf>
    <xf numFmtId="165" fontId="88" fillId="35" borderId="29" xfId="14" applyFont="1" applyFill="1" applyBorder="1" applyProtection="1"/>
    <xf numFmtId="165" fontId="88" fillId="35" borderId="36" xfId="14" applyFont="1" applyFill="1" applyBorder="1" applyProtection="1"/>
    <xf numFmtId="0" fontId="15" fillId="35" borderId="106" xfId="0" applyFont="1" applyFill="1" applyBorder="1" applyAlignment="1">
      <alignment vertical="center"/>
    </xf>
    <xf numFmtId="0" fontId="9" fillId="35" borderId="0" xfId="20" applyFill="1"/>
    <xf numFmtId="0" fontId="33" fillId="144" borderId="4" xfId="144" applyFont="1" applyFill="1" applyBorder="1" applyAlignment="1">
      <alignment horizontal="left" vertical="center"/>
    </xf>
    <xf numFmtId="0" fontId="101" fillId="144" borderId="0" xfId="144" applyFont="1" applyFill="1" applyAlignment="1">
      <alignment wrapText="1"/>
    </xf>
    <xf numFmtId="0" fontId="33" fillId="144" borderId="0" xfId="144" applyFont="1" applyFill="1" applyAlignment="1">
      <alignment horizontal="center"/>
    </xf>
    <xf numFmtId="4" fontId="36" fillId="144" borderId="0" xfId="144" applyNumberFormat="1" applyFont="1" applyFill="1" applyAlignment="1">
      <alignment horizontal="right" vertical="center"/>
    </xf>
    <xf numFmtId="0" fontId="36" fillId="144" borderId="0" xfId="144" applyFont="1" applyFill="1" applyAlignment="1">
      <alignment horizontal="right" vertical="center"/>
    </xf>
    <xf numFmtId="4" fontId="36" fillId="144" borderId="38" xfId="144" applyNumberFormat="1" applyFont="1" applyFill="1" applyBorder="1" applyAlignment="1">
      <alignment horizontal="right" vertical="center"/>
    </xf>
    <xf numFmtId="0" fontId="36" fillId="144" borderId="0" xfId="144" applyFont="1" applyFill="1" applyAlignment="1">
      <alignment wrapText="1"/>
    </xf>
    <xf numFmtId="3" fontId="33" fillId="144" borderId="0" xfId="144" applyNumberFormat="1" applyFont="1" applyFill="1" applyAlignment="1">
      <alignment horizontal="right" vertical="center"/>
    </xf>
    <xf numFmtId="4" fontId="33" fillId="144" borderId="38" xfId="144" applyNumberFormat="1" applyFont="1" applyFill="1" applyBorder="1" applyAlignment="1">
      <alignment horizontal="right" vertical="center"/>
    </xf>
    <xf numFmtId="0" fontId="33" fillId="144" borderId="39" xfId="144" applyFont="1" applyFill="1" applyBorder="1" applyAlignment="1">
      <alignment horizontal="center" vertical="center"/>
    </xf>
    <xf numFmtId="0" fontId="33" fillId="144" borderId="9" xfId="144" applyFont="1" applyFill="1" applyBorder="1" applyAlignment="1">
      <alignment wrapText="1"/>
    </xf>
    <xf numFmtId="0" fontId="33" fillId="144" borderId="9" xfId="144" applyFont="1" applyFill="1" applyBorder="1" applyAlignment="1">
      <alignment horizontal="center"/>
    </xf>
    <xf numFmtId="4" fontId="33" fillId="144" borderId="9" xfId="144" applyNumberFormat="1" applyFont="1" applyFill="1" applyBorder="1" applyAlignment="1">
      <alignment horizontal="right" vertical="center"/>
    </xf>
    <xf numFmtId="4" fontId="33" fillId="144" borderId="37" xfId="144" applyNumberFormat="1" applyFont="1" applyFill="1" applyBorder="1" applyAlignment="1">
      <alignment horizontal="right" vertical="center"/>
    </xf>
    <xf numFmtId="0" fontId="302" fillId="144" borderId="4" xfId="23" applyFont="1" applyFill="1" applyBorder="1" applyAlignment="1">
      <alignment horizontal="left" vertical="center"/>
    </xf>
    <xf numFmtId="0" fontId="101" fillId="144" borderId="0" xfId="144" applyFont="1" applyFill="1" applyAlignment="1">
      <alignment horizontal="center"/>
    </xf>
    <xf numFmtId="0" fontId="101" fillId="144" borderId="0" xfId="144" applyFont="1" applyFill="1" applyAlignment="1">
      <alignment horizontal="right" vertical="center"/>
    </xf>
    <xf numFmtId="4" fontId="101" fillId="144" borderId="38" xfId="144" applyNumberFormat="1" applyFont="1" applyFill="1" applyBorder="1" applyAlignment="1">
      <alignment horizontal="right" vertical="center"/>
    </xf>
    <xf numFmtId="0" fontId="33" fillId="144" borderId="39" xfId="144" applyFont="1" applyFill="1" applyBorder="1" applyAlignment="1">
      <alignment horizontal="left" vertical="center"/>
    </xf>
    <xf numFmtId="0" fontId="0" fillId="47" borderId="98" xfId="0" applyFill="1" applyBorder="1" applyAlignment="1">
      <alignment horizontal="left" vertical="center" indent="1"/>
    </xf>
    <xf numFmtId="4" fontId="0" fillId="47" borderId="98" xfId="0" applyNumberFormat="1" applyFill="1" applyBorder="1" applyAlignment="1">
      <alignment vertical="center"/>
    </xf>
    <xf numFmtId="10" fontId="9" fillId="47" borderId="98" xfId="13" applyNumberFormat="1" applyFill="1" applyBorder="1" applyAlignment="1">
      <alignment horizontal="center" vertical="center"/>
    </xf>
    <xf numFmtId="0" fontId="0" fillId="47" borderId="98" xfId="0" applyFill="1" applyBorder="1" applyAlignment="1">
      <alignment horizontal="center" vertical="center"/>
    </xf>
    <xf numFmtId="4" fontId="9" fillId="47" borderId="98" xfId="0" applyNumberFormat="1" applyFont="1" applyFill="1" applyBorder="1" applyAlignment="1">
      <alignment vertical="center"/>
    </xf>
    <xf numFmtId="0" fontId="9" fillId="47" borderId="98" xfId="0" applyFont="1" applyFill="1" applyBorder="1" applyAlignment="1">
      <alignment horizontal="center" vertical="center"/>
    </xf>
    <xf numFmtId="0" fontId="312" fillId="0" borderId="0" xfId="0" applyFont="1"/>
    <xf numFmtId="362" fontId="0" fillId="47" borderId="0" xfId="0" applyNumberFormat="1" applyFill="1" applyAlignment="1">
      <alignment vertical="center"/>
    </xf>
    <xf numFmtId="0" fontId="0" fillId="51" borderId="0" xfId="0" applyFill="1" applyAlignment="1">
      <alignment vertical="center"/>
    </xf>
    <xf numFmtId="0" fontId="10" fillId="47" borderId="0" xfId="0" applyFont="1" applyFill="1" applyAlignment="1">
      <alignment horizontal="center" vertical="center"/>
    </xf>
    <xf numFmtId="10" fontId="9" fillId="47" borderId="0" xfId="13" applyNumberFormat="1" applyFill="1" applyBorder="1" applyAlignment="1">
      <alignment horizontal="center" vertical="center"/>
    </xf>
    <xf numFmtId="4" fontId="91" fillId="47" borderId="0" xfId="0" applyNumberFormat="1" applyFont="1" applyFill="1" applyAlignment="1">
      <alignment vertical="center"/>
    </xf>
    <xf numFmtId="165" fontId="9" fillId="51" borderId="0" xfId="14" applyFill="1" applyBorder="1" applyAlignment="1">
      <alignment horizontal="center" vertical="center"/>
    </xf>
    <xf numFmtId="0" fontId="15" fillId="0" borderId="92" xfId="20" applyFont="1" applyBorder="1" applyAlignment="1">
      <alignment vertical="center"/>
    </xf>
    <xf numFmtId="1" fontId="15" fillId="0" borderId="98" xfId="20" applyNumberFormat="1" applyFont="1" applyBorder="1" applyAlignment="1">
      <alignment vertical="center"/>
    </xf>
    <xf numFmtId="1" fontId="27" fillId="0" borderId="98" xfId="143" applyNumberFormat="1" applyFont="1" applyBorder="1" applyAlignment="1">
      <alignment vertical="center"/>
    </xf>
    <xf numFmtId="3" fontId="15" fillId="0" borderId="98" xfId="20" applyNumberFormat="1" applyFont="1" applyBorder="1" applyAlignment="1">
      <alignment horizontal="right" vertical="center"/>
    </xf>
    <xf numFmtId="0" fontId="15" fillId="0" borderId="98" xfId="7" applyFont="1" applyBorder="1" applyAlignment="1">
      <alignment horizontal="left" vertical="center" indent="2"/>
    </xf>
    <xf numFmtId="3" fontId="15" fillId="0" borderId="98" xfId="7" applyNumberFormat="1" applyFont="1" applyBorder="1" applyAlignment="1">
      <alignment horizontal="center" vertical="center"/>
    </xf>
    <xf numFmtId="4" fontId="15" fillId="0" borderId="98" xfId="7" applyNumberFormat="1" applyFont="1" applyBorder="1" applyAlignment="1">
      <alignment horizontal="center" vertical="center"/>
    </xf>
    <xf numFmtId="10" fontId="15" fillId="0" borderId="98" xfId="13" applyNumberFormat="1" applyFont="1" applyBorder="1" applyAlignment="1">
      <alignment horizontal="center" vertical="center"/>
    </xf>
    <xf numFmtId="1" fontId="15" fillId="38" borderId="98" xfId="7" applyNumberFormat="1" applyFont="1" applyFill="1" applyBorder="1" applyAlignment="1">
      <alignment horizontal="center" vertical="center"/>
    </xf>
    <xf numFmtId="4" fontId="15" fillId="0" borderId="98" xfId="10" applyNumberFormat="1" applyFont="1" applyBorder="1" applyAlignment="1">
      <alignment horizontal="right" vertical="center"/>
    </xf>
    <xf numFmtId="0" fontId="15" fillId="0" borderId="98" xfId="20" applyFont="1" applyBorder="1" applyAlignment="1">
      <alignment horizontal="center" vertical="center"/>
    </xf>
    <xf numFmtId="4" fontId="9" fillId="47" borderId="0" xfId="8" applyNumberFormat="1" applyFont="1" applyFill="1"/>
    <xf numFmtId="49" fontId="9" fillId="35" borderId="98" xfId="8" applyNumberFormat="1" applyFont="1" applyFill="1" applyBorder="1" applyAlignment="1">
      <alignment horizontal="center" vertical="center"/>
    </xf>
    <xf numFmtId="3" fontId="10" fillId="35" borderId="98" xfId="8" applyNumberFormat="1" applyFont="1" applyFill="1" applyBorder="1" applyAlignment="1">
      <alignment vertical="center"/>
    </xf>
    <xf numFmtId="0" fontId="10" fillId="138" borderId="92" xfId="20" applyFont="1" applyFill="1" applyBorder="1" applyAlignment="1">
      <alignment horizontal="center" vertical="center"/>
    </xf>
    <xf numFmtId="3" fontId="33" fillId="142" borderId="108" xfId="153" applyNumberFormat="1" applyFont="1" applyFill="1" applyBorder="1" applyAlignment="1">
      <alignment horizontal="centerContinuous" vertical="center"/>
    </xf>
    <xf numFmtId="3" fontId="33" fillId="142" borderId="109" xfId="153" applyNumberFormat="1" applyFont="1" applyFill="1" applyBorder="1" applyAlignment="1">
      <alignment horizontal="centerContinuous" vertical="center"/>
    </xf>
    <xf numFmtId="3" fontId="33" fillId="142" borderId="110" xfId="153" applyNumberFormat="1" applyFont="1" applyFill="1" applyBorder="1" applyAlignment="1">
      <alignment horizontal="centerContinuous" vertical="center"/>
    </xf>
    <xf numFmtId="3" fontId="33" fillId="142" borderId="111" xfId="153" applyNumberFormat="1" applyFont="1" applyFill="1" applyBorder="1" applyAlignment="1">
      <alignment horizontal="centerContinuous" vertical="center"/>
    </xf>
    <xf numFmtId="49" fontId="33" fillId="142" borderId="108" xfId="153" applyNumberFormat="1" applyFont="1" applyFill="1" applyBorder="1" applyAlignment="1">
      <alignment horizontal="centerContinuous" vertical="center"/>
    </xf>
    <xf numFmtId="49" fontId="33" fillId="142" borderId="109" xfId="153" applyNumberFormat="1" applyFont="1" applyFill="1" applyBorder="1" applyAlignment="1">
      <alignment horizontal="centerContinuous" vertical="center"/>
    </xf>
    <xf numFmtId="49" fontId="33" fillId="142" borderId="110" xfId="153" applyNumberFormat="1" applyFont="1" applyFill="1" applyBorder="1" applyAlignment="1">
      <alignment horizontal="centerContinuous" vertical="center"/>
    </xf>
    <xf numFmtId="49" fontId="33" fillId="142" borderId="111" xfId="153" applyNumberFormat="1" applyFont="1" applyFill="1" applyBorder="1" applyAlignment="1">
      <alignment horizontal="centerContinuous" vertical="center"/>
    </xf>
    <xf numFmtId="3" fontId="96" fillId="142" borderId="112" xfId="153" applyNumberFormat="1" applyFont="1" applyFill="1" applyBorder="1" applyAlignment="1">
      <alignment horizontal="right" vertical="center"/>
    </xf>
    <xf numFmtId="10" fontId="96" fillId="142" borderId="112" xfId="153" applyNumberFormat="1" applyFont="1" applyFill="1" applyBorder="1" applyAlignment="1">
      <alignment horizontal="right" vertical="center"/>
    </xf>
    <xf numFmtId="3" fontId="33" fillId="138" borderId="113" xfId="153" applyNumberFormat="1" applyFont="1" applyFill="1" applyBorder="1" applyAlignment="1">
      <alignment horizontal="right" vertical="center"/>
    </xf>
    <xf numFmtId="3" fontId="33" fillId="138" borderId="114" xfId="153" applyNumberFormat="1" applyFont="1" applyFill="1" applyBorder="1" applyAlignment="1">
      <alignment horizontal="right" vertical="center"/>
    </xf>
    <xf numFmtId="3" fontId="33" fillId="138" borderId="115" xfId="153" applyNumberFormat="1" applyFont="1" applyFill="1" applyBorder="1" applyAlignment="1">
      <alignment horizontal="right" vertical="center"/>
    </xf>
    <xf numFmtId="3" fontId="33" fillId="138" borderId="116" xfId="153" applyNumberFormat="1" applyFont="1" applyFill="1" applyBorder="1" applyAlignment="1">
      <alignment horizontal="right" vertical="center"/>
    </xf>
    <xf numFmtId="10" fontId="33" fillId="138" borderId="113" xfId="153" applyNumberFormat="1" applyFont="1" applyFill="1" applyBorder="1" applyAlignment="1">
      <alignment horizontal="right" vertical="center"/>
    </xf>
    <xf numFmtId="10" fontId="33" fillId="138" borderId="114" xfId="153" applyNumberFormat="1" applyFont="1" applyFill="1" applyBorder="1" applyAlignment="1">
      <alignment horizontal="right" vertical="center"/>
    </xf>
    <xf numFmtId="10" fontId="33" fillId="138" borderId="115" xfId="153" applyNumberFormat="1" applyFont="1" applyFill="1" applyBorder="1" applyAlignment="1">
      <alignment horizontal="right" vertical="center"/>
    </xf>
    <xf numFmtId="3" fontId="9" fillId="0" borderId="98" xfId="0" applyNumberFormat="1" applyFont="1" applyBorder="1" applyAlignment="1">
      <alignment horizontal="right" vertical="center"/>
    </xf>
    <xf numFmtId="10" fontId="9" fillId="0" borderId="98" xfId="13" applyNumberFormat="1" applyFont="1" applyBorder="1" applyAlignment="1" applyProtection="1">
      <alignment horizontal="right" vertical="center"/>
    </xf>
    <xf numFmtId="10" fontId="9" fillId="0" borderId="117" xfId="153" applyNumberFormat="1" applyFont="1" applyBorder="1" applyAlignment="1">
      <alignment horizontal="right" vertical="center"/>
    </xf>
    <xf numFmtId="10" fontId="9" fillId="0" borderId="110" xfId="153" applyNumberFormat="1" applyFont="1" applyBorder="1" applyAlignment="1">
      <alignment horizontal="right" vertical="center"/>
    </xf>
    <xf numFmtId="10" fontId="9" fillId="0" borderId="98" xfId="153" applyNumberFormat="1" applyFont="1" applyBorder="1" applyAlignment="1">
      <alignment horizontal="right" vertical="center"/>
    </xf>
    <xf numFmtId="10" fontId="9" fillId="0" borderId="101" xfId="153" applyNumberFormat="1" applyFont="1" applyBorder="1" applyAlignment="1">
      <alignment horizontal="right" vertical="center"/>
    </xf>
    <xf numFmtId="10" fontId="9" fillId="0" borderId="92" xfId="153" applyNumberFormat="1" applyFont="1" applyBorder="1" applyAlignment="1">
      <alignment horizontal="right" vertical="center"/>
    </xf>
    <xf numFmtId="10" fontId="9" fillId="0" borderId="56" xfId="153" applyNumberFormat="1" applyFont="1" applyBorder="1" applyAlignment="1">
      <alignment horizontal="right" vertical="center"/>
    </xf>
    <xf numFmtId="3" fontId="33" fillId="138" borderId="112" xfId="153" applyNumberFormat="1" applyFont="1" applyFill="1" applyBorder="1" applyAlignment="1">
      <alignment horizontal="right" vertical="center"/>
    </xf>
    <xf numFmtId="10" fontId="33" fillId="138" borderId="112" xfId="153" applyNumberFormat="1" applyFont="1" applyFill="1" applyBorder="1" applyAlignment="1">
      <alignment horizontal="right" vertical="center"/>
    </xf>
    <xf numFmtId="0" fontId="9" fillId="0" borderId="107" xfId="153" applyFont="1" applyBorder="1" applyAlignment="1">
      <alignment horizontal="center" vertical="center"/>
    </xf>
    <xf numFmtId="0" fontId="9" fillId="35" borderId="107" xfId="153" applyFont="1" applyFill="1" applyBorder="1" applyAlignment="1">
      <alignment horizontal="justify" vertical="center" wrapText="1"/>
    </xf>
    <xf numFmtId="3" fontId="10" fillId="44" borderId="118" xfId="153" applyNumberFormat="1" applyFont="1" applyFill="1" applyBorder="1" applyAlignment="1">
      <alignment horizontal="right" vertical="center"/>
    </xf>
    <xf numFmtId="10" fontId="98" fillId="44" borderId="118" xfId="153" applyNumberFormat="1" applyFont="1" applyFill="1" applyBorder="1" applyAlignment="1">
      <alignment horizontal="right" vertical="center"/>
    </xf>
    <xf numFmtId="0" fontId="9" fillId="35" borderId="99" xfId="153" applyFont="1" applyFill="1" applyBorder="1" applyAlignment="1">
      <alignment vertical="center"/>
    </xf>
    <xf numFmtId="10" fontId="98" fillId="0" borderId="118" xfId="153" applyNumberFormat="1" applyFont="1" applyBorder="1" applyAlignment="1">
      <alignment horizontal="right" vertical="center"/>
    </xf>
    <xf numFmtId="0" fontId="9" fillId="0" borderId="118" xfId="153" applyFont="1" applyBorder="1" applyAlignment="1">
      <alignment vertical="center" wrapText="1"/>
    </xf>
    <xf numFmtId="0" fontId="9" fillId="0" borderId="118" xfId="153" applyFont="1" applyBorder="1" applyAlignment="1">
      <alignment horizontal="center" vertical="center"/>
    </xf>
    <xf numFmtId="3" fontId="33" fillId="138" borderId="119" xfId="153" applyNumberFormat="1" applyFont="1" applyFill="1" applyBorder="1" applyAlignment="1">
      <alignment horizontal="right" vertical="center"/>
    </xf>
    <xf numFmtId="3" fontId="33" fillId="138" borderId="120" xfId="153" applyNumberFormat="1" applyFont="1" applyFill="1" applyBorder="1" applyAlignment="1">
      <alignment horizontal="right" vertical="center"/>
    </xf>
    <xf numFmtId="10" fontId="36" fillId="138" borderId="98" xfId="13" applyNumberFormat="1" applyFont="1" applyFill="1" applyBorder="1" applyAlignment="1" applyProtection="1">
      <alignment horizontal="right" vertical="center"/>
    </xf>
    <xf numFmtId="3" fontId="97" fillId="0" borderId="98" xfId="153" applyNumberFormat="1" applyFont="1" applyBorder="1" applyAlignment="1">
      <alignment horizontal="right" vertical="center"/>
    </xf>
    <xf numFmtId="3" fontId="97" fillId="0" borderId="101" xfId="153" applyNumberFormat="1" applyFont="1" applyBorder="1" applyAlignment="1">
      <alignment horizontal="right" vertical="center"/>
    </xf>
    <xf numFmtId="10" fontId="97" fillId="0" borderId="98" xfId="153" applyNumberFormat="1" applyFont="1" applyBorder="1" applyAlignment="1">
      <alignment horizontal="right" vertical="center"/>
    </xf>
    <xf numFmtId="10" fontId="97" fillId="0" borderId="101" xfId="153" applyNumberFormat="1" applyFont="1" applyBorder="1" applyAlignment="1">
      <alignment horizontal="right" vertical="center"/>
    </xf>
    <xf numFmtId="0" fontId="9" fillId="0" borderId="109" xfId="153" applyFont="1" applyBorder="1" applyAlignment="1">
      <alignment vertical="center" wrapText="1"/>
    </xf>
    <xf numFmtId="3" fontId="10" fillId="0" borderId="118" xfId="153" applyNumberFormat="1" applyFont="1" applyBorder="1" applyAlignment="1">
      <alignment horizontal="right" vertical="center"/>
    </xf>
    <xf numFmtId="10" fontId="9" fillId="43" borderId="102" xfId="153" applyNumberFormat="1" applyFont="1" applyFill="1" applyBorder="1" applyAlignment="1" applyProtection="1">
      <alignment horizontal="right" vertical="center"/>
      <protection locked="0"/>
    </xf>
    <xf numFmtId="10" fontId="9" fillId="43" borderId="114" xfId="153" applyNumberFormat="1" applyFont="1" applyFill="1" applyBorder="1" applyAlignment="1" applyProtection="1">
      <alignment horizontal="right" vertical="center"/>
      <protection locked="0"/>
    </xf>
    <xf numFmtId="10" fontId="9" fillId="43" borderId="116" xfId="153" applyNumberFormat="1" applyFont="1" applyFill="1" applyBorder="1" applyAlignment="1" applyProtection="1">
      <alignment horizontal="right" vertical="center"/>
      <protection locked="0"/>
    </xf>
    <xf numFmtId="3" fontId="9" fillId="0" borderId="121" xfId="153" applyNumberFormat="1" applyFont="1" applyBorder="1" applyAlignment="1">
      <alignment horizontal="right" vertical="center"/>
    </xf>
    <xf numFmtId="3" fontId="33" fillId="142" borderId="112" xfId="153" applyNumberFormat="1" applyFont="1" applyFill="1" applyBorder="1" applyAlignment="1">
      <alignment vertical="center"/>
    </xf>
    <xf numFmtId="10" fontId="33" fillId="142" borderId="112" xfId="153" applyNumberFormat="1" applyFont="1" applyFill="1" applyBorder="1" applyAlignment="1">
      <alignment vertical="center"/>
    </xf>
    <xf numFmtId="0" fontId="33" fillId="142" borderId="112" xfId="0" applyFont="1" applyFill="1" applyBorder="1" applyAlignment="1">
      <alignment horizontal="center" vertical="center"/>
    </xf>
    <xf numFmtId="0" fontId="0" fillId="0" borderId="118" xfId="0" applyBorder="1"/>
    <xf numFmtId="165" fontId="88" fillId="0" borderId="118" xfId="14" applyFont="1" applyFill="1" applyBorder="1" applyProtection="1"/>
    <xf numFmtId="4" fontId="90" fillId="8" borderId="122" xfId="14" applyNumberFormat="1" applyFont="1" applyFill="1" applyBorder="1" applyProtection="1">
      <protection locked="0"/>
    </xf>
    <xf numFmtId="4" fontId="90" fillId="8" borderId="117" xfId="14" applyNumberFormat="1" applyFont="1" applyFill="1" applyBorder="1" applyProtection="1">
      <protection locked="0"/>
    </xf>
    <xf numFmtId="4" fontId="90" fillId="8" borderId="123" xfId="14" applyNumberFormat="1" applyFont="1" applyFill="1" applyBorder="1" applyProtection="1">
      <protection locked="0"/>
    </xf>
    <xf numFmtId="4" fontId="90" fillId="8" borderId="98" xfId="14" applyNumberFormat="1" applyFont="1" applyFill="1" applyBorder="1" applyProtection="1">
      <protection locked="0"/>
    </xf>
    <xf numFmtId="4" fontId="90" fillId="8" borderId="100" xfId="14" applyNumberFormat="1" applyFont="1" applyFill="1" applyBorder="1" applyProtection="1">
      <protection locked="0"/>
    </xf>
    <xf numFmtId="165" fontId="33" fillId="138" borderId="112" xfId="14" applyFont="1" applyFill="1" applyBorder="1" applyProtection="1"/>
    <xf numFmtId="0" fontId="0" fillId="0" borderId="118" xfId="0" applyBorder="1" applyAlignment="1">
      <alignment wrapText="1"/>
    </xf>
    <xf numFmtId="165" fontId="90" fillId="0" borderId="122" xfId="14" applyFont="1" applyFill="1" applyBorder="1" applyProtection="1"/>
    <xf numFmtId="165" fontId="90" fillId="0" borderId="117" xfId="14" applyFont="1" applyFill="1" applyBorder="1" applyProtection="1"/>
    <xf numFmtId="165" fontId="90" fillId="0" borderId="98" xfId="14" applyFont="1" applyFill="1" applyBorder="1" applyProtection="1"/>
    <xf numFmtId="0" fontId="33" fillId="138" borderId="112" xfId="20" applyFont="1" applyFill="1" applyBorder="1" applyAlignment="1">
      <alignment horizontal="center" vertical="center"/>
    </xf>
    <xf numFmtId="0" fontId="9" fillId="0" borderId="118" xfId="20" applyBorder="1"/>
    <xf numFmtId="165" fontId="88" fillId="35" borderId="118" xfId="14" applyFont="1" applyFill="1" applyBorder="1" applyProtection="1"/>
    <xf numFmtId="165" fontId="89" fillId="8" borderId="122" xfId="20" applyNumberFormat="1" applyFont="1" applyFill="1" applyBorder="1" applyProtection="1">
      <protection locked="0"/>
    </xf>
    <xf numFmtId="165" fontId="89" fillId="8" borderId="117" xfId="20" applyNumberFormat="1" applyFont="1" applyFill="1" applyBorder="1" applyProtection="1">
      <protection locked="0"/>
    </xf>
    <xf numFmtId="165" fontId="89" fillId="8" borderId="98" xfId="20" applyNumberFormat="1" applyFont="1" applyFill="1" applyBorder="1" applyProtection="1">
      <protection locked="0"/>
    </xf>
    <xf numFmtId="165" fontId="89" fillId="8" borderId="100" xfId="20" applyNumberFormat="1" applyFont="1" applyFill="1" applyBorder="1" applyProtection="1">
      <protection locked="0"/>
    </xf>
    <xf numFmtId="165" fontId="89" fillId="8" borderId="101" xfId="20" applyNumberFormat="1" applyFont="1" applyFill="1" applyBorder="1" applyProtection="1">
      <protection locked="0"/>
    </xf>
    <xf numFmtId="165" fontId="89" fillId="8" borderId="92" xfId="20" applyNumberFormat="1" applyFont="1" applyFill="1" applyBorder="1" applyProtection="1">
      <protection locked="0"/>
    </xf>
    <xf numFmtId="165" fontId="89" fillId="8" borderId="90" xfId="20" applyNumberFormat="1" applyFont="1" applyFill="1" applyBorder="1" applyProtection="1">
      <protection locked="0"/>
    </xf>
    <xf numFmtId="165" fontId="88" fillId="0" borderId="112" xfId="14" applyFont="1" applyFill="1" applyBorder="1" applyProtection="1"/>
    <xf numFmtId="165" fontId="90" fillId="0" borderId="110" xfId="14" applyFont="1" applyFill="1" applyBorder="1" applyProtection="1"/>
    <xf numFmtId="165" fontId="90" fillId="0" borderId="123" xfId="14" applyFont="1" applyFill="1" applyBorder="1" applyProtection="1"/>
    <xf numFmtId="165" fontId="90" fillId="0" borderId="101" xfId="14" applyFont="1" applyFill="1" applyBorder="1" applyProtection="1"/>
    <xf numFmtId="165" fontId="90" fillId="0" borderId="98" xfId="14" quotePrefix="1" applyFont="1" applyFill="1" applyBorder="1" applyProtection="1"/>
    <xf numFmtId="165" fontId="90" fillId="0" borderId="100" xfId="14" quotePrefix="1" applyFont="1" applyFill="1" applyBorder="1" applyProtection="1"/>
    <xf numFmtId="165" fontId="90" fillId="0" borderId="100" xfId="14" applyFont="1" applyFill="1" applyBorder="1" applyProtection="1"/>
    <xf numFmtId="165" fontId="90" fillId="0" borderId="49" xfId="14" applyFont="1" applyFill="1" applyBorder="1" applyProtection="1"/>
    <xf numFmtId="165" fontId="90" fillId="0" borderId="124" xfId="14" applyFont="1" applyFill="1" applyBorder="1" applyProtection="1"/>
    <xf numFmtId="165" fontId="88" fillId="0" borderId="110" xfId="14" applyFont="1" applyFill="1" applyBorder="1" applyProtection="1"/>
    <xf numFmtId="165" fontId="88" fillId="0" borderId="117" xfId="14" applyFont="1" applyFill="1" applyBorder="1" applyProtection="1"/>
    <xf numFmtId="165" fontId="88" fillId="0" borderId="123" xfId="14" applyFont="1" applyFill="1" applyBorder="1" applyProtection="1"/>
    <xf numFmtId="0" fontId="14" fillId="47" borderId="0" xfId="0" applyFont="1" applyFill="1" applyAlignment="1">
      <alignment horizontal="center"/>
    </xf>
    <xf numFmtId="0" fontId="10" fillId="47" borderId="98" xfId="0" applyFont="1" applyFill="1" applyBorder="1" applyAlignment="1">
      <alignment horizontal="center"/>
    </xf>
    <xf numFmtId="4" fontId="10" fillId="47" borderId="98" xfId="0" applyNumberFormat="1" applyFont="1" applyFill="1" applyBorder="1" applyAlignment="1">
      <alignment horizontal="center"/>
    </xf>
    <xf numFmtId="0" fontId="13" fillId="47" borderId="98" xfId="0" applyFont="1" applyFill="1" applyBorder="1" applyAlignment="1">
      <alignment horizontal="center"/>
    </xf>
    <xf numFmtId="0" fontId="10" fillId="47" borderId="100" xfId="0" applyFont="1" applyFill="1" applyBorder="1" applyAlignment="1">
      <alignment horizontal="left" indent="1"/>
    </xf>
    <xf numFmtId="0" fontId="10" fillId="47" borderId="98" xfId="0" applyFont="1" applyFill="1" applyBorder="1"/>
    <xf numFmtId="0" fontId="10" fillId="51" borderId="100" xfId="0" applyFont="1" applyFill="1" applyBorder="1" applyAlignment="1">
      <alignment horizontal="center"/>
    </xf>
    <xf numFmtId="0" fontId="0" fillId="47" borderId="98" xfId="0" applyFill="1" applyBorder="1"/>
    <xf numFmtId="4" fontId="0" fillId="51" borderId="98" xfId="0" applyNumberFormat="1" applyFill="1" applyBorder="1" applyAlignment="1">
      <alignment horizontal="right"/>
    </xf>
    <xf numFmtId="0" fontId="9" fillId="47" borderId="98" xfId="0" applyFont="1" applyFill="1" applyBorder="1" applyAlignment="1">
      <alignment horizontal="center"/>
    </xf>
    <xf numFmtId="3" fontId="15" fillId="51" borderId="98" xfId="0" applyNumberFormat="1" applyFont="1" applyFill="1" applyBorder="1" applyAlignment="1">
      <alignment horizontal="center"/>
    </xf>
    <xf numFmtId="3" fontId="15" fillId="47" borderId="98" xfId="0" applyNumberFormat="1" applyFont="1" applyFill="1" applyBorder="1" applyAlignment="1">
      <alignment horizontal="center"/>
    </xf>
    <xf numFmtId="4" fontId="0" fillId="47" borderId="98" xfId="0" applyNumberFormat="1" applyFill="1" applyBorder="1" applyAlignment="1">
      <alignment horizontal="right"/>
    </xf>
    <xf numFmtId="0" fontId="0" fillId="47" borderId="98" xfId="0" applyFill="1" applyBorder="1" applyAlignment="1">
      <alignment horizontal="center"/>
    </xf>
    <xf numFmtId="0" fontId="10" fillId="47" borderId="99" xfId="0" applyFont="1" applyFill="1" applyBorder="1" applyAlignment="1">
      <alignment horizontal="left" indent="3"/>
    </xf>
    <xf numFmtId="3" fontId="22" fillId="51" borderId="98" xfId="0" applyNumberFormat="1" applyFont="1" applyFill="1" applyBorder="1" applyAlignment="1">
      <alignment horizontal="center"/>
    </xf>
    <xf numFmtId="0" fontId="10" fillId="141" borderId="56" xfId="0" applyFont="1" applyFill="1" applyBorder="1"/>
    <xf numFmtId="0" fontId="10" fillId="47" borderId="100" xfId="0" quotePrefix="1" applyFont="1" applyFill="1" applyBorder="1" applyAlignment="1">
      <alignment horizontal="left" indent="1"/>
    </xf>
    <xf numFmtId="0" fontId="0" fillId="47" borderId="99" xfId="0" applyFill="1" applyBorder="1"/>
    <xf numFmtId="0" fontId="9" fillId="47" borderId="99" xfId="0" applyFont="1" applyFill="1" applyBorder="1"/>
    <xf numFmtId="0" fontId="0" fillId="47" borderId="101" xfId="0" applyFill="1" applyBorder="1"/>
    <xf numFmtId="4" fontId="0" fillId="51" borderId="98" xfId="0" applyNumberFormat="1" applyFill="1" applyBorder="1" applyAlignment="1">
      <alignment horizontal="center"/>
    </xf>
    <xf numFmtId="4" fontId="0" fillId="47" borderId="98" xfId="0" applyNumberFormat="1" applyFill="1" applyBorder="1" applyAlignment="1">
      <alignment horizontal="center"/>
    </xf>
    <xf numFmtId="0" fontId="10" fillId="47" borderId="98" xfId="0" quotePrefix="1" applyFont="1" applyFill="1" applyBorder="1" applyAlignment="1">
      <alignment horizontal="left" indent="1"/>
    </xf>
    <xf numFmtId="0" fontId="10" fillId="141" borderId="99" xfId="0" applyFont="1" applyFill="1" applyBorder="1"/>
    <xf numFmtId="4" fontId="9" fillId="51" borderId="98" xfId="0" applyNumberFormat="1" applyFont="1" applyFill="1" applyBorder="1" applyAlignment="1">
      <alignment horizontal="center"/>
    </xf>
    <xf numFmtId="0" fontId="33" fillId="138" borderId="98" xfId="23" applyFont="1" applyFill="1" applyBorder="1" applyAlignment="1">
      <alignment horizontal="center" vertical="center"/>
    </xf>
    <xf numFmtId="0" fontId="33" fillId="138" borderId="98" xfId="23" applyFont="1" applyFill="1" applyBorder="1" applyAlignment="1">
      <alignment horizontal="center" vertical="center" wrapText="1"/>
    </xf>
    <xf numFmtId="0" fontId="40" fillId="0" borderId="98" xfId="158" applyFont="1" applyBorder="1" applyAlignment="1">
      <alignment vertical="center"/>
    </xf>
    <xf numFmtId="3" fontId="22" fillId="0" borderId="98" xfId="158" applyNumberFormat="1" applyFont="1" applyBorder="1" applyAlignment="1">
      <alignment vertical="center"/>
    </xf>
    <xf numFmtId="3" fontId="15" fillId="0" borderId="98" xfId="158" applyNumberFormat="1" applyFont="1" applyBorder="1" applyAlignment="1">
      <alignment vertical="center"/>
    </xf>
    <xf numFmtId="0" fontId="33" fillId="138" borderId="98" xfId="158" applyFont="1" applyFill="1" applyBorder="1" applyAlignment="1">
      <alignment horizontal="centerContinuous" vertical="center"/>
    </xf>
    <xf numFmtId="3" fontId="278" fillId="138" borderId="98" xfId="158" applyNumberFormat="1" applyFont="1" applyFill="1" applyBorder="1" applyAlignment="1">
      <alignment vertical="center"/>
    </xf>
    <xf numFmtId="0" fontId="33" fillId="138" borderId="98" xfId="158" applyFont="1" applyFill="1" applyBorder="1" applyAlignment="1">
      <alignment horizontal="center"/>
    </xf>
    <xf numFmtId="0" fontId="278" fillId="138" borderId="98" xfId="158" applyFont="1" applyFill="1" applyBorder="1" applyAlignment="1">
      <alignment horizontal="center"/>
    </xf>
    <xf numFmtId="4" fontId="9" fillId="0" borderId="98" xfId="158" applyNumberFormat="1" applyBorder="1" applyAlignment="1">
      <alignment horizontal="center" vertical="center"/>
    </xf>
    <xf numFmtId="1" fontId="9" fillId="0" borderId="98" xfId="158" applyNumberFormat="1" applyBorder="1" applyAlignment="1">
      <alignment horizontal="center"/>
    </xf>
    <xf numFmtId="0" fontId="10" fillId="0" borderId="98" xfId="158" applyFont="1" applyBorder="1" applyAlignment="1">
      <alignment horizontal="center" vertical="center"/>
    </xf>
    <xf numFmtId="0" fontId="271" fillId="0" borderId="98" xfId="158" applyFont="1" applyBorder="1" applyAlignment="1">
      <alignment horizontal="center" vertical="center"/>
    </xf>
    <xf numFmtId="0" fontId="22" fillId="0" borderId="98" xfId="158" applyFont="1" applyBorder="1" applyAlignment="1">
      <alignment horizontal="center"/>
    </xf>
    <xf numFmtId="0" fontId="60" fillId="36" borderId="98" xfId="158" applyFont="1" applyFill="1" applyBorder="1" applyAlignment="1">
      <alignment horizontal="center"/>
    </xf>
    <xf numFmtId="0" fontId="22" fillId="12" borderId="98" xfId="158" applyFont="1" applyFill="1" applyBorder="1" applyAlignment="1">
      <alignment horizontal="center"/>
    </xf>
    <xf numFmtId="0" fontId="9" fillId="0" borderId="98" xfId="158" applyBorder="1"/>
    <xf numFmtId="4" fontId="36" fillId="138" borderId="98" xfId="158" applyNumberFormat="1" applyFont="1" applyFill="1" applyBorder="1" applyAlignment="1">
      <alignment horizontal="center" vertical="center"/>
    </xf>
    <xf numFmtId="1" fontId="36" fillId="138" borderId="98" xfId="158" applyNumberFormat="1" applyFont="1" applyFill="1" applyBorder="1" applyAlignment="1">
      <alignment horizontal="center"/>
    </xf>
    <xf numFmtId="0" fontId="33" fillId="138" borderId="98" xfId="158" applyFont="1" applyFill="1" applyBorder="1" applyAlignment="1">
      <alignment horizontal="left"/>
    </xf>
    <xf numFmtId="3" fontId="278" fillId="138" borderId="98" xfId="158" applyNumberFormat="1" applyFont="1" applyFill="1" applyBorder="1"/>
    <xf numFmtId="0" fontId="36" fillId="138" borderId="98" xfId="158" applyFont="1" applyFill="1" applyBorder="1"/>
    <xf numFmtId="281" fontId="278" fillId="138" borderId="98" xfId="22884" applyNumberFormat="1" applyFont="1" applyFill="1" applyBorder="1" applyAlignment="1">
      <alignment horizontal="center"/>
    </xf>
    <xf numFmtId="10" fontId="278" fillId="138" borderId="98" xfId="22884" applyNumberFormat="1" applyFont="1" applyFill="1" applyBorder="1" applyAlignment="1">
      <alignment horizontal="center"/>
    </xf>
    <xf numFmtId="350" fontId="36" fillId="138" borderId="98" xfId="158" applyNumberFormat="1" applyFont="1" applyFill="1" applyBorder="1"/>
    <xf numFmtId="4" fontId="58" fillId="0" borderId="98" xfId="158" applyNumberFormat="1" applyFont="1" applyBorder="1" applyAlignment="1">
      <alignment vertical="center"/>
    </xf>
    <xf numFmtId="1" fontId="15" fillId="35" borderId="98" xfId="64" applyNumberFormat="1" applyFont="1" applyFill="1" applyBorder="1" applyAlignment="1">
      <alignment horizontal="center" vertical="center"/>
    </xf>
    <xf numFmtId="0" fontId="15" fillId="0" borderId="98" xfId="158" applyFont="1" applyBorder="1" applyAlignment="1">
      <alignment vertical="center"/>
    </xf>
    <xf numFmtId="3" fontId="15" fillId="0" borderId="98" xfId="158" applyNumberFormat="1" applyFont="1" applyBorder="1" applyAlignment="1">
      <alignment horizontal="center"/>
    </xf>
    <xf numFmtId="1" fontId="58" fillId="35" borderId="98" xfId="60" applyNumberFormat="1" applyFont="1" applyFill="1" applyBorder="1" applyAlignment="1">
      <alignment horizontal="center" vertical="center"/>
    </xf>
    <xf numFmtId="0" fontId="15" fillId="0" borderId="98" xfId="158" applyFont="1" applyBorder="1" applyAlignment="1">
      <alignment horizontal="left" vertical="center" wrapText="1"/>
    </xf>
    <xf numFmtId="4" fontId="9" fillId="0" borderId="98" xfId="158" applyNumberFormat="1" applyBorder="1" applyAlignment="1">
      <alignment vertical="center"/>
    </xf>
    <xf numFmtId="4" fontId="35" fillId="138" borderId="98" xfId="158" applyNumberFormat="1" applyFont="1" applyFill="1" applyBorder="1" applyAlignment="1">
      <alignment vertical="center"/>
    </xf>
    <xf numFmtId="3" fontId="35" fillId="138" borderId="98" xfId="158" applyNumberFormat="1" applyFont="1" applyFill="1" applyBorder="1"/>
    <xf numFmtId="1" fontId="15" fillId="12" borderId="98" xfId="64" applyNumberFormat="1" applyFont="1" applyFill="1" applyBorder="1" applyAlignment="1">
      <alignment horizontal="center" vertical="center"/>
    </xf>
    <xf numFmtId="1" fontId="58" fillId="35" borderId="98" xfId="158" applyNumberFormat="1" applyFont="1" applyFill="1" applyBorder="1" applyAlignment="1">
      <alignment horizontal="center" vertical="center"/>
    </xf>
    <xf numFmtId="4" fontId="36" fillId="138" borderId="98" xfId="158" applyNumberFormat="1" applyFont="1" applyFill="1" applyBorder="1" applyAlignment="1">
      <alignment vertical="center"/>
    </xf>
    <xf numFmtId="0" fontId="22" fillId="0" borderId="98" xfId="158" applyFont="1" applyBorder="1" applyAlignment="1">
      <alignment wrapText="1"/>
    </xf>
    <xf numFmtId="0" fontId="10" fillId="0" borderId="98" xfId="158" applyFont="1" applyBorder="1"/>
    <xf numFmtId="0" fontId="15" fillId="0" borderId="98" xfId="158" applyFont="1" applyBorder="1" applyAlignment="1">
      <alignment wrapText="1"/>
    </xf>
    <xf numFmtId="3" fontId="22" fillId="12" borderId="98" xfId="158" applyNumberFormat="1" applyFont="1" applyFill="1" applyBorder="1"/>
    <xf numFmtId="307" fontId="9" fillId="52" borderId="98" xfId="0" applyNumberFormat="1" applyFont="1" applyFill="1" applyBorder="1" applyAlignment="1">
      <alignment horizontal="left" vertical="center"/>
    </xf>
    <xf numFmtId="352" fontId="9" fillId="52" borderId="98" xfId="0" applyNumberFormat="1" applyFont="1" applyFill="1" applyBorder="1" applyAlignment="1">
      <alignment horizontal="right" vertical="center"/>
    </xf>
    <xf numFmtId="0" fontId="9" fillId="52" borderId="98" xfId="0" applyFont="1" applyFill="1" applyBorder="1" applyAlignment="1">
      <alignment horizontal="left" vertical="center"/>
    </xf>
    <xf numFmtId="353" fontId="9" fillId="52" borderId="98" xfId="0" applyNumberFormat="1" applyFont="1" applyFill="1" applyBorder="1" applyAlignment="1">
      <alignment horizontal="right" vertical="center"/>
    </xf>
    <xf numFmtId="354" fontId="9" fillId="52" borderId="98" xfId="0" applyNumberFormat="1" applyFont="1" applyFill="1" applyBorder="1" applyAlignment="1">
      <alignment horizontal="right" vertical="center"/>
    </xf>
    <xf numFmtId="3" fontId="9" fillId="52" borderId="98" xfId="0" applyNumberFormat="1" applyFont="1" applyFill="1" applyBorder="1" applyAlignment="1">
      <alignment horizontal="center" vertical="center" wrapText="1"/>
    </xf>
    <xf numFmtId="3" fontId="10" fillId="52" borderId="98" xfId="0" applyNumberFormat="1" applyFont="1" applyFill="1" applyBorder="1" applyAlignment="1">
      <alignment horizontal="center" vertical="center" wrapText="1"/>
    </xf>
    <xf numFmtId="3" fontId="9" fillId="0" borderId="98" xfId="0" applyNumberFormat="1" applyFont="1" applyBorder="1" applyAlignment="1">
      <alignment horizontal="center" vertical="center"/>
    </xf>
    <xf numFmtId="9" fontId="9" fillId="0" borderId="98" xfId="13" applyFont="1" applyBorder="1" applyAlignment="1">
      <alignment horizontal="center" vertical="center"/>
    </xf>
    <xf numFmtId="0" fontId="10" fillId="52" borderId="98" xfId="0" applyFont="1" applyFill="1" applyBorder="1" applyAlignment="1">
      <alignment vertical="center"/>
    </xf>
    <xf numFmtId="0" fontId="10" fillId="52" borderId="98" xfId="0" applyFont="1" applyFill="1" applyBorder="1" applyAlignment="1">
      <alignment horizontal="center" vertical="center"/>
    </xf>
    <xf numFmtId="0" fontId="10" fillId="52" borderId="98" xfId="0" applyFont="1" applyFill="1" applyBorder="1" applyAlignment="1">
      <alignment horizontal="center"/>
    </xf>
    <xf numFmtId="0" fontId="10" fillId="35" borderId="98" xfId="0" applyFont="1" applyFill="1" applyBorder="1" applyAlignment="1">
      <alignment vertical="center"/>
    </xf>
    <xf numFmtId="0" fontId="10" fillId="0" borderId="98" xfId="0" applyFont="1" applyBorder="1" applyAlignment="1">
      <alignment horizontal="center" vertical="center"/>
    </xf>
    <xf numFmtId="3" fontId="10" fillId="0" borderId="98" xfId="0" applyNumberFormat="1" applyFont="1" applyBorder="1" applyAlignment="1">
      <alignment horizontal="center"/>
    </xf>
    <xf numFmtId="0" fontId="10" fillId="52" borderId="98" xfId="0" applyFont="1" applyFill="1" applyBorder="1"/>
    <xf numFmtId="0" fontId="10" fillId="52" borderId="98" xfId="0" applyFont="1" applyFill="1" applyBorder="1" applyAlignment="1">
      <alignment horizontal="right"/>
    </xf>
    <xf numFmtId="0" fontId="10" fillId="0" borderId="98" xfId="0" applyFont="1" applyBorder="1" applyAlignment="1">
      <alignment horizontal="center"/>
    </xf>
    <xf numFmtId="195" fontId="10" fillId="0" borderId="98" xfId="0" applyNumberFormat="1" applyFont="1" applyBorder="1"/>
    <xf numFmtId="195" fontId="10" fillId="0" borderId="98" xfId="0" applyNumberFormat="1" applyFont="1" applyBorder="1" applyAlignment="1">
      <alignment horizontal="center"/>
    </xf>
    <xf numFmtId="195" fontId="10" fillId="0" borderId="98" xfId="0" applyNumberFormat="1" applyFont="1" applyBorder="1" applyAlignment="1">
      <alignment horizontal="right"/>
    </xf>
    <xf numFmtId="0" fontId="9" fillId="0" borderId="98" xfId="0" applyFont="1" applyBorder="1"/>
    <xf numFmtId="195" fontId="9" fillId="0" borderId="98" xfId="0" applyNumberFormat="1" applyFont="1" applyBorder="1"/>
    <xf numFmtId="10" fontId="9" fillId="0" borderId="98" xfId="24039" applyNumberFormat="1" applyFont="1" applyBorder="1" applyAlignment="1">
      <alignment horizontal="center"/>
    </xf>
    <xf numFmtId="195" fontId="9" fillId="0" borderId="98" xfId="0" applyNumberFormat="1" applyFont="1" applyBorder="1" applyAlignment="1">
      <alignment horizontal="right"/>
    </xf>
    <xf numFmtId="0" fontId="10" fillId="52" borderId="98" xfId="0" applyFont="1" applyFill="1" applyBorder="1" applyAlignment="1">
      <alignment horizontal="center" vertical="center" wrapText="1"/>
    </xf>
    <xf numFmtId="0" fontId="10" fillId="52" borderId="98" xfId="0" applyFont="1" applyFill="1" applyBorder="1" applyAlignment="1">
      <alignment horizontal="right" vertical="center"/>
    </xf>
    <xf numFmtId="9" fontId="9" fillId="0" borderId="98" xfId="24039" applyFont="1" applyBorder="1" applyAlignment="1">
      <alignment horizontal="center"/>
    </xf>
    <xf numFmtId="0" fontId="10" fillId="0" borderId="98" xfId="0" applyFont="1" applyBorder="1" applyAlignment="1">
      <alignment horizontal="right"/>
    </xf>
    <xf numFmtId="3" fontId="10" fillId="0" borderId="98" xfId="0" applyNumberFormat="1" applyFont="1" applyBorder="1"/>
    <xf numFmtId="3" fontId="10" fillId="0" borderId="98" xfId="0" applyNumberFormat="1" applyFont="1" applyBorder="1" applyAlignment="1">
      <alignment horizontal="right"/>
    </xf>
    <xf numFmtId="3" fontId="9" fillId="0" borderId="98" xfId="0" applyNumberFormat="1" applyFont="1" applyBorder="1"/>
    <xf numFmtId="267" fontId="9" fillId="0" borderId="98" xfId="24040" applyNumberFormat="1" applyFont="1" applyBorder="1" applyAlignment="1">
      <alignment horizontal="right"/>
    </xf>
    <xf numFmtId="3" fontId="9" fillId="0" borderId="98" xfId="0" applyNumberFormat="1" applyFont="1" applyBorder="1" applyAlignment="1">
      <alignment horizontal="right"/>
    </xf>
    <xf numFmtId="0" fontId="10" fillId="52" borderId="98" xfId="0" applyFont="1" applyFill="1" applyBorder="1" applyAlignment="1">
      <alignment horizontal="left"/>
    </xf>
    <xf numFmtId="0" fontId="9" fillId="52" borderId="98" xfId="0" applyFont="1" applyFill="1" applyBorder="1" applyAlignment="1">
      <alignment horizontal="centerContinuous"/>
    </xf>
    <xf numFmtId="0" fontId="10" fillId="35" borderId="98" xfId="0" applyFont="1" applyFill="1" applyBorder="1"/>
    <xf numFmtId="0" fontId="10" fillId="35" borderId="98" xfId="0" applyFont="1" applyFill="1" applyBorder="1" applyAlignment="1">
      <alignment horizontal="center"/>
    </xf>
    <xf numFmtId="0" fontId="9" fillId="0" borderId="98" xfId="0" applyFont="1" applyBorder="1" applyAlignment="1">
      <alignment horizontal="right"/>
    </xf>
    <xf numFmtId="0" fontId="10" fillId="0" borderId="98" xfId="0" applyFont="1" applyBorder="1"/>
    <xf numFmtId="0" fontId="33" fillId="138" borderId="98" xfId="0" applyFont="1" applyFill="1" applyBorder="1" applyAlignment="1">
      <alignment horizontal="center" vertical="center" wrapText="1"/>
    </xf>
    <xf numFmtId="3" fontId="33" fillId="138" borderId="98" xfId="0" applyNumberFormat="1" applyFont="1" applyFill="1" applyBorder="1" applyAlignment="1">
      <alignment horizontal="center" vertical="center" wrapText="1"/>
    </xf>
    <xf numFmtId="3" fontId="33" fillId="138" borderId="98" xfId="0" applyNumberFormat="1" applyFont="1" applyFill="1" applyBorder="1" applyAlignment="1">
      <alignment horizontal="center" vertical="center"/>
    </xf>
    <xf numFmtId="3" fontId="9" fillId="0" borderId="98" xfId="0" applyNumberFormat="1" applyFont="1" applyBorder="1" applyAlignment="1">
      <alignment vertical="center"/>
    </xf>
    <xf numFmtId="9" fontId="9" fillId="0" borderId="98" xfId="24039" applyFont="1" applyBorder="1" applyAlignment="1">
      <alignment vertical="center"/>
    </xf>
    <xf numFmtId="355" fontId="33" fillId="138" borderId="98" xfId="0" applyNumberFormat="1" applyFont="1" applyFill="1" applyBorder="1" applyAlignment="1">
      <alignment vertical="center"/>
    </xf>
    <xf numFmtId="195" fontId="33" fillId="138" borderId="98" xfId="0" applyNumberFormat="1" applyFont="1" applyFill="1" applyBorder="1" applyAlignment="1">
      <alignment vertical="center"/>
    </xf>
    <xf numFmtId="0" fontId="36" fillId="138" borderId="98" xfId="0" applyFont="1" applyFill="1" applyBorder="1" applyAlignment="1">
      <alignment horizontal="center" vertical="center" wrapText="1"/>
    </xf>
    <xf numFmtId="3" fontId="36" fillId="138" borderId="98" xfId="0" applyNumberFormat="1" applyFont="1" applyFill="1" applyBorder="1" applyAlignment="1">
      <alignment horizontal="center" vertical="center" wrapText="1"/>
    </xf>
    <xf numFmtId="0" fontId="36" fillId="138" borderId="98" xfId="0" applyFont="1" applyFill="1" applyBorder="1" applyAlignment="1">
      <alignment horizontal="center" vertical="center"/>
    </xf>
    <xf numFmtId="3" fontId="36" fillId="138" borderId="98" xfId="0" applyNumberFormat="1" applyFont="1" applyFill="1" applyBorder="1" applyAlignment="1">
      <alignment horizontal="center" vertical="center"/>
    </xf>
    <xf numFmtId="356" fontId="33" fillId="138" borderId="98" xfId="0" applyNumberFormat="1" applyFont="1" applyFill="1" applyBorder="1" applyAlignment="1">
      <alignment vertical="center"/>
    </xf>
    <xf numFmtId="356" fontId="9" fillId="0" borderId="98" xfId="24039" applyNumberFormat="1" applyFont="1" applyBorder="1" applyAlignment="1">
      <alignment vertical="center"/>
    </xf>
    <xf numFmtId="355" fontId="10" fillId="138" borderId="98" xfId="0" applyNumberFormat="1" applyFont="1" applyFill="1" applyBorder="1" applyAlignment="1">
      <alignment vertical="center"/>
    </xf>
    <xf numFmtId="195" fontId="10" fillId="138" borderId="98" xfId="0" applyNumberFormat="1" applyFont="1" applyFill="1" applyBorder="1" applyAlignment="1">
      <alignment vertical="center"/>
    </xf>
    <xf numFmtId="3" fontId="33" fillId="138" borderId="98" xfId="0" applyNumberFormat="1" applyFont="1" applyFill="1" applyBorder="1" applyAlignment="1">
      <alignment vertical="center"/>
    </xf>
    <xf numFmtId="0" fontId="36" fillId="138" borderId="98" xfId="0" applyFont="1" applyFill="1" applyBorder="1" applyAlignment="1">
      <alignment vertical="center"/>
    </xf>
    <xf numFmtId="0" fontId="0" fillId="0" borderId="98" xfId="0" applyBorder="1" applyAlignment="1">
      <alignment horizontal="center" vertical="center"/>
    </xf>
    <xf numFmtId="3" fontId="0" fillId="0" borderId="98" xfId="0" applyNumberFormat="1" applyBorder="1" applyAlignment="1">
      <alignment vertical="center"/>
    </xf>
    <xf numFmtId="357" fontId="10" fillId="35" borderId="98" xfId="0" applyNumberFormat="1" applyFont="1" applyFill="1" applyBorder="1" applyAlignment="1">
      <alignment vertical="center"/>
    </xf>
    <xf numFmtId="0" fontId="9" fillId="35" borderId="98" xfId="0" applyFont="1" applyFill="1" applyBorder="1" applyAlignment="1">
      <alignment vertical="center"/>
    </xf>
    <xf numFmtId="359" fontId="9" fillId="35" borderId="98" xfId="0" applyNumberFormat="1" applyFont="1" applyFill="1" applyBorder="1" applyAlignment="1">
      <alignment horizontal="center" vertical="center"/>
    </xf>
    <xf numFmtId="358" fontId="9" fillId="35" borderId="98" xfId="0" applyNumberFormat="1" applyFont="1" applyFill="1" applyBorder="1" applyAlignment="1">
      <alignment horizontal="center" vertical="center"/>
    </xf>
    <xf numFmtId="351" fontId="9" fillId="0" borderId="98" xfId="0" applyNumberFormat="1" applyFont="1" applyBorder="1" applyAlignment="1">
      <alignment horizontal="left"/>
    </xf>
    <xf numFmtId="351" fontId="9" fillId="0" borderId="98" xfId="0" applyNumberFormat="1" applyFont="1" applyBorder="1" applyAlignment="1">
      <alignment horizontal="center"/>
    </xf>
    <xf numFmtId="350" fontId="9" fillId="0" borderId="98" xfId="0" applyNumberFormat="1" applyFont="1" applyBorder="1" applyAlignment="1">
      <alignment horizontal="center"/>
    </xf>
    <xf numFmtId="2" fontId="9" fillId="0" borderId="98" xfId="0" applyNumberFormat="1" applyFont="1" applyBorder="1" applyAlignment="1">
      <alignment horizontal="center"/>
    </xf>
    <xf numFmtId="165" fontId="9" fillId="35" borderId="98" xfId="24040" applyFont="1" applyFill="1" applyBorder="1" applyAlignment="1">
      <alignment horizontal="center"/>
    </xf>
    <xf numFmtId="165" fontId="10" fillId="35" borderId="98" xfId="0" applyNumberFormat="1" applyFont="1" applyFill="1" applyBorder="1"/>
    <xf numFmtId="165" fontId="10" fillId="0" borderId="98" xfId="0" applyNumberFormat="1" applyFont="1" applyBorder="1"/>
    <xf numFmtId="9" fontId="9" fillId="0" borderId="98" xfId="13" applyFont="1" applyBorder="1" applyAlignment="1">
      <alignment horizontal="center"/>
    </xf>
    <xf numFmtId="4" fontId="9" fillId="0" borderId="98" xfId="0" applyNumberFormat="1" applyFont="1" applyBorder="1" applyAlignment="1">
      <alignment horizontal="center"/>
    </xf>
    <xf numFmtId="165" fontId="9" fillId="0" borderId="98" xfId="24040" applyFont="1" applyBorder="1" applyAlignment="1">
      <alignment horizontal="center"/>
    </xf>
    <xf numFmtId="0" fontId="9" fillId="0" borderId="98" xfId="0" applyFont="1" applyBorder="1" applyAlignment="1">
      <alignment horizontal="left" vertical="center"/>
    </xf>
    <xf numFmtId="0" fontId="33" fillId="138" borderId="98" xfId="0" applyFont="1" applyFill="1" applyBorder="1"/>
    <xf numFmtId="4" fontId="0" fillId="0" borderId="98" xfId="0" applyNumberFormat="1" applyBorder="1"/>
    <xf numFmtId="0" fontId="0" fillId="0" borderId="98" xfId="0" applyBorder="1" applyAlignment="1">
      <alignment horizontal="center"/>
    </xf>
    <xf numFmtId="4" fontId="10" fillId="0" borderId="98" xfId="0" applyNumberFormat="1" applyFont="1" applyBorder="1"/>
    <xf numFmtId="10" fontId="9" fillId="35" borderId="0" xfId="13" applyNumberFormat="1" applyFont="1" applyFill="1" applyAlignment="1">
      <alignment vertical="center"/>
    </xf>
    <xf numFmtId="4" fontId="9" fillId="0" borderId="0" xfId="8" applyNumberFormat="1" applyFont="1" applyAlignment="1">
      <alignment vertical="center"/>
    </xf>
    <xf numFmtId="0" fontId="22" fillId="35" borderId="0" xfId="8" applyFont="1" applyFill="1" applyAlignment="1">
      <alignment horizontal="left" vertical="center"/>
    </xf>
    <xf numFmtId="4" fontId="33" fillId="138" borderId="98" xfId="8" applyNumberFormat="1" applyFont="1" applyFill="1" applyBorder="1" applyAlignment="1">
      <alignment horizontal="centerContinuous" vertical="center"/>
    </xf>
    <xf numFmtId="4" fontId="36" fillId="138" borderId="98" xfId="8" applyNumberFormat="1" applyFont="1" applyFill="1" applyBorder="1" applyAlignment="1">
      <alignment horizontal="centerContinuous" vertical="center"/>
    </xf>
    <xf numFmtId="3" fontId="33" fillId="138" borderId="98" xfId="9" applyNumberFormat="1" applyFont="1" applyFill="1" applyBorder="1" applyAlignment="1">
      <alignment horizontal="center" vertical="center"/>
    </xf>
    <xf numFmtId="0" fontId="33" fillId="138" borderId="98" xfId="8" applyFont="1" applyFill="1" applyBorder="1" applyAlignment="1">
      <alignment horizontal="left" vertical="center"/>
    </xf>
    <xf numFmtId="4" fontId="33" fillId="138" borderId="98" xfId="8" applyNumberFormat="1" applyFont="1" applyFill="1" applyBorder="1" applyAlignment="1">
      <alignment horizontal="right" vertical="center" wrapText="1"/>
    </xf>
    <xf numFmtId="4" fontId="33" fillId="138" borderId="98" xfId="9" applyNumberFormat="1" applyFont="1" applyFill="1" applyBorder="1" applyAlignment="1">
      <alignment horizontal="center" vertical="center"/>
    </xf>
    <xf numFmtId="3" fontId="36" fillId="138" borderId="98" xfId="9" applyNumberFormat="1" applyFont="1" applyFill="1" applyBorder="1" applyAlignment="1">
      <alignment horizontal="center" vertical="center"/>
    </xf>
    <xf numFmtId="0" fontId="33" fillId="138" borderId="98" xfId="8" applyFont="1" applyFill="1" applyBorder="1" applyAlignment="1">
      <alignment horizontal="left" vertical="center" indent="1"/>
    </xf>
    <xf numFmtId="4" fontId="33" fillId="138" borderId="98" xfId="8" applyNumberFormat="1" applyFont="1" applyFill="1" applyBorder="1" applyAlignment="1">
      <alignment horizontal="right" vertical="center"/>
    </xf>
    <xf numFmtId="0" fontId="9" fillId="0" borderId="98" xfId="9" applyBorder="1" applyAlignment="1">
      <alignment horizontal="center" vertical="center"/>
    </xf>
    <xf numFmtId="0" fontId="9" fillId="0" borderId="98" xfId="8" applyFont="1" applyBorder="1" applyAlignment="1">
      <alignment horizontal="left" vertical="center" indent="2"/>
    </xf>
    <xf numFmtId="4" fontId="9" fillId="0" borderId="98" xfId="8" applyNumberFormat="1" applyFont="1" applyBorder="1" applyAlignment="1">
      <alignment vertical="center"/>
    </xf>
    <xf numFmtId="4" fontId="9" fillId="0" borderId="98" xfId="8" applyNumberFormat="1" applyFont="1" applyBorder="1" applyAlignment="1">
      <alignment horizontal="right" vertical="center"/>
    </xf>
    <xf numFmtId="4" fontId="9" fillId="35" borderId="98" xfId="8" applyNumberFormat="1" applyFont="1" applyFill="1" applyBorder="1" applyAlignment="1">
      <alignment horizontal="right" vertical="center"/>
    </xf>
    <xf numFmtId="4" fontId="9" fillId="0" borderId="98" xfId="9" applyNumberFormat="1" applyBorder="1" applyAlignment="1">
      <alignment horizontal="right" vertical="center"/>
    </xf>
    <xf numFmtId="0" fontId="36" fillId="138" borderId="98" xfId="9" applyFont="1" applyFill="1" applyBorder="1" applyAlignment="1">
      <alignment horizontal="center" vertical="center"/>
    </xf>
    <xf numFmtId="0" fontId="10" fillId="0" borderId="98" xfId="8" applyFont="1" applyBorder="1" applyAlignment="1">
      <alignment horizontal="left" vertical="center" indent="1"/>
    </xf>
    <xf numFmtId="4" fontId="36" fillId="138" borderId="98" xfId="8" applyNumberFormat="1" applyFont="1" applyFill="1" applyBorder="1" applyAlignment="1">
      <alignment horizontal="right" vertical="center"/>
    </xf>
    <xf numFmtId="4" fontId="33" fillId="138" borderId="98" xfId="9" applyNumberFormat="1" applyFont="1" applyFill="1" applyBorder="1" applyAlignment="1">
      <alignment horizontal="right" vertical="center"/>
    </xf>
    <xf numFmtId="0" fontId="9" fillId="0" borderId="98" xfId="9" applyBorder="1" applyAlignment="1">
      <alignment horizontal="center"/>
    </xf>
    <xf numFmtId="0" fontId="9" fillId="0" borderId="98" xfId="8" applyFont="1" applyBorder="1" applyAlignment="1">
      <alignment horizontal="center"/>
    </xf>
    <xf numFmtId="0" fontId="36" fillId="138" borderId="98" xfId="9" applyFont="1" applyFill="1" applyBorder="1" applyAlignment="1">
      <alignment horizontal="center"/>
    </xf>
    <xf numFmtId="0" fontId="9" fillId="0" borderId="98" xfId="8" applyFont="1" applyBorder="1" applyAlignment="1">
      <alignment horizontal="left" vertical="center" indent="1"/>
    </xf>
    <xf numFmtId="0" fontId="10" fillId="0" borderId="98" xfId="8" applyFont="1" applyBorder="1" applyAlignment="1">
      <alignment horizontal="left" vertical="center"/>
    </xf>
    <xf numFmtId="4" fontId="10" fillId="35" borderId="98" xfId="8" applyNumberFormat="1" applyFont="1" applyFill="1" applyBorder="1" applyAlignment="1">
      <alignment horizontal="right" vertical="center"/>
    </xf>
    <xf numFmtId="4" fontId="10" fillId="0" borderId="98" xfId="8" applyNumberFormat="1" applyFont="1" applyBorder="1" applyAlignment="1">
      <alignment horizontal="right" vertical="center"/>
    </xf>
    <xf numFmtId="3" fontId="9" fillId="0" borderId="98" xfId="9" applyNumberFormat="1" applyBorder="1" applyAlignment="1">
      <alignment horizontal="center" vertical="center"/>
    </xf>
    <xf numFmtId="0" fontId="20" fillId="0" borderId="98" xfId="8" applyFont="1" applyBorder="1" applyAlignment="1">
      <alignment horizontal="left" vertical="center"/>
    </xf>
    <xf numFmtId="4" fontId="33" fillId="138" borderId="98" xfId="8" applyNumberFormat="1" applyFont="1" applyFill="1" applyBorder="1" applyAlignment="1">
      <alignment horizontal="left" vertical="center"/>
    </xf>
    <xf numFmtId="0" fontId="33" fillId="141" borderId="90" xfId="8" applyFont="1" applyFill="1" applyBorder="1" applyAlignment="1">
      <alignment vertical="center"/>
    </xf>
    <xf numFmtId="0" fontId="33" fillId="141" borderId="73" xfId="8" applyFont="1" applyFill="1" applyBorder="1" applyAlignment="1">
      <alignment vertical="center"/>
    </xf>
    <xf numFmtId="49" fontId="36" fillId="141" borderId="73" xfId="8" applyNumberFormat="1" applyFont="1" applyFill="1" applyBorder="1"/>
    <xf numFmtId="0" fontId="36" fillId="141" borderId="73" xfId="8" applyFont="1" applyFill="1" applyBorder="1"/>
    <xf numFmtId="0" fontId="36" fillId="141" borderId="56" xfId="8" applyFont="1" applyFill="1" applyBorder="1"/>
    <xf numFmtId="0" fontId="33" fillId="141" borderId="98" xfId="8" applyFont="1" applyFill="1" applyBorder="1" applyAlignment="1">
      <alignment horizontal="center" vertical="center"/>
    </xf>
    <xf numFmtId="49" fontId="33" fillId="141" borderId="98" xfId="8" applyNumberFormat="1" applyFont="1" applyFill="1" applyBorder="1" applyAlignment="1">
      <alignment horizontal="center" wrapText="1"/>
    </xf>
    <xf numFmtId="0" fontId="9" fillId="47" borderId="98" xfId="8" applyFont="1" applyFill="1" applyBorder="1" applyAlignment="1">
      <alignment horizontal="center"/>
    </xf>
    <xf numFmtId="4" fontId="9" fillId="47" borderId="98" xfId="8" applyNumberFormat="1" applyFont="1" applyFill="1" applyBorder="1" applyAlignment="1">
      <alignment horizontal="left" indent="1"/>
    </xf>
    <xf numFmtId="49" fontId="9" fillId="47" borderId="98" xfId="14" applyNumberFormat="1" applyFont="1" applyFill="1" applyBorder="1" applyAlignment="1">
      <alignment horizontal="center"/>
    </xf>
    <xf numFmtId="4" fontId="9" fillId="47" borderId="98" xfId="8" applyNumberFormat="1" applyFont="1" applyFill="1" applyBorder="1"/>
    <xf numFmtId="0" fontId="9" fillId="47" borderId="98" xfId="8" applyFont="1" applyFill="1" applyBorder="1" applyAlignment="1">
      <alignment horizontal="left" indent="1"/>
    </xf>
    <xf numFmtId="49" fontId="9" fillId="47" borderId="98" xfId="8" applyNumberFormat="1" applyFont="1" applyFill="1" applyBorder="1" applyAlignment="1">
      <alignment horizontal="center"/>
    </xf>
    <xf numFmtId="0" fontId="9" fillId="139" borderId="0" xfId="8" applyFont="1" applyFill="1"/>
    <xf numFmtId="0" fontId="9" fillId="140" borderId="0" xfId="8" applyFont="1" applyFill="1"/>
    <xf numFmtId="0" fontId="9" fillId="141" borderId="0" xfId="8" applyFont="1" applyFill="1"/>
    <xf numFmtId="49" fontId="9" fillId="47" borderId="0" xfId="8" applyNumberFormat="1" applyFont="1" applyFill="1"/>
    <xf numFmtId="0" fontId="61" fillId="138" borderId="73" xfId="20" applyFont="1" applyFill="1" applyBorder="1" applyAlignment="1">
      <alignment horizontal="centerContinuous" vertical="center"/>
    </xf>
    <xf numFmtId="0" fontId="10" fillId="138" borderId="39" xfId="20" applyFont="1" applyFill="1" applyBorder="1" applyAlignment="1">
      <alignment vertical="center"/>
    </xf>
    <xf numFmtId="0" fontId="22" fillId="138" borderId="98" xfId="20" applyFont="1" applyFill="1" applyBorder="1" applyAlignment="1">
      <alignment horizontal="center" vertical="center"/>
    </xf>
    <xf numFmtId="0" fontId="9" fillId="35" borderId="90" xfId="20" applyFill="1" applyBorder="1" applyAlignment="1">
      <alignment vertical="center"/>
    </xf>
    <xf numFmtId="0" fontId="9" fillId="35" borderId="92" xfId="20" applyFill="1" applyBorder="1" applyAlignment="1">
      <alignment horizontal="center" vertical="center"/>
    </xf>
    <xf numFmtId="0" fontId="9" fillId="35" borderId="56" xfId="20" applyFill="1" applyBorder="1" applyAlignment="1">
      <alignment horizontal="centerContinuous" vertical="center"/>
    </xf>
    <xf numFmtId="4" fontId="9" fillId="35" borderId="56" xfId="20" applyNumberFormat="1" applyFill="1" applyBorder="1" applyAlignment="1">
      <alignment vertical="center"/>
    </xf>
    <xf numFmtId="0" fontId="10" fillId="35" borderId="98" xfId="20" applyFont="1" applyFill="1" applyBorder="1" applyAlignment="1">
      <alignment horizontal="left" vertical="center" indent="1"/>
    </xf>
    <xf numFmtId="0" fontId="9" fillId="35" borderId="98" xfId="20" applyFill="1" applyBorder="1" applyAlignment="1">
      <alignment horizontal="center" vertical="center"/>
    </xf>
    <xf numFmtId="4" fontId="33" fillId="138" borderId="98" xfId="20" applyNumberFormat="1" applyFont="1" applyFill="1" applyBorder="1" applyAlignment="1">
      <alignment vertical="center"/>
    </xf>
    <xf numFmtId="0" fontId="9" fillId="35" borderId="98" xfId="20" applyFill="1" applyBorder="1" applyAlignment="1">
      <alignment horizontal="left" vertical="center" indent="3"/>
    </xf>
    <xf numFmtId="3" fontId="9" fillId="35" borderId="98" xfId="20" applyNumberFormat="1" applyFill="1" applyBorder="1" applyAlignment="1">
      <alignment horizontal="centerContinuous" vertical="center"/>
    </xf>
    <xf numFmtId="3" fontId="9" fillId="35" borderId="98" xfId="20" applyNumberFormat="1" applyFill="1" applyBorder="1" applyAlignment="1">
      <alignment horizontal="center" vertical="center"/>
    </xf>
    <xf numFmtId="1" fontId="9" fillId="35" borderId="98" xfId="20" applyNumberFormat="1" applyFill="1" applyBorder="1" applyAlignment="1">
      <alignment horizontal="centerContinuous" vertical="center"/>
    </xf>
    <xf numFmtId="0" fontId="9" fillId="35" borderId="99" xfId="20" applyFill="1" applyBorder="1" applyAlignment="1">
      <alignment horizontal="center" vertical="center"/>
    </xf>
    <xf numFmtId="0" fontId="33" fillId="138" borderId="100" xfId="20" applyFont="1" applyFill="1" applyBorder="1" applyAlignment="1">
      <alignment horizontal="centerContinuous" vertical="center"/>
    </xf>
    <xf numFmtId="0" fontId="36" fillId="138" borderId="99" xfId="20" applyFont="1" applyFill="1" applyBorder="1" applyAlignment="1">
      <alignment horizontal="centerContinuous" vertical="center"/>
    </xf>
    <xf numFmtId="4" fontId="36" fillId="138" borderId="99" xfId="20" applyNumberFormat="1" applyFont="1" applyFill="1" applyBorder="1" applyAlignment="1">
      <alignment horizontal="centerContinuous" vertical="center"/>
    </xf>
    <xf numFmtId="0" fontId="10" fillId="35" borderId="100" xfId="20" applyFont="1" applyFill="1" applyBorder="1" applyAlignment="1">
      <alignment horizontal="centerContinuous" vertical="center"/>
    </xf>
    <xf numFmtId="3" fontId="10" fillId="35" borderId="99" xfId="20" applyNumberFormat="1" applyFont="1" applyFill="1" applyBorder="1" applyAlignment="1">
      <alignment horizontal="centerContinuous" vertical="center"/>
    </xf>
    <xf numFmtId="0" fontId="10" fillId="35" borderId="99" xfId="20" applyFont="1" applyFill="1" applyBorder="1" applyAlignment="1">
      <alignment horizontal="centerContinuous" vertical="center"/>
    </xf>
    <xf numFmtId="3" fontId="33" fillId="138" borderId="98" xfId="20" applyNumberFormat="1" applyFont="1" applyFill="1" applyBorder="1" applyAlignment="1">
      <alignment vertical="center"/>
    </xf>
    <xf numFmtId="0" fontId="9" fillId="35" borderId="99" xfId="20" applyFill="1" applyBorder="1" applyAlignment="1">
      <alignment horizontal="centerContinuous" vertical="center"/>
    </xf>
    <xf numFmtId="4" fontId="9" fillId="35" borderId="99" xfId="20" applyNumberFormat="1" applyFill="1" applyBorder="1" applyAlignment="1">
      <alignment horizontal="centerContinuous" vertical="center"/>
    </xf>
    <xf numFmtId="0" fontId="278" fillId="138" borderId="98" xfId="0" applyFont="1" applyFill="1" applyBorder="1" applyAlignment="1">
      <alignment horizontal="center" vertical="center"/>
    </xf>
    <xf numFmtId="0" fontId="278" fillId="138" borderId="98" xfId="0" applyFont="1" applyFill="1" applyBorder="1" applyAlignment="1">
      <alignment horizontal="center" vertical="center" wrapText="1"/>
    </xf>
    <xf numFmtId="0" fontId="15" fillId="0" borderId="98" xfId="0" applyFont="1" applyBorder="1" applyAlignment="1">
      <alignment horizontal="center"/>
    </xf>
    <xf numFmtId="165" fontId="15" fillId="0" borderId="98" xfId="14" applyFont="1" applyBorder="1"/>
    <xf numFmtId="43" fontId="15" fillId="0" borderId="98" xfId="0" applyNumberFormat="1" applyFont="1" applyBorder="1"/>
    <xf numFmtId="0" fontId="15" fillId="0" borderId="98" xfId="0" applyFont="1" applyBorder="1"/>
    <xf numFmtId="0" fontId="278" fillId="138" borderId="100" xfId="0" applyFont="1" applyFill="1" applyBorder="1" applyAlignment="1">
      <alignment horizontal="center"/>
    </xf>
    <xf numFmtId="0" fontId="278" fillId="138" borderId="98" xfId="20563" applyFont="1" applyFill="1" applyBorder="1" applyAlignment="1">
      <alignment horizontal="center"/>
    </xf>
    <xf numFmtId="0" fontId="278" fillId="138" borderId="100" xfId="20563" applyFont="1" applyFill="1" applyBorder="1" applyAlignment="1">
      <alignment horizontal="center"/>
    </xf>
    <xf numFmtId="0" fontId="278" fillId="138" borderId="98" xfId="0" applyFont="1" applyFill="1" applyBorder="1" applyAlignment="1">
      <alignment horizontal="center"/>
    </xf>
    <xf numFmtId="360" fontId="15" fillId="0" borderId="98" xfId="20563" applyNumberFormat="1" applyFont="1" applyBorder="1" applyAlignment="1">
      <alignment horizontal="center"/>
    </xf>
    <xf numFmtId="9" fontId="15" fillId="0" borderId="100" xfId="20563" applyNumberFormat="1" applyFont="1" applyBorder="1" applyAlignment="1">
      <alignment horizontal="center"/>
    </xf>
    <xf numFmtId="43" fontId="22" fillId="0" borderId="98" xfId="0" applyNumberFormat="1" applyFont="1" applyBorder="1"/>
    <xf numFmtId="0" fontId="22" fillId="0" borderId="98" xfId="0" applyFont="1" applyBorder="1" applyAlignment="1">
      <alignment horizontal="center"/>
    </xf>
    <xf numFmtId="199" fontId="15" fillId="0" borderId="98" xfId="20563" applyNumberFormat="1" applyFont="1" applyBorder="1" applyAlignment="1">
      <alignment horizontal="center"/>
    </xf>
    <xf numFmtId="43" fontId="278" fillId="138" borderId="98" xfId="0" applyNumberFormat="1" applyFont="1" applyFill="1" applyBorder="1"/>
    <xf numFmtId="0" fontId="9" fillId="35" borderId="92" xfId="20" applyFill="1" applyBorder="1" applyAlignment="1">
      <alignment vertical="center"/>
    </xf>
    <xf numFmtId="0" fontId="9" fillId="35" borderId="100" xfId="20" applyFill="1" applyBorder="1" applyAlignment="1">
      <alignment vertical="center"/>
    </xf>
    <xf numFmtId="0" fontId="9" fillId="35" borderId="101" xfId="20" applyFill="1" applyBorder="1" applyAlignment="1">
      <alignment vertical="center"/>
    </xf>
    <xf numFmtId="8" fontId="9" fillId="35" borderId="98" xfId="20" applyNumberFormat="1" applyFill="1" applyBorder="1" applyAlignment="1">
      <alignment horizontal="center" vertical="center"/>
    </xf>
    <xf numFmtId="4" fontId="9" fillId="35" borderId="98" xfId="14" applyNumberFormat="1" applyFill="1" applyBorder="1" applyAlignment="1">
      <alignment horizontal="center" vertical="center"/>
    </xf>
    <xf numFmtId="4" fontId="9" fillId="38" borderId="98" xfId="14" applyNumberFormat="1" applyFill="1" applyBorder="1" applyAlignment="1">
      <alignment horizontal="center" vertical="center"/>
    </xf>
    <xf numFmtId="3" fontId="9" fillId="0" borderId="98" xfId="20" applyNumberFormat="1" applyBorder="1" applyAlignment="1">
      <alignment horizontal="center" vertical="center"/>
    </xf>
    <xf numFmtId="4" fontId="9" fillId="0" borderId="98" xfId="14" applyNumberFormat="1" applyBorder="1" applyAlignment="1">
      <alignment horizontal="center" vertical="center"/>
    </xf>
    <xf numFmtId="0" fontId="9" fillId="35" borderId="39" xfId="20" applyFill="1" applyBorder="1" applyAlignment="1">
      <alignment vertical="center"/>
    </xf>
    <xf numFmtId="0" fontId="9" fillId="35" borderId="9" xfId="20" applyFill="1" applyBorder="1" applyAlignment="1">
      <alignment vertical="center"/>
    </xf>
    <xf numFmtId="0" fontId="10" fillId="12" borderId="98" xfId="0" applyFont="1" applyFill="1" applyBorder="1" applyAlignment="1">
      <alignment horizontal="center" vertical="center"/>
    </xf>
    <xf numFmtId="0" fontId="282" fillId="12" borderId="98" xfId="0" applyFont="1" applyFill="1" applyBorder="1" applyAlignment="1">
      <alignment horizontal="left" vertical="center" wrapText="1"/>
    </xf>
    <xf numFmtId="4" fontId="280" fillId="12" borderId="98" xfId="0" applyNumberFormat="1" applyFont="1" applyFill="1" applyBorder="1" applyAlignment="1">
      <alignment horizontal="center" vertical="center" wrapText="1"/>
    </xf>
    <xf numFmtId="0" fontId="10" fillId="136" borderId="98" xfId="8" applyFont="1" applyFill="1" applyBorder="1" applyAlignment="1">
      <alignment horizontal="centerContinuous" vertical="center"/>
    </xf>
    <xf numFmtId="4" fontId="9" fillId="136" borderId="98" xfId="8" applyNumberFormat="1" applyFont="1" applyFill="1" applyBorder="1" applyAlignment="1">
      <alignment horizontal="centerContinuous" vertical="center"/>
    </xf>
    <xf numFmtId="2" fontId="9" fillId="51" borderId="0" xfId="8" applyNumberFormat="1" applyFont="1" applyFill="1"/>
    <xf numFmtId="0" fontId="283" fillId="45" borderId="98" xfId="0" applyFont="1" applyFill="1" applyBorder="1" applyAlignment="1">
      <alignment horizontal="left" vertical="center" wrapText="1"/>
    </xf>
    <xf numFmtId="4" fontId="283" fillId="45" borderId="98" xfId="0" applyNumberFormat="1" applyFont="1" applyFill="1" applyBorder="1" applyAlignment="1">
      <alignment horizontal="right" vertical="center" wrapText="1"/>
    </xf>
    <xf numFmtId="0" fontId="9" fillId="51" borderId="98" xfId="8" applyFont="1" applyFill="1" applyBorder="1" applyAlignment="1">
      <alignment horizontal="left"/>
    </xf>
    <xf numFmtId="4" fontId="9" fillId="51" borderId="98" xfId="8" applyNumberFormat="1" applyFont="1" applyFill="1" applyBorder="1"/>
    <xf numFmtId="4" fontId="9" fillId="51" borderId="98" xfId="8" applyNumberFormat="1" applyFont="1" applyFill="1" applyBorder="1" applyAlignment="1">
      <alignment horizontal="left"/>
    </xf>
    <xf numFmtId="1" fontId="9" fillId="51" borderId="98" xfId="8" applyNumberFormat="1" applyFont="1" applyFill="1" applyBorder="1" applyAlignment="1">
      <alignment horizontal="left"/>
    </xf>
    <xf numFmtId="4" fontId="9" fillId="51" borderId="98" xfId="14" applyNumberFormat="1" applyFont="1" applyFill="1" applyBorder="1" applyAlignment="1">
      <alignment horizontal="right"/>
    </xf>
    <xf numFmtId="0" fontId="9" fillId="51" borderId="98" xfId="8" applyFont="1" applyFill="1" applyBorder="1"/>
    <xf numFmtId="4" fontId="9" fillId="51" borderId="0" xfId="8" applyNumberFormat="1" applyFont="1" applyFill="1"/>
    <xf numFmtId="0" fontId="0" fillId="35" borderId="39" xfId="0" applyFill="1" applyBorder="1" applyAlignment="1">
      <alignment horizontal="right"/>
    </xf>
    <xf numFmtId="4" fontId="0" fillId="35" borderId="9" xfId="0" applyNumberFormat="1" applyFill="1" applyBorder="1"/>
    <xf numFmtId="0" fontId="0" fillId="35" borderId="9" xfId="0" applyFill="1" applyBorder="1"/>
    <xf numFmtId="0" fontId="0" fillId="35" borderId="37" xfId="0" applyFill="1" applyBorder="1"/>
    <xf numFmtId="0" fontId="283" fillId="35" borderId="98" xfId="0" applyFont="1" applyFill="1" applyBorder="1" applyAlignment="1">
      <alignment horizontal="left" vertical="center" wrapText="1"/>
    </xf>
    <xf numFmtId="10" fontId="9" fillId="0" borderId="98" xfId="126" applyNumberFormat="1" applyFont="1" applyFill="1" applyBorder="1" applyAlignment="1">
      <alignment horizontal="center" vertical="center"/>
    </xf>
    <xf numFmtId="0" fontId="5" fillId="0" borderId="98" xfId="0" applyFont="1" applyBorder="1"/>
    <xf numFmtId="10" fontId="9" fillId="35" borderId="98" xfId="126" applyNumberFormat="1" applyFont="1" applyFill="1" applyBorder="1" applyAlignment="1">
      <alignment horizontal="center" vertical="center"/>
    </xf>
    <xf numFmtId="0" fontId="274" fillId="0" borderId="98" xfId="0" applyFont="1" applyBorder="1"/>
    <xf numFmtId="0" fontId="10" fillId="145" borderId="98" xfId="0" applyFont="1" applyFill="1" applyBorder="1" applyAlignment="1">
      <alignment horizontal="left" vertical="center"/>
    </xf>
    <xf numFmtId="10" fontId="10" fillId="145" borderId="98" xfId="126" applyNumberFormat="1" applyFont="1" applyFill="1" applyBorder="1" applyAlignment="1">
      <alignment horizontal="center" vertical="center"/>
    </xf>
    <xf numFmtId="0" fontId="5" fillId="145" borderId="98" xfId="0" applyFont="1" applyFill="1" applyBorder="1"/>
    <xf numFmtId="0" fontId="36" fillId="138" borderId="98" xfId="0" applyFont="1" applyFill="1" applyBorder="1"/>
    <xf numFmtId="281" fontId="10" fillId="145" borderId="98" xfId="126" applyNumberFormat="1" applyFont="1" applyFill="1" applyBorder="1" applyAlignment="1">
      <alignment horizontal="center" vertical="center"/>
    </xf>
    <xf numFmtId="0" fontId="31" fillId="145" borderId="98" xfId="0" applyFont="1" applyFill="1" applyBorder="1"/>
    <xf numFmtId="0" fontId="10" fillId="146" borderId="98" xfId="0" applyFont="1" applyFill="1" applyBorder="1" applyAlignment="1">
      <alignment horizontal="left" vertical="center"/>
    </xf>
    <xf numFmtId="281" fontId="10" fillId="146" borderId="98" xfId="126" applyNumberFormat="1" applyFont="1" applyFill="1" applyBorder="1" applyAlignment="1">
      <alignment horizontal="center" vertical="center"/>
    </xf>
    <xf numFmtId="0" fontId="33" fillId="138" borderId="98" xfId="9" applyFont="1" applyFill="1" applyBorder="1" applyAlignment="1">
      <alignment horizontal="centerContinuous" vertical="center"/>
    </xf>
    <xf numFmtId="1" fontId="33" fillId="138" borderId="98" xfId="9" applyNumberFormat="1" applyFont="1" applyFill="1" applyBorder="1" applyAlignment="1">
      <alignment horizontal="centerContinuous" vertical="center"/>
    </xf>
    <xf numFmtId="0" fontId="33" fillId="138" borderId="98" xfId="9" applyFont="1" applyFill="1" applyBorder="1" applyAlignment="1">
      <alignment horizontal="center" vertical="center"/>
    </xf>
    <xf numFmtId="3" fontId="10" fillId="35" borderId="98" xfId="9" applyNumberFormat="1" applyFont="1" applyFill="1" applyBorder="1" applyAlignment="1">
      <alignment horizontal="center" vertical="center"/>
    </xf>
    <xf numFmtId="0" fontId="10" fillId="35" borderId="98" xfId="8" applyFont="1" applyFill="1" applyBorder="1" applyAlignment="1">
      <alignment horizontal="left" vertical="center"/>
    </xf>
    <xf numFmtId="0" fontId="10" fillId="35" borderId="98" xfId="8" applyFont="1" applyFill="1" applyBorder="1" applyAlignment="1">
      <alignment horizontal="left" vertical="center" indent="1"/>
    </xf>
    <xf numFmtId="0" fontId="10" fillId="35" borderId="98" xfId="8" applyFont="1" applyFill="1" applyBorder="1" applyAlignment="1">
      <alignment horizontal="center" vertical="center"/>
    </xf>
    <xf numFmtId="0" fontId="10" fillId="35" borderId="98" xfId="8" applyFont="1" applyFill="1" applyBorder="1" applyAlignment="1">
      <alignment horizontal="right"/>
    </xf>
    <xf numFmtId="0" fontId="9" fillId="35" borderId="98" xfId="9" applyFill="1" applyBorder="1" applyAlignment="1">
      <alignment horizontal="center"/>
    </xf>
    <xf numFmtId="0" fontId="9" fillId="35" borderId="98" xfId="8" applyFont="1" applyFill="1" applyBorder="1" applyAlignment="1">
      <alignment horizontal="left" vertical="center" indent="2"/>
    </xf>
    <xf numFmtId="0" fontId="9" fillId="35" borderId="98" xfId="8" applyFont="1" applyFill="1" applyBorder="1" applyAlignment="1">
      <alignment horizontal="left" vertical="center"/>
    </xf>
    <xf numFmtId="3" fontId="9" fillId="35" borderId="98" xfId="8" applyNumberFormat="1" applyFont="1" applyFill="1" applyBorder="1" applyAlignment="1">
      <alignment horizontal="center" vertical="center"/>
    </xf>
    <xf numFmtId="0" fontId="9" fillId="35" borderId="98" xfId="8" applyFont="1" applyFill="1" applyBorder="1" applyAlignment="1">
      <alignment horizontal="right"/>
    </xf>
    <xf numFmtId="0" fontId="9" fillId="35" borderId="98" xfId="8" applyFont="1" applyFill="1" applyBorder="1" applyAlignment="1">
      <alignment vertical="center"/>
    </xf>
    <xf numFmtId="0" fontId="9" fillId="35" borderId="98" xfId="8" applyFont="1" applyFill="1" applyBorder="1" applyAlignment="1">
      <alignment horizontal="center" vertical="center"/>
    </xf>
    <xf numFmtId="0" fontId="9" fillId="35" borderId="98" xfId="8" applyFont="1" applyFill="1" applyBorder="1" applyAlignment="1">
      <alignment horizontal="left" vertical="center" indent="1"/>
    </xf>
    <xf numFmtId="3" fontId="10" fillId="35" borderId="98" xfId="8" applyNumberFormat="1" applyFont="1" applyFill="1" applyBorder="1" applyAlignment="1">
      <alignment horizontal="center" vertical="center"/>
    </xf>
    <xf numFmtId="0" fontId="10" fillId="35" borderId="98" xfId="8" applyFont="1" applyFill="1" applyBorder="1" applyAlignment="1">
      <alignment vertical="center"/>
    </xf>
    <xf numFmtId="0" fontId="10" fillId="35" borderId="98" xfId="8" applyFont="1" applyFill="1" applyBorder="1" applyAlignment="1">
      <alignment horizontal="left" vertical="center" indent="2"/>
    </xf>
    <xf numFmtId="0" fontId="10" fillId="35" borderId="98" xfId="8" applyFont="1" applyFill="1" applyBorder="1"/>
    <xf numFmtId="0" fontId="9" fillId="35" borderId="98" xfId="8" applyFont="1" applyFill="1" applyBorder="1"/>
    <xf numFmtId="0" fontId="9" fillId="35" borderId="98" xfId="8" applyFont="1" applyFill="1" applyBorder="1" applyAlignment="1">
      <alignment horizontal="left" vertical="center" indent="3"/>
    </xf>
    <xf numFmtId="0" fontId="9" fillId="35" borderId="98" xfId="8" applyFont="1" applyFill="1" applyBorder="1" applyAlignment="1">
      <alignment horizontal="center"/>
    </xf>
    <xf numFmtId="1" fontId="10" fillId="35" borderId="98" xfId="8" applyNumberFormat="1" applyFont="1" applyFill="1" applyBorder="1" applyAlignment="1">
      <alignment horizontal="right"/>
    </xf>
    <xf numFmtId="0" fontId="9" fillId="35" borderId="98" xfId="8" applyFont="1" applyFill="1" applyBorder="1" applyAlignment="1">
      <alignment horizontal="left" vertical="center" indent="4"/>
    </xf>
    <xf numFmtId="0" fontId="10" fillId="35" borderId="98" xfId="8" applyFont="1" applyFill="1" applyBorder="1" applyAlignment="1">
      <alignment horizontal="left" vertical="center" indent="3"/>
    </xf>
    <xf numFmtId="0" fontId="33" fillId="138" borderId="98" xfId="9" applyFont="1" applyFill="1" applyBorder="1" applyAlignment="1">
      <alignment horizontal="center"/>
    </xf>
    <xf numFmtId="0" fontId="33" fillId="138" borderId="98" xfId="8" applyFont="1" applyFill="1" applyBorder="1" applyAlignment="1">
      <alignment vertical="center"/>
    </xf>
    <xf numFmtId="3" fontId="33" fillId="138" borderId="98" xfId="8" applyNumberFormat="1" applyFont="1" applyFill="1" applyBorder="1" applyAlignment="1">
      <alignment horizontal="center" vertical="center" wrapText="1"/>
    </xf>
    <xf numFmtId="1" fontId="33" fillId="138" borderId="98" xfId="8" applyNumberFormat="1" applyFont="1" applyFill="1" applyBorder="1" applyAlignment="1">
      <alignment horizontal="right"/>
    </xf>
    <xf numFmtId="0" fontId="33" fillId="138" borderId="98" xfId="8" applyFont="1" applyFill="1" applyBorder="1" applyAlignment="1">
      <alignment horizontal="center" vertical="center"/>
    </xf>
    <xf numFmtId="0" fontId="9" fillId="0" borderId="98" xfId="8" applyFont="1" applyBorder="1" applyAlignment="1">
      <alignment vertical="center"/>
    </xf>
    <xf numFmtId="0" fontId="9" fillId="0" borderId="98" xfId="8" applyFont="1" applyBorder="1" applyAlignment="1">
      <alignment horizontal="center" vertical="center"/>
    </xf>
    <xf numFmtId="0" fontId="9" fillId="0" borderId="98" xfId="8" applyFont="1" applyBorder="1" applyAlignment="1">
      <alignment horizontal="left" vertical="center"/>
    </xf>
    <xf numFmtId="1" fontId="9" fillId="35" borderId="98" xfId="8" applyNumberFormat="1" applyFont="1" applyFill="1" applyBorder="1" applyAlignment="1">
      <alignment horizontal="right"/>
    </xf>
    <xf numFmtId="0" fontId="10" fillId="0" borderId="98" xfId="8" applyFont="1" applyBorder="1" applyAlignment="1">
      <alignment vertical="center"/>
    </xf>
    <xf numFmtId="0" fontId="10" fillId="0" borderId="98" xfId="8" applyFont="1" applyBorder="1" applyAlignment="1">
      <alignment horizontal="center" vertical="center"/>
    </xf>
    <xf numFmtId="0" fontId="9" fillId="35" borderId="98" xfId="8" quotePrefix="1" applyFont="1" applyFill="1" applyBorder="1" applyAlignment="1">
      <alignment horizontal="right"/>
    </xf>
    <xf numFmtId="3" fontId="9" fillId="0" borderId="98" xfId="9" applyNumberFormat="1" applyBorder="1" applyAlignment="1">
      <alignment horizontal="center"/>
    </xf>
    <xf numFmtId="0" fontId="20" fillId="0" borderId="98" xfId="8" applyFont="1" applyBorder="1" applyAlignment="1">
      <alignment vertical="center"/>
    </xf>
    <xf numFmtId="0" fontId="20" fillId="0" borderId="98" xfId="8" applyFont="1" applyBorder="1" applyAlignment="1">
      <alignment horizontal="center" vertical="center"/>
    </xf>
    <xf numFmtId="3" fontId="33" fillId="138" borderId="98" xfId="8" applyNumberFormat="1" applyFont="1" applyFill="1" applyBorder="1" applyAlignment="1">
      <alignment horizontal="right"/>
    </xf>
    <xf numFmtId="0" fontId="10" fillId="35" borderId="98" xfId="9" applyFont="1" applyFill="1" applyBorder="1" applyAlignment="1">
      <alignment horizontal="centerContinuous"/>
    </xf>
    <xf numFmtId="0" fontId="9" fillId="35" borderId="98" xfId="9" applyFill="1" applyBorder="1" applyAlignment="1">
      <alignment horizontal="centerContinuous"/>
    </xf>
    <xf numFmtId="0" fontId="10" fillId="35" borderId="98" xfId="9" applyFont="1" applyFill="1" applyBorder="1" applyAlignment="1">
      <alignment horizontal="center" vertical="center"/>
    </xf>
    <xf numFmtId="0" fontId="9" fillId="35" borderId="98" xfId="9" applyFill="1" applyBorder="1" applyAlignment="1">
      <alignment horizontal="center" vertical="center"/>
    </xf>
    <xf numFmtId="0" fontId="9" fillId="35" borderId="0" xfId="8" applyFont="1" applyFill="1" applyAlignment="1">
      <alignment vertical="center"/>
    </xf>
    <xf numFmtId="0" fontId="10" fillId="35" borderId="98" xfId="9" applyFont="1" applyFill="1" applyBorder="1"/>
    <xf numFmtId="3" fontId="9" fillId="35" borderId="98" xfId="9" applyNumberFormat="1" applyFill="1" applyBorder="1" applyAlignment="1">
      <alignment horizontal="center"/>
    </xf>
    <xf numFmtId="3" fontId="10" fillId="35" borderId="98" xfId="0" applyNumberFormat="1" applyFont="1" applyFill="1" applyBorder="1"/>
    <xf numFmtId="3" fontId="0" fillId="35" borderId="98" xfId="0" applyNumberFormat="1" applyFill="1" applyBorder="1"/>
    <xf numFmtId="10" fontId="0" fillId="35" borderId="98" xfId="13" applyNumberFormat="1" applyFont="1" applyFill="1" applyBorder="1"/>
    <xf numFmtId="0" fontId="9" fillId="35" borderId="98" xfId="0" applyFont="1" applyFill="1" applyBorder="1"/>
    <xf numFmtId="10" fontId="91" fillId="35" borderId="98" xfId="13" applyNumberFormat="1" applyFont="1" applyFill="1" applyBorder="1"/>
    <xf numFmtId="0" fontId="10" fillId="35" borderId="98" xfId="0" applyFont="1" applyFill="1" applyBorder="1" applyAlignment="1">
      <alignment horizontal="centerContinuous"/>
    </xf>
    <xf numFmtId="4" fontId="33" fillId="138" borderId="98" xfId="8" applyNumberFormat="1" applyFont="1" applyFill="1" applyBorder="1" applyAlignment="1">
      <alignment vertical="center"/>
    </xf>
    <xf numFmtId="4" fontId="9" fillId="35" borderId="98" xfId="8" applyNumberFormat="1" applyFont="1" applyFill="1" applyBorder="1" applyAlignment="1">
      <alignment vertical="center"/>
    </xf>
    <xf numFmtId="3" fontId="9" fillId="35" borderId="98" xfId="8" applyNumberFormat="1" applyFont="1" applyFill="1" applyBorder="1" applyAlignment="1">
      <alignment vertical="center"/>
    </xf>
    <xf numFmtId="4" fontId="10" fillId="35" borderId="98" xfId="8" applyNumberFormat="1" applyFont="1" applyFill="1" applyBorder="1" applyAlignment="1">
      <alignment horizontal="centerContinuous" vertical="center"/>
    </xf>
    <xf numFmtId="0" fontId="33" fillId="141" borderId="100" xfId="144" applyFont="1" applyFill="1" applyBorder="1" applyAlignment="1">
      <alignment horizontal="center" vertical="center"/>
    </xf>
    <xf numFmtId="0" fontId="33" fillId="141" borderId="99" xfId="144" applyFont="1" applyFill="1" applyBorder="1" applyAlignment="1">
      <alignment wrapText="1"/>
    </xf>
    <xf numFmtId="0" fontId="33" fillId="141" borderId="99" xfId="144" applyFont="1" applyFill="1" applyBorder="1" applyAlignment="1">
      <alignment horizontal="center"/>
    </xf>
    <xf numFmtId="4" fontId="33" fillId="141" borderId="99" xfId="144" applyNumberFormat="1" applyFont="1" applyFill="1" applyBorder="1" applyAlignment="1">
      <alignment horizontal="right" vertical="center"/>
    </xf>
    <xf numFmtId="4" fontId="36" fillId="141" borderId="101" xfId="144" applyNumberFormat="1" applyFont="1" applyFill="1" applyBorder="1" applyAlignment="1">
      <alignment horizontal="right" vertical="center"/>
    </xf>
    <xf numFmtId="0" fontId="278" fillId="141" borderId="98" xfId="23" applyFont="1" applyFill="1" applyBorder="1" applyAlignment="1">
      <alignment horizontal="center" vertical="center"/>
    </xf>
    <xf numFmtId="0" fontId="33" fillId="141" borderId="98" xfId="23" applyFont="1" applyFill="1" applyBorder="1" applyAlignment="1">
      <alignment vertical="center" wrapText="1"/>
    </xf>
    <xf numFmtId="4" fontId="33" fillId="141" borderId="98" xfId="23" applyNumberFormat="1" applyFont="1" applyFill="1" applyBorder="1" applyAlignment="1">
      <alignment horizontal="center" vertical="center"/>
    </xf>
    <xf numFmtId="0" fontId="33" fillId="141" borderId="98" xfId="23" applyFont="1" applyFill="1" applyBorder="1" applyAlignment="1">
      <alignment horizontal="right" vertical="center"/>
    </xf>
    <xf numFmtId="4" fontId="33" fillId="141" borderId="98" xfId="23" applyNumberFormat="1" applyFont="1" applyFill="1" applyBorder="1" applyAlignment="1">
      <alignment horizontal="right" vertical="center"/>
    </xf>
    <xf numFmtId="3" fontId="33" fillId="141" borderId="98" xfId="23" applyNumberFormat="1" applyFont="1" applyFill="1" applyBorder="1" applyAlignment="1">
      <alignment horizontal="center" vertical="center"/>
    </xf>
    <xf numFmtId="49" fontId="278" fillId="141" borderId="98" xfId="144" applyNumberFormat="1" applyFont="1" applyFill="1" applyBorder="1" applyAlignment="1">
      <alignment horizontal="center" vertical="center" wrapText="1"/>
    </xf>
    <xf numFmtId="0" fontId="33" fillId="141" borderId="98" xfId="23" applyFont="1" applyFill="1" applyBorder="1" applyAlignment="1">
      <alignment horizontal="center" vertical="center"/>
    </xf>
    <xf numFmtId="0" fontId="9" fillId="47" borderId="98" xfId="23" applyFill="1" applyBorder="1" applyAlignment="1">
      <alignment horizontal="left" vertical="center" wrapText="1"/>
    </xf>
    <xf numFmtId="4" fontId="10" fillId="47" borderId="98" xfId="23" applyNumberFormat="1" applyFont="1" applyFill="1" applyBorder="1" applyAlignment="1">
      <alignment horizontal="center" vertical="center"/>
    </xf>
    <xf numFmtId="0" fontId="10" fillId="47" borderId="98" xfId="23" applyFont="1" applyFill="1" applyBorder="1" applyAlignment="1">
      <alignment horizontal="right" vertical="center"/>
    </xf>
    <xf numFmtId="3" fontId="10" fillId="47" borderId="98" xfId="23" applyNumberFormat="1" applyFont="1" applyFill="1" applyBorder="1" applyAlignment="1">
      <alignment horizontal="right" vertical="center"/>
    </xf>
    <xf numFmtId="4" fontId="10" fillId="47" borderId="98" xfId="23" applyNumberFormat="1" applyFont="1" applyFill="1" applyBorder="1" applyAlignment="1">
      <alignment horizontal="right" vertical="center"/>
    </xf>
    <xf numFmtId="3" fontId="9" fillId="47" borderId="98" xfId="23" applyNumberFormat="1" applyFill="1" applyBorder="1" applyAlignment="1">
      <alignment horizontal="right" vertical="center"/>
    </xf>
    <xf numFmtId="4" fontId="9" fillId="47" borderId="98" xfId="23" quotePrefix="1" applyNumberFormat="1" applyFill="1" applyBorder="1" applyAlignment="1">
      <alignment horizontal="right" vertical="center"/>
    </xf>
    <xf numFmtId="49" fontId="85" fillId="0" borderId="98" xfId="21" applyNumberFormat="1" applyFont="1" applyBorder="1" applyAlignment="1">
      <alignment horizontal="center" vertical="center"/>
    </xf>
    <xf numFmtId="0" fontId="10" fillId="47" borderId="98" xfId="23" applyFont="1" applyFill="1" applyBorder="1" applyAlignment="1">
      <alignment vertical="center" wrapText="1"/>
    </xf>
    <xf numFmtId="0" fontId="35" fillId="141" borderId="98" xfId="23" applyFont="1" applyFill="1" applyBorder="1" applyAlignment="1">
      <alignment horizontal="center" vertical="center"/>
    </xf>
    <xf numFmtId="0" fontId="33" fillId="141" borderId="98" xfId="23" applyFont="1" applyFill="1" applyBorder="1" applyAlignment="1">
      <alignment horizontal="centerContinuous" vertical="center" wrapText="1"/>
    </xf>
    <xf numFmtId="3" fontId="36" fillId="141" borderId="98" xfId="23" applyNumberFormat="1" applyFont="1" applyFill="1" applyBorder="1" applyAlignment="1">
      <alignment horizontal="center" vertical="center"/>
    </xf>
    <xf numFmtId="4" fontId="36" fillId="141" borderId="98" xfId="23" applyNumberFormat="1" applyFont="1" applyFill="1" applyBorder="1" applyAlignment="1">
      <alignment horizontal="right" vertical="center"/>
    </xf>
    <xf numFmtId="0" fontId="92" fillId="47" borderId="99" xfId="144" applyFont="1" applyFill="1" applyBorder="1" applyAlignment="1">
      <alignment horizontal="center" vertical="center"/>
    </xf>
    <xf numFmtId="0" fontId="92" fillId="47" borderId="99" xfId="144" applyFont="1" applyFill="1" applyBorder="1" applyAlignment="1">
      <alignment wrapText="1"/>
    </xf>
    <xf numFmtId="0" fontId="92" fillId="47" borderId="99" xfId="144" applyFont="1" applyFill="1" applyBorder="1" applyAlignment="1">
      <alignment horizontal="center"/>
    </xf>
    <xf numFmtId="4" fontId="92" fillId="47" borderId="99" xfId="144" applyNumberFormat="1" applyFont="1" applyFill="1" applyBorder="1" applyAlignment="1">
      <alignment horizontal="right" vertical="center"/>
    </xf>
    <xf numFmtId="4" fontId="91" fillId="47" borderId="99" xfId="144" applyNumberFormat="1" applyFont="1" applyFill="1" applyBorder="1" applyAlignment="1">
      <alignment horizontal="right" vertical="center"/>
    </xf>
    <xf numFmtId="0" fontId="22" fillId="53" borderId="98" xfId="23" applyFont="1" applyFill="1" applyBorder="1" applyAlignment="1">
      <alignment horizontal="center" vertical="center"/>
    </xf>
    <xf numFmtId="0" fontId="10" fillId="53" borderId="98" xfId="23" applyFont="1" applyFill="1" applyBorder="1" applyAlignment="1">
      <alignment vertical="center" wrapText="1"/>
    </xf>
    <xf numFmtId="4" fontId="10" fillId="53" borderId="98" xfId="23" applyNumberFormat="1" applyFont="1" applyFill="1" applyBorder="1" applyAlignment="1">
      <alignment horizontal="center" vertical="center"/>
    </xf>
    <xf numFmtId="0" fontId="10" fillId="53" borderId="98" xfId="23" applyFont="1" applyFill="1" applyBorder="1" applyAlignment="1">
      <alignment horizontal="right" vertical="center"/>
    </xf>
    <xf numFmtId="4" fontId="10" fillId="53" borderId="98" xfId="23" applyNumberFormat="1" applyFont="1" applyFill="1" applyBorder="1" applyAlignment="1">
      <alignment horizontal="right" vertical="center"/>
    </xf>
    <xf numFmtId="3" fontId="92" fillId="49" borderId="98" xfId="23" applyNumberFormat="1" applyFont="1" applyFill="1" applyBorder="1" applyAlignment="1">
      <alignment horizontal="right" vertical="center"/>
    </xf>
    <xf numFmtId="0" fontId="9" fillId="47" borderId="98" xfId="23" applyFill="1" applyBorder="1" applyAlignment="1">
      <alignment horizontal="centerContinuous" vertical="center" wrapText="1"/>
    </xf>
    <xf numFmtId="0" fontId="91" fillId="47" borderId="98" xfId="23" applyFont="1" applyFill="1" applyBorder="1" applyAlignment="1">
      <alignment horizontal="centerContinuous" vertical="center" wrapText="1"/>
    </xf>
    <xf numFmtId="0" fontId="91" fillId="47" borderId="98" xfId="23" applyFont="1" applyFill="1" applyBorder="1" applyAlignment="1">
      <alignment horizontal="center" vertical="center"/>
    </xf>
    <xf numFmtId="4" fontId="91" fillId="47" borderId="98" xfId="23" applyNumberFormat="1" applyFont="1" applyFill="1" applyBorder="1" applyAlignment="1">
      <alignment horizontal="right" vertical="center"/>
    </xf>
    <xf numFmtId="4" fontId="92" fillId="49" borderId="98" xfId="23" applyNumberFormat="1" applyFont="1" applyFill="1" applyBorder="1" applyAlignment="1">
      <alignment horizontal="right" vertical="center"/>
    </xf>
    <xf numFmtId="0" fontId="302" fillId="141" borderId="90" xfId="23" applyFont="1" applyFill="1" applyBorder="1" applyAlignment="1">
      <alignment vertical="center"/>
    </xf>
    <xf numFmtId="0" fontId="101" fillId="141" borderId="73" xfId="144" applyFont="1" applyFill="1" applyBorder="1" applyAlignment="1">
      <alignment wrapText="1"/>
    </xf>
    <xf numFmtId="0" fontId="33" fillId="141" borderId="73" xfId="144" applyFont="1" applyFill="1" applyBorder="1" applyAlignment="1">
      <alignment horizontal="center"/>
    </xf>
    <xf numFmtId="49" fontId="59" fillId="47" borderId="98" xfId="144" applyNumberFormat="1" applyFont="1" applyFill="1" applyBorder="1" applyAlignment="1">
      <alignment horizontal="center" vertical="center" wrapText="1"/>
    </xf>
    <xf numFmtId="49" fontId="59" fillId="47" borderId="98" xfId="144" applyNumberFormat="1" applyFont="1" applyFill="1" applyBorder="1" applyAlignment="1">
      <alignment horizontal="left" vertical="center" wrapText="1"/>
    </xf>
    <xf numFmtId="49" fontId="59" fillId="47" borderId="98" xfId="144" applyNumberFormat="1" applyFont="1" applyFill="1" applyBorder="1" applyAlignment="1">
      <alignment horizontal="center" vertical="center"/>
    </xf>
    <xf numFmtId="49" fontId="20" fillId="47" borderId="98" xfId="144" applyNumberFormat="1" applyFont="1" applyFill="1" applyBorder="1" applyAlignment="1">
      <alignment horizontal="right" vertical="center"/>
    </xf>
    <xf numFmtId="4" fontId="59" fillId="47" borderId="98" xfId="144" applyNumberFormat="1" applyFont="1" applyFill="1" applyBorder="1" applyAlignment="1">
      <alignment horizontal="right" vertical="center" wrapText="1"/>
    </xf>
    <xf numFmtId="0" fontId="22" fillId="47" borderId="98" xfId="144" applyFont="1" applyFill="1" applyBorder="1" applyAlignment="1">
      <alignment wrapText="1"/>
    </xf>
    <xf numFmtId="4" fontId="6" fillId="47" borderId="98" xfId="144" applyNumberFormat="1" applyFill="1" applyBorder="1" applyAlignment="1">
      <alignment horizontal="center"/>
    </xf>
    <xf numFmtId="4" fontId="5" fillId="47" borderId="98" xfId="144" applyNumberFormat="1" applyFont="1" applyFill="1" applyBorder="1" applyAlignment="1">
      <alignment horizontal="right" vertical="center"/>
    </xf>
    <xf numFmtId="4" fontId="6" fillId="47" borderId="98" xfId="144" applyNumberFormat="1" applyFill="1" applyBorder="1" applyAlignment="1">
      <alignment horizontal="right" vertical="center"/>
    </xf>
    <xf numFmtId="0" fontId="6" fillId="47" borderId="98" xfId="144" applyFill="1" applyBorder="1" applyAlignment="1">
      <alignment horizontal="right" vertical="center"/>
    </xf>
    <xf numFmtId="49" fontId="59" fillId="47" borderId="98" xfId="144" applyNumberFormat="1" applyFont="1" applyFill="1" applyBorder="1" applyAlignment="1">
      <alignment wrapText="1"/>
    </xf>
    <xf numFmtId="0" fontId="6" fillId="47" borderId="98" xfId="144" applyFill="1" applyBorder="1" applyAlignment="1">
      <alignment horizontal="center"/>
    </xf>
    <xf numFmtId="49" fontId="58" fillId="51" borderId="98" xfId="144" applyNumberFormat="1" applyFont="1" applyFill="1" applyBorder="1" applyAlignment="1">
      <alignment wrapText="1"/>
    </xf>
    <xf numFmtId="4" fontId="5" fillId="51" borderId="98" xfId="144" applyNumberFormat="1" applyFont="1" applyFill="1" applyBorder="1" applyAlignment="1">
      <alignment horizontal="right" vertical="center"/>
    </xf>
    <xf numFmtId="49" fontId="58" fillId="47" borderId="98" xfId="144" applyNumberFormat="1" applyFont="1" applyFill="1" applyBorder="1" applyAlignment="1">
      <alignment horizontal="left" wrapText="1"/>
    </xf>
    <xf numFmtId="0" fontId="6" fillId="47" borderId="98" xfId="144" applyFill="1" applyBorder="1" applyAlignment="1">
      <alignment wrapText="1"/>
    </xf>
    <xf numFmtId="0" fontId="10" fillId="47" borderId="98" xfId="144" applyFont="1" applyFill="1" applyBorder="1" applyAlignment="1">
      <alignment wrapText="1"/>
    </xf>
    <xf numFmtId="0" fontId="21" fillId="47" borderId="98" xfId="144" applyFont="1" applyFill="1" applyBorder="1" applyAlignment="1">
      <alignment wrapText="1"/>
    </xf>
    <xf numFmtId="0" fontId="303" fillId="141" borderId="98" xfId="144" applyFont="1" applyFill="1" applyBorder="1" applyAlignment="1">
      <alignment horizontal="center" vertical="center"/>
    </xf>
    <xf numFmtId="0" fontId="101" fillId="141" borderId="98" xfId="144" applyFont="1" applyFill="1" applyBorder="1" applyAlignment="1">
      <alignment horizontal="right" vertical="center"/>
    </xf>
    <xf numFmtId="4" fontId="301" fillId="141" borderId="98" xfId="144" applyNumberFormat="1" applyFont="1" applyFill="1" applyBorder="1" applyAlignment="1">
      <alignment horizontal="right" vertical="center"/>
    </xf>
    <xf numFmtId="3" fontId="101" fillId="141" borderId="98" xfId="144" applyNumberFormat="1" applyFont="1" applyFill="1" applyBorder="1" applyAlignment="1">
      <alignment horizontal="center"/>
    </xf>
    <xf numFmtId="0" fontId="302" fillId="144" borderId="90" xfId="23" applyFont="1" applyFill="1" applyBorder="1" applyAlignment="1">
      <alignment horizontal="left" vertical="center"/>
    </xf>
    <xf numFmtId="0" fontId="101" fillId="144" borderId="73" xfId="144" applyFont="1" applyFill="1" applyBorder="1" applyAlignment="1">
      <alignment wrapText="1"/>
    </xf>
    <xf numFmtId="0" fontId="33" fillId="144" borderId="73" xfId="144" applyFont="1" applyFill="1" applyBorder="1" applyAlignment="1">
      <alignment horizontal="center"/>
    </xf>
    <xf numFmtId="4" fontId="36" fillId="144" borderId="73" xfId="144" applyNumberFormat="1" applyFont="1" applyFill="1" applyBorder="1" applyAlignment="1">
      <alignment horizontal="right" vertical="center"/>
    </xf>
    <xf numFmtId="0" fontId="101" fillId="144" borderId="73" xfId="144" applyFont="1" applyFill="1" applyBorder="1" applyAlignment="1">
      <alignment horizontal="right" vertical="center"/>
    </xf>
    <xf numFmtId="4" fontId="101" fillId="144" borderId="56" xfId="144" applyNumberFormat="1" applyFont="1" applyFill="1" applyBorder="1" applyAlignment="1">
      <alignment horizontal="right" vertical="center"/>
    </xf>
    <xf numFmtId="3" fontId="33" fillId="144" borderId="98" xfId="144" applyNumberFormat="1" applyFont="1" applyFill="1" applyBorder="1" applyAlignment="1">
      <alignment horizontal="right" vertical="center"/>
    </xf>
    <xf numFmtId="0" fontId="9" fillId="47" borderId="98" xfId="144" applyFont="1" applyFill="1" applyBorder="1" applyAlignment="1">
      <alignment horizontal="center"/>
    </xf>
    <xf numFmtId="0" fontId="275" fillId="47" borderId="98" xfId="144" applyFont="1" applyFill="1" applyBorder="1" applyAlignment="1">
      <alignment horizontal="center"/>
    </xf>
    <xf numFmtId="4" fontId="91" fillId="47" borderId="98" xfId="144" applyNumberFormat="1" applyFont="1" applyFill="1" applyBorder="1" applyAlignment="1">
      <alignment horizontal="right" vertical="center"/>
    </xf>
    <xf numFmtId="0" fontId="275" fillId="47" borderId="98" xfId="144" applyFont="1" applyFill="1" applyBorder="1" applyAlignment="1">
      <alignment horizontal="right" vertical="center"/>
    </xf>
    <xf numFmtId="4" fontId="276" fillId="49" borderId="98" xfId="144" applyNumberFormat="1" applyFont="1" applyFill="1" applyBorder="1" applyAlignment="1">
      <alignment horizontal="right" vertical="center"/>
    </xf>
    <xf numFmtId="0" fontId="9" fillId="47" borderId="99" xfId="144" applyFont="1" applyFill="1" applyBorder="1" applyAlignment="1">
      <alignment horizontal="center" vertical="center"/>
    </xf>
    <xf numFmtId="0" fontId="22" fillId="47" borderId="99" xfId="144" applyFont="1" applyFill="1" applyBorder="1" applyAlignment="1">
      <alignment wrapText="1"/>
    </xf>
    <xf numFmtId="0" fontId="6" fillId="47" borderId="99" xfId="144" applyFill="1" applyBorder="1" applyAlignment="1">
      <alignment horizontal="center"/>
    </xf>
    <xf numFmtId="4" fontId="5" fillId="47" borderId="99" xfId="144" applyNumberFormat="1" applyFont="1" applyFill="1" applyBorder="1" applyAlignment="1">
      <alignment horizontal="right" vertical="center"/>
    </xf>
    <xf numFmtId="0" fontId="6" fillId="47" borderId="99" xfId="144" applyFill="1" applyBorder="1" applyAlignment="1">
      <alignment horizontal="right" vertical="center"/>
    </xf>
    <xf numFmtId="4" fontId="6" fillId="47" borderId="99" xfId="144" applyNumberFormat="1" applyFill="1" applyBorder="1" applyAlignment="1">
      <alignment horizontal="right" vertical="center"/>
    </xf>
    <xf numFmtId="4" fontId="94" fillId="47" borderId="98" xfId="144" applyNumberFormat="1" applyFont="1" applyFill="1" applyBorder="1" applyAlignment="1">
      <alignment horizontal="right" vertical="center"/>
    </xf>
    <xf numFmtId="4" fontId="9" fillId="47" borderId="98" xfId="144" applyNumberFormat="1" applyFont="1" applyFill="1" applyBorder="1" applyAlignment="1">
      <alignment horizontal="center"/>
    </xf>
    <xf numFmtId="0" fontId="35" fillId="141" borderId="98" xfId="144" applyFont="1" applyFill="1" applyBorder="1" applyAlignment="1">
      <alignment horizontal="center" vertical="center"/>
    </xf>
    <xf numFmtId="0" fontId="301" fillId="141" borderId="98" xfId="144" applyFont="1" applyFill="1" applyBorder="1" applyAlignment="1">
      <alignment horizontal="center"/>
    </xf>
    <xf numFmtId="4" fontId="33" fillId="141" borderId="98" xfId="144" applyNumberFormat="1" applyFont="1" applyFill="1" applyBorder="1" applyAlignment="1">
      <alignment horizontal="center" vertical="center"/>
    </xf>
    <xf numFmtId="0" fontId="301" fillId="141" borderId="98" xfId="144" applyFont="1" applyFill="1" applyBorder="1" applyAlignment="1">
      <alignment horizontal="right" vertical="center"/>
    </xf>
    <xf numFmtId="0" fontId="33" fillId="141" borderId="98" xfId="144" applyFont="1" applyFill="1" applyBorder="1" applyAlignment="1">
      <alignment horizontal="center" vertical="center"/>
    </xf>
    <xf numFmtId="4" fontId="15" fillId="47" borderId="98" xfId="144" applyNumberFormat="1" applyFont="1" applyFill="1" applyBorder="1" applyAlignment="1">
      <alignment horizontal="center"/>
    </xf>
    <xf numFmtId="0" fontId="15" fillId="47" borderId="98" xfId="144" applyFont="1" applyFill="1" applyBorder="1" applyAlignment="1">
      <alignment horizontal="center"/>
    </xf>
    <xf numFmtId="4" fontId="85" fillId="51" borderId="98" xfId="144" applyNumberFormat="1" applyFont="1" applyFill="1" applyBorder="1" applyAlignment="1">
      <alignment horizontal="right" vertical="center"/>
    </xf>
    <xf numFmtId="4" fontId="14" fillId="47" borderId="98" xfId="144" applyNumberFormat="1" applyFont="1" applyFill="1" applyBorder="1" applyAlignment="1">
      <alignment horizontal="right" vertical="center"/>
    </xf>
    <xf numFmtId="49" fontId="35" fillId="141" borderId="98" xfId="144" applyNumberFormat="1" applyFont="1" applyFill="1" applyBorder="1" applyAlignment="1">
      <alignment horizontal="center" vertical="center"/>
    </xf>
    <xf numFmtId="0" fontId="33" fillId="141" borderId="98" xfId="144" applyFont="1" applyFill="1" applyBorder="1" applyAlignment="1">
      <alignment horizontal="center"/>
    </xf>
    <xf numFmtId="2" fontId="33" fillId="141" borderId="98" xfId="144" applyNumberFormat="1" applyFont="1" applyFill="1" applyBorder="1" applyAlignment="1">
      <alignment horizontal="center" vertical="center"/>
    </xf>
    <xf numFmtId="0" fontId="36" fillId="141" borderId="73" xfId="144" applyFont="1" applyFill="1" applyBorder="1" applyAlignment="1">
      <alignment horizontal="right" vertical="center"/>
    </xf>
    <xf numFmtId="49" fontId="59" fillId="47" borderId="98" xfId="144" applyNumberFormat="1" applyFont="1" applyFill="1" applyBorder="1" applyAlignment="1">
      <alignment vertical="center" wrapText="1"/>
    </xf>
    <xf numFmtId="49" fontId="15" fillId="47" borderId="98" xfId="144" applyNumberFormat="1" applyFont="1" applyFill="1" applyBorder="1" applyAlignment="1">
      <alignment horizontal="center" vertical="center"/>
    </xf>
    <xf numFmtId="49" fontId="15" fillId="47" borderId="98" xfId="144" applyNumberFormat="1" applyFont="1" applyFill="1" applyBorder="1" applyAlignment="1">
      <alignment wrapText="1"/>
    </xf>
    <xf numFmtId="0" fontId="5" fillId="47" borderId="98" xfId="144" applyFont="1" applyFill="1" applyBorder="1" applyAlignment="1">
      <alignment horizontal="right" vertical="center"/>
    </xf>
    <xf numFmtId="0" fontId="33" fillId="141" borderId="98" xfId="23" applyFont="1" applyFill="1" applyBorder="1" applyAlignment="1">
      <alignment horizontal="center" vertical="center" wrapText="1"/>
    </xf>
    <xf numFmtId="0" fontId="301" fillId="141" borderId="98" xfId="144" applyFont="1" applyFill="1" applyBorder="1" applyAlignment="1">
      <alignment horizontal="center" vertical="center"/>
    </xf>
    <xf numFmtId="4" fontId="301" fillId="141" borderId="98" xfId="144" applyNumberFormat="1" applyFont="1" applyFill="1" applyBorder="1" applyAlignment="1">
      <alignment horizontal="center" vertical="center"/>
    </xf>
    <xf numFmtId="3" fontId="301" fillId="141" borderId="98" xfId="144" applyNumberFormat="1" applyFont="1" applyFill="1" applyBorder="1" applyAlignment="1">
      <alignment horizontal="center"/>
    </xf>
    <xf numFmtId="0" fontId="101" fillId="144" borderId="73" xfId="144" applyFont="1" applyFill="1" applyBorder="1" applyAlignment="1">
      <alignment horizontal="center"/>
    </xf>
    <xf numFmtId="0" fontId="36" fillId="144" borderId="73" xfId="144" applyFont="1" applyFill="1" applyBorder="1" applyAlignment="1">
      <alignment horizontal="right" vertical="center"/>
    </xf>
    <xf numFmtId="49" fontId="35" fillId="144" borderId="98" xfId="144" applyNumberFormat="1" applyFont="1" applyFill="1" applyBorder="1" applyAlignment="1">
      <alignment horizontal="center" vertical="center"/>
    </xf>
    <xf numFmtId="0" fontId="33" fillId="144" borderId="98" xfId="23" applyFont="1" applyFill="1" applyBorder="1" applyAlignment="1">
      <alignment horizontal="centerContinuous" vertical="center" wrapText="1"/>
    </xf>
    <xf numFmtId="0" fontId="33" fillId="144" borderId="98" xfId="144" applyFont="1" applyFill="1" applyBorder="1" applyAlignment="1">
      <alignment horizontal="center"/>
    </xf>
    <xf numFmtId="2" fontId="33" fillId="144" borderId="98" xfId="144" applyNumberFormat="1" applyFont="1" applyFill="1" applyBorder="1" applyAlignment="1">
      <alignment horizontal="center" vertical="center"/>
    </xf>
    <xf numFmtId="0" fontId="301" fillId="144" borderId="98" xfId="144" applyFont="1" applyFill="1" applyBorder="1" applyAlignment="1">
      <alignment horizontal="right" vertical="center"/>
    </xf>
    <xf numFmtId="4" fontId="301" fillId="144" borderId="98" xfId="144" applyNumberFormat="1" applyFont="1" applyFill="1" applyBorder="1" applyAlignment="1">
      <alignment horizontal="right" vertical="center"/>
    </xf>
    <xf numFmtId="0" fontId="35" fillId="144" borderId="98" xfId="144" applyFont="1" applyFill="1" applyBorder="1" applyAlignment="1">
      <alignment horizontal="center" vertical="center"/>
    </xf>
    <xf numFmtId="3" fontId="301" fillId="144" borderId="98" xfId="144" applyNumberFormat="1" applyFont="1" applyFill="1" applyBorder="1" applyAlignment="1">
      <alignment horizontal="center"/>
    </xf>
    <xf numFmtId="4" fontId="33" fillId="144" borderId="98" xfId="144" applyNumberFormat="1" applyFont="1" applyFill="1" applyBorder="1" applyAlignment="1">
      <alignment horizontal="center" vertical="center"/>
    </xf>
    <xf numFmtId="0" fontId="61" fillId="53" borderId="90" xfId="0" applyFont="1" applyFill="1" applyBorder="1" applyAlignment="1">
      <alignment horizontal="left" vertical="center"/>
    </xf>
    <xf numFmtId="0" fontId="13" fillId="53" borderId="73" xfId="0" applyFont="1" applyFill="1" applyBorder="1" applyAlignment="1">
      <alignment horizontal="center"/>
    </xf>
    <xf numFmtId="0" fontId="0" fillId="53" borderId="73" xfId="0" applyFill="1" applyBorder="1" applyAlignment="1">
      <alignment horizontal="right" vertical="center"/>
    </xf>
    <xf numFmtId="4" fontId="0" fillId="53" borderId="56" xfId="0" applyNumberFormat="1" applyFill="1" applyBorder="1" applyAlignment="1">
      <alignment horizontal="right" vertical="center"/>
    </xf>
    <xf numFmtId="3" fontId="92" fillId="49" borderId="98" xfId="0" applyNumberFormat="1" applyFont="1" applyFill="1" applyBorder="1" applyAlignment="1">
      <alignment horizontal="right" vertical="center"/>
    </xf>
    <xf numFmtId="49" fontId="59" fillId="47" borderId="98" xfId="0" applyNumberFormat="1" applyFont="1" applyFill="1" applyBorder="1" applyAlignment="1">
      <alignment horizontal="center" vertical="center"/>
    </xf>
    <xf numFmtId="4" fontId="59" fillId="47" borderId="98" xfId="0" applyNumberFormat="1" applyFont="1" applyFill="1" applyBorder="1" applyAlignment="1">
      <alignment horizontal="right" vertical="center" wrapText="1"/>
    </xf>
    <xf numFmtId="4" fontId="0" fillId="47" borderId="98" xfId="0" applyNumberFormat="1" applyFill="1" applyBorder="1" applyAlignment="1">
      <alignment horizontal="right" vertical="center"/>
    </xf>
    <xf numFmtId="49" fontId="58" fillId="47" borderId="98" xfId="0" applyNumberFormat="1" applyFont="1" applyFill="1" applyBorder="1" applyAlignment="1">
      <alignment horizontal="center"/>
    </xf>
    <xf numFmtId="49" fontId="58" fillId="47" borderId="98" xfId="0" applyNumberFormat="1" applyFont="1" applyFill="1" applyBorder="1" applyAlignment="1">
      <alignment horizontal="center" vertical="center"/>
    </xf>
    <xf numFmtId="0" fontId="0" fillId="47" borderId="98" xfId="0" applyFill="1" applyBorder="1" applyAlignment="1">
      <alignment horizontal="right" vertical="center"/>
    </xf>
    <xf numFmtId="0" fontId="101" fillId="144" borderId="98" xfId="144" applyFont="1" applyFill="1" applyBorder="1" applyAlignment="1">
      <alignment horizontal="center"/>
    </xf>
    <xf numFmtId="0" fontId="101" fillId="144" borderId="98" xfId="144" applyFont="1" applyFill="1" applyBorder="1" applyAlignment="1">
      <alignment horizontal="right" vertical="center"/>
    </xf>
    <xf numFmtId="0" fontId="35" fillId="141" borderId="100" xfId="23" applyFont="1" applyFill="1" applyBorder="1" applyAlignment="1">
      <alignment horizontal="center" vertical="center"/>
    </xf>
    <xf numFmtId="0" fontId="36" fillId="141" borderId="99" xfId="23" applyFont="1" applyFill="1" applyBorder="1" applyAlignment="1">
      <alignment vertical="center" wrapText="1"/>
    </xf>
    <xf numFmtId="4" fontId="36" fillId="141" borderId="99" xfId="23" applyNumberFormat="1" applyFont="1" applyFill="1" applyBorder="1" applyAlignment="1">
      <alignment horizontal="center" vertical="center"/>
    </xf>
    <xf numFmtId="0" fontId="36" fillId="141" borderId="99" xfId="23" applyFont="1" applyFill="1" applyBorder="1" applyAlignment="1">
      <alignment horizontal="right" vertical="center"/>
    </xf>
    <xf numFmtId="4" fontId="36" fillId="141" borderId="101" xfId="23" applyNumberFormat="1" applyFont="1" applyFill="1" applyBorder="1" applyAlignment="1">
      <alignment horizontal="right" vertical="center"/>
    </xf>
    <xf numFmtId="0" fontId="33" fillId="138" borderId="98" xfId="7" applyFont="1" applyFill="1" applyBorder="1" applyAlignment="1">
      <alignment horizontal="centerContinuous" vertical="center"/>
    </xf>
    <xf numFmtId="0" fontId="99" fillId="138" borderId="98" xfId="7" applyFont="1" applyFill="1" applyBorder="1" applyAlignment="1">
      <alignment horizontal="centerContinuous" vertical="center"/>
    </xf>
    <xf numFmtId="0" fontId="33" fillId="138" borderId="98" xfId="10" applyFont="1" applyFill="1" applyBorder="1" applyAlignment="1">
      <alignment horizontal="center" vertical="center"/>
    </xf>
    <xf numFmtId="0" fontId="33" fillId="138" borderId="92" xfId="7" applyFont="1" applyFill="1" applyBorder="1" applyAlignment="1">
      <alignment horizontal="left" vertical="center"/>
    </xf>
    <xf numFmtId="4" fontId="278" fillId="138" borderId="98" xfId="10" applyNumberFormat="1" applyFont="1" applyFill="1" applyBorder="1" applyAlignment="1">
      <alignment horizontal="right" vertical="center"/>
    </xf>
    <xf numFmtId="0" fontId="9" fillId="12" borderId="0" xfId="0" applyFont="1" applyFill="1" applyAlignment="1">
      <alignment vertical="center"/>
    </xf>
    <xf numFmtId="49" fontId="15" fillId="0" borderId="98" xfId="7" applyNumberFormat="1" applyFont="1" applyBorder="1" applyAlignment="1">
      <alignment horizontal="left" vertical="center" indent="2"/>
    </xf>
    <xf numFmtId="0" fontId="85" fillId="0" borderId="98" xfId="10" applyFont="1" applyBorder="1" applyAlignment="1">
      <alignment horizontal="center" vertical="center"/>
    </xf>
    <xf numFmtId="4" fontId="31" fillId="0" borderId="98" xfId="10" applyNumberFormat="1" applyFont="1" applyBorder="1" applyAlignment="1">
      <alignment horizontal="center" vertical="center"/>
    </xf>
    <xf numFmtId="49" fontId="15" fillId="0" borderId="98" xfId="7" applyNumberFormat="1" applyFont="1" applyBorder="1" applyAlignment="1">
      <alignment horizontal="left" vertical="center"/>
    </xf>
    <xf numFmtId="0" fontId="30" fillId="0" borderId="98" xfId="0" applyFont="1" applyBorder="1" applyAlignment="1">
      <alignment horizontal="left" vertical="center"/>
    </xf>
    <xf numFmtId="0" fontId="31" fillId="0" borderId="98" xfId="10" applyFont="1" applyBorder="1" applyAlignment="1">
      <alignment horizontal="center" vertical="center"/>
    </xf>
    <xf numFmtId="3" fontId="278" fillId="138" borderId="98" xfId="7" applyNumberFormat="1" applyFont="1" applyFill="1" applyBorder="1" applyAlignment="1">
      <alignment horizontal="centerContinuous" vertical="center"/>
    </xf>
    <xf numFmtId="4" fontId="278" fillId="138" borderId="98" xfId="7" applyNumberFormat="1" applyFont="1" applyFill="1" applyBorder="1" applyAlignment="1">
      <alignment horizontal="center" vertical="center"/>
    </xf>
    <xf numFmtId="0" fontId="278" fillId="138" borderId="98" xfId="7" applyFont="1" applyFill="1" applyBorder="1" applyAlignment="1">
      <alignment horizontal="centerContinuous" vertical="center"/>
    </xf>
    <xf numFmtId="10" fontId="278" fillId="138" borderId="98" xfId="13" applyNumberFormat="1" applyFont="1" applyFill="1" applyBorder="1" applyAlignment="1">
      <alignment horizontal="centerContinuous" vertical="center"/>
    </xf>
    <xf numFmtId="49" fontId="15" fillId="0" borderId="98" xfId="7" applyNumberFormat="1" applyFont="1" applyBorder="1" applyAlignment="1">
      <alignment horizontal="left" vertical="center" indent="1"/>
    </xf>
    <xf numFmtId="0" fontId="15" fillId="38" borderId="98" xfId="10" applyFont="1" applyFill="1" applyBorder="1" applyAlignment="1">
      <alignment horizontal="center" vertical="center"/>
    </xf>
    <xf numFmtId="0" fontId="9" fillId="0" borderId="6" xfId="10" applyBorder="1" applyAlignment="1">
      <alignment horizontal="center" vertical="center"/>
    </xf>
    <xf numFmtId="4" fontId="9" fillId="0" borderId="6" xfId="10" applyNumberFormat="1" applyBorder="1" applyAlignment="1">
      <alignment horizontal="center" vertical="center"/>
    </xf>
    <xf numFmtId="0" fontId="15" fillId="0" borderId="98" xfId="10" applyFont="1" applyBorder="1" applyAlignment="1">
      <alignment horizontal="center" vertical="center"/>
    </xf>
    <xf numFmtId="1" fontId="15" fillId="38" borderId="98" xfId="10" applyNumberFormat="1" applyFont="1" applyFill="1" applyBorder="1" applyAlignment="1">
      <alignment horizontal="center" vertical="center"/>
    </xf>
    <xf numFmtId="0" fontId="15" fillId="47" borderId="98" xfId="0" applyFont="1" applyFill="1" applyBorder="1" applyAlignment="1">
      <alignment horizontal="left" vertical="center" indent="2"/>
    </xf>
    <xf numFmtId="4" fontId="9" fillId="0" borderId="6" xfId="7" applyNumberFormat="1" applyBorder="1" applyAlignment="1">
      <alignment horizontal="center" vertical="center"/>
    </xf>
    <xf numFmtId="0" fontId="15" fillId="0" borderId="98" xfId="0" applyFont="1" applyBorder="1" applyAlignment="1">
      <alignment horizontal="left" vertical="center"/>
    </xf>
    <xf numFmtId="1" fontId="15" fillId="0" borderId="98" xfId="0" applyNumberFormat="1" applyFont="1" applyBorder="1" applyAlignment="1">
      <alignment vertical="center"/>
    </xf>
    <xf numFmtId="1" fontId="9" fillId="0" borderId="6" xfId="0" applyNumberFormat="1" applyFont="1" applyBorder="1" applyAlignment="1">
      <alignment vertical="center"/>
    </xf>
    <xf numFmtId="4" fontId="9" fillId="0" borderId="98" xfId="0" applyNumberFormat="1" applyFont="1" applyBorder="1" applyAlignment="1">
      <alignment horizontal="right" vertical="center"/>
    </xf>
    <xf numFmtId="4" fontId="9" fillId="0" borderId="6" xfId="0" applyNumberFormat="1" applyFont="1" applyBorder="1" applyAlignment="1">
      <alignment vertical="center"/>
    </xf>
    <xf numFmtId="3" fontId="35" fillId="138" borderId="98" xfId="7" applyNumberFormat="1" applyFont="1" applyFill="1" applyBorder="1" applyAlignment="1">
      <alignment horizontal="center" vertical="center"/>
    </xf>
    <xf numFmtId="4" fontId="35" fillId="138" borderId="98" xfId="7" applyNumberFormat="1" applyFont="1" applyFill="1" applyBorder="1" applyAlignment="1">
      <alignment horizontal="center" vertical="center"/>
    </xf>
    <xf numFmtId="10" fontId="35" fillId="138" borderId="98" xfId="13" applyNumberFormat="1" applyFont="1" applyFill="1" applyBorder="1" applyAlignment="1">
      <alignment horizontal="center" vertical="center"/>
    </xf>
    <xf numFmtId="1" fontId="35" fillId="138" borderId="98" xfId="0" applyNumberFormat="1" applyFont="1" applyFill="1" applyBorder="1" applyAlignment="1">
      <alignment vertical="center"/>
    </xf>
    <xf numFmtId="1" fontId="15" fillId="0" borderId="98" xfId="0" applyNumberFormat="1" applyFont="1" applyBorder="1" applyAlignment="1">
      <alignment horizontal="center" vertical="center"/>
    </xf>
    <xf numFmtId="0" fontId="15" fillId="0" borderId="92" xfId="20" applyFont="1" applyBorder="1" applyAlignment="1">
      <alignment horizontal="left" vertical="center"/>
    </xf>
    <xf numFmtId="4" fontId="15" fillId="0" borderId="98" xfId="0" applyNumberFormat="1" applyFont="1" applyBorder="1" applyAlignment="1">
      <alignment horizontal="right" vertical="center"/>
    </xf>
    <xf numFmtId="0" fontId="10" fillId="12" borderId="92" xfId="7" applyFont="1" applyFill="1" applyBorder="1" applyAlignment="1">
      <alignment horizontal="left" vertical="center"/>
    </xf>
    <xf numFmtId="3" fontId="15" fillId="12" borderId="98" xfId="7" applyNumberFormat="1" applyFont="1" applyFill="1" applyBorder="1" applyAlignment="1">
      <alignment horizontal="center" vertical="center"/>
    </xf>
    <xf numFmtId="4" fontId="15" fillId="12" borderId="98" xfId="7" applyNumberFormat="1" applyFont="1" applyFill="1" applyBorder="1" applyAlignment="1">
      <alignment horizontal="center" vertical="center"/>
    </xf>
    <xf numFmtId="10" fontId="15" fillId="12" borderId="98" xfId="13" applyNumberFormat="1" applyFont="1" applyFill="1" applyBorder="1" applyAlignment="1">
      <alignment horizontal="center" vertical="center"/>
    </xf>
    <xf numFmtId="4" fontId="21" fillId="0" borderId="98" xfId="10" applyNumberFormat="1" applyFont="1" applyBorder="1" applyAlignment="1">
      <alignment horizontal="right" vertical="center"/>
    </xf>
    <xf numFmtId="0" fontId="15" fillId="0" borderId="92" xfId="0" applyFont="1" applyBorder="1" applyAlignment="1">
      <alignment horizontal="left" vertical="center" indent="1"/>
    </xf>
    <xf numFmtId="3" fontId="278" fillId="138" borderId="98" xfId="7" applyNumberFormat="1" applyFont="1" applyFill="1" applyBorder="1" applyAlignment="1">
      <alignment horizontal="center" vertical="center"/>
    </xf>
    <xf numFmtId="0" fontId="35" fillId="138" borderId="98" xfId="0" applyFont="1" applyFill="1" applyBorder="1" applyAlignment="1">
      <alignment horizontal="centerContinuous" vertical="center"/>
    </xf>
    <xf numFmtId="0" fontId="15" fillId="0" borderId="98" xfId="7" applyFont="1" applyBorder="1" applyAlignment="1">
      <alignment horizontal="left" vertical="center"/>
    </xf>
    <xf numFmtId="1" fontId="15" fillId="0" borderId="98" xfId="10" applyNumberFormat="1" applyFont="1" applyBorder="1" applyAlignment="1">
      <alignment horizontal="center" vertical="center"/>
    </xf>
    <xf numFmtId="3" fontId="15" fillId="0" borderId="98" xfId="0" applyNumberFormat="1" applyFont="1" applyBorder="1" applyAlignment="1">
      <alignment horizontal="center" vertical="center"/>
    </xf>
    <xf numFmtId="4" fontId="15" fillId="0" borderId="98" xfId="0" applyNumberFormat="1" applyFont="1" applyBorder="1" applyAlignment="1">
      <alignment horizontal="center" vertical="center"/>
    </xf>
    <xf numFmtId="0" fontId="15" fillId="0" borderId="98" xfId="0" applyFont="1" applyBorder="1" applyAlignment="1">
      <alignment vertical="center"/>
    </xf>
    <xf numFmtId="10" fontId="15" fillId="0" borderId="98" xfId="13" applyNumberFormat="1" applyFont="1" applyBorder="1" applyAlignment="1">
      <alignment vertical="center"/>
    </xf>
    <xf numFmtId="10" fontId="22" fillId="0" borderId="98" xfId="13" applyNumberFormat="1" applyFont="1" applyBorder="1" applyAlignment="1">
      <alignment vertical="center"/>
    </xf>
    <xf numFmtId="4" fontId="27" fillId="0" borderId="98" xfId="13" applyNumberFormat="1" applyFont="1" applyBorder="1" applyAlignment="1">
      <alignment horizontal="right" vertical="center"/>
    </xf>
    <xf numFmtId="4" fontId="33" fillId="138" borderId="98" xfId="7" applyNumberFormat="1" applyFont="1" applyFill="1" applyBorder="1" applyAlignment="1">
      <alignment horizontal="right" vertical="center"/>
    </xf>
    <xf numFmtId="4" fontId="36" fillId="138" borderId="98" xfId="0" applyNumberFormat="1" applyFont="1" applyFill="1" applyBorder="1" applyAlignment="1">
      <alignment horizontal="right" vertical="center"/>
    </xf>
    <xf numFmtId="4" fontId="35" fillId="138" borderId="98" xfId="10" applyNumberFormat="1" applyFont="1" applyFill="1" applyBorder="1" applyAlignment="1">
      <alignment horizontal="right" vertical="center"/>
    </xf>
    <xf numFmtId="0" fontId="10" fillId="0" borderId="92" xfId="7" applyFont="1" applyBorder="1" applyAlignment="1">
      <alignment horizontal="left" vertical="center" indent="2"/>
    </xf>
    <xf numFmtId="3" fontId="22" fillId="0" borderId="98" xfId="7" applyNumberFormat="1" applyFont="1" applyBorder="1" applyAlignment="1">
      <alignment horizontal="center" vertical="center"/>
    </xf>
    <xf numFmtId="4" fontId="22" fillId="0" borderId="98" xfId="7" applyNumberFormat="1" applyFont="1" applyBorder="1" applyAlignment="1">
      <alignment horizontal="center" vertical="center"/>
    </xf>
    <xf numFmtId="0" fontId="22" fillId="0" borderId="98" xfId="7" applyFont="1" applyBorder="1" applyAlignment="1">
      <alignment horizontal="centerContinuous" vertical="center"/>
    </xf>
    <xf numFmtId="10" fontId="22" fillId="0" borderId="98" xfId="13" applyNumberFormat="1" applyFont="1" applyFill="1" applyBorder="1" applyAlignment="1">
      <alignment horizontal="centerContinuous" vertical="center"/>
    </xf>
    <xf numFmtId="0" fontId="15" fillId="0" borderId="98" xfId="0" applyFont="1" applyBorder="1" applyAlignment="1">
      <alignment horizontal="centerContinuous" vertical="center"/>
    </xf>
    <xf numFmtId="0" fontId="9" fillId="0" borderId="6" xfId="0" applyFont="1" applyBorder="1" applyAlignment="1">
      <alignment horizontal="centerContinuous" vertical="center"/>
    </xf>
    <xf numFmtId="4" fontId="22" fillId="0" borderId="98" xfId="10" applyNumberFormat="1" applyFont="1" applyBorder="1" applyAlignment="1">
      <alignment horizontal="right" vertical="center"/>
    </xf>
    <xf numFmtId="4" fontId="9" fillId="0" borderId="6" xfId="0" applyNumberFormat="1" applyFont="1" applyBorder="1" applyAlignment="1">
      <alignment horizontal="centerContinuous" vertical="center"/>
    </xf>
    <xf numFmtId="0" fontId="15" fillId="0" borderId="98" xfId="7" applyFont="1" applyBorder="1" applyAlignment="1">
      <alignment horizontal="left" vertical="center" indent="4"/>
    </xf>
    <xf numFmtId="49" fontId="15" fillId="0" borderId="98" xfId="7" applyNumberFormat="1" applyFont="1" applyBorder="1" applyAlignment="1">
      <alignment horizontal="left" vertical="center" indent="3"/>
    </xf>
    <xf numFmtId="49" fontId="15" fillId="0" borderId="98" xfId="7" applyNumberFormat="1" applyFont="1" applyBorder="1" applyAlignment="1">
      <alignment horizontal="left" vertical="center" indent="4"/>
    </xf>
    <xf numFmtId="49" fontId="15" fillId="0" borderId="92" xfId="7" applyNumberFormat="1" applyFont="1" applyBorder="1" applyAlignment="1">
      <alignment horizontal="left" vertical="center" indent="3"/>
    </xf>
    <xf numFmtId="0" fontId="0" fillId="0" borderId="98" xfId="0" applyBorder="1" applyAlignment="1">
      <alignment horizontal="left" vertical="center" indent="3"/>
    </xf>
    <xf numFmtId="0" fontId="9" fillId="0" borderId="6" xfId="0" applyFont="1" applyBorder="1" applyAlignment="1">
      <alignment horizontal="right" vertical="center"/>
    </xf>
    <xf numFmtId="0" fontId="33" fillId="138" borderId="92" xfId="7" applyFont="1" applyFill="1" applyBorder="1" applyAlignment="1">
      <alignment horizontal="left" vertical="center" wrapText="1"/>
    </xf>
    <xf numFmtId="0" fontId="15" fillId="0" borderId="98" xfId="7" applyFont="1" applyBorder="1" applyAlignment="1">
      <alignment vertical="center"/>
    </xf>
    <xf numFmtId="0" fontId="9" fillId="0" borderId="6" xfId="7" applyBorder="1" applyAlignment="1">
      <alignment vertical="center"/>
    </xf>
    <xf numFmtId="0" fontId="10" fillId="35" borderId="92" xfId="7" applyFont="1" applyFill="1" applyBorder="1" applyAlignment="1">
      <alignment horizontal="left" vertical="center" indent="2"/>
    </xf>
    <xf numFmtId="0" fontId="15" fillId="35" borderId="92" xfId="20" applyFont="1" applyFill="1" applyBorder="1" applyAlignment="1">
      <alignment horizontal="left" vertical="center" indent="3"/>
    </xf>
    <xf numFmtId="0" fontId="15" fillId="35" borderId="92" xfId="20" applyFont="1" applyFill="1" applyBorder="1" applyAlignment="1">
      <alignment horizontal="left" vertical="center" indent="4"/>
    </xf>
    <xf numFmtId="1" fontId="15" fillId="135" borderId="98" xfId="10" applyNumberFormat="1" applyFont="1" applyFill="1" applyBorder="1" applyAlignment="1">
      <alignment horizontal="center" vertical="center"/>
    </xf>
    <xf numFmtId="0" fontId="15" fillId="35" borderId="92" xfId="20" applyFont="1" applyFill="1" applyBorder="1" applyAlignment="1">
      <alignment horizontal="left" vertical="center" indent="2"/>
    </xf>
    <xf numFmtId="4" fontId="27" fillId="0" borderId="98" xfId="13" applyNumberFormat="1" applyFont="1" applyBorder="1" applyAlignment="1">
      <alignment horizontal="center" vertical="center"/>
    </xf>
    <xf numFmtId="4" fontId="278" fillId="138" borderId="98" xfId="7" applyNumberFormat="1" applyFont="1" applyFill="1" applyBorder="1" applyAlignment="1">
      <alignment horizontal="right" vertical="center"/>
    </xf>
    <xf numFmtId="0" fontId="10" fillId="0" borderId="92" xfId="7" applyFont="1" applyBorder="1" applyAlignment="1">
      <alignment horizontal="left" vertical="center" indent="3"/>
    </xf>
    <xf numFmtId="0" fontId="10" fillId="0" borderId="92" xfId="7" applyFont="1" applyBorder="1" applyAlignment="1">
      <alignment horizontal="left" vertical="center" indent="1"/>
    </xf>
    <xf numFmtId="0" fontId="15" fillId="35" borderId="98" xfId="7" applyFont="1" applyFill="1" applyBorder="1" applyAlignment="1">
      <alignment horizontal="left" vertical="center" indent="4"/>
    </xf>
    <xf numFmtId="0" fontId="33" fillId="138" borderId="98" xfId="7" applyFont="1" applyFill="1" applyBorder="1" applyAlignment="1">
      <alignment horizontal="left" vertical="center"/>
    </xf>
    <xf numFmtId="3" fontId="304" fillId="138" borderId="98" xfId="7" applyNumberFormat="1" applyFont="1" applyFill="1" applyBorder="1" applyAlignment="1">
      <alignment horizontal="centerContinuous" vertical="center"/>
    </xf>
    <xf numFmtId="4" fontId="304" fillId="138" borderId="98" xfId="7" applyNumberFormat="1" applyFont="1" applyFill="1" applyBorder="1" applyAlignment="1">
      <alignment horizontal="center" vertical="center"/>
    </xf>
    <xf numFmtId="0" fontId="304" fillId="138" borderId="98" xfId="7" applyFont="1" applyFill="1" applyBorder="1" applyAlignment="1">
      <alignment horizontal="centerContinuous" vertical="center"/>
    </xf>
    <xf numFmtId="10" fontId="304" fillId="138" borderId="98" xfId="13" applyNumberFormat="1" applyFont="1" applyFill="1" applyBorder="1" applyAlignment="1">
      <alignment horizontal="centerContinuous" vertical="center"/>
    </xf>
    <xf numFmtId="0" fontId="15" fillId="35" borderId="98" xfId="7" applyFont="1" applyFill="1" applyBorder="1" applyAlignment="1">
      <alignment horizontal="left" vertical="center" indent="1"/>
    </xf>
    <xf numFmtId="3" fontId="15" fillId="0" borderId="98" xfId="7" applyNumberFormat="1" applyFont="1" applyBorder="1" applyAlignment="1">
      <alignment vertical="center"/>
    </xf>
    <xf numFmtId="0" fontId="9" fillId="0" borderId="0" xfId="0" applyFont="1" applyAlignment="1">
      <alignment horizontal="right" vertical="center"/>
    </xf>
    <xf numFmtId="49" fontId="9" fillId="0" borderId="0" xfId="0" applyNumberFormat="1" applyFont="1" applyAlignment="1">
      <alignment horizontal="center" vertical="center"/>
    </xf>
    <xf numFmtId="3" fontId="9" fillId="0" borderId="0" xfId="0" applyNumberFormat="1" applyFont="1" applyAlignment="1">
      <alignment vertical="center"/>
    </xf>
    <xf numFmtId="0" fontId="33" fillId="138" borderId="100" xfId="0" applyFont="1" applyFill="1" applyBorder="1" applyAlignment="1">
      <alignment horizontal="centerContinuous" vertical="center"/>
    </xf>
    <xf numFmtId="3" fontId="34" fillId="138" borderId="98" xfId="0" quotePrefix="1" applyNumberFormat="1" applyFont="1" applyFill="1" applyBorder="1" applyAlignment="1">
      <alignment horizontal="center" vertical="center"/>
    </xf>
    <xf numFmtId="4" fontId="35" fillId="138" borderId="99" xfId="0" applyNumberFormat="1" applyFont="1" applyFill="1" applyBorder="1" applyAlignment="1">
      <alignment horizontal="center" vertical="center"/>
    </xf>
    <xf numFmtId="0" fontId="35" fillId="138" borderId="99" xfId="0" applyFont="1" applyFill="1" applyBorder="1" applyAlignment="1">
      <alignment vertical="center"/>
    </xf>
    <xf numFmtId="10" fontId="35" fillId="138" borderId="99" xfId="13" applyNumberFormat="1" applyFont="1" applyFill="1" applyBorder="1" applyAlignment="1">
      <alignment vertical="center"/>
    </xf>
    <xf numFmtId="3" fontId="33" fillId="138" borderId="99" xfId="7" applyNumberFormat="1" applyFont="1" applyFill="1" applyBorder="1" applyAlignment="1">
      <alignment horizontal="right" vertical="center"/>
    </xf>
    <xf numFmtId="0" fontId="36" fillId="138" borderId="99" xfId="0" applyFont="1" applyFill="1" applyBorder="1" applyAlignment="1">
      <alignment vertical="center"/>
    </xf>
    <xf numFmtId="3" fontId="34" fillId="138" borderId="98" xfId="0" applyNumberFormat="1" applyFont="1" applyFill="1" applyBorder="1" applyAlignment="1">
      <alignment horizontal="right" vertical="center"/>
    </xf>
    <xf numFmtId="3" fontId="37" fillId="138" borderId="98" xfId="0" applyNumberFormat="1" applyFont="1" applyFill="1" applyBorder="1" applyAlignment="1">
      <alignment vertical="center"/>
    </xf>
    <xf numFmtId="4" fontId="9" fillId="138" borderId="6" xfId="10" applyNumberFormat="1" applyFill="1" applyBorder="1" applyAlignment="1">
      <alignment horizontal="center" vertical="center"/>
    </xf>
    <xf numFmtId="0" fontId="9" fillId="138" borderId="0" xfId="0" applyFont="1" applyFill="1" applyAlignment="1">
      <alignment vertical="center"/>
    </xf>
    <xf numFmtId="0" fontId="10" fillId="0" borderId="73" xfId="0" applyFont="1" applyBorder="1" applyAlignment="1">
      <alignment horizontal="center" vertical="center"/>
    </xf>
    <xf numFmtId="3" fontId="21" fillId="0" borderId="73" xfId="0" applyNumberFormat="1" applyFont="1" applyBorder="1" applyAlignment="1">
      <alignment vertical="center"/>
    </xf>
    <xf numFmtId="4" fontId="9" fillId="0" borderId="0" xfId="0" applyNumberFormat="1" applyFont="1" applyAlignment="1">
      <alignment horizontal="center" vertical="center"/>
    </xf>
    <xf numFmtId="10" fontId="9" fillId="0" borderId="0" xfId="13" applyNumberFormat="1" applyFont="1" applyAlignment="1">
      <alignment vertical="center"/>
    </xf>
    <xf numFmtId="0" fontId="9" fillId="0" borderId="73" xfId="0" applyFont="1" applyBorder="1" applyAlignment="1">
      <alignment vertical="center"/>
    </xf>
    <xf numFmtId="3" fontId="21" fillId="0" borderId="98" xfId="0" applyNumberFormat="1" applyFont="1" applyBorder="1" applyAlignment="1">
      <alignment horizontal="center" vertical="center"/>
    </xf>
    <xf numFmtId="9" fontId="9" fillId="0" borderId="98" xfId="0" applyNumberFormat="1" applyFont="1" applyBorder="1" applyAlignment="1">
      <alignment horizontal="center" vertical="center"/>
    </xf>
    <xf numFmtId="165" fontId="9" fillId="0" borderId="0" xfId="14" applyFont="1" applyAlignment="1">
      <alignment horizontal="center" vertical="center"/>
    </xf>
    <xf numFmtId="4" fontId="21" fillId="0" borderId="98" xfId="0" applyNumberFormat="1" applyFont="1" applyBorder="1" applyAlignment="1">
      <alignment horizontal="center" vertical="center"/>
    </xf>
    <xf numFmtId="4" fontId="9" fillId="0" borderId="0" xfId="13" applyNumberFormat="1" applyFont="1" applyAlignment="1">
      <alignment vertical="center"/>
    </xf>
    <xf numFmtId="0" fontId="10" fillId="0" borderId="98" xfId="0" applyFont="1" applyBorder="1" applyAlignment="1">
      <alignment vertical="center"/>
    </xf>
    <xf numFmtId="49" fontId="32" fillId="0" borderId="98" xfId="7" applyNumberFormat="1" applyFont="1" applyBorder="1" applyAlignment="1">
      <alignment horizontal="center" vertical="center"/>
    </xf>
    <xf numFmtId="49" fontId="32" fillId="12" borderId="98" xfId="7" applyNumberFormat="1" applyFont="1" applyFill="1" applyBorder="1" applyAlignment="1">
      <alignment horizontal="center" vertical="center"/>
    </xf>
    <xf numFmtId="0" fontId="31" fillId="12" borderId="98" xfId="10" applyFont="1" applyFill="1" applyBorder="1" applyAlignment="1">
      <alignment horizontal="center" vertical="center"/>
    </xf>
    <xf numFmtId="0" fontId="15" fillId="0" borderId="98" xfId="0" applyFont="1" applyBorder="1" applyAlignment="1">
      <alignment horizontal="center" vertical="center"/>
    </xf>
    <xf numFmtId="0" fontId="10" fillId="0" borderId="98" xfId="0" applyFont="1" applyBorder="1" applyAlignment="1">
      <alignment horizontal="centerContinuous" vertical="center"/>
    </xf>
    <xf numFmtId="4" fontId="10" fillId="0" borderId="98" xfId="0" applyNumberFormat="1" applyFont="1" applyBorder="1" applyAlignment="1">
      <alignment horizontal="right" vertical="center"/>
    </xf>
    <xf numFmtId="2" fontId="9" fillId="0" borderId="0" xfId="0" applyNumberFormat="1" applyFont="1" applyAlignment="1">
      <alignment horizontal="center" vertical="center"/>
    </xf>
    <xf numFmtId="0" fontId="10" fillId="0" borderId="98" xfId="9" applyFont="1" applyBorder="1" applyAlignment="1">
      <alignment horizontal="center"/>
    </xf>
    <xf numFmtId="4" fontId="10" fillId="0" borderId="98" xfId="8" applyNumberFormat="1" applyFont="1" applyBorder="1" applyAlignment="1">
      <alignment vertical="center"/>
    </xf>
    <xf numFmtId="49" fontId="9" fillId="0" borderId="98" xfId="8" applyNumberFormat="1" applyFont="1" applyBorder="1" applyAlignment="1">
      <alignment horizontal="center" vertical="center"/>
    </xf>
    <xf numFmtId="3" fontId="9" fillId="0" borderId="0" xfId="0" applyNumberFormat="1" applyFont="1" applyAlignment="1">
      <alignment horizontal="center" vertical="center"/>
    </xf>
    <xf numFmtId="3" fontId="10" fillId="0" borderId="98" xfId="0" applyNumberFormat="1" applyFont="1" applyBorder="1" applyAlignment="1">
      <alignment horizontal="center" vertical="center"/>
    </xf>
    <xf numFmtId="4" fontId="9" fillId="0" borderId="0" xfId="0" applyNumberFormat="1" applyFont="1" applyAlignment="1">
      <alignment vertical="center"/>
    </xf>
    <xf numFmtId="0" fontId="9" fillId="143" borderId="0" xfId="0" applyFont="1" applyFill="1" applyAlignment="1">
      <alignment vertical="center"/>
    </xf>
    <xf numFmtId="0" fontId="33" fillId="138" borderId="98" xfId="7" applyFont="1" applyFill="1" applyBorder="1" applyAlignment="1">
      <alignment horizontal="center" vertical="center"/>
    </xf>
    <xf numFmtId="0" fontId="33" fillId="138" borderId="92" xfId="7" applyFont="1" applyFill="1" applyBorder="1" applyAlignment="1">
      <alignment vertical="center"/>
    </xf>
    <xf numFmtId="1" fontId="31" fillId="0" borderId="98" xfId="10" applyNumberFormat="1" applyFont="1" applyBorder="1" applyAlignment="1">
      <alignment horizontal="center" vertical="center"/>
    </xf>
    <xf numFmtId="1" fontId="31" fillId="0" borderId="101" xfId="10" applyNumberFormat="1" applyFont="1" applyBorder="1" applyAlignment="1">
      <alignment horizontal="center" vertical="center"/>
    </xf>
    <xf numFmtId="3" fontId="22" fillId="0" borderId="98" xfId="10" applyNumberFormat="1" applyFont="1" applyBorder="1" applyAlignment="1">
      <alignment horizontal="right" vertical="center"/>
    </xf>
    <xf numFmtId="49" fontId="15" fillId="0" borderId="98" xfId="7" applyNumberFormat="1" applyFont="1" applyBorder="1" applyAlignment="1">
      <alignment horizontal="center" vertical="center"/>
    </xf>
    <xf numFmtId="3" fontId="15" fillId="0" borderId="98" xfId="7" applyNumberFormat="1" applyFont="1" applyBorder="1" applyAlignment="1">
      <alignment horizontal="right" vertical="center"/>
    </xf>
    <xf numFmtId="1" fontId="85" fillId="0" borderId="98" xfId="10" applyNumberFormat="1" applyFont="1" applyBorder="1" applyAlignment="1">
      <alignment horizontal="center" vertical="center"/>
    </xf>
    <xf numFmtId="1" fontId="15" fillId="0" borderId="101" xfId="20" applyNumberFormat="1" applyFont="1" applyBorder="1" applyAlignment="1">
      <alignment horizontal="center"/>
    </xf>
    <xf numFmtId="3" fontId="15" fillId="0" borderId="98" xfId="10" applyNumberFormat="1" applyFont="1" applyBorder="1" applyAlignment="1">
      <alignment horizontal="right" vertical="center"/>
    </xf>
    <xf numFmtId="49" fontId="15" fillId="0" borderId="98" xfId="7" applyNumberFormat="1" applyFont="1" applyBorder="1" applyAlignment="1">
      <alignment vertical="center"/>
    </xf>
    <xf numFmtId="0" fontId="10" fillId="52" borderId="92" xfId="7" applyFont="1" applyFill="1" applyBorder="1" applyAlignment="1">
      <alignment vertical="center"/>
    </xf>
    <xf numFmtId="0" fontId="15" fillId="0" borderId="98" xfId="20" applyFont="1" applyBorder="1" applyAlignment="1">
      <alignment vertical="center"/>
    </xf>
    <xf numFmtId="0" fontId="30" fillId="0" borderId="98" xfId="20" applyFont="1" applyBorder="1" applyAlignment="1">
      <alignment horizontal="left" vertical="center"/>
    </xf>
    <xf numFmtId="0" fontId="35" fillId="138" borderId="98" xfId="20" applyFont="1" applyFill="1" applyBorder="1" applyAlignment="1">
      <alignment vertical="center"/>
    </xf>
    <xf numFmtId="1" fontId="10" fillId="0" borderId="98" xfId="10" applyNumberFormat="1" applyFont="1" applyBorder="1" applyAlignment="1">
      <alignment horizontal="center" vertical="center"/>
    </xf>
    <xf numFmtId="1" fontId="10" fillId="0" borderId="101" xfId="10" applyNumberFormat="1" applyFont="1" applyBorder="1" applyAlignment="1">
      <alignment horizontal="center" vertical="center"/>
    </xf>
    <xf numFmtId="3" fontId="21" fillId="0" borderId="98" xfId="10" applyNumberFormat="1" applyFont="1" applyBorder="1" applyAlignment="1">
      <alignment horizontal="right" vertical="center"/>
    </xf>
    <xf numFmtId="3" fontId="15" fillId="0" borderId="98" xfId="10" applyNumberFormat="1" applyFont="1" applyBorder="1" applyAlignment="1">
      <alignment vertical="center"/>
    </xf>
    <xf numFmtId="3" fontId="22" fillId="0" borderId="98" xfId="20" applyNumberFormat="1" applyFont="1" applyBorder="1" applyAlignment="1">
      <alignment horizontal="right" vertical="center"/>
    </xf>
    <xf numFmtId="0" fontId="15" fillId="0" borderId="92" xfId="20" applyFont="1" applyBorder="1" applyAlignment="1">
      <alignment horizontal="left" vertical="center" indent="2"/>
    </xf>
    <xf numFmtId="1" fontId="15" fillId="0" borderId="98" xfId="7" applyNumberFormat="1" applyFont="1" applyBorder="1" applyAlignment="1">
      <alignment horizontal="center" vertical="center"/>
    </xf>
    <xf numFmtId="0" fontId="10" fillId="12" borderId="92" xfId="7" applyFont="1" applyFill="1" applyBorder="1" applyAlignment="1">
      <alignment vertical="center"/>
    </xf>
    <xf numFmtId="0" fontId="15" fillId="0" borderId="92" xfId="20" applyFont="1" applyBorder="1" applyAlignment="1">
      <alignment horizontal="left" vertical="center" indent="1"/>
    </xf>
    <xf numFmtId="1" fontId="15" fillId="0" borderId="98" xfId="20" applyNumberFormat="1" applyFont="1" applyBorder="1" applyAlignment="1">
      <alignment horizontal="center" vertical="center"/>
    </xf>
    <xf numFmtId="1" fontId="22" fillId="0" borderId="98" xfId="7" applyNumberFormat="1" applyFont="1" applyBorder="1" applyAlignment="1">
      <alignment horizontal="centerContinuous" vertical="center"/>
    </xf>
    <xf numFmtId="1" fontId="15" fillId="0" borderId="98" xfId="20" applyNumberFormat="1" applyFont="1" applyBorder="1" applyAlignment="1">
      <alignment horizontal="centerContinuous" vertical="center"/>
    </xf>
    <xf numFmtId="1" fontId="10" fillId="0" borderId="98" xfId="7" applyNumberFormat="1" applyFont="1" applyBorder="1" applyAlignment="1">
      <alignment horizontal="centerContinuous" vertical="center"/>
    </xf>
    <xf numFmtId="3" fontId="22" fillId="0" borderId="98" xfId="7" applyNumberFormat="1" applyFont="1" applyBorder="1" applyAlignment="1">
      <alignment horizontal="right" vertical="center"/>
    </xf>
    <xf numFmtId="1" fontId="22" fillId="0" borderId="98" xfId="143" applyNumberFormat="1" applyFont="1" applyBorder="1" applyAlignment="1">
      <alignment vertical="center"/>
    </xf>
    <xf numFmtId="3" fontId="22" fillId="0" borderId="98" xfId="143" applyNumberFormat="1" applyFont="1" applyBorder="1" applyAlignment="1">
      <alignment horizontal="right" vertical="center"/>
    </xf>
    <xf numFmtId="1" fontId="10" fillId="0" borderId="101" xfId="7" applyNumberFormat="1" applyFont="1" applyBorder="1" applyAlignment="1">
      <alignment horizontal="centerContinuous" vertical="center"/>
    </xf>
    <xf numFmtId="1" fontId="22" fillId="0" borderId="101" xfId="7" applyNumberFormat="1" applyFont="1" applyBorder="1" applyAlignment="1">
      <alignment horizontal="centerContinuous" vertical="center"/>
    </xf>
    <xf numFmtId="1" fontId="15" fillId="0" borderId="101" xfId="20" applyNumberFormat="1" applyFont="1" applyBorder="1" applyAlignment="1">
      <alignment horizontal="centerContinuous" vertical="center"/>
    </xf>
    <xf numFmtId="3" fontId="15" fillId="35" borderId="101" xfId="7" applyNumberFormat="1" applyFont="1" applyFill="1" applyBorder="1" applyAlignment="1">
      <alignment horizontal="right" vertical="center"/>
    </xf>
    <xf numFmtId="3" fontId="15" fillId="35" borderId="98" xfId="7" applyNumberFormat="1" applyFont="1" applyFill="1" applyBorder="1" applyAlignment="1">
      <alignment horizontal="right" vertical="center"/>
    </xf>
    <xf numFmtId="0" fontId="10" fillId="0" borderId="98" xfId="144" applyFont="1" applyBorder="1" applyAlignment="1">
      <alignment horizontal="left" vertical="center" indent="2"/>
    </xf>
    <xf numFmtId="49" fontId="15" fillId="0" borderId="101" xfId="7" applyNumberFormat="1" applyFont="1" applyBorder="1" applyAlignment="1">
      <alignment horizontal="center" vertical="center"/>
    </xf>
    <xf numFmtId="1" fontId="15" fillId="0" borderId="101" xfId="10" applyNumberFormat="1" applyFont="1" applyBorder="1" applyAlignment="1">
      <alignment horizontal="center" vertical="center"/>
    </xf>
    <xf numFmtId="0" fontId="15" fillId="0" borderId="101" xfId="0" applyFont="1" applyBorder="1" applyAlignment="1">
      <alignment horizontal="center" vertical="center"/>
    </xf>
    <xf numFmtId="0" fontId="15" fillId="0" borderId="101" xfId="20" applyFont="1" applyBorder="1" applyAlignment="1">
      <alignment horizontal="center" vertical="center"/>
    </xf>
    <xf numFmtId="3" fontId="15" fillId="0" borderId="101" xfId="20" applyNumberFormat="1" applyFont="1" applyBorder="1" applyAlignment="1">
      <alignment horizontal="right" vertical="center"/>
    </xf>
    <xf numFmtId="0" fontId="33" fillId="138" borderId="92" xfId="7" applyFont="1" applyFill="1" applyBorder="1" applyAlignment="1">
      <alignment vertical="center" wrapText="1"/>
    </xf>
    <xf numFmtId="0" fontId="278" fillId="138" borderId="98" xfId="7" applyFont="1" applyFill="1" applyBorder="1" applyAlignment="1">
      <alignment horizontal="center" vertical="center" wrapText="1"/>
    </xf>
    <xf numFmtId="49" fontId="10" fillId="0" borderId="98" xfId="7" applyNumberFormat="1" applyFont="1" applyBorder="1" applyAlignment="1">
      <alignment horizontal="left" vertical="center" indent="2"/>
    </xf>
    <xf numFmtId="0" fontId="15" fillId="47" borderId="98" xfId="0" applyFont="1" applyFill="1" applyBorder="1" applyAlignment="1">
      <alignment horizontal="left" vertical="center" indent="4"/>
    </xf>
    <xf numFmtId="0" fontId="15" fillId="0" borderId="98" xfId="7" applyFont="1" applyBorder="1" applyAlignment="1">
      <alignment horizontal="center" vertical="center"/>
    </xf>
    <xf numFmtId="0" fontId="22" fillId="35" borderId="98" xfId="7" applyFont="1" applyFill="1" applyBorder="1" applyAlignment="1">
      <alignment horizontal="centerContinuous" vertical="center"/>
    </xf>
    <xf numFmtId="0" fontId="15" fillId="35" borderId="98" xfId="20" applyFont="1" applyFill="1" applyBorder="1" applyAlignment="1">
      <alignment horizontal="center" vertical="center"/>
    </xf>
    <xf numFmtId="0" fontId="15" fillId="35" borderId="98" xfId="20" applyFont="1" applyFill="1" applyBorder="1" applyAlignment="1">
      <alignment vertical="center"/>
    </xf>
    <xf numFmtId="3" fontId="22" fillId="0" borderId="98" xfId="7" applyNumberFormat="1" applyFont="1" applyBorder="1" applyAlignment="1">
      <alignment horizontal="centerContinuous" vertical="center"/>
    </xf>
    <xf numFmtId="3" fontId="22" fillId="138" borderId="98" xfId="7" applyNumberFormat="1" applyFont="1" applyFill="1" applyBorder="1" applyAlignment="1">
      <alignment horizontal="right" vertical="center"/>
    </xf>
    <xf numFmtId="3" fontId="15" fillId="0" borderId="3" xfId="20" applyNumberFormat="1" applyFont="1" applyBorder="1" applyAlignment="1">
      <alignment horizontal="right" vertical="center"/>
    </xf>
    <xf numFmtId="0" fontId="22" fillId="0" borderId="98" xfId="7" applyFont="1" applyBorder="1" applyAlignment="1">
      <alignment horizontal="center" vertical="center"/>
    </xf>
    <xf numFmtId="0" fontId="15" fillId="0" borderId="101" xfId="7" applyFont="1" applyBorder="1" applyAlignment="1">
      <alignment horizontal="center" vertical="center"/>
    </xf>
    <xf numFmtId="0" fontId="10" fillId="0" borderId="98" xfId="144" applyFont="1" applyBorder="1" applyAlignment="1">
      <alignment horizontal="left" vertical="center" indent="3"/>
    </xf>
    <xf numFmtId="3" fontId="15" fillId="35" borderId="98" xfId="20" applyNumberFormat="1" applyFont="1" applyFill="1" applyBorder="1" applyAlignment="1">
      <alignment horizontal="right" vertical="center"/>
    </xf>
    <xf numFmtId="0" fontId="278" fillId="138" borderId="98" xfId="7" applyFont="1" applyFill="1" applyBorder="1" applyAlignment="1">
      <alignment horizontal="center" vertical="center"/>
    </xf>
    <xf numFmtId="0" fontId="10" fillId="0" borderId="98" xfId="144" applyFont="1" applyBorder="1" applyAlignment="1">
      <alignment horizontal="left" vertical="center" indent="1"/>
    </xf>
    <xf numFmtId="0" fontId="15" fillId="0" borderId="98" xfId="20" applyFont="1" applyBorder="1" applyAlignment="1">
      <alignment horizontal="left" vertical="center" indent="1"/>
    </xf>
    <xf numFmtId="0" fontId="15" fillId="35" borderId="98" xfId="7" applyFont="1" applyFill="1" applyBorder="1" applyAlignment="1">
      <alignment horizontal="center" vertical="center"/>
    </xf>
    <xf numFmtId="0" fontId="278" fillId="138" borderId="100" xfId="20" applyFont="1" applyFill="1" applyBorder="1" applyAlignment="1">
      <alignment horizontal="center" vertical="center"/>
    </xf>
    <xf numFmtId="3" fontId="34" fillId="138" borderId="98" xfId="20" applyNumberFormat="1" applyFont="1" applyFill="1" applyBorder="1" applyAlignment="1">
      <alignment horizontal="right" vertical="center"/>
    </xf>
    <xf numFmtId="0" fontId="35" fillId="138" borderId="99" xfId="20" applyFont="1" applyFill="1" applyBorder="1" applyAlignment="1">
      <alignment vertical="center"/>
    </xf>
    <xf numFmtId="0" fontId="36" fillId="138" borderId="99" xfId="20" applyFont="1" applyFill="1" applyBorder="1" applyAlignment="1">
      <alignment vertical="center"/>
    </xf>
    <xf numFmtId="0" fontId="36" fillId="138" borderId="101" xfId="20" applyFont="1" applyFill="1" applyBorder="1" applyAlignment="1">
      <alignment vertical="center"/>
    </xf>
    <xf numFmtId="3" fontId="35" fillId="138" borderId="98" xfId="20" applyNumberFormat="1" applyFont="1" applyFill="1" applyBorder="1" applyAlignment="1">
      <alignment vertical="center"/>
    </xf>
    <xf numFmtId="3" fontId="35" fillId="138" borderId="92" xfId="20" applyNumberFormat="1" applyFont="1" applyFill="1" applyBorder="1" applyAlignment="1">
      <alignment vertical="center"/>
    </xf>
    <xf numFmtId="9" fontId="15" fillId="0" borderId="98" xfId="20" applyNumberFormat="1" applyFont="1" applyBorder="1" applyAlignment="1">
      <alignment vertical="center"/>
    </xf>
    <xf numFmtId="350" fontId="9" fillId="50" borderId="0" xfId="8" applyNumberFormat="1" applyFont="1" applyFill="1" applyAlignment="1">
      <alignment vertical="center"/>
    </xf>
    <xf numFmtId="0" fontId="33" fillId="141" borderId="98" xfId="0" applyFont="1" applyFill="1" applyBorder="1" applyAlignment="1">
      <alignment horizontal="centerContinuous" vertical="center"/>
    </xf>
    <xf numFmtId="0" fontId="33" fillId="141" borderId="98" xfId="0" applyFont="1" applyFill="1" applyBorder="1" applyAlignment="1">
      <alignment horizontal="center" vertical="center" wrapText="1"/>
    </xf>
    <xf numFmtId="10" fontId="33" fillId="141" borderId="98" xfId="13" applyNumberFormat="1" applyFont="1" applyFill="1" applyBorder="1" applyAlignment="1">
      <alignment horizontal="center" vertical="center" wrapText="1"/>
    </xf>
    <xf numFmtId="4" fontId="33" fillId="141" borderId="98" xfId="0" applyNumberFormat="1" applyFont="1" applyFill="1" applyBorder="1" applyAlignment="1">
      <alignment horizontal="center" vertical="center" wrapText="1"/>
    </xf>
    <xf numFmtId="0" fontId="33" fillId="141" borderId="98" xfId="0" applyFont="1" applyFill="1" applyBorder="1" applyAlignment="1">
      <alignment horizontal="center" vertical="center"/>
    </xf>
    <xf numFmtId="0" fontId="96" fillId="141" borderId="98" xfId="0" applyFont="1" applyFill="1" applyBorder="1" applyAlignment="1">
      <alignment horizontal="left" vertical="center" indent="1"/>
    </xf>
    <xf numFmtId="0" fontId="36" fillId="141" borderId="98" xfId="0" applyFont="1" applyFill="1" applyBorder="1" applyAlignment="1">
      <alignment vertical="center"/>
    </xf>
    <xf numFmtId="10" fontId="36" fillId="141" borderId="98" xfId="13" applyNumberFormat="1" applyFont="1" applyFill="1" applyBorder="1" applyAlignment="1">
      <alignment horizontal="center" vertical="center"/>
    </xf>
    <xf numFmtId="0" fontId="36" fillId="141" borderId="98" xfId="0" applyFont="1" applyFill="1" applyBorder="1" applyAlignment="1">
      <alignment horizontal="center" vertical="center"/>
    </xf>
    <xf numFmtId="4" fontId="36" fillId="141" borderId="98" xfId="0" applyNumberFormat="1" applyFont="1" applyFill="1" applyBorder="1" applyAlignment="1">
      <alignment vertical="center"/>
    </xf>
    <xf numFmtId="0" fontId="19" fillId="47" borderId="98" xfId="0" applyFont="1" applyFill="1" applyBorder="1" applyAlignment="1">
      <alignment horizontal="left" vertical="center" indent="1"/>
    </xf>
    <xf numFmtId="0" fontId="0" fillId="47" borderId="98" xfId="0" applyFill="1" applyBorder="1" applyAlignment="1">
      <alignment vertical="center"/>
    </xf>
    <xf numFmtId="0" fontId="9" fillId="47" borderId="98" xfId="0" applyFont="1" applyFill="1" applyBorder="1" applyAlignment="1">
      <alignment horizontal="left" vertical="center" indent="1"/>
    </xf>
    <xf numFmtId="0" fontId="0" fillId="47" borderId="98" xfId="0" applyFill="1" applyBorder="1" applyAlignment="1">
      <alignment horizontal="left" vertical="center" indent="2"/>
    </xf>
    <xf numFmtId="0" fontId="9" fillId="47" borderId="98" xfId="0" applyFont="1" applyFill="1" applyBorder="1" applyAlignment="1">
      <alignment horizontal="left" vertical="center" indent="2"/>
    </xf>
    <xf numFmtId="0" fontId="9" fillId="47" borderId="98" xfId="7" applyFill="1" applyBorder="1" applyAlignment="1">
      <alignment horizontal="left" vertical="center" indent="2"/>
    </xf>
    <xf numFmtId="49" fontId="9" fillId="47" borderId="98" xfId="7" applyNumberFormat="1" applyFill="1" applyBorder="1" applyAlignment="1">
      <alignment horizontal="left" vertical="center" indent="2"/>
    </xf>
    <xf numFmtId="49" fontId="33" fillId="141" borderId="98" xfId="7" applyNumberFormat="1" applyFont="1" applyFill="1" applyBorder="1" applyAlignment="1">
      <alignment horizontal="left" vertical="center" indent="1"/>
    </xf>
    <xf numFmtId="4" fontId="91" fillId="47" borderId="98" xfId="0" applyNumberFormat="1" applyFont="1" applyFill="1" applyBorder="1" applyAlignment="1">
      <alignment vertical="center"/>
    </xf>
    <xf numFmtId="0" fontId="91" fillId="47" borderId="98" xfId="0" applyFont="1" applyFill="1" applyBorder="1" applyAlignment="1">
      <alignment horizontal="center" vertical="center"/>
    </xf>
    <xf numFmtId="49" fontId="9" fillId="0" borderId="98" xfId="7" applyNumberFormat="1" applyBorder="1" applyAlignment="1">
      <alignment horizontal="left" vertical="center" indent="2"/>
    </xf>
    <xf numFmtId="0" fontId="33" fillId="141" borderId="98" xfId="0" applyFont="1" applyFill="1" applyBorder="1" applyAlignment="1">
      <alignment horizontal="left" vertical="center" indent="1"/>
    </xf>
    <xf numFmtId="49" fontId="9" fillId="47" borderId="98" xfId="0" applyNumberFormat="1" applyFont="1" applyFill="1" applyBorder="1" applyAlignment="1">
      <alignment horizontal="left" vertical="center" indent="2"/>
    </xf>
    <xf numFmtId="165" fontId="9" fillId="47" borderId="98" xfId="14" applyFont="1" applyFill="1" applyBorder="1" applyAlignment="1">
      <alignment vertical="center"/>
    </xf>
    <xf numFmtId="0" fontId="19" fillId="51" borderId="98" xfId="0" applyFont="1" applyFill="1" applyBorder="1" applyAlignment="1">
      <alignment horizontal="left" vertical="center" indent="1"/>
    </xf>
    <xf numFmtId="4" fontId="0" fillId="51" borderId="98" xfId="0" applyNumberFormat="1" applyFill="1" applyBorder="1" applyAlignment="1">
      <alignment vertical="center"/>
    </xf>
    <xf numFmtId="10" fontId="9" fillId="51" borderId="98" xfId="13" applyNumberFormat="1" applyFill="1" applyBorder="1" applyAlignment="1">
      <alignment horizontal="center" vertical="center"/>
    </xf>
    <xf numFmtId="0" fontId="0" fillId="51" borderId="98" xfId="0" applyFill="1" applyBorder="1" applyAlignment="1">
      <alignment horizontal="center" vertical="center"/>
    </xf>
    <xf numFmtId="4" fontId="9" fillId="51" borderId="98" xfId="0" applyNumberFormat="1" applyFont="1" applyFill="1" applyBorder="1" applyAlignment="1">
      <alignment vertical="center"/>
    </xf>
    <xf numFmtId="0" fontId="9" fillId="51" borderId="98" xfId="0" applyFont="1" applyFill="1" applyBorder="1" applyAlignment="1">
      <alignment horizontal="center" vertical="center"/>
    </xf>
    <xf numFmtId="0" fontId="278" fillId="141" borderId="98" xfId="20" applyFont="1" applyFill="1" applyBorder="1" applyAlignment="1">
      <alignment horizontal="center" vertical="center"/>
    </xf>
    <xf numFmtId="0" fontId="9" fillId="47" borderId="92" xfId="20" applyFill="1" applyBorder="1" applyAlignment="1">
      <alignment horizontal="centerContinuous" vertical="center"/>
    </xf>
    <xf numFmtId="0" fontId="9" fillId="47" borderId="100" xfId="20" applyFill="1" applyBorder="1" applyAlignment="1">
      <alignment vertical="center"/>
    </xf>
    <xf numFmtId="0" fontId="9" fillId="47" borderId="100" xfId="20" applyFill="1" applyBorder="1" applyAlignment="1">
      <alignment horizontal="center" vertical="center"/>
    </xf>
    <xf numFmtId="0" fontId="9" fillId="47" borderId="98" xfId="20" applyFill="1" applyBorder="1" applyAlignment="1">
      <alignment horizontal="centerContinuous" vertical="center"/>
    </xf>
    <xf numFmtId="4" fontId="9" fillId="47" borderId="101" xfId="20" applyNumberFormat="1" applyFill="1" applyBorder="1" applyAlignment="1">
      <alignment vertical="center"/>
    </xf>
    <xf numFmtId="4" fontId="9" fillId="47" borderId="101" xfId="20" applyNumberFormat="1" applyFill="1" applyBorder="1" applyAlignment="1">
      <alignment vertical="center" wrapText="1"/>
    </xf>
    <xf numFmtId="0" fontId="33" fillId="141" borderId="100" xfId="20" applyFont="1" applyFill="1" applyBorder="1" applyAlignment="1">
      <alignment horizontal="centerContinuous" vertical="center"/>
    </xf>
    <xf numFmtId="4" fontId="33" fillId="141" borderId="98" xfId="20" applyNumberFormat="1" applyFont="1" applyFill="1" applyBorder="1" applyAlignment="1">
      <alignment vertical="center"/>
    </xf>
    <xf numFmtId="0" fontId="1" fillId="0" borderId="0" xfId="21" applyFont="1" applyAlignment="1">
      <alignment vertical="center"/>
    </xf>
    <xf numFmtId="17" fontId="1" fillId="0" borderId="0" xfId="21" applyNumberFormat="1" applyFont="1" applyAlignment="1">
      <alignment horizontal="center" vertical="center" wrapText="1"/>
    </xf>
    <xf numFmtId="0" fontId="1" fillId="134" borderId="0" xfId="21" applyFont="1" applyFill="1" applyAlignment="1">
      <alignment vertical="center"/>
    </xf>
    <xf numFmtId="193" fontId="1" fillId="0" borderId="0" xfId="21" applyNumberFormat="1" applyFont="1" applyAlignment="1">
      <alignment vertical="center"/>
    </xf>
    <xf numFmtId="193" fontId="1" fillId="0" borderId="0" xfId="21" applyNumberFormat="1" applyFont="1" applyAlignment="1">
      <alignment horizontal="right" vertical="center"/>
    </xf>
    <xf numFmtId="10" fontId="1" fillId="12" borderId="98" xfId="21" applyNumberFormat="1" applyFont="1" applyFill="1" applyBorder="1" applyAlignment="1">
      <alignment horizontal="center" vertical="center"/>
    </xf>
    <xf numFmtId="1" fontId="58" fillId="45" borderId="98" xfId="60" applyNumberFormat="1" applyFont="1" applyFill="1" applyBorder="1" applyAlignment="1">
      <alignment horizontal="center" vertical="top"/>
    </xf>
    <xf numFmtId="0" fontId="306" fillId="138" borderId="100" xfId="0" applyFont="1" applyFill="1" applyBorder="1" applyAlignment="1">
      <alignment horizontal="center" vertical="center"/>
    </xf>
    <xf numFmtId="0" fontId="36" fillId="138" borderId="100" xfId="0" applyFont="1" applyFill="1" applyBorder="1"/>
    <xf numFmtId="0" fontId="0" fillId="35" borderId="39" xfId="0" applyFill="1" applyBorder="1"/>
    <xf numFmtId="10" fontId="0" fillId="35" borderId="3" xfId="0" applyNumberFormat="1" applyFill="1" applyBorder="1" applyAlignment="1">
      <alignment horizontal="center"/>
    </xf>
    <xf numFmtId="0" fontId="33" fillId="138" borderId="39" xfId="0" applyFont="1" applyFill="1" applyBorder="1"/>
    <xf numFmtId="10" fontId="33" fillId="138" borderId="3" xfId="126" applyNumberFormat="1" applyFont="1" applyFill="1" applyBorder="1" applyAlignment="1">
      <alignment horizontal="center"/>
    </xf>
    <xf numFmtId="0" fontId="0" fillId="35" borderId="100" xfId="0" applyFill="1" applyBorder="1"/>
    <xf numFmtId="0" fontId="0" fillId="35" borderId="101" xfId="0" applyFill="1" applyBorder="1"/>
    <xf numFmtId="9" fontId="33" fillId="137" borderId="98" xfId="0" applyNumberFormat="1" applyFont="1" applyFill="1" applyBorder="1"/>
    <xf numFmtId="281" fontId="0" fillId="35" borderId="37" xfId="13" applyNumberFormat="1" applyFont="1" applyFill="1" applyBorder="1" applyAlignment="1">
      <alignment horizontal="center"/>
    </xf>
    <xf numFmtId="281" fontId="10" fillId="35" borderId="9" xfId="13" applyNumberFormat="1" applyFont="1" applyFill="1" applyBorder="1" applyAlignment="1">
      <alignment horizontal="center"/>
    </xf>
    <xf numFmtId="0" fontId="308" fillId="138" borderId="98" xfId="0" applyFont="1" applyFill="1" applyBorder="1" applyAlignment="1">
      <alignment horizontal="center" vertical="center" wrapText="1"/>
    </xf>
    <xf numFmtId="4" fontId="308" fillId="138" borderId="98" xfId="0" applyNumberFormat="1" applyFont="1" applyFill="1" applyBorder="1" applyAlignment="1">
      <alignment horizontal="center" vertical="center" wrapText="1"/>
    </xf>
    <xf numFmtId="4" fontId="308" fillId="138" borderId="98" xfId="0" applyNumberFormat="1" applyFont="1" applyFill="1" applyBorder="1" applyAlignment="1">
      <alignment horizontal="center" vertical="center"/>
    </xf>
    <xf numFmtId="0" fontId="284" fillId="0" borderId="98" xfId="0" applyFont="1" applyBorder="1" applyAlignment="1">
      <alignment vertical="center" wrapText="1"/>
    </xf>
    <xf numFmtId="0" fontId="94" fillId="0" borderId="98" xfId="0" applyFont="1" applyBorder="1" applyAlignment="1">
      <alignment horizontal="left" vertical="center" wrapText="1"/>
    </xf>
    <xf numFmtId="4" fontId="285" fillId="0" borderId="98" xfId="0" applyNumberFormat="1" applyFont="1" applyBorder="1" applyAlignment="1">
      <alignment horizontal="right" vertical="center" wrapText="1"/>
    </xf>
    <xf numFmtId="4" fontId="94" fillId="0" borderId="98" xfId="0" applyNumberFormat="1" applyFont="1" applyBorder="1" applyAlignment="1">
      <alignment horizontal="center" vertical="center" wrapText="1"/>
    </xf>
    <xf numFmtId="0" fontId="287" fillId="0" borderId="98" xfId="0" applyFont="1" applyBorder="1" applyAlignment="1">
      <alignment vertical="center" wrapText="1"/>
    </xf>
    <xf numFmtId="4" fontId="288" fillId="0" borderId="98" xfId="0" applyNumberFormat="1" applyFont="1" applyBorder="1" applyAlignment="1">
      <alignment horizontal="right" vertical="center" wrapText="1"/>
    </xf>
    <xf numFmtId="0" fontId="309" fillId="138" borderId="98" xfId="0" applyFont="1" applyFill="1" applyBorder="1" applyAlignment="1">
      <alignment vertical="center"/>
    </xf>
    <xf numFmtId="0" fontId="94" fillId="0" borderId="98" xfId="0" applyFont="1" applyBorder="1" applyAlignment="1">
      <alignment vertical="center" wrapText="1"/>
    </xf>
    <xf numFmtId="4" fontId="285" fillId="0" borderId="98" xfId="0" applyNumberFormat="1" applyFont="1" applyBorder="1" applyAlignment="1">
      <alignment horizontal="center" vertical="center" wrapText="1"/>
    </xf>
    <xf numFmtId="0" fontId="94" fillId="0" borderId="98" xfId="0" applyFont="1" applyBorder="1" applyAlignment="1">
      <alignment horizontal="center" vertical="center" wrapText="1"/>
    </xf>
    <xf numFmtId="0" fontId="310" fillId="138" borderId="98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49" fontId="94" fillId="0" borderId="98" xfId="0" applyNumberFormat="1" applyFont="1" applyBorder="1" applyAlignment="1">
      <alignment horizontal="center" vertical="center" wrapText="1"/>
    </xf>
    <xf numFmtId="0" fontId="311" fillId="138" borderId="98" xfId="0" applyFont="1" applyFill="1" applyBorder="1" applyAlignment="1">
      <alignment horizontal="center" vertical="center"/>
    </xf>
    <xf numFmtId="4" fontId="310" fillId="138" borderId="98" xfId="0" applyNumberFormat="1" applyFont="1" applyFill="1" applyBorder="1" applyAlignment="1">
      <alignment horizontal="center" vertical="center"/>
    </xf>
    <xf numFmtId="0" fontId="94" fillId="0" borderId="92" xfId="0" applyFont="1" applyBorder="1" applyAlignment="1" applyProtection="1">
      <alignment horizontal="left" vertical="center" wrapText="1"/>
      <protection locked="0"/>
    </xf>
    <xf numFmtId="4" fontId="285" fillId="0" borderId="98" xfId="0" applyNumberFormat="1" applyFont="1" applyBorder="1" applyAlignment="1">
      <alignment horizontal="center" vertical="center"/>
    </xf>
    <xf numFmtId="4" fontId="94" fillId="0" borderId="98" xfId="0" applyNumberFormat="1" applyFont="1" applyBorder="1" applyAlignment="1">
      <alignment horizontal="center" vertical="center"/>
    </xf>
    <xf numFmtId="0" fontId="289" fillId="0" borderId="92" xfId="0" applyFont="1" applyBorder="1" applyAlignment="1">
      <alignment horizontal="center" vertical="center" wrapText="1"/>
    </xf>
    <xf numFmtId="0" fontId="289" fillId="0" borderId="98" xfId="0" applyFont="1" applyBorder="1" applyAlignment="1">
      <alignment horizontal="center" vertical="center"/>
    </xf>
    <xf numFmtId="0" fontId="94" fillId="0" borderId="98" xfId="0" applyFont="1" applyBorder="1" applyAlignment="1">
      <alignment vertical="center"/>
    </xf>
    <xf numFmtId="0" fontId="94" fillId="0" borderId="98" xfId="0" applyFont="1" applyBorder="1" applyAlignment="1">
      <alignment horizontal="center" vertical="center"/>
    </xf>
    <xf numFmtId="0" fontId="289" fillId="0" borderId="98" xfId="0" applyFont="1" applyBorder="1" applyAlignment="1">
      <alignment horizontal="center" vertical="center" wrapText="1"/>
    </xf>
    <xf numFmtId="49" fontId="94" fillId="0" borderId="98" xfId="0" applyNumberFormat="1" applyFont="1" applyBorder="1" applyAlignment="1">
      <alignment horizontal="center" vertical="center" wrapText="1" shrinkToFit="1"/>
    </xf>
    <xf numFmtId="4" fontId="292" fillId="0" borderId="98" xfId="0" applyNumberFormat="1" applyFont="1" applyBorder="1" applyAlignment="1">
      <alignment horizontal="center" vertical="center" wrapText="1"/>
    </xf>
    <xf numFmtId="0" fontId="85" fillId="0" borderId="98" xfId="0" applyFont="1" applyBorder="1" applyAlignment="1">
      <alignment horizontal="center" vertical="center"/>
    </xf>
    <xf numFmtId="0" fontId="85" fillId="0" borderId="98" xfId="0" applyFont="1" applyBorder="1" applyAlignment="1">
      <alignment horizontal="justify" vertical="center" wrapText="1"/>
    </xf>
    <xf numFmtId="0" fontId="85" fillId="0" borderId="98" xfId="0" applyFont="1" applyBorder="1" applyAlignment="1">
      <alignment horizontal="center" vertical="center" wrapText="1"/>
    </xf>
    <xf numFmtId="3" fontId="85" fillId="0" borderId="98" xfId="0" applyNumberFormat="1" applyFont="1" applyBorder="1" applyAlignment="1">
      <alignment horizontal="center" vertical="center" wrapText="1"/>
    </xf>
    <xf numFmtId="165" fontId="85" fillId="0" borderId="98" xfId="14" applyFont="1" applyBorder="1" applyAlignment="1">
      <alignment horizontal="center" vertical="center"/>
    </xf>
    <xf numFmtId="165" fontId="85" fillId="0" borderId="98" xfId="14" applyFont="1" applyBorder="1" applyAlignment="1">
      <alignment horizontal="right" vertical="center"/>
    </xf>
    <xf numFmtId="165" fontId="298" fillId="0" borderId="98" xfId="14" applyFont="1" applyBorder="1" applyAlignment="1">
      <alignment horizontal="center" vertical="center"/>
    </xf>
    <xf numFmtId="165" fontId="298" fillId="0" borderId="98" xfId="14" applyFont="1" applyBorder="1" applyAlignment="1">
      <alignment vertical="center"/>
    </xf>
    <xf numFmtId="0" fontId="298" fillId="0" borderId="98" xfId="0" applyFont="1" applyBorder="1" applyAlignment="1">
      <alignment vertical="center"/>
    </xf>
    <xf numFmtId="10" fontId="10" fillId="35" borderId="0" xfId="13" applyNumberFormat="1" applyFont="1" applyFill="1" applyBorder="1" applyAlignment="1">
      <alignment horizontal="center"/>
    </xf>
    <xf numFmtId="193" fontId="270" fillId="0" borderId="0" xfId="0" applyNumberFormat="1" applyFont="1"/>
    <xf numFmtId="0" fontId="9" fillId="139" borderId="0" xfId="0" applyFont="1" applyFill="1" applyAlignment="1">
      <alignment vertical="top"/>
    </xf>
    <xf numFmtId="0" fontId="9" fillId="140" borderId="0" xfId="0" applyFont="1" applyFill="1" applyAlignment="1">
      <alignment vertical="top"/>
    </xf>
    <xf numFmtId="0" fontId="10" fillId="141" borderId="0" xfId="0" applyFont="1" applyFill="1" applyAlignment="1">
      <alignment horizontal="center" vertical="top"/>
    </xf>
    <xf numFmtId="1" fontId="8" fillId="0" borderId="0" xfId="21" applyNumberFormat="1" applyAlignment="1">
      <alignment horizontal="center" vertical="top"/>
    </xf>
    <xf numFmtId="0" fontId="8" fillId="0" borderId="0" xfId="21" applyAlignment="1">
      <alignment vertical="top" wrapText="1"/>
    </xf>
    <xf numFmtId="0" fontId="8" fillId="0" borderId="0" xfId="21" applyAlignment="1">
      <alignment horizontal="center" vertical="top"/>
    </xf>
    <xf numFmtId="4" fontId="8" fillId="0" borderId="0" xfId="21" applyNumberFormat="1" applyAlignment="1">
      <alignment horizontal="right" vertical="top"/>
    </xf>
    <xf numFmtId="4" fontId="8" fillId="0" borderId="0" xfId="21" applyNumberFormat="1" applyAlignment="1">
      <alignment vertical="top"/>
    </xf>
    <xf numFmtId="0" fontId="8" fillId="0" borderId="0" xfId="21" applyAlignment="1">
      <alignment vertical="top"/>
    </xf>
    <xf numFmtId="4" fontId="8" fillId="134" borderId="0" xfId="21" applyNumberFormat="1" applyFill="1" applyAlignment="1">
      <alignment horizontal="right" vertical="top"/>
    </xf>
    <xf numFmtId="0" fontId="10" fillId="141" borderId="0" xfId="0" applyFont="1" applyFill="1" applyAlignment="1">
      <alignment vertical="top"/>
    </xf>
    <xf numFmtId="0" fontId="277" fillId="47" borderId="0" xfId="23" applyFont="1" applyFill="1" applyAlignment="1">
      <alignment horizontal="center" vertical="top"/>
    </xf>
    <xf numFmtId="0" fontId="8" fillId="0" borderId="0" xfId="21" applyAlignment="1">
      <alignment horizontal="left" vertical="top" wrapText="1"/>
    </xf>
    <xf numFmtId="0" fontId="8" fillId="0" borderId="0" xfId="21" applyAlignment="1">
      <alignment horizontal="left" vertical="top"/>
    </xf>
    <xf numFmtId="1" fontId="15" fillId="35" borderId="98" xfId="64" applyNumberFormat="1" applyFont="1" applyFill="1" applyBorder="1" applyAlignment="1">
      <alignment horizontal="center" vertical="top"/>
    </xf>
    <xf numFmtId="1" fontId="8" fillId="134" borderId="0" xfId="21" applyNumberFormat="1" applyFill="1" applyAlignment="1">
      <alignment horizontal="center" vertical="top"/>
    </xf>
    <xf numFmtId="0" fontId="8" fillId="142" borderId="0" xfId="21" applyFill="1" applyAlignment="1">
      <alignment vertical="top"/>
    </xf>
    <xf numFmtId="0" fontId="8" fillId="143" borderId="0" xfId="21" applyFill="1" applyAlignment="1">
      <alignment vertical="top"/>
    </xf>
    <xf numFmtId="0" fontId="8" fillId="138" borderId="0" xfId="21" applyFill="1" applyAlignment="1">
      <alignment vertical="top"/>
    </xf>
    <xf numFmtId="4" fontId="8" fillId="0" borderId="0" xfId="21" applyNumberFormat="1" applyAlignment="1">
      <alignment horizontal="center" vertical="top"/>
    </xf>
    <xf numFmtId="0" fontId="275" fillId="0" borderId="0" xfId="21" applyFont="1" applyAlignment="1">
      <alignment vertical="top" wrapText="1"/>
    </xf>
    <xf numFmtId="4" fontId="275" fillId="134" borderId="0" xfId="21" applyNumberFormat="1" applyFont="1" applyFill="1" applyAlignment="1">
      <alignment horizontal="right" vertical="top"/>
    </xf>
    <xf numFmtId="1" fontId="275" fillId="134" borderId="0" xfId="21" applyNumberFormat="1" applyFont="1" applyFill="1" applyAlignment="1">
      <alignment horizontal="center" vertical="top"/>
    </xf>
    <xf numFmtId="1" fontId="275" fillId="0" borderId="0" xfId="21" applyNumberFormat="1" applyFont="1" applyAlignment="1">
      <alignment horizontal="center" vertical="top"/>
    </xf>
    <xf numFmtId="0" fontId="9" fillId="139" borderId="0" xfId="0" applyFont="1" applyFill="1" applyAlignment="1">
      <alignment vertical="center"/>
    </xf>
    <xf numFmtId="0" fontId="9" fillId="140" borderId="0" xfId="0" applyFont="1" applyFill="1" applyAlignment="1">
      <alignment vertical="center"/>
    </xf>
    <xf numFmtId="0" fontId="10" fillId="141" borderId="0" xfId="0" applyFont="1" applyFill="1" applyAlignment="1">
      <alignment vertical="center"/>
    </xf>
    <xf numFmtId="0" fontId="9" fillId="0" borderId="98" xfId="158" applyBorder="1" applyAlignment="1">
      <alignment horizontal="center" vertical="center"/>
    </xf>
    <xf numFmtId="350" fontId="15" fillId="0" borderId="98" xfId="158" applyNumberFormat="1" applyFont="1" applyBorder="1" applyAlignment="1">
      <alignment horizontal="center" vertical="center"/>
    </xf>
    <xf numFmtId="350" fontId="15" fillId="0" borderId="98" xfId="158" applyNumberFormat="1" applyFont="1" applyBorder="1" applyAlignment="1">
      <alignment vertical="center"/>
    </xf>
    <xf numFmtId="3" fontId="15" fillId="0" borderId="98" xfId="158" applyNumberFormat="1" applyFont="1" applyBorder="1" applyAlignment="1">
      <alignment horizontal="center" vertical="center"/>
    </xf>
    <xf numFmtId="10" fontId="15" fillId="0" borderId="98" xfId="22884" applyNumberFormat="1" applyFont="1" applyFill="1" applyBorder="1" applyAlignment="1">
      <alignment horizontal="center" vertical="center"/>
    </xf>
    <xf numFmtId="1" fontId="36" fillId="138" borderId="98" xfId="158" applyNumberFormat="1" applyFont="1" applyFill="1" applyBorder="1" applyAlignment="1">
      <alignment horizontal="center" vertical="center"/>
    </xf>
    <xf numFmtId="0" fontId="33" fillId="138" borderId="98" xfId="158" applyFont="1" applyFill="1" applyBorder="1" applyAlignment="1">
      <alignment horizontal="center" vertical="center"/>
    </xf>
    <xf numFmtId="0" fontId="278" fillId="138" borderId="98" xfId="158" applyFont="1" applyFill="1" applyBorder="1" applyAlignment="1">
      <alignment horizontal="left" vertical="center" wrapText="1"/>
    </xf>
    <xf numFmtId="0" fontId="36" fillId="138" borderId="98" xfId="158" applyFont="1" applyFill="1" applyBorder="1" applyAlignment="1">
      <alignment vertical="center"/>
    </xf>
    <xf numFmtId="281" fontId="278" fillId="138" borderId="98" xfId="22884" applyNumberFormat="1" applyFont="1" applyFill="1" applyBorder="1" applyAlignment="1">
      <alignment horizontal="center" vertical="center"/>
    </xf>
    <xf numFmtId="10" fontId="278" fillId="138" borderId="98" xfId="22884" applyNumberFormat="1" applyFont="1" applyFill="1" applyBorder="1" applyAlignment="1">
      <alignment horizontal="center" vertical="center"/>
    </xf>
    <xf numFmtId="350" fontId="36" fillId="138" borderId="98" xfId="158" applyNumberFormat="1" applyFont="1" applyFill="1" applyBorder="1" applyAlignment="1">
      <alignment vertical="center"/>
    </xf>
    <xf numFmtId="1" fontId="9" fillId="35" borderId="98" xfId="158" applyNumberFormat="1" applyFill="1" applyBorder="1" applyAlignment="1">
      <alignment horizontal="center" vertical="center"/>
    </xf>
    <xf numFmtId="0" fontId="22" fillId="0" borderId="98" xfId="158" applyFont="1" applyBorder="1" applyAlignment="1">
      <alignment horizontal="left" vertical="center" wrapText="1"/>
    </xf>
    <xf numFmtId="3" fontId="22" fillId="0" borderId="98" xfId="158" applyNumberFormat="1" applyFont="1" applyBorder="1" applyAlignment="1">
      <alignment horizontal="center" vertical="center"/>
    </xf>
    <xf numFmtId="10" fontId="22" fillId="0" borderId="98" xfId="22884" applyNumberFormat="1" applyFont="1" applyFill="1" applyBorder="1" applyAlignment="1">
      <alignment horizontal="center" vertical="center"/>
    </xf>
    <xf numFmtId="0" fontId="9" fillId="0" borderId="98" xfId="158" applyBorder="1" applyAlignment="1">
      <alignment vertical="center"/>
    </xf>
    <xf numFmtId="195" fontId="15" fillId="0" borderId="98" xfId="158" applyNumberFormat="1" applyFont="1" applyBorder="1" applyAlignment="1">
      <alignment vertical="center"/>
    </xf>
    <xf numFmtId="3" fontId="35" fillId="138" borderId="98" xfId="158" applyNumberFormat="1" applyFont="1" applyFill="1" applyBorder="1" applyAlignment="1">
      <alignment vertical="center"/>
    </xf>
    <xf numFmtId="3" fontId="35" fillId="138" borderId="98" xfId="158" applyNumberFormat="1" applyFont="1" applyFill="1" applyBorder="1" applyAlignment="1">
      <alignment horizontal="center" vertical="center"/>
    </xf>
    <xf numFmtId="350" fontId="35" fillId="138" borderId="98" xfId="158" applyNumberFormat="1" applyFont="1" applyFill="1" applyBorder="1" applyAlignment="1">
      <alignment vertical="center"/>
    </xf>
    <xf numFmtId="0" fontId="35" fillId="138" borderId="98" xfId="158" applyFont="1" applyFill="1" applyBorder="1" applyAlignment="1">
      <alignment vertical="center"/>
    </xf>
    <xf numFmtId="0" fontId="36" fillId="139" borderId="0" xfId="0" applyFont="1" applyFill="1" applyAlignment="1">
      <alignment vertical="center"/>
    </xf>
    <xf numFmtId="0" fontId="36" fillId="140" borderId="0" xfId="0" applyFont="1" applyFill="1" applyAlignment="1">
      <alignment vertical="center"/>
    </xf>
    <xf numFmtId="0" fontId="33" fillId="141" borderId="0" xfId="0" applyFont="1" applyFill="1" applyAlignment="1">
      <alignment vertical="center"/>
    </xf>
    <xf numFmtId="1" fontId="35" fillId="138" borderId="98" xfId="60" applyNumberFormat="1" applyFont="1" applyFill="1" applyBorder="1" applyAlignment="1">
      <alignment horizontal="center" vertical="center"/>
    </xf>
    <xf numFmtId="0" fontId="36" fillId="0" borderId="0" xfId="158" applyFont="1" applyAlignment="1">
      <alignment vertical="center"/>
    </xf>
    <xf numFmtId="1" fontId="15" fillId="12" borderId="98" xfId="60" applyNumberFormat="1" applyFont="1" applyFill="1" applyBorder="1" applyAlignment="1">
      <alignment horizontal="center" vertical="center"/>
    </xf>
    <xf numFmtId="3" fontId="15" fillId="35" borderId="98" xfId="158" applyNumberFormat="1" applyFont="1" applyFill="1" applyBorder="1" applyAlignment="1">
      <alignment vertical="center"/>
    </xf>
    <xf numFmtId="3" fontId="15" fillId="35" borderId="98" xfId="158" applyNumberFormat="1" applyFont="1" applyFill="1" applyBorder="1" applyAlignment="1">
      <alignment horizontal="center" vertical="center"/>
    </xf>
    <xf numFmtId="10" fontId="15" fillId="35" borderId="98" xfId="22884" applyNumberFormat="1" applyFont="1" applyFill="1" applyBorder="1" applyAlignment="1">
      <alignment horizontal="center" vertical="center"/>
    </xf>
    <xf numFmtId="350" fontId="15" fillId="35" borderId="98" xfId="158" applyNumberFormat="1" applyFont="1" applyFill="1" applyBorder="1" applyAlignment="1">
      <alignment vertical="center"/>
    </xf>
    <xf numFmtId="0" fontId="9" fillId="35" borderId="98" xfId="158" applyFill="1" applyBorder="1" applyAlignment="1">
      <alignment vertical="center"/>
    </xf>
    <xf numFmtId="1" fontId="58" fillId="12" borderId="98" xfId="60" applyNumberFormat="1" applyFont="1" applyFill="1" applyBorder="1" applyAlignment="1">
      <alignment horizontal="center" vertical="center"/>
    </xf>
    <xf numFmtId="4" fontId="15" fillId="0" borderId="98" xfId="158" applyNumberFormat="1" applyFont="1" applyBorder="1" applyAlignment="1">
      <alignment vertical="center"/>
    </xf>
    <xf numFmtId="0" fontId="33" fillId="138" borderId="98" xfId="158" applyFont="1" applyFill="1" applyBorder="1" applyAlignment="1">
      <alignment vertical="center"/>
    </xf>
    <xf numFmtId="10" fontId="35" fillId="138" borderId="98" xfId="22884" applyNumberFormat="1" applyFont="1" applyFill="1" applyBorder="1" applyAlignment="1">
      <alignment horizontal="center" vertical="center"/>
    </xf>
    <xf numFmtId="0" fontId="15" fillId="0" borderId="98" xfId="158" applyFont="1" applyBorder="1" applyAlignment="1">
      <alignment vertical="top"/>
    </xf>
    <xf numFmtId="4" fontId="22" fillId="0" borderId="98" xfId="158" applyNumberFormat="1" applyFont="1" applyBorder="1" applyAlignment="1">
      <alignment vertical="top"/>
    </xf>
    <xf numFmtId="4" fontId="15" fillId="0" borderId="98" xfId="158" applyNumberFormat="1" applyFont="1" applyBorder="1" applyAlignment="1">
      <alignment horizontal="center" vertical="top"/>
    </xf>
    <xf numFmtId="4" fontId="15" fillId="0" borderId="98" xfId="158" applyNumberFormat="1" applyFont="1" applyBorder="1" applyAlignment="1">
      <alignment vertical="top"/>
    </xf>
    <xf numFmtId="0" fontId="9" fillId="35" borderId="0" xfId="158" applyFill="1" applyAlignment="1">
      <alignment vertical="top"/>
    </xf>
    <xf numFmtId="0" fontId="9" fillId="0" borderId="0" xfId="158" applyAlignment="1">
      <alignment vertical="top"/>
    </xf>
    <xf numFmtId="4" fontId="15" fillId="0" borderId="98" xfId="158" applyNumberFormat="1" applyFont="1" applyBorder="1" applyAlignment="1">
      <alignment vertical="top" wrapText="1"/>
    </xf>
    <xf numFmtId="165" fontId="9" fillId="35" borderId="0" xfId="14" applyFill="1" applyAlignment="1">
      <alignment vertical="top"/>
    </xf>
    <xf numFmtId="165" fontId="15" fillId="35" borderId="0" xfId="14" applyFont="1" applyFill="1" applyAlignment="1">
      <alignment vertical="top"/>
    </xf>
    <xf numFmtId="0" fontId="15" fillId="0" borderId="98" xfId="158" applyFont="1" applyBorder="1" applyAlignment="1">
      <alignment vertical="top" wrapText="1"/>
    </xf>
    <xf numFmtId="0" fontId="15" fillId="0" borderId="98" xfId="158" applyFont="1" applyBorder="1" applyAlignment="1">
      <alignment horizontal="center" vertical="top"/>
    </xf>
    <xf numFmtId="4" fontId="22" fillId="0" borderId="98" xfId="158" applyNumberFormat="1" applyFont="1" applyBorder="1" applyAlignment="1">
      <alignment vertical="top" wrapText="1"/>
    </xf>
    <xf numFmtId="4" fontId="9" fillId="35" borderId="0" xfId="158" applyNumberFormat="1" applyFill="1" applyAlignment="1">
      <alignment vertical="top"/>
    </xf>
    <xf numFmtId="4" fontId="15" fillId="0" borderId="98" xfId="158" applyNumberFormat="1" applyFont="1" applyBorder="1" applyAlignment="1">
      <alignment horizontal="left" vertical="top" wrapText="1"/>
    </xf>
    <xf numFmtId="4" fontId="221" fillId="0" borderId="98" xfId="158" applyNumberFormat="1" applyFont="1" applyBorder="1" applyAlignment="1">
      <alignment vertical="top" wrapText="1"/>
    </xf>
    <xf numFmtId="3" fontId="9" fillId="35" borderId="0" xfId="158" applyNumberFormat="1" applyFill="1" applyAlignment="1">
      <alignment vertical="top"/>
    </xf>
    <xf numFmtId="49" fontId="33" fillId="142" borderId="19" xfId="153" applyNumberFormat="1" applyFont="1" applyFill="1" applyBorder="1" applyAlignment="1">
      <alignment horizontal="center" vertical="center"/>
    </xf>
    <xf numFmtId="49" fontId="33" fillId="142" borderId="21" xfId="153" applyNumberFormat="1" applyFont="1" applyFill="1" applyBorder="1" applyAlignment="1">
      <alignment horizontal="center" vertical="center"/>
    </xf>
    <xf numFmtId="1" fontId="33" fillId="142" borderId="92" xfId="153" applyNumberFormat="1" applyFont="1" applyFill="1" applyBorder="1" applyAlignment="1">
      <alignment horizontal="center" vertical="center"/>
    </xf>
    <xf numFmtId="1" fontId="33" fillId="142" borderId="49" xfId="153" applyNumberFormat="1" applyFont="1" applyFill="1" applyBorder="1" applyAlignment="1">
      <alignment horizontal="center" vertical="center"/>
    </xf>
    <xf numFmtId="1" fontId="33" fillId="142" borderId="56" xfId="153" applyNumberFormat="1" applyFont="1" applyFill="1" applyBorder="1" applyAlignment="1">
      <alignment horizontal="center" vertical="center"/>
    </xf>
    <xf numFmtId="1" fontId="33" fillId="142" borderId="48" xfId="153" applyNumberFormat="1" applyFont="1" applyFill="1" applyBorder="1" applyAlignment="1">
      <alignment horizontal="center" vertical="center"/>
    </xf>
    <xf numFmtId="1" fontId="33" fillId="142" borderId="32" xfId="153" applyNumberFormat="1" applyFont="1" applyFill="1" applyBorder="1" applyAlignment="1">
      <alignment horizontal="center" vertical="center"/>
    </xf>
    <xf numFmtId="1" fontId="33" fillId="142" borderId="50" xfId="153" applyNumberFormat="1" applyFont="1" applyFill="1" applyBorder="1" applyAlignment="1">
      <alignment horizontal="center" vertical="center"/>
    </xf>
    <xf numFmtId="3" fontId="33" fillId="142" borderId="19" xfId="153" applyNumberFormat="1" applyFont="1" applyFill="1" applyBorder="1" applyAlignment="1">
      <alignment horizontal="center" vertical="center"/>
    </xf>
    <xf numFmtId="3" fontId="33" fillId="142" borderId="21" xfId="153" applyNumberFormat="1" applyFont="1" applyFill="1" applyBorder="1" applyAlignment="1">
      <alignment horizontal="center" vertical="center"/>
    </xf>
    <xf numFmtId="3" fontId="33" fillId="142" borderId="92" xfId="153" applyNumberFormat="1" applyFont="1" applyFill="1" applyBorder="1" applyAlignment="1">
      <alignment horizontal="center" vertical="center"/>
    </xf>
    <xf numFmtId="3" fontId="33" fillId="142" borderId="49" xfId="153" applyNumberFormat="1" applyFont="1" applyFill="1" applyBorder="1" applyAlignment="1">
      <alignment horizontal="center" vertical="center"/>
    </xf>
    <xf numFmtId="3" fontId="33" fillId="142" borderId="56" xfId="153" applyNumberFormat="1" applyFont="1" applyFill="1" applyBorder="1" applyAlignment="1">
      <alignment horizontal="center" vertical="center"/>
    </xf>
    <xf numFmtId="3" fontId="33" fillId="142" borderId="48" xfId="153" applyNumberFormat="1" applyFont="1" applyFill="1" applyBorder="1" applyAlignment="1">
      <alignment horizontal="center" vertical="center"/>
    </xf>
    <xf numFmtId="0" fontId="10" fillId="0" borderId="47" xfId="153" applyFont="1" applyBorder="1" applyAlignment="1">
      <alignment horizontal="center" vertical="center"/>
    </xf>
    <xf numFmtId="49" fontId="9" fillId="0" borderId="0" xfId="153" applyNumberFormat="1" applyFont="1" applyAlignment="1">
      <alignment horizontal="center" vertical="center"/>
    </xf>
    <xf numFmtId="49" fontId="33" fillId="142" borderId="107" xfId="153" applyNumberFormat="1" applyFont="1" applyFill="1" applyBorder="1" applyAlignment="1">
      <alignment horizontal="center" vertical="center"/>
    </xf>
    <xf numFmtId="49" fontId="33" fillId="142" borderId="18" xfId="153" applyNumberFormat="1" applyFont="1" applyFill="1" applyBorder="1" applyAlignment="1">
      <alignment horizontal="center" vertical="center"/>
    </xf>
    <xf numFmtId="49" fontId="33" fillId="142" borderId="107" xfId="153" applyNumberFormat="1" applyFont="1" applyFill="1" applyBorder="1" applyAlignment="1">
      <alignment horizontal="center" vertical="center" wrapText="1"/>
    </xf>
    <xf numFmtId="49" fontId="33" fillId="142" borderId="18" xfId="153" applyNumberFormat="1" applyFont="1" applyFill="1" applyBorder="1" applyAlignment="1">
      <alignment horizontal="center" vertical="center" wrapText="1"/>
    </xf>
    <xf numFmtId="49" fontId="33" fillId="142" borderId="21" xfId="153" applyNumberFormat="1" applyFont="1" applyFill="1" applyBorder="1" applyAlignment="1">
      <alignment horizontal="center" vertical="center" wrapText="1"/>
    </xf>
    <xf numFmtId="3" fontId="33" fillId="142" borderId="107" xfId="153" applyNumberFormat="1" applyFont="1" applyFill="1" applyBorder="1" applyAlignment="1">
      <alignment horizontal="center" vertical="center"/>
    </xf>
    <xf numFmtId="3" fontId="33" fillId="142" borderId="18" xfId="153" applyNumberFormat="1" applyFont="1" applyFill="1" applyBorder="1" applyAlignment="1">
      <alignment horizontal="center" vertical="center"/>
    </xf>
    <xf numFmtId="3" fontId="33" fillId="142" borderId="32" xfId="153" applyNumberFormat="1" applyFont="1" applyFill="1" applyBorder="1" applyAlignment="1">
      <alignment horizontal="center" vertical="center"/>
    </xf>
    <xf numFmtId="3" fontId="33" fillId="142" borderId="50" xfId="153" applyNumberFormat="1" applyFont="1" applyFill="1" applyBorder="1" applyAlignment="1">
      <alignment horizontal="center" vertical="center"/>
    </xf>
    <xf numFmtId="3" fontId="10" fillId="0" borderId="47" xfId="153" applyNumberFormat="1" applyFont="1" applyBorder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10" fillId="47" borderId="100" xfId="0" applyFont="1" applyFill="1" applyBorder="1" applyAlignment="1">
      <alignment horizontal="left" indent="2"/>
    </xf>
    <xf numFmtId="0" fontId="10" fillId="47" borderId="99" xfId="0" applyFont="1" applyFill="1" applyBorder="1" applyAlignment="1">
      <alignment horizontal="left" indent="2"/>
    </xf>
    <xf numFmtId="0" fontId="10" fillId="47" borderId="101" xfId="0" applyFont="1" applyFill="1" applyBorder="1" applyAlignment="1">
      <alignment horizontal="left" indent="2"/>
    </xf>
    <xf numFmtId="0" fontId="10" fillId="47" borderId="100" xfId="0" applyFont="1" applyFill="1" applyBorder="1" applyAlignment="1">
      <alignment horizontal="left" indent="1"/>
    </xf>
    <xf numFmtId="0" fontId="10" fillId="47" borderId="99" xfId="0" applyFont="1" applyFill="1" applyBorder="1" applyAlignment="1">
      <alignment horizontal="left" indent="1"/>
    </xf>
    <xf numFmtId="0" fontId="10" fillId="47" borderId="101" xfId="0" applyFont="1" applyFill="1" applyBorder="1" applyAlignment="1">
      <alignment horizontal="left" indent="1"/>
    </xf>
    <xf numFmtId="0" fontId="0" fillId="47" borderId="100" xfId="0" applyFill="1" applyBorder="1" applyAlignment="1">
      <alignment horizontal="center"/>
    </xf>
    <xf numFmtId="0" fontId="0" fillId="47" borderId="101" xfId="0" applyFill="1" applyBorder="1" applyAlignment="1">
      <alignment horizontal="center"/>
    </xf>
    <xf numFmtId="0" fontId="9" fillId="47" borderId="100" xfId="0" applyFont="1" applyFill="1" applyBorder="1" applyAlignment="1">
      <alignment horizontal="left" vertical="center" indent="3"/>
    </xf>
    <xf numFmtId="0" fontId="9" fillId="47" borderId="101" xfId="0" applyFont="1" applyFill="1" applyBorder="1" applyAlignment="1">
      <alignment horizontal="left" vertical="center" indent="3"/>
    </xf>
    <xf numFmtId="0" fontId="10" fillId="47" borderId="100" xfId="0" applyFont="1" applyFill="1" applyBorder="1" applyAlignment="1">
      <alignment horizontal="left" indent="3"/>
    </xf>
    <xf numFmtId="0" fontId="10" fillId="47" borderId="99" xfId="0" applyFont="1" applyFill="1" applyBorder="1" applyAlignment="1">
      <alignment horizontal="left" indent="3"/>
    </xf>
    <xf numFmtId="0" fontId="10" fillId="47" borderId="101" xfId="0" applyFont="1" applyFill="1" applyBorder="1" applyAlignment="1">
      <alignment horizontal="left" indent="3"/>
    </xf>
    <xf numFmtId="0" fontId="0" fillId="47" borderId="100" xfId="0" applyFill="1" applyBorder="1" applyAlignment="1">
      <alignment horizontal="left" indent="3"/>
    </xf>
    <xf numFmtId="0" fontId="0" fillId="47" borderId="101" xfId="0" applyFill="1" applyBorder="1" applyAlignment="1">
      <alignment horizontal="left" indent="3"/>
    </xf>
    <xf numFmtId="4" fontId="10" fillId="49" borderId="100" xfId="0" applyNumberFormat="1" applyFont="1" applyFill="1" applyBorder="1" applyAlignment="1">
      <alignment horizontal="center" vertical="center"/>
    </xf>
    <xf numFmtId="4" fontId="10" fillId="49" borderId="99" xfId="0" applyNumberFormat="1" applyFont="1" applyFill="1" applyBorder="1" applyAlignment="1">
      <alignment horizontal="center" vertical="center"/>
    </xf>
    <xf numFmtId="4" fontId="10" fillId="49" borderId="101" xfId="0" applyNumberFormat="1" applyFont="1" applyFill="1" applyBorder="1" applyAlignment="1">
      <alignment horizontal="center" vertical="center"/>
    </xf>
    <xf numFmtId="0" fontId="10" fillId="47" borderId="98" xfId="0" applyFont="1" applyFill="1" applyBorder="1" applyAlignment="1">
      <alignment horizontal="left" indent="2"/>
    </xf>
    <xf numFmtId="0" fontId="10" fillId="51" borderId="98" xfId="0" applyFont="1" applyFill="1" applyBorder="1" applyAlignment="1">
      <alignment horizontal="left" vertical="center" indent="2"/>
    </xf>
    <xf numFmtId="0" fontId="10" fillId="47" borderId="90" xfId="0" applyFont="1" applyFill="1" applyBorder="1" applyAlignment="1">
      <alignment horizontal="center" vertical="center"/>
    </xf>
    <xf numFmtId="0" fontId="10" fillId="47" borderId="56" xfId="0" applyFont="1" applyFill="1" applyBorder="1" applyAlignment="1">
      <alignment horizontal="center" vertical="center"/>
    </xf>
    <xf numFmtId="0" fontId="10" fillId="47" borderId="4" xfId="0" applyFont="1" applyFill="1" applyBorder="1" applyAlignment="1">
      <alignment horizontal="center" vertical="center"/>
    </xf>
    <xf numFmtId="0" fontId="10" fillId="47" borderId="38" xfId="0" applyFont="1" applyFill="1" applyBorder="1" applyAlignment="1">
      <alignment horizontal="center" vertical="center"/>
    </xf>
    <xf numFmtId="0" fontId="10" fillId="47" borderId="39" xfId="0" applyFont="1" applyFill="1" applyBorder="1" applyAlignment="1">
      <alignment horizontal="center" vertical="center"/>
    </xf>
    <xf numFmtId="0" fontId="10" fillId="47" borderId="37" xfId="0" applyFont="1" applyFill="1" applyBorder="1" applyAlignment="1">
      <alignment horizontal="center" vertical="center"/>
    </xf>
    <xf numFmtId="0" fontId="10" fillId="47" borderId="100" xfId="0" applyFont="1" applyFill="1" applyBorder="1" applyAlignment="1">
      <alignment horizontal="center"/>
    </xf>
    <xf numFmtId="0" fontId="10" fillId="47" borderId="101" xfId="0" applyFont="1" applyFill="1" applyBorder="1" applyAlignment="1">
      <alignment horizontal="center"/>
    </xf>
    <xf numFmtId="0" fontId="33" fillId="138" borderId="98" xfId="158" applyFont="1" applyFill="1" applyBorder="1" applyAlignment="1">
      <alignment horizontal="center"/>
    </xf>
    <xf numFmtId="0" fontId="278" fillId="138" borderId="98" xfId="158" applyFont="1" applyFill="1" applyBorder="1" applyAlignment="1">
      <alignment horizontal="center"/>
    </xf>
    <xf numFmtId="4" fontId="33" fillId="138" borderId="92" xfId="158" applyNumberFormat="1" applyFont="1" applyFill="1" applyBorder="1" applyAlignment="1">
      <alignment horizontal="center" vertical="center" wrapText="1"/>
    </xf>
    <xf numFmtId="4" fontId="36" fillId="138" borderId="6" xfId="158" applyNumberFormat="1" applyFont="1" applyFill="1" applyBorder="1" applyAlignment="1">
      <alignment horizontal="center" vertical="center" wrapText="1"/>
    </xf>
    <xf numFmtId="1" fontId="33" fillId="138" borderId="92" xfId="158" applyNumberFormat="1" applyFont="1" applyFill="1" applyBorder="1" applyAlignment="1">
      <alignment horizontal="center" vertical="center" wrapText="1"/>
    </xf>
    <xf numFmtId="1" fontId="36" fillId="138" borderId="6" xfId="158" applyNumberFormat="1" applyFont="1" applyFill="1" applyBorder="1" applyAlignment="1">
      <alignment horizontal="center" vertical="center" wrapText="1"/>
    </xf>
    <xf numFmtId="1" fontId="36" fillId="138" borderId="3" xfId="158" applyNumberFormat="1" applyFont="1" applyFill="1" applyBorder="1" applyAlignment="1">
      <alignment horizontal="center" vertical="center" wrapText="1"/>
    </xf>
    <xf numFmtId="0" fontId="33" fillId="138" borderId="93" xfId="158" applyFont="1" applyFill="1" applyBorder="1" applyAlignment="1">
      <alignment horizontal="center" vertical="center"/>
    </xf>
    <xf numFmtId="0" fontId="33" fillId="138" borderId="94" xfId="158" applyFont="1" applyFill="1" applyBorder="1" applyAlignment="1">
      <alignment horizontal="center" vertical="center"/>
    </xf>
    <xf numFmtId="0" fontId="33" fillId="138" borderId="95" xfId="158" applyFont="1" applyFill="1" applyBorder="1" applyAlignment="1">
      <alignment horizontal="center" vertical="center"/>
    </xf>
    <xf numFmtId="0" fontId="33" fillId="138" borderId="92" xfId="158" applyFont="1" applyFill="1" applyBorder="1" applyAlignment="1">
      <alignment horizontal="center" vertical="center" wrapText="1"/>
    </xf>
    <xf numFmtId="0" fontId="36" fillId="138" borderId="6" xfId="158" applyFont="1" applyFill="1" applyBorder="1" applyAlignment="1">
      <alignment horizontal="center" vertical="center"/>
    </xf>
    <xf numFmtId="0" fontId="278" fillId="138" borderId="98" xfId="158" applyFont="1" applyFill="1" applyBorder="1" applyAlignment="1">
      <alignment horizontal="center" vertical="center"/>
    </xf>
    <xf numFmtId="3" fontId="10" fillId="52" borderId="98" xfId="0" applyNumberFormat="1" applyFont="1" applyFill="1" applyBorder="1" applyAlignment="1">
      <alignment horizontal="center" vertical="center" wrapText="1"/>
    </xf>
    <xf numFmtId="0" fontId="9" fillId="52" borderId="98" xfId="0" applyFont="1" applyFill="1" applyBorder="1" applyAlignment="1">
      <alignment horizontal="center" vertical="center" wrapText="1"/>
    </xf>
    <xf numFmtId="281" fontId="9" fillId="0" borderId="98" xfId="24039" applyNumberFormat="1" applyFont="1" applyBorder="1" applyAlignment="1">
      <alignment horizontal="center" vertical="center"/>
    </xf>
    <xf numFmtId="0" fontId="9" fillId="0" borderId="98" xfId="0" applyFont="1" applyBorder="1" applyAlignment="1">
      <alignment horizontal="center" vertical="center"/>
    </xf>
    <xf numFmtId="0" fontId="10" fillId="35" borderId="0" xfId="0" applyFont="1" applyFill="1" applyAlignment="1">
      <alignment horizontal="center"/>
    </xf>
    <xf numFmtId="0" fontId="33" fillId="138" borderId="98" xfId="0" applyFont="1" applyFill="1" applyBorder="1" applyAlignment="1">
      <alignment horizontal="right" vertical="center"/>
    </xf>
    <xf numFmtId="0" fontId="10" fillId="138" borderId="98" xfId="0" applyFont="1" applyFill="1" applyBorder="1" applyAlignment="1">
      <alignment horizontal="right" vertical="center"/>
    </xf>
    <xf numFmtId="0" fontId="33" fillId="138" borderId="98" xfId="0" applyFont="1" applyFill="1" applyBorder="1" applyAlignment="1">
      <alignment horizontal="center" vertical="center"/>
    </xf>
    <xf numFmtId="0" fontId="10" fillId="35" borderId="98" xfId="0" applyFont="1" applyFill="1" applyBorder="1" applyAlignment="1">
      <alignment horizontal="right" vertical="center"/>
    </xf>
    <xf numFmtId="0" fontId="33" fillId="141" borderId="98" xfId="0" applyFont="1" applyFill="1" applyBorder="1" applyAlignment="1">
      <alignment horizontal="center"/>
    </xf>
    <xf numFmtId="351" fontId="10" fillId="0" borderId="100" xfId="0" applyNumberFormat="1" applyFont="1" applyBorder="1" applyAlignment="1">
      <alignment horizontal="center"/>
    </xf>
    <xf numFmtId="351" fontId="10" fillId="0" borderId="99" xfId="0" applyNumberFormat="1" applyFont="1" applyBorder="1" applyAlignment="1">
      <alignment horizontal="center"/>
    </xf>
    <xf numFmtId="351" fontId="10" fillId="0" borderId="101" xfId="0" applyNumberFormat="1" applyFont="1" applyBorder="1" applyAlignment="1">
      <alignment horizontal="center"/>
    </xf>
    <xf numFmtId="0" fontId="9" fillId="0" borderId="98" xfId="0" applyFont="1" applyBorder="1" applyAlignment="1">
      <alignment horizontal="left" vertical="center"/>
    </xf>
    <xf numFmtId="0" fontId="33" fillId="138" borderId="98" xfId="0" applyFont="1" applyFill="1" applyBorder="1" applyAlignment="1">
      <alignment horizontal="center" vertical="center" wrapText="1"/>
    </xf>
    <xf numFmtId="4" fontId="9" fillId="0" borderId="98" xfId="0" applyNumberFormat="1" applyFont="1" applyBorder="1" applyAlignment="1">
      <alignment horizontal="center" vertical="center"/>
    </xf>
    <xf numFmtId="0" fontId="9" fillId="0" borderId="100" xfId="0" applyFont="1" applyBorder="1" applyAlignment="1">
      <alignment horizontal="center"/>
    </xf>
    <xf numFmtId="0" fontId="9" fillId="0" borderId="99" xfId="0" applyFont="1" applyBorder="1" applyAlignment="1">
      <alignment horizontal="center"/>
    </xf>
    <xf numFmtId="0" fontId="9" fillId="0" borderId="101" xfId="0" applyFont="1" applyBorder="1" applyAlignment="1">
      <alignment horizontal="center"/>
    </xf>
    <xf numFmtId="0" fontId="10" fillId="0" borderId="100" xfId="0" applyFont="1" applyBorder="1" applyAlignment="1">
      <alignment horizontal="center"/>
    </xf>
    <xf numFmtId="0" fontId="10" fillId="0" borderId="99" xfId="0" applyFont="1" applyBorder="1" applyAlignment="1">
      <alignment horizontal="center"/>
    </xf>
    <xf numFmtId="0" fontId="10" fillId="0" borderId="101" xfId="0" applyFont="1" applyBorder="1" applyAlignment="1">
      <alignment horizontal="center"/>
    </xf>
    <xf numFmtId="4" fontId="10" fillId="35" borderId="38" xfId="8" applyNumberFormat="1" applyFont="1" applyFill="1" applyBorder="1" applyAlignment="1">
      <alignment horizontal="center" vertical="center" wrapText="1"/>
    </xf>
    <xf numFmtId="4" fontId="10" fillId="35" borderId="38" xfId="8" applyNumberFormat="1" applyFont="1" applyFill="1" applyBorder="1" applyAlignment="1">
      <alignment horizontal="center" vertical="center"/>
    </xf>
    <xf numFmtId="4" fontId="33" fillId="138" borderId="92" xfId="8" applyNumberFormat="1" applyFont="1" applyFill="1" applyBorder="1" applyAlignment="1">
      <alignment horizontal="center" vertical="center"/>
    </xf>
    <xf numFmtId="4" fontId="33" fillId="138" borderId="3" xfId="8" applyNumberFormat="1" applyFont="1" applyFill="1" applyBorder="1" applyAlignment="1">
      <alignment horizontal="center" vertical="center"/>
    </xf>
    <xf numFmtId="4" fontId="33" fillId="138" borderId="92" xfId="8" applyNumberFormat="1" applyFont="1" applyFill="1" applyBorder="1" applyAlignment="1">
      <alignment horizontal="center" vertical="center" wrapText="1"/>
    </xf>
    <xf numFmtId="4" fontId="33" fillId="138" borderId="3" xfId="8" applyNumberFormat="1" applyFont="1" applyFill="1" applyBorder="1" applyAlignment="1">
      <alignment horizontal="center" vertical="center" wrapText="1"/>
    </xf>
    <xf numFmtId="0" fontId="10" fillId="35" borderId="0" xfId="20" applyFont="1" applyFill="1" applyAlignment="1">
      <alignment horizontal="center" vertical="center"/>
    </xf>
    <xf numFmtId="0" fontId="10" fillId="138" borderId="98" xfId="20" applyFont="1" applyFill="1" applyBorder="1" applyAlignment="1">
      <alignment horizontal="center" vertical="center"/>
    </xf>
    <xf numFmtId="0" fontId="10" fillId="138" borderId="92" xfId="20" applyFont="1" applyFill="1" applyBorder="1" applyAlignment="1">
      <alignment horizontal="center" vertical="center"/>
    </xf>
    <xf numFmtId="0" fontId="10" fillId="138" borderId="3" xfId="20" applyFont="1" applyFill="1" applyBorder="1" applyAlignment="1">
      <alignment horizontal="center" vertical="center"/>
    </xf>
    <xf numFmtId="0" fontId="61" fillId="138" borderId="90" xfId="20" applyFont="1" applyFill="1" applyBorder="1" applyAlignment="1">
      <alignment horizontal="center" vertical="center"/>
    </xf>
    <xf numFmtId="0" fontId="61" fillId="138" borderId="73" xfId="20" applyFont="1" applyFill="1" applyBorder="1" applyAlignment="1">
      <alignment horizontal="center" vertical="center"/>
    </xf>
    <xf numFmtId="0" fontId="61" fillId="138" borderId="56" xfId="20" applyFont="1" applyFill="1" applyBorder="1" applyAlignment="1">
      <alignment horizontal="center" vertical="center"/>
    </xf>
    <xf numFmtId="0" fontId="9" fillId="35" borderId="0" xfId="20" applyFill="1" applyAlignment="1">
      <alignment horizontal="left" vertical="center" indent="2"/>
    </xf>
    <xf numFmtId="0" fontId="22" fillId="0" borderId="100" xfId="0" applyFont="1" applyBorder="1" applyAlignment="1">
      <alignment horizontal="center"/>
    </xf>
    <xf numFmtId="0" fontId="22" fillId="0" borderId="101" xfId="0" applyFont="1" applyBorder="1" applyAlignment="1">
      <alignment horizontal="center"/>
    </xf>
    <xf numFmtId="0" fontId="278" fillId="138" borderId="100" xfId="0" applyFont="1" applyFill="1" applyBorder="1" applyAlignment="1">
      <alignment horizontal="center"/>
    </xf>
    <xf numFmtId="0" fontId="278" fillId="138" borderId="101" xfId="0" applyFont="1" applyFill="1" applyBorder="1" applyAlignment="1">
      <alignment horizontal="center"/>
    </xf>
    <xf numFmtId="0" fontId="278" fillId="138" borderId="99" xfId="0" applyFont="1" applyFill="1" applyBorder="1" applyAlignment="1">
      <alignment horizontal="center"/>
    </xf>
    <xf numFmtId="0" fontId="9" fillId="35" borderId="100" xfId="20" applyFill="1" applyBorder="1" applyAlignment="1">
      <alignment horizontal="left" vertical="center" indent="2"/>
    </xf>
    <xf numFmtId="0" fontId="9" fillId="35" borderId="99" xfId="20" applyFill="1" applyBorder="1" applyAlignment="1">
      <alignment horizontal="left" vertical="center" indent="2"/>
    </xf>
    <xf numFmtId="0" fontId="9" fillId="35" borderId="101" xfId="20" applyFill="1" applyBorder="1" applyAlignment="1">
      <alignment horizontal="left" vertical="center" indent="2"/>
    </xf>
    <xf numFmtId="0" fontId="33" fillId="138" borderId="90" xfId="0" applyFont="1" applyFill="1" applyBorder="1" applyAlignment="1">
      <alignment horizontal="center"/>
    </xf>
    <xf numFmtId="0" fontId="33" fillId="138" borderId="73" xfId="0" applyFont="1" applyFill="1" applyBorder="1" applyAlignment="1">
      <alignment horizontal="center"/>
    </xf>
    <xf numFmtId="0" fontId="33" fillId="138" borderId="56" xfId="0" applyFont="1" applyFill="1" applyBorder="1" applyAlignment="1">
      <alignment horizontal="center"/>
    </xf>
    <xf numFmtId="0" fontId="33" fillId="138" borderId="100" xfId="20" applyFont="1" applyFill="1" applyBorder="1" applyAlignment="1">
      <alignment horizontal="center" vertical="center"/>
    </xf>
    <xf numFmtId="0" fontId="33" fillId="138" borderId="99" xfId="20" applyFont="1" applyFill="1" applyBorder="1" applyAlignment="1">
      <alignment horizontal="center" vertical="center"/>
    </xf>
    <xf numFmtId="0" fontId="33" fillId="138" borderId="101" xfId="20" applyFont="1" applyFill="1" applyBorder="1" applyAlignment="1">
      <alignment horizontal="center" vertical="center"/>
    </xf>
    <xf numFmtId="0" fontId="281" fillId="0" borderId="0" xfId="0" applyFont="1" applyAlignment="1">
      <alignment horizontal="center" vertical="center" wrapText="1"/>
    </xf>
    <xf numFmtId="0" fontId="99" fillId="138" borderId="98" xfId="0" applyFont="1" applyFill="1" applyBorder="1" applyAlignment="1">
      <alignment horizontal="center" vertical="center"/>
    </xf>
    <xf numFmtId="0" fontId="33" fillId="138" borderId="100" xfId="0" applyFont="1" applyFill="1" applyBorder="1" applyAlignment="1">
      <alignment horizontal="center"/>
    </xf>
    <xf numFmtId="0" fontId="33" fillId="138" borderId="99" xfId="0" applyFont="1" applyFill="1" applyBorder="1" applyAlignment="1">
      <alignment horizontal="center"/>
    </xf>
    <xf numFmtId="0" fontId="33" fillId="138" borderId="101" xfId="0" applyFont="1" applyFill="1" applyBorder="1" applyAlignment="1">
      <alignment horizontal="center"/>
    </xf>
    <xf numFmtId="0" fontId="33" fillId="138" borderId="92" xfId="0" applyFont="1" applyFill="1" applyBorder="1" applyAlignment="1">
      <alignment horizontal="center" vertical="center"/>
    </xf>
    <xf numFmtId="0" fontId="33" fillId="138" borderId="3" xfId="0" applyFont="1" applyFill="1" applyBorder="1" applyAlignment="1">
      <alignment horizontal="center" vertical="center"/>
    </xf>
    <xf numFmtId="0" fontId="33" fillId="138" borderId="90" xfId="0" applyFont="1" applyFill="1" applyBorder="1" applyAlignment="1">
      <alignment horizontal="center" vertical="center"/>
    </xf>
    <xf numFmtId="0" fontId="33" fillId="138" borderId="56" xfId="0" applyFont="1" applyFill="1" applyBorder="1" applyAlignment="1">
      <alignment horizontal="center" vertical="center"/>
    </xf>
    <xf numFmtId="0" fontId="33" fillId="138" borderId="39" xfId="0" applyFont="1" applyFill="1" applyBorder="1" applyAlignment="1">
      <alignment horizontal="center" vertical="center"/>
    </xf>
    <xf numFmtId="0" fontId="33" fillId="138" borderId="37" xfId="0" applyFont="1" applyFill="1" applyBorder="1" applyAlignment="1">
      <alignment horizontal="center" vertical="center"/>
    </xf>
    <xf numFmtId="0" fontId="33" fillId="138" borderId="92" xfId="9" applyFont="1" applyFill="1" applyBorder="1" applyAlignment="1">
      <alignment horizontal="center" vertical="center"/>
    </xf>
    <xf numFmtId="0" fontId="33" fillId="138" borderId="3" xfId="9" applyFont="1" applyFill="1" applyBorder="1" applyAlignment="1">
      <alignment horizontal="center" vertical="center"/>
    </xf>
    <xf numFmtId="0" fontId="302" fillId="141" borderId="90" xfId="23" applyFont="1" applyFill="1" applyBorder="1" applyAlignment="1">
      <alignment horizontal="center" vertical="center"/>
    </xf>
    <xf numFmtId="0" fontId="302" fillId="141" borderId="73" xfId="23" applyFont="1" applyFill="1" applyBorder="1" applyAlignment="1">
      <alignment horizontal="center" vertical="center"/>
    </xf>
    <xf numFmtId="0" fontId="302" fillId="141" borderId="56" xfId="23" applyFont="1" applyFill="1" applyBorder="1" applyAlignment="1">
      <alignment horizontal="center" vertical="center"/>
    </xf>
    <xf numFmtId="0" fontId="33" fillId="141" borderId="39" xfId="144" applyFont="1" applyFill="1" applyBorder="1" applyAlignment="1">
      <alignment horizontal="center"/>
    </xf>
    <xf numFmtId="0" fontId="33" fillId="141" borderId="9" xfId="144" applyFont="1" applyFill="1" applyBorder="1" applyAlignment="1">
      <alignment horizontal="center"/>
    </xf>
    <xf numFmtId="0" fontId="33" fillId="141" borderId="37" xfId="144" applyFont="1" applyFill="1" applyBorder="1" applyAlignment="1">
      <alignment horizontal="center"/>
    </xf>
    <xf numFmtId="49" fontId="34" fillId="138" borderId="92" xfId="7" applyNumberFormat="1" applyFont="1" applyFill="1" applyBorder="1" applyAlignment="1">
      <alignment horizontal="center" vertical="center" wrapText="1"/>
    </xf>
    <xf numFmtId="49" fontId="34" fillId="138" borderId="3" xfId="7" applyNumberFormat="1" applyFont="1" applyFill="1" applyBorder="1" applyAlignment="1">
      <alignment horizontal="center" vertical="center"/>
    </xf>
    <xf numFmtId="49" fontId="34" fillId="138" borderId="98" xfId="7" applyNumberFormat="1" applyFont="1" applyFill="1" applyBorder="1" applyAlignment="1">
      <alignment horizontal="center" vertical="center" wrapText="1"/>
    </xf>
    <xf numFmtId="49" fontId="34" fillId="138" borderId="98" xfId="7" applyNumberFormat="1" applyFont="1" applyFill="1" applyBorder="1" applyAlignment="1">
      <alignment horizontal="center" vertical="center"/>
    </xf>
    <xf numFmtId="0" fontId="302" fillId="138" borderId="92" xfId="0" applyFont="1" applyFill="1" applyBorder="1" applyAlignment="1">
      <alignment horizontal="center" vertical="center"/>
    </xf>
    <xf numFmtId="0" fontId="302" fillId="138" borderId="3" xfId="0" applyFont="1" applyFill="1" applyBorder="1" applyAlignment="1">
      <alignment horizontal="center" vertical="center"/>
    </xf>
    <xf numFmtId="0" fontId="34" fillId="138" borderId="92" xfId="7" applyFont="1" applyFill="1" applyBorder="1" applyAlignment="1">
      <alignment horizontal="center" vertical="center" wrapText="1"/>
    </xf>
    <xf numFmtId="0" fontId="34" fillId="138" borderId="3" xfId="7" applyFont="1" applyFill="1" applyBorder="1" applyAlignment="1">
      <alignment horizontal="center" vertical="center" wrapText="1"/>
    </xf>
    <xf numFmtId="10" fontId="34" fillId="138" borderId="92" xfId="13" applyNumberFormat="1" applyFont="1" applyFill="1" applyBorder="1" applyAlignment="1">
      <alignment horizontal="center" vertical="center" wrapText="1"/>
    </xf>
    <xf numFmtId="10" fontId="34" fillId="138" borderId="3" xfId="13" applyNumberFormat="1" applyFont="1" applyFill="1" applyBorder="1" applyAlignment="1">
      <alignment horizontal="center" vertical="center" wrapText="1"/>
    </xf>
    <xf numFmtId="3" fontId="34" fillId="138" borderId="92" xfId="7" applyNumberFormat="1" applyFont="1" applyFill="1" applyBorder="1" applyAlignment="1">
      <alignment horizontal="center" vertical="center" wrapText="1"/>
    </xf>
    <xf numFmtId="3" fontId="34" fillId="138" borderId="3" xfId="7" applyNumberFormat="1" applyFont="1" applyFill="1" applyBorder="1" applyAlignment="1">
      <alignment horizontal="center" vertical="center" wrapText="1"/>
    </xf>
    <xf numFmtId="4" fontId="34" fillId="138" borderId="92" xfId="7" applyNumberFormat="1" applyFont="1" applyFill="1" applyBorder="1" applyAlignment="1">
      <alignment horizontal="center" vertical="center" wrapText="1"/>
    </xf>
    <xf numFmtId="4" fontId="34" fillId="138" borderId="3" xfId="7" applyNumberFormat="1" applyFont="1" applyFill="1" applyBorder="1" applyAlignment="1">
      <alignment horizontal="center" vertical="center" wrapText="1"/>
    </xf>
    <xf numFmtId="0" fontId="300" fillId="138" borderId="92" xfId="20" applyFont="1" applyFill="1" applyBorder="1" applyAlignment="1">
      <alignment horizontal="left" vertical="center"/>
    </xf>
    <xf numFmtId="0" fontId="300" fillId="138" borderId="3" xfId="20" applyFont="1" applyFill="1" applyBorder="1" applyAlignment="1">
      <alignment horizontal="left" vertical="center"/>
    </xf>
    <xf numFmtId="165" fontId="0" fillId="47" borderId="4" xfId="14" applyFont="1" applyFill="1" applyBorder="1" applyAlignment="1">
      <alignment horizontal="left" vertical="center"/>
    </xf>
    <xf numFmtId="165" fontId="0" fillId="47" borderId="0" xfId="14" applyFont="1" applyFill="1" applyAlignment="1">
      <alignment horizontal="left" vertical="center"/>
    </xf>
    <xf numFmtId="165" fontId="0" fillId="47" borderId="0" xfId="14" applyFont="1" applyFill="1" applyBorder="1" applyAlignment="1">
      <alignment horizontal="left" vertical="center"/>
    </xf>
    <xf numFmtId="0" fontId="0" fillId="47" borderId="0" xfId="0" applyFill="1" applyAlignment="1">
      <alignment horizontal="center" vertical="center"/>
    </xf>
    <xf numFmtId="0" fontId="10" fillId="47" borderId="0" xfId="0" applyFont="1" applyFill="1" applyAlignment="1">
      <alignment horizontal="center" vertical="center"/>
    </xf>
    <xf numFmtId="0" fontId="302" fillId="141" borderId="98" xfId="20" applyFont="1" applyFill="1" applyBorder="1" applyAlignment="1">
      <alignment horizontal="center" vertical="center"/>
    </xf>
    <xf numFmtId="0" fontId="39" fillId="35" borderId="100" xfId="0" applyFont="1" applyFill="1" applyBorder="1" applyAlignment="1">
      <alignment horizontal="center"/>
    </xf>
    <xf numFmtId="0" fontId="39" fillId="35" borderId="101" xfId="0" applyFont="1" applyFill="1" applyBorder="1" applyAlignment="1">
      <alignment horizontal="center"/>
    </xf>
    <xf numFmtId="0" fontId="33" fillId="138" borderId="100" xfId="0" applyFont="1" applyFill="1" applyBorder="1" applyAlignment="1">
      <alignment horizontal="center" vertical="center"/>
    </xf>
    <xf numFmtId="0" fontId="33" fillId="138" borderId="99" xfId="0" applyFont="1" applyFill="1" applyBorder="1" applyAlignment="1">
      <alignment horizontal="center" vertical="center"/>
    </xf>
    <xf numFmtId="0" fontId="33" fillId="138" borderId="101" xfId="0" applyFont="1" applyFill="1" applyBorder="1" applyAlignment="1">
      <alignment horizontal="center" vertical="center"/>
    </xf>
    <xf numFmtId="0" fontId="94" fillId="0" borderId="98" xfId="0" applyFont="1" applyBorder="1" applyAlignment="1">
      <alignment horizontal="left" vertical="center" wrapText="1"/>
    </xf>
    <xf numFmtId="4" fontId="94" fillId="0" borderId="98" xfId="0" applyNumberFormat="1" applyFont="1" applyBorder="1" applyAlignment="1">
      <alignment horizontal="center" vertical="center" wrapText="1"/>
    </xf>
    <xf numFmtId="0" fontId="94" fillId="0" borderId="92" xfId="0" applyFont="1" applyBorder="1" applyAlignment="1">
      <alignment horizontal="center" vertical="center" wrapText="1"/>
    </xf>
    <xf numFmtId="0" fontId="94" fillId="0" borderId="6" xfId="0" applyFont="1" applyBorder="1" applyAlignment="1">
      <alignment horizontal="center" vertical="center" wrapText="1"/>
    </xf>
    <xf numFmtId="0" fontId="94" fillId="0" borderId="3" xfId="0" applyFont="1" applyBorder="1" applyAlignment="1">
      <alignment horizontal="center" vertical="center" wrapText="1"/>
    </xf>
    <xf numFmtId="0" fontId="307" fillId="138" borderId="100" xfId="0" applyFont="1" applyFill="1" applyBorder="1" applyAlignment="1">
      <alignment horizontal="center" vertical="center" wrapText="1"/>
    </xf>
    <xf numFmtId="0" fontId="307" fillId="138" borderId="99" xfId="0" applyFont="1" applyFill="1" applyBorder="1" applyAlignment="1">
      <alignment horizontal="center" vertical="center" wrapText="1"/>
    </xf>
    <xf numFmtId="0" fontId="307" fillId="138" borderId="101" xfId="0" applyFont="1" applyFill="1" applyBorder="1" applyAlignment="1">
      <alignment horizontal="center" vertical="center" wrapText="1"/>
    </xf>
    <xf numFmtId="0" fontId="96" fillId="138" borderId="100" xfId="0" applyFont="1" applyFill="1" applyBorder="1" applyAlignment="1">
      <alignment horizontal="center"/>
    </xf>
    <xf numFmtId="0" fontId="96" fillId="138" borderId="99" xfId="0" applyFont="1" applyFill="1" applyBorder="1" applyAlignment="1">
      <alignment horizontal="center"/>
    </xf>
    <xf numFmtId="0" fontId="297" fillId="0" borderId="100" xfId="0" applyFont="1" applyBorder="1" applyAlignment="1">
      <alignment horizontal="left"/>
    </xf>
    <xf numFmtId="0" fontId="297" fillId="0" borderId="101" xfId="0" applyFont="1" applyBorder="1" applyAlignment="1">
      <alignment horizontal="left"/>
    </xf>
    <xf numFmtId="0" fontId="302" fillId="138" borderId="100" xfId="0" applyFont="1" applyFill="1" applyBorder="1" applyAlignment="1">
      <alignment horizontal="center" vertical="center"/>
    </xf>
    <xf numFmtId="0" fontId="302" fillId="138" borderId="99" xfId="0" applyFont="1" applyFill="1" applyBorder="1" applyAlignment="1">
      <alignment horizontal="center" vertical="center"/>
    </xf>
    <xf numFmtId="0" fontId="302" fillId="138" borderId="101" xfId="0" applyFont="1" applyFill="1" applyBorder="1" applyAlignment="1">
      <alignment horizontal="center" vertical="center"/>
    </xf>
    <xf numFmtId="0" fontId="278" fillId="138" borderId="25" xfId="0" applyFont="1" applyFill="1" applyBorder="1" applyAlignment="1">
      <alignment horizontal="center" vertical="center"/>
    </xf>
    <xf numFmtId="0" fontId="278" fillId="138" borderId="89" xfId="0" applyFont="1" applyFill="1" applyBorder="1" applyAlignment="1">
      <alignment horizontal="center" vertical="center"/>
    </xf>
    <xf numFmtId="0" fontId="278" fillId="138" borderId="119" xfId="0" applyFont="1" applyFill="1" applyBorder="1" applyAlignment="1">
      <alignment horizontal="center" vertical="center"/>
    </xf>
    <xf numFmtId="0" fontId="298" fillId="0" borderId="102" xfId="0" applyFont="1" applyBorder="1" applyAlignment="1">
      <alignment vertical="center"/>
    </xf>
    <xf numFmtId="0" fontId="298" fillId="0" borderId="103" xfId="0" applyFont="1" applyBorder="1" applyAlignment="1">
      <alignment vertical="center"/>
    </xf>
    <xf numFmtId="0" fontId="298" fillId="0" borderId="104" xfId="0" applyFont="1" applyBorder="1" applyAlignment="1">
      <alignment vertical="center"/>
    </xf>
    <xf numFmtId="0" fontId="278" fillId="138" borderId="52" xfId="0" applyFont="1" applyFill="1" applyBorder="1" applyAlignment="1">
      <alignment horizontal="left" vertical="center"/>
    </xf>
    <xf numFmtId="0" fontId="278" fillId="138" borderId="0" xfId="0" applyFont="1" applyFill="1" applyAlignment="1">
      <alignment horizontal="left" vertical="center"/>
    </xf>
    <xf numFmtId="0" fontId="278" fillId="138" borderId="105" xfId="0" applyFont="1" applyFill="1" applyBorder="1" applyAlignment="1">
      <alignment horizontal="left" vertical="center"/>
    </xf>
    <xf numFmtId="0" fontId="298" fillId="0" borderId="52" xfId="0" applyFont="1" applyBorder="1" applyAlignment="1">
      <alignment vertical="center"/>
    </xf>
    <xf numFmtId="0" fontId="298" fillId="0" borderId="0" xfId="0" applyFont="1" applyAlignment="1">
      <alignment vertical="center"/>
    </xf>
    <xf numFmtId="0" fontId="298" fillId="0" borderId="105" xfId="0" applyFont="1" applyBorder="1" applyAlignment="1">
      <alignment vertical="center"/>
    </xf>
    <xf numFmtId="363" fontId="33" fillId="138" borderId="98" xfId="23" applyNumberFormat="1" applyFont="1" applyFill="1" applyBorder="1" applyAlignment="1">
      <alignment horizontal="center" vertical="center" wrapText="1"/>
    </xf>
  </cellXfs>
  <cellStyles count="24041">
    <cellStyle name="_x0002_" xfId="160" xr:uid="{00000000-0005-0000-0000-000000000000}"/>
    <cellStyle name="'" xfId="161" xr:uid="{00000000-0005-0000-0000-000001000000}"/>
    <cellStyle name="-" xfId="162" xr:uid="{00000000-0005-0000-0000-000002000000}"/>
    <cellStyle name=" 1" xfId="163" xr:uid="{00000000-0005-0000-0000-000003000000}"/>
    <cellStyle name="_x000a_386grabber=M" xfId="74" xr:uid="{00000000-0005-0000-0000-000004000000}"/>
    <cellStyle name="_x000a_386grabber=M 2" xfId="164" xr:uid="{00000000-0005-0000-0000-000005000000}"/>
    <cellStyle name="&quot;X&quot; MEN" xfId="165" xr:uid="{00000000-0005-0000-0000-000006000000}"/>
    <cellStyle name="$" xfId="166" xr:uid="{00000000-0005-0000-0000-000007000000}"/>
    <cellStyle name="$ &amp; ¢" xfId="167" xr:uid="{00000000-0005-0000-0000-000008000000}"/>
    <cellStyle name="$_Maison v5" xfId="168" xr:uid="{00000000-0005-0000-0000-000009000000}"/>
    <cellStyle name="$_Maison_v10 (dcf10anos)" xfId="169" xr:uid="{00000000-0005-0000-0000-00000A000000}"/>
    <cellStyle name="$_Maison_v10 (dcf10anos)_ProjetoF1_v17" xfId="170" xr:uid="{00000000-0005-0000-0000-00000B000000}"/>
    <cellStyle name="$_Swift &amp; Co - Modelo operacional 20-04 v2" xfId="171" xr:uid="{00000000-0005-0000-0000-00000C000000}"/>
    <cellStyle name="$_Swift &amp; Co - Modelo operacional 20-04 v2_Outback_Financial Analysis v3.4" xfId="172" xr:uid="{00000000-0005-0000-0000-00000D000000}"/>
    <cellStyle name="$_Swift &amp; Co - Modelo operacional 20-04 v2_ProjetoComary_Metro_v3" xfId="173" xr:uid="{00000000-0005-0000-0000-00000E000000}"/>
    <cellStyle name="$_Swift &amp; Co - Modelo operacional 20-04 v2_ProjetoF1_v17" xfId="174" xr:uid="{00000000-0005-0000-0000-00000F000000}"/>
    <cellStyle name="%" xfId="175" xr:uid="{00000000-0005-0000-0000-000010000000}"/>
    <cellStyle name="% 2" xfId="176" xr:uid="{00000000-0005-0000-0000-000011000000}"/>
    <cellStyle name="% 3" xfId="177" xr:uid="{00000000-0005-0000-0000-000012000000}"/>
    <cellStyle name="%_CA_GDF_Cenário_Base_13_03" xfId="178" xr:uid="{00000000-0005-0000-0000-000013000000}"/>
    <cellStyle name="%_CA_GDF_Cenário_Base_13_03 2" xfId="179" xr:uid="{00000000-0005-0000-0000-000014000000}"/>
    <cellStyle name="%_CA_GDF_Cenário_Base_13_03_Sanessol" xfId="180" xr:uid="{00000000-0005-0000-0000-000015000000}"/>
    <cellStyle name="%_Cópia de B Plan_ Colinas_Cenário-04_03_2008" xfId="181" xr:uid="{00000000-0005-0000-0000-000016000000}"/>
    <cellStyle name="%_Cronograma_Físico_Financeiro" xfId="182" xr:uid="{00000000-0005-0000-0000-000017000000}"/>
    <cellStyle name="%_Cronograma_Físico_Financeiro 2" xfId="183" xr:uid="{00000000-0005-0000-0000-000018000000}"/>
    <cellStyle name="%_Cronograma_Físico_Financeiro_Projeções FOXX_BUSINESS_PLANv14" xfId="184" xr:uid="{00000000-0005-0000-0000-000019000000}"/>
    <cellStyle name="%_Cronograma_Físico_Financeiro_Projeções FOXX_BUSINESS_PLANv14_FOXX_BARUERI_18_03_2011" xfId="185" xr:uid="{00000000-0005-0000-0000-00001A000000}"/>
    <cellStyle name="%_Cronograma_Físico_Financeiro_Projeções GEO_BPv27_414MW" xfId="186" xr:uid="{00000000-0005-0000-0000-00001B000000}"/>
    <cellStyle name="%_Cronograma_Físico_Financeiro_Projeções GEO_BPv27_414MW_estrategia_equity_20101004" xfId="187" xr:uid="{00000000-0005-0000-0000-00001C000000}"/>
    <cellStyle name="%_Cronograma_Físico_Financeiro_Projeções GEO_BPv27_414MW_FOXX_BARUERI_18_03_2011" xfId="188" xr:uid="{00000000-0005-0000-0000-00001D000000}"/>
    <cellStyle name="%_Cronograma_Físico_Financeiro_Projeções GEO_BPv27_414MW_FOXX_RECIFE_20100914_cenario_energia+vapor" xfId="189" xr:uid="{00000000-0005-0000-0000-00001E000000}"/>
    <cellStyle name="%_Cronograma_Físico_Financeiro_Projeções GEO_BPv27_414MW_Projeções FOXX_Barueri_12052010_reuniao_FOXX" xfId="190" xr:uid="{00000000-0005-0000-0000-00001F000000}"/>
    <cellStyle name="%_Cronograma_Físico_Financeiro_Sanessol" xfId="191" xr:uid="{00000000-0005-0000-0000-000020000000}"/>
    <cellStyle name="%_Projeções Águas de Itu" xfId="192" xr:uid="{00000000-0005-0000-0000-000021000000}"/>
    <cellStyle name="%_Projeções FOXX_BUSINESS_PLANv14" xfId="193" xr:uid="{00000000-0005-0000-0000-000022000000}"/>
    <cellStyle name="%_Projeções FOXX_BUSINESS_PLANv14_FOXX_BARUERI_18_03_2011" xfId="194" xr:uid="{00000000-0005-0000-0000-000023000000}"/>
    <cellStyle name="%_Projeções GEO_BPv27_414MW" xfId="195" xr:uid="{00000000-0005-0000-0000-000024000000}"/>
    <cellStyle name="%_Projeções GEO_BPv27_414MW_estrategia_equity_20101004" xfId="196" xr:uid="{00000000-0005-0000-0000-000025000000}"/>
    <cellStyle name="%_Projeções GEO_BPv27_414MW_FOXX_BARUERI_18_03_2011" xfId="197" xr:uid="{00000000-0005-0000-0000-000026000000}"/>
    <cellStyle name="%_Projeções GEO_BPv27_414MW_FOXX_RECIFE_20100914_cenario_energia+vapor" xfId="198" xr:uid="{00000000-0005-0000-0000-000027000000}"/>
    <cellStyle name="%_Projeções GEO_BPv27_414MW_Projeções FOXX_Barueri_12052010_reuniao_FOXX" xfId="199" xr:uid="{00000000-0005-0000-0000-000028000000}"/>
    <cellStyle name="%_Projeções Joinville Valora" xfId="200" xr:uid="{00000000-0005-0000-0000-000029000000}"/>
    <cellStyle name="%_Projeções Joinville Valora 2" xfId="201" xr:uid="{00000000-0005-0000-0000-00002A000000}"/>
    <cellStyle name="%_Projeções Joinville Valora_Sanessol" xfId="202" xr:uid="{00000000-0005-0000-0000-00002B000000}"/>
    <cellStyle name="%_Projeções.v6" xfId="203" xr:uid="{00000000-0005-0000-0000-00002C000000}"/>
    <cellStyle name="%_Projeções.v6_estrategia_equity_20101004" xfId="204" xr:uid="{00000000-0005-0000-0000-00002D000000}"/>
    <cellStyle name="%_Projeções.v6_FOXX_BARUERI_18_03_2011" xfId="205" xr:uid="{00000000-0005-0000-0000-00002E000000}"/>
    <cellStyle name="%_Projeções.v6_FOXX_RECIFE_20100914_cenario_energia+vapor" xfId="206" xr:uid="{00000000-0005-0000-0000-00002F000000}"/>
    <cellStyle name="%_Projeções.v6_Projeções FOXX_Barueri_12052010_reuniao_FOXX" xfId="207" xr:uid="{00000000-0005-0000-0000-000030000000}"/>
    <cellStyle name="%_Projeções.v6_Projeções GEO_BPv27_414MW" xfId="208" xr:uid="{00000000-0005-0000-0000-000031000000}"/>
    <cellStyle name="%_Projeções.v8" xfId="209" xr:uid="{00000000-0005-0000-0000-000032000000}"/>
    <cellStyle name="%_Sanessol" xfId="210" xr:uid="{00000000-0005-0000-0000-000033000000}"/>
    <cellStyle name="?Q\?1@" xfId="211" xr:uid="{00000000-0005-0000-0000-000034000000}"/>
    <cellStyle name="?Q\?1@ 2" xfId="212" xr:uid="{00000000-0005-0000-0000-000035000000}"/>
    <cellStyle name="?Q\?1@ 3" xfId="213" xr:uid="{00000000-0005-0000-0000-000036000000}"/>
    <cellStyle name="?Q\?1@ 4" xfId="214" xr:uid="{00000000-0005-0000-0000-000037000000}"/>
    <cellStyle name="?Q\?1@ 5" xfId="215" xr:uid="{00000000-0005-0000-0000-000038000000}"/>
    <cellStyle name="_%(SignOnly)" xfId="216" xr:uid="{00000000-0005-0000-0000-000039000000}"/>
    <cellStyle name="_%(SignSpaceOnly)" xfId="217" xr:uid="{00000000-0005-0000-0000-00003A000000}"/>
    <cellStyle name="_2008 MM DD Águas de Limeira" xfId="218" xr:uid="{00000000-0005-0000-0000-00003B000000}"/>
    <cellStyle name="_2008 MM DD EXPRESSO_26_06_08" xfId="219" xr:uid="{00000000-0005-0000-0000-00003C000000}"/>
    <cellStyle name="_2008 MM DD Rio Claro" xfId="220" xr:uid="{00000000-0005-0000-0000-00003D000000}"/>
    <cellStyle name="_AAAA MM DD Nome da Empresa" xfId="221" xr:uid="{00000000-0005-0000-0000-00003E000000}"/>
    <cellStyle name="_x0002__Abertura_Despesas (3)" xfId="222" xr:uid="{00000000-0005-0000-0000-00003F000000}"/>
    <cellStyle name="_CAPM_CBE" xfId="223" xr:uid="{00000000-0005-0000-0000-000040000000}"/>
    <cellStyle name="_Comma" xfId="224" xr:uid="{00000000-0005-0000-0000-000041000000}"/>
    <cellStyle name="_Currency" xfId="225" xr:uid="{00000000-0005-0000-0000-000042000000}"/>
    <cellStyle name="_CurrencySpace" xfId="226" xr:uid="{00000000-0005-0000-0000-000043000000}"/>
    <cellStyle name="_Euro" xfId="227" xr:uid="{00000000-0005-0000-0000-000044000000}"/>
    <cellStyle name="_Heading" xfId="228" xr:uid="{00000000-0005-0000-0000-000045000000}"/>
    <cellStyle name="_Heading_Multiplos_transação_atualizado" xfId="229" xr:uid="{00000000-0005-0000-0000-000046000000}"/>
    <cellStyle name="_Heading_Multiplos_transação_atualizado_Modelo 070109 - Colíder_CAB_v2" xfId="230" xr:uid="{00000000-0005-0000-0000-000047000000}"/>
    <cellStyle name="_Heading_Multiplos_transação_atualizado_Modelo 100109 - Colíder_CAB_v2" xfId="231" xr:uid="{00000000-0005-0000-0000-000048000000}"/>
    <cellStyle name="_Heading_Multiplos_v2" xfId="232" xr:uid="{00000000-0005-0000-0000-000049000000}"/>
    <cellStyle name="_Heading_Multiplos_v2_Modelo 070109 - Colíder_CAB_v2" xfId="233" xr:uid="{00000000-0005-0000-0000-00004A000000}"/>
    <cellStyle name="_Heading_Multiplos_v2_Modelo 100109 - Colíder_CAB_v2" xfId="234" xr:uid="{00000000-0005-0000-0000-00004B000000}"/>
    <cellStyle name="_Highlight" xfId="235" xr:uid="{00000000-0005-0000-0000-00004C000000}"/>
    <cellStyle name="_Modelo Eletropaulo 09 11 07" xfId="236" xr:uid="{00000000-0005-0000-0000-00004D000000}"/>
    <cellStyle name="_Multiple" xfId="237" xr:uid="{00000000-0005-0000-0000-00004E000000}"/>
    <cellStyle name="_MultipleSpace" xfId="238" xr:uid="{00000000-0005-0000-0000-00004F000000}"/>
    <cellStyle name="_SubHeading" xfId="239" xr:uid="{00000000-0005-0000-0000-000050000000}"/>
    <cellStyle name="_SubHeading_Multiplos_transação_atualizado" xfId="240" xr:uid="{00000000-0005-0000-0000-000051000000}"/>
    <cellStyle name="_SubHeading_Multiplos_transação_atualizado_Modelo 070109 - Colíder_CAB_v2" xfId="241" xr:uid="{00000000-0005-0000-0000-000052000000}"/>
    <cellStyle name="_SubHeading_Multiplos_transação_atualizado_Modelo 100109 - Colíder_CAB_v2" xfId="242" xr:uid="{00000000-0005-0000-0000-000053000000}"/>
    <cellStyle name="_SubHeading_Multiplos_v2" xfId="243" xr:uid="{00000000-0005-0000-0000-000054000000}"/>
    <cellStyle name="_SubHeading_Multiplos_v2_Modelo 070109 - Colíder_CAB_v2" xfId="244" xr:uid="{00000000-0005-0000-0000-000055000000}"/>
    <cellStyle name="_SubHeading_Multiplos_v2_Modelo 100109 - Colíder_CAB_v2" xfId="245" xr:uid="{00000000-0005-0000-0000-000056000000}"/>
    <cellStyle name="_Tabelas Relatório - AES Eletropaulo" xfId="246" xr:uid="{00000000-0005-0000-0000-000057000000}"/>
    <cellStyle name="_Table" xfId="247" xr:uid="{00000000-0005-0000-0000-000058000000}"/>
    <cellStyle name="_Table 2" xfId="248" xr:uid="{00000000-0005-0000-0000-000059000000}"/>
    <cellStyle name="_Table_Modelo 021208 FINAL - Colíder" xfId="249" xr:uid="{00000000-0005-0000-0000-00005A000000}"/>
    <cellStyle name="_Table_Modelo 021208 FINAL - Colíder 2" xfId="250" xr:uid="{00000000-0005-0000-0000-00005B000000}"/>
    <cellStyle name="_Table_Modelo 021208 FINAL - Colíder_v2" xfId="251" xr:uid="{00000000-0005-0000-0000-00005C000000}"/>
    <cellStyle name="_Table_Modelo 021208 FINAL - Colíder_v2 2" xfId="252" xr:uid="{00000000-0005-0000-0000-00005D000000}"/>
    <cellStyle name="_Table_Modelo 070109 - Colíder_CAB_v2" xfId="253" xr:uid="{00000000-0005-0000-0000-00005E000000}"/>
    <cellStyle name="_Table_Modelo 070109 - Colíder_CAB_v2 2" xfId="254" xr:uid="{00000000-0005-0000-0000-00005F000000}"/>
    <cellStyle name="_Table_Modelo 100109 - Colíder_CAB_v2" xfId="255" xr:uid="{00000000-0005-0000-0000-000060000000}"/>
    <cellStyle name="_Table_Modelo 100109 - Colíder_CAB_v2 2" xfId="256" xr:uid="{00000000-0005-0000-0000-000061000000}"/>
    <cellStyle name="_Table_Modelo 281108 FINAL - Alta Floresta" xfId="257" xr:uid="{00000000-0005-0000-0000-000062000000}"/>
    <cellStyle name="_Table_Modelo 281108 FINAL - Alta Floresta 2" xfId="258" xr:uid="{00000000-0005-0000-0000-000063000000}"/>
    <cellStyle name="_Table_Modelo 281108 FINAL - Colíder" xfId="259" xr:uid="{00000000-0005-0000-0000-000064000000}"/>
    <cellStyle name="_Table_Modelo 281108 FINAL - Colíder 2" xfId="260" xr:uid="{00000000-0005-0000-0000-000065000000}"/>
    <cellStyle name="_Table_Modelo 281108 FINAL - Comodoro" xfId="261" xr:uid="{00000000-0005-0000-0000-000066000000}"/>
    <cellStyle name="_Table_Modelo 281108 FINAL - Comodoro 2" xfId="262" xr:uid="{00000000-0005-0000-0000-000067000000}"/>
    <cellStyle name="_Table_Modelo 281108 FINAL - Pontes e Lacerda" xfId="263" xr:uid="{00000000-0005-0000-0000-000068000000}"/>
    <cellStyle name="_Table_Modelo 281108 FINAL - Pontes e Lacerda 2" xfId="264" xr:uid="{00000000-0005-0000-0000-000069000000}"/>
    <cellStyle name="_Table_Modelo 301108 FINAL - Alta Floresta" xfId="265" xr:uid="{00000000-0005-0000-0000-00006A000000}"/>
    <cellStyle name="_Table_Modelo 301108 FINAL - Alta Floresta 2" xfId="266" xr:uid="{00000000-0005-0000-0000-00006B000000}"/>
    <cellStyle name="_Table_Modelo 301108 FINAL - Pontes e Lacerda" xfId="267" xr:uid="{00000000-0005-0000-0000-00006C000000}"/>
    <cellStyle name="_Table_Modelo 301108 FINAL - Pontes e Lacerda 2" xfId="268" xr:uid="{00000000-0005-0000-0000-00006D000000}"/>
    <cellStyle name="_Table_Multiplos_transação_atualizado" xfId="269" xr:uid="{00000000-0005-0000-0000-00006E000000}"/>
    <cellStyle name="_Table_Multiplos_transação_atualizado 2" xfId="270" xr:uid="{00000000-0005-0000-0000-00006F000000}"/>
    <cellStyle name="_Table_Multiplos_transação_atualizado_Modelo 070109 - Colíder_CAB_v2" xfId="271" xr:uid="{00000000-0005-0000-0000-000070000000}"/>
    <cellStyle name="_Table_Multiplos_transação_atualizado_Modelo 070109 - Colíder_CAB_v2 2" xfId="272" xr:uid="{00000000-0005-0000-0000-000071000000}"/>
    <cellStyle name="_Table_Multiplos_transação_atualizado_Modelo 100109 - Colíder_CAB_v2" xfId="273" xr:uid="{00000000-0005-0000-0000-000072000000}"/>
    <cellStyle name="_Table_Multiplos_transação_atualizado_Modelo 100109 - Colíder_CAB_v2 2" xfId="274" xr:uid="{00000000-0005-0000-0000-000073000000}"/>
    <cellStyle name="_Table_Multiplos_v2" xfId="275" xr:uid="{00000000-0005-0000-0000-000074000000}"/>
    <cellStyle name="_Table_Multiplos_v2 2" xfId="276" xr:uid="{00000000-0005-0000-0000-000075000000}"/>
    <cellStyle name="_Table_Multiplos_v2_Modelo 070109 - Colíder_CAB_v2" xfId="277" xr:uid="{00000000-0005-0000-0000-000076000000}"/>
    <cellStyle name="_Table_Multiplos_v2_Modelo 070109 - Colíder_CAB_v2 2" xfId="278" xr:uid="{00000000-0005-0000-0000-000077000000}"/>
    <cellStyle name="_Table_Multiplos_v2_Modelo 100109 - Colíder_CAB_v2" xfId="279" xr:uid="{00000000-0005-0000-0000-000078000000}"/>
    <cellStyle name="_Table_Multiplos_v2_Modelo 100109 - Colíder_CAB_v2 2" xfId="280" xr:uid="{00000000-0005-0000-0000-000079000000}"/>
    <cellStyle name="_TableHead" xfId="281" xr:uid="{00000000-0005-0000-0000-00007A000000}"/>
    <cellStyle name="_TableHead_Modelo 021208 FINAL - Colíder_v2" xfId="282" xr:uid="{00000000-0005-0000-0000-00007B000000}"/>
    <cellStyle name="_TableHead_Modelo 100109 - Colíder_CAB_v2" xfId="283" xr:uid="{00000000-0005-0000-0000-00007C000000}"/>
    <cellStyle name="_TableHead_Modelo 281108 FINAL - Comodoro" xfId="284" xr:uid="{00000000-0005-0000-0000-00007D000000}"/>
    <cellStyle name="_TableHead_Modelo 301108 FINAL - Alta Floresta" xfId="285" xr:uid="{00000000-0005-0000-0000-00007E000000}"/>
    <cellStyle name="_TableHead_Multiplos_transação_atualizado" xfId="286" xr:uid="{00000000-0005-0000-0000-00007F000000}"/>
    <cellStyle name="_TableHead_Multiplos_transação_atualizado_Modelo 070109 - Colíder_CAB_v2" xfId="287" xr:uid="{00000000-0005-0000-0000-000080000000}"/>
    <cellStyle name="_TableHead_Multiplos_transação_atualizado_Modelo 100109 - Colíder_CAB_v2" xfId="288" xr:uid="{00000000-0005-0000-0000-000081000000}"/>
    <cellStyle name="_TableHead_Multiplos_v2" xfId="289" xr:uid="{00000000-0005-0000-0000-000082000000}"/>
    <cellStyle name="_TableHead_Multiplos_v2_Modelo 070109 - Colíder_CAB_v2" xfId="290" xr:uid="{00000000-0005-0000-0000-000083000000}"/>
    <cellStyle name="_TableHead_Multiplos_v2_Modelo 100109 - Colíder_CAB_v2" xfId="291" xr:uid="{00000000-0005-0000-0000-000084000000}"/>
    <cellStyle name="_TableRowHead" xfId="292" xr:uid="{00000000-0005-0000-0000-000085000000}"/>
    <cellStyle name="_TableRowHead_Modelo 021208 FINAL - Colíder_v2" xfId="293" xr:uid="{00000000-0005-0000-0000-000086000000}"/>
    <cellStyle name="_TableRowHead_Modelo 100109 - Colíder_CAB_v2" xfId="294" xr:uid="{00000000-0005-0000-0000-000087000000}"/>
    <cellStyle name="_TableRowHead_Modelo 281108 FINAL - Comodoro" xfId="295" xr:uid="{00000000-0005-0000-0000-000088000000}"/>
    <cellStyle name="_TableRowHead_Modelo 301108 FINAL - Alta Floresta" xfId="296" xr:uid="{00000000-0005-0000-0000-000089000000}"/>
    <cellStyle name="_TableRowHead_Multiplos_transação_atualizado" xfId="297" xr:uid="{00000000-0005-0000-0000-00008A000000}"/>
    <cellStyle name="_TableRowHead_Multiplos_transação_atualizado_Modelo 070109 - Colíder_CAB_v2" xfId="298" xr:uid="{00000000-0005-0000-0000-00008B000000}"/>
    <cellStyle name="_TableRowHead_Multiplos_transação_atualizado_Modelo 100109 - Colíder_CAB_v2" xfId="299" xr:uid="{00000000-0005-0000-0000-00008C000000}"/>
    <cellStyle name="_TableRowHead_Multiplos_v2" xfId="300" xr:uid="{00000000-0005-0000-0000-00008D000000}"/>
    <cellStyle name="_TableRowHead_Multiplos_v2_Modelo 070109 - Colíder_CAB_v2" xfId="301" xr:uid="{00000000-0005-0000-0000-00008E000000}"/>
    <cellStyle name="_TableRowHead_Multiplos_v2_Modelo 100109 - Colíder_CAB_v2" xfId="302" xr:uid="{00000000-0005-0000-0000-00008F000000}"/>
    <cellStyle name="_TableSuperHead" xfId="303" xr:uid="{00000000-0005-0000-0000-000090000000}"/>
    <cellStyle name="_TableSuperHead_Multiplos_transação_atualizado" xfId="304" xr:uid="{00000000-0005-0000-0000-000091000000}"/>
    <cellStyle name="_TableSuperHead_Multiplos_transação_atualizado_Modelo 070109 - Colíder_CAB_v2" xfId="305" xr:uid="{00000000-0005-0000-0000-000092000000}"/>
    <cellStyle name="_TableSuperHead_Multiplos_transação_atualizado_Modelo 100109 - Colíder_CAB_v2" xfId="306" xr:uid="{00000000-0005-0000-0000-000093000000}"/>
    <cellStyle name="_TableSuperHead_Multiplos_v2" xfId="307" xr:uid="{00000000-0005-0000-0000-000094000000}"/>
    <cellStyle name="_TableSuperHead_Multiplos_v2_Modelo 070109 - Colíder_CAB_v2" xfId="308" xr:uid="{00000000-0005-0000-0000-000095000000}"/>
    <cellStyle name="_TableSuperHead_Multiplos_v2_Modelo 100109 - Colíder_CAB_v2" xfId="309" xr:uid="{00000000-0005-0000-0000-000096000000}"/>
    <cellStyle name="£ BP" xfId="310" xr:uid="{00000000-0005-0000-0000-000097000000}"/>
    <cellStyle name="¥ JY" xfId="311" xr:uid="{00000000-0005-0000-0000-000098000000}"/>
    <cellStyle name="=C:\WINNT\SYSTEM32\COMMAND.COM" xfId="312" xr:uid="{00000000-0005-0000-0000-000099000000}"/>
    <cellStyle name="0" xfId="313" xr:uid="{00000000-0005-0000-0000-00009A000000}"/>
    <cellStyle name="0,0_x000d__x000a_NA_x000d__x000a_" xfId="75" xr:uid="{00000000-0005-0000-0000-00009B000000}"/>
    <cellStyle name="0,00" xfId="314" xr:uid="{00000000-0005-0000-0000-00009C000000}"/>
    <cellStyle name="0_Abertura_Despesas (3)" xfId="315" xr:uid="{00000000-0005-0000-0000-00009D000000}"/>
    <cellStyle name="0_Seguros_Garantias (2)" xfId="316" xr:uid="{00000000-0005-0000-0000-00009E000000}"/>
    <cellStyle name="0000" xfId="317" xr:uid="{00000000-0005-0000-0000-00009F000000}"/>
    <cellStyle name="0000 2" xfId="318" xr:uid="{00000000-0005-0000-0000-0000A0000000}"/>
    <cellStyle name="000000" xfId="319" xr:uid="{00000000-0005-0000-0000-0000A1000000}"/>
    <cellStyle name="000000 2" xfId="320" xr:uid="{00000000-0005-0000-0000-0000A2000000}"/>
    <cellStyle name="0dp" xfId="321" xr:uid="{00000000-0005-0000-0000-0000A3000000}"/>
    <cellStyle name="1" xfId="322" xr:uid="{00000000-0005-0000-0000-0000A4000000}"/>
    <cellStyle name="1,comma" xfId="323" xr:uid="{00000000-0005-0000-0000-0000A5000000}"/>
    <cellStyle name="1,comma 2" xfId="324" xr:uid="{00000000-0005-0000-0000-0000A6000000}"/>
    <cellStyle name="1.350.10" xfId="325" xr:uid="{00000000-0005-0000-0000-0000A7000000}"/>
    <cellStyle name="2.1" xfId="326" xr:uid="{00000000-0005-0000-0000-0000A8000000}"/>
    <cellStyle name="2.1 2" xfId="327" xr:uid="{00000000-0005-0000-0000-0000A9000000}"/>
    <cellStyle name="2.1.1" xfId="328" xr:uid="{00000000-0005-0000-0000-0000AA000000}"/>
    <cellStyle name="2.1.1 2" xfId="329" xr:uid="{00000000-0005-0000-0000-0000AB000000}"/>
    <cellStyle name="2.1.1.1" xfId="330" xr:uid="{00000000-0005-0000-0000-0000AC000000}"/>
    <cellStyle name="2.1.1.1 2" xfId="331" xr:uid="{00000000-0005-0000-0000-0000AD000000}"/>
    <cellStyle name="2.1.1.1_Dados" xfId="332" xr:uid="{00000000-0005-0000-0000-0000AE000000}"/>
    <cellStyle name="20% - Accent1" xfId="24" xr:uid="{00000000-0005-0000-0000-0000AF000000}"/>
    <cellStyle name="20% - Accent1 2" xfId="333" xr:uid="{00000000-0005-0000-0000-0000B0000000}"/>
    <cellStyle name="20% - Accent1 3" xfId="334" xr:uid="{00000000-0005-0000-0000-0000B1000000}"/>
    <cellStyle name="20% - Accent2" xfId="25" xr:uid="{00000000-0005-0000-0000-0000B2000000}"/>
    <cellStyle name="20% - Accent2 2" xfId="335" xr:uid="{00000000-0005-0000-0000-0000B3000000}"/>
    <cellStyle name="20% - Accent2 3" xfId="336" xr:uid="{00000000-0005-0000-0000-0000B4000000}"/>
    <cellStyle name="20% - Accent3" xfId="26" xr:uid="{00000000-0005-0000-0000-0000B5000000}"/>
    <cellStyle name="20% - Accent3 2" xfId="337" xr:uid="{00000000-0005-0000-0000-0000B6000000}"/>
    <cellStyle name="20% - Accent3 3" xfId="338" xr:uid="{00000000-0005-0000-0000-0000B7000000}"/>
    <cellStyle name="20% - Accent4" xfId="27" xr:uid="{00000000-0005-0000-0000-0000B8000000}"/>
    <cellStyle name="20% - Accent4 2" xfId="339" xr:uid="{00000000-0005-0000-0000-0000B9000000}"/>
    <cellStyle name="20% - Accent4 3" xfId="340" xr:uid="{00000000-0005-0000-0000-0000BA000000}"/>
    <cellStyle name="20% - Accent5" xfId="28" xr:uid="{00000000-0005-0000-0000-0000BB000000}"/>
    <cellStyle name="20% - Accent5 2" xfId="341" xr:uid="{00000000-0005-0000-0000-0000BC000000}"/>
    <cellStyle name="20% - Accent5 3" xfId="342" xr:uid="{00000000-0005-0000-0000-0000BD000000}"/>
    <cellStyle name="20% - Accent6" xfId="29" xr:uid="{00000000-0005-0000-0000-0000BE000000}"/>
    <cellStyle name="20% - Accent6 2" xfId="343" xr:uid="{00000000-0005-0000-0000-0000BF000000}"/>
    <cellStyle name="20% - Accent6 3" xfId="344" xr:uid="{00000000-0005-0000-0000-0000C0000000}"/>
    <cellStyle name="20% - Ênfase1 10" xfId="345" xr:uid="{00000000-0005-0000-0000-0000C1000000}"/>
    <cellStyle name="20% - Ênfase1 10 2" xfId="346" xr:uid="{00000000-0005-0000-0000-0000C2000000}"/>
    <cellStyle name="20% - Ênfase1 10 2 2" xfId="347" xr:uid="{00000000-0005-0000-0000-0000C3000000}"/>
    <cellStyle name="20% - Ênfase1 10 2 2 2" xfId="348" xr:uid="{00000000-0005-0000-0000-0000C4000000}"/>
    <cellStyle name="20% - Ênfase1 10 2 2 2 2" xfId="349" xr:uid="{00000000-0005-0000-0000-0000C5000000}"/>
    <cellStyle name="20% - Ênfase1 10 2 2 2 2 2" xfId="350" xr:uid="{00000000-0005-0000-0000-0000C6000000}"/>
    <cellStyle name="20% - Ênfase1 10 2 2 2 3" xfId="351" xr:uid="{00000000-0005-0000-0000-0000C7000000}"/>
    <cellStyle name="20% - Ênfase1 10 2 2 2 3 2" xfId="352" xr:uid="{00000000-0005-0000-0000-0000C8000000}"/>
    <cellStyle name="20% - Ênfase1 10 2 2 2 4" xfId="353" xr:uid="{00000000-0005-0000-0000-0000C9000000}"/>
    <cellStyle name="20% - Ênfase1 10 2 2 3" xfId="354" xr:uid="{00000000-0005-0000-0000-0000CA000000}"/>
    <cellStyle name="20% - Ênfase1 10 2 2 3 2" xfId="355" xr:uid="{00000000-0005-0000-0000-0000CB000000}"/>
    <cellStyle name="20% - Ênfase1 10 2 2 4" xfId="356" xr:uid="{00000000-0005-0000-0000-0000CC000000}"/>
    <cellStyle name="20% - Ênfase1 10 2 2 4 2" xfId="357" xr:uid="{00000000-0005-0000-0000-0000CD000000}"/>
    <cellStyle name="20% - Ênfase1 10 2 2 5" xfId="358" xr:uid="{00000000-0005-0000-0000-0000CE000000}"/>
    <cellStyle name="20% - Ênfase1 10 2 3" xfId="359" xr:uid="{00000000-0005-0000-0000-0000CF000000}"/>
    <cellStyle name="20% - Ênfase1 10 2 3 2" xfId="360" xr:uid="{00000000-0005-0000-0000-0000D0000000}"/>
    <cellStyle name="20% - Ênfase1 10 2 3 2 2" xfId="361" xr:uid="{00000000-0005-0000-0000-0000D1000000}"/>
    <cellStyle name="20% - Ênfase1 10 2 3 3" xfId="362" xr:uid="{00000000-0005-0000-0000-0000D2000000}"/>
    <cellStyle name="20% - Ênfase1 10 2 3 3 2" xfId="363" xr:uid="{00000000-0005-0000-0000-0000D3000000}"/>
    <cellStyle name="20% - Ênfase1 10 2 3 4" xfId="364" xr:uid="{00000000-0005-0000-0000-0000D4000000}"/>
    <cellStyle name="20% - Ênfase1 10 2 4" xfId="365" xr:uid="{00000000-0005-0000-0000-0000D5000000}"/>
    <cellStyle name="20% - Ênfase1 10 2 4 2" xfId="366" xr:uid="{00000000-0005-0000-0000-0000D6000000}"/>
    <cellStyle name="20% - Ênfase1 10 2 4 2 2" xfId="367" xr:uid="{00000000-0005-0000-0000-0000D7000000}"/>
    <cellStyle name="20% - Ênfase1 10 2 4 3" xfId="368" xr:uid="{00000000-0005-0000-0000-0000D8000000}"/>
    <cellStyle name="20% - Ênfase1 10 2 5" xfId="369" xr:uid="{00000000-0005-0000-0000-0000D9000000}"/>
    <cellStyle name="20% - Ênfase1 10 2 5 2" xfId="370" xr:uid="{00000000-0005-0000-0000-0000DA000000}"/>
    <cellStyle name="20% - Ênfase1 10 2 6" xfId="371" xr:uid="{00000000-0005-0000-0000-0000DB000000}"/>
    <cellStyle name="20% - Ênfase1 10 3" xfId="372" xr:uid="{00000000-0005-0000-0000-0000DC000000}"/>
    <cellStyle name="20% - Ênfase1 10 3 2" xfId="373" xr:uid="{00000000-0005-0000-0000-0000DD000000}"/>
    <cellStyle name="20% - Ênfase1 10 3 2 2" xfId="374" xr:uid="{00000000-0005-0000-0000-0000DE000000}"/>
    <cellStyle name="20% - Ênfase1 10 3 2 2 2" xfId="375" xr:uid="{00000000-0005-0000-0000-0000DF000000}"/>
    <cellStyle name="20% - Ênfase1 10 3 2 3" xfId="376" xr:uid="{00000000-0005-0000-0000-0000E0000000}"/>
    <cellStyle name="20% - Ênfase1 10 3 2 3 2" xfId="377" xr:uid="{00000000-0005-0000-0000-0000E1000000}"/>
    <cellStyle name="20% - Ênfase1 10 3 2 4" xfId="378" xr:uid="{00000000-0005-0000-0000-0000E2000000}"/>
    <cellStyle name="20% - Ênfase1 10 3 3" xfId="379" xr:uid="{00000000-0005-0000-0000-0000E3000000}"/>
    <cellStyle name="20% - Ênfase1 10 3 3 2" xfId="380" xr:uid="{00000000-0005-0000-0000-0000E4000000}"/>
    <cellStyle name="20% - Ênfase1 10 3 4" xfId="381" xr:uid="{00000000-0005-0000-0000-0000E5000000}"/>
    <cellStyle name="20% - Ênfase1 10 3 4 2" xfId="382" xr:uid="{00000000-0005-0000-0000-0000E6000000}"/>
    <cellStyle name="20% - Ênfase1 10 3 5" xfId="383" xr:uid="{00000000-0005-0000-0000-0000E7000000}"/>
    <cellStyle name="20% - Ênfase1 10 4" xfId="384" xr:uid="{00000000-0005-0000-0000-0000E8000000}"/>
    <cellStyle name="20% - Ênfase1 10 4 2" xfId="385" xr:uid="{00000000-0005-0000-0000-0000E9000000}"/>
    <cellStyle name="20% - Ênfase1 10 4 2 2" xfId="386" xr:uid="{00000000-0005-0000-0000-0000EA000000}"/>
    <cellStyle name="20% - Ênfase1 10 4 3" xfId="387" xr:uid="{00000000-0005-0000-0000-0000EB000000}"/>
    <cellStyle name="20% - Ênfase1 10 4 3 2" xfId="388" xr:uid="{00000000-0005-0000-0000-0000EC000000}"/>
    <cellStyle name="20% - Ênfase1 10 4 4" xfId="389" xr:uid="{00000000-0005-0000-0000-0000ED000000}"/>
    <cellStyle name="20% - Ênfase1 10 5" xfId="390" xr:uid="{00000000-0005-0000-0000-0000EE000000}"/>
    <cellStyle name="20% - Ênfase1 10 5 2" xfId="391" xr:uid="{00000000-0005-0000-0000-0000EF000000}"/>
    <cellStyle name="20% - Ênfase1 10 5 2 2" xfId="392" xr:uid="{00000000-0005-0000-0000-0000F0000000}"/>
    <cellStyle name="20% - Ênfase1 10 5 3" xfId="393" xr:uid="{00000000-0005-0000-0000-0000F1000000}"/>
    <cellStyle name="20% - Ênfase1 10 6" xfId="394" xr:uid="{00000000-0005-0000-0000-0000F2000000}"/>
    <cellStyle name="20% - Ênfase1 10 6 2" xfId="395" xr:uid="{00000000-0005-0000-0000-0000F3000000}"/>
    <cellStyle name="20% - Ênfase1 10 7" xfId="396" xr:uid="{00000000-0005-0000-0000-0000F4000000}"/>
    <cellStyle name="20% - Ênfase1 11" xfId="397" xr:uid="{00000000-0005-0000-0000-0000F5000000}"/>
    <cellStyle name="20% - Ênfase1 11 2" xfId="398" xr:uid="{00000000-0005-0000-0000-0000F6000000}"/>
    <cellStyle name="20% - Ênfase1 11 2 2" xfId="399" xr:uid="{00000000-0005-0000-0000-0000F7000000}"/>
    <cellStyle name="20% - Ênfase1 11 2 2 2" xfId="400" xr:uid="{00000000-0005-0000-0000-0000F8000000}"/>
    <cellStyle name="20% - Ênfase1 11 2 2 2 2" xfId="401" xr:uid="{00000000-0005-0000-0000-0000F9000000}"/>
    <cellStyle name="20% - Ênfase1 11 2 2 2 2 2" xfId="402" xr:uid="{00000000-0005-0000-0000-0000FA000000}"/>
    <cellStyle name="20% - Ênfase1 11 2 2 2 3" xfId="403" xr:uid="{00000000-0005-0000-0000-0000FB000000}"/>
    <cellStyle name="20% - Ênfase1 11 2 2 2 3 2" xfId="404" xr:uid="{00000000-0005-0000-0000-0000FC000000}"/>
    <cellStyle name="20% - Ênfase1 11 2 2 2 4" xfId="405" xr:uid="{00000000-0005-0000-0000-0000FD000000}"/>
    <cellStyle name="20% - Ênfase1 11 2 2 3" xfId="406" xr:uid="{00000000-0005-0000-0000-0000FE000000}"/>
    <cellStyle name="20% - Ênfase1 11 2 2 3 2" xfId="407" xr:uid="{00000000-0005-0000-0000-0000FF000000}"/>
    <cellStyle name="20% - Ênfase1 11 2 2 4" xfId="408" xr:uid="{00000000-0005-0000-0000-000000010000}"/>
    <cellStyle name="20% - Ênfase1 11 2 2 4 2" xfId="409" xr:uid="{00000000-0005-0000-0000-000001010000}"/>
    <cellStyle name="20% - Ênfase1 11 2 2 5" xfId="410" xr:uid="{00000000-0005-0000-0000-000002010000}"/>
    <cellStyle name="20% - Ênfase1 11 2 3" xfId="411" xr:uid="{00000000-0005-0000-0000-000003010000}"/>
    <cellStyle name="20% - Ênfase1 11 2 3 2" xfId="412" xr:uid="{00000000-0005-0000-0000-000004010000}"/>
    <cellStyle name="20% - Ênfase1 11 2 3 2 2" xfId="413" xr:uid="{00000000-0005-0000-0000-000005010000}"/>
    <cellStyle name="20% - Ênfase1 11 2 3 3" xfId="414" xr:uid="{00000000-0005-0000-0000-000006010000}"/>
    <cellStyle name="20% - Ênfase1 11 2 3 3 2" xfId="415" xr:uid="{00000000-0005-0000-0000-000007010000}"/>
    <cellStyle name="20% - Ênfase1 11 2 3 4" xfId="416" xr:uid="{00000000-0005-0000-0000-000008010000}"/>
    <cellStyle name="20% - Ênfase1 11 2 4" xfId="417" xr:uid="{00000000-0005-0000-0000-000009010000}"/>
    <cellStyle name="20% - Ênfase1 11 2 4 2" xfId="418" xr:uid="{00000000-0005-0000-0000-00000A010000}"/>
    <cellStyle name="20% - Ênfase1 11 2 4 2 2" xfId="419" xr:uid="{00000000-0005-0000-0000-00000B010000}"/>
    <cellStyle name="20% - Ênfase1 11 2 4 3" xfId="420" xr:uid="{00000000-0005-0000-0000-00000C010000}"/>
    <cellStyle name="20% - Ênfase1 11 2 5" xfId="421" xr:uid="{00000000-0005-0000-0000-00000D010000}"/>
    <cellStyle name="20% - Ênfase1 11 2 5 2" xfId="422" xr:uid="{00000000-0005-0000-0000-00000E010000}"/>
    <cellStyle name="20% - Ênfase1 11 2 6" xfId="423" xr:uid="{00000000-0005-0000-0000-00000F010000}"/>
    <cellStyle name="20% - Ênfase1 11 3" xfId="424" xr:uid="{00000000-0005-0000-0000-000010010000}"/>
    <cellStyle name="20% - Ênfase1 11 3 2" xfId="425" xr:uid="{00000000-0005-0000-0000-000011010000}"/>
    <cellStyle name="20% - Ênfase1 11 3 2 2" xfId="426" xr:uid="{00000000-0005-0000-0000-000012010000}"/>
    <cellStyle name="20% - Ênfase1 11 3 2 2 2" xfId="427" xr:uid="{00000000-0005-0000-0000-000013010000}"/>
    <cellStyle name="20% - Ênfase1 11 3 2 3" xfId="428" xr:uid="{00000000-0005-0000-0000-000014010000}"/>
    <cellStyle name="20% - Ênfase1 11 3 2 3 2" xfId="429" xr:uid="{00000000-0005-0000-0000-000015010000}"/>
    <cellStyle name="20% - Ênfase1 11 3 2 4" xfId="430" xr:uid="{00000000-0005-0000-0000-000016010000}"/>
    <cellStyle name="20% - Ênfase1 11 3 3" xfId="431" xr:uid="{00000000-0005-0000-0000-000017010000}"/>
    <cellStyle name="20% - Ênfase1 11 3 3 2" xfId="432" xr:uid="{00000000-0005-0000-0000-000018010000}"/>
    <cellStyle name="20% - Ênfase1 11 3 4" xfId="433" xr:uid="{00000000-0005-0000-0000-000019010000}"/>
    <cellStyle name="20% - Ênfase1 11 3 4 2" xfId="434" xr:uid="{00000000-0005-0000-0000-00001A010000}"/>
    <cellStyle name="20% - Ênfase1 11 3 5" xfId="435" xr:uid="{00000000-0005-0000-0000-00001B010000}"/>
    <cellStyle name="20% - Ênfase1 11 4" xfId="436" xr:uid="{00000000-0005-0000-0000-00001C010000}"/>
    <cellStyle name="20% - Ênfase1 11 4 2" xfId="437" xr:uid="{00000000-0005-0000-0000-00001D010000}"/>
    <cellStyle name="20% - Ênfase1 11 4 2 2" xfId="438" xr:uid="{00000000-0005-0000-0000-00001E010000}"/>
    <cellStyle name="20% - Ênfase1 11 4 3" xfId="439" xr:uid="{00000000-0005-0000-0000-00001F010000}"/>
    <cellStyle name="20% - Ênfase1 11 4 3 2" xfId="440" xr:uid="{00000000-0005-0000-0000-000020010000}"/>
    <cellStyle name="20% - Ênfase1 11 4 4" xfId="441" xr:uid="{00000000-0005-0000-0000-000021010000}"/>
    <cellStyle name="20% - Ênfase1 11 5" xfId="442" xr:uid="{00000000-0005-0000-0000-000022010000}"/>
    <cellStyle name="20% - Ênfase1 11 5 2" xfId="443" xr:uid="{00000000-0005-0000-0000-000023010000}"/>
    <cellStyle name="20% - Ênfase1 11 5 2 2" xfId="444" xr:uid="{00000000-0005-0000-0000-000024010000}"/>
    <cellStyle name="20% - Ênfase1 11 5 3" xfId="445" xr:uid="{00000000-0005-0000-0000-000025010000}"/>
    <cellStyle name="20% - Ênfase1 11 6" xfId="446" xr:uid="{00000000-0005-0000-0000-000026010000}"/>
    <cellStyle name="20% - Ênfase1 11 6 2" xfId="447" xr:uid="{00000000-0005-0000-0000-000027010000}"/>
    <cellStyle name="20% - Ênfase1 11 7" xfId="448" xr:uid="{00000000-0005-0000-0000-000028010000}"/>
    <cellStyle name="20% - Ênfase1 12" xfId="449" xr:uid="{00000000-0005-0000-0000-000029010000}"/>
    <cellStyle name="20% - Ênfase1 12 2" xfId="450" xr:uid="{00000000-0005-0000-0000-00002A010000}"/>
    <cellStyle name="20% - Ênfase1 12 2 2" xfId="451" xr:uid="{00000000-0005-0000-0000-00002B010000}"/>
    <cellStyle name="20% - Ênfase1 12 2 2 2" xfId="452" xr:uid="{00000000-0005-0000-0000-00002C010000}"/>
    <cellStyle name="20% - Ênfase1 12 2 2 2 2" xfId="453" xr:uid="{00000000-0005-0000-0000-00002D010000}"/>
    <cellStyle name="20% - Ênfase1 12 2 2 2 2 2" xfId="454" xr:uid="{00000000-0005-0000-0000-00002E010000}"/>
    <cellStyle name="20% - Ênfase1 12 2 2 2 3" xfId="455" xr:uid="{00000000-0005-0000-0000-00002F010000}"/>
    <cellStyle name="20% - Ênfase1 12 2 2 2 3 2" xfId="456" xr:uid="{00000000-0005-0000-0000-000030010000}"/>
    <cellStyle name="20% - Ênfase1 12 2 2 2 4" xfId="457" xr:uid="{00000000-0005-0000-0000-000031010000}"/>
    <cellStyle name="20% - Ênfase1 12 2 2 3" xfId="458" xr:uid="{00000000-0005-0000-0000-000032010000}"/>
    <cellStyle name="20% - Ênfase1 12 2 2 3 2" xfId="459" xr:uid="{00000000-0005-0000-0000-000033010000}"/>
    <cellStyle name="20% - Ênfase1 12 2 2 4" xfId="460" xr:uid="{00000000-0005-0000-0000-000034010000}"/>
    <cellStyle name="20% - Ênfase1 12 2 2 4 2" xfId="461" xr:uid="{00000000-0005-0000-0000-000035010000}"/>
    <cellStyle name="20% - Ênfase1 12 2 2 5" xfId="462" xr:uid="{00000000-0005-0000-0000-000036010000}"/>
    <cellStyle name="20% - Ênfase1 12 2 3" xfId="463" xr:uid="{00000000-0005-0000-0000-000037010000}"/>
    <cellStyle name="20% - Ênfase1 12 2 3 2" xfId="464" xr:uid="{00000000-0005-0000-0000-000038010000}"/>
    <cellStyle name="20% - Ênfase1 12 2 3 2 2" xfId="465" xr:uid="{00000000-0005-0000-0000-000039010000}"/>
    <cellStyle name="20% - Ênfase1 12 2 3 3" xfId="466" xr:uid="{00000000-0005-0000-0000-00003A010000}"/>
    <cellStyle name="20% - Ênfase1 12 2 3 3 2" xfId="467" xr:uid="{00000000-0005-0000-0000-00003B010000}"/>
    <cellStyle name="20% - Ênfase1 12 2 3 4" xfId="468" xr:uid="{00000000-0005-0000-0000-00003C010000}"/>
    <cellStyle name="20% - Ênfase1 12 2 4" xfId="469" xr:uid="{00000000-0005-0000-0000-00003D010000}"/>
    <cellStyle name="20% - Ênfase1 12 2 4 2" xfId="470" xr:uid="{00000000-0005-0000-0000-00003E010000}"/>
    <cellStyle name="20% - Ênfase1 12 2 4 2 2" xfId="471" xr:uid="{00000000-0005-0000-0000-00003F010000}"/>
    <cellStyle name="20% - Ênfase1 12 2 4 3" xfId="472" xr:uid="{00000000-0005-0000-0000-000040010000}"/>
    <cellStyle name="20% - Ênfase1 12 2 5" xfId="473" xr:uid="{00000000-0005-0000-0000-000041010000}"/>
    <cellStyle name="20% - Ênfase1 12 2 5 2" xfId="474" xr:uid="{00000000-0005-0000-0000-000042010000}"/>
    <cellStyle name="20% - Ênfase1 12 2 6" xfId="475" xr:uid="{00000000-0005-0000-0000-000043010000}"/>
    <cellStyle name="20% - Ênfase1 12 3" xfId="476" xr:uid="{00000000-0005-0000-0000-000044010000}"/>
    <cellStyle name="20% - Ênfase1 12 3 2" xfId="477" xr:uid="{00000000-0005-0000-0000-000045010000}"/>
    <cellStyle name="20% - Ênfase1 12 3 2 2" xfId="478" xr:uid="{00000000-0005-0000-0000-000046010000}"/>
    <cellStyle name="20% - Ênfase1 12 3 2 2 2" xfId="479" xr:uid="{00000000-0005-0000-0000-000047010000}"/>
    <cellStyle name="20% - Ênfase1 12 3 2 3" xfId="480" xr:uid="{00000000-0005-0000-0000-000048010000}"/>
    <cellStyle name="20% - Ênfase1 12 3 2 3 2" xfId="481" xr:uid="{00000000-0005-0000-0000-000049010000}"/>
    <cellStyle name="20% - Ênfase1 12 3 2 4" xfId="482" xr:uid="{00000000-0005-0000-0000-00004A010000}"/>
    <cellStyle name="20% - Ênfase1 12 3 3" xfId="483" xr:uid="{00000000-0005-0000-0000-00004B010000}"/>
    <cellStyle name="20% - Ênfase1 12 3 3 2" xfId="484" xr:uid="{00000000-0005-0000-0000-00004C010000}"/>
    <cellStyle name="20% - Ênfase1 12 3 4" xfId="485" xr:uid="{00000000-0005-0000-0000-00004D010000}"/>
    <cellStyle name="20% - Ênfase1 12 3 4 2" xfId="486" xr:uid="{00000000-0005-0000-0000-00004E010000}"/>
    <cellStyle name="20% - Ênfase1 12 3 5" xfId="487" xr:uid="{00000000-0005-0000-0000-00004F010000}"/>
    <cellStyle name="20% - Ênfase1 12 4" xfId="488" xr:uid="{00000000-0005-0000-0000-000050010000}"/>
    <cellStyle name="20% - Ênfase1 12 4 2" xfId="489" xr:uid="{00000000-0005-0000-0000-000051010000}"/>
    <cellStyle name="20% - Ênfase1 12 4 2 2" xfId="490" xr:uid="{00000000-0005-0000-0000-000052010000}"/>
    <cellStyle name="20% - Ênfase1 12 4 3" xfId="491" xr:uid="{00000000-0005-0000-0000-000053010000}"/>
    <cellStyle name="20% - Ênfase1 12 4 3 2" xfId="492" xr:uid="{00000000-0005-0000-0000-000054010000}"/>
    <cellStyle name="20% - Ênfase1 12 4 4" xfId="493" xr:uid="{00000000-0005-0000-0000-000055010000}"/>
    <cellStyle name="20% - Ênfase1 12 5" xfId="494" xr:uid="{00000000-0005-0000-0000-000056010000}"/>
    <cellStyle name="20% - Ênfase1 12 5 2" xfId="495" xr:uid="{00000000-0005-0000-0000-000057010000}"/>
    <cellStyle name="20% - Ênfase1 12 5 2 2" xfId="496" xr:uid="{00000000-0005-0000-0000-000058010000}"/>
    <cellStyle name="20% - Ênfase1 12 5 3" xfId="497" xr:uid="{00000000-0005-0000-0000-000059010000}"/>
    <cellStyle name="20% - Ênfase1 12 6" xfId="498" xr:uid="{00000000-0005-0000-0000-00005A010000}"/>
    <cellStyle name="20% - Ênfase1 12 6 2" xfId="499" xr:uid="{00000000-0005-0000-0000-00005B010000}"/>
    <cellStyle name="20% - Ênfase1 12 7" xfId="500" xr:uid="{00000000-0005-0000-0000-00005C010000}"/>
    <cellStyle name="20% - Ênfase1 13" xfId="501" xr:uid="{00000000-0005-0000-0000-00005D010000}"/>
    <cellStyle name="20% - Ênfase1 13 2" xfId="502" xr:uid="{00000000-0005-0000-0000-00005E010000}"/>
    <cellStyle name="20% - Ênfase1 13 2 2" xfId="503" xr:uid="{00000000-0005-0000-0000-00005F010000}"/>
    <cellStyle name="20% - Ênfase1 13 2 2 2" xfId="504" xr:uid="{00000000-0005-0000-0000-000060010000}"/>
    <cellStyle name="20% - Ênfase1 13 2 2 2 2" xfId="505" xr:uid="{00000000-0005-0000-0000-000061010000}"/>
    <cellStyle name="20% - Ênfase1 13 2 2 2 2 2" xfId="506" xr:uid="{00000000-0005-0000-0000-000062010000}"/>
    <cellStyle name="20% - Ênfase1 13 2 2 2 3" xfId="507" xr:uid="{00000000-0005-0000-0000-000063010000}"/>
    <cellStyle name="20% - Ênfase1 13 2 2 2 3 2" xfId="508" xr:uid="{00000000-0005-0000-0000-000064010000}"/>
    <cellStyle name="20% - Ênfase1 13 2 2 2 4" xfId="509" xr:uid="{00000000-0005-0000-0000-000065010000}"/>
    <cellStyle name="20% - Ênfase1 13 2 2 3" xfId="510" xr:uid="{00000000-0005-0000-0000-000066010000}"/>
    <cellStyle name="20% - Ênfase1 13 2 2 3 2" xfId="511" xr:uid="{00000000-0005-0000-0000-000067010000}"/>
    <cellStyle name="20% - Ênfase1 13 2 2 4" xfId="512" xr:uid="{00000000-0005-0000-0000-000068010000}"/>
    <cellStyle name="20% - Ênfase1 13 2 2 4 2" xfId="513" xr:uid="{00000000-0005-0000-0000-000069010000}"/>
    <cellStyle name="20% - Ênfase1 13 2 2 5" xfId="514" xr:uid="{00000000-0005-0000-0000-00006A010000}"/>
    <cellStyle name="20% - Ênfase1 13 2 3" xfId="515" xr:uid="{00000000-0005-0000-0000-00006B010000}"/>
    <cellStyle name="20% - Ênfase1 13 2 3 2" xfId="516" xr:uid="{00000000-0005-0000-0000-00006C010000}"/>
    <cellStyle name="20% - Ênfase1 13 2 3 2 2" xfId="517" xr:uid="{00000000-0005-0000-0000-00006D010000}"/>
    <cellStyle name="20% - Ênfase1 13 2 3 3" xfId="518" xr:uid="{00000000-0005-0000-0000-00006E010000}"/>
    <cellStyle name="20% - Ênfase1 13 2 3 3 2" xfId="519" xr:uid="{00000000-0005-0000-0000-00006F010000}"/>
    <cellStyle name="20% - Ênfase1 13 2 3 4" xfId="520" xr:uid="{00000000-0005-0000-0000-000070010000}"/>
    <cellStyle name="20% - Ênfase1 13 2 4" xfId="521" xr:uid="{00000000-0005-0000-0000-000071010000}"/>
    <cellStyle name="20% - Ênfase1 13 2 4 2" xfId="522" xr:uid="{00000000-0005-0000-0000-000072010000}"/>
    <cellStyle name="20% - Ênfase1 13 2 4 2 2" xfId="523" xr:uid="{00000000-0005-0000-0000-000073010000}"/>
    <cellStyle name="20% - Ênfase1 13 2 4 3" xfId="524" xr:uid="{00000000-0005-0000-0000-000074010000}"/>
    <cellStyle name="20% - Ênfase1 13 2 5" xfId="525" xr:uid="{00000000-0005-0000-0000-000075010000}"/>
    <cellStyle name="20% - Ênfase1 13 2 5 2" xfId="526" xr:uid="{00000000-0005-0000-0000-000076010000}"/>
    <cellStyle name="20% - Ênfase1 13 2 6" xfId="527" xr:uid="{00000000-0005-0000-0000-000077010000}"/>
    <cellStyle name="20% - Ênfase1 13 3" xfId="528" xr:uid="{00000000-0005-0000-0000-000078010000}"/>
    <cellStyle name="20% - Ênfase1 13 3 2" xfId="529" xr:uid="{00000000-0005-0000-0000-000079010000}"/>
    <cellStyle name="20% - Ênfase1 13 3 2 2" xfId="530" xr:uid="{00000000-0005-0000-0000-00007A010000}"/>
    <cellStyle name="20% - Ênfase1 13 3 2 2 2" xfId="531" xr:uid="{00000000-0005-0000-0000-00007B010000}"/>
    <cellStyle name="20% - Ênfase1 13 3 2 3" xfId="532" xr:uid="{00000000-0005-0000-0000-00007C010000}"/>
    <cellStyle name="20% - Ênfase1 13 3 2 3 2" xfId="533" xr:uid="{00000000-0005-0000-0000-00007D010000}"/>
    <cellStyle name="20% - Ênfase1 13 3 2 4" xfId="534" xr:uid="{00000000-0005-0000-0000-00007E010000}"/>
    <cellStyle name="20% - Ênfase1 13 3 3" xfId="535" xr:uid="{00000000-0005-0000-0000-00007F010000}"/>
    <cellStyle name="20% - Ênfase1 13 3 3 2" xfId="536" xr:uid="{00000000-0005-0000-0000-000080010000}"/>
    <cellStyle name="20% - Ênfase1 13 3 4" xfId="537" xr:uid="{00000000-0005-0000-0000-000081010000}"/>
    <cellStyle name="20% - Ênfase1 13 3 4 2" xfId="538" xr:uid="{00000000-0005-0000-0000-000082010000}"/>
    <cellStyle name="20% - Ênfase1 13 3 5" xfId="539" xr:uid="{00000000-0005-0000-0000-000083010000}"/>
    <cellStyle name="20% - Ênfase1 13 4" xfId="540" xr:uid="{00000000-0005-0000-0000-000084010000}"/>
    <cellStyle name="20% - Ênfase1 13 4 2" xfId="541" xr:uid="{00000000-0005-0000-0000-000085010000}"/>
    <cellStyle name="20% - Ênfase1 13 4 2 2" xfId="542" xr:uid="{00000000-0005-0000-0000-000086010000}"/>
    <cellStyle name="20% - Ênfase1 13 4 3" xfId="543" xr:uid="{00000000-0005-0000-0000-000087010000}"/>
    <cellStyle name="20% - Ênfase1 13 4 3 2" xfId="544" xr:uid="{00000000-0005-0000-0000-000088010000}"/>
    <cellStyle name="20% - Ênfase1 13 4 4" xfId="545" xr:uid="{00000000-0005-0000-0000-000089010000}"/>
    <cellStyle name="20% - Ênfase1 13 5" xfId="546" xr:uid="{00000000-0005-0000-0000-00008A010000}"/>
    <cellStyle name="20% - Ênfase1 13 5 2" xfId="547" xr:uid="{00000000-0005-0000-0000-00008B010000}"/>
    <cellStyle name="20% - Ênfase1 13 5 2 2" xfId="548" xr:uid="{00000000-0005-0000-0000-00008C010000}"/>
    <cellStyle name="20% - Ênfase1 13 5 3" xfId="549" xr:uid="{00000000-0005-0000-0000-00008D010000}"/>
    <cellStyle name="20% - Ênfase1 13 6" xfId="550" xr:uid="{00000000-0005-0000-0000-00008E010000}"/>
    <cellStyle name="20% - Ênfase1 13 6 2" xfId="551" xr:uid="{00000000-0005-0000-0000-00008F010000}"/>
    <cellStyle name="20% - Ênfase1 13 7" xfId="552" xr:uid="{00000000-0005-0000-0000-000090010000}"/>
    <cellStyle name="20% - Ênfase1 14" xfId="553" xr:uid="{00000000-0005-0000-0000-000091010000}"/>
    <cellStyle name="20% - Ênfase1 14 2" xfId="554" xr:uid="{00000000-0005-0000-0000-000092010000}"/>
    <cellStyle name="20% - Ênfase1 14 2 2" xfId="555" xr:uid="{00000000-0005-0000-0000-000093010000}"/>
    <cellStyle name="20% - Ênfase1 14 2 2 2" xfId="556" xr:uid="{00000000-0005-0000-0000-000094010000}"/>
    <cellStyle name="20% - Ênfase1 14 2 2 2 2" xfId="557" xr:uid="{00000000-0005-0000-0000-000095010000}"/>
    <cellStyle name="20% - Ênfase1 14 2 2 2 2 2" xfId="558" xr:uid="{00000000-0005-0000-0000-000096010000}"/>
    <cellStyle name="20% - Ênfase1 14 2 2 2 3" xfId="559" xr:uid="{00000000-0005-0000-0000-000097010000}"/>
    <cellStyle name="20% - Ênfase1 14 2 2 2 3 2" xfId="560" xr:uid="{00000000-0005-0000-0000-000098010000}"/>
    <cellStyle name="20% - Ênfase1 14 2 2 2 4" xfId="561" xr:uid="{00000000-0005-0000-0000-000099010000}"/>
    <cellStyle name="20% - Ênfase1 14 2 2 3" xfId="562" xr:uid="{00000000-0005-0000-0000-00009A010000}"/>
    <cellStyle name="20% - Ênfase1 14 2 2 3 2" xfId="563" xr:uid="{00000000-0005-0000-0000-00009B010000}"/>
    <cellStyle name="20% - Ênfase1 14 2 2 4" xfId="564" xr:uid="{00000000-0005-0000-0000-00009C010000}"/>
    <cellStyle name="20% - Ênfase1 14 2 2 4 2" xfId="565" xr:uid="{00000000-0005-0000-0000-00009D010000}"/>
    <cellStyle name="20% - Ênfase1 14 2 2 5" xfId="566" xr:uid="{00000000-0005-0000-0000-00009E010000}"/>
    <cellStyle name="20% - Ênfase1 14 2 3" xfId="567" xr:uid="{00000000-0005-0000-0000-00009F010000}"/>
    <cellStyle name="20% - Ênfase1 14 2 3 2" xfId="568" xr:uid="{00000000-0005-0000-0000-0000A0010000}"/>
    <cellStyle name="20% - Ênfase1 14 2 3 2 2" xfId="569" xr:uid="{00000000-0005-0000-0000-0000A1010000}"/>
    <cellStyle name="20% - Ênfase1 14 2 3 3" xfId="570" xr:uid="{00000000-0005-0000-0000-0000A2010000}"/>
    <cellStyle name="20% - Ênfase1 14 2 3 3 2" xfId="571" xr:uid="{00000000-0005-0000-0000-0000A3010000}"/>
    <cellStyle name="20% - Ênfase1 14 2 3 4" xfId="572" xr:uid="{00000000-0005-0000-0000-0000A4010000}"/>
    <cellStyle name="20% - Ênfase1 14 2 4" xfId="573" xr:uid="{00000000-0005-0000-0000-0000A5010000}"/>
    <cellStyle name="20% - Ênfase1 14 2 4 2" xfId="574" xr:uid="{00000000-0005-0000-0000-0000A6010000}"/>
    <cellStyle name="20% - Ênfase1 14 2 4 2 2" xfId="575" xr:uid="{00000000-0005-0000-0000-0000A7010000}"/>
    <cellStyle name="20% - Ênfase1 14 2 4 3" xfId="576" xr:uid="{00000000-0005-0000-0000-0000A8010000}"/>
    <cellStyle name="20% - Ênfase1 14 2 5" xfId="577" xr:uid="{00000000-0005-0000-0000-0000A9010000}"/>
    <cellStyle name="20% - Ênfase1 14 2 5 2" xfId="578" xr:uid="{00000000-0005-0000-0000-0000AA010000}"/>
    <cellStyle name="20% - Ênfase1 14 2 6" xfId="579" xr:uid="{00000000-0005-0000-0000-0000AB010000}"/>
    <cellStyle name="20% - Ênfase1 14 3" xfId="580" xr:uid="{00000000-0005-0000-0000-0000AC010000}"/>
    <cellStyle name="20% - Ênfase1 14 3 2" xfId="581" xr:uid="{00000000-0005-0000-0000-0000AD010000}"/>
    <cellStyle name="20% - Ênfase1 14 3 2 2" xfId="582" xr:uid="{00000000-0005-0000-0000-0000AE010000}"/>
    <cellStyle name="20% - Ênfase1 14 3 2 2 2" xfId="583" xr:uid="{00000000-0005-0000-0000-0000AF010000}"/>
    <cellStyle name="20% - Ênfase1 14 3 2 3" xfId="584" xr:uid="{00000000-0005-0000-0000-0000B0010000}"/>
    <cellStyle name="20% - Ênfase1 14 3 2 3 2" xfId="585" xr:uid="{00000000-0005-0000-0000-0000B1010000}"/>
    <cellStyle name="20% - Ênfase1 14 3 2 4" xfId="586" xr:uid="{00000000-0005-0000-0000-0000B2010000}"/>
    <cellStyle name="20% - Ênfase1 14 3 3" xfId="587" xr:uid="{00000000-0005-0000-0000-0000B3010000}"/>
    <cellStyle name="20% - Ênfase1 14 3 3 2" xfId="588" xr:uid="{00000000-0005-0000-0000-0000B4010000}"/>
    <cellStyle name="20% - Ênfase1 14 3 4" xfId="589" xr:uid="{00000000-0005-0000-0000-0000B5010000}"/>
    <cellStyle name="20% - Ênfase1 14 3 4 2" xfId="590" xr:uid="{00000000-0005-0000-0000-0000B6010000}"/>
    <cellStyle name="20% - Ênfase1 14 3 5" xfId="591" xr:uid="{00000000-0005-0000-0000-0000B7010000}"/>
    <cellStyle name="20% - Ênfase1 14 4" xfId="592" xr:uid="{00000000-0005-0000-0000-0000B8010000}"/>
    <cellStyle name="20% - Ênfase1 14 4 2" xfId="593" xr:uid="{00000000-0005-0000-0000-0000B9010000}"/>
    <cellStyle name="20% - Ênfase1 14 4 2 2" xfId="594" xr:uid="{00000000-0005-0000-0000-0000BA010000}"/>
    <cellStyle name="20% - Ênfase1 14 4 3" xfId="595" xr:uid="{00000000-0005-0000-0000-0000BB010000}"/>
    <cellStyle name="20% - Ênfase1 14 4 3 2" xfId="596" xr:uid="{00000000-0005-0000-0000-0000BC010000}"/>
    <cellStyle name="20% - Ênfase1 14 4 4" xfId="597" xr:uid="{00000000-0005-0000-0000-0000BD010000}"/>
    <cellStyle name="20% - Ênfase1 14 5" xfId="598" xr:uid="{00000000-0005-0000-0000-0000BE010000}"/>
    <cellStyle name="20% - Ênfase1 14 5 2" xfId="599" xr:uid="{00000000-0005-0000-0000-0000BF010000}"/>
    <cellStyle name="20% - Ênfase1 14 5 2 2" xfId="600" xr:uid="{00000000-0005-0000-0000-0000C0010000}"/>
    <cellStyle name="20% - Ênfase1 14 5 3" xfId="601" xr:uid="{00000000-0005-0000-0000-0000C1010000}"/>
    <cellStyle name="20% - Ênfase1 14 6" xfId="602" xr:uid="{00000000-0005-0000-0000-0000C2010000}"/>
    <cellStyle name="20% - Ênfase1 14 6 2" xfId="603" xr:uid="{00000000-0005-0000-0000-0000C3010000}"/>
    <cellStyle name="20% - Ênfase1 14 7" xfId="604" xr:uid="{00000000-0005-0000-0000-0000C4010000}"/>
    <cellStyle name="20% - Ênfase1 15" xfId="605" xr:uid="{00000000-0005-0000-0000-0000C5010000}"/>
    <cellStyle name="20% - Ênfase1 15 2" xfId="606" xr:uid="{00000000-0005-0000-0000-0000C6010000}"/>
    <cellStyle name="20% - Ênfase1 15 2 2" xfId="607" xr:uid="{00000000-0005-0000-0000-0000C7010000}"/>
    <cellStyle name="20% - Ênfase1 15 2 2 2" xfId="608" xr:uid="{00000000-0005-0000-0000-0000C8010000}"/>
    <cellStyle name="20% - Ênfase1 15 2 2 2 2" xfId="609" xr:uid="{00000000-0005-0000-0000-0000C9010000}"/>
    <cellStyle name="20% - Ênfase1 15 2 2 3" xfId="610" xr:uid="{00000000-0005-0000-0000-0000CA010000}"/>
    <cellStyle name="20% - Ênfase1 15 2 2 3 2" xfId="611" xr:uid="{00000000-0005-0000-0000-0000CB010000}"/>
    <cellStyle name="20% - Ênfase1 15 2 2 4" xfId="612" xr:uid="{00000000-0005-0000-0000-0000CC010000}"/>
    <cellStyle name="20% - Ênfase1 15 2 3" xfId="613" xr:uid="{00000000-0005-0000-0000-0000CD010000}"/>
    <cellStyle name="20% - Ênfase1 15 2 3 2" xfId="614" xr:uid="{00000000-0005-0000-0000-0000CE010000}"/>
    <cellStyle name="20% - Ênfase1 15 2 4" xfId="615" xr:uid="{00000000-0005-0000-0000-0000CF010000}"/>
    <cellStyle name="20% - Ênfase1 15 2 4 2" xfId="616" xr:uid="{00000000-0005-0000-0000-0000D0010000}"/>
    <cellStyle name="20% - Ênfase1 15 2 5" xfId="617" xr:uid="{00000000-0005-0000-0000-0000D1010000}"/>
    <cellStyle name="20% - Ênfase1 15 3" xfId="618" xr:uid="{00000000-0005-0000-0000-0000D2010000}"/>
    <cellStyle name="20% - Ênfase1 15 3 2" xfId="619" xr:uid="{00000000-0005-0000-0000-0000D3010000}"/>
    <cellStyle name="20% - Ênfase1 15 3 2 2" xfId="620" xr:uid="{00000000-0005-0000-0000-0000D4010000}"/>
    <cellStyle name="20% - Ênfase1 15 3 3" xfId="621" xr:uid="{00000000-0005-0000-0000-0000D5010000}"/>
    <cellStyle name="20% - Ênfase1 15 3 3 2" xfId="622" xr:uid="{00000000-0005-0000-0000-0000D6010000}"/>
    <cellStyle name="20% - Ênfase1 15 3 4" xfId="623" xr:uid="{00000000-0005-0000-0000-0000D7010000}"/>
    <cellStyle name="20% - Ênfase1 15 4" xfId="624" xr:uid="{00000000-0005-0000-0000-0000D8010000}"/>
    <cellStyle name="20% - Ênfase1 15 4 2" xfId="625" xr:uid="{00000000-0005-0000-0000-0000D9010000}"/>
    <cellStyle name="20% - Ênfase1 15 4 2 2" xfId="626" xr:uid="{00000000-0005-0000-0000-0000DA010000}"/>
    <cellStyle name="20% - Ênfase1 15 4 3" xfId="627" xr:uid="{00000000-0005-0000-0000-0000DB010000}"/>
    <cellStyle name="20% - Ênfase1 15 5" xfId="628" xr:uid="{00000000-0005-0000-0000-0000DC010000}"/>
    <cellStyle name="20% - Ênfase1 15 5 2" xfId="629" xr:uid="{00000000-0005-0000-0000-0000DD010000}"/>
    <cellStyle name="20% - Ênfase1 15 6" xfId="630" xr:uid="{00000000-0005-0000-0000-0000DE010000}"/>
    <cellStyle name="20% - Ênfase1 16" xfId="631" xr:uid="{00000000-0005-0000-0000-0000DF010000}"/>
    <cellStyle name="20% - Ênfase1 16 2" xfId="632" xr:uid="{00000000-0005-0000-0000-0000E0010000}"/>
    <cellStyle name="20% - Ênfase1 16 2 2" xfId="633" xr:uid="{00000000-0005-0000-0000-0000E1010000}"/>
    <cellStyle name="20% - Ênfase1 16 2 2 2" xfId="634" xr:uid="{00000000-0005-0000-0000-0000E2010000}"/>
    <cellStyle name="20% - Ênfase1 16 2 3" xfId="635" xr:uid="{00000000-0005-0000-0000-0000E3010000}"/>
    <cellStyle name="20% - Ênfase1 16 2 3 2" xfId="636" xr:uid="{00000000-0005-0000-0000-0000E4010000}"/>
    <cellStyle name="20% - Ênfase1 16 2 4" xfId="637" xr:uid="{00000000-0005-0000-0000-0000E5010000}"/>
    <cellStyle name="20% - Ênfase1 16 3" xfId="638" xr:uid="{00000000-0005-0000-0000-0000E6010000}"/>
    <cellStyle name="20% - Ênfase1 16 3 2" xfId="639" xr:uid="{00000000-0005-0000-0000-0000E7010000}"/>
    <cellStyle name="20% - Ênfase1 16 3 2 2" xfId="640" xr:uid="{00000000-0005-0000-0000-0000E8010000}"/>
    <cellStyle name="20% - Ênfase1 16 3 3" xfId="641" xr:uid="{00000000-0005-0000-0000-0000E9010000}"/>
    <cellStyle name="20% - Ênfase1 16 3 3 2" xfId="642" xr:uid="{00000000-0005-0000-0000-0000EA010000}"/>
    <cellStyle name="20% - Ênfase1 16 3 4" xfId="643" xr:uid="{00000000-0005-0000-0000-0000EB010000}"/>
    <cellStyle name="20% - Ênfase1 16 4" xfId="644" xr:uid="{00000000-0005-0000-0000-0000EC010000}"/>
    <cellStyle name="20% - Ênfase1 16 4 2" xfId="645" xr:uid="{00000000-0005-0000-0000-0000ED010000}"/>
    <cellStyle name="20% - Ênfase1 16 5" xfId="646" xr:uid="{00000000-0005-0000-0000-0000EE010000}"/>
    <cellStyle name="20% - Ênfase1 16 5 2" xfId="647" xr:uid="{00000000-0005-0000-0000-0000EF010000}"/>
    <cellStyle name="20% - Ênfase1 16 6" xfId="648" xr:uid="{00000000-0005-0000-0000-0000F0010000}"/>
    <cellStyle name="20% - Ênfase1 17" xfId="649" xr:uid="{00000000-0005-0000-0000-0000F1010000}"/>
    <cellStyle name="20% - Ênfase1 17 2" xfId="650" xr:uid="{00000000-0005-0000-0000-0000F2010000}"/>
    <cellStyle name="20% - Ênfase1 17 2 2" xfId="651" xr:uid="{00000000-0005-0000-0000-0000F3010000}"/>
    <cellStyle name="20% - Ênfase1 17 2 2 2" xfId="652" xr:uid="{00000000-0005-0000-0000-0000F4010000}"/>
    <cellStyle name="20% - Ênfase1 17 2 3" xfId="653" xr:uid="{00000000-0005-0000-0000-0000F5010000}"/>
    <cellStyle name="20% - Ênfase1 17 2 3 2" xfId="654" xr:uid="{00000000-0005-0000-0000-0000F6010000}"/>
    <cellStyle name="20% - Ênfase1 17 2 4" xfId="655" xr:uid="{00000000-0005-0000-0000-0000F7010000}"/>
    <cellStyle name="20% - Ênfase1 17 3" xfId="656" xr:uid="{00000000-0005-0000-0000-0000F8010000}"/>
    <cellStyle name="20% - Ênfase1 17 3 2" xfId="657" xr:uid="{00000000-0005-0000-0000-0000F9010000}"/>
    <cellStyle name="20% - Ênfase1 17 3 2 2" xfId="658" xr:uid="{00000000-0005-0000-0000-0000FA010000}"/>
    <cellStyle name="20% - Ênfase1 17 3 3" xfId="659" xr:uid="{00000000-0005-0000-0000-0000FB010000}"/>
    <cellStyle name="20% - Ênfase1 17 3 3 2" xfId="660" xr:uid="{00000000-0005-0000-0000-0000FC010000}"/>
    <cellStyle name="20% - Ênfase1 17 3 4" xfId="661" xr:uid="{00000000-0005-0000-0000-0000FD010000}"/>
    <cellStyle name="20% - Ênfase1 17 4" xfId="662" xr:uid="{00000000-0005-0000-0000-0000FE010000}"/>
    <cellStyle name="20% - Ênfase1 17 4 2" xfId="663" xr:uid="{00000000-0005-0000-0000-0000FF010000}"/>
    <cellStyle name="20% - Ênfase1 17 5" xfId="664" xr:uid="{00000000-0005-0000-0000-000000020000}"/>
    <cellStyle name="20% - Ênfase1 17 5 2" xfId="665" xr:uid="{00000000-0005-0000-0000-000001020000}"/>
    <cellStyle name="20% - Ênfase1 17 6" xfId="666" xr:uid="{00000000-0005-0000-0000-000002020000}"/>
    <cellStyle name="20% - Ênfase1 18" xfId="667" xr:uid="{00000000-0005-0000-0000-000003020000}"/>
    <cellStyle name="20% - Ênfase1 18 2" xfId="668" xr:uid="{00000000-0005-0000-0000-000004020000}"/>
    <cellStyle name="20% - Ênfase1 18 2 2" xfId="669" xr:uid="{00000000-0005-0000-0000-000005020000}"/>
    <cellStyle name="20% - Ênfase1 18 3" xfId="670" xr:uid="{00000000-0005-0000-0000-000006020000}"/>
    <cellStyle name="20% - Ênfase1 18 3 2" xfId="671" xr:uid="{00000000-0005-0000-0000-000007020000}"/>
    <cellStyle name="20% - Ênfase1 18 4" xfId="672" xr:uid="{00000000-0005-0000-0000-000008020000}"/>
    <cellStyle name="20% - Ênfase1 19" xfId="673" xr:uid="{00000000-0005-0000-0000-000009020000}"/>
    <cellStyle name="20% - Ênfase1 19 2" xfId="674" xr:uid="{00000000-0005-0000-0000-00000A020000}"/>
    <cellStyle name="20% - Ênfase1 19 2 2" xfId="675" xr:uid="{00000000-0005-0000-0000-00000B020000}"/>
    <cellStyle name="20% - Ênfase1 19 3" xfId="676" xr:uid="{00000000-0005-0000-0000-00000C020000}"/>
    <cellStyle name="20% - Ênfase1 2" xfId="677" xr:uid="{00000000-0005-0000-0000-00000D020000}"/>
    <cellStyle name="20% - Ênfase1 2 10" xfId="678" xr:uid="{00000000-0005-0000-0000-00000E020000}"/>
    <cellStyle name="20% - Ênfase1 2 10 2" xfId="679" xr:uid="{00000000-0005-0000-0000-00000F020000}"/>
    <cellStyle name="20% - Ênfase1 2 10 2 2" xfId="680" xr:uid="{00000000-0005-0000-0000-000010020000}"/>
    <cellStyle name="20% - Ênfase1 2 10 3" xfId="681" xr:uid="{00000000-0005-0000-0000-000011020000}"/>
    <cellStyle name="20% - Ênfase1 2 10 3 2" xfId="682" xr:uid="{00000000-0005-0000-0000-000012020000}"/>
    <cellStyle name="20% - Ênfase1 2 10 4" xfId="683" xr:uid="{00000000-0005-0000-0000-000013020000}"/>
    <cellStyle name="20% - Ênfase1 2 11" xfId="684" xr:uid="{00000000-0005-0000-0000-000014020000}"/>
    <cellStyle name="20% - Ênfase1 2 11 2" xfId="685" xr:uid="{00000000-0005-0000-0000-000015020000}"/>
    <cellStyle name="20% - Ênfase1 2 11 2 2" xfId="686" xr:uid="{00000000-0005-0000-0000-000016020000}"/>
    <cellStyle name="20% - Ênfase1 2 11 3" xfId="687" xr:uid="{00000000-0005-0000-0000-000017020000}"/>
    <cellStyle name="20% - Ênfase1 2 12" xfId="688" xr:uid="{00000000-0005-0000-0000-000018020000}"/>
    <cellStyle name="20% - Ênfase1 2 12 2" xfId="689" xr:uid="{00000000-0005-0000-0000-000019020000}"/>
    <cellStyle name="20% - Ênfase1 2 12 2 2" xfId="690" xr:uid="{00000000-0005-0000-0000-00001A020000}"/>
    <cellStyle name="20% - Ênfase1 2 12 3" xfId="691" xr:uid="{00000000-0005-0000-0000-00001B020000}"/>
    <cellStyle name="20% - Ênfase1 2 13" xfId="692" xr:uid="{00000000-0005-0000-0000-00001C020000}"/>
    <cellStyle name="20% - Ênfase1 2 13 2" xfId="693" xr:uid="{00000000-0005-0000-0000-00001D020000}"/>
    <cellStyle name="20% - Ênfase1 2 13 2 2" xfId="694" xr:uid="{00000000-0005-0000-0000-00001E020000}"/>
    <cellStyle name="20% - Ênfase1 2 13 3" xfId="695" xr:uid="{00000000-0005-0000-0000-00001F020000}"/>
    <cellStyle name="20% - Ênfase1 2 14" xfId="696" xr:uid="{00000000-0005-0000-0000-000020020000}"/>
    <cellStyle name="20% - Ênfase1 2 14 2" xfId="697" xr:uid="{00000000-0005-0000-0000-000021020000}"/>
    <cellStyle name="20% - Ênfase1 2 14 2 2" xfId="698" xr:uid="{00000000-0005-0000-0000-000022020000}"/>
    <cellStyle name="20% - Ênfase1 2 14 3" xfId="699" xr:uid="{00000000-0005-0000-0000-000023020000}"/>
    <cellStyle name="20% - Ênfase1 2 15" xfId="700" xr:uid="{00000000-0005-0000-0000-000024020000}"/>
    <cellStyle name="20% - Ênfase1 2 15 2" xfId="701" xr:uid="{00000000-0005-0000-0000-000025020000}"/>
    <cellStyle name="20% - Ênfase1 2 16" xfId="702" xr:uid="{00000000-0005-0000-0000-000026020000}"/>
    <cellStyle name="20% - Ênfase1 2 2" xfId="703" xr:uid="{00000000-0005-0000-0000-000027020000}"/>
    <cellStyle name="20% - Ênfase1 2 2 10" xfId="704" xr:uid="{00000000-0005-0000-0000-000028020000}"/>
    <cellStyle name="20% - Ênfase1 2 2 10 2" xfId="705" xr:uid="{00000000-0005-0000-0000-000029020000}"/>
    <cellStyle name="20% - Ênfase1 2 2 11" xfId="706" xr:uid="{00000000-0005-0000-0000-00002A020000}"/>
    <cellStyle name="20% - Ênfase1 2 2 2" xfId="707" xr:uid="{00000000-0005-0000-0000-00002B020000}"/>
    <cellStyle name="20% - Ênfase1 2 2 2 2" xfId="708" xr:uid="{00000000-0005-0000-0000-00002C020000}"/>
    <cellStyle name="20% - Ênfase1 2 2 2 2 2" xfId="709" xr:uid="{00000000-0005-0000-0000-00002D020000}"/>
    <cellStyle name="20% - Ênfase1 2 2 2 2 2 2" xfId="710" xr:uid="{00000000-0005-0000-0000-00002E020000}"/>
    <cellStyle name="20% - Ênfase1 2 2 2 2 2 2 2" xfId="711" xr:uid="{00000000-0005-0000-0000-00002F020000}"/>
    <cellStyle name="20% - Ênfase1 2 2 2 2 2 3" xfId="712" xr:uid="{00000000-0005-0000-0000-000030020000}"/>
    <cellStyle name="20% - Ênfase1 2 2 2 2 2 3 2" xfId="713" xr:uid="{00000000-0005-0000-0000-000031020000}"/>
    <cellStyle name="20% - Ênfase1 2 2 2 2 2 4" xfId="714" xr:uid="{00000000-0005-0000-0000-000032020000}"/>
    <cellStyle name="20% - Ênfase1 2 2 2 2 3" xfId="715" xr:uid="{00000000-0005-0000-0000-000033020000}"/>
    <cellStyle name="20% - Ênfase1 2 2 2 2 3 2" xfId="716" xr:uid="{00000000-0005-0000-0000-000034020000}"/>
    <cellStyle name="20% - Ênfase1 2 2 2 2 3 2 2" xfId="717" xr:uid="{00000000-0005-0000-0000-000035020000}"/>
    <cellStyle name="20% - Ênfase1 2 2 2 2 3 3" xfId="718" xr:uid="{00000000-0005-0000-0000-000036020000}"/>
    <cellStyle name="20% - Ênfase1 2 2 2 2 3 3 2" xfId="719" xr:uid="{00000000-0005-0000-0000-000037020000}"/>
    <cellStyle name="20% - Ênfase1 2 2 2 2 3 4" xfId="720" xr:uid="{00000000-0005-0000-0000-000038020000}"/>
    <cellStyle name="20% - Ênfase1 2 2 2 2 4" xfId="721" xr:uid="{00000000-0005-0000-0000-000039020000}"/>
    <cellStyle name="20% - Ênfase1 2 2 2 2 4 2" xfId="722" xr:uid="{00000000-0005-0000-0000-00003A020000}"/>
    <cellStyle name="20% - Ênfase1 2 2 2 2 5" xfId="723" xr:uid="{00000000-0005-0000-0000-00003B020000}"/>
    <cellStyle name="20% - Ênfase1 2 2 2 2 5 2" xfId="724" xr:uid="{00000000-0005-0000-0000-00003C020000}"/>
    <cellStyle name="20% - Ênfase1 2 2 2 2 6" xfId="725" xr:uid="{00000000-0005-0000-0000-00003D020000}"/>
    <cellStyle name="20% - Ênfase1 2 2 2 3" xfId="726" xr:uid="{00000000-0005-0000-0000-00003E020000}"/>
    <cellStyle name="20% - Ênfase1 2 2 2 3 2" xfId="727" xr:uid="{00000000-0005-0000-0000-00003F020000}"/>
    <cellStyle name="20% - Ênfase1 2 2 2 3 2 2" xfId="728" xr:uid="{00000000-0005-0000-0000-000040020000}"/>
    <cellStyle name="20% - Ênfase1 2 2 2 3 3" xfId="729" xr:uid="{00000000-0005-0000-0000-000041020000}"/>
    <cellStyle name="20% - Ênfase1 2 2 2 3 3 2" xfId="730" xr:uid="{00000000-0005-0000-0000-000042020000}"/>
    <cellStyle name="20% - Ênfase1 2 2 2 3 4" xfId="731" xr:uid="{00000000-0005-0000-0000-000043020000}"/>
    <cellStyle name="20% - Ênfase1 2 2 2 4" xfId="732" xr:uid="{00000000-0005-0000-0000-000044020000}"/>
    <cellStyle name="20% - Ênfase1 2 2 2 4 2" xfId="733" xr:uid="{00000000-0005-0000-0000-000045020000}"/>
    <cellStyle name="20% - Ênfase1 2 2 2 4 2 2" xfId="734" xr:uid="{00000000-0005-0000-0000-000046020000}"/>
    <cellStyle name="20% - Ênfase1 2 2 2 4 3" xfId="735" xr:uid="{00000000-0005-0000-0000-000047020000}"/>
    <cellStyle name="20% - Ênfase1 2 2 2 5" xfId="736" xr:uid="{00000000-0005-0000-0000-000048020000}"/>
    <cellStyle name="20% - Ênfase1 2 2 2 5 2" xfId="737" xr:uid="{00000000-0005-0000-0000-000049020000}"/>
    <cellStyle name="20% - Ênfase1 2 2 2 5 2 2" xfId="738" xr:uid="{00000000-0005-0000-0000-00004A020000}"/>
    <cellStyle name="20% - Ênfase1 2 2 2 5 3" xfId="739" xr:uid="{00000000-0005-0000-0000-00004B020000}"/>
    <cellStyle name="20% - Ênfase1 2 2 2 6" xfId="740" xr:uid="{00000000-0005-0000-0000-00004C020000}"/>
    <cellStyle name="20% - Ênfase1 2 2 2 6 2" xfId="741" xr:uid="{00000000-0005-0000-0000-00004D020000}"/>
    <cellStyle name="20% - Ênfase1 2 2 2 6 2 2" xfId="742" xr:uid="{00000000-0005-0000-0000-00004E020000}"/>
    <cellStyle name="20% - Ênfase1 2 2 2 6 3" xfId="743" xr:uid="{00000000-0005-0000-0000-00004F020000}"/>
    <cellStyle name="20% - Ênfase1 2 2 2 7" xfId="744" xr:uid="{00000000-0005-0000-0000-000050020000}"/>
    <cellStyle name="20% - Ênfase1 2 2 2 7 2" xfId="745" xr:uid="{00000000-0005-0000-0000-000051020000}"/>
    <cellStyle name="20% - Ênfase1 2 2 2 7 2 2" xfId="746" xr:uid="{00000000-0005-0000-0000-000052020000}"/>
    <cellStyle name="20% - Ênfase1 2 2 2 7 3" xfId="747" xr:uid="{00000000-0005-0000-0000-000053020000}"/>
    <cellStyle name="20% - Ênfase1 2 2 2 8" xfId="748" xr:uid="{00000000-0005-0000-0000-000054020000}"/>
    <cellStyle name="20% - Ênfase1 2 2 2 8 2" xfId="749" xr:uid="{00000000-0005-0000-0000-000055020000}"/>
    <cellStyle name="20% - Ênfase1 2 2 2 9" xfId="750" xr:uid="{00000000-0005-0000-0000-000056020000}"/>
    <cellStyle name="20% - Ênfase1 2 2 3" xfId="751" xr:uid="{00000000-0005-0000-0000-000057020000}"/>
    <cellStyle name="20% - Ênfase1 2 2 3 2" xfId="752" xr:uid="{00000000-0005-0000-0000-000058020000}"/>
    <cellStyle name="20% - Ênfase1 2 2 3 2 2" xfId="753" xr:uid="{00000000-0005-0000-0000-000059020000}"/>
    <cellStyle name="20% - Ênfase1 2 2 3 2 2 2" xfId="754" xr:uid="{00000000-0005-0000-0000-00005A020000}"/>
    <cellStyle name="20% - Ênfase1 2 2 3 2 3" xfId="755" xr:uid="{00000000-0005-0000-0000-00005B020000}"/>
    <cellStyle name="20% - Ênfase1 2 2 3 2 3 2" xfId="756" xr:uid="{00000000-0005-0000-0000-00005C020000}"/>
    <cellStyle name="20% - Ênfase1 2 2 3 2 4" xfId="757" xr:uid="{00000000-0005-0000-0000-00005D020000}"/>
    <cellStyle name="20% - Ênfase1 2 2 3 3" xfId="758" xr:uid="{00000000-0005-0000-0000-00005E020000}"/>
    <cellStyle name="20% - Ênfase1 2 2 3 3 2" xfId="759" xr:uid="{00000000-0005-0000-0000-00005F020000}"/>
    <cellStyle name="20% - Ênfase1 2 2 3 3 2 2" xfId="760" xr:uid="{00000000-0005-0000-0000-000060020000}"/>
    <cellStyle name="20% - Ênfase1 2 2 3 3 3" xfId="761" xr:uid="{00000000-0005-0000-0000-000061020000}"/>
    <cellStyle name="20% - Ênfase1 2 2 3 3 3 2" xfId="762" xr:uid="{00000000-0005-0000-0000-000062020000}"/>
    <cellStyle name="20% - Ênfase1 2 2 3 3 4" xfId="763" xr:uid="{00000000-0005-0000-0000-000063020000}"/>
    <cellStyle name="20% - Ênfase1 2 2 3 4" xfId="764" xr:uid="{00000000-0005-0000-0000-000064020000}"/>
    <cellStyle name="20% - Ênfase1 2 2 3 4 2" xfId="765" xr:uid="{00000000-0005-0000-0000-000065020000}"/>
    <cellStyle name="20% - Ênfase1 2 2 3 5" xfId="766" xr:uid="{00000000-0005-0000-0000-000066020000}"/>
    <cellStyle name="20% - Ênfase1 2 2 3 5 2" xfId="767" xr:uid="{00000000-0005-0000-0000-000067020000}"/>
    <cellStyle name="20% - Ênfase1 2 2 3 6" xfId="768" xr:uid="{00000000-0005-0000-0000-000068020000}"/>
    <cellStyle name="20% - Ênfase1 2 2 4" xfId="769" xr:uid="{00000000-0005-0000-0000-000069020000}"/>
    <cellStyle name="20% - Ênfase1 2 2 4 2" xfId="770" xr:uid="{00000000-0005-0000-0000-00006A020000}"/>
    <cellStyle name="20% - Ênfase1 2 2 4 2 2" xfId="771" xr:uid="{00000000-0005-0000-0000-00006B020000}"/>
    <cellStyle name="20% - Ênfase1 2 2 4 2 2 2" xfId="772" xr:uid="{00000000-0005-0000-0000-00006C020000}"/>
    <cellStyle name="20% - Ênfase1 2 2 4 2 3" xfId="773" xr:uid="{00000000-0005-0000-0000-00006D020000}"/>
    <cellStyle name="20% - Ênfase1 2 2 4 2 3 2" xfId="774" xr:uid="{00000000-0005-0000-0000-00006E020000}"/>
    <cellStyle name="20% - Ênfase1 2 2 4 2 4" xfId="775" xr:uid="{00000000-0005-0000-0000-00006F020000}"/>
    <cellStyle name="20% - Ênfase1 2 2 4 3" xfId="776" xr:uid="{00000000-0005-0000-0000-000070020000}"/>
    <cellStyle name="20% - Ênfase1 2 2 4 3 2" xfId="777" xr:uid="{00000000-0005-0000-0000-000071020000}"/>
    <cellStyle name="20% - Ênfase1 2 2 4 3 2 2" xfId="778" xr:uid="{00000000-0005-0000-0000-000072020000}"/>
    <cellStyle name="20% - Ênfase1 2 2 4 3 3" xfId="779" xr:uid="{00000000-0005-0000-0000-000073020000}"/>
    <cellStyle name="20% - Ênfase1 2 2 4 3 3 2" xfId="780" xr:uid="{00000000-0005-0000-0000-000074020000}"/>
    <cellStyle name="20% - Ênfase1 2 2 4 3 4" xfId="781" xr:uid="{00000000-0005-0000-0000-000075020000}"/>
    <cellStyle name="20% - Ênfase1 2 2 4 4" xfId="782" xr:uid="{00000000-0005-0000-0000-000076020000}"/>
    <cellStyle name="20% - Ênfase1 2 2 4 4 2" xfId="783" xr:uid="{00000000-0005-0000-0000-000077020000}"/>
    <cellStyle name="20% - Ênfase1 2 2 4 5" xfId="784" xr:uid="{00000000-0005-0000-0000-000078020000}"/>
    <cellStyle name="20% - Ênfase1 2 2 4 5 2" xfId="785" xr:uid="{00000000-0005-0000-0000-000079020000}"/>
    <cellStyle name="20% - Ênfase1 2 2 4 6" xfId="786" xr:uid="{00000000-0005-0000-0000-00007A020000}"/>
    <cellStyle name="20% - Ênfase1 2 2 5" xfId="787" xr:uid="{00000000-0005-0000-0000-00007B020000}"/>
    <cellStyle name="20% - Ênfase1 2 2 5 2" xfId="788" xr:uid="{00000000-0005-0000-0000-00007C020000}"/>
    <cellStyle name="20% - Ênfase1 2 2 5 2 2" xfId="789" xr:uid="{00000000-0005-0000-0000-00007D020000}"/>
    <cellStyle name="20% - Ênfase1 2 2 5 3" xfId="790" xr:uid="{00000000-0005-0000-0000-00007E020000}"/>
    <cellStyle name="20% - Ênfase1 2 2 5 3 2" xfId="791" xr:uid="{00000000-0005-0000-0000-00007F020000}"/>
    <cellStyle name="20% - Ênfase1 2 2 5 4" xfId="792" xr:uid="{00000000-0005-0000-0000-000080020000}"/>
    <cellStyle name="20% - Ênfase1 2 2 6" xfId="793" xr:uid="{00000000-0005-0000-0000-000081020000}"/>
    <cellStyle name="20% - Ênfase1 2 2 6 2" xfId="794" xr:uid="{00000000-0005-0000-0000-000082020000}"/>
    <cellStyle name="20% - Ênfase1 2 2 6 2 2" xfId="795" xr:uid="{00000000-0005-0000-0000-000083020000}"/>
    <cellStyle name="20% - Ênfase1 2 2 6 3" xfId="796" xr:uid="{00000000-0005-0000-0000-000084020000}"/>
    <cellStyle name="20% - Ênfase1 2 2 7" xfId="797" xr:uid="{00000000-0005-0000-0000-000085020000}"/>
    <cellStyle name="20% - Ênfase1 2 2 7 2" xfId="798" xr:uid="{00000000-0005-0000-0000-000086020000}"/>
    <cellStyle name="20% - Ênfase1 2 2 7 2 2" xfId="799" xr:uid="{00000000-0005-0000-0000-000087020000}"/>
    <cellStyle name="20% - Ênfase1 2 2 7 3" xfId="800" xr:uid="{00000000-0005-0000-0000-000088020000}"/>
    <cellStyle name="20% - Ênfase1 2 2 8" xfId="801" xr:uid="{00000000-0005-0000-0000-000089020000}"/>
    <cellStyle name="20% - Ênfase1 2 2 8 2" xfId="802" xr:uid="{00000000-0005-0000-0000-00008A020000}"/>
    <cellStyle name="20% - Ênfase1 2 2 8 2 2" xfId="803" xr:uid="{00000000-0005-0000-0000-00008B020000}"/>
    <cellStyle name="20% - Ênfase1 2 2 8 3" xfId="804" xr:uid="{00000000-0005-0000-0000-00008C020000}"/>
    <cellStyle name="20% - Ênfase1 2 2 9" xfId="805" xr:uid="{00000000-0005-0000-0000-00008D020000}"/>
    <cellStyle name="20% - Ênfase1 2 2 9 2" xfId="806" xr:uid="{00000000-0005-0000-0000-00008E020000}"/>
    <cellStyle name="20% - Ênfase1 2 2 9 2 2" xfId="807" xr:uid="{00000000-0005-0000-0000-00008F020000}"/>
    <cellStyle name="20% - Ênfase1 2 2 9 3" xfId="808" xr:uid="{00000000-0005-0000-0000-000090020000}"/>
    <cellStyle name="20% - Ênfase1 2 3" xfId="809" xr:uid="{00000000-0005-0000-0000-000091020000}"/>
    <cellStyle name="20% - Ênfase1 2 3 10" xfId="810" xr:uid="{00000000-0005-0000-0000-000092020000}"/>
    <cellStyle name="20% - Ênfase1 2 3 10 2" xfId="811" xr:uid="{00000000-0005-0000-0000-000093020000}"/>
    <cellStyle name="20% - Ênfase1 2 3 11" xfId="812" xr:uid="{00000000-0005-0000-0000-000094020000}"/>
    <cellStyle name="20% - Ênfase1 2 3 2" xfId="813" xr:uid="{00000000-0005-0000-0000-000095020000}"/>
    <cellStyle name="20% - Ênfase1 2 3 2 2" xfId="814" xr:uid="{00000000-0005-0000-0000-000096020000}"/>
    <cellStyle name="20% - Ênfase1 2 3 2 2 2" xfId="815" xr:uid="{00000000-0005-0000-0000-000097020000}"/>
    <cellStyle name="20% - Ênfase1 2 3 2 2 2 2" xfId="816" xr:uid="{00000000-0005-0000-0000-000098020000}"/>
    <cellStyle name="20% - Ênfase1 2 3 2 2 2 2 2" xfId="817" xr:uid="{00000000-0005-0000-0000-000099020000}"/>
    <cellStyle name="20% - Ênfase1 2 3 2 2 2 3" xfId="818" xr:uid="{00000000-0005-0000-0000-00009A020000}"/>
    <cellStyle name="20% - Ênfase1 2 3 2 2 2 3 2" xfId="819" xr:uid="{00000000-0005-0000-0000-00009B020000}"/>
    <cellStyle name="20% - Ênfase1 2 3 2 2 2 4" xfId="820" xr:uid="{00000000-0005-0000-0000-00009C020000}"/>
    <cellStyle name="20% - Ênfase1 2 3 2 2 3" xfId="821" xr:uid="{00000000-0005-0000-0000-00009D020000}"/>
    <cellStyle name="20% - Ênfase1 2 3 2 2 3 2" xfId="822" xr:uid="{00000000-0005-0000-0000-00009E020000}"/>
    <cellStyle name="20% - Ênfase1 2 3 2 2 3 2 2" xfId="823" xr:uid="{00000000-0005-0000-0000-00009F020000}"/>
    <cellStyle name="20% - Ênfase1 2 3 2 2 3 3" xfId="824" xr:uid="{00000000-0005-0000-0000-0000A0020000}"/>
    <cellStyle name="20% - Ênfase1 2 3 2 2 3 3 2" xfId="825" xr:uid="{00000000-0005-0000-0000-0000A1020000}"/>
    <cellStyle name="20% - Ênfase1 2 3 2 2 3 4" xfId="826" xr:uid="{00000000-0005-0000-0000-0000A2020000}"/>
    <cellStyle name="20% - Ênfase1 2 3 2 2 4" xfId="827" xr:uid="{00000000-0005-0000-0000-0000A3020000}"/>
    <cellStyle name="20% - Ênfase1 2 3 2 2 4 2" xfId="828" xr:uid="{00000000-0005-0000-0000-0000A4020000}"/>
    <cellStyle name="20% - Ênfase1 2 3 2 2 5" xfId="829" xr:uid="{00000000-0005-0000-0000-0000A5020000}"/>
    <cellStyle name="20% - Ênfase1 2 3 2 2 5 2" xfId="830" xr:uid="{00000000-0005-0000-0000-0000A6020000}"/>
    <cellStyle name="20% - Ênfase1 2 3 2 2 6" xfId="831" xr:uid="{00000000-0005-0000-0000-0000A7020000}"/>
    <cellStyle name="20% - Ênfase1 2 3 2 3" xfId="832" xr:uid="{00000000-0005-0000-0000-0000A8020000}"/>
    <cellStyle name="20% - Ênfase1 2 3 2 3 2" xfId="833" xr:uid="{00000000-0005-0000-0000-0000A9020000}"/>
    <cellStyle name="20% - Ênfase1 2 3 2 3 2 2" xfId="834" xr:uid="{00000000-0005-0000-0000-0000AA020000}"/>
    <cellStyle name="20% - Ênfase1 2 3 2 3 3" xfId="835" xr:uid="{00000000-0005-0000-0000-0000AB020000}"/>
    <cellStyle name="20% - Ênfase1 2 3 2 3 3 2" xfId="836" xr:uid="{00000000-0005-0000-0000-0000AC020000}"/>
    <cellStyle name="20% - Ênfase1 2 3 2 3 4" xfId="837" xr:uid="{00000000-0005-0000-0000-0000AD020000}"/>
    <cellStyle name="20% - Ênfase1 2 3 2 4" xfId="838" xr:uid="{00000000-0005-0000-0000-0000AE020000}"/>
    <cellStyle name="20% - Ênfase1 2 3 2 4 2" xfId="839" xr:uid="{00000000-0005-0000-0000-0000AF020000}"/>
    <cellStyle name="20% - Ênfase1 2 3 2 4 2 2" xfId="840" xr:uid="{00000000-0005-0000-0000-0000B0020000}"/>
    <cellStyle name="20% - Ênfase1 2 3 2 4 3" xfId="841" xr:uid="{00000000-0005-0000-0000-0000B1020000}"/>
    <cellStyle name="20% - Ênfase1 2 3 2 5" xfId="842" xr:uid="{00000000-0005-0000-0000-0000B2020000}"/>
    <cellStyle name="20% - Ênfase1 2 3 2 5 2" xfId="843" xr:uid="{00000000-0005-0000-0000-0000B3020000}"/>
    <cellStyle name="20% - Ênfase1 2 3 2 5 2 2" xfId="844" xr:uid="{00000000-0005-0000-0000-0000B4020000}"/>
    <cellStyle name="20% - Ênfase1 2 3 2 5 3" xfId="845" xr:uid="{00000000-0005-0000-0000-0000B5020000}"/>
    <cellStyle name="20% - Ênfase1 2 3 2 6" xfId="846" xr:uid="{00000000-0005-0000-0000-0000B6020000}"/>
    <cellStyle name="20% - Ênfase1 2 3 2 6 2" xfId="847" xr:uid="{00000000-0005-0000-0000-0000B7020000}"/>
    <cellStyle name="20% - Ênfase1 2 3 2 6 2 2" xfId="848" xr:uid="{00000000-0005-0000-0000-0000B8020000}"/>
    <cellStyle name="20% - Ênfase1 2 3 2 6 3" xfId="849" xr:uid="{00000000-0005-0000-0000-0000B9020000}"/>
    <cellStyle name="20% - Ênfase1 2 3 2 7" xfId="850" xr:uid="{00000000-0005-0000-0000-0000BA020000}"/>
    <cellStyle name="20% - Ênfase1 2 3 2 7 2" xfId="851" xr:uid="{00000000-0005-0000-0000-0000BB020000}"/>
    <cellStyle name="20% - Ênfase1 2 3 2 7 2 2" xfId="852" xr:uid="{00000000-0005-0000-0000-0000BC020000}"/>
    <cellStyle name="20% - Ênfase1 2 3 2 7 3" xfId="853" xr:uid="{00000000-0005-0000-0000-0000BD020000}"/>
    <cellStyle name="20% - Ênfase1 2 3 2 8" xfId="854" xr:uid="{00000000-0005-0000-0000-0000BE020000}"/>
    <cellStyle name="20% - Ênfase1 2 3 2 8 2" xfId="855" xr:uid="{00000000-0005-0000-0000-0000BF020000}"/>
    <cellStyle name="20% - Ênfase1 2 3 2 9" xfId="856" xr:uid="{00000000-0005-0000-0000-0000C0020000}"/>
    <cellStyle name="20% - Ênfase1 2 3 3" xfId="857" xr:uid="{00000000-0005-0000-0000-0000C1020000}"/>
    <cellStyle name="20% - Ênfase1 2 3 3 2" xfId="858" xr:uid="{00000000-0005-0000-0000-0000C2020000}"/>
    <cellStyle name="20% - Ênfase1 2 3 3 2 2" xfId="859" xr:uid="{00000000-0005-0000-0000-0000C3020000}"/>
    <cellStyle name="20% - Ênfase1 2 3 3 2 2 2" xfId="860" xr:uid="{00000000-0005-0000-0000-0000C4020000}"/>
    <cellStyle name="20% - Ênfase1 2 3 3 2 3" xfId="861" xr:uid="{00000000-0005-0000-0000-0000C5020000}"/>
    <cellStyle name="20% - Ênfase1 2 3 3 2 3 2" xfId="862" xr:uid="{00000000-0005-0000-0000-0000C6020000}"/>
    <cellStyle name="20% - Ênfase1 2 3 3 2 4" xfId="863" xr:uid="{00000000-0005-0000-0000-0000C7020000}"/>
    <cellStyle name="20% - Ênfase1 2 3 3 3" xfId="864" xr:uid="{00000000-0005-0000-0000-0000C8020000}"/>
    <cellStyle name="20% - Ênfase1 2 3 3 3 2" xfId="865" xr:uid="{00000000-0005-0000-0000-0000C9020000}"/>
    <cellStyle name="20% - Ênfase1 2 3 3 3 2 2" xfId="866" xr:uid="{00000000-0005-0000-0000-0000CA020000}"/>
    <cellStyle name="20% - Ênfase1 2 3 3 3 3" xfId="867" xr:uid="{00000000-0005-0000-0000-0000CB020000}"/>
    <cellStyle name="20% - Ênfase1 2 3 3 3 3 2" xfId="868" xr:uid="{00000000-0005-0000-0000-0000CC020000}"/>
    <cellStyle name="20% - Ênfase1 2 3 3 3 4" xfId="869" xr:uid="{00000000-0005-0000-0000-0000CD020000}"/>
    <cellStyle name="20% - Ênfase1 2 3 3 4" xfId="870" xr:uid="{00000000-0005-0000-0000-0000CE020000}"/>
    <cellStyle name="20% - Ênfase1 2 3 3 4 2" xfId="871" xr:uid="{00000000-0005-0000-0000-0000CF020000}"/>
    <cellStyle name="20% - Ênfase1 2 3 3 5" xfId="872" xr:uid="{00000000-0005-0000-0000-0000D0020000}"/>
    <cellStyle name="20% - Ênfase1 2 3 3 5 2" xfId="873" xr:uid="{00000000-0005-0000-0000-0000D1020000}"/>
    <cellStyle name="20% - Ênfase1 2 3 3 6" xfId="874" xr:uid="{00000000-0005-0000-0000-0000D2020000}"/>
    <cellStyle name="20% - Ênfase1 2 3 4" xfId="875" xr:uid="{00000000-0005-0000-0000-0000D3020000}"/>
    <cellStyle name="20% - Ênfase1 2 3 4 2" xfId="876" xr:uid="{00000000-0005-0000-0000-0000D4020000}"/>
    <cellStyle name="20% - Ênfase1 2 3 4 2 2" xfId="877" xr:uid="{00000000-0005-0000-0000-0000D5020000}"/>
    <cellStyle name="20% - Ênfase1 2 3 4 2 2 2" xfId="878" xr:uid="{00000000-0005-0000-0000-0000D6020000}"/>
    <cellStyle name="20% - Ênfase1 2 3 4 2 3" xfId="879" xr:uid="{00000000-0005-0000-0000-0000D7020000}"/>
    <cellStyle name="20% - Ênfase1 2 3 4 2 3 2" xfId="880" xr:uid="{00000000-0005-0000-0000-0000D8020000}"/>
    <cellStyle name="20% - Ênfase1 2 3 4 2 4" xfId="881" xr:uid="{00000000-0005-0000-0000-0000D9020000}"/>
    <cellStyle name="20% - Ênfase1 2 3 4 3" xfId="882" xr:uid="{00000000-0005-0000-0000-0000DA020000}"/>
    <cellStyle name="20% - Ênfase1 2 3 4 3 2" xfId="883" xr:uid="{00000000-0005-0000-0000-0000DB020000}"/>
    <cellStyle name="20% - Ênfase1 2 3 4 3 2 2" xfId="884" xr:uid="{00000000-0005-0000-0000-0000DC020000}"/>
    <cellStyle name="20% - Ênfase1 2 3 4 3 3" xfId="885" xr:uid="{00000000-0005-0000-0000-0000DD020000}"/>
    <cellStyle name="20% - Ênfase1 2 3 4 3 3 2" xfId="886" xr:uid="{00000000-0005-0000-0000-0000DE020000}"/>
    <cellStyle name="20% - Ênfase1 2 3 4 3 4" xfId="887" xr:uid="{00000000-0005-0000-0000-0000DF020000}"/>
    <cellStyle name="20% - Ênfase1 2 3 4 4" xfId="888" xr:uid="{00000000-0005-0000-0000-0000E0020000}"/>
    <cellStyle name="20% - Ênfase1 2 3 4 4 2" xfId="889" xr:uid="{00000000-0005-0000-0000-0000E1020000}"/>
    <cellStyle name="20% - Ênfase1 2 3 4 5" xfId="890" xr:uid="{00000000-0005-0000-0000-0000E2020000}"/>
    <cellStyle name="20% - Ênfase1 2 3 4 5 2" xfId="891" xr:uid="{00000000-0005-0000-0000-0000E3020000}"/>
    <cellStyle name="20% - Ênfase1 2 3 4 6" xfId="892" xr:uid="{00000000-0005-0000-0000-0000E4020000}"/>
    <cellStyle name="20% - Ênfase1 2 3 5" xfId="893" xr:uid="{00000000-0005-0000-0000-0000E5020000}"/>
    <cellStyle name="20% - Ênfase1 2 3 5 2" xfId="894" xr:uid="{00000000-0005-0000-0000-0000E6020000}"/>
    <cellStyle name="20% - Ênfase1 2 3 5 2 2" xfId="895" xr:uid="{00000000-0005-0000-0000-0000E7020000}"/>
    <cellStyle name="20% - Ênfase1 2 3 5 3" xfId="896" xr:uid="{00000000-0005-0000-0000-0000E8020000}"/>
    <cellStyle name="20% - Ênfase1 2 3 5 3 2" xfId="897" xr:uid="{00000000-0005-0000-0000-0000E9020000}"/>
    <cellStyle name="20% - Ênfase1 2 3 5 4" xfId="898" xr:uid="{00000000-0005-0000-0000-0000EA020000}"/>
    <cellStyle name="20% - Ênfase1 2 3 6" xfId="899" xr:uid="{00000000-0005-0000-0000-0000EB020000}"/>
    <cellStyle name="20% - Ênfase1 2 3 6 2" xfId="900" xr:uid="{00000000-0005-0000-0000-0000EC020000}"/>
    <cellStyle name="20% - Ênfase1 2 3 6 2 2" xfId="901" xr:uid="{00000000-0005-0000-0000-0000ED020000}"/>
    <cellStyle name="20% - Ênfase1 2 3 6 3" xfId="902" xr:uid="{00000000-0005-0000-0000-0000EE020000}"/>
    <cellStyle name="20% - Ênfase1 2 3 7" xfId="903" xr:uid="{00000000-0005-0000-0000-0000EF020000}"/>
    <cellStyle name="20% - Ênfase1 2 3 7 2" xfId="904" xr:uid="{00000000-0005-0000-0000-0000F0020000}"/>
    <cellStyle name="20% - Ênfase1 2 3 7 2 2" xfId="905" xr:uid="{00000000-0005-0000-0000-0000F1020000}"/>
    <cellStyle name="20% - Ênfase1 2 3 7 3" xfId="906" xr:uid="{00000000-0005-0000-0000-0000F2020000}"/>
    <cellStyle name="20% - Ênfase1 2 3 8" xfId="907" xr:uid="{00000000-0005-0000-0000-0000F3020000}"/>
    <cellStyle name="20% - Ênfase1 2 3 8 2" xfId="908" xr:uid="{00000000-0005-0000-0000-0000F4020000}"/>
    <cellStyle name="20% - Ênfase1 2 3 8 2 2" xfId="909" xr:uid="{00000000-0005-0000-0000-0000F5020000}"/>
    <cellStyle name="20% - Ênfase1 2 3 8 3" xfId="910" xr:uid="{00000000-0005-0000-0000-0000F6020000}"/>
    <cellStyle name="20% - Ênfase1 2 3 9" xfId="911" xr:uid="{00000000-0005-0000-0000-0000F7020000}"/>
    <cellStyle name="20% - Ênfase1 2 3 9 2" xfId="912" xr:uid="{00000000-0005-0000-0000-0000F8020000}"/>
    <cellStyle name="20% - Ênfase1 2 3 9 2 2" xfId="913" xr:uid="{00000000-0005-0000-0000-0000F9020000}"/>
    <cellStyle name="20% - Ênfase1 2 3 9 3" xfId="914" xr:uid="{00000000-0005-0000-0000-0000FA020000}"/>
    <cellStyle name="20% - Ênfase1 2 4" xfId="915" xr:uid="{00000000-0005-0000-0000-0000FB020000}"/>
    <cellStyle name="20% - Ênfase1 2 4 10" xfId="916" xr:uid="{00000000-0005-0000-0000-0000FC020000}"/>
    <cellStyle name="20% - Ênfase1 2 4 2" xfId="917" xr:uid="{00000000-0005-0000-0000-0000FD020000}"/>
    <cellStyle name="20% - Ênfase1 2 4 2 2" xfId="918" xr:uid="{00000000-0005-0000-0000-0000FE020000}"/>
    <cellStyle name="20% - Ênfase1 2 4 2 2 2" xfId="919" xr:uid="{00000000-0005-0000-0000-0000FF020000}"/>
    <cellStyle name="20% - Ênfase1 2 4 2 2 2 2" xfId="920" xr:uid="{00000000-0005-0000-0000-000000030000}"/>
    <cellStyle name="20% - Ênfase1 2 4 2 2 2 2 2" xfId="921" xr:uid="{00000000-0005-0000-0000-000001030000}"/>
    <cellStyle name="20% - Ênfase1 2 4 2 2 2 3" xfId="922" xr:uid="{00000000-0005-0000-0000-000002030000}"/>
    <cellStyle name="20% - Ênfase1 2 4 2 2 2 3 2" xfId="923" xr:uid="{00000000-0005-0000-0000-000003030000}"/>
    <cellStyle name="20% - Ênfase1 2 4 2 2 2 4" xfId="924" xr:uid="{00000000-0005-0000-0000-000004030000}"/>
    <cellStyle name="20% - Ênfase1 2 4 2 2 3" xfId="925" xr:uid="{00000000-0005-0000-0000-000005030000}"/>
    <cellStyle name="20% - Ênfase1 2 4 2 2 3 2" xfId="926" xr:uid="{00000000-0005-0000-0000-000006030000}"/>
    <cellStyle name="20% - Ênfase1 2 4 2 2 4" xfId="927" xr:uid="{00000000-0005-0000-0000-000007030000}"/>
    <cellStyle name="20% - Ênfase1 2 4 2 2 4 2" xfId="928" xr:uid="{00000000-0005-0000-0000-000008030000}"/>
    <cellStyle name="20% - Ênfase1 2 4 2 2 5" xfId="929" xr:uid="{00000000-0005-0000-0000-000009030000}"/>
    <cellStyle name="20% - Ênfase1 2 4 2 3" xfId="930" xr:uid="{00000000-0005-0000-0000-00000A030000}"/>
    <cellStyle name="20% - Ênfase1 2 4 2 3 2" xfId="931" xr:uid="{00000000-0005-0000-0000-00000B030000}"/>
    <cellStyle name="20% - Ênfase1 2 4 2 3 2 2" xfId="932" xr:uid="{00000000-0005-0000-0000-00000C030000}"/>
    <cellStyle name="20% - Ênfase1 2 4 2 3 3" xfId="933" xr:uid="{00000000-0005-0000-0000-00000D030000}"/>
    <cellStyle name="20% - Ênfase1 2 4 2 3 3 2" xfId="934" xr:uid="{00000000-0005-0000-0000-00000E030000}"/>
    <cellStyle name="20% - Ênfase1 2 4 2 3 4" xfId="935" xr:uid="{00000000-0005-0000-0000-00000F030000}"/>
    <cellStyle name="20% - Ênfase1 2 4 2 4" xfId="936" xr:uid="{00000000-0005-0000-0000-000010030000}"/>
    <cellStyle name="20% - Ênfase1 2 4 2 4 2" xfId="937" xr:uid="{00000000-0005-0000-0000-000011030000}"/>
    <cellStyle name="20% - Ênfase1 2 4 2 4 2 2" xfId="938" xr:uid="{00000000-0005-0000-0000-000012030000}"/>
    <cellStyle name="20% - Ênfase1 2 4 2 4 3" xfId="939" xr:uid="{00000000-0005-0000-0000-000013030000}"/>
    <cellStyle name="20% - Ênfase1 2 4 2 5" xfId="940" xr:uid="{00000000-0005-0000-0000-000014030000}"/>
    <cellStyle name="20% - Ênfase1 2 4 2 5 2" xfId="941" xr:uid="{00000000-0005-0000-0000-000015030000}"/>
    <cellStyle name="20% - Ênfase1 2 4 2 6" xfId="942" xr:uid="{00000000-0005-0000-0000-000016030000}"/>
    <cellStyle name="20% - Ênfase1 2 4 3" xfId="943" xr:uid="{00000000-0005-0000-0000-000017030000}"/>
    <cellStyle name="20% - Ênfase1 2 4 3 2" xfId="944" xr:uid="{00000000-0005-0000-0000-000018030000}"/>
    <cellStyle name="20% - Ênfase1 2 4 3 2 2" xfId="945" xr:uid="{00000000-0005-0000-0000-000019030000}"/>
    <cellStyle name="20% - Ênfase1 2 4 3 2 2 2" xfId="946" xr:uid="{00000000-0005-0000-0000-00001A030000}"/>
    <cellStyle name="20% - Ênfase1 2 4 3 2 3" xfId="947" xr:uid="{00000000-0005-0000-0000-00001B030000}"/>
    <cellStyle name="20% - Ênfase1 2 4 3 2 3 2" xfId="948" xr:uid="{00000000-0005-0000-0000-00001C030000}"/>
    <cellStyle name="20% - Ênfase1 2 4 3 2 4" xfId="949" xr:uid="{00000000-0005-0000-0000-00001D030000}"/>
    <cellStyle name="20% - Ênfase1 2 4 3 3" xfId="950" xr:uid="{00000000-0005-0000-0000-00001E030000}"/>
    <cellStyle name="20% - Ênfase1 2 4 3 3 2" xfId="951" xr:uid="{00000000-0005-0000-0000-00001F030000}"/>
    <cellStyle name="20% - Ênfase1 2 4 3 3 2 2" xfId="952" xr:uid="{00000000-0005-0000-0000-000020030000}"/>
    <cellStyle name="20% - Ênfase1 2 4 3 3 3" xfId="953" xr:uid="{00000000-0005-0000-0000-000021030000}"/>
    <cellStyle name="20% - Ênfase1 2 4 3 3 3 2" xfId="954" xr:uid="{00000000-0005-0000-0000-000022030000}"/>
    <cellStyle name="20% - Ênfase1 2 4 3 3 4" xfId="955" xr:uid="{00000000-0005-0000-0000-000023030000}"/>
    <cellStyle name="20% - Ênfase1 2 4 3 4" xfId="956" xr:uid="{00000000-0005-0000-0000-000024030000}"/>
    <cellStyle name="20% - Ênfase1 2 4 3 4 2" xfId="957" xr:uid="{00000000-0005-0000-0000-000025030000}"/>
    <cellStyle name="20% - Ênfase1 2 4 3 5" xfId="958" xr:uid="{00000000-0005-0000-0000-000026030000}"/>
    <cellStyle name="20% - Ênfase1 2 4 3 5 2" xfId="959" xr:uid="{00000000-0005-0000-0000-000027030000}"/>
    <cellStyle name="20% - Ênfase1 2 4 3 6" xfId="960" xr:uid="{00000000-0005-0000-0000-000028030000}"/>
    <cellStyle name="20% - Ênfase1 2 4 4" xfId="961" xr:uid="{00000000-0005-0000-0000-000029030000}"/>
    <cellStyle name="20% - Ênfase1 2 4 4 2" xfId="962" xr:uid="{00000000-0005-0000-0000-00002A030000}"/>
    <cellStyle name="20% - Ênfase1 2 4 4 2 2" xfId="963" xr:uid="{00000000-0005-0000-0000-00002B030000}"/>
    <cellStyle name="20% - Ênfase1 2 4 4 3" xfId="964" xr:uid="{00000000-0005-0000-0000-00002C030000}"/>
    <cellStyle name="20% - Ênfase1 2 4 4 3 2" xfId="965" xr:uid="{00000000-0005-0000-0000-00002D030000}"/>
    <cellStyle name="20% - Ênfase1 2 4 4 4" xfId="966" xr:uid="{00000000-0005-0000-0000-00002E030000}"/>
    <cellStyle name="20% - Ênfase1 2 4 5" xfId="967" xr:uid="{00000000-0005-0000-0000-00002F030000}"/>
    <cellStyle name="20% - Ênfase1 2 4 5 2" xfId="968" xr:uid="{00000000-0005-0000-0000-000030030000}"/>
    <cellStyle name="20% - Ênfase1 2 4 5 2 2" xfId="969" xr:uid="{00000000-0005-0000-0000-000031030000}"/>
    <cellStyle name="20% - Ênfase1 2 4 5 3" xfId="970" xr:uid="{00000000-0005-0000-0000-000032030000}"/>
    <cellStyle name="20% - Ênfase1 2 4 6" xfId="971" xr:uid="{00000000-0005-0000-0000-000033030000}"/>
    <cellStyle name="20% - Ênfase1 2 4 6 2" xfId="972" xr:uid="{00000000-0005-0000-0000-000034030000}"/>
    <cellStyle name="20% - Ênfase1 2 4 6 2 2" xfId="973" xr:uid="{00000000-0005-0000-0000-000035030000}"/>
    <cellStyle name="20% - Ênfase1 2 4 6 3" xfId="974" xr:uid="{00000000-0005-0000-0000-000036030000}"/>
    <cellStyle name="20% - Ênfase1 2 4 7" xfId="975" xr:uid="{00000000-0005-0000-0000-000037030000}"/>
    <cellStyle name="20% - Ênfase1 2 4 7 2" xfId="976" xr:uid="{00000000-0005-0000-0000-000038030000}"/>
    <cellStyle name="20% - Ênfase1 2 4 7 2 2" xfId="977" xr:uid="{00000000-0005-0000-0000-000039030000}"/>
    <cellStyle name="20% - Ênfase1 2 4 7 3" xfId="978" xr:uid="{00000000-0005-0000-0000-00003A030000}"/>
    <cellStyle name="20% - Ênfase1 2 4 8" xfId="979" xr:uid="{00000000-0005-0000-0000-00003B030000}"/>
    <cellStyle name="20% - Ênfase1 2 4 8 2" xfId="980" xr:uid="{00000000-0005-0000-0000-00003C030000}"/>
    <cellStyle name="20% - Ênfase1 2 4 8 2 2" xfId="981" xr:uid="{00000000-0005-0000-0000-00003D030000}"/>
    <cellStyle name="20% - Ênfase1 2 4 8 3" xfId="982" xr:uid="{00000000-0005-0000-0000-00003E030000}"/>
    <cellStyle name="20% - Ênfase1 2 4 9" xfId="983" xr:uid="{00000000-0005-0000-0000-00003F030000}"/>
    <cellStyle name="20% - Ênfase1 2 4 9 2" xfId="984" xr:uid="{00000000-0005-0000-0000-000040030000}"/>
    <cellStyle name="20% - Ênfase1 2 5" xfId="985" xr:uid="{00000000-0005-0000-0000-000041030000}"/>
    <cellStyle name="20% - Ênfase1 2 5 2" xfId="986" xr:uid="{00000000-0005-0000-0000-000042030000}"/>
    <cellStyle name="20% - Ênfase1 2 5 2 2" xfId="987" xr:uid="{00000000-0005-0000-0000-000043030000}"/>
    <cellStyle name="20% - Ênfase1 2 5 2 2 2" xfId="988" xr:uid="{00000000-0005-0000-0000-000044030000}"/>
    <cellStyle name="20% - Ênfase1 2 5 2 2 2 2" xfId="989" xr:uid="{00000000-0005-0000-0000-000045030000}"/>
    <cellStyle name="20% - Ênfase1 2 5 2 2 2 2 2" xfId="990" xr:uid="{00000000-0005-0000-0000-000046030000}"/>
    <cellStyle name="20% - Ênfase1 2 5 2 2 2 3" xfId="991" xr:uid="{00000000-0005-0000-0000-000047030000}"/>
    <cellStyle name="20% - Ênfase1 2 5 2 2 2 3 2" xfId="992" xr:uid="{00000000-0005-0000-0000-000048030000}"/>
    <cellStyle name="20% - Ênfase1 2 5 2 2 2 4" xfId="993" xr:uid="{00000000-0005-0000-0000-000049030000}"/>
    <cellStyle name="20% - Ênfase1 2 5 2 2 3" xfId="994" xr:uid="{00000000-0005-0000-0000-00004A030000}"/>
    <cellStyle name="20% - Ênfase1 2 5 2 2 3 2" xfId="995" xr:uid="{00000000-0005-0000-0000-00004B030000}"/>
    <cellStyle name="20% - Ênfase1 2 5 2 2 4" xfId="996" xr:uid="{00000000-0005-0000-0000-00004C030000}"/>
    <cellStyle name="20% - Ênfase1 2 5 2 2 4 2" xfId="997" xr:uid="{00000000-0005-0000-0000-00004D030000}"/>
    <cellStyle name="20% - Ênfase1 2 5 2 2 5" xfId="998" xr:uid="{00000000-0005-0000-0000-00004E030000}"/>
    <cellStyle name="20% - Ênfase1 2 5 2 3" xfId="999" xr:uid="{00000000-0005-0000-0000-00004F030000}"/>
    <cellStyle name="20% - Ênfase1 2 5 2 3 2" xfId="1000" xr:uid="{00000000-0005-0000-0000-000050030000}"/>
    <cellStyle name="20% - Ênfase1 2 5 2 3 2 2" xfId="1001" xr:uid="{00000000-0005-0000-0000-000051030000}"/>
    <cellStyle name="20% - Ênfase1 2 5 2 3 3" xfId="1002" xr:uid="{00000000-0005-0000-0000-000052030000}"/>
    <cellStyle name="20% - Ênfase1 2 5 2 3 3 2" xfId="1003" xr:uid="{00000000-0005-0000-0000-000053030000}"/>
    <cellStyle name="20% - Ênfase1 2 5 2 3 4" xfId="1004" xr:uid="{00000000-0005-0000-0000-000054030000}"/>
    <cellStyle name="20% - Ênfase1 2 5 2 4" xfId="1005" xr:uid="{00000000-0005-0000-0000-000055030000}"/>
    <cellStyle name="20% - Ênfase1 2 5 2 4 2" xfId="1006" xr:uid="{00000000-0005-0000-0000-000056030000}"/>
    <cellStyle name="20% - Ênfase1 2 5 2 4 2 2" xfId="1007" xr:uid="{00000000-0005-0000-0000-000057030000}"/>
    <cellStyle name="20% - Ênfase1 2 5 2 4 3" xfId="1008" xr:uid="{00000000-0005-0000-0000-000058030000}"/>
    <cellStyle name="20% - Ênfase1 2 5 2 5" xfId="1009" xr:uid="{00000000-0005-0000-0000-000059030000}"/>
    <cellStyle name="20% - Ênfase1 2 5 2 5 2" xfId="1010" xr:uid="{00000000-0005-0000-0000-00005A030000}"/>
    <cellStyle name="20% - Ênfase1 2 5 2 6" xfId="1011" xr:uid="{00000000-0005-0000-0000-00005B030000}"/>
    <cellStyle name="20% - Ênfase1 2 5 3" xfId="1012" xr:uid="{00000000-0005-0000-0000-00005C030000}"/>
    <cellStyle name="20% - Ênfase1 2 5 3 2" xfId="1013" xr:uid="{00000000-0005-0000-0000-00005D030000}"/>
    <cellStyle name="20% - Ênfase1 2 5 3 2 2" xfId="1014" xr:uid="{00000000-0005-0000-0000-00005E030000}"/>
    <cellStyle name="20% - Ênfase1 2 5 3 2 2 2" xfId="1015" xr:uid="{00000000-0005-0000-0000-00005F030000}"/>
    <cellStyle name="20% - Ênfase1 2 5 3 2 3" xfId="1016" xr:uid="{00000000-0005-0000-0000-000060030000}"/>
    <cellStyle name="20% - Ênfase1 2 5 3 2 3 2" xfId="1017" xr:uid="{00000000-0005-0000-0000-000061030000}"/>
    <cellStyle name="20% - Ênfase1 2 5 3 2 4" xfId="1018" xr:uid="{00000000-0005-0000-0000-000062030000}"/>
    <cellStyle name="20% - Ênfase1 2 5 3 3" xfId="1019" xr:uid="{00000000-0005-0000-0000-000063030000}"/>
    <cellStyle name="20% - Ênfase1 2 5 3 3 2" xfId="1020" xr:uid="{00000000-0005-0000-0000-000064030000}"/>
    <cellStyle name="20% - Ênfase1 2 5 3 4" xfId="1021" xr:uid="{00000000-0005-0000-0000-000065030000}"/>
    <cellStyle name="20% - Ênfase1 2 5 3 4 2" xfId="1022" xr:uid="{00000000-0005-0000-0000-000066030000}"/>
    <cellStyle name="20% - Ênfase1 2 5 3 5" xfId="1023" xr:uid="{00000000-0005-0000-0000-000067030000}"/>
    <cellStyle name="20% - Ênfase1 2 5 4" xfId="1024" xr:uid="{00000000-0005-0000-0000-000068030000}"/>
    <cellStyle name="20% - Ênfase1 2 5 4 2" xfId="1025" xr:uid="{00000000-0005-0000-0000-000069030000}"/>
    <cellStyle name="20% - Ênfase1 2 5 4 2 2" xfId="1026" xr:uid="{00000000-0005-0000-0000-00006A030000}"/>
    <cellStyle name="20% - Ênfase1 2 5 4 3" xfId="1027" xr:uid="{00000000-0005-0000-0000-00006B030000}"/>
    <cellStyle name="20% - Ênfase1 2 5 4 3 2" xfId="1028" xr:uid="{00000000-0005-0000-0000-00006C030000}"/>
    <cellStyle name="20% - Ênfase1 2 5 4 4" xfId="1029" xr:uid="{00000000-0005-0000-0000-00006D030000}"/>
    <cellStyle name="20% - Ênfase1 2 5 5" xfId="1030" xr:uid="{00000000-0005-0000-0000-00006E030000}"/>
    <cellStyle name="20% - Ênfase1 2 5 5 2" xfId="1031" xr:uid="{00000000-0005-0000-0000-00006F030000}"/>
    <cellStyle name="20% - Ênfase1 2 5 5 2 2" xfId="1032" xr:uid="{00000000-0005-0000-0000-000070030000}"/>
    <cellStyle name="20% - Ênfase1 2 5 5 3" xfId="1033" xr:uid="{00000000-0005-0000-0000-000071030000}"/>
    <cellStyle name="20% - Ênfase1 2 5 6" xfId="1034" xr:uid="{00000000-0005-0000-0000-000072030000}"/>
    <cellStyle name="20% - Ênfase1 2 5 6 2" xfId="1035" xr:uid="{00000000-0005-0000-0000-000073030000}"/>
    <cellStyle name="20% - Ênfase1 2 5 7" xfId="1036" xr:uid="{00000000-0005-0000-0000-000074030000}"/>
    <cellStyle name="20% - Ênfase1 2 6" xfId="1037" xr:uid="{00000000-0005-0000-0000-000075030000}"/>
    <cellStyle name="20% - Ênfase1 2 6 2" xfId="1038" xr:uid="{00000000-0005-0000-0000-000076030000}"/>
    <cellStyle name="20% - Ênfase1 2 6 2 2" xfId="1039" xr:uid="{00000000-0005-0000-0000-000077030000}"/>
    <cellStyle name="20% - Ênfase1 2 6 2 2 2" xfId="1040" xr:uid="{00000000-0005-0000-0000-000078030000}"/>
    <cellStyle name="20% - Ênfase1 2 6 2 2 2 2" xfId="1041" xr:uid="{00000000-0005-0000-0000-000079030000}"/>
    <cellStyle name="20% - Ênfase1 2 6 2 2 2 2 2" xfId="1042" xr:uid="{00000000-0005-0000-0000-00007A030000}"/>
    <cellStyle name="20% - Ênfase1 2 6 2 2 2 3" xfId="1043" xr:uid="{00000000-0005-0000-0000-00007B030000}"/>
    <cellStyle name="20% - Ênfase1 2 6 2 2 2 3 2" xfId="1044" xr:uid="{00000000-0005-0000-0000-00007C030000}"/>
    <cellStyle name="20% - Ênfase1 2 6 2 2 2 4" xfId="1045" xr:uid="{00000000-0005-0000-0000-00007D030000}"/>
    <cellStyle name="20% - Ênfase1 2 6 2 2 3" xfId="1046" xr:uid="{00000000-0005-0000-0000-00007E030000}"/>
    <cellStyle name="20% - Ênfase1 2 6 2 2 3 2" xfId="1047" xr:uid="{00000000-0005-0000-0000-00007F030000}"/>
    <cellStyle name="20% - Ênfase1 2 6 2 2 4" xfId="1048" xr:uid="{00000000-0005-0000-0000-000080030000}"/>
    <cellStyle name="20% - Ênfase1 2 6 2 2 4 2" xfId="1049" xr:uid="{00000000-0005-0000-0000-000081030000}"/>
    <cellStyle name="20% - Ênfase1 2 6 2 2 5" xfId="1050" xr:uid="{00000000-0005-0000-0000-000082030000}"/>
    <cellStyle name="20% - Ênfase1 2 6 2 3" xfId="1051" xr:uid="{00000000-0005-0000-0000-000083030000}"/>
    <cellStyle name="20% - Ênfase1 2 6 2 3 2" xfId="1052" xr:uid="{00000000-0005-0000-0000-000084030000}"/>
    <cellStyle name="20% - Ênfase1 2 6 2 3 2 2" xfId="1053" xr:uid="{00000000-0005-0000-0000-000085030000}"/>
    <cellStyle name="20% - Ênfase1 2 6 2 3 3" xfId="1054" xr:uid="{00000000-0005-0000-0000-000086030000}"/>
    <cellStyle name="20% - Ênfase1 2 6 2 3 3 2" xfId="1055" xr:uid="{00000000-0005-0000-0000-000087030000}"/>
    <cellStyle name="20% - Ênfase1 2 6 2 3 4" xfId="1056" xr:uid="{00000000-0005-0000-0000-000088030000}"/>
    <cellStyle name="20% - Ênfase1 2 6 2 4" xfId="1057" xr:uid="{00000000-0005-0000-0000-000089030000}"/>
    <cellStyle name="20% - Ênfase1 2 6 2 4 2" xfId="1058" xr:uid="{00000000-0005-0000-0000-00008A030000}"/>
    <cellStyle name="20% - Ênfase1 2 6 2 4 2 2" xfId="1059" xr:uid="{00000000-0005-0000-0000-00008B030000}"/>
    <cellStyle name="20% - Ênfase1 2 6 2 4 3" xfId="1060" xr:uid="{00000000-0005-0000-0000-00008C030000}"/>
    <cellStyle name="20% - Ênfase1 2 6 2 5" xfId="1061" xr:uid="{00000000-0005-0000-0000-00008D030000}"/>
    <cellStyle name="20% - Ênfase1 2 6 2 5 2" xfId="1062" xr:uid="{00000000-0005-0000-0000-00008E030000}"/>
    <cellStyle name="20% - Ênfase1 2 6 2 6" xfId="1063" xr:uid="{00000000-0005-0000-0000-00008F030000}"/>
    <cellStyle name="20% - Ênfase1 2 6 3" xfId="1064" xr:uid="{00000000-0005-0000-0000-000090030000}"/>
    <cellStyle name="20% - Ênfase1 2 6 3 2" xfId="1065" xr:uid="{00000000-0005-0000-0000-000091030000}"/>
    <cellStyle name="20% - Ênfase1 2 6 3 2 2" xfId="1066" xr:uid="{00000000-0005-0000-0000-000092030000}"/>
    <cellStyle name="20% - Ênfase1 2 6 3 2 2 2" xfId="1067" xr:uid="{00000000-0005-0000-0000-000093030000}"/>
    <cellStyle name="20% - Ênfase1 2 6 3 2 3" xfId="1068" xr:uid="{00000000-0005-0000-0000-000094030000}"/>
    <cellStyle name="20% - Ênfase1 2 6 3 2 3 2" xfId="1069" xr:uid="{00000000-0005-0000-0000-000095030000}"/>
    <cellStyle name="20% - Ênfase1 2 6 3 2 4" xfId="1070" xr:uid="{00000000-0005-0000-0000-000096030000}"/>
    <cellStyle name="20% - Ênfase1 2 6 3 3" xfId="1071" xr:uid="{00000000-0005-0000-0000-000097030000}"/>
    <cellStyle name="20% - Ênfase1 2 6 3 3 2" xfId="1072" xr:uid="{00000000-0005-0000-0000-000098030000}"/>
    <cellStyle name="20% - Ênfase1 2 6 3 4" xfId="1073" xr:uid="{00000000-0005-0000-0000-000099030000}"/>
    <cellStyle name="20% - Ênfase1 2 6 3 4 2" xfId="1074" xr:uid="{00000000-0005-0000-0000-00009A030000}"/>
    <cellStyle name="20% - Ênfase1 2 6 3 5" xfId="1075" xr:uid="{00000000-0005-0000-0000-00009B030000}"/>
    <cellStyle name="20% - Ênfase1 2 6 4" xfId="1076" xr:uid="{00000000-0005-0000-0000-00009C030000}"/>
    <cellStyle name="20% - Ênfase1 2 6 4 2" xfId="1077" xr:uid="{00000000-0005-0000-0000-00009D030000}"/>
    <cellStyle name="20% - Ênfase1 2 6 4 2 2" xfId="1078" xr:uid="{00000000-0005-0000-0000-00009E030000}"/>
    <cellStyle name="20% - Ênfase1 2 6 4 3" xfId="1079" xr:uid="{00000000-0005-0000-0000-00009F030000}"/>
    <cellStyle name="20% - Ênfase1 2 6 4 3 2" xfId="1080" xr:uid="{00000000-0005-0000-0000-0000A0030000}"/>
    <cellStyle name="20% - Ênfase1 2 6 4 4" xfId="1081" xr:uid="{00000000-0005-0000-0000-0000A1030000}"/>
    <cellStyle name="20% - Ênfase1 2 6 5" xfId="1082" xr:uid="{00000000-0005-0000-0000-0000A2030000}"/>
    <cellStyle name="20% - Ênfase1 2 6 5 2" xfId="1083" xr:uid="{00000000-0005-0000-0000-0000A3030000}"/>
    <cellStyle name="20% - Ênfase1 2 6 5 2 2" xfId="1084" xr:uid="{00000000-0005-0000-0000-0000A4030000}"/>
    <cellStyle name="20% - Ênfase1 2 6 5 3" xfId="1085" xr:uid="{00000000-0005-0000-0000-0000A5030000}"/>
    <cellStyle name="20% - Ênfase1 2 6 6" xfId="1086" xr:uid="{00000000-0005-0000-0000-0000A6030000}"/>
    <cellStyle name="20% - Ênfase1 2 6 6 2" xfId="1087" xr:uid="{00000000-0005-0000-0000-0000A7030000}"/>
    <cellStyle name="20% - Ênfase1 2 6 7" xfId="1088" xr:uid="{00000000-0005-0000-0000-0000A8030000}"/>
    <cellStyle name="20% - Ênfase1 2 7" xfId="1089" xr:uid="{00000000-0005-0000-0000-0000A9030000}"/>
    <cellStyle name="20% - Ênfase1 2 7 2" xfId="1090" xr:uid="{00000000-0005-0000-0000-0000AA030000}"/>
    <cellStyle name="20% - Ênfase1 2 7 2 2" xfId="1091" xr:uid="{00000000-0005-0000-0000-0000AB030000}"/>
    <cellStyle name="20% - Ênfase1 2 7 2 2 2" xfId="1092" xr:uid="{00000000-0005-0000-0000-0000AC030000}"/>
    <cellStyle name="20% - Ênfase1 2 7 2 2 2 2" xfId="1093" xr:uid="{00000000-0005-0000-0000-0000AD030000}"/>
    <cellStyle name="20% - Ênfase1 2 7 2 2 3" xfId="1094" xr:uid="{00000000-0005-0000-0000-0000AE030000}"/>
    <cellStyle name="20% - Ênfase1 2 7 2 2 3 2" xfId="1095" xr:uid="{00000000-0005-0000-0000-0000AF030000}"/>
    <cellStyle name="20% - Ênfase1 2 7 2 2 4" xfId="1096" xr:uid="{00000000-0005-0000-0000-0000B0030000}"/>
    <cellStyle name="20% - Ênfase1 2 7 2 3" xfId="1097" xr:uid="{00000000-0005-0000-0000-0000B1030000}"/>
    <cellStyle name="20% - Ênfase1 2 7 2 3 2" xfId="1098" xr:uid="{00000000-0005-0000-0000-0000B2030000}"/>
    <cellStyle name="20% - Ênfase1 2 7 2 4" xfId="1099" xr:uid="{00000000-0005-0000-0000-0000B3030000}"/>
    <cellStyle name="20% - Ênfase1 2 7 2 4 2" xfId="1100" xr:uid="{00000000-0005-0000-0000-0000B4030000}"/>
    <cellStyle name="20% - Ênfase1 2 7 2 5" xfId="1101" xr:uid="{00000000-0005-0000-0000-0000B5030000}"/>
    <cellStyle name="20% - Ênfase1 2 7 3" xfId="1102" xr:uid="{00000000-0005-0000-0000-0000B6030000}"/>
    <cellStyle name="20% - Ênfase1 2 7 3 2" xfId="1103" xr:uid="{00000000-0005-0000-0000-0000B7030000}"/>
    <cellStyle name="20% - Ênfase1 2 7 3 2 2" xfId="1104" xr:uid="{00000000-0005-0000-0000-0000B8030000}"/>
    <cellStyle name="20% - Ênfase1 2 7 3 3" xfId="1105" xr:uid="{00000000-0005-0000-0000-0000B9030000}"/>
    <cellStyle name="20% - Ênfase1 2 7 3 3 2" xfId="1106" xr:uid="{00000000-0005-0000-0000-0000BA030000}"/>
    <cellStyle name="20% - Ênfase1 2 7 3 4" xfId="1107" xr:uid="{00000000-0005-0000-0000-0000BB030000}"/>
    <cellStyle name="20% - Ênfase1 2 7 4" xfId="1108" xr:uid="{00000000-0005-0000-0000-0000BC030000}"/>
    <cellStyle name="20% - Ênfase1 2 7 4 2" xfId="1109" xr:uid="{00000000-0005-0000-0000-0000BD030000}"/>
    <cellStyle name="20% - Ênfase1 2 7 4 2 2" xfId="1110" xr:uid="{00000000-0005-0000-0000-0000BE030000}"/>
    <cellStyle name="20% - Ênfase1 2 7 4 3" xfId="1111" xr:uid="{00000000-0005-0000-0000-0000BF030000}"/>
    <cellStyle name="20% - Ênfase1 2 7 5" xfId="1112" xr:uid="{00000000-0005-0000-0000-0000C0030000}"/>
    <cellStyle name="20% - Ênfase1 2 7 5 2" xfId="1113" xr:uid="{00000000-0005-0000-0000-0000C1030000}"/>
    <cellStyle name="20% - Ênfase1 2 7 6" xfId="1114" xr:uid="{00000000-0005-0000-0000-0000C2030000}"/>
    <cellStyle name="20% - Ênfase1 2 8" xfId="1115" xr:uid="{00000000-0005-0000-0000-0000C3030000}"/>
    <cellStyle name="20% - Ênfase1 2 8 2" xfId="1116" xr:uid="{00000000-0005-0000-0000-0000C4030000}"/>
    <cellStyle name="20% - Ênfase1 2 8 2 2" xfId="1117" xr:uid="{00000000-0005-0000-0000-0000C5030000}"/>
    <cellStyle name="20% - Ênfase1 2 8 2 2 2" xfId="1118" xr:uid="{00000000-0005-0000-0000-0000C6030000}"/>
    <cellStyle name="20% - Ênfase1 2 8 2 3" xfId="1119" xr:uid="{00000000-0005-0000-0000-0000C7030000}"/>
    <cellStyle name="20% - Ênfase1 2 8 2 3 2" xfId="1120" xr:uid="{00000000-0005-0000-0000-0000C8030000}"/>
    <cellStyle name="20% - Ênfase1 2 8 2 4" xfId="1121" xr:uid="{00000000-0005-0000-0000-0000C9030000}"/>
    <cellStyle name="20% - Ênfase1 2 8 3" xfId="1122" xr:uid="{00000000-0005-0000-0000-0000CA030000}"/>
    <cellStyle name="20% - Ênfase1 2 8 3 2" xfId="1123" xr:uid="{00000000-0005-0000-0000-0000CB030000}"/>
    <cellStyle name="20% - Ênfase1 2 8 3 2 2" xfId="1124" xr:uid="{00000000-0005-0000-0000-0000CC030000}"/>
    <cellStyle name="20% - Ênfase1 2 8 3 3" xfId="1125" xr:uid="{00000000-0005-0000-0000-0000CD030000}"/>
    <cellStyle name="20% - Ênfase1 2 8 3 3 2" xfId="1126" xr:uid="{00000000-0005-0000-0000-0000CE030000}"/>
    <cellStyle name="20% - Ênfase1 2 8 3 4" xfId="1127" xr:uid="{00000000-0005-0000-0000-0000CF030000}"/>
    <cellStyle name="20% - Ênfase1 2 8 4" xfId="1128" xr:uid="{00000000-0005-0000-0000-0000D0030000}"/>
    <cellStyle name="20% - Ênfase1 2 8 4 2" xfId="1129" xr:uid="{00000000-0005-0000-0000-0000D1030000}"/>
    <cellStyle name="20% - Ênfase1 2 8 5" xfId="1130" xr:uid="{00000000-0005-0000-0000-0000D2030000}"/>
    <cellStyle name="20% - Ênfase1 2 8 5 2" xfId="1131" xr:uid="{00000000-0005-0000-0000-0000D3030000}"/>
    <cellStyle name="20% - Ênfase1 2 8 6" xfId="1132" xr:uid="{00000000-0005-0000-0000-0000D4030000}"/>
    <cellStyle name="20% - Ênfase1 2 9" xfId="1133" xr:uid="{00000000-0005-0000-0000-0000D5030000}"/>
    <cellStyle name="20% - Ênfase1 2 9 2" xfId="1134" xr:uid="{00000000-0005-0000-0000-0000D6030000}"/>
    <cellStyle name="20% - Ênfase1 2 9 2 2" xfId="1135" xr:uid="{00000000-0005-0000-0000-0000D7030000}"/>
    <cellStyle name="20% - Ênfase1 2 9 2 2 2" xfId="1136" xr:uid="{00000000-0005-0000-0000-0000D8030000}"/>
    <cellStyle name="20% - Ênfase1 2 9 2 3" xfId="1137" xr:uid="{00000000-0005-0000-0000-0000D9030000}"/>
    <cellStyle name="20% - Ênfase1 2 9 2 3 2" xfId="1138" xr:uid="{00000000-0005-0000-0000-0000DA030000}"/>
    <cellStyle name="20% - Ênfase1 2 9 2 4" xfId="1139" xr:uid="{00000000-0005-0000-0000-0000DB030000}"/>
    <cellStyle name="20% - Ênfase1 2 9 3" xfId="1140" xr:uid="{00000000-0005-0000-0000-0000DC030000}"/>
    <cellStyle name="20% - Ênfase1 2 9 3 2" xfId="1141" xr:uid="{00000000-0005-0000-0000-0000DD030000}"/>
    <cellStyle name="20% - Ênfase1 2 9 3 2 2" xfId="1142" xr:uid="{00000000-0005-0000-0000-0000DE030000}"/>
    <cellStyle name="20% - Ênfase1 2 9 3 3" xfId="1143" xr:uid="{00000000-0005-0000-0000-0000DF030000}"/>
    <cellStyle name="20% - Ênfase1 2 9 3 3 2" xfId="1144" xr:uid="{00000000-0005-0000-0000-0000E0030000}"/>
    <cellStyle name="20% - Ênfase1 2 9 3 4" xfId="1145" xr:uid="{00000000-0005-0000-0000-0000E1030000}"/>
    <cellStyle name="20% - Ênfase1 2 9 4" xfId="1146" xr:uid="{00000000-0005-0000-0000-0000E2030000}"/>
    <cellStyle name="20% - Ênfase1 2 9 4 2" xfId="1147" xr:uid="{00000000-0005-0000-0000-0000E3030000}"/>
    <cellStyle name="20% - Ênfase1 2 9 5" xfId="1148" xr:uid="{00000000-0005-0000-0000-0000E4030000}"/>
    <cellStyle name="20% - Ênfase1 2 9 5 2" xfId="1149" xr:uid="{00000000-0005-0000-0000-0000E5030000}"/>
    <cellStyle name="20% - Ênfase1 2 9 6" xfId="1150" xr:uid="{00000000-0005-0000-0000-0000E6030000}"/>
    <cellStyle name="20% - Ênfase1 20" xfId="1151" xr:uid="{00000000-0005-0000-0000-0000E7030000}"/>
    <cellStyle name="20% - Ênfase1 20 2" xfId="1152" xr:uid="{00000000-0005-0000-0000-0000E8030000}"/>
    <cellStyle name="20% - Ênfase1 20 2 2" xfId="1153" xr:uid="{00000000-0005-0000-0000-0000E9030000}"/>
    <cellStyle name="20% - Ênfase1 20 3" xfId="1154" xr:uid="{00000000-0005-0000-0000-0000EA030000}"/>
    <cellStyle name="20% - Ênfase1 21" xfId="1155" xr:uid="{00000000-0005-0000-0000-0000EB030000}"/>
    <cellStyle name="20% - Ênfase1 21 2" xfId="1156" xr:uid="{00000000-0005-0000-0000-0000EC030000}"/>
    <cellStyle name="20% - Ênfase1 21 2 2" xfId="1157" xr:uid="{00000000-0005-0000-0000-0000ED030000}"/>
    <cellStyle name="20% - Ênfase1 21 3" xfId="1158" xr:uid="{00000000-0005-0000-0000-0000EE030000}"/>
    <cellStyle name="20% - Ênfase1 22" xfId="1159" xr:uid="{00000000-0005-0000-0000-0000EF030000}"/>
    <cellStyle name="20% - Ênfase1 22 2" xfId="1160" xr:uid="{00000000-0005-0000-0000-0000F0030000}"/>
    <cellStyle name="20% - Ênfase1 22 2 2" xfId="1161" xr:uid="{00000000-0005-0000-0000-0000F1030000}"/>
    <cellStyle name="20% - Ênfase1 22 3" xfId="1162" xr:uid="{00000000-0005-0000-0000-0000F2030000}"/>
    <cellStyle name="20% - Ênfase1 23" xfId="1163" xr:uid="{00000000-0005-0000-0000-0000F3030000}"/>
    <cellStyle name="20% - Ênfase1 23 2" xfId="1164" xr:uid="{00000000-0005-0000-0000-0000F4030000}"/>
    <cellStyle name="20% - Ênfase1 23 2 2" xfId="1165" xr:uid="{00000000-0005-0000-0000-0000F5030000}"/>
    <cellStyle name="20% - Ênfase1 23 3" xfId="1166" xr:uid="{00000000-0005-0000-0000-0000F6030000}"/>
    <cellStyle name="20% - Ênfase1 24" xfId="1167" xr:uid="{00000000-0005-0000-0000-0000F7030000}"/>
    <cellStyle name="20% - Ênfase1 24 2" xfId="1168" xr:uid="{00000000-0005-0000-0000-0000F8030000}"/>
    <cellStyle name="20% - Ênfase1 24 2 2" xfId="1169" xr:uid="{00000000-0005-0000-0000-0000F9030000}"/>
    <cellStyle name="20% - Ênfase1 24 3" xfId="1170" xr:uid="{00000000-0005-0000-0000-0000FA030000}"/>
    <cellStyle name="20% - Ênfase1 25" xfId="1171" xr:uid="{00000000-0005-0000-0000-0000FB030000}"/>
    <cellStyle name="20% - Ênfase1 25 2" xfId="1172" xr:uid="{00000000-0005-0000-0000-0000FC030000}"/>
    <cellStyle name="20% - Ênfase1 25 2 2" xfId="1173" xr:uid="{00000000-0005-0000-0000-0000FD030000}"/>
    <cellStyle name="20% - Ênfase1 25 3" xfId="1174" xr:uid="{00000000-0005-0000-0000-0000FE030000}"/>
    <cellStyle name="20% - Ênfase1 26" xfId="1175" xr:uid="{00000000-0005-0000-0000-0000FF030000}"/>
    <cellStyle name="20% - Ênfase1 26 2" xfId="1176" xr:uid="{00000000-0005-0000-0000-000000040000}"/>
    <cellStyle name="20% - Ênfase1 26 2 2" xfId="1177" xr:uid="{00000000-0005-0000-0000-000001040000}"/>
    <cellStyle name="20% - Ênfase1 26 3" xfId="1178" xr:uid="{00000000-0005-0000-0000-000002040000}"/>
    <cellStyle name="20% - Ênfase1 27" xfId="1179" xr:uid="{00000000-0005-0000-0000-000003040000}"/>
    <cellStyle name="20% - Ênfase1 27 2" xfId="1180" xr:uid="{00000000-0005-0000-0000-000004040000}"/>
    <cellStyle name="20% - Ênfase1 27 2 2" xfId="1181" xr:uid="{00000000-0005-0000-0000-000005040000}"/>
    <cellStyle name="20% - Ênfase1 27 3" xfId="1182" xr:uid="{00000000-0005-0000-0000-000006040000}"/>
    <cellStyle name="20% - Ênfase1 28" xfId="1183" xr:uid="{00000000-0005-0000-0000-000007040000}"/>
    <cellStyle name="20% - Ênfase1 28 2" xfId="1184" xr:uid="{00000000-0005-0000-0000-000008040000}"/>
    <cellStyle name="20% - Ênfase1 28 2 2" xfId="1185" xr:uid="{00000000-0005-0000-0000-000009040000}"/>
    <cellStyle name="20% - Ênfase1 28 3" xfId="1186" xr:uid="{00000000-0005-0000-0000-00000A040000}"/>
    <cellStyle name="20% - Ênfase1 29" xfId="1187" xr:uid="{00000000-0005-0000-0000-00000B040000}"/>
    <cellStyle name="20% - Ênfase1 3" xfId="1188" xr:uid="{00000000-0005-0000-0000-00000C040000}"/>
    <cellStyle name="20% - Ênfase1 3 10" xfId="1189" xr:uid="{00000000-0005-0000-0000-00000D040000}"/>
    <cellStyle name="20% - Ênfase1 3 10 2" xfId="1190" xr:uid="{00000000-0005-0000-0000-00000E040000}"/>
    <cellStyle name="20% - Ênfase1 3 10 2 2" xfId="1191" xr:uid="{00000000-0005-0000-0000-00000F040000}"/>
    <cellStyle name="20% - Ênfase1 3 10 3" xfId="1192" xr:uid="{00000000-0005-0000-0000-000010040000}"/>
    <cellStyle name="20% - Ênfase1 3 11" xfId="1193" xr:uid="{00000000-0005-0000-0000-000011040000}"/>
    <cellStyle name="20% - Ênfase1 3 11 2" xfId="1194" xr:uid="{00000000-0005-0000-0000-000012040000}"/>
    <cellStyle name="20% - Ênfase1 3 12" xfId="1195" xr:uid="{00000000-0005-0000-0000-000013040000}"/>
    <cellStyle name="20% - Ênfase1 3 2" xfId="1196" xr:uid="{00000000-0005-0000-0000-000014040000}"/>
    <cellStyle name="20% - Ênfase1 3 2 10" xfId="1197" xr:uid="{00000000-0005-0000-0000-000015040000}"/>
    <cellStyle name="20% - Ênfase1 3 2 2" xfId="1198" xr:uid="{00000000-0005-0000-0000-000016040000}"/>
    <cellStyle name="20% - Ênfase1 3 2 2 2" xfId="1199" xr:uid="{00000000-0005-0000-0000-000017040000}"/>
    <cellStyle name="20% - Ênfase1 3 2 2 2 2" xfId="1200" xr:uid="{00000000-0005-0000-0000-000018040000}"/>
    <cellStyle name="20% - Ênfase1 3 2 2 2 2 2" xfId="1201" xr:uid="{00000000-0005-0000-0000-000019040000}"/>
    <cellStyle name="20% - Ênfase1 3 2 2 2 2 2 2" xfId="1202" xr:uid="{00000000-0005-0000-0000-00001A040000}"/>
    <cellStyle name="20% - Ênfase1 3 2 2 2 2 3" xfId="1203" xr:uid="{00000000-0005-0000-0000-00001B040000}"/>
    <cellStyle name="20% - Ênfase1 3 2 2 2 2 3 2" xfId="1204" xr:uid="{00000000-0005-0000-0000-00001C040000}"/>
    <cellStyle name="20% - Ênfase1 3 2 2 2 2 4" xfId="1205" xr:uid="{00000000-0005-0000-0000-00001D040000}"/>
    <cellStyle name="20% - Ênfase1 3 2 2 2 3" xfId="1206" xr:uid="{00000000-0005-0000-0000-00001E040000}"/>
    <cellStyle name="20% - Ênfase1 3 2 2 2 3 2" xfId="1207" xr:uid="{00000000-0005-0000-0000-00001F040000}"/>
    <cellStyle name="20% - Ênfase1 3 2 2 2 4" xfId="1208" xr:uid="{00000000-0005-0000-0000-000020040000}"/>
    <cellStyle name="20% - Ênfase1 3 2 2 2 4 2" xfId="1209" xr:uid="{00000000-0005-0000-0000-000021040000}"/>
    <cellStyle name="20% - Ênfase1 3 2 2 2 5" xfId="1210" xr:uid="{00000000-0005-0000-0000-000022040000}"/>
    <cellStyle name="20% - Ênfase1 3 2 2 3" xfId="1211" xr:uid="{00000000-0005-0000-0000-000023040000}"/>
    <cellStyle name="20% - Ênfase1 3 2 2 3 2" xfId="1212" xr:uid="{00000000-0005-0000-0000-000024040000}"/>
    <cellStyle name="20% - Ênfase1 3 2 2 3 2 2" xfId="1213" xr:uid="{00000000-0005-0000-0000-000025040000}"/>
    <cellStyle name="20% - Ênfase1 3 2 2 3 3" xfId="1214" xr:uid="{00000000-0005-0000-0000-000026040000}"/>
    <cellStyle name="20% - Ênfase1 3 2 2 3 3 2" xfId="1215" xr:uid="{00000000-0005-0000-0000-000027040000}"/>
    <cellStyle name="20% - Ênfase1 3 2 2 3 4" xfId="1216" xr:uid="{00000000-0005-0000-0000-000028040000}"/>
    <cellStyle name="20% - Ênfase1 3 2 2 4" xfId="1217" xr:uid="{00000000-0005-0000-0000-000029040000}"/>
    <cellStyle name="20% - Ênfase1 3 2 2 4 2" xfId="1218" xr:uid="{00000000-0005-0000-0000-00002A040000}"/>
    <cellStyle name="20% - Ênfase1 3 2 2 4 2 2" xfId="1219" xr:uid="{00000000-0005-0000-0000-00002B040000}"/>
    <cellStyle name="20% - Ênfase1 3 2 2 4 3" xfId="1220" xr:uid="{00000000-0005-0000-0000-00002C040000}"/>
    <cellStyle name="20% - Ênfase1 3 2 2 5" xfId="1221" xr:uid="{00000000-0005-0000-0000-00002D040000}"/>
    <cellStyle name="20% - Ênfase1 3 2 2 5 2" xfId="1222" xr:uid="{00000000-0005-0000-0000-00002E040000}"/>
    <cellStyle name="20% - Ênfase1 3 2 2 6" xfId="1223" xr:uid="{00000000-0005-0000-0000-00002F040000}"/>
    <cellStyle name="20% - Ênfase1 3 2 3" xfId="1224" xr:uid="{00000000-0005-0000-0000-000030040000}"/>
    <cellStyle name="20% - Ênfase1 3 2 3 2" xfId="1225" xr:uid="{00000000-0005-0000-0000-000031040000}"/>
    <cellStyle name="20% - Ênfase1 3 2 3 2 2" xfId="1226" xr:uid="{00000000-0005-0000-0000-000032040000}"/>
    <cellStyle name="20% - Ênfase1 3 2 3 2 2 2" xfId="1227" xr:uid="{00000000-0005-0000-0000-000033040000}"/>
    <cellStyle name="20% - Ênfase1 3 2 3 2 3" xfId="1228" xr:uid="{00000000-0005-0000-0000-000034040000}"/>
    <cellStyle name="20% - Ênfase1 3 2 3 2 3 2" xfId="1229" xr:uid="{00000000-0005-0000-0000-000035040000}"/>
    <cellStyle name="20% - Ênfase1 3 2 3 2 4" xfId="1230" xr:uid="{00000000-0005-0000-0000-000036040000}"/>
    <cellStyle name="20% - Ênfase1 3 2 3 3" xfId="1231" xr:uid="{00000000-0005-0000-0000-000037040000}"/>
    <cellStyle name="20% - Ênfase1 3 2 3 3 2" xfId="1232" xr:uid="{00000000-0005-0000-0000-000038040000}"/>
    <cellStyle name="20% - Ênfase1 3 2 3 3 2 2" xfId="1233" xr:uid="{00000000-0005-0000-0000-000039040000}"/>
    <cellStyle name="20% - Ênfase1 3 2 3 3 3" xfId="1234" xr:uid="{00000000-0005-0000-0000-00003A040000}"/>
    <cellStyle name="20% - Ênfase1 3 2 3 3 3 2" xfId="1235" xr:uid="{00000000-0005-0000-0000-00003B040000}"/>
    <cellStyle name="20% - Ênfase1 3 2 3 3 4" xfId="1236" xr:uid="{00000000-0005-0000-0000-00003C040000}"/>
    <cellStyle name="20% - Ênfase1 3 2 3 4" xfId="1237" xr:uid="{00000000-0005-0000-0000-00003D040000}"/>
    <cellStyle name="20% - Ênfase1 3 2 3 4 2" xfId="1238" xr:uid="{00000000-0005-0000-0000-00003E040000}"/>
    <cellStyle name="20% - Ênfase1 3 2 3 5" xfId="1239" xr:uid="{00000000-0005-0000-0000-00003F040000}"/>
    <cellStyle name="20% - Ênfase1 3 2 3 5 2" xfId="1240" xr:uid="{00000000-0005-0000-0000-000040040000}"/>
    <cellStyle name="20% - Ênfase1 3 2 3 6" xfId="1241" xr:uid="{00000000-0005-0000-0000-000041040000}"/>
    <cellStyle name="20% - Ênfase1 3 2 4" xfId="1242" xr:uid="{00000000-0005-0000-0000-000042040000}"/>
    <cellStyle name="20% - Ênfase1 3 2 4 2" xfId="1243" xr:uid="{00000000-0005-0000-0000-000043040000}"/>
    <cellStyle name="20% - Ênfase1 3 2 4 2 2" xfId="1244" xr:uid="{00000000-0005-0000-0000-000044040000}"/>
    <cellStyle name="20% - Ênfase1 3 2 4 3" xfId="1245" xr:uid="{00000000-0005-0000-0000-000045040000}"/>
    <cellStyle name="20% - Ênfase1 3 2 4 3 2" xfId="1246" xr:uid="{00000000-0005-0000-0000-000046040000}"/>
    <cellStyle name="20% - Ênfase1 3 2 4 4" xfId="1247" xr:uid="{00000000-0005-0000-0000-000047040000}"/>
    <cellStyle name="20% - Ênfase1 3 2 5" xfId="1248" xr:uid="{00000000-0005-0000-0000-000048040000}"/>
    <cellStyle name="20% - Ênfase1 3 2 5 2" xfId="1249" xr:uid="{00000000-0005-0000-0000-000049040000}"/>
    <cellStyle name="20% - Ênfase1 3 2 5 2 2" xfId="1250" xr:uid="{00000000-0005-0000-0000-00004A040000}"/>
    <cellStyle name="20% - Ênfase1 3 2 5 3" xfId="1251" xr:uid="{00000000-0005-0000-0000-00004B040000}"/>
    <cellStyle name="20% - Ênfase1 3 2 6" xfId="1252" xr:uid="{00000000-0005-0000-0000-00004C040000}"/>
    <cellStyle name="20% - Ênfase1 3 2 6 2" xfId="1253" xr:uid="{00000000-0005-0000-0000-00004D040000}"/>
    <cellStyle name="20% - Ênfase1 3 2 6 2 2" xfId="1254" xr:uid="{00000000-0005-0000-0000-00004E040000}"/>
    <cellStyle name="20% - Ênfase1 3 2 6 3" xfId="1255" xr:uid="{00000000-0005-0000-0000-00004F040000}"/>
    <cellStyle name="20% - Ênfase1 3 2 7" xfId="1256" xr:uid="{00000000-0005-0000-0000-000050040000}"/>
    <cellStyle name="20% - Ênfase1 3 2 7 2" xfId="1257" xr:uid="{00000000-0005-0000-0000-000051040000}"/>
    <cellStyle name="20% - Ênfase1 3 2 7 2 2" xfId="1258" xr:uid="{00000000-0005-0000-0000-000052040000}"/>
    <cellStyle name="20% - Ênfase1 3 2 7 3" xfId="1259" xr:uid="{00000000-0005-0000-0000-000053040000}"/>
    <cellStyle name="20% - Ênfase1 3 2 8" xfId="1260" xr:uid="{00000000-0005-0000-0000-000054040000}"/>
    <cellStyle name="20% - Ênfase1 3 2 8 2" xfId="1261" xr:uid="{00000000-0005-0000-0000-000055040000}"/>
    <cellStyle name="20% - Ênfase1 3 2 8 2 2" xfId="1262" xr:uid="{00000000-0005-0000-0000-000056040000}"/>
    <cellStyle name="20% - Ênfase1 3 2 8 3" xfId="1263" xr:uid="{00000000-0005-0000-0000-000057040000}"/>
    <cellStyle name="20% - Ênfase1 3 2 9" xfId="1264" xr:uid="{00000000-0005-0000-0000-000058040000}"/>
    <cellStyle name="20% - Ênfase1 3 2 9 2" xfId="1265" xr:uid="{00000000-0005-0000-0000-000059040000}"/>
    <cellStyle name="20% - Ênfase1 3 3" xfId="1266" xr:uid="{00000000-0005-0000-0000-00005A040000}"/>
    <cellStyle name="20% - Ênfase1 3 3 2" xfId="1267" xr:uid="{00000000-0005-0000-0000-00005B040000}"/>
    <cellStyle name="20% - Ênfase1 3 3 2 2" xfId="1268" xr:uid="{00000000-0005-0000-0000-00005C040000}"/>
    <cellStyle name="20% - Ênfase1 3 3 2 2 2" xfId="1269" xr:uid="{00000000-0005-0000-0000-00005D040000}"/>
    <cellStyle name="20% - Ênfase1 3 3 2 2 2 2" xfId="1270" xr:uid="{00000000-0005-0000-0000-00005E040000}"/>
    <cellStyle name="20% - Ênfase1 3 3 2 2 3" xfId="1271" xr:uid="{00000000-0005-0000-0000-00005F040000}"/>
    <cellStyle name="20% - Ênfase1 3 3 2 2 3 2" xfId="1272" xr:uid="{00000000-0005-0000-0000-000060040000}"/>
    <cellStyle name="20% - Ênfase1 3 3 2 2 4" xfId="1273" xr:uid="{00000000-0005-0000-0000-000061040000}"/>
    <cellStyle name="20% - Ênfase1 3 3 2 3" xfId="1274" xr:uid="{00000000-0005-0000-0000-000062040000}"/>
    <cellStyle name="20% - Ênfase1 3 3 2 3 2" xfId="1275" xr:uid="{00000000-0005-0000-0000-000063040000}"/>
    <cellStyle name="20% - Ênfase1 3 3 2 4" xfId="1276" xr:uid="{00000000-0005-0000-0000-000064040000}"/>
    <cellStyle name="20% - Ênfase1 3 3 2 4 2" xfId="1277" xr:uid="{00000000-0005-0000-0000-000065040000}"/>
    <cellStyle name="20% - Ênfase1 3 3 2 5" xfId="1278" xr:uid="{00000000-0005-0000-0000-000066040000}"/>
    <cellStyle name="20% - Ênfase1 3 3 3" xfId="1279" xr:uid="{00000000-0005-0000-0000-000067040000}"/>
    <cellStyle name="20% - Ênfase1 3 3 3 2" xfId="1280" xr:uid="{00000000-0005-0000-0000-000068040000}"/>
    <cellStyle name="20% - Ênfase1 3 3 3 2 2" xfId="1281" xr:uid="{00000000-0005-0000-0000-000069040000}"/>
    <cellStyle name="20% - Ênfase1 3 3 3 3" xfId="1282" xr:uid="{00000000-0005-0000-0000-00006A040000}"/>
    <cellStyle name="20% - Ênfase1 3 3 3 3 2" xfId="1283" xr:uid="{00000000-0005-0000-0000-00006B040000}"/>
    <cellStyle name="20% - Ênfase1 3 3 3 4" xfId="1284" xr:uid="{00000000-0005-0000-0000-00006C040000}"/>
    <cellStyle name="20% - Ênfase1 3 3 4" xfId="1285" xr:uid="{00000000-0005-0000-0000-00006D040000}"/>
    <cellStyle name="20% - Ênfase1 3 3 4 2" xfId="1286" xr:uid="{00000000-0005-0000-0000-00006E040000}"/>
    <cellStyle name="20% - Ênfase1 3 3 4 2 2" xfId="1287" xr:uid="{00000000-0005-0000-0000-00006F040000}"/>
    <cellStyle name="20% - Ênfase1 3 3 4 3" xfId="1288" xr:uid="{00000000-0005-0000-0000-000070040000}"/>
    <cellStyle name="20% - Ênfase1 3 3 5" xfId="1289" xr:uid="{00000000-0005-0000-0000-000071040000}"/>
    <cellStyle name="20% - Ênfase1 3 3 5 2" xfId="1290" xr:uid="{00000000-0005-0000-0000-000072040000}"/>
    <cellStyle name="20% - Ênfase1 3 3 6" xfId="1291" xr:uid="{00000000-0005-0000-0000-000073040000}"/>
    <cellStyle name="20% - Ênfase1 3 4" xfId="1292" xr:uid="{00000000-0005-0000-0000-000074040000}"/>
    <cellStyle name="20% - Ênfase1 3 4 2" xfId="1293" xr:uid="{00000000-0005-0000-0000-000075040000}"/>
    <cellStyle name="20% - Ênfase1 3 4 2 2" xfId="1294" xr:uid="{00000000-0005-0000-0000-000076040000}"/>
    <cellStyle name="20% - Ênfase1 3 4 2 2 2" xfId="1295" xr:uid="{00000000-0005-0000-0000-000077040000}"/>
    <cellStyle name="20% - Ênfase1 3 4 2 3" xfId="1296" xr:uid="{00000000-0005-0000-0000-000078040000}"/>
    <cellStyle name="20% - Ênfase1 3 4 2 3 2" xfId="1297" xr:uid="{00000000-0005-0000-0000-000079040000}"/>
    <cellStyle name="20% - Ênfase1 3 4 2 4" xfId="1298" xr:uid="{00000000-0005-0000-0000-00007A040000}"/>
    <cellStyle name="20% - Ênfase1 3 4 3" xfId="1299" xr:uid="{00000000-0005-0000-0000-00007B040000}"/>
    <cellStyle name="20% - Ênfase1 3 4 3 2" xfId="1300" xr:uid="{00000000-0005-0000-0000-00007C040000}"/>
    <cellStyle name="20% - Ênfase1 3 4 3 2 2" xfId="1301" xr:uid="{00000000-0005-0000-0000-00007D040000}"/>
    <cellStyle name="20% - Ênfase1 3 4 3 3" xfId="1302" xr:uid="{00000000-0005-0000-0000-00007E040000}"/>
    <cellStyle name="20% - Ênfase1 3 4 3 3 2" xfId="1303" xr:uid="{00000000-0005-0000-0000-00007F040000}"/>
    <cellStyle name="20% - Ênfase1 3 4 3 4" xfId="1304" xr:uid="{00000000-0005-0000-0000-000080040000}"/>
    <cellStyle name="20% - Ênfase1 3 4 4" xfId="1305" xr:uid="{00000000-0005-0000-0000-000081040000}"/>
    <cellStyle name="20% - Ênfase1 3 4 4 2" xfId="1306" xr:uid="{00000000-0005-0000-0000-000082040000}"/>
    <cellStyle name="20% - Ênfase1 3 4 5" xfId="1307" xr:uid="{00000000-0005-0000-0000-000083040000}"/>
    <cellStyle name="20% - Ênfase1 3 4 5 2" xfId="1308" xr:uid="{00000000-0005-0000-0000-000084040000}"/>
    <cellStyle name="20% - Ênfase1 3 4 6" xfId="1309" xr:uid="{00000000-0005-0000-0000-000085040000}"/>
    <cellStyle name="20% - Ênfase1 3 5" xfId="1310" xr:uid="{00000000-0005-0000-0000-000086040000}"/>
    <cellStyle name="20% - Ênfase1 3 5 2" xfId="1311" xr:uid="{00000000-0005-0000-0000-000087040000}"/>
    <cellStyle name="20% - Ênfase1 3 5 2 2" xfId="1312" xr:uid="{00000000-0005-0000-0000-000088040000}"/>
    <cellStyle name="20% - Ênfase1 3 5 2 2 2" xfId="1313" xr:uid="{00000000-0005-0000-0000-000089040000}"/>
    <cellStyle name="20% - Ênfase1 3 5 2 3" xfId="1314" xr:uid="{00000000-0005-0000-0000-00008A040000}"/>
    <cellStyle name="20% - Ênfase1 3 5 2 3 2" xfId="1315" xr:uid="{00000000-0005-0000-0000-00008B040000}"/>
    <cellStyle name="20% - Ênfase1 3 5 2 4" xfId="1316" xr:uid="{00000000-0005-0000-0000-00008C040000}"/>
    <cellStyle name="20% - Ênfase1 3 5 3" xfId="1317" xr:uid="{00000000-0005-0000-0000-00008D040000}"/>
    <cellStyle name="20% - Ênfase1 3 5 3 2" xfId="1318" xr:uid="{00000000-0005-0000-0000-00008E040000}"/>
    <cellStyle name="20% - Ênfase1 3 5 3 2 2" xfId="1319" xr:uid="{00000000-0005-0000-0000-00008F040000}"/>
    <cellStyle name="20% - Ênfase1 3 5 3 3" xfId="1320" xr:uid="{00000000-0005-0000-0000-000090040000}"/>
    <cellStyle name="20% - Ênfase1 3 5 3 3 2" xfId="1321" xr:uid="{00000000-0005-0000-0000-000091040000}"/>
    <cellStyle name="20% - Ênfase1 3 5 3 4" xfId="1322" xr:uid="{00000000-0005-0000-0000-000092040000}"/>
    <cellStyle name="20% - Ênfase1 3 5 4" xfId="1323" xr:uid="{00000000-0005-0000-0000-000093040000}"/>
    <cellStyle name="20% - Ênfase1 3 5 4 2" xfId="1324" xr:uid="{00000000-0005-0000-0000-000094040000}"/>
    <cellStyle name="20% - Ênfase1 3 5 5" xfId="1325" xr:uid="{00000000-0005-0000-0000-000095040000}"/>
    <cellStyle name="20% - Ênfase1 3 5 5 2" xfId="1326" xr:uid="{00000000-0005-0000-0000-000096040000}"/>
    <cellStyle name="20% - Ênfase1 3 5 6" xfId="1327" xr:uid="{00000000-0005-0000-0000-000097040000}"/>
    <cellStyle name="20% - Ênfase1 3 6" xfId="1328" xr:uid="{00000000-0005-0000-0000-000098040000}"/>
    <cellStyle name="20% - Ênfase1 3 6 2" xfId="1329" xr:uid="{00000000-0005-0000-0000-000099040000}"/>
    <cellStyle name="20% - Ênfase1 3 6 2 2" xfId="1330" xr:uid="{00000000-0005-0000-0000-00009A040000}"/>
    <cellStyle name="20% - Ênfase1 3 6 3" xfId="1331" xr:uid="{00000000-0005-0000-0000-00009B040000}"/>
    <cellStyle name="20% - Ênfase1 3 6 3 2" xfId="1332" xr:uid="{00000000-0005-0000-0000-00009C040000}"/>
    <cellStyle name="20% - Ênfase1 3 6 4" xfId="1333" xr:uid="{00000000-0005-0000-0000-00009D040000}"/>
    <cellStyle name="20% - Ênfase1 3 7" xfId="1334" xr:uid="{00000000-0005-0000-0000-00009E040000}"/>
    <cellStyle name="20% - Ênfase1 3 7 2" xfId="1335" xr:uid="{00000000-0005-0000-0000-00009F040000}"/>
    <cellStyle name="20% - Ênfase1 3 7 2 2" xfId="1336" xr:uid="{00000000-0005-0000-0000-0000A0040000}"/>
    <cellStyle name="20% - Ênfase1 3 7 3" xfId="1337" xr:uid="{00000000-0005-0000-0000-0000A1040000}"/>
    <cellStyle name="20% - Ênfase1 3 8" xfId="1338" xr:uid="{00000000-0005-0000-0000-0000A2040000}"/>
    <cellStyle name="20% - Ênfase1 3 8 2" xfId="1339" xr:uid="{00000000-0005-0000-0000-0000A3040000}"/>
    <cellStyle name="20% - Ênfase1 3 8 2 2" xfId="1340" xr:uid="{00000000-0005-0000-0000-0000A4040000}"/>
    <cellStyle name="20% - Ênfase1 3 8 3" xfId="1341" xr:uid="{00000000-0005-0000-0000-0000A5040000}"/>
    <cellStyle name="20% - Ênfase1 3 9" xfId="1342" xr:uid="{00000000-0005-0000-0000-0000A6040000}"/>
    <cellStyle name="20% - Ênfase1 3 9 2" xfId="1343" xr:uid="{00000000-0005-0000-0000-0000A7040000}"/>
    <cellStyle name="20% - Ênfase1 3 9 2 2" xfId="1344" xr:uid="{00000000-0005-0000-0000-0000A8040000}"/>
    <cellStyle name="20% - Ênfase1 3 9 3" xfId="1345" xr:uid="{00000000-0005-0000-0000-0000A9040000}"/>
    <cellStyle name="20% - Ênfase1 30" xfId="1346" xr:uid="{00000000-0005-0000-0000-0000AA040000}"/>
    <cellStyle name="20% - Ênfase1 31" xfId="1347" xr:uid="{00000000-0005-0000-0000-0000AB040000}"/>
    <cellStyle name="20% - Ênfase1 32" xfId="1348" xr:uid="{00000000-0005-0000-0000-0000AC040000}"/>
    <cellStyle name="20% - Ênfase1 33" xfId="1349" xr:uid="{00000000-0005-0000-0000-0000AD040000}"/>
    <cellStyle name="20% - Ênfase1 4" xfId="1350" xr:uid="{00000000-0005-0000-0000-0000AE040000}"/>
    <cellStyle name="20% - Ênfase1 4 10" xfId="1351" xr:uid="{00000000-0005-0000-0000-0000AF040000}"/>
    <cellStyle name="20% - Ênfase1 4 10 2" xfId="1352" xr:uid="{00000000-0005-0000-0000-0000B0040000}"/>
    <cellStyle name="20% - Ênfase1 4 11" xfId="1353" xr:uid="{00000000-0005-0000-0000-0000B1040000}"/>
    <cellStyle name="20% - Ênfase1 4 2" xfId="1354" xr:uid="{00000000-0005-0000-0000-0000B2040000}"/>
    <cellStyle name="20% - Ênfase1 4 2 2" xfId="1355" xr:uid="{00000000-0005-0000-0000-0000B3040000}"/>
    <cellStyle name="20% - Ênfase1 4 2 2 2" xfId="1356" xr:uid="{00000000-0005-0000-0000-0000B4040000}"/>
    <cellStyle name="20% - Ênfase1 4 2 2 2 2" xfId="1357" xr:uid="{00000000-0005-0000-0000-0000B5040000}"/>
    <cellStyle name="20% - Ênfase1 4 2 2 2 2 2" xfId="1358" xr:uid="{00000000-0005-0000-0000-0000B6040000}"/>
    <cellStyle name="20% - Ênfase1 4 2 2 2 3" xfId="1359" xr:uid="{00000000-0005-0000-0000-0000B7040000}"/>
    <cellStyle name="20% - Ênfase1 4 2 2 2 3 2" xfId="1360" xr:uid="{00000000-0005-0000-0000-0000B8040000}"/>
    <cellStyle name="20% - Ênfase1 4 2 2 2 4" xfId="1361" xr:uid="{00000000-0005-0000-0000-0000B9040000}"/>
    <cellStyle name="20% - Ênfase1 4 2 2 3" xfId="1362" xr:uid="{00000000-0005-0000-0000-0000BA040000}"/>
    <cellStyle name="20% - Ênfase1 4 2 2 3 2" xfId="1363" xr:uid="{00000000-0005-0000-0000-0000BB040000}"/>
    <cellStyle name="20% - Ênfase1 4 2 2 3 2 2" xfId="1364" xr:uid="{00000000-0005-0000-0000-0000BC040000}"/>
    <cellStyle name="20% - Ênfase1 4 2 2 3 3" xfId="1365" xr:uid="{00000000-0005-0000-0000-0000BD040000}"/>
    <cellStyle name="20% - Ênfase1 4 2 2 3 3 2" xfId="1366" xr:uid="{00000000-0005-0000-0000-0000BE040000}"/>
    <cellStyle name="20% - Ênfase1 4 2 2 3 4" xfId="1367" xr:uid="{00000000-0005-0000-0000-0000BF040000}"/>
    <cellStyle name="20% - Ênfase1 4 2 2 4" xfId="1368" xr:uid="{00000000-0005-0000-0000-0000C0040000}"/>
    <cellStyle name="20% - Ênfase1 4 2 2 4 2" xfId="1369" xr:uid="{00000000-0005-0000-0000-0000C1040000}"/>
    <cellStyle name="20% - Ênfase1 4 2 2 5" xfId="1370" xr:uid="{00000000-0005-0000-0000-0000C2040000}"/>
    <cellStyle name="20% - Ênfase1 4 2 2 5 2" xfId="1371" xr:uid="{00000000-0005-0000-0000-0000C3040000}"/>
    <cellStyle name="20% - Ênfase1 4 2 2 6" xfId="1372" xr:uid="{00000000-0005-0000-0000-0000C4040000}"/>
    <cellStyle name="20% - Ênfase1 4 2 3" xfId="1373" xr:uid="{00000000-0005-0000-0000-0000C5040000}"/>
    <cellStyle name="20% - Ênfase1 4 2 3 2" xfId="1374" xr:uid="{00000000-0005-0000-0000-0000C6040000}"/>
    <cellStyle name="20% - Ênfase1 4 2 3 2 2" xfId="1375" xr:uid="{00000000-0005-0000-0000-0000C7040000}"/>
    <cellStyle name="20% - Ênfase1 4 2 3 3" xfId="1376" xr:uid="{00000000-0005-0000-0000-0000C8040000}"/>
    <cellStyle name="20% - Ênfase1 4 2 3 3 2" xfId="1377" xr:uid="{00000000-0005-0000-0000-0000C9040000}"/>
    <cellStyle name="20% - Ênfase1 4 2 3 4" xfId="1378" xr:uid="{00000000-0005-0000-0000-0000CA040000}"/>
    <cellStyle name="20% - Ênfase1 4 2 4" xfId="1379" xr:uid="{00000000-0005-0000-0000-0000CB040000}"/>
    <cellStyle name="20% - Ênfase1 4 2 4 2" xfId="1380" xr:uid="{00000000-0005-0000-0000-0000CC040000}"/>
    <cellStyle name="20% - Ênfase1 4 2 4 2 2" xfId="1381" xr:uid="{00000000-0005-0000-0000-0000CD040000}"/>
    <cellStyle name="20% - Ênfase1 4 2 4 3" xfId="1382" xr:uid="{00000000-0005-0000-0000-0000CE040000}"/>
    <cellStyle name="20% - Ênfase1 4 2 5" xfId="1383" xr:uid="{00000000-0005-0000-0000-0000CF040000}"/>
    <cellStyle name="20% - Ênfase1 4 2 5 2" xfId="1384" xr:uid="{00000000-0005-0000-0000-0000D0040000}"/>
    <cellStyle name="20% - Ênfase1 4 2 5 2 2" xfId="1385" xr:uid="{00000000-0005-0000-0000-0000D1040000}"/>
    <cellStyle name="20% - Ênfase1 4 2 5 3" xfId="1386" xr:uid="{00000000-0005-0000-0000-0000D2040000}"/>
    <cellStyle name="20% - Ênfase1 4 2 6" xfId="1387" xr:uid="{00000000-0005-0000-0000-0000D3040000}"/>
    <cellStyle name="20% - Ênfase1 4 2 6 2" xfId="1388" xr:uid="{00000000-0005-0000-0000-0000D4040000}"/>
    <cellStyle name="20% - Ênfase1 4 2 6 2 2" xfId="1389" xr:uid="{00000000-0005-0000-0000-0000D5040000}"/>
    <cellStyle name="20% - Ênfase1 4 2 6 3" xfId="1390" xr:uid="{00000000-0005-0000-0000-0000D6040000}"/>
    <cellStyle name="20% - Ênfase1 4 2 7" xfId="1391" xr:uid="{00000000-0005-0000-0000-0000D7040000}"/>
    <cellStyle name="20% - Ênfase1 4 2 7 2" xfId="1392" xr:uid="{00000000-0005-0000-0000-0000D8040000}"/>
    <cellStyle name="20% - Ênfase1 4 2 7 2 2" xfId="1393" xr:uid="{00000000-0005-0000-0000-0000D9040000}"/>
    <cellStyle name="20% - Ênfase1 4 2 7 3" xfId="1394" xr:uid="{00000000-0005-0000-0000-0000DA040000}"/>
    <cellStyle name="20% - Ênfase1 4 2 8" xfId="1395" xr:uid="{00000000-0005-0000-0000-0000DB040000}"/>
    <cellStyle name="20% - Ênfase1 4 2 8 2" xfId="1396" xr:uid="{00000000-0005-0000-0000-0000DC040000}"/>
    <cellStyle name="20% - Ênfase1 4 2 9" xfId="1397" xr:uid="{00000000-0005-0000-0000-0000DD040000}"/>
    <cellStyle name="20% - Ênfase1 4 3" xfId="1398" xr:uid="{00000000-0005-0000-0000-0000DE040000}"/>
    <cellStyle name="20% - Ênfase1 4 3 2" xfId="1399" xr:uid="{00000000-0005-0000-0000-0000DF040000}"/>
    <cellStyle name="20% - Ênfase1 4 3 2 2" xfId="1400" xr:uid="{00000000-0005-0000-0000-0000E0040000}"/>
    <cellStyle name="20% - Ênfase1 4 3 2 2 2" xfId="1401" xr:uid="{00000000-0005-0000-0000-0000E1040000}"/>
    <cellStyle name="20% - Ênfase1 4 3 2 3" xfId="1402" xr:uid="{00000000-0005-0000-0000-0000E2040000}"/>
    <cellStyle name="20% - Ênfase1 4 3 2 3 2" xfId="1403" xr:uid="{00000000-0005-0000-0000-0000E3040000}"/>
    <cellStyle name="20% - Ênfase1 4 3 2 4" xfId="1404" xr:uid="{00000000-0005-0000-0000-0000E4040000}"/>
    <cellStyle name="20% - Ênfase1 4 3 3" xfId="1405" xr:uid="{00000000-0005-0000-0000-0000E5040000}"/>
    <cellStyle name="20% - Ênfase1 4 3 3 2" xfId="1406" xr:uid="{00000000-0005-0000-0000-0000E6040000}"/>
    <cellStyle name="20% - Ênfase1 4 3 3 2 2" xfId="1407" xr:uid="{00000000-0005-0000-0000-0000E7040000}"/>
    <cellStyle name="20% - Ênfase1 4 3 3 3" xfId="1408" xr:uid="{00000000-0005-0000-0000-0000E8040000}"/>
    <cellStyle name="20% - Ênfase1 4 3 3 3 2" xfId="1409" xr:uid="{00000000-0005-0000-0000-0000E9040000}"/>
    <cellStyle name="20% - Ênfase1 4 3 3 4" xfId="1410" xr:uid="{00000000-0005-0000-0000-0000EA040000}"/>
    <cellStyle name="20% - Ênfase1 4 3 4" xfId="1411" xr:uid="{00000000-0005-0000-0000-0000EB040000}"/>
    <cellStyle name="20% - Ênfase1 4 3 4 2" xfId="1412" xr:uid="{00000000-0005-0000-0000-0000EC040000}"/>
    <cellStyle name="20% - Ênfase1 4 3 5" xfId="1413" xr:uid="{00000000-0005-0000-0000-0000ED040000}"/>
    <cellStyle name="20% - Ênfase1 4 3 5 2" xfId="1414" xr:uid="{00000000-0005-0000-0000-0000EE040000}"/>
    <cellStyle name="20% - Ênfase1 4 3 6" xfId="1415" xr:uid="{00000000-0005-0000-0000-0000EF040000}"/>
    <cellStyle name="20% - Ênfase1 4 4" xfId="1416" xr:uid="{00000000-0005-0000-0000-0000F0040000}"/>
    <cellStyle name="20% - Ênfase1 4 4 2" xfId="1417" xr:uid="{00000000-0005-0000-0000-0000F1040000}"/>
    <cellStyle name="20% - Ênfase1 4 4 2 2" xfId="1418" xr:uid="{00000000-0005-0000-0000-0000F2040000}"/>
    <cellStyle name="20% - Ênfase1 4 4 2 2 2" xfId="1419" xr:uid="{00000000-0005-0000-0000-0000F3040000}"/>
    <cellStyle name="20% - Ênfase1 4 4 2 3" xfId="1420" xr:uid="{00000000-0005-0000-0000-0000F4040000}"/>
    <cellStyle name="20% - Ênfase1 4 4 2 3 2" xfId="1421" xr:uid="{00000000-0005-0000-0000-0000F5040000}"/>
    <cellStyle name="20% - Ênfase1 4 4 2 4" xfId="1422" xr:uid="{00000000-0005-0000-0000-0000F6040000}"/>
    <cellStyle name="20% - Ênfase1 4 4 3" xfId="1423" xr:uid="{00000000-0005-0000-0000-0000F7040000}"/>
    <cellStyle name="20% - Ênfase1 4 4 3 2" xfId="1424" xr:uid="{00000000-0005-0000-0000-0000F8040000}"/>
    <cellStyle name="20% - Ênfase1 4 4 3 2 2" xfId="1425" xr:uid="{00000000-0005-0000-0000-0000F9040000}"/>
    <cellStyle name="20% - Ênfase1 4 4 3 3" xfId="1426" xr:uid="{00000000-0005-0000-0000-0000FA040000}"/>
    <cellStyle name="20% - Ênfase1 4 4 3 3 2" xfId="1427" xr:uid="{00000000-0005-0000-0000-0000FB040000}"/>
    <cellStyle name="20% - Ênfase1 4 4 3 4" xfId="1428" xr:uid="{00000000-0005-0000-0000-0000FC040000}"/>
    <cellStyle name="20% - Ênfase1 4 4 4" xfId="1429" xr:uid="{00000000-0005-0000-0000-0000FD040000}"/>
    <cellStyle name="20% - Ênfase1 4 4 4 2" xfId="1430" xr:uid="{00000000-0005-0000-0000-0000FE040000}"/>
    <cellStyle name="20% - Ênfase1 4 4 5" xfId="1431" xr:uid="{00000000-0005-0000-0000-0000FF040000}"/>
    <cellStyle name="20% - Ênfase1 4 4 5 2" xfId="1432" xr:uid="{00000000-0005-0000-0000-000000050000}"/>
    <cellStyle name="20% - Ênfase1 4 4 6" xfId="1433" xr:uid="{00000000-0005-0000-0000-000001050000}"/>
    <cellStyle name="20% - Ênfase1 4 5" xfId="1434" xr:uid="{00000000-0005-0000-0000-000002050000}"/>
    <cellStyle name="20% - Ênfase1 4 5 2" xfId="1435" xr:uid="{00000000-0005-0000-0000-000003050000}"/>
    <cellStyle name="20% - Ênfase1 4 5 2 2" xfId="1436" xr:uid="{00000000-0005-0000-0000-000004050000}"/>
    <cellStyle name="20% - Ênfase1 4 5 3" xfId="1437" xr:uid="{00000000-0005-0000-0000-000005050000}"/>
    <cellStyle name="20% - Ênfase1 4 5 3 2" xfId="1438" xr:uid="{00000000-0005-0000-0000-000006050000}"/>
    <cellStyle name="20% - Ênfase1 4 5 4" xfId="1439" xr:uid="{00000000-0005-0000-0000-000007050000}"/>
    <cellStyle name="20% - Ênfase1 4 6" xfId="1440" xr:uid="{00000000-0005-0000-0000-000008050000}"/>
    <cellStyle name="20% - Ênfase1 4 6 2" xfId="1441" xr:uid="{00000000-0005-0000-0000-000009050000}"/>
    <cellStyle name="20% - Ênfase1 4 6 2 2" xfId="1442" xr:uid="{00000000-0005-0000-0000-00000A050000}"/>
    <cellStyle name="20% - Ênfase1 4 6 3" xfId="1443" xr:uid="{00000000-0005-0000-0000-00000B050000}"/>
    <cellStyle name="20% - Ênfase1 4 7" xfId="1444" xr:uid="{00000000-0005-0000-0000-00000C050000}"/>
    <cellStyle name="20% - Ênfase1 4 7 2" xfId="1445" xr:uid="{00000000-0005-0000-0000-00000D050000}"/>
    <cellStyle name="20% - Ênfase1 4 7 2 2" xfId="1446" xr:uid="{00000000-0005-0000-0000-00000E050000}"/>
    <cellStyle name="20% - Ênfase1 4 7 3" xfId="1447" xr:uid="{00000000-0005-0000-0000-00000F050000}"/>
    <cellStyle name="20% - Ênfase1 4 8" xfId="1448" xr:uid="{00000000-0005-0000-0000-000010050000}"/>
    <cellStyle name="20% - Ênfase1 4 8 2" xfId="1449" xr:uid="{00000000-0005-0000-0000-000011050000}"/>
    <cellStyle name="20% - Ênfase1 4 8 2 2" xfId="1450" xr:uid="{00000000-0005-0000-0000-000012050000}"/>
    <cellStyle name="20% - Ênfase1 4 8 3" xfId="1451" xr:uid="{00000000-0005-0000-0000-000013050000}"/>
    <cellStyle name="20% - Ênfase1 4 9" xfId="1452" xr:uid="{00000000-0005-0000-0000-000014050000}"/>
    <cellStyle name="20% - Ênfase1 4 9 2" xfId="1453" xr:uid="{00000000-0005-0000-0000-000015050000}"/>
    <cellStyle name="20% - Ênfase1 4 9 2 2" xfId="1454" xr:uid="{00000000-0005-0000-0000-000016050000}"/>
    <cellStyle name="20% - Ênfase1 4 9 3" xfId="1455" xr:uid="{00000000-0005-0000-0000-000017050000}"/>
    <cellStyle name="20% - Ênfase1 5" xfId="1456" xr:uid="{00000000-0005-0000-0000-000018050000}"/>
    <cellStyle name="20% - Ênfase1 5 10" xfId="1457" xr:uid="{00000000-0005-0000-0000-000019050000}"/>
    <cellStyle name="20% - Ênfase1 5 2" xfId="1458" xr:uid="{00000000-0005-0000-0000-00001A050000}"/>
    <cellStyle name="20% - Ênfase1 5 2 2" xfId="1459" xr:uid="{00000000-0005-0000-0000-00001B050000}"/>
    <cellStyle name="20% - Ênfase1 5 2 2 2" xfId="1460" xr:uid="{00000000-0005-0000-0000-00001C050000}"/>
    <cellStyle name="20% - Ênfase1 5 2 2 2 2" xfId="1461" xr:uid="{00000000-0005-0000-0000-00001D050000}"/>
    <cellStyle name="20% - Ênfase1 5 2 2 2 2 2" xfId="1462" xr:uid="{00000000-0005-0000-0000-00001E050000}"/>
    <cellStyle name="20% - Ênfase1 5 2 2 2 3" xfId="1463" xr:uid="{00000000-0005-0000-0000-00001F050000}"/>
    <cellStyle name="20% - Ênfase1 5 2 2 2 3 2" xfId="1464" xr:uid="{00000000-0005-0000-0000-000020050000}"/>
    <cellStyle name="20% - Ênfase1 5 2 2 2 4" xfId="1465" xr:uid="{00000000-0005-0000-0000-000021050000}"/>
    <cellStyle name="20% - Ênfase1 5 2 2 3" xfId="1466" xr:uid="{00000000-0005-0000-0000-000022050000}"/>
    <cellStyle name="20% - Ênfase1 5 2 2 3 2" xfId="1467" xr:uid="{00000000-0005-0000-0000-000023050000}"/>
    <cellStyle name="20% - Ênfase1 5 2 2 4" xfId="1468" xr:uid="{00000000-0005-0000-0000-000024050000}"/>
    <cellStyle name="20% - Ênfase1 5 2 2 4 2" xfId="1469" xr:uid="{00000000-0005-0000-0000-000025050000}"/>
    <cellStyle name="20% - Ênfase1 5 2 2 5" xfId="1470" xr:uid="{00000000-0005-0000-0000-000026050000}"/>
    <cellStyle name="20% - Ênfase1 5 2 3" xfId="1471" xr:uid="{00000000-0005-0000-0000-000027050000}"/>
    <cellStyle name="20% - Ênfase1 5 2 3 2" xfId="1472" xr:uid="{00000000-0005-0000-0000-000028050000}"/>
    <cellStyle name="20% - Ênfase1 5 2 3 2 2" xfId="1473" xr:uid="{00000000-0005-0000-0000-000029050000}"/>
    <cellStyle name="20% - Ênfase1 5 2 3 3" xfId="1474" xr:uid="{00000000-0005-0000-0000-00002A050000}"/>
    <cellStyle name="20% - Ênfase1 5 2 3 3 2" xfId="1475" xr:uid="{00000000-0005-0000-0000-00002B050000}"/>
    <cellStyle name="20% - Ênfase1 5 2 3 4" xfId="1476" xr:uid="{00000000-0005-0000-0000-00002C050000}"/>
    <cellStyle name="20% - Ênfase1 5 2 4" xfId="1477" xr:uid="{00000000-0005-0000-0000-00002D050000}"/>
    <cellStyle name="20% - Ênfase1 5 2 4 2" xfId="1478" xr:uid="{00000000-0005-0000-0000-00002E050000}"/>
    <cellStyle name="20% - Ênfase1 5 2 4 2 2" xfId="1479" xr:uid="{00000000-0005-0000-0000-00002F050000}"/>
    <cellStyle name="20% - Ênfase1 5 2 4 3" xfId="1480" xr:uid="{00000000-0005-0000-0000-000030050000}"/>
    <cellStyle name="20% - Ênfase1 5 2 5" xfId="1481" xr:uid="{00000000-0005-0000-0000-000031050000}"/>
    <cellStyle name="20% - Ênfase1 5 2 5 2" xfId="1482" xr:uid="{00000000-0005-0000-0000-000032050000}"/>
    <cellStyle name="20% - Ênfase1 5 2 6" xfId="1483" xr:uid="{00000000-0005-0000-0000-000033050000}"/>
    <cellStyle name="20% - Ênfase1 5 3" xfId="1484" xr:uid="{00000000-0005-0000-0000-000034050000}"/>
    <cellStyle name="20% - Ênfase1 5 3 2" xfId="1485" xr:uid="{00000000-0005-0000-0000-000035050000}"/>
    <cellStyle name="20% - Ênfase1 5 3 2 2" xfId="1486" xr:uid="{00000000-0005-0000-0000-000036050000}"/>
    <cellStyle name="20% - Ênfase1 5 3 2 2 2" xfId="1487" xr:uid="{00000000-0005-0000-0000-000037050000}"/>
    <cellStyle name="20% - Ênfase1 5 3 2 3" xfId="1488" xr:uid="{00000000-0005-0000-0000-000038050000}"/>
    <cellStyle name="20% - Ênfase1 5 3 2 3 2" xfId="1489" xr:uid="{00000000-0005-0000-0000-000039050000}"/>
    <cellStyle name="20% - Ênfase1 5 3 2 4" xfId="1490" xr:uid="{00000000-0005-0000-0000-00003A050000}"/>
    <cellStyle name="20% - Ênfase1 5 3 3" xfId="1491" xr:uid="{00000000-0005-0000-0000-00003B050000}"/>
    <cellStyle name="20% - Ênfase1 5 3 3 2" xfId="1492" xr:uid="{00000000-0005-0000-0000-00003C050000}"/>
    <cellStyle name="20% - Ênfase1 5 3 3 2 2" xfId="1493" xr:uid="{00000000-0005-0000-0000-00003D050000}"/>
    <cellStyle name="20% - Ênfase1 5 3 3 3" xfId="1494" xr:uid="{00000000-0005-0000-0000-00003E050000}"/>
    <cellStyle name="20% - Ênfase1 5 3 3 3 2" xfId="1495" xr:uid="{00000000-0005-0000-0000-00003F050000}"/>
    <cellStyle name="20% - Ênfase1 5 3 3 4" xfId="1496" xr:uid="{00000000-0005-0000-0000-000040050000}"/>
    <cellStyle name="20% - Ênfase1 5 3 4" xfId="1497" xr:uid="{00000000-0005-0000-0000-000041050000}"/>
    <cellStyle name="20% - Ênfase1 5 3 4 2" xfId="1498" xr:uid="{00000000-0005-0000-0000-000042050000}"/>
    <cellStyle name="20% - Ênfase1 5 3 5" xfId="1499" xr:uid="{00000000-0005-0000-0000-000043050000}"/>
    <cellStyle name="20% - Ênfase1 5 3 5 2" xfId="1500" xr:uid="{00000000-0005-0000-0000-000044050000}"/>
    <cellStyle name="20% - Ênfase1 5 3 6" xfId="1501" xr:uid="{00000000-0005-0000-0000-000045050000}"/>
    <cellStyle name="20% - Ênfase1 5 4" xfId="1502" xr:uid="{00000000-0005-0000-0000-000046050000}"/>
    <cellStyle name="20% - Ênfase1 5 4 2" xfId="1503" xr:uid="{00000000-0005-0000-0000-000047050000}"/>
    <cellStyle name="20% - Ênfase1 5 4 2 2" xfId="1504" xr:uid="{00000000-0005-0000-0000-000048050000}"/>
    <cellStyle name="20% - Ênfase1 5 4 3" xfId="1505" xr:uid="{00000000-0005-0000-0000-000049050000}"/>
    <cellStyle name="20% - Ênfase1 5 4 3 2" xfId="1506" xr:uid="{00000000-0005-0000-0000-00004A050000}"/>
    <cellStyle name="20% - Ênfase1 5 4 4" xfId="1507" xr:uid="{00000000-0005-0000-0000-00004B050000}"/>
    <cellStyle name="20% - Ênfase1 5 5" xfId="1508" xr:uid="{00000000-0005-0000-0000-00004C050000}"/>
    <cellStyle name="20% - Ênfase1 5 5 2" xfId="1509" xr:uid="{00000000-0005-0000-0000-00004D050000}"/>
    <cellStyle name="20% - Ênfase1 5 5 2 2" xfId="1510" xr:uid="{00000000-0005-0000-0000-00004E050000}"/>
    <cellStyle name="20% - Ênfase1 5 5 3" xfId="1511" xr:uid="{00000000-0005-0000-0000-00004F050000}"/>
    <cellStyle name="20% - Ênfase1 5 6" xfId="1512" xr:uid="{00000000-0005-0000-0000-000050050000}"/>
    <cellStyle name="20% - Ênfase1 5 6 2" xfId="1513" xr:uid="{00000000-0005-0000-0000-000051050000}"/>
    <cellStyle name="20% - Ênfase1 5 6 2 2" xfId="1514" xr:uid="{00000000-0005-0000-0000-000052050000}"/>
    <cellStyle name="20% - Ênfase1 5 6 3" xfId="1515" xr:uid="{00000000-0005-0000-0000-000053050000}"/>
    <cellStyle name="20% - Ênfase1 5 7" xfId="1516" xr:uid="{00000000-0005-0000-0000-000054050000}"/>
    <cellStyle name="20% - Ênfase1 5 7 2" xfId="1517" xr:uid="{00000000-0005-0000-0000-000055050000}"/>
    <cellStyle name="20% - Ênfase1 5 7 2 2" xfId="1518" xr:uid="{00000000-0005-0000-0000-000056050000}"/>
    <cellStyle name="20% - Ênfase1 5 7 3" xfId="1519" xr:uid="{00000000-0005-0000-0000-000057050000}"/>
    <cellStyle name="20% - Ênfase1 5 8" xfId="1520" xr:uid="{00000000-0005-0000-0000-000058050000}"/>
    <cellStyle name="20% - Ênfase1 5 8 2" xfId="1521" xr:uid="{00000000-0005-0000-0000-000059050000}"/>
    <cellStyle name="20% - Ênfase1 5 8 2 2" xfId="1522" xr:uid="{00000000-0005-0000-0000-00005A050000}"/>
    <cellStyle name="20% - Ênfase1 5 8 3" xfId="1523" xr:uid="{00000000-0005-0000-0000-00005B050000}"/>
    <cellStyle name="20% - Ênfase1 5 9" xfId="1524" xr:uid="{00000000-0005-0000-0000-00005C050000}"/>
    <cellStyle name="20% - Ênfase1 5 9 2" xfId="1525" xr:uid="{00000000-0005-0000-0000-00005D050000}"/>
    <cellStyle name="20% - Ênfase1 6" xfId="1526" xr:uid="{00000000-0005-0000-0000-00005E050000}"/>
    <cellStyle name="20% - Ênfase1 6 2" xfId="1527" xr:uid="{00000000-0005-0000-0000-00005F050000}"/>
    <cellStyle name="20% - Ênfase1 6 2 2" xfId="1528" xr:uid="{00000000-0005-0000-0000-000060050000}"/>
    <cellStyle name="20% - Ênfase1 6 2 2 2" xfId="1529" xr:uid="{00000000-0005-0000-0000-000061050000}"/>
    <cellStyle name="20% - Ênfase1 6 2 2 2 2" xfId="1530" xr:uid="{00000000-0005-0000-0000-000062050000}"/>
    <cellStyle name="20% - Ênfase1 6 2 2 2 2 2" xfId="1531" xr:uid="{00000000-0005-0000-0000-000063050000}"/>
    <cellStyle name="20% - Ênfase1 6 2 2 2 3" xfId="1532" xr:uid="{00000000-0005-0000-0000-000064050000}"/>
    <cellStyle name="20% - Ênfase1 6 2 2 2 3 2" xfId="1533" xr:uid="{00000000-0005-0000-0000-000065050000}"/>
    <cellStyle name="20% - Ênfase1 6 2 2 2 4" xfId="1534" xr:uid="{00000000-0005-0000-0000-000066050000}"/>
    <cellStyle name="20% - Ênfase1 6 2 2 3" xfId="1535" xr:uid="{00000000-0005-0000-0000-000067050000}"/>
    <cellStyle name="20% - Ênfase1 6 2 2 3 2" xfId="1536" xr:uid="{00000000-0005-0000-0000-000068050000}"/>
    <cellStyle name="20% - Ênfase1 6 2 2 4" xfId="1537" xr:uid="{00000000-0005-0000-0000-000069050000}"/>
    <cellStyle name="20% - Ênfase1 6 2 2 4 2" xfId="1538" xr:uid="{00000000-0005-0000-0000-00006A050000}"/>
    <cellStyle name="20% - Ênfase1 6 2 2 5" xfId="1539" xr:uid="{00000000-0005-0000-0000-00006B050000}"/>
    <cellStyle name="20% - Ênfase1 6 2 3" xfId="1540" xr:uid="{00000000-0005-0000-0000-00006C050000}"/>
    <cellStyle name="20% - Ênfase1 6 2 3 2" xfId="1541" xr:uid="{00000000-0005-0000-0000-00006D050000}"/>
    <cellStyle name="20% - Ênfase1 6 2 3 2 2" xfId="1542" xr:uid="{00000000-0005-0000-0000-00006E050000}"/>
    <cellStyle name="20% - Ênfase1 6 2 3 3" xfId="1543" xr:uid="{00000000-0005-0000-0000-00006F050000}"/>
    <cellStyle name="20% - Ênfase1 6 2 3 3 2" xfId="1544" xr:uid="{00000000-0005-0000-0000-000070050000}"/>
    <cellStyle name="20% - Ênfase1 6 2 3 4" xfId="1545" xr:uid="{00000000-0005-0000-0000-000071050000}"/>
    <cellStyle name="20% - Ênfase1 6 2 4" xfId="1546" xr:uid="{00000000-0005-0000-0000-000072050000}"/>
    <cellStyle name="20% - Ênfase1 6 2 4 2" xfId="1547" xr:uid="{00000000-0005-0000-0000-000073050000}"/>
    <cellStyle name="20% - Ênfase1 6 2 4 2 2" xfId="1548" xr:uid="{00000000-0005-0000-0000-000074050000}"/>
    <cellStyle name="20% - Ênfase1 6 2 4 3" xfId="1549" xr:uid="{00000000-0005-0000-0000-000075050000}"/>
    <cellStyle name="20% - Ênfase1 6 2 5" xfId="1550" xr:uid="{00000000-0005-0000-0000-000076050000}"/>
    <cellStyle name="20% - Ênfase1 6 2 5 2" xfId="1551" xr:uid="{00000000-0005-0000-0000-000077050000}"/>
    <cellStyle name="20% - Ênfase1 6 2 6" xfId="1552" xr:uid="{00000000-0005-0000-0000-000078050000}"/>
    <cellStyle name="20% - Ênfase1 6 3" xfId="1553" xr:uid="{00000000-0005-0000-0000-000079050000}"/>
    <cellStyle name="20% - Ênfase1 6 3 2" xfId="1554" xr:uid="{00000000-0005-0000-0000-00007A050000}"/>
    <cellStyle name="20% - Ênfase1 6 3 2 2" xfId="1555" xr:uid="{00000000-0005-0000-0000-00007B050000}"/>
    <cellStyle name="20% - Ênfase1 6 3 2 2 2" xfId="1556" xr:uid="{00000000-0005-0000-0000-00007C050000}"/>
    <cellStyle name="20% - Ênfase1 6 3 2 3" xfId="1557" xr:uid="{00000000-0005-0000-0000-00007D050000}"/>
    <cellStyle name="20% - Ênfase1 6 3 2 3 2" xfId="1558" xr:uid="{00000000-0005-0000-0000-00007E050000}"/>
    <cellStyle name="20% - Ênfase1 6 3 2 4" xfId="1559" xr:uid="{00000000-0005-0000-0000-00007F050000}"/>
    <cellStyle name="20% - Ênfase1 6 3 3" xfId="1560" xr:uid="{00000000-0005-0000-0000-000080050000}"/>
    <cellStyle name="20% - Ênfase1 6 3 3 2" xfId="1561" xr:uid="{00000000-0005-0000-0000-000081050000}"/>
    <cellStyle name="20% - Ênfase1 6 3 4" xfId="1562" xr:uid="{00000000-0005-0000-0000-000082050000}"/>
    <cellStyle name="20% - Ênfase1 6 3 4 2" xfId="1563" xr:uid="{00000000-0005-0000-0000-000083050000}"/>
    <cellStyle name="20% - Ênfase1 6 3 5" xfId="1564" xr:uid="{00000000-0005-0000-0000-000084050000}"/>
    <cellStyle name="20% - Ênfase1 6 4" xfId="1565" xr:uid="{00000000-0005-0000-0000-000085050000}"/>
    <cellStyle name="20% - Ênfase1 6 4 2" xfId="1566" xr:uid="{00000000-0005-0000-0000-000086050000}"/>
    <cellStyle name="20% - Ênfase1 6 4 2 2" xfId="1567" xr:uid="{00000000-0005-0000-0000-000087050000}"/>
    <cellStyle name="20% - Ênfase1 6 4 3" xfId="1568" xr:uid="{00000000-0005-0000-0000-000088050000}"/>
    <cellStyle name="20% - Ênfase1 6 4 3 2" xfId="1569" xr:uid="{00000000-0005-0000-0000-000089050000}"/>
    <cellStyle name="20% - Ênfase1 6 4 4" xfId="1570" xr:uid="{00000000-0005-0000-0000-00008A050000}"/>
    <cellStyle name="20% - Ênfase1 6 5" xfId="1571" xr:uid="{00000000-0005-0000-0000-00008B050000}"/>
    <cellStyle name="20% - Ênfase1 6 5 2" xfId="1572" xr:uid="{00000000-0005-0000-0000-00008C050000}"/>
    <cellStyle name="20% - Ênfase1 6 5 2 2" xfId="1573" xr:uid="{00000000-0005-0000-0000-00008D050000}"/>
    <cellStyle name="20% - Ênfase1 6 5 3" xfId="1574" xr:uid="{00000000-0005-0000-0000-00008E050000}"/>
    <cellStyle name="20% - Ênfase1 6 6" xfId="1575" xr:uid="{00000000-0005-0000-0000-00008F050000}"/>
    <cellStyle name="20% - Ênfase1 6 6 2" xfId="1576" xr:uid="{00000000-0005-0000-0000-000090050000}"/>
    <cellStyle name="20% - Ênfase1 6 7" xfId="1577" xr:uid="{00000000-0005-0000-0000-000091050000}"/>
    <cellStyle name="20% - Ênfase1 7" xfId="1578" xr:uid="{00000000-0005-0000-0000-000092050000}"/>
    <cellStyle name="20% - Ênfase1 7 2" xfId="1579" xr:uid="{00000000-0005-0000-0000-000093050000}"/>
    <cellStyle name="20% - Ênfase1 7 2 2" xfId="1580" xr:uid="{00000000-0005-0000-0000-000094050000}"/>
    <cellStyle name="20% - Ênfase1 7 2 2 2" xfId="1581" xr:uid="{00000000-0005-0000-0000-000095050000}"/>
    <cellStyle name="20% - Ênfase1 7 2 2 2 2" xfId="1582" xr:uid="{00000000-0005-0000-0000-000096050000}"/>
    <cellStyle name="20% - Ênfase1 7 2 2 2 2 2" xfId="1583" xr:uid="{00000000-0005-0000-0000-000097050000}"/>
    <cellStyle name="20% - Ênfase1 7 2 2 2 3" xfId="1584" xr:uid="{00000000-0005-0000-0000-000098050000}"/>
    <cellStyle name="20% - Ênfase1 7 2 2 2 3 2" xfId="1585" xr:uid="{00000000-0005-0000-0000-000099050000}"/>
    <cellStyle name="20% - Ênfase1 7 2 2 2 4" xfId="1586" xr:uid="{00000000-0005-0000-0000-00009A050000}"/>
    <cellStyle name="20% - Ênfase1 7 2 2 3" xfId="1587" xr:uid="{00000000-0005-0000-0000-00009B050000}"/>
    <cellStyle name="20% - Ênfase1 7 2 2 3 2" xfId="1588" xr:uid="{00000000-0005-0000-0000-00009C050000}"/>
    <cellStyle name="20% - Ênfase1 7 2 2 4" xfId="1589" xr:uid="{00000000-0005-0000-0000-00009D050000}"/>
    <cellStyle name="20% - Ênfase1 7 2 2 4 2" xfId="1590" xr:uid="{00000000-0005-0000-0000-00009E050000}"/>
    <cellStyle name="20% - Ênfase1 7 2 2 5" xfId="1591" xr:uid="{00000000-0005-0000-0000-00009F050000}"/>
    <cellStyle name="20% - Ênfase1 7 2 3" xfId="1592" xr:uid="{00000000-0005-0000-0000-0000A0050000}"/>
    <cellStyle name="20% - Ênfase1 7 2 3 2" xfId="1593" xr:uid="{00000000-0005-0000-0000-0000A1050000}"/>
    <cellStyle name="20% - Ênfase1 7 2 3 2 2" xfId="1594" xr:uid="{00000000-0005-0000-0000-0000A2050000}"/>
    <cellStyle name="20% - Ênfase1 7 2 3 3" xfId="1595" xr:uid="{00000000-0005-0000-0000-0000A3050000}"/>
    <cellStyle name="20% - Ênfase1 7 2 3 3 2" xfId="1596" xr:uid="{00000000-0005-0000-0000-0000A4050000}"/>
    <cellStyle name="20% - Ênfase1 7 2 3 4" xfId="1597" xr:uid="{00000000-0005-0000-0000-0000A5050000}"/>
    <cellStyle name="20% - Ênfase1 7 2 4" xfId="1598" xr:uid="{00000000-0005-0000-0000-0000A6050000}"/>
    <cellStyle name="20% - Ênfase1 7 2 4 2" xfId="1599" xr:uid="{00000000-0005-0000-0000-0000A7050000}"/>
    <cellStyle name="20% - Ênfase1 7 2 4 2 2" xfId="1600" xr:uid="{00000000-0005-0000-0000-0000A8050000}"/>
    <cellStyle name="20% - Ênfase1 7 2 4 3" xfId="1601" xr:uid="{00000000-0005-0000-0000-0000A9050000}"/>
    <cellStyle name="20% - Ênfase1 7 2 5" xfId="1602" xr:uid="{00000000-0005-0000-0000-0000AA050000}"/>
    <cellStyle name="20% - Ênfase1 7 2 5 2" xfId="1603" xr:uid="{00000000-0005-0000-0000-0000AB050000}"/>
    <cellStyle name="20% - Ênfase1 7 2 6" xfId="1604" xr:uid="{00000000-0005-0000-0000-0000AC050000}"/>
    <cellStyle name="20% - Ênfase1 7 3" xfId="1605" xr:uid="{00000000-0005-0000-0000-0000AD050000}"/>
    <cellStyle name="20% - Ênfase1 7 3 2" xfId="1606" xr:uid="{00000000-0005-0000-0000-0000AE050000}"/>
    <cellStyle name="20% - Ênfase1 7 3 2 2" xfId="1607" xr:uid="{00000000-0005-0000-0000-0000AF050000}"/>
    <cellStyle name="20% - Ênfase1 7 3 2 2 2" xfId="1608" xr:uid="{00000000-0005-0000-0000-0000B0050000}"/>
    <cellStyle name="20% - Ênfase1 7 3 2 3" xfId="1609" xr:uid="{00000000-0005-0000-0000-0000B1050000}"/>
    <cellStyle name="20% - Ênfase1 7 3 2 3 2" xfId="1610" xr:uid="{00000000-0005-0000-0000-0000B2050000}"/>
    <cellStyle name="20% - Ênfase1 7 3 2 4" xfId="1611" xr:uid="{00000000-0005-0000-0000-0000B3050000}"/>
    <cellStyle name="20% - Ênfase1 7 3 3" xfId="1612" xr:uid="{00000000-0005-0000-0000-0000B4050000}"/>
    <cellStyle name="20% - Ênfase1 7 3 3 2" xfId="1613" xr:uid="{00000000-0005-0000-0000-0000B5050000}"/>
    <cellStyle name="20% - Ênfase1 7 3 4" xfId="1614" xr:uid="{00000000-0005-0000-0000-0000B6050000}"/>
    <cellStyle name="20% - Ênfase1 7 3 4 2" xfId="1615" xr:uid="{00000000-0005-0000-0000-0000B7050000}"/>
    <cellStyle name="20% - Ênfase1 7 3 5" xfId="1616" xr:uid="{00000000-0005-0000-0000-0000B8050000}"/>
    <cellStyle name="20% - Ênfase1 7 4" xfId="1617" xr:uid="{00000000-0005-0000-0000-0000B9050000}"/>
    <cellStyle name="20% - Ênfase1 7 4 2" xfId="1618" xr:uid="{00000000-0005-0000-0000-0000BA050000}"/>
    <cellStyle name="20% - Ênfase1 7 4 2 2" xfId="1619" xr:uid="{00000000-0005-0000-0000-0000BB050000}"/>
    <cellStyle name="20% - Ênfase1 7 4 3" xfId="1620" xr:uid="{00000000-0005-0000-0000-0000BC050000}"/>
    <cellStyle name="20% - Ênfase1 7 4 3 2" xfId="1621" xr:uid="{00000000-0005-0000-0000-0000BD050000}"/>
    <cellStyle name="20% - Ênfase1 7 4 4" xfId="1622" xr:uid="{00000000-0005-0000-0000-0000BE050000}"/>
    <cellStyle name="20% - Ênfase1 7 5" xfId="1623" xr:uid="{00000000-0005-0000-0000-0000BF050000}"/>
    <cellStyle name="20% - Ênfase1 7 5 2" xfId="1624" xr:uid="{00000000-0005-0000-0000-0000C0050000}"/>
    <cellStyle name="20% - Ênfase1 7 5 2 2" xfId="1625" xr:uid="{00000000-0005-0000-0000-0000C1050000}"/>
    <cellStyle name="20% - Ênfase1 7 5 3" xfId="1626" xr:uid="{00000000-0005-0000-0000-0000C2050000}"/>
    <cellStyle name="20% - Ênfase1 7 6" xfId="1627" xr:uid="{00000000-0005-0000-0000-0000C3050000}"/>
    <cellStyle name="20% - Ênfase1 7 6 2" xfId="1628" xr:uid="{00000000-0005-0000-0000-0000C4050000}"/>
    <cellStyle name="20% - Ênfase1 7 7" xfId="1629" xr:uid="{00000000-0005-0000-0000-0000C5050000}"/>
    <cellStyle name="20% - Ênfase1 8" xfId="1630" xr:uid="{00000000-0005-0000-0000-0000C6050000}"/>
    <cellStyle name="20% - Ênfase1 8 2" xfId="1631" xr:uid="{00000000-0005-0000-0000-0000C7050000}"/>
    <cellStyle name="20% - Ênfase1 8 2 2" xfId="1632" xr:uid="{00000000-0005-0000-0000-0000C8050000}"/>
    <cellStyle name="20% - Ênfase1 8 2 2 2" xfId="1633" xr:uid="{00000000-0005-0000-0000-0000C9050000}"/>
    <cellStyle name="20% - Ênfase1 8 2 2 2 2" xfId="1634" xr:uid="{00000000-0005-0000-0000-0000CA050000}"/>
    <cellStyle name="20% - Ênfase1 8 2 2 2 2 2" xfId="1635" xr:uid="{00000000-0005-0000-0000-0000CB050000}"/>
    <cellStyle name="20% - Ênfase1 8 2 2 2 3" xfId="1636" xr:uid="{00000000-0005-0000-0000-0000CC050000}"/>
    <cellStyle name="20% - Ênfase1 8 2 2 2 3 2" xfId="1637" xr:uid="{00000000-0005-0000-0000-0000CD050000}"/>
    <cellStyle name="20% - Ênfase1 8 2 2 2 4" xfId="1638" xr:uid="{00000000-0005-0000-0000-0000CE050000}"/>
    <cellStyle name="20% - Ênfase1 8 2 2 3" xfId="1639" xr:uid="{00000000-0005-0000-0000-0000CF050000}"/>
    <cellStyle name="20% - Ênfase1 8 2 2 3 2" xfId="1640" xr:uid="{00000000-0005-0000-0000-0000D0050000}"/>
    <cellStyle name="20% - Ênfase1 8 2 2 4" xfId="1641" xr:uid="{00000000-0005-0000-0000-0000D1050000}"/>
    <cellStyle name="20% - Ênfase1 8 2 2 4 2" xfId="1642" xr:uid="{00000000-0005-0000-0000-0000D2050000}"/>
    <cellStyle name="20% - Ênfase1 8 2 2 5" xfId="1643" xr:uid="{00000000-0005-0000-0000-0000D3050000}"/>
    <cellStyle name="20% - Ênfase1 8 2 3" xfId="1644" xr:uid="{00000000-0005-0000-0000-0000D4050000}"/>
    <cellStyle name="20% - Ênfase1 8 2 3 2" xfId="1645" xr:uid="{00000000-0005-0000-0000-0000D5050000}"/>
    <cellStyle name="20% - Ênfase1 8 2 3 2 2" xfId="1646" xr:uid="{00000000-0005-0000-0000-0000D6050000}"/>
    <cellStyle name="20% - Ênfase1 8 2 3 3" xfId="1647" xr:uid="{00000000-0005-0000-0000-0000D7050000}"/>
    <cellStyle name="20% - Ênfase1 8 2 3 3 2" xfId="1648" xr:uid="{00000000-0005-0000-0000-0000D8050000}"/>
    <cellStyle name="20% - Ênfase1 8 2 3 4" xfId="1649" xr:uid="{00000000-0005-0000-0000-0000D9050000}"/>
    <cellStyle name="20% - Ênfase1 8 2 4" xfId="1650" xr:uid="{00000000-0005-0000-0000-0000DA050000}"/>
    <cellStyle name="20% - Ênfase1 8 2 4 2" xfId="1651" xr:uid="{00000000-0005-0000-0000-0000DB050000}"/>
    <cellStyle name="20% - Ênfase1 8 2 4 2 2" xfId="1652" xr:uid="{00000000-0005-0000-0000-0000DC050000}"/>
    <cellStyle name="20% - Ênfase1 8 2 4 3" xfId="1653" xr:uid="{00000000-0005-0000-0000-0000DD050000}"/>
    <cellStyle name="20% - Ênfase1 8 2 5" xfId="1654" xr:uid="{00000000-0005-0000-0000-0000DE050000}"/>
    <cellStyle name="20% - Ênfase1 8 2 5 2" xfId="1655" xr:uid="{00000000-0005-0000-0000-0000DF050000}"/>
    <cellStyle name="20% - Ênfase1 8 2 6" xfId="1656" xr:uid="{00000000-0005-0000-0000-0000E0050000}"/>
    <cellStyle name="20% - Ênfase1 8 3" xfId="1657" xr:uid="{00000000-0005-0000-0000-0000E1050000}"/>
    <cellStyle name="20% - Ênfase1 8 3 2" xfId="1658" xr:uid="{00000000-0005-0000-0000-0000E2050000}"/>
    <cellStyle name="20% - Ênfase1 8 3 2 2" xfId="1659" xr:uid="{00000000-0005-0000-0000-0000E3050000}"/>
    <cellStyle name="20% - Ênfase1 8 3 2 2 2" xfId="1660" xr:uid="{00000000-0005-0000-0000-0000E4050000}"/>
    <cellStyle name="20% - Ênfase1 8 3 2 3" xfId="1661" xr:uid="{00000000-0005-0000-0000-0000E5050000}"/>
    <cellStyle name="20% - Ênfase1 8 3 2 3 2" xfId="1662" xr:uid="{00000000-0005-0000-0000-0000E6050000}"/>
    <cellStyle name="20% - Ênfase1 8 3 2 4" xfId="1663" xr:uid="{00000000-0005-0000-0000-0000E7050000}"/>
    <cellStyle name="20% - Ênfase1 8 3 3" xfId="1664" xr:uid="{00000000-0005-0000-0000-0000E8050000}"/>
    <cellStyle name="20% - Ênfase1 8 3 3 2" xfId="1665" xr:uid="{00000000-0005-0000-0000-0000E9050000}"/>
    <cellStyle name="20% - Ênfase1 8 3 4" xfId="1666" xr:uid="{00000000-0005-0000-0000-0000EA050000}"/>
    <cellStyle name="20% - Ênfase1 8 3 4 2" xfId="1667" xr:uid="{00000000-0005-0000-0000-0000EB050000}"/>
    <cellStyle name="20% - Ênfase1 8 3 5" xfId="1668" xr:uid="{00000000-0005-0000-0000-0000EC050000}"/>
    <cellStyle name="20% - Ênfase1 8 4" xfId="1669" xr:uid="{00000000-0005-0000-0000-0000ED050000}"/>
    <cellStyle name="20% - Ênfase1 8 4 2" xfId="1670" xr:uid="{00000000-0005-0000-0000-0000EE050000}"/>
    <cellStyle name="20% - Ênfase1 8 4 2 2" xfId="1671" xr:uid="{00000000-0005-0000-0000-0000EF050000}"/>
    <cellStyle name="20% - Ênfase1 8 4 3" xfId="1672" xr:uid="{00000000-0005-0000-0000-0000F0050000}"/>
    <cellStyle name="20% - Ênfase1 8 4 3 2" xfId="1673" xr:uid="{00000000-0005-0000-0000-0000F1050000}"/>
    <cellStyle name="20% - Ênfase1 8 4 4" xfId="1674" xr:uid="{00000000-0005-0000-0000-0000F2050000}"/>
    <cellStyle name="20% - Ênfase1 8 5" xfId="1675" xr:uid="{00000000-0005-0000-0000-0000F3050000}"/>
    <cellStyle name="20% - Ênfase1 8 5 2" xfId="1676" xr:uid="{00000000-0005-0000-0000-0000F4050000}"/>
    <cellStyle name="20% - Ênfase1 8 5 2 2" xfId="1677" xr:uid="{00000000-0005-0000-0000-0000F5050000}"/>
    <cellStyle name="20% - Ênfase1 8 5 3" xfId="1678" xr:uid="{00000000-0005-0000-0000-0000F6050000}"/>
    <cellStyle name="20% - Ênfase1 8 6" xfId="1679" xr:uid="{00000000-0005-0000-0000-0000F7050000}"/>
    <cellStyle name="20% - Ênfase1 8 6 2" xfId="1680" xr:uid="{00000000-0005-0000-0000-0000F8050000}"/>
    <cellStyle name="20% - Ênfase1 8 7" xfId="1681" xr:uid="{00000000-0005-0000-0000-0000F9050000}"/>
    <cellStyle name="20% - Ênfase1 9" xfId="1682" xr:uid="{00000000-0005-0000-0000-0000FA050000}"/>
    <cellStyle name="20% - Ênfase1 9 2" xfId="1683" xr:uid="{00000000-0005-0000-0000-0000FB050000}"/>
    <cellStyle name="20% - Ênfase1 9 2 2" xfId="1684" xr:uid="{00000000-0005-0000-0000-0000FC050000}"/>
    <cellStyle name="20% - Ênfase1 9 2 2 2" xfId="1685" xr:uid="{00000000-0005-0000-0000-0000FD050000}"/>
    <cellStyle name="20% - Ênfase1 9 2 2 2 2" xfId="1686" xr:uid="{00000000-0005-0000-0000-0000FE050000}"/>
    <cellStyle name="20% - Ênfase1 9 2 2 2 2 2" xfId="1687" xr:uid="{00000000-0005-0000-0000-0000FF050000}"/>
    <cellStyle name="20% - Ênfase1 9 2 2 2 3" xfId="1688" xr:uid="{00000000-0005-0000-0000-000000060000}"/>
    <cellStyle name="20% - Ênfase1 9 2 2 2 3 2" xfId="1689" xr:uid="{00000000-0005-0000-0000-000001060000}"/>
    <cellStyle name="20% - Ênfase1 9 2 2 2 4" xfId="1690" xr:uid="{00000000-0005-0000-0000-000002060000}"/>
    <cellStyle name="20% - Ênfase1 9 2 2 3" xfId="1691" xr:uid="{00000000-0005-0000-0000-000003060000}"/>
    <cellStyle name="20% - Ênfase1 9 2 2 3 2" xfId="1692" xr:uid="{00000000-0005-0000-0000-000004060000}"/>
    <cellStyle name="20% - Ênfase1 9 2 2 4" xfId="1693" xr:uid="{00000000-0005-0000-0000-000005060000}"/>
    <cellStyle name="20% - Ênfase1 9 2 2 4 2" xfId="1694" xr:uid="{00000000-0005-0000-0000-000006060000}"/>
    <cellStyle name="20% - Ênfase1 9 2 2 5" xfId="1695" xr:uid="{00000000-0005-0000-0000-000007060000}"/>
    <cellStyle name="20% - Ênfase1 9 2 3" xfId="1696" xr:uid="{00000000-0005-0000-0000-000008060000}"/>
    <cellStyle name="20% - Ênfase1 9 2 3 2" xfId="1697" xr:uid="{00000000-0005-0000-0000-000009060000}"/>
    <cellStyle name="20% - Ênfase1 9 2 3 2 2" xfId="1698" xr:uid="{00000000-0005-0000-0000-00000A060000}"/>
    <cellStyle name="20% - Ênfase1 9 2 3 3" xfId="1699" xr:uid="{00000000-0005-0000-0000-00000B060000}"/>
    <cellStyle name="20% - Ênfase1 9 2 3 3 2" xfId="1700" xr:uid="{00000000-0005-0000-0000-00000C060000}"/>
    <cellStyle name="20% - Ênfase1 9 2 3 4" xfId="1701" xr:uid="{00000000-0005-0000-0000-00000D060000}"/>
    <cellStyle name="20% - Ênfase1 9 2 4" xfId="1702" xr:uid="{00000000-0005-0000-0000-00000E060000}"/>
    <cellStyle name="20% - Ênfase1 9 2 4 2" xfId="1703" xr:uid="{00000000-0005-0000-0000-00000F060000}"/>
    <cellStyle name="20% - Ênfase1 9 2 4 2 2" xfId="1704" xr:uid="{00000000-0005-0000-0000-000010060000}"/>
    <cellStyle name="20% - Ênfase1 9 2 4 3" xfId="1705" xr:uid="{00000000-0005-0000-0000-000011060000}"/>
    <cellStyle name="20% - Ênfase1 9 2 5" xfId="1706" xr:uid="{00000000-0005-0000-0000-000012060000}"/>
    <cellStyle name="20% - Ênfase1 9 2 5 2" xfId="1707" xr:uid="{00000000-0005-0000-0000-000013060000}"/>
    <cellStyle name="20% - Ênfase1 9 2 6" xfId="1708" xr:uid="{00000000-0005-0000-0000-000014060000}"/>
    <cellStyle name="20% - Ênfase1 9 3" xfId="1709" xr:uid="{00000000-0005-0000-0000-000015060000}"/>
    <cellStyle name="20% - Ênfase1 9 3 2" xfId="1710" xr:uid="{00000000-0005-0000-0000-000016060000}"/>
    <cellStyle name="20% - Ênfase1 9 3 2 2" xfId="1711" xr:uid="{00000000-0005-0000-0000-000017060000}"/>
    <cellStyle name="20% - Ênfase1 9 3 2 2 2" xfId="1712" xr:uid="{00000000-0005-0000-0000-000018060000}"/>
    <cellStyle name="20% - Ênfase1 9 3 2 3" xfId="1713" xr:uid="{00000000-0005-0000-0000-000019060000}"/>
    <cellStyle name="20% - Ênfase1 9 3 2 3 2" xfId="1714" xr:uid="{00000000-0005-0000-0000-00001A060000}"/>
    <cellStyle name="20% - Ênfase1 9 3 2 4" xfId="1715" xr:uid="{00000000-0005-0000-0000-00001B060000}"/>
    <cellStyle name="20% - Ênfase1 9 3 3" xfId="1716" xr:uid="{00000000-0005-0000-0000-00001C060000}"/>
    <cellStyle name="20% - Ênfase1 9 3 3 2" xfId="1717" xr:uid="{00000000-0005-0000-0000-00001D060000}"/>
    <cellStyle name="20% - Ênfase1 9 3 4" xfId="1718" xr:uid="{00000000-0005-0000-0000-00001E060000}"/>
    <cellStyle name="20% - Ênfase1 9 3 4 2" xfId="1719" xr:uid="{00000000-0005-0000-0000-00001F060000}"/>
    <cellStyle name="20% - Ênfase1 9 3 5" xfId="1720" xr:uid="{00000000-0005-0000-0000-000020060000}"/>
    <cellStyle name="20% - Ênfase1 9 4" xfId="1721" xr:uid="{00000000-0005-0000-0000-000021060000}"/>
    <cellStyle name="20% - Ênfase1 9 4 2" xfId="1722" xr:uid="{00000000-0005-0000-0000-000022060000}"/>
    <cellStyle name="20% - Ênfase1 9 4 2 2" xfId="1723" xr:uid="{00000000-0005-0000-0000-000023060000}"/>
    <cellStyle name="20% - Ênfase1 9 4 3" xfId="1724" xr:uid="{00000000-0005-0000-0000-000024060000}"/>
    <cellStyle name="20% - Ênfase1 9 4 3 2" xfId="1725" xr:uid="{00000000-0005-0000-0000-000025060000}"/>
    <cellStyle name="20% - Ênfase1 9 4 4" xfId="1726" xr:uid="{00000000-0005-0000-0000-000026060000}"/>
    <cellStyle name="20% - Ênfase1 9 5" xfId="1727" xr:uid="{00000000-0005-0000-0000-000027060000}"/>
    <cellStyle name="20% - Ênfase1 9 5 2" xfId="1728" xr:uid="{00000000-0005-0000-0000-000028060000}"/>
    <cellStyle name="20% - Ênfase1 9 5 2 2" xfId="1729" xr:uid="{00000000-0005-0000-0000-000029060000}"/>
    <cellStyle name="20% - Ênfase1 9 5 3" xfId="1730" xr:uid="{00000000-0005-0000-0000-00002A060000}"/>
    <cellStyle name="20% - Ênfase1 9 6" xfId="1731" xr:uid="{00000000-0005-0000-0000-00002B060000}"/>
    <cellStyle name="20% - Ênfase1 9 6 2" xfId="1732" xr:uid="{00000000-0005-0000-0000-00002C060000}"/>
    <cellStyle name="20% - Ênfase1 9 7" xfId="1733" xr:uid="{00000000-0005-0000-0000-00002D060000}"/>
    <cellStyle name="20% - Ênfase2 10" xfId="1734" xr:uid="{00000000-0005-0000-0000-00002E060000}"/>
    <cellStyle name="20% - Ênfase2 10 2" xfId="1735" xr:uid="{00000000-0005-0000-0000-00002F060000}"/>
    <cellStyle name="20% - Ênfase2 10 2 2" xfId="1736" xr:uid="{00000000-0005-0000-0000-000030060000}"/>
    <cellStyle name="20% - Ênfase2 10 2 2 2" xfId="1737" xr:uid="{00000000-0005-0000-0000-000031060000}"/>
    <cellStyle name="20% - Ênfase2 10 2 2 2 2" xfId="1738" xr:uid="{00000000-0005-0000-0000-000032060000}"/>
    <cellStyle name="20% - Ênfase2 10 2 2 2 2 2" xfId="1739" xr:uid="{00000000-0005-0000-0000-000033060000}"/>
    <cellStyle name="20% - Ênfase2 10 2 2 2 3" xfId="1740" xr:uid="{00000000-0005-0000-0000-000034060000}"/>
    <cellStyle name="20% - Ênfase2 10 2 2 2 3 2" xfId="1741" xr:uid="{00000000-0005-0000-0000-000035060000}"/>
    <cellStyle name="20% - Ênfase2 10 2 2 2 4" xfId="1742" xr:uid="{00000000-0005-0000-0000-000036060000}"/>
    <cellStyle name="20% - Ênfase2 10 2 2 3" xfId="1743" xr:uid="{00000000-0005-0000-0000-000037060000}"/>
    <cellStyle name="20% - Ênfase2 10 2 2 3 2" xfId="1744" xr:uid="{00000000-0005-0000-0000-000038060000}"/>
    <cellStyle name="20% - Ênfase2 10 2 2 4" xfId="1745" xr:uid="{00000000-0005-0000-0000-000039060000}"/>
    <cellStyle name="20% - Ênfase2 10 2 2 4 2" xfId="1746" xr:uid="{00000000-0005-0000-0000-00003A060000}"/>
    <cellStyle name="20% - Ênfase2 10 2 2 5" xfId="1747" xr:uid="{00000000-0005-0000-0000-00003B060000}"/>
    <cellStyle name="20% - Ênfase2 10 2 3" xfId="1748" xr:uid="{00000000-0005-0000-0000-00003C060000}"/>
    <cellStyle name="20% - Ênfase2 10 2 3 2" xfId="1749" xr:uid="{00000000-0005-0000-0000-00003D060000}"/>
    <cellStyle name="20% - Ênfase2 10 2 3 2 2" xfId="1750" xr:uid="{00000000-0005-0000-0000-00003E060000}"/>
    <cellStyle name="20% - Ênfase2 10 2 3 3" xfId="1751" xr:uid="{00000000-0005-0000-0000-00003F060000}"/>
    <cellStyle name="20% - Ênfase2 10 2 3 3 2" xfId="1752" xr:uid="{00000000-0005-0000-0000-000040060000}"/>
    <cellStyle name="20% - Ênfase2 10 2 3 4" xfId="1753" xr:uid="{00000000-0005-0000-0000-000041060000}"/>
    <cellStyle name="20% - Ênfase2 10 2 4" xfId="1754" xr:uid="{00000000-0005-0000-0000-000042060000}"/>
    <cellStyle name="20% - Ênfase2 10 2 4 2" xfId="1755" xr:uid="{00000000-0005-0000-0000-000043060000}"/>
    <cellStyle name="20% - Ênfase2 10 2 4 2 2" xfId="1756" xr:uid="{00000000-0005-0000-0000-000044060000}"/>
    <cellStyle name="20% - Ênfase2 10 2 4 3" xfId="1757" xr:uid="{00000000-0005-0000-0000-000045060000}"/>
    <cellStyle name="20% - Ênfase2 10 2 5" xfId="1758" xr:uid="{00000000-0005-0000-0000-000046060000}"/>
    <cellStyle name="20% - Ênfase2 10 2 5 2" xfId="1759" xr:uid="{00000000-0005-0000-0000-000047060000}"/>
    <cellStyle name="20% - Ênfase2 10 2 6" xfId="1760" xr:uid="{00000000-0005-0000-0000-000048060000}"/>
    <cellStyle name="20% - Ênfase2 10 3" xfId="1761" xr:uid="{00000000-0005-0000-0000-000049060000}"/>
    <cellStyle name="20% - Ênfase2 10 3 2" xfId="1762" xr:uid="{00000000-0005-0000-0000-00004A060000}"/>
    <cellStyle name="20% - Ênfase2 10 3 2 2" xfId="1763" xr:uid="{00000000-0005-0000-0000-00004B060000}"/>
    <cellStyle name="20% - Ênfase2 10 3 2 2 2" xfId="1764" xr:uid="{00000000-0005-0000-0000-00004C060000}"/>
    <cellStyle name="20% - Ênfase2 10 3 2 3" xfId="1765" xr:uid="{00000000-0005-0000-0000-00004D060000}"/>
    <cellStyle name="20% - Ênfase2 10 3 2 3 2" xfId="1766" xr:uid="{00000000-0005-0000-0000-00004E060000}"/>
    <cellStyle name="20% - Ênfase2 10 3 2 4" xfId="1767" xr:uid="{00000000-0005-0000-0000-00004F060000}"/>
    <cellStyle name="20% - Ênfase2 10 3 3" xfId="1768" xr:uid="{00000000-0005-0000-0000-000050060000}"/>
    <cellStyle name="20% - Ênfase2 10 3 3 2" xfId="1769" xr:uid="{00000000-0005-0000-0000-000051060000}"/>
    <cellStyle name="20% - Ênfase2 10 3 4" xfId="1770" xr:uid="{00000000-0005-0000-0000-000052060000}"/>
    <cellStyle name="20% - Ênfase2 10 3 4 2" xfId="1771" xr:uid="{00000000-0005-0000-0000-000053060000}"/>
    <cellStyle name="20% - Ênfase2 10 3 5" xfId="1772" xr:uid="{00000000-0005-0000-0000-000054060000}"/>
    <cellStyle name="20% - Ênfase2 10 4" xfId="1773" xr:uid="{00000000-0005-0000-0000-000055060000}"/>
    <cellStyle name="20% - Ênfase2 10 4 2" xfId="1774" xr:uid="{00000000-0005-0000-0000-000056060000}"/>
    <cellStyle name="20% - Ênfase2 10 4 2 2" xfId="1775" xr:uid="{00000000-0005-0000-0000-000057060000}"/>
    <cellStyle name="20% - Ênfase2 10 4 3" xfId="1776" xr:uid="{00000000-0005-0000-0000-000058060000}"/>
    <cellStyle name="20% - Ênfase2 10 4 3 2" xfId="1777" xr:uid="{00000000-0005-0000-0000-000059060000}"/>
    <cellStyle name="20% - Ênfase2 10 4 4" xfId="1778" xr:uid="{00000000-0005-0000-0000-00005A060000}"/>
    <cellStyle name="20% - Ênfase2 10 5" xfId="1779" xr:uid="{00000000-0005-0000-0000-00005B060000}"/>
    <cellStyle name="20% - Ênfase2 10 5 2" xfId="1780" xr:uid="{00000000-0005-0000-0000-00005C060000}"/>
    <cellStyle name="20% - Ênfase2 10 5 2 2" xfId="1781" xr:uid="{00000000-0005-0000-0000-00005D060000}"/>
    <cellStyle name="20% - Ênfase2 10 5 3" xfId="1782" xr:uid="{00000000-0005-0000-0000-00005E060000}"/>
    <cellStyle name="20% - Ênfase2 10 6" xfId="1783" xr:uid="{00000000-0005-0000-0000-00005F060000}"/>
    <cellStyle name="20% - Ênfase2 10 6 2" xfId="1784" xr:uid="{00000000-0005-0000-0000-000060060000}"/>
    <cellStyle name="20% - Ênfase2 10 7" xfId="1785" xr:uid="{00000000-0005-0000-0000-000061060000}"/>
    <cellStyle name="20% - Ênfase2 11" xfId="1786" xr:uid="{00000000-0005-0000-0000-000062060000}"/>
    <cellStyle name="20% - Ênfase2 11 2" xfId="1787" xr:uid="{00000000-0005-0000-0000-000063060000}"/>
    <cellStyle name="20% - Ênfase2 11 2 2" xfId="1788" xr:uid="{00000000-0005-0000-0000-000064060000}"/>
    <cellStyle name="20% - Ênfase2 11 2 2 2" xfId="1789" xr:uid="{00000000-0005-0000-0000-000065060000}"/>
    <cellStyle name="20% - Ênfase2 11 2 2 2 2" xfId="1790" xr:uid="{00000000-0005-0000-0000-000066060000}"/>
    <cellStyle name="20% - Ênfase2 11 2 2 2 2 2" xfId="1791" xr:uid="{00000000-0005-0000-0000-000067060000}"/>
    <cellStyle name="20% - Ênfase2 11 2 2 2 3" xfId="1792" xr:uid="{00000000-0005-0000-0000-000068060000}"/>
    <cellStyle name="20% - Ênfase2 11 2 2 2 3 2" xfId="1793" xr:uid="{00000000-0005-0000-0000-000069060000}"/>
    <cellStyle name="20% - Ênfase2 11 2 2 2 4" xfId="1794" xr:uid="{00000000-0005-0000-0000-00006A060000}"/>
    <cellStyle name="20% - Ênfase2 11 2 2 3" xfId="1795" xr:uid="{00000000-0005-0000-0000-00006B060000}"/>
    <cellStyle name="20% - Ênfase2 11 2 2 3 2" xfId="1796" xr:uid="{00000000-0005-0000-0000-00006C060000}"/>
    <cellStyle name="20% - Ênfase2 11 2 2 4" xfId="1797" xr:uid="{00000000-0005-0000-0000-00006D060000}"/>
    <cellStyle name="20% - Ênfase2 11 2 2 4 2" xfId="1798" xr:uid="{00000000-0005-0000-0000-00006E060000}"/>
    <cellStyle name="20% - Ênfase2 11 2 2 5" xfId="1799" xr:uid="{00000000-0005-0000-0000-00006F060000}"/>
    <cellStyle name="20% - Ênfase2 11 2 3" xfId="1800" xr:uid="{00000000-0005-0000-0000-000070060000}"/>
    <cellStyle name="20% - Ênfase2 11 2 3 2" xfId="1801" xr:uid="{00000000-0005-0000-0000-000071060000}"/>
    <cellStyle name="20% - Ênfase2 11 2 3 2 2" xfId="1802" xr:uid="{00000000-0005-0000-0000-000072060000}"/>
    <cellStyle name="20% - Ênfase2 11 2 3 3" xfId="1803" xr:uid="{00000000-0005-0000-0000-000073060000}"/>
    <cellStyle name="20% - Ênfase2 11 2 3 3 2" xfId="1804" xr:uid="{00000000-0005-0000-0000-000074060000}"/>
    <cellStyle name="20% - Ênfase2 11 2 3 4" xfId="1805" xr:uid="{00000000-0005-0000-0000-000075060000}"/>
    <cellStyle name="20% - Ênfase2 11 2 4" xfId="1806" xr:uid="{00000000-0005-0000-0000-000076060000}"/>
    <cellStyle name="20% - Ênfase2 11 2 4 2" xfId="1807" xr:uid="{00000000-0005-0000-0000-000077060000}"/>
    <cellStyle name="20% - Ênfase2 11 2 4 2 2" xfId="1808" xr:uid="{00000000-0005-0000-0000-000078060000}"/>
    <cellStyle name="20% - Ênfase2 11 2 4 3" xfId="1809" xr:uid="{00000000-0005-0000-0000-000079060000}"/>
    <cellStyle name="20% - Ênfase2 11 2 5" xfId="1810" xr:uid="{00000000-0005-0000-0000-00007A060000}"/>
    <cellStyle name="20% - Ênfase2 11 2 5 2" xfId="1811" xr:uid="{00000000-0005-0000-0000-00007B060000}"/>
    <cellStyle name="20% - Ênfase2 11 2 6" xfId="1812" xr:uid="{00000000-0005-0000-0000-00007C060000}"/>
    <cellStyle name="20% - Ênfase2 11 3" xfId="1813" xr:uid="{00000000-0005-0000-0000-00007D060000}"/>
    <cellStyle name="20% - Ênfase2 11 3 2" xfId="1814" xr:uid="{00000000-0005-0000-0000-00007E060000}"/>
    <cellStyle name="20% - Ênfase2 11 3 2 2" xfId="1815" xr:uid="{00000000-0005-0000-0000-00007F060000}"/>
    <cellStyle name="20% - Ênfase2 11 3 2 2 2" xfId="1816" xr:uid="{00000000-0005-0000-0000-000080060000}"/>
    <cellStyle name="20% - Ênfase2 11 3 2 3" xfId="1817" xr:uid="{00000000-0005-0000-0000-000081060000}"/>
    <cellStyle name="20% - Ênfase2 11 3 2 3 2" xfId="1818" xr:uid="{00000000-0005-0000-0000-000082060000}"/>
    <cellStyle name="20% - Ênfase2 11 3 2 4" xfId="1819" xr:uid="{00000000-0005-0000-0000-000083060000}"/>
    <cellStyle name="20% - Ênfase2 11 3 3" xfId="1820" xr:uid="{00000000-0005-0000-0000-000084060000}"/>
    <cellStyle name="20% - Ênfase2 11 3 3 2" xfId="1821" xr:uid="{00000000-0005-0000-0000-000085060000}"/>
    <cellStyle name="20% - Ênfase2 11 3 4" xfId="1822" xr:uid="{00000000-0005-0000-0000-000086060000}"/>
    <cellStyle name="20% - Ênfase2 11 3 4 2" xfId="1823" xr:uid="{00000000-0005-0000-0000-000087060000}"/>
    <cellStyle name="20% - Ênfase2 11 3 5" xfId="1824" xr:uid="{00000000-0005-0000-0000-000088060000}"/>
    <cellStyle name="20% - Ênfase2 11 4" xfId="1825" xr:uid="{00000000-0005-0000-0000-000089060000}"/>
    <cellStyle name="20% - Ênfase2 11 4 2" xfId="1826" xr:uid="{00000000-0005-0000-0000-00008A060000}"/>
    <cellStyle name="20% - Ênfase2 11 4 2 2" xfId="1827" xr:uid="{00000000-0005-0000-0000-00008B060000}"/>
    <cellStyle name="20% - Ênfase2 11 4 3" xfId="1828" xr:uid="{00000000-0005-0000-0000-00008C060000}"/>
    <cellStyle name="20% - Ênfase2 11 4 3 2" xfId="1829" xr:uid="{00000000-0005-0000-0000-00008D060000}"/>
    <cellStyle name="20% - Ênfase2 11 4 4" xfId="1830" xr:uid="{00000000-0005-0000-0000-00008E060000}"/>
    <cellStyle name="20% - Ênfase2 11 5" xfId="1831" xr:uid="{00000000-0005-0000-0000-00008F060000}"/>
    <cellStyle name="20% - Ênfase2 11 5 2" xfId="1832" xr:uid="{00000000-0005-0000-0000-000090060000}"/>
    <cellStyle name="20% - Ênfase2 11 5 2 2" xfId="1833" xr:uid="{00000000-0005-0000-0000-000091060000}"/>
    <cellStyle name="20% - Ênfase2 11 5 3" xfId="1834" xr:uid="{00000000-0005-0000-0000-000092060000}"/>
    <cellStyle name="20% - Ênfase2 11 6" xfId="1835" xr:uid="{00000000-0005-0000-0000-000093060000}"/>
    <cellStyle name="20% - Ênfase2 11 6 2" xfId="1836" xr:uid="{00000000-0005-0000-0000-000094060000}"/>
    <cellStyle name="20% - Ênfase2 11 7" xfId="1837" xr:uid="{00000000-0005-0000-0000-000095060000}"/>
    <cellStyle name="20% - Ênfase2 12" xfId="1838" xr:uid="{00000000-0005-0000-0000-000096060000}"/>
    <cellStyle name="20% - Ênfase2 12 2" xfId="1839" xr:uid="{00000000-0005-0000-0000-000097060000}"/>
    <cellStyle name="20% - Ênfase2 12 2 2" xfId="1840" xr:uid="{00000000-0005-0000-0000-000098060000}"/>
    <cellStyle name="20% - Ênfase2 12 2 2 2" xfId="1841" xr:uid="{00000000-0005-0000-0000-000099060000}"/>
    <cellStyle name="20% - Ênfase2 12 2 2 2 2" xfId="1842" xr:uid="{00000000-0005-0000-0000-00009A060000}"/>
    <cellStyle name="20% - Ênfase2 12 2 2 2 2 2" xfId="1843" xr:uid="{00000000-0005-0000-0000-00009B060000}"/>
    <cellStyle name="20% - Ênfase2 12 2 2 2 3" xfId="1844" xr:uid="{00000000-0005-0000-0000-00009C060000}"/>
    <cellStyle name="20% - Ênfase2 12 2 2 2 3 2" xfId="1845" xr:uid="{00000000-0005-0000-0000-00009D060000}"/>
    <cellStyle name="20% - Ênfase2 12 2 2 2 4" xfId="1846" xr:uid="{00000000-0005-0000-0000-00009E060000}"/>
    <cellStyle name="20% - Ênfase2 12 2 2 3" xfId="1847" xr:uid="{00000000-0005-0000-0000-00009F060000}"/>
    <cellStyle name="20% - Ênfase2 12 2 2 3 2" xfId="1848" xr:uid="{00000000-0005-0000-0000-0000A0060000}"/>
    <cellStyle name="20% - Ênfase2 12 2 2 4" xfId="1849" xr:uid="{00000000-0005-0000-0000-0000A1060000}"/>
    <cellStyle name="20% - Ênfase2 12 2 2 4 2" xfId="1850" xr:uid="{00000000-0005-0000-0000-0000A2060000}"/>
    <cellStyle name="20% - Ênfase2 12 2 2 5" xfId="1851" xr:uid="{00000000-0005-0000-0000-0000A3060000}"/>
    <cellStyle name="20% - Ênfase2 12 2 3" xfId="1852" xr:uid="{00000000-0005-0000-0000-0000A4060000}"/>
    <cellStyle name="20% - Ênfase2 12 2 3 2" xfId="1853" xr:uid="{00000000-0005-0000-0000-0000A5060000}"/>
    <cellStyle name="20% - Ênfase2 12 2 3 2 2" xfId="1854" xr:uid="{00000000-0005-0000-0000-0000A6060000}"/>
    <cellStyle name="20% - Ênfase2 12 2 3 3" xfId="1855" xr:uid="{00000000-0005-0000-0000-0000A7060000}"/>
    <cellStyle name="20% - Ênfase2 12 2 3 3 2" xfId="1856" xr:uid="{00000000-0005-0000-0000-0000A8060000}"/>
    <cellStyle name="20% - Ênfase2 12 2 3 4" xfId="1857" xr:uid="{00000000-0005-0000-0000-0000A9060000}"/>
    <cellStyle name="20% - Ênfase2 12 2 4" xfId="1858" xr:uid="{00000000-0005-0000-0000-0000AA060000}"/>
    <cellStyle name="20% - Ênfase2 12 2 4 2" xfId="1859" xr:uid="{00000000-0005-0000-0000-0000AB060000}"/>
    <cellStyle name="20% - Ênfase2 12 2 4 2 2" xfId="1860" xr:uid="{00000000-0005-0000-0000-0000AC060000}"/>
    <cellStyle name="20% - Ênfase2 12 2 4 3" xfId="1861" xr:uid="{00000000-0005-0000-0000-0000AD060000}"/>
    <cellStyle name="20% - Ênfase2 12 2 5" xfId="1862" xr:uid="{00000000-0005-0000-0000-0000AE060000}"/>
    <cellStyle name="20% - Ênfase2 12 2 5 2" xfId="1863" xr:uid="{00000000-0005-0000-0000-0000AF060000}"/>
    <cellStyle name="20% - Ênfase2 12 2 6" xfId="1864" xr:uid="{00000000-0005-0000-0000-0000B0060000}"/>
    <cellStyle name="20% - Ênfase2 12 3" xfId="1865" xr:uid="{00000000-0005-0000-0000-0000B1060000}"/>
    <cellStyle name="20% - Ênfase2 12 3 2" xfId="1866" xr:uid="{00000000-0005-0000-0000-0000B2060000}"/>
    <cellStyle name="20% - Ênfase2 12 3 2 2" xfId="1867" xr:uid="{00000000-0005-0000-0000-0000B3060000}"/>
    <cellStyle name="20% - Ênfase2 12 3 2 2 2" xfId="1868" xr:uid="{00000000-0005-0000-0000-0000B4060000}"/>
    <cellStyle name="20% - Ênfase2 12 3 2 3" xfId="1869" xr:uid="{00000000-0005-0000-0000-0000B5060000}"/>
    <cellStyle name="20% - Ênfase2 12 3 2 3 2" xfId="1870" xr:uid="{00000000-0005-0000-0000-0000B6060000}"/>
    <cellStyle name="20% - Ênfase2 12 3 2 4" xfId="1871" xr:uid="{00000000-0005-0000-0000-0000B7060000}"/>
    <cellStyle name="20% - Ênfase2 12 3 3" xfId="1872" xr:uid="{00000000-0005-0000-0000-0000B8060000}"/>
    <cellStyle name="20% - Ênfase2 12 3 3 2" xfId="1873" xr:uid="{00000000-0005-0000-0000-0000B9060000}"/>
    <cellStyle name="20% - Ênfase2 12 3 4" xfId="1874" xr:uid="{00000000-0005-0000-0000-0000BA060000}"/>
    <cellStyle name="20% - Ênfase2 12 3 4 2" xfId="1875" xr:uid="{00000000-0005-0000-0000-0000BB060000}"/>
    <cellStyle name="20% - Ênfase2 12 3 5" xfId="1876" xr:uid="{00000000-0005-0000-0000-0000BC060000}"/>
    <cellStyle name="20% - Ênfase2 12 4" xfId="1877" xr:uid="{00000000-0005-0000-0000-0000BD060000}"/>
    <cellStyle name="20% - Ênfase2 12 4 2" xfId="1878" xr:uid="{00000000-0005-0000-0000-0000BE060000}"/>
    <cellStyle name="20% - Ênfase2 12 4 2 2" xfId="1879" xr:uid="{00000000-0005-0000-0000-0000BF060000}"/>
    <cellStyle name="20% - Ênfase2 12 4 3" xfId="1880" xr:uid="{00000000-0005-0000-0000-0000C0060000}"/>
    <cellStyle name="20% - Ênfase2 12 4 3 2" xfId="1881" xr:uid="{00000000-0005-0000-0000-0000C1060000}"/>
    <cellStyle name="20% - Ênfase2 12 4 4" xfId="1882" xr:uid="{00000000-0005-0000-0000-0000C2060000}"/>
    <cellStyle name="20% - Ênfase2 12 5" xfId="1883" xr:uid="{00000000-0005-0000-0000-0000C3060000}"/>
    <cellStyle name="20% - Ênfase2 12 5 2" xfId="1884" xr:uid="{00000000-0005-0000-0000-0000C4060000}"/>
    <cellStyle name="20% - Ênfase2 12 5 2 2" xfId="1885" xr:uid="{00000000-0005-0000-0000-0000C5060000}"/>
    <cellStyle name="20% - Ênfase2 12 5 3" xfId="1886" xr:uid="{00000000-0005-0000-0000-0000C6060000}"/>
    <cellStyle name="20% - Ênfase2 12 6" xfId="1887" xr:uid="{00000000-0005-0000-0000-0000C7060000}"/>
    <cellStyle name="20% - Ênfase2 12 6 2" xfId="1888" xr:uid="{00000000-0005-0000-0000-0000C8060000}"/>
    <cellStyle name="20% - Ênfase2 12 7" xfId="1889" xr:uid="{00000000-0005-0000-0000-0000C9060000}"/>
    <cellStyle name="20% - Ênfase2 13" xfId="1890" xr:uid="{00000000-0005-0000-0000-0000CA060000}"/>
    <cellStyle name="20% - Ênfase2 13 2" xfId="1891" xr:uid="{00000000-0005-0000-0000-0000CB060000}"/>
    <cellStyle name="20% - Ênfase2 13 2 2" xfId="1892" xr:uid="{00000000-0005-0000-0000-0000CC060000}"/>
    <cellStyle name="20% - Ênfase2 13 2 2 2" xfId="1893" xr:uid="{00000000-0005-0000-0000-0000CD060000}"/>
    <cellStyle name="20% - Ênfase2 13 2 2 2 2" xfId="1894" xr:uid="{00000000-0005-0000-0000-0000CE060000}"/>
    <cellStyle name="20% - Ênfase2 13 2 2 2 2 2" xfId="1895" xr:uid="{00000000-0005-0000-0000-0000CF060000}"/>
    <cellStyle name="20% - Ênfase2 13 2 2 2 3" xfId="1896" xr:uid="{00000000-0005-0000-0000-0000D0060000}"/>
    <cellStyle name="20% - Ênfase2 13 2 2 2 3 2" xfId="1897" xr:uid="{00000000-0005-0000-0000-0000D1060000}"/>
    <cellStyle name="20% - Ênfase2 13 2 2 2 4" xfId="1898" xr:uid="{00000000-0005-0000-0000-0000D2060000}"/>
    <cellStyle name="20% - Ênfase2 13 2 2 3" xfId="1899" xr:uid="{00000000-0005-0000-0000-0000D3060000}"/>
    <cellStyle name="20% - Ênfase2 13 2 2 3 2" xfId="1900" xr:uid="{00000000-0005-0000-0000-0000D4060000}"/>
    <cellStyle name="20% - Ênfase2 13 2 2 4" xfId="1901" xr:uid="{00000000-0005-0000-0000-0000D5060000}"/>
    <cellStyle name="20% - Ênfase2 13 2 2 4 2" xfId="1902" xr:uid="{00000000-0005-0000-0000-0000D6060000}"/>
    <cellStyle name="20% - Ênfase2 13 2 2 5" xfId="1903" xr:uid="{00000000-0005-0000-0000-0000D7060000}"/>
    <cellStyle name="20% - Ênfase2 13 2 3" xfId="1904" xr:uid="{00000000-0005-0000-0000-0000D8060000}"/>
    <cellStyle name="20% - Ênfase2 13 2 3 2" xfId="1905" xr:uid="{00000000-0005-0000-0000-0000D9060000}"/>
    <cellStyle name="20% - Ênfase2 13 2 3 2 2" xfId="1906" xr:uid="{00000000-0005-0000-0000-0000DA060000}"/>
    <cellStyle name="20% - Ênfase2 13 2 3 3" xfId="1907" xr:uid="{00000000-0005-0000-0000-0000DB060000}"/>
    <cellStyle name="20% - Ênfase2 13 2 3 3 2" xfId="1908" xr:uid="{00000000-0005-0000-0000-0000DC060000}"/>
    <cellStyle name="20% - Ênfase2 13 2 3 4" xfId="1909" xr:uid="{00000000-0005-0000-0000-0000DD060000}"/>
    <cellStyle name="20% - Ênfase2 13 2 4" xfId="1910" xr:uid="{00000000-0005-0000-0000-0000DE060000}"/>
    <cellStyle name="20% - Ênfase2 13 2 4 2" xfId="1911" xr:uid="{00000000-0005-0000-0000-0000DF060000}"/>
    <cellStyle name="20% - Ênfase2 13 2 4 2 2" xfId="1912" xr:uid="{00000000-0005-0000-0000-0000E0060000}"/>
    <cellStyle name="20% - Ênfase2 13 2 4 3" xfId="1913" xr:uid="{00000000-0005-0000-0000-0000E1060000}"/>
    <cellStyle name="20% - Ênfase2 13 2 5" xfId="1914" xr:uid="{00000000-0005-0000-0000-0000E2060000}"/>
    <cellStyle name="20% - Ênfase2 13 2 5 2" xfId="1915" xr:uid="{00000000-0005-0000-0000-0000E3060000}"/>
    <cellStyle name="20% - Ênfase2 13 2 6" xfId="1916" xr:uid="{00000000-0005-0000-0000-0000E4060000}"/>
    <cellStyle name="20% - Ênfase2 13 3" xfId="1917" xr:uid="{00000000-0005-0000-0000-0000E5060000}"/>
    <cellStyle name="20% - Ênfase2 13 3 2" xfId="1918" xr:uid="{00000000-0005-0000-0000-0000E6060000}"/>
    <cellStyle name="20% - Ênfase2 13 3 2 2" xfId="1919" xr:uid="{00000000-0005-0000-0000-0000E7060000}"/>
    <cellStyle name="20% - Ênfase2 13 3 2 2 2" xfId="1920" xr:uid="{00000000-0005-0000-0000-0000E8060000}"/>
    <cellStyle name="20% - Ênfase2 13 3 2 3" xfId="1921" xr:uid="{00000000-0005-0000-0000-0000E9060000}"/>
    <cellStyle name="20% - Ênfase2 13 3 2 3 2" xfId="1922" xr:uid="{00000000-0005-0000-0000-0000EA060000}"/>
    <cellStyle name="20% - Ênfase2 13 3 2 4" xfId="1923" xr:uid="{00000000-0005-0000-0000-0000EB060000}"/>
    <cellStyle name="20% - Ênfase2 13 3 3" xfId="1924" xr:uid="{00000000-0005-0000-0000-0000EC060000}"/>
    <cellStyle name="20% - Ênfase2 13 3 3 2" xfId="1925" xr:uid="{00000000-0005-0000-0000-0000ED060000}"/>
    <cellStyle name="20% - Ênfase2 13 3 4" xfId="1926" xr:uid="{00000000-0005-0000-0000-0000EE060000}"/>
    <cellStyle name="20% - Ênfase2 13 3 4 2" xfId="1927" xr:uid="{00000000-0005-0000-0000-0000EF060000}"/>
    <cellStyle name="20% - Ênfase2 13 3 5" xfId="1928" xr:uid="{00000000-0005-0000-0000-0000F0060000}"/>
    <cellStyle name="20% - Ênfase2 13 4" xfId="1929" xr:uid="{00000000-0005-0000-0000-0000F1060000}"/>
    <cellStyle name="20% - Ênfase2 13 4 2" xfId="1930" xr:uid="{00000000-0005-0000-0000-0000F2060000}"/>
    <cellStyle name="20% - Ênfase2 13 4 2 2" xfId="1931" xr:uid="{00000000-0005-0000-0000-0000F3060000}"/>
    <cellStyle name="20% - Ênfase2 13 4 3" xfId="1932" xr:uid="{00000000-0005-0000-0000-0000F4060000}"/>
    <cellStyle name="20% - Ênfase2 13 4 3 2" xfId="1933" xr:uid="{00000000-0005-0000-0000-0000F5060000}"/>
    <cellStyle name="20% - Ênfase2 13 4 4" xfId="1934" xr:uid="{00000000-0005-0000-0000-0000F6060000}"/>
    <cellStyle name="20% - Ênfase2 13 5" xfId="1935" xr:uid="{00000000-0005-0000-0000-0000F7060000}"/>
    <cellStyle name="20% - Ênfase2 13 5 2" xfId="1936" xr:uid="{00000000-0005-0000-0000-0000F8060000}"/>
    <cellStyle name="20% - Ênfase2 13 5 2 2" xfId="1937" xr:uid="{00000000-0005-0000-0000-0000F9060000}"/>
    <cellStyle name="20% - Ênfase2 13 5 3" xfId="1938" xr:uid="{00000000-0005-0000-0000-0000FA060000}"/>
    <cellStyle name="20% - Ênfase2 13 6" xfId="1939" xr:uid="{00000000-0005-0000-0000-0000FB060000}"/>
    <cellStyle name="20% - Ênfase2 13 6 2" xfId="1940" xr:uid="{00000000-0005-0000-0000-0000FC060000}"/>
    <cellStyle name="20% - Ênfase2 13 7" xfId="1941" xr:uid="{00000000-0005-0000-0000-0000FD060000}"/>
    <cellStyle name="20% - Ênfase2 14" xfId="1942" xr:uid="{00000000-0005-0000-0000-0000FE060000}"/>
    <cellStyle name="20% - Ênfase2 14 2" xfId="1943" xr:uid="{00000000-0005-0000-0000-0000FF060000}"/>
    <cellStyle name="20% - Ênfase2 14 2 2" xfId="1944" xr:uid="{00000000-0005-0000-0000-000000070000}"/>
    <cellStyle name="20% - Ênfase2 14 2 2 2" xfId="1945" xr:uid="{00000000-0005-0000-0000-000001070000}"/>
    <cellStyle name="20% - Ênfase2 14 2 2 2 2" xfId="1946" xr:uid="{00000000-0005-0000-0000-000002070000}"/>
    <cellStyle name="20% - Ênfase2 14 2 2 2 2 2" xfId="1947" xr:uid="{00000000-0005-0000-0000-000003070000}"/>
    <cellStyle name="20% - Ênfase2 14 2 2 2 3" xfId="1948" xr:uid="{00000000-0005-0000-0000-000004070000}"/>
    <cellStyle name="20% - Ênfase2 14 2 2 2 3 2" xfId="1949" xr:uid="{00000000-0005-0000-0000-000005070000}"/>
    <cellStyle name="20% - Ênfase2 14 2 2 2 4" xfId="1950" xr:uid="{00000000-0005-0000-0000-000006070000}"/>
    <cellStyle name="20% - Ênfase2 14 2 2 3" xfId="1951" xr:uid="{00000000-0005-0000-0000-000007070000}"/>
    <cellStyle name="20% - Ênfase2 14 2 2 3 2" xfId="1952" xr:uid="{00000000-0005-0000-0000-000008070000}"/>
    <cellStyle name="20% - Ênfase2 14 2 2 4" xfId="1953" xr:uid="{00000000-0005-0000-0000-000009070000}"/>
    <cellStyle name="20% - Ênfase2 14 2 2 4 2" xfId="1954" xr:uid="{00000000-0005-0000-0000-00000A070000}"/>
    <cellStyle name="20% - Ênfase2 14 2 2 5" xfId="1955" xr:uid="{00000000-0005-0000-0000-00000B070000}"/>
    <cellStyle name="20% - Ênfase2 14 2 3" xfId="1956" xr:uid="{00000000-0005-0000-0000-00000C070000}"/>
    <cellStyle name="20% - Ênfase2 14 2 3 2" xfId="1957" xr:uid="{00000000-0005-0000-0000-00000D070000}"/>
    <cellStyle name="20% - Ênfase2 14 2 3 2 2" xfId="1958" xr:uid="{00000000-0005-0000-0000-00000E070000}"/>
    <cellStyle name="20% - Ênfase2 14 2 3 3" xfId="1959" xr:uid="{00000000-0005-0000-0000-00000F070000}"/>
    <cellStyle name="20% - Ênfase2 14 2 3 3 2" xfId="1960" xr:uid="{00000000-0005-0000-0000-000010070000}"/>
    <cellStyle name="20% - Ênfase2 14 2 3 4" xfId="1961" xr:uid="{00000000-0005-0000-0000-000011070000}"/>
    <cellStyle name="20% - Ênfase2 14 2 4" xfId="1962" xr:uid="{00000000-0005-0000-0000-000012070000}"/>
    <cellStyle name="20% - Ênfase2 14 2 4 2" xfId="1963" xr:uid="{00000000-0005-0000-0000-000013070000}"/>
    <cellStyle name="20% - Ênfase2 14 2 4 2 2" xfId="1964" xr:uid="{00000000-0005-0000-0000-000014070000}"/>
    <cellStyle name="20% - Ênfase2 14 2 4 3" xfId="1965" xr:uid="{00000000-0005-0000-0000-000015070000}"/>
    <cellStyle name="20% - Ênfase2 14 2 5" xfId="1966" xr:uid="{00000000-0005-0000-0000-000016070000}"/>
    <cellStyle name="20% - Ênfase2 14 2 5 2" xfId="1967" xr:uid="{00000000-0005-0000-0000-000017070000}"/>
    <cellStyle name="20% - Ênfase2 14 2 6" xfId="1968" xr:uid="{00000000-0005-0000-0000-000018070000}"/>
    <cellStyle name="20% - Ênfase2 14 3" xfId="1969" xr:uid="{00000000-0005-0000-0000-000019070000}"/>
    <cellStyle name="20% - Ênfase2 14 3 2" xfId="1970" xr:uid="{00000000-0005-0000-0000-00001A070000}"/>
    <cellStyle name="20% - Ênfase2 14 3 2 2" xfId="1971" xr:uid="{00000000-0005-0000-0000-00001B070000}"/>
    <cellStyle name="20% - Ênfase2 14 3 2 2 2" xfId="1972" xr:uid="{00000000-0005-0000-0000-00001C070000}"/>
    <cellStyle name="20% - Ênfase2 14 3 2 3" xfId="1973" xr:uid="{00000000-0005-0000-0000-00001D070000}"/>
    <cellStyle name="20% - Ênfase2 14 3 2 3 2" xfId="1974" xr:uid="{00000000-0005-0000-0000-00001E070000}"/>
    <cellStyle name="20% - Ênfase2 14 3 2 4" xfId="1975" xr:uid="{00000000-0005-0000-0000-00001F070000}"/>
    <cellStyle name="20% - Ênfase2 14 3 3" xfId="1976" xr:uid="{00000000-0005-0000-0000-000020070000}"/>
    <cellStyle name="20% - Ênfase2 14 3 3 2" xfId="1977" xr:uid="{00000000-0005-0000-0000-000021070000}"/>
    <cellStyle name="20% - Ênfase2 14 3 4" xfId="1978" xr:uid="{00000000-0005-0000-0000-000022070000}"/>
    <cellStyle name="20% - Ênfase2 14 3 4 2" xfId="1979" xr:uid="{00000000-0005-0000-0000-000023070000}"/>
    <cellStyle name="20% - Ênfase2 14 3 5" xfId="1980" xr:uid="{00000000-0005-0000-0000-000024070000}"/>
    <cellStyle name="20% - Ênfase2 14 4" xfId="1981" xr:uid="{00000000-0005-0000-0000-000025070000}"/>
    <cellStyle name="20% - Ênfase2 14 4 2" xfId="1982" xr:uid="{00000000-0005-0000-0000-000026070000}"/>
    <cellStyle name="20% - Ênfase2 14 4 2 2" xfId="1983" xr:uid="{00000000-0005-0000-0000-000027070000}"/>
    <cellStyle name="20% - Ênfase2 14 4 3" xfId="1984" xr:uid="{00000000-0005-0000-0000-000028070000}"/>
    <cellStyle name="20% - Ênfase2 14 4 3 2" xfId="1985" xr:uid="{00000000-0005-0000-0000-000029070000}"/>
    <cellStyle name="20% - Ênfase2 14 4 4" xfId="1986" xr:uid="{00000000-0005-0000-0000-00002A070000}"/>
    <cellStyle name="20% - Ênfase2 14 5" xfId="1987" xr:uid="{00000000-0005-0000-0000-00002B070000}"/>
    <cellStyle name="20% - Ênfase2 14 5 2" xfId="1988" xr:uid="{00000000-0005-0000-0000-00002C070000}"/>
    <cellStyle name="20% - Ênfase2 14 5 2 2" xfId="1989" xr:uid="{00000000-0005-0000-0000-00002D070000}"/>
    <cellStyle name="20% - Ênfase2 14 5 3" xfId="1990" xr:uid="{00000000-0005-0000-0000-00002E070000}"/>
    <cellStyle name="20% - Ênfase2 14 6" xfId="1991" xr:uid="{00000000-0005-0000-0000-00002F070000}"/>
    <cellStyle name="20% - Ênfase2 14 6 2" xfId="1992" xr:uid="{00000000-0005-0000-0000-000030070000}"/>
    <cellStyle name="20% - Ênfase2 14 7" xfId="1993" xr:uid="{00000000-0005-0000-0000-000031070000}"/>
    <cellStyle name="20% - Ênfase2 15" xfId="1994" xr:uid="{00000000-0005-0000-0000-000032070000}"/>
    <cellStyle name="20% - Ênfase2 15 2" xfId="1995" xr:uid="{00000000-0005-0000-0000-000033070000}"/>
    <cellStyle name="20% - Ênfase2 15 2 2" xfId="1996" xr:uid="{00000000-0005-0000-0000-000034070000}"/>
    <cellStyle name="20% - Ênfase2 15 2 2 2" xfId="1997" xr:uid="{00000000-0005-0000-0000-000035070000}"/>
    <cellStyle name="20% - Ênfase2 15 2 2 2 2" xfId="1998" xr:uid="{00000000-0005-0000-0000-000036070000}"/>
    <cellStyle name="20% - Ênfase2 15 2 2 3" xfId="1999" xr:uid="{00000000-0005-0000-0000-000037070000}"/>
    <cellStyle name="20% - Ênfase2 15 2 2 3 2" xfId="2000" xr:uid="{00000000-0005-0000-0000-000038070000}"/>
    <cellStyle name="20% - Ênfase2 15 2 2 4" xfId="2001" xr:uid="{00000000-0005-0000-0000-000039070000}"/>
    <cellStyle name="20% - Ênfase2 15 2 3" xfId="2002" xr:uid="{00000000-0005-0000-0000-00003A070000}"/>
    <cellStyle name="20% - Ênfase2 15 2 3 2" xfId="2003" xr:uid="{00000000-0005-0000-0000-00003B070000}"/>
    <cellStyle name="20% - Ênfase2 15 2 4" xfId="2004" xr:uid="{00000000-0005-0000-0000-00003C070000}"/>
    <cellStyle name="20% - Ênfase2 15 2 4 2" xfId="2005" xr:uid="{00000000-0005-0000-0000-00003D070000}"/>
    <cellStyle name="20% - Ênfase2 15 2 5" xfId="2006" xr:uid="{00000000-0005-0000-0000-00003E070000}"/>
    <cellStyle name="20% - Ênfase2 15 3" xfId="2007" xr:uid="{00000000-0005-0000-0000-00003F070000}"/>
    <cellStyle name="20% - Ênfase2 15 3 2" xfId="2008" xr:uid="{00000000-0005-0000-0000-000040070000}"/>
    <cellStyle name="20% - Ênfase2 15 3 2 2" xfId="2009" xr:uid="{00000000-0005-0000-0000-000041070000}"/>
    <cellStyle name="20% - Ênfase2 15 3 3" xfId="2010" xr:uid="{00000000-0005-0000-0000-000042070000}"/>
    <cellStyle name="20% - Ênfase2 15 3 3 2" xfId="2011" xr:uid="{00000000-0005-0000-0000-000043070000}"/>
    <cellStyle name="20% - Ênfase2 15 3 4" xfId="2012" xr:uid="{00000000-0005-0000-0000-000044070000}"/>
    <cellStyle name="20% - Ênfase2 15 4" xfId="2013" xr:uid="{00000000-0005-0000-0000-000045070000}"/>
    <cellStyle name="20% - Ênfase2 15 4 2" xfId="2014" xr:uid="{00000000-0005-0000-0000-000046070000}"/>
    <cellStyle name="20% - Ênfase2 15 4 2 2" xfId="2015" xr:uid="{00000000-0005-0000-0000-000047070000}"/>
    <cellStyle name="20% - Ênfase2 15 4 3" xfId="2016" xr:uid="{00000000-0005-0000-0000-000048070000}"/>
    <cellStyle name="20% - Ênfase2 15 5" xfId="2017" xr:uid="{00000000-0005-0000-0000-000049070000}"/>
    <cellStyle name="20% - Ênfase2 15 5 2" xfId="2018" xr:uid="{00000000-0005-0000-0000-00004A070000}"/>
    <cellStyle name="20% - Ênfase2 15 6" xfId="2019" xr:uid="{00000000-0005-0000-0000-00004B070000}"/>
    <cellStyle name="20% - Ênfase2 16" xfId="2020" xr:uid="{00000000-0005-0000-0000-00004C070000}"/>
    <cellStyle name="20% - Ênfase2 16 2" xfId="2021" xr:uid="{00000000-0005-0000-0000-00004D070000}"/>
    <cellStyle name="20% - Ênfase2 16 2 2" xfId="2022" xr:uid="{00000000-0005-0000-0000-00004E070000}"/>
    <cellStyle name="20% - Ênfase2 16 2 2 2" xfId="2023" xr:uid="{00000000-0005-0000-0000-00004F070000}"/>
    <cellStyle name="20% - Ênfase2 16 2 3" xfId="2024" xr:uid="{00000000-0005-0000-0000-000050070000}"/>
    <cellStyle name="20% - Ênfase2 16 2 3 2" xfId="2025" xr:uid="{00000000-0005-0000-0000-000051070000}"/>
    <cellStyle name="20% - Ênfase2 16 2 4" xfId="2026" xr:uid="{00000000-0005-0000-0000-000052070000}"/>
    <cellStyle name="20% - Ênfase2 16 3" xfId="2027" xr:uid="{00000000-0005-0000-0000-000053070000}"/>
    <cellStyle name="20% - Ênfase2 16 3 2" xfId="2028" xr:uid="{00000000-0005-0000-0000-000054070000}"/>
    <cellStyle name="20% - Ênfase2 16 3 2 2" xfId="2029" xr:uid="{00000000-0005-0000-0000-000055070000}"/>
    <cellStyle name="20% - Ênfase2 16 3 3" xfId="2030" xr:uid="{00000000-0005-0000-0000-000056070000}"/>
    <cellStyle name="20% - Ênfase2 16 3 3 2" xfId="2031" xr:uid="{00000000-0005-0000-0000-000057070000}"/>
    <cellStyle name="20% - Ênfase2 16 3 4" xfId="2032" xr:uid="{00000000-0005-0000-0000-000058070000}"/>
    <cellStyle name="20% - Ênfase2 16 4" xfId="2033" xr:uid="{00000000-0005-0000-0000-000059070000}"/>
    <cellStyle name="20% - Ênfase2 16 4 2" xfId="2034" xr:uid="{00000000-0005-0000-0000-00005A070000}"/>
    <cellStyle name="20% - Ênfase2 16 5" xfId="2035" xr:uid="{00000000-0005-0000-0000-00005B070000}"/>
    <cellStyle name="20% - Ênfase2 16 5 2" xfId="2036" xr:uid="{00000000-0005-0000-0000-00005C070000}"/>
    <cellStyle name="20% - Ênfase2 16 6" xfId="2037" xr:uid="{00000000-0005-0000-0000-00005D070000}"/>
    <cellStyle name="20% - Ênfase2 17" xfId="2038" xr:uid="{00000000-0005-0000-0000-00005E070000}"/>
    <cellStyle name="20% - Ênfase2 17 2" xfId="2039" xr:uid="{00000000-0005-0000-0000-00005F070000}"/>
    <cellStyle name="20% - Ênfase2 17 2 2" xfId="2040" xr:uid="{00000000-0005-0000-0000-000060070000}"/>
    <cellStyle name="20% - Ênfase2 17 2 2 2" xfId="2041" xr:uid="{00000000-0005-0000-0000-000061070000}"/>
    <cellStyle name="20% - Ênfase2 17 2 3" xfId="2042" xr:uid="{00000000-0005-0000-0000-000062070000}"/>
    <cellStyle name="20% - Ênfase2 17 2 3 2" xfId="2043" xr:uid="{00000000-0005-0000-0000-000063070000}"/>
    <cellStyle name="20% - Ênfase2 17 2 4" xfId="2044" xr:uid="{00000000-0005-0000-0000-000064070000}"/>
    <cellStyle name="20% - Ênfase2 17 3" xfId="2045" xr:uid="{00000000-0005-0000-0000-000065070000}"/>
    <cellStyle name="20% - Ênfase2 17 3 2" xfId="2046" xr:uid="{00000000-0005-0000-0000-000066070000}"/>
    <cellStyle name="20% - Ênfase2 17 3 2 2" xfId="2047" xr:uid="{00000000-0005-0000-0000-000067070000}"/>
    <cellStyle name="20% - Ênfase2 17 3 3" xfId="2048" xr:uid="{00000000-0005-0000-0000-000068070000}"/>
    <cellStyle name="20% - Ênfase2 17 3 3 2" xfId="2049" xr:uid="{00000000-0005-0000-0000-000069070000}"/>
    <cellStyle name="20% - Ênfase2 17 3 4" xfId="2050" xr:uid="{00000000-0005-0000-0000-00006A070000}"/>
    <cellStyle name="20% - Ênfase2 17 4" xfId="2051" xr:uid="{00000000-0005-0000-0000-00006B070000}"/>
    <cellStyle name="20% - Ênfase2 17 4 2" xfId="2052" xr:uid="{00000000-0005-0000-0000-00006C070000}"/>
    <cellStyle name="20% - Ênfase2 17 5" xfId="2053" xr:uid="{00000000-0005-0000-0000-00006D070000}"/>
    <cellStyle name="20% - Ênfase2 17 5 2" xfId="2054" xr:uid="{00000000-0005-0000-0000-00006E070000}"/>
    <cellStyle name="20% - Ênfase2 17 6" xfId="2055" xr:uid="{00000000-0005-0000-0000-00006F070000}"/>
    <cellStyle name="20% - Ênfase2 18" xfId="2056" xr:uid="{00000000-0005-0000-0000-000070070000}"/>
    <cellStyle name="20% - Ênfase2 18 2" xfId="2057" xr:uid="{00000000-0005-0000-0000-000071070000}"/>
    <cellStyle name="20% - Ênfase2 18 2 2" xfId="2058" xr:uid="{00000000-0005-0000-0000-000072070000}"/>
    <cellStyle name="20% - Ênfase2 18 3" xfId="2059" xr:uid="{00000000-0005-0000-0000-000073070000}"/>
    <cellStyle name="20% - Ênfase2 18 3 2" xfId="2060" xr:uid="{00000000-0005-0000-0000-000074070000}"/>
    <cellStyle name="20% - Ênfase2 18 4" xfId="2061" xr:uid="{00000000-0005-0000-0000-000075070000}"/>
    <cellStyle name="20% - Ênfase2 19" xfId="2062" xr:uid="{00000000-0005-0000-0000-000076070000}"/>
    <cellStyle name="20% - Ênfase2 19 2" xfId="2063" xr:uid="{00000000-0005-0000-0000-000077070000}"/>
    <cellStyle name="20% - Ênfase2 19 2 2" xfId="2064" xr:uid="{00000000-0005-0000-0000-000078070000}"/>
    <cellStyle name="20% - Ênfase2 19 3" xfId="2065" xr:uid="{00000000-0005-0000-0000-000079070000}"/>
    <cellStyle name="20% - Ênfase2 2" xfId="2066" xr:uid="{00000000-0005-0000-0000-00007A070000}"/>
    <cellStyle name="20% - Ênfase2 2 10" xfId="2067" xr:uid="{00000000-0005-0000-0000-00007B070000}"/>
    <cellStyle name="20% - Ênfase2 2 10 2" xfId="2068" xr:uid="{00000000-0005-0000-0000-00007C070000}"/>
    <cellStyle name="20% - Ênfase2 2 10 2 2" xfId="2069" xr:uid="{00000000-0005-0000-0000-00007D070000}"/>
    <cellStyle name="20% - Ênfase2 2 10 3" xfId="2070" xr:uid="{00000000-0005-0000-0000-00007E070000}"/>
    <cellStyle name="20% - Ênfase2 2 10 3 2" xfId="2071" xr:uid="{00000000-0005-0000-0000-00007F070000}"/>
    <cellStyle name="20% - Ênfase2 2 10 4" xfId="2072" xr:uid="{00000000-0005-0000-0000-000080070000}"/>
    <cellStyle name="20% - Ênfase2 2 11" xfId="2073" xr:uid="{00000000-0005-0000-0000-000081070000}"/>
    <cellStyle name="20% - Ênfase2 2 11 2" xfId="2074" xr:uid="{00000000-0005-0000-0000-000082070000}"/>
    <cellStyle name="20% - Ênfase2 2 11 2 2" xfId="2075" xr:uid="{00000000-0005-0000-0000-000083070000}"/>
    <cellStyle name="20% - Ênfase2 2 11 3" xfId="2076" xr:uid="{00000000-0005-0000-0000-000084070000}"/>
    <cellStyle name="20% - Ênfase2 2 12" xfId="2077" xr:uid="{00000000-0005-0000-0000-000085070000}"/>
    <cellStyle name="20% - Ênfase2 2 12 2" xfId="2078" xr:uid="{00000000-0005-0000-0000-000086070000}"/>
    <cellStyle name="20% - Ênfase2 2 12 2 2" xfId="2079" xr:uid="{00000000-0005-0000-0000-000087070000}"/>
    <cellStyle name="20% - Ênfase2 2 12 3" xfId="2080" xr:uid="{00000000-0005-0000-0000-000088070000}"/>
    <cellStyle name="20% - Ênfase2 2 13" xfId="2081" xr:uid="{00000000-0005-0000-0000-000089070000}"/>
    <cellStyle name="20% - Ênfase2 2 13 2" xfId="2082" xr:uid="{00000000-0005-0000-0000-00008A070000}"/>
    <cellStyle name="20% - Ênfase2 2 13 2 2" xfId="2083" xr:uid="{00000000-0005-0000-0000-00008B070000}"/>
    <cellStyle name="20% - Ênfase2 2 13 3" xfId="2084" xr:uid="{00000000-0005-0000-0000-00008C070000}"/>
    <cellStyle name="20% - Ênfase2 2 14" xfId="2085" xr:uid="{00000000-0005-0000-0000-00008D070000}"/>
    <cellStyle name="20% - Ênfase2 2 14 2" xfId="2086" xr:uid="{00000000-0005-0000-0000-00008E070000}"/>
    <cellStyle name="20% - Ênfase2 2 14 2 2" xfId="2087" xr:uid="{00000000-0005-0000-0000-00008F070000}"/>
    <cellStyle name="20% - Ênfase2 2 14 3" xfId="2088" xr:uid="{00000000-0005-0000-0000-000090070000}"/>
    <cellStyle name="20% - Ênfase2 2 15" xfId="2089" xr:uid="{00000000-0005-0000-0000-000091070000}"/>
    <cellStyle name="20% - Ênfase2 2 15 2" xfId="2090" xr:uid="{00000000-0005-0000-0000-000092070000}"/>
    <cellStyle name="20% - Ênfase2 2 16" xfId="2091" xr:uid="{00000000-0005-0000-0000-000093070000}"/>
    <cellStyle name="20% - Ênfase2 2 2" xfId="2092" xr:uid="{00000000-0005-0000-0000-000094070000}"/>
    <cellStyle name="20% - Ênfase2 2 2 10" xfId="2093" xr:uid="{00000000-0005-0000-0000-000095070000}"/>
    <cellStyle name="20% - Ênfase2 2 2 10 2" xfId="2094" xr:uid="{00000000-0005-0000-0000-000096070000}"/>
    <cellStyle name="20% - Ênfase2 2 2 11" xfId="2095" xr:uid="{00000000-0005-0000-0000-000097070000}"/>
    <cellStyle name="20% - Ênfase2 2 2 2" xfId="2096" xr:uid="{00000000-0005-0000-0000-000098070000}"/>
    <cellStyle name="20% - Ênfase2 2 2 2 2" xfId="2097" xr:uid="{00000000-0005-0000-0000-000099070000}"/>
    <cellStyle name="20% - Ênfase2 2 2 2 2 2" xfId="2098" xr:uid="{00000000-0005-0000-0000-00009A070000}"/>
    <cellStyle name="20% - Ênfase2 2 2 2 2 2 2" xfId="2099" xr:uid="{00000000-0005-0000-0000-00009B070000}"/>
    <cellStyle name="20% - Ênfase2 2 2 2 2 2 2 2" xfId="2100" xr:uid="{00000000-0005-0000-0000-00009C070000}"/>
    <cellStyle name="20% - Ênfase2 2 2 2 2 2 3" xfId="2101" xr:uid="{00000000-0005-0000-0000-00009D070000}"/>
    <cellStyle name="20% - Ênfase2 2 2 2 2 2 3 2" xfId="2102" xr:uid="{00000000-0005-0000-0000-00009E070000}"/>
    <cellStyle name="20% - Ênfase2 2 2 2 2 2 4" xfId="2103" xr:uid="{00000000-0005-0000-0000-00009F070000}"/>
    <cellStyle name="20% - Ênfase2 2 2 2 2 3" xfId="2104" xr:uid="{00000000-0005-0000-0000-0000A0070000}"/>
    <cellStyle name="20% - Ênfase2 2 2 2 2 3 2" xfId="2105" xr:uid="{00000000-0005-0000-0000-0000A1070000}"/>
    <cellStyle name="20% - Ênfase2 2 2 2 2 3 2 2" xfId="2106" xr:uid="{00000000-0005-0000-0000-0000A2070000}"/>
    <cellStyle name="20% - Ênfase2 2 2 2 2 3 3" xfId="2107" xr:uid="{00000000-0005-0000-0000-0000A3070000}"/>
    <cellStyle name="20% - Ênfase2 2 2 2 2 3 3 2" xfId="2108" xr:uid="{00000000-0005-0000-0000-0000A4070000}"/>
    <cellStyle name="20% - Ênfase2 2 2 2 2 3 4" xfId="2109" xr:uid="{00000000-0005-0000-0000-0000A5070000}"/>
    <cellStyle name="20% - Ênfase2 2 2 2 2 4" xfId="2110" xr:uid="{00000000-0005-0000-0000-0000A6070000}"/>
    <cellStyle name="20% - Ênfase2 2 2 2 2 4 2" xfId="2111" xr:uid="{00000000-0005-0000-0000-0000A7070000}"/>
    <cellStyle name="20% - Ênfase2 2 2 2 2 5" xfId="2112" xr:uid="{00000000-0005-0000-0000-0000A8070000}"/>
    <cellStyle name="20% - Ênfase2 2 2 2 2 5 2" xfId="2113" xr:uid="{00000000-0005-0000-0000-0000A9070000}"/>
    <cellStyle name="20% - Ênfase2 2 2 2 2 6" xfId="2114" xr:uid="{00000000-0005-0000-0000-0000AA070000}"/>
    <cellStyle name="20% - Ênfase2 2 2 2 3" xfId="2115" xr:uid="{00000000-0005-0000-0000-0000AB070000}"/>
    <cellStyle name="20% - Ênfase2 2 2 2 3 2" xfId="2116" xr:uid="{00000000-0005-0000-0000-0000AC070000}"/>
    <cellStyle name="20% - Ênfase2 2 2 2 3 2 2" xfId="2117" xr:uid="{00000000-0005-0000-0000-0000AD070000}"/>
    <cellStyle name="20% - Ênfase2 2 2 2 3 3" xfId="2118" xr:uid="{00000000-0005-0000-0000-0000AE070000}"/>
    <cellStyle name="20% - Ênfase2 2 2 2 3 3 2" xfId="2119" xr:uid="{00000000-0005-0000-0000-0000AF070000}"/>
    <cellStyle name="20% - Ênfase2 2 2 2 3 4" xfId="2120" xr:uid="{00000000-0005-0000-0000-0000B0070000}"/>
    <cellStyle name="20% - Ênfase2 2 2 2 4" xfId="2121" xr:uid="{00000000-0005-0000-0000-0000B1070000}"/>
    <cellStyle name="20% - Ênfase2 2 2 2 4 2" xfId="2122" xr:uid="{00000000-0005-0000-0000-0000B2070000}"/>
    <cellStyle name="20% - Ênfase2 2 2 2 4 2 2" xfId="2123" xr:uid="{00000000-0005-0000-0000-0000B3070000}"/>
    <cellStyle name="20% - Ênfase2 2 2 2 4 3" xfId="2124" xr:uid="{00000000-0005-0000-0000-0000B4070000}"/>
    <cellStyle name="20% - Ênfase2 2 2 2 5" xfId="2125" xr:uid="{00000000-0005-0000-0000-0000B5070000}"/>
    <cellStyle name="20% - Ênfase2 2 2 2 5 2" xfId="2126" xr:uid="{00000000-0005-0000-0000-0000B6070000}"/>
    <cellStyle name="20% - Ênfase2 2 2 2 5 2 2" xfId="2127" xr:uid="{00000000-0005-0000-0000-0000B7070000}"/>
    <cellStyle name="20% - Ênfase2 2 2 2 5 3" xfId="2128" xr:uid="{00000000-0005-0000-0000-0000B8070000}"/>
    <cellStyle name="20% - Ênfase2 2 2 2 6" xfId="2129" xr:uid="{00000000-0005-0000-0000-0000B9070000}"/>
    <cellStyle name="20% - Ênfase2 2 2 2 6 2" xfId="2130" xr:uid="{00000000-0005-0000-0000-0000BA070000}"/>
    <cellStyle name="20% - Ênfase2 2 2 2 6 2 2" xfId="2131" xr:uid="{00000000-0005-0000-0000-0000BB070000}"/>
    <cellStyle name="20% - Ênfase2 2 2 2 6 3" xfId="2132" xr:uid="{00000000-0005-0000-0000-0000BC070000}"/>
    <cellStyle name="20% - Ênfase2 2 2 2 7" xfId="2133" xr:uid="{00000000-0005-0000-0000-0000BD070000}"/>
    <cellStyle name="20% - Ênfase2 2 2 2 7 2" xfId="2134" xr:uid="{00000000-0005-0000-0000-0000BE070000}"/>
    <cellStyle name="20% - Ênfase2 2 2 2 7 2 2" xfId="2135" xr:uid="{00000000-0005-0000-0000-0000BF070000}"/>
    <cellStyle name="20% - Ênfase2 2 2 2 7 3" xfId="2136" xr:uid="{00000000-0005-0000-0000-0000C0070000}"/>
    <cellStyle name="20% - Ênfase2 2 2 2 8" xfId="2137" xr:uid="{00000000-0005-0000-0000-0000C1070000}"/>
    <cellStyle name="20% - Ênfase2 2 2 2 8 2" xfId="2138" xr:uid="{00000000-0005-0000-0000-0000C2070000}"/>
    <cellStyle name="20% - Ênfase2 2 2 2 9" xfId="2139" xr:uid="{00000000-0005-0000-0000-0000C3070000}"/>
    <cellStyle name="20% - Ênfase2 2 2 3" xfId="2140" xr:uid="{00000000-0005-0000-0000-0000C4070000}"/>
    <cellStyle name="20% - Ênfase2 2 2 3 2" xfId="2141" xr:uid="{00000000-0005-0000-0000-0000C5070000}"/>
    <cellStyle name="20% - Ênfase2 2 2 3 2 2" xfId="2142" xr:uid="{00000000-0005-0000-0000-0000C6070000}"/>
    <cellStyle name="20% - Ênfase2 2 2 3 2 2 2" xfId="2143" xr:uid="{00000000-0005-0000-0000-0000C7070000}"/>
    <cellStyle name="20% - Ênfase2 2 2 3 2 3" xfId="2144" xr:uid="{00000000-0005-0000-0000-0000C8070000}"/>
    <cellStyle name="20% - Ênfase2 2 2 3 2 3 2" xfId="2145" xr:uid="{00000000-0005-0000-0000-0000C9070000}"/>
    <cellStyle name="20% - Ênfase2 2 2 3 2 4" xfId="2146" xr:uid="{00000000-0005-0000-0000-0000CA070000}"/>
    <cellStyle name="20% - Ênfase2 2 2 3 3" xfId="2147" xr:uid="{00000000-0005-0000-0000-0000CB070000}"/>
    <cellStyle name="20% - Ênfase2 2 2 3 3 2" xfId="2148" xr:uid="{00000000-0005-0000-0000-0000CC070000}"/>
    <cellStyle name="20% - Ênfase2 2 2 3 3 2 2" xfId="2149" xr:uid="{00000000-0005-0000-0000-0000CD070000}"/>
    <cellStyle name="20% - Ênfase2 2 2 3 3 3" xfId="2150" xr:uid="{00000000-0005-0000-0000-0000CE070000}"/>
    <cellStyle name="20% - Ênfase2 2 2 3 3 3 2" xfId="2151" xr:uid="{00000000-0005-0000-0000-0000CF070000}"/>
    <cellStyle name="20% - Ênfase2 2 2 3 3 4" xfId="2152" xr:uid="{00000000-0005-0000-0000-0000D0070000}"/>
    <cellStyle name="20% - Ênfase2 2 2 3 4" xfId="2153" xr:uid="{00000000-0005-0000-0000-0000D1070000}"/>
    <cellStyle name="20% - Ênfase2 2 2 3 4 2" xfId="2154" xr:uid="{00000000-0005-0000-0000-0000D2070000}"/>
    <cellStyle name="20% - Ênfase2 2 2 3 5" xfId="2155" xr:uid="{00000000-0005-0000-0000-0000D3070000}"/>
    <cellStyle name="20% - Ênfase2 2 2 3 5 2" xfId="2156" xr:uid="{00000000-0005-0000-0000-0000D4070000}"/>
    <cellStyle name="20% - Ênfase2 2 2 3 6" xfId="2157" xr:uid="{00000000-0005-0000-0000-0000D5070000}"/>
    <cellStyle name="20% - Ênfase2 2 2 4" xfId="2158" xr:uid="{00000000-0005-0000-0000-0000D6070000}"/>
    <cellStyle name="20% - Ênfase2 2 2 4 2" xfId="2159" xr:uid="{00000000-0005-0000-0000-0000D7070000}"/>
    <cellStyle name="20% - Ênfase2 2 2 4 2 2" xfId="2160" xr:uid="{00000000-0005-0000-0000-0000D8070000}"/>
    <cellStyle name="20% - Ênfase2 2 2 4 2 2 2" xfId="2161" xr:uid="{00000000-0005-0000-0000-0000D9070000}"/>
    <cellStyle name="20% - Ênfase2 2 2 4 2 3" xfId="2162" xr:uid="{00000000-0005-0000-0000-0000DA070000}"/>
    <cellStyle name="20% - Ênfase2 2 2 4 2 3 2" xfId="2163" xr:uid="{00000000-0005-0000-0000-0000DB070000}"/>
    <cellStyle name="20% - Ênfase2 2 2 4 2 4" xfId="2164" xr:uid="{00000000-0005-0000-0000-0000DC070000}"/>
    <cellStyle name="20% - Ênfase2 2 2 4 3" xfId="2165" xr:uid="{00000000-0005-0000-0000-0000DD070000}"/>
    <cellStyle name="20% - Ênfase2 2 2 4 3 2" xfId="2166" xr:uid="{00000000-0005-0000-0000-0000DE070000}"/>
    <cellStyle name="20% - Ênfase2 2 2 4 3 2 2" xfId="2167" xr:uid="{00000000-0005-0000-0000-0000DF070000}"/>
    <cellStyle name="20% - Ênfase2 2 2 4 3 3" xfId="2168" xr:uid="{00000000-0005-0000-0000-0000E0070000}"/>
    <cellStyle name="20% - Ênfase2 2 2 4 3 3 2" xfId="2169" xr:uid="{00000000-0005-0000-0000-0000E1070000}"/>
    <cellStyle name="20% - Ênfase2 2 2 4 3 4" xfId="2170" xr:uid="{00000000-0005-0000-0000-0000E2070000}"/>
    <cellStyle name="20% - Ênfase2 2 2 4 4" xfId="2171" xr:uid="{00000000-0005-0000-0000-0000E3070000}"/>
    <cellStyle name="20% - Ênfase2 2 2 4 4 2" xfId="2172" xr:uid="{00000000-0005-0000-0000-0000E4070000}"/>
    <cellStyle name="20% - Ênfase2 2 2 4 5" xfId="2173" xr:uid="{00000000-0005-0000-0000-0000E5070000}"/>
    <cellStyle name="20% - Ênfase2 2 2 4 5 2" xfId="2174" xr:uid="{00000000-0005-0000-0000-0000E6070000}"/>
    <cellStyle name="20% - Ênfase2 2 2 4 6" xfId="2175" xr:uid="{00000000-0005-0000-0000-0000E7070000}"/>
    <cellStyle name="20% - Ênfase2 2 2 5" xfId="2176" xr:uid="{00000000-0005-0000-0000-0000E8070000}"/>
    <cellStyle name="20% - Ênfase2 2 2 5 2" xfId="2177" xr:uid="{00000000-0005-0000-0000-0000E9070000}"/>
    <cellStyle name="20% - Ênfase2 2 2 5 2 2" xfId="2178" xr:uid="{00000000-0005-0000-0000-0000EA070000}"/>
    <cellStyle name="20% - Ênfase2 2 2 5 3" xfId="2179" xr:uid="{00000000-0005-0000-0000-0000EB070000}"/>
    <cellStyle name="20% - Ênfase2 2 2 5 3 2" xfId="2180" xr:uid="{00000000-0005-0000-0000-0000EC070000}"/>
    <cellStyle name="20% - Ênfase2 2 2 5 4" xfId="2181" xr:uid="{00000000-0005-0000-0000-0000ED070000}"/>
    <cellStyle name="20% - Ênfase2 2 2 6" xfId="2182" xr:uid="{00000000-0005-0000-0000-0000EE070000}"/>
    <cellStyle name="20% - Ênfase2 2 2 6 2" xfId="2183" xr:uid="{00000000-0005-0000-0000-0000EF070000}"/>
    <cellStyle name="20% - Ênfase2 2 2 6 2 2" xfId="2184" xr:uid="{00000000-0005-0000-0000-0000F0070000}"/>
    <cellStyle name="20% - Ênfase2 2 2 6 3" xfId="2185" xr:uid="{00000000-0005-0000-0000-0000F1070000}"/>
    <cellStyle name="20% - Ênfase2 2 2 7" xfId="2186" xr:uid="{00000000-0005-0000-0000-0000F2070000}"/>
    <cellStyle name="20% - Ênfase2 2 2 7 2" xfId="2187" xr:uid="{00000000-0005-0000-0000-0000F3070000}"/>
    <cellStyle name="20% - Ênfase2 2 2 7 2 2" xfId="2188" xr:uid="{00000000-0005-0000-0000-0000F4070000}"/>
    <cellStyle name="20% - Ênfase2 2 2 7 3" xfId="2189" xr:uid="{00000000-0005-0000-0000-0000F5070000}"/>
    <cellStyle name="20% - Ênfase2 2 2 8" xfId="2190" xr:uid="{00000000-0005-0000-0000-0000F6070000}"/>
    <cellStyle name="20% - Ênfase2 2 2 8 2" xfId="2191" xr:uid="{00000000-0005-0000-0000-0000F7070000}"/>
    <cellStyle name="20% - Ênfase2 2 2 8 2 2" xfId="2192" xr:uid="{00000000-0005-0000-0000-0000F8070000}"/>
    <cellStyle name="20% - Ênfase2 2 2 8 3" xfId="2193" xr:uid="{00000000-0005-0000-0000-0000F9070000}"/>
    <cellStyle name="20% - Ênfase2 2 2 9" xfId="2194" xr:uid="{00000000-0005-0000-0000-0000FA070000}"/>
    <cellStyle name="20% - Ênfase2 2 2 9 2" xfId="2195" xr:uid="{00000000-0005-0000-0000-0000FB070000}"/>
    <cellStyle name="20% - Ênfase2 2 2 9 2 2" xfId="2196" xr:uid="{00000000-0005-0000-0000-0000FC070000}"/>
    <cellStyle name="20% - Ênfase2 2 2 9 3" xfId="2197" xr:uid="{00000000-0005-0000-0000-0000FD070000}"/>
    <cellStyle name="20% - Ênfase2 2 3" xfId="2198" xr:uid="{00000000-0005-0000-0000-0000FE070000}"/>
    <cellStyle name="20% - Ênfase2 2 3 10" xfId="2199" xr:uid="{00000000-0005-0000-0000-0000FF070000}"/>
    <cellStyle name="20% - Ênfase2 2 3 10 2" xfId="2200" xr:uid="{00000000-0005-0000-0000-000000080000}"/>
    <cellStyle name="20% - Ênfase2 2 3 11" xfId="2201" xr:uid="{00000000-0005-0000-0000-000001080000}"/>
    <cellStyle name="20% - Ênfase2 2 3 2" xfId="2202" xr:uid="{00000000-0005-0000-0000-000002080000}"/>
    <cellStyle name="20% - Ênfase2 2 3 2 2" xfId="2203" xr:uid="{00000000-0005-0000-0000-000003080000}"/>
    <cellStyle name="20% - Ênfase2 2 3 2 2 2" xfId="2204" xr:uid="{00000000-0005-0000-0000-000004080000}"/>
    <cellStyle name="20% - Ênfase2 2 3 2 2 2 2" xfId="2205" xr:uid="{00000000-0005-0000-0000-000005080000}"/>
    <cellStyle name="20% - Ênfase2 2 3 2 2 2 2 2" xfId="2206" xr:uid="{00000000-0005-0000-0000-000006080000}"/>
    <cellStyle name="20% - Ênfase2 2 3 2 2 2 3" xfId="2207" xr:uid="{00000000-0005-0000-0000-000007080000}"/>
    <cellStyle name="20% - Ênfase2 2 3 2 2 2 3 2" xfId="2208" xr:uid="{00000000-0005-0000-0000-000008080000}"/>
    <cellStyle name="20% - Ênfase2 2 3 2 2 2 4" xfId="2209" xr:uid="{00000000-0005-0000-0000-000009080000}"/>
    <cellStyle name="20% - Ênfase2 2 3 2 2 3" xfId="2210" xr:uid="{00000000-0005-0000-0000-00000A080000}"/>
    <cellStyle name="20% - Ênfase2 2 3 2 2 3 2" xfId="2211" xr:uid="{00000000-0005-0000-0000-00000B080000}"/>
    <cellStyle name="20% - Ênfase2 2 3 2 2 3 2 2" xfId="2212" xr:uid="{00000000-0005-0000-0000-00000C080000}"/>
    <cellStyle name="20% - Ênfase2 2 3 2 2 3 3" xfId="2213" xr:uid="{00000000-0005-0000-0000-00000D080000}"/>
    <cellStyle name="20% - Ênfase2 2 3 2 2 3 3 2" xfId="2214" xr:uid="{00000000-0005-0000-0000-00000E080000}"/>
    <cellStyle name="20% - Ênfase2 2 3 2 2 3 4" xfId="2215" xr:uid="{00000000-0005-0000-0000-00000F080000}"/>
    <cellStyle name="20% - Ênfase2 2 3 2 2 4" xfId="2216" xr:uid="{00000000-0005-0000-0000-000010080000}"/>
    <cellStyle name="20% - Ênfase2 2 3 2 2 4 2" xfId="2217" xr:uid="{00000000-0005-0000-0000-000011080000}"/>
    <cellStyle name="20% - Ênfase2 2 3 2 2 5" xfId="2218" xr:uid="{00000000-0005-0000-0000-000012080000}"/>
    <cellStyle name="20% - Ênfase2 2 3 2 2 5 2" xfId="2219" xr:uid="{00000000-0005-0000-0000-000013080000}"/>
    <cellStyle name="20% - Ênfase2 2 3 2 2 6" xfId="2220" xr:uid="{00000000-0005-0000-0000-000014080000}"/>
    <cellStyle name="20% - Ênfase2 2 3 2 3" xfId="2221" xr:uid="{00000000-0005-0000-0000-000015080000}"/>
    <cellStyle name="20% - Ênfase2 2 3 2 3 2" xfId="2222" xr:uid="{00000000-0005-0000-0000-000016080000}"/>
    <cellStyle name="20% - Ênfase2 2 3 2 3 2 2" xfId="2223" xr:uid="{00000000-0005-0000-0000-000017080000}"/>
    <cellStyle name="20% - Ênfase2 2 3 2 3 3" xfId="2224" xr:uid="{00000000-0005-0000-0000-000018080000}"/>
    <cellStyle name="20% - Ênfase2 2 3 2 3 3 2" xfId="2225" xr:uid="{00000000-0005-0000-0000-000019080000}"/>
    <cellStyle name="20% - Ênfase2 2 3 2 3 4" xfId="2226" xr:uid="{00000000-0005-0000-0000-00001A080000}"/>
    <cellStyle name="20% - Ênfase2 2 3 2 4" xfId="2227" xr:uid="{00000000-0005-0000-0000-00001B080000}"/>
    <cellStyle name="20% - Ênfase2 2 3 2 4 2" xfId="2228" xr:uid="{00000000-0005-0000-0000-00001C080000}"/>
    <cellStyle name="20% - Ênfase2 2 3 2 4 2 2" xfId="2229" xr:uid="{00000000-0005-0000-0000-00001D080000}"/>
    <cellStyle name="20% - Ênfase2 2 3 2 4 3" xfId="2230" xr:uid="{00000000-0005-0000-0000-00001E080000}"/>
    <cellStyle name="20% - Ênfase2 2 3 2 5" xfId="2231" xr:uid="{00000000-0005-0000-0000-00001F080000}"/>
    <cellStyle name="20% - Ênfase2 2 3 2 5 2" xfId="2232" xr:uid="{00000000-0005-0000-0000-000020080000}"/>
    <cellStyle name="20% - Ênfase2 2 3 2 5 2 2" xfId="2233" xr:uid="{00000000-0005-0000-0000-000021080000}"/>
    <cellStyle name="20% - Ênfase2 2 3 2 5 3" xfId="2234" xr:uid="{00000000-0005-0000-0000-000022080000}"/>
    <cellStyle name="20% - Ênfase2 2 3 2 6" xfId="2235" xr:uid="{00000000-0005-0000-0000-000023080000}"/>
    <cellStyle name="20% - Ênfase2 2 3 2 6 2" xfId="2236" xr:uid="{00000000-0005-0000-0000-000024080000}"/>
    <cellStyle name="20% - Ênfase2 2 3 2 6 2 2" xfId="2237" xr:uid="{00000000-0005-0000-0000-000025080000}"/>
    <cellStyle name="20% - Ênfase2 2 3 2 6 3" xfId="2238" xr:uid="{00000000-0005-0000-0000-000026080000}"/>
    <cellStyle name="20% - Ênfase2 2 3 2 7" xfId="2239" xr:uid="{00000000-0005-0000-0000-000027080000}"/>
    <cellStyle name="20% - Ênfase2 2 3 2 7 2" xfId="2240" xr:uid="{00000000-0005-0000-0000-000028080000}"/>
    <cellStyle name="20% - Ênfase2 2 3 2 7 2 2" xfId="2241" xr:uid="{00000000-0005-0000-0000-000029080000}"/>
    <cellStyle name="20% - Ênfase2 2 3 2 7 3" xfId="2242" xr:uid="{00000000-0005-0000-0000-00002A080000}"/>
    <cellStyle name="20% - Ênfase2 2 3 2 8" xfId="2243" xr:uid="{00000000-0005-0000-0000-00002B080000}"/>
    <cellStyle name="20% - Ênfase2 2 3 2 8 2" xfId="2244" xr:uid="{00000000-0005-0000-0000-00002C080000}"/>
    <cellStyle name="20% - Ênfase2 2 3 2 9" xfId="2245" xr:uid="{00000000-0005-0000-0000-00002D080000}"/>
    <cellStyle name="20% - Ênfase2 2 3 3" xfId="2246" xr:uid="{00000000-0005-0000-0000-00002E080000}"/>
    <cellStyle name="20% - Ênfase2 2 3 3 2" xfId="2247" xr:uid="{00000000-0005-0000-0000-00002F080000}"/>
    <cellStyle name="20% - Ênfase2 2 3 3 2 2" xfId="2248" xr:uid="{00000000-0005-0000-0000-000030080000}"/>
    <cellStyle name="20% - Ênfase2 2 3 3 2 2 2" xfId="2249" xr:uid="{00000000-0005-0000-0000-000031080000}"/>
    <cellStyle name="20% - Ênfase2 2 3 3 2 3" xfId="2250" xr:uid="{00000000-0005-0000-0000-000032080000}"/>
    <cellStyle name="20% - Ênfase2 2 3 3 2 3 2" xfId="2251" xr:uid="{00000000-0005-0000-0000-000033080000}"/>
    <cellStyle name="20% - Ênfase2 2 3 3 2 4" xfId="2252" xr:uid="{00000000-0005-0000-0000-000034080000}"/>
    <cellStyle name="20% - Ênfase2 2 3 3 3" xfId="2253" xr:uid="{00000000-0005-0000-0000-000035080000}"/>
    <cellStyle name="20% - Ênfase2 2 3 3 3 2" xfId="2254" xr:uid="{00000000-0005-0000-0000-000036080000}"/>
    <cellStyle name="20% - Ênfase2 2 3 3 3 2 2" xfId="2255" xr:uid="{00000000-0005-0000-0000-000037080000}"/>
    <cellStyle name="20% - Ênfase2 2 3 3 3 3" xfId="2256" xr:uid="{00000000-0005-0000-0000-000038080000}"/>
    <cellStyle name="20% - Ênfase2 2 3 3 3 3 2" xfId="2257" xr:uid="{00000000-0005-0000-0000-000039080000}"/>
    <cellStyle name="20% - Ênfase2 2 3 3 3 4" xfId="2258" xr:uid="{00000000-0005-0000-0000-00003A080000}"/>
    <cellStyle name="20% - Ênfase2 2 3 3 4" xfId="2259" xr:uid="{00000000-0005-0000-0000-00003B080000}"/>
    <cellStyle name="20% - Ênfase2 2 3 3 4 2" xfId="2260" xr:uid="{00000000-0005-0000-0000-00003C080000}"/>
    <cellStyle name="20% - Ênfase2 2 3 3 5" xfId="2261" xr:uid="{00000000-0005-0000-0000-00003D080000}"/>
    <cellStyle name="20% - Ênfase2 2 3 3 5 2" xfId="2262" xr:uid="{00000000-0005-0000-0000-00003E080000}"/>
    <cellStyle name="20% - Ênfase2 2 3 3 6" xfId="2263" xr:uid="{00000000-0005-0000-0000-00003F080000}"/>
    <cellStyle name="20% - Ênfase2 2 3 4" xfId="2264" xr:uid="{00000000-0005-0000-0000-000040080000}"/>
    <cellStyle name="20% - Ênfase2 2 3 4 2" xfId="2265" xr:uid="{00000000-0005-0000-0000-000041080000}"/>
    <cellStyle name="20% - Ênfase2 2 3 4 2 2" xfId="2266" xr:uid="{00000000-0005-0000-0000-000042080000}"/>
    <cellStyle name="20% - Ênfase2 2 3 4 2 2 2" xfId="2267" xr:uid="{00000000-0005-0000-0000-000043080000}"/>
    <cellStyle name="20% - Ênfase2 2 3 4 2 3" xfId="2268" xr:uid="{00000000-0005-0000-0000-000044080000}"/>
    <cellStyle name="20% - Ênfase2 2 3 4 2 3 2" xfId="2269" xr:uid="{00000000-0005-0000-0000-000045080000}"/>
    <cellStyle name="20% - Ênfase2 2 3 4 2 4" xfId="2270" xr:uid="{00000000-0005-0000-0000-000046080000}"/>
    <cellStyle name="20% - Ênfase2 2 3 4 3" xfId="2271" xr:uid="{00000000-0005-0000-0000-000047080000}"/>
    <cellStyle name="20% - Ênfase2 2 3 4 3 2" xfId="2272" xr:uid="{00000000-0005-0000-0000-000048080000}"/>
    <cellStyle name="20% - Ênfase2 2 3 4 3 2 2" xfId="2273" xr:uid="{00000000-0005-0000-0000-000049080000}"/>
    <cellStyle name="20% - Ênfase2 2 3 4 3 3" xfId="2274" xr:uid="{00000000-0005-0000-0000-00004A080000}"/>
    <cellStyle name="20% - Ênfase2 2 3 4 3 3 2" xfId="2275" xr:uid="{00000000-0005-0000-0000-00004B080000}"/>
    <cellStyle name="20% - Ênfase2 2 3 4 3 4" xfId="2276" xr:uid="{00000000-0005-0000-0000-00004C080000}"/>
    <cellStyle name="20% - Ênfase2 2 3 4 4" xfId="2277" xr:uid="{00000000-0005-0000-0000-00004D080000}"/>
    <cellStyle name="20% - Ênfase2 2 3 4 4 2" xfId="2278" xr:uid="{00000000-0005-0000-0000-00004E080000}"/>
    <cellStyle name="20% - Ênfase2 2 3 4 5" xfId="2279" xr:uid="{00000000-0005-0000-0000-00004F080000}"/>
    <cellStyle name="20% - Ênfase2 2 3 4 5 2" xfId="2280" xr:uid="{00000000-0005-0000-0000-000050080000}"/>
    <cellStyle name="20% - Ênfase2 2 3 4 6" xfId="2281" xr:uid="{00000000-0005-0000-0000-000051080000}"/>
    <cellStyle name="20% - Ênfase2 2 3 5" xfId="2282" xr:uid="{00000000-0005-0000-0000-000052080000}"/>
    <cellStyle name="20% - Ênfase2 2 3 5 2" xfId="2283" xr:uid="{00000000-0005-0000-0000-000053080000}"/>
    <cellStyle name="20% - Ênfase2 2 3 5 2 2" xfId="2284" xr:uid="{00000000-0005-0000-0000-000054080000}"/>
    <cellStyle name="20% - Ênfase2 2 3 5 3" xfId="2285" xr:uid="{00000000-0005-0000-0000-000055080000}"/>
    <cellStyle name="20% - Ênfase2 2 3 5 3 2" xfId="2286" xr:uid="{00000000-0005-0000-0000-000056080000}"/>
    <cellStyle name="20% - Ênfase2 2 3 5 4" xfId="2287" xr:uid="{00000000-0005-0000-0000-000057080000}"/>
    <cellStyle name="20% - Ênfase2 2 3 6" xfId="2288" xr:uid="{00000000-0005-0000-0000-000058080000}"/>
    <cellStyle name="20% - Ênfase2 2 3 6 2" xfId="2289" xr:uid="{00000000-0005-0000-0000-000059080000}"/>
    <cellStyle name="20% - Ênfase2 2 3 6 2 2" xfId="2290" xr:uid="{00000000-0005-0000-0000-00005A080000}"/>
    <cellStyle name="20% - Ênfase2 2 3 6 3" xfId="2291" xr:uid="{00000000-0005-0000-0000-00005B080000}"/>
    <cellStyle name="20% - Ênfase2 2 3 7" xfId="2292" xr:uid="{00000000-0005-0000-0000-00005C080000}"/>
    <cellStyle name="20% - Ênfase2 2 3 7 2" xfId="2293" xr:uid="{00000000-0005-0000-0000-00005D080000}"/>
    <cellStyle name="20% - Ênfase2 2 3 7 2 2" xfId="2294" xr:uid="{00000000-0005-0000-0000-00005E080000}"/>
    <cellStyle name="20% - Ênfase2 2 3 7 3" xfId="2295" xr:uid="{00000000-0005-0000-0000-00005F080000}"/>
    <cellStyle name="20% - Ênfase2 2 3 8" xfId="2296" xr:uid="{00000000-0005-0000-0000-000060080000}"/>
    <cellStyle name="20% - Ênfase2 2 3 8 2" xfId="2297" xr:uid="{00000000-0005-0000-0000-000061080000}"/>
    <cellStyle name="20% - Ênfase2 2 3 8 2 2" xfId="2298" xr:uid="{00000000-0005-0000-0000-000062080000}"/>
    <cellStyle name="20% - Ênfase2 2 3 8 3" xfId="2299" xr:uid="{00000000-0005-0000-0000-000063080000}"/>
    <cellStyle name="20% - Ênfase2 2 3 9" xfId="2300" xr:uid="{00000000-0005-0000-0000-000064080000}"/>
    <cellStyle name="20% - Ênfase2 2 3 9 2" xfId="2301" xr:uid="{00000000-0005-0000-0000-000065080000}"/>
    <cellStyle name="20% - Ênfase2 2 3 9 2 2" xfId="2302" xr:uid="{00000000-0005-0000-0000-000066080000}"/>
    <cellStyle name="20% - Ênfase2 2 3 9 3" xfId="2303" xr:uid="{00000000-0005-0000-0000-000067080000}"/>
    <cellStyle name="20% - Ênfase2 2 4" xfId="2304" xr:uid="{00000000-0005-0000-0000-000068080000}"/>
    <cellStyle name="20% - Ênfase2 2 4 10" xfId="2305" xr:uid="{00000000-0005-0000-0000-000069080000}"/>
    <cellStyle name="20% - Ênfase2 2 4 2" xfId="2306" xr:uid="{00000000-0005-0000-0000-00006A080000}"/>
    <cellStyle name="20% - Ênfase2 2 4 2 2" xfId="2307" xr:uid="{00000000-0005-0000-0000-00006B080000}"/>
    <cellStyle name="20% - Ênfase2 2 4 2 2 2" xfId="2308" xr:uid="{00000000-0005-0000-0000-00006C080000}"/>
    <cellStyle name="20% - Ênfase2 2 4 2 2 2 2" xfId="2309" xr:uid="{00000000-0005-0000-0000-00006D080000}"/>
    <cellStyle name="20% - Ênfase2 2 4 2 2 2 2 2" xfId="2310" xr:uid="{00000000-0005-0000-0000-00006E080000}"/>
    <cellStyle name="20% - Ênfase2 2 4 2 2 2 3" xfId="2311" xr:uid="{00000000-0005-0000-0000-00006F080000}"/>
    <cellStyle name="20% - Ênfase2 2 4 2 2 2 3 2" xfId="2312" xr:uid="{00000000-0005-0000-0000-000070080000}"/>
    <cellStyle name="20% - Ênfase2 2 4 2 2 2 4" xfId="2313" xr:uid="{00000000-0005-0000-0000-000071080000}"/>
    <cellStyle name="20% - Ênfase2 2 4 2 2 3" xfId="2314" xr:uid="{00000000-0005-0000-0000-000072080000}"/>
    <cellStyle name="20% - Ênfase2 2 4 2 2 3 2" xfId="2315" xr:uid="{00000000-0005-0000-0000-000073080000}"/>
    <cellStyle name="20% - Ênfase2 2 4 2 2 4" xfId="2316" xr:uid="{00000000-0005-0000-0000-000074080000}"/>
    <cellStyle name="20% - Ênfase2 2 4 2 2 4 2" xfId="2317" xr:uid="{00000000-0005-0000-0000-000075080000}"/>
    <cellStyle name="20% - Ênfase2 2 4 2 2 5" xfId="2318" xr:uid="{00000000-0005-0000-0000-000076080000}"/>
    <cellStyle name="20% - Ênfase2 2 4 2 3" xfId="2319" xr:uid="{00000000-0005-0000-0000-000077080000}"/>
    <cellStyle name="20% - Ênfase2 2 4 2 3 2" xfId="2320" xr:uid="{00000000-0005-0000-0000-000078080000}"/>
    <cellStyle name="20% - Ênfase2 2 4 2 3 2 2" xfId="2321" xr:uid="{00000000-0005-0000-0000-000079080000}"/>
    <cellStyle name="20% - Ênfase2 2 4 2 3 3" xfId="2322" xr:uid="{00000000-0005-0000-0000-00007A080000}"/>
    <cellStyle name="20% - Ênfase2 2 4 2 3 3 2" xfId="2323" xr:uid="{00000000-0005-0000-0000-00007B080000}"/>
    <cellStyle name="20% - Ênfase2 2 4 2 3 4" xfId="2324" xr:uid="{00000000-0005-0000-0000-00007C080000}"/>
    <cellStyle name="20% - Ênfase2 2 4 2 4" xfId="2325" xr:uid="{00000000-0005-0000-0000-00007D080000}"/>
    <cellStyle name="20% - Ênfase2 2 4 2 4 2" xfId="2326" xr:uid="{00000000-0005-0000-0000-00007E080000}"/>
    <cellStyle name="20% - Ênfase2 2 4 2 4 2 2" xfId="2327" xr:uid="{00000000-0005-0000-0000-00007F080000}"/>
    <cellStyle name="20% - Ênfase2 2 4 2 4 3" xfId="2328" xr:uid="{00000000-0005-0000-0000-000080080000}"/>
    <cellStyle name="20% - Ênfase2 2 4 2 5" xfId="2329" xr:uid="{00000000-0005-0000-0000-000081080000}"/>
    <cellStyle name="20% - Ênfase2 2 4 2 5 2" xfId="2330" xr:uid="{00000000-0005-0000-0000-000082080000}"/>
    <cellStyle name="20% - Ênfase2 2 4 2 6" xfId="2331" xr:uid="{00000000-0005-0000-0000-000083080000}"/>
    <cellStyle name="20% - Ênfase2 2 4 3" xfId="2332" xr:uid="{00000000-0005-0000-0000-000084080000}"/>
    <cellStyle name="20% - Ênfase2 2 4 3 2" xfId="2333" xr:uid="{00000000-0005-0000-0000-000085080000}"/>
    <cellStyle name="20% - Ênfase2 2 4 3 2 2" xfId="2334" xr:uid="{00000000-0005-0000-0000-000086080000}"/>
    <cellStyle name="20% - Ênfase2 2 4 3 2 2 2" xfId="2335" xr:uid="{00000000-0005-0000-0000-000087080000}"/>
    <cellStyle name="20% - Ênfase2 2 4 3 2 3" xfId="2336" xr:uid="{00000000-0005-0000-0000-000088080000}"/>
    <cellStyle name="20% - Ênfase2 2 4 3 2 3 2" xfId="2337" xr:uid="{00000000-0005-0000-0000-000089080000}"/>
    <cellStyle name="20% - Ênfase2 2 4 3 2 4" xfId="2338" xr:uid="{00000000-0005-0000-0000-00008A080000}"/>
    <cellStyle name="20% - Ênfase2 2 4 3 3" xfId="2339" xr:uid="{00000000-0005-0000-0000-00008B080000}"/>
    <cellStyle name="20% - Ênfase2 2 4 3 3 2" xfId="2340" xr:uid="{00000000-0005-0000-0000-00008C080000}"/>
    <cellStyle name="20% - Ênfase2 2 4 3 3 2 2" xfId="2341" xr:uid="{00000000-0005-0000-0000-00008D080000}"/>
    <cellStyle name="20% - Ênfase2 2 4 3 3 3" xfId="2342" xr:uid="{00000000-0005-0000-0000-00008E080000}"/>
    <cellStyle name="20% - Ênfase2 2 4 3 3 3 2" xfId="2343" xr:uid="{00000000-0005-0000-0000-00008F080000}"/>
    <cellStyle name="20% - Ênfase2 2 4 3 3 4" xfId="2344" xr:uid="{00000000-0005-0000-0000-000090080000}"/>
    <cellStyle name="20% - Ênfase2 2 4 3 4" xfId="2345" xr:uid="{00000000-0005-0000-0000-000091080000}"/>
    <cellStyle name="20% - Ênfase2 2 4 3 4 2" xfId="2346" xr:uid="{00000000-0005-0000-0000-000092080000}"/>
    <cellStyle name="20% - Ênfase2 2 4 3 5" xfId="2347" xr:uid="{00000000-0005-0000-0000-000093080000}"/>
    <cellStyle name="20% - Ênfase2 2 4 3 5 2" xfId="2348" xr:uid="{00000000-0005-0000-0000-000094080000}"/>
    <cellStyle name="20% - Ênfase2 2 4 3 6" xfId="2349" xr:uid="{00000000-0005-0000-0000-000095080000}"/>
    <cellStyle name="20% - Ênfase2 2 4 4" xfId="2350" xr:uid="{00000000-0005-0000-0000-000096080000}"/>
    <cellStyle name="20% - Ênfase2 2 4 4 2" xfId="2351" xr:uid="{00000000-0005-0000-0000-000097080000}"/>
    <cellStyle name="20% - Ênfase2 2 4 4 2 2" xfId="2352" xr:uid="{00000000-0005-0000-0000-000098080000}"/>
    <cellStyle name="20% - Ênfase2 2 4 4 3" xfId="2353" xr:uid="{00000000-0005-0000-0000-000099080000}"/>
    <cellStyle name="20% - Ênfase2 2 4 4 3 2" xfId="2354" xr:uid="{00000000-0005-0000-0000-00009A080000}"/>
    <cellStyle name="20% - Ênfase2 2 4 4 4" xfId="2355" xr:uid="{00000000-0005-0000-0000-00009B080000}"/>
    <cellStyle name="20% - Ênfase2 2 4 5" xfId="2356" xr:uid="{00000000-0005-0000-0000-00009C080000}"/>
    <cellStyle name="20% - Ênfase2 2 4 5 2" xfId="2357" xr:uid="{00000000-0005-0000-0000-00009D080000}"/>
    <cellStyle name="20% - Ênfase2 2 4 5 2 2" xfId="2358" xr:uid="{00000000-0005-0000-0000-00009E080000}"/>
    <cellStyle name="20% - Ênfase2 2 4 5 3" xfId="2359" xr:uid="{00000000-0005-0000-0000-00009F080000}"/>
    <cellStyle name="20% - Ênfase2 2 4 6" xfId="2360" xr:uid="{00000000-0005-0000-0000-0000A0080000}"/>
    <cellStyle name="20% - Ênfase2 2 4 6 2" xfId="2361" xr:uid="{00000000-0005-0000-0000-0000A1080000}"/>
    <cellStyle name="20% - Ênfase2 2 4 6 2 2" xfId="2362" xr:uid="{00000000-0005-0000-0000-0000A2080000}"/>
    <cellStyle name="20% - Ênfase2 2 4 6 3" xfId="2363" xr:uid="{00000000-0005-0000-0000-0000A3080000}"/>
    <cellStyle name="20% - Ênfase2 2 4 7" xfId="2364" xr:uid="{00000000-0005-0000-0000-0000A4080000}"/>
    <cellStyle name="20% - Ênfase2 2 4 7 2" xfId="2365" xr:uid="{00000000-0005-0000-0000-0000A5080000}"/>
    <cellStyle name="20% - Ênfase2 2 4 7 2 2" xfId="2366" xr:uid="{00000000-0005-0000-0000-0000A6080000}"/>
    <cellStyle name="20% - Ênfase2 2 4 7 3" xfId="2367" xr:uid="{00000000-0005-0000-0000-0000A7080000}"/>
    <cellStyle name="20% - Ênfase2 2 4 8" xfId="2368" xr:uid="{00000000-0005-0000-0000-0000A8080000}"/>
    <cellStyle name="20% - Ênfase2 2 4 8 2" xfId="2369" xr:uid="{00000000-0005-0000-0000-0000A9080000}"/>
    <cellStyle name="20% - Ênfase2 2 4 8 2 2" xfId="2370" xr:uid="{00000000-0005-0000-0000-0000AA080000}"/>
    <cellStyle name="20% - Ênfase2 2 4 8 3" xfId="2371" xr:uid="{00000000-0005-0000-0000-0000AB080000}"/>
    <cellStyle name="20% - Ênfase2 2 4 9" xfId="2372" xr:uid="{00000000-0005-0000-0000-0000AC080000}"/>
    <cellStyle name="20% - Ênfase2 2 4 9 2" xfId="2373" xr:uid="{00000000-0005-0000-0000-0000AD080000}"/>
    <cellStyle name="20% - Ênfase2 2 5" xfId="2374" xr:uid="{00000000-0005-0000-0000-0000AE080000}"/>
    <cellStyle name="20% - Ênfase2 2 5 2" xfId="2375" xr:uid="{00000000-0005-0000-0000-0000AF080000}"/>
    <cellStyle name="20% - Ênfase2 2 5 2 2" xfId="2376" xr:uid="{00000000-0005-0000-0000-0000B0080000}"/>
    <cellStyle name="20% - Ênfase2 2 5 2 2 2" xfId="2377" xr:uid="{00000000-0005-0000-0000-0000B1080000}"/>
    <cellStyle name="20% - Ênfase2 2 5 2 2 2 2" xfId="2378" xr:uid="{00000000-0005-0000-0000-0000B2080000}"/>
    <cellStyle name="20% - Ênfase2 2 5 2 2 2 2 2" xfId="2379" xr:uid="{00000000-0005-0000-0000-0000B3080000}"/>
    <cellStyle name="20% - Ênfase2 2 5 2 2 2 3" xfId="2380" xr:uid="{00000000-0005-0000-0000-0000B4080000}"/>
    <cellStyle name="20% - Ênfase2 2 5 2 2 2 3 2" xfId="2381" xr:uid="{00000000-0005-0000-0000-0000B5080000}"/>
    <cellStyle name="20% - Ênfase2 2 5 2 2 2 4" xfId="2382" xr:uid="{00000000-0005-0000-0000-0000B6080000}"/>
    <cellStyle name="20% - Ênfase2 2 5 2 2 3" xfId="2383" xr:uid="{00000000-0005-0000-0000-0000B7080000}"/>
    <cellStyle name="20% - Ênfase2 2 5 2 2 3 2" xfId="2384" xr:uid="{00000000-0005-0000-0000-0000B8080000}"/>
    <cellStyle name="20% - Ênfase2 2 5 2 2 4" xfId="2385" xr:uid="{00000000-0005-0000-0000-0000B9080000}"/>
    <cellStyle name="20% - Ênfase2 2 5 2 2 4 2" xfId="2386" xr:uid="{00000000-0005-0000-0000-0000BA080000}"/>
    <cellStyle name="20% - Ênfase2 2 5 2 2 5" xfId="2387" xr:uid="{00000000-0005-0000-0000-0000BB080000}"/>
    <cellStyle name="20% - Ênfase2 2 5 2 3" xfId="2388" xr:uid="{00000000-0005-0000-0000-0000BC080000}"/>
    <cellStyle name="20% - Ênfase2 2 5 2 3 2" xfId="2389" xr:uid="{00000000-0005-0000-0000-0000BD080000}"/>
    <cellStyle name="20% - Ênfase2 2 5 2 3 2 2" xfId="2390" xr:uid="{00000000-0005-0000-0000-0000BE080000}"/>
    <cellStyle name="20% - Ênfase2 2 5 2 3 3" xfId="2391" xr:uid="{00000000-0005-0000-0000-0000BF080000}"/>
    <cellStyle name="20% - Ênfase2 2 5 2 3 3 2" xfId="2392" xr:uid="{00000000-0005-0000-0000-0000C0080000}"/>
    <cellStyle name="20% - Ênfase2 2 5 2 3 4" xfId="2393" xr:uid="{00000000-0005-0000-0000-0000C1080000}"/>
    <cellStyle name="20% - Ênfase2 2 5 2 4" xfId="2394" xr:uid="{00000000-0005-0000-0000-0000C2080000}"/>
    <cellStyle name="20% - Ênfase2 2 5 2 4 2" xfId="2395" xr:uid="{00000000-0005-0000-0000-0000C3080000}"/>
    <cellStyle name="20% - Ênfase2 2 5 2 4 2 2" xfId="2396" xr:uid="{00000000-0005-0000-0000-0000C4080000}"/>
    <cellStyle name="20% - Ênfase2 2 5 2 4 3" xfId="2397" xr:uid="{00000000-0005-0000-0000-0000C5080000}"/>
    <cellStyle name="20% - Ênfase2 2 5 2 5" xfId="2398" xr:uid="{00000000-0005-0000-0000-0000C6080000}"/>
    <cellStyle name="20% - Ênfase2 2 5 2 5 2" xfId="2399" xr:uid="{00000000-0005-0000-0000-0000C7080000}"/>
    <cellStyle name="20% - Ênfase2 2 5 2 6" xfId="2400" xr:uid="{00000000-0005-0000-0000-0000C8080000}"/>
    <cellStyle name="20% - Ênfase2 2 5 3" xfId="2401" xr:uid="{00000000-0005-0000-0000-0000C9080000}"/>
    <cellStyle name="20% - Ênfase2 2 5 3 2" xfId="2402" xr:uid="{00000000-0005-0000-0000-0000CA080000}"/>
    <cellStyle name="20% - Ênfase2 2 5 3 2 2" xfId="2403" xr:uid="{00000000-0005-0000-0000-0000CB080000}"/>
    <cellStyle name="20% - Ênfase2 2 5 3 2 2 2" xfId="2404" xr:uid="{00000000-0005-0000-0000-0000CC080000}"/>
    <cellStyle name="20% - Ênfase2 2 5 3 2 3" xfId="2405" xr:uid="{00000000-0005-0000-0000-0000CD080000}"/>
    <cellStyle name="20% - Ênfase2 2 5 3 2 3 2" xfId="2406" xr:uid="{00000000-0005-0000-0000-0000CE080000}"/>
    <cellStyle name="20% - Ênfase2 2 5 3 2 4" xfId="2407" xr:uid="{00000000-0005-0000-0000-0000CF080000}"/>
    <cellStyle name="20% - Ênfase2 2 5 3 3" xfId="2408" xr:uid="{00000000-0005-0000-0000-0000D0080000}"/>
    <cellStyle name="20% - Ênfase2 2 5 3 3 2" xfId="2409" xr:uid="{00000000-0005-0000-0000-0000D1080000}"/>
    <cellStyle name="20% - Ênfase2 2 5 3 4" xfId="2410" xr:uid="{00000000-0005-0000-0000-0000D2080000}"/>
    <cellStyle name="20% - Ênfase2 2 5 3 4 2" xfId="2411" xr:uid="{00000000-0005-0000-0000-0000D3080000}"/>
    <cellStyle name="20% - Ênfase2 2 5 3 5" xfId="2412" xr:uid="{00000000-0005-0000-0000-0000D4080000}"/>
    <cellStyle name="20% - Ênfase2 2 5 4" xfId="2413" xr:uid="{00000000-0005-0000-0000-0000D5080000}"/>
    <cellStyle name="20% - Ênfase2 2 5 4 2" xfId="2414" xr:uid="{00000000-0005-0000-0000-0000D6080000}"/>
    <cellStyle name="20% - Ênfase2 2 5 4 2 2" xfId="2415" xr:uid="{00000000-0005-0000-0000-0000D7080000}"/>
    <cellStyle name="20% - Ênfase2 2 5 4 3" xfId="2416" xr:uid="{00000000-0005-0000-0000-0000D8080000}"/>
    <cellStyle name="20% - Ênfase2 2 5 4 3 2" xfId="2417" xr:uid="{00000000-0005-0000-0000-0000D9080000}"/>
    <cellStyle name="20% - Ênfase2 2 5 4 4" xfId="2418" xr:uid="{00000000-0005-0000-0000-0000DA080000}"/>
    <cellStyle name="20% - Ênfase2 2 5 5" xfId="2419" xr:uid="{00000000-0005-0000-0000-0000DB080000}"/>
    <cellStyle name="20% - Ênfase2 2 5 5 2" xfId="2420" xr:uid="{00000000-0005-0000-0000-0000DC080000}"/>
    <cellStyle name="20% - Ênfase2 2 5 5 2 2" xfId="2421" xr:uid="{00000000-0005-0000-0000-0000DD080000}"/>
    <cellStyle name="20% - Ênfase2 2 5 5 3" xfId="2422" xr:uid="{00000000-0005-0000-0000-0000DE080000}"/>
    <cellStyle name="20% - Ênfase2 2 5 6" xfId="2423" xr:uid="{00000000-0005-0000-0000-0000DF080000}"/>
    <cellStyle name="20% - Ênfase2 2 5 6 2" xfId="2424" xr:uid="{00000000-0005-0000-0000-0000E0080000}"/>
    <cellStyle name="20% - Ênfase2 2 5 7" xfId="2425" xr:uid="{00000000-0005-0000-0000-0000E1080000}"/>
    <cellStyle name="20% - Ênfase2 2 6" xfId="2426" xr:uid="{00000000-0005-0000-0000-0000E2080000}"/>
    <cellStyle name="20% - Ênfase2 2 6 2" xfId="2427" xr:uid="{00000000-0005-0000-0000-0000E3080000}"/>
    <cellStyle name="20% - Ênfase2 2 6 2 2" xfId="2428" xr:uid="{00000000-0005-0000-0000-0000E4080000}"/>
    <cellStyle name="20% - Ênfase2 2 6 2 2 2" xfId="2429" xr:uid="{00000000-0005-0000-0000-0000E5080000}"/>
    <cellStyle name="20% - Ênfase2 2 6 2 2 2 2" xfId="2430" xr:uid="{00000000-0005-0000-0000-0000E6080000}"/>
    <cellStyle name="20% - Ênfase2 2 6 2 2 2 2 2" xfId="2431" xr:uid="{00000000-0005-0000-0000-0000E7080000}"/>
    <cellStyle name="20% - Ênfase2 2 6 2 2 2 3" xfId="2432" xr:uid="{00000000-0005-0000-0000-0000E8080000}"/>
    <cellStyle name="20% - Ênfase2 2 6 2 2 2 3 2" xfId="2433" xr:uid="{00000000-0005-0000-0000-0000E9080000}"/>
    <cellStyle name="20% - Ênfase2 2 6 2 2 2 4" xfId="2434" xr:uid="{00000000-0005-0000-0000-0000EA080000}"/>
    <cellStyle name="20% - Ênfase2 2 6 2 2 3" xfId="2435" xr:uid="{00000000-0005-0000-0000-0000EB080000}"/>
    <cellStyle name="20% - Ênfase2 2 6 2 2 3 2" xfId="2436" xr:uid="{00000000-0005-0000-0000-0000EC080000}"/>
    <cellStyle name="20% - Ênfase2 2 6 2 2 4" xfId="2437" xr:uid="{00000000-0005-0000-0000-0000ED080000}"/>
    <cellStyle name="20% - Ênfase2 2 6 2 2 4 2" xfId="2438" xr:uid="{00000000-0005-0000-0000-0000EE080000}"/>
    <cellStyle name="20% - Ênfase2 2 6 2 2 5" xfId="2439" xr:uid="{00000000-0005-0000-0000-0000EF080000}"/>
    <cellStyle name="20% - Ênfase2 2 6 2 3" xfId="2440" xr:uid="{00000000-0005-0000-0000-0000F0080000}"/>
    <cellStyle name="20% - Ênfase2 2 6 2 3 2" xfId="2441" xr:uid="{00000000-0005-0000-0000-0000F1080000}"/>
    <cellStyle name="20% - Ênfase2 2 6 2 3 2 2" xfId="2442" xr:uid="{00000000-0005-0000-0000-0000F2080000}"/>
    <cellStyle name="20% - Ênfase2 2 6 2 3 3" xfId="2443" xr:uid="{00000000-0005-0000-0000-0000F3080000}"/>
    <cellStyle name="20% - Ênfase2 2 6 2 3 3 2" xfId="2444" xr:uid="{00000000-0005-0000-0000-0000F4080000}"/>
    <cellStyle name="20% - Ênfase2 2 6 2 3 4" xfId="2445" xr:uid="{00000000-0005-0000-0000-0000F5080000}"/>
    <cellStyle name="20% - Ênfase2 2 6 2 4" xfId="2446" xr:uid="{00000000-0005-0000-0000-0000F6080000}"/>
    <cellStyle name="20% - Ênfase2 2 6 2 4 2" xfId="2447" xr:uid="{00000000-0005-0000-0000-0000F7080000}"/>
    <cellStyle name="20% - Ênfase2 2 6 2 4 2 2" xfId="2448" xr:uid="{00000000-0005-0000-0000-0000F8080000}"/>
    <cellStyle name="20% - Ênfase2 2 6 2 4 3" xfId="2449" xr:uid="{00000000-0005-0000-0000-0000F9080000}"/>
    <cellStyle name="20% - Ênfase2 2 6 2 5" xfId="2450" xr:uid="{00000000-0005-0000-0000-0000FA080000}"/>
    <cellStyle name="20% - Ênfase2 2 6 2 5 2" xfId="2451" xr:uid="{00000000-0005-0000-0000-0000FB080000}"/>
    <cellStyle name="20% - Ênfase2 2 6 2 6" xfId="2452" xr:uid="{00000000-0005-0000-0000-0000FC080000}"/>
    <cellStyle name="20% - Ênfase2 2 6 3" xfId="2453" xr:uid="{00000000-0005-0000-0000-0000FD080000}"/>
    <cellStyle name="20% - Ênfase2 2 6 3 2" xfId="2454" xr:uid="{00000000-0005-0000-0000-0000FE080000}"/>
    <cellStyle name="20% - Ênfase2 2 6 3 2 2" xfId="2455" xr:uid="{00000000-0005-0000-0000-0000FF080000}"/>
    <cellStyle name="20% - Ênfase2 2 6 3 2 2 2" xfId="2456" xr:uid="{00000000-0005-0000-0000-000000090000}"/>
    <cellStyle name="20% - Ênfase2 2 6 3 2 3" xfId="2457" xr:uid="{00000000-0005-0000-0000-000001090000}"/>
    <cellStyle name="20% - Ênfase2 2 6 3 2 3 2" xfId="2458" xr:uid="{00000000-0005-0000-0000-000002090000}"/>
    <cellStyle name="20% - Ênfase2 2 6 3 2 4" xfId="2459" xr:uid="{00000000-0005-0000-0000-000003090000}"/>
    <cellStyle name="20% - Ênfase2 2 6 3 3" xfId="2460" xr:uid="{00000000-0005-0000-0000-000004090000}"/>
    <cellStyle name="20% - Ênfase2 2 6 3 3 2" xfId="2461" xr:uid="{00000000-0005-0000-0000-000005090000}"/>
    <cellStyle name="20% - Ênfase2 2 6 3 4" xfId="2462" xr:uid="{00000000-0005-0000-0000-000006090000}"/>
    <cellStyle name="20% - Ênfase2 2 6 3 4 2" xfId="2463" xr:uid="{00000000-0005-0000-0000-000007090000}"/>
    <cellStyle name="20% - Ênfase2 2 6 3 5" xfId="2464" xr:uid="{00000000-0005-0000-0000-000008090000}"/>
    <cellStyle name="20% - Ênfase2 2 6 4" xfId="2465" xr:uid="{00000000-0005-0000-0000-000009090000}"/>
    <cellStyle name="20% - Ênfase2 2 6 4 2" xfId="2466" xr:uid="{00000000-0005-0000-0000-00000A090000}"/>
    <cellStyle name="20% - Ênfase2 2 6 4 2 2" xfId="2467" xr:uid="{00000000-0005-0000-0000-00000B090000}"/>
    <cellStyle name="20% - Ênfase2 2 6 4 3" xfId="2468" xr:uid="{00000000-0005-0000-0000-00000C090000}"/>
    <cellStyle name="20% - Ênfase2 2 6 4 3 2" xfId="2469" xr:uid="{00000000-0005-0000-0000-00000D090000}"/>
    <cellStyle name="20% - Ênfase2 2 6 4 4" xfId="2470" xr:uid="{00000000-0005-0000-0000-00000E090000}"/>
    <cellStyle name="20% - Ênfase2 2 6 5" xfId="2471" xr:uid="{00000000-0005-0000-0000-00000F090000}"/>
    <cellStyle name="20% - Ênfase2 2 6 5 2" xfId="2472" xr:uid="{00000000-0005-0000-0000-000010090000}"/>
    <cellStyle name="20% - Ênfase2 2 6 5 2 2" xfId="2473" xr:uid="{00000000-0005-0000-0000-000011090000}"/>
    <cellStyle name="20% - Ênfase2 2 6 5 3" xfId="2474" xr:uid="{00000000-0005-0000-0000-000012090000}"/>
    <cellStyle name="20% - Ênfase2 2 6 6" xfId="2475" xr:uid="{00000000-0005-0000-0000-000013090000}"/>
    <cellStyle name="20% - Ênfase2 2 6 6 2" xfId="2476" xr:uid="{00000000-0005-0000-0000-000014090000}"/>
    <cellStyle name="20% - Ênfase2 2 6 7" xfId="2477" xr:uid="{00000000-0005-0000-0000-000015090000}"/>
    <cellStyle name="20% - Ênfase2 2 7" xfId="2478" xr:uid="{00000000-0005-0000-0000-000016090000}"/>
    <cellStyle name="20% - Ênfase2 2 7 2" xfId="2479" xr:uid="{00000000-0005-0000-0000-000017090000}"/>
    <cellStyle name="20% - Ênfase2 2 7 2 2" xfId="2480" xr:uid="{00000000-0005-0000-0000-000018090000}"/>
    <cellStyle name="20% - Ênfase2 2 7 2 2 2" xfId="2481" xr:uid="{00000000-0005-0000-0000-000019090000}"/>
    <cellStyle name="20% - Ênfase2 2 7 2 2 2 2" xfId="2482" xr:uid="{00000000-0005-0000-0000-00001A090000}"/>
    <cellStyle name="20% - Ênfase2 2 7 2 2 3" xfId="2483" xr:uid="{00000000-0005-0000-0000-00001B090000}"/>
    <cellStyle name="20% - Ênfase2 2 7 2 2 3 2" xfId="2484" xr:uid="{00000000-0005-0000-0000-00001C090000}"/>
    <cellStyle name="20% - Ênfase2 2 7 2 2 4" xfId="2485" xr:uid="{00000000-0005-0000-0000-00001D090000}"/>
    <cellStyle name="20% - Ênfase2 2 7 2 3" xfId="2486" xr:uid="{00000000-0005-0000-0000-00001E090000}"/>
    <cellStyle name="20% - Ênfase2 2 7 2 3 2" xfId="2487" xr:uid="{00000000-0005-0000-0000-00001F090000}"/>
    <cellStyle name="20% - Ênfase2 2 7 2 4" xfId="2488" xr:uid="{00000000-0005-0000-0000-000020090000}"/>
    <cellStyle name="20% - Ênfase2 2 7 2 4 2" xfId="2489" xr:uid="{00000000-0005-0000-0000-000021090000}"/>
    <cellStyle name="20% - Ênfase2 2 7 2 5" xfId="2490" xr:uid="{00000000-0005-0000-0000-000022090000}"/>
    <cellStyle name="20% - Ênfase2 2 7 3" xfId="2491" xr:uid="{00000000-0005-0000-0000-000023090000}"/>
    <cellStyle name="20% - Ênfase2 2 7 3 2" xfId="2492" xr:uid="{00000000-0005-0000-0000-000024090000}"/>
    <cellStyle name="20% - Ênfase2 2 7 3 2 2" xfId="2493" xr:uid="{00000000-0005-0000-0000-000025090000}"/>
    <cellStyle name="20% - Ênfase2 2 7 3 3" xfId="2494" xr:uid="{00000000-0005-0000-0000-000026090000}"/>
    <cellStyle name="20% - Ênfase2 2 7 3 3 2" xfId="2495" xr:uid="{00000000-0005-0000-0000-000027090000}"/>
    <cellStyle name="20% - Ênfase2 2 7 3 4" xfId="2496" xr:uid="{00000000-0005-0000-0000-000028090000}"/>
    <cellStyle name="20% - Ênfase2 2 7 4" xfId="2497" xr:uid="{00000000-0005-0000-0000-000029090000}"/>
    <cellStyle name="20% - Ênfase2 2 7 4 2" xfId="2498" xr:uid="{00000000-0005-0000-0000-00002A090000}"/>
    <cellStyle name="20% - Ênfase2 2 7 4 2 2" xfId="2499" xr:uid="{00000000-0005-0000-0000-00002B090000}"/>
    <cellStyle name="20% - Ênfase2 2 7 4 3" xfId="2500" xr:uid="{00000000-0005-0000-0000-00002C090000}"/>
    <cellStyle name="20% - Ênfase2 2 7 5" xfId="2501" xr:uid="{00000000-0005-0000-0000-00002D090000}"/>
    <cellStyle name="20% - Ênfase2 2 7 5 2" xfId="2502" xr:uid="{00000000-0005-0000-0000-00002E090000}"/>
    <cellStyle name="20% - Ênfase2 2 7 6" xfId="2503" xr:uid="{00000000-0005-0000-0000-00002F090000}"/>
    <cellStyle name="20% - Ênfase2 2 8" xfId="2504" xr:uid="{00000000-0005-0000-0000-000030090000}"/>
    <cellStyle name="20% - Ênfase2 2 8 2" xfId="2505" xr:uid="{00000000-0005-0000-0000-000031090000}"/>
    <cellStyle name="20% - Ênfase2 2 8 2 2" xfId="2506" xr:uid="{00000000-0005-0000-0000-000032090000}"/>
    <cellStyle name="20% - Ênfase2 2 8 2 2 2" xfId="2507" xr:uid="{00000000-0005-0000-0000-000033090000}"/>
    <cellStyle name="20% - Ênfase2 2 8 2 3" xfId="2508" xr:uid="{00000000-0005-0000-0000-000034090000}"/>
    <cellStyle name="20% - Ênfase2 2 8 2 3 2" xfId="2509" xr:uid="{00000000-0005-0000-0000-000035090000}"/>
    <cellStyle name="20% - Ênfase2 2 8 2 4" xfId="2510" xr:uid="{00000000-0005-0000-0000-000036090000}"/>
    <cellStyle name="20% - Ênfase2 2 8 3" xfId="2511" xr:uid="{00000000-0005-0000-0000-000037090000}"/>
    <cellStyle name="20% - Ênfase2 2 8 3 2" xfId="2512" xr:uid="{00000000-0005-0000-0000-000038090000}"/>
    <cellStyle name="20% - Ênfase2 2 8 3 2 2" xfId="2513" xr:uid="{00000000-0005-0000-0000-000039090000}"/>
    <cellStyle name="20% - Ênfase2 2 8 3 3" xfId="2514" xr:uid="{00000000-0005-0000-0000-00003A090000}"/>
    <cellStyle name="20% - Ênfase2 2 8 3 3 2" xfId="2515" xr:uid="{00000000-0005-0000-0000-00003B090000}"/>
    <cellStyle name="20% - Ênfase2 2 8 3 4" xfId="2516" xr:uid="{00000000-0005-0000-0000-00003C090000}"/>
    <cellStyle name="20% - Ênfase2 2 8 4" xfId="2517" xr:uid="{00000000-0005-0000-0000-00003D090000}"/>
    <cellStyle name="20% - Ênfase2 2 8 4 2" xfId="2518" xr:uid="{00000000-0005-0000-0000-00003E090000}"/>
    <cellStyle name="20% - Ênfase2 2 8 5" xfId="2519" xr:uid="{00000000-0005-0000-0000-00003F090000}"/>
    <cellStyle name="20% - Ênfase2 2 8 5 2" xfId="2520" xr:uid="{00000000-0005-0000-0000-000040090000}"/>
    <cellStyle name="20% - Ênfase2 2 8 6" xfId="2521" xr:uid="{00000000-0005-0000-0000-000041090000}"/>
    <cellStyle name="20% - Ênfase2 2 9" xfId="2522" xr:uid="{00000000-0005-0000-0000-000042090000}"/>
    <cellStyle name="20% - Ênfase2 2 9 2" xfId="2523" xr:uid="{00000000-0005-0000-0000-000043090000}"/>
    <cellStyle name="20% - Ênfase2 2 9 2 2" xfId="2524" xr:uid="{00000000-0005-0000-0000-000044090000}"/>
    <cellStyle name="20% - Ênfase2 2 9 2 2 2" xfId="2525" xr:uid="{00000000-0005-0000-0000-000045090000}"/>
    <cellStyle name="20% - Ênfase2 2 9 2 3" xfId="2526" xr:uid="{00000000-0005-0000-0000-000046090000}"/>
    <cellStyle name="20% - Ênfase2 2 9 2 3 2" xfId="2527" xr:uid="{00000000-0005-0000-0000-000047090000}"/>
    <cellStyle name="20% - Ênfase2 2 9 2 4" xfId="2528" xr:uid="{00000000-0005-0000-0000-000048090000}"/>
    <cellStyle name="20% - Ênfase2 2 9 3" xfId="2529" xr:uid="{00000000-0005-0000-0000-000049090000}"/>
    <cellStyle name="20% - Ênfase2 2 9 3 2" xfId="2530" xr:uid="{00000000-0005-0000-0000-00004A090000}"/>
    <cellStyle name="20% - Ênfase2 2 9 3 2 2" xfId="2531" xr:uid="{00000000-0005-0000-0000-00004B090000}"/>
    <cellStyle name="20% - Ênfase2 2 9 3 3" xfId="2532" xr:uid="{00000000-0005-0000-0000-00004C090000}"/>
    <cellStyle name="20% - Ênfase2 2 9 3 3 2" xfId="2533" xr:uid="{00000000-0005-0000-0000-00004D090000}"/>
    <cellStyle name="20% - Ênfase2 2 9 3 4" xfId="2534" xr:uid="{00000000-0005-0000-0000-00004E090000}"/>
    <cellStyle name="20% - Ênfase2 2 9 4" xfId="2535" xr:uid="{00000000-0005-0000-0000-00004F090000}"/>
    <cellStyle name="20% - Ênfase2 2 9 4 2" xfId="2536" xr:uid="{00000000-0005-0000-0000-000050090000}"/>
    <cellStyle name="20% - Ênfase2 2 9 5" xfId="2537" xr:uid="{00000000-0005-0000-0000-000051090000}"/>
    <cellStyle name="20% - Ênfase2 2 9 5 2" xfId="2538" xr:uid="{00000000-0005-0000-0000-000052090000}"/>
    <cellStyle name="20% - Ênfase2 2 9 6" xfId="2539" xr:uid="{00000000-0005-0000-0000-000053090000}"/>
    <cellStyle name="20% - Ênfase2 20" xfId="2540" xr:uid="{00000000-0005-0000-0000-000054090000}"/>
    <cellStyle name="20% - Ênfase2 20 2" xfId="2541" xr:uid="{00000000-0005-0000-0000-000055090000}"/>
    <cellStyle name="20% - Ênfase2 20 2 2" xfId="2542" xr:uid="{00000000-0005-0000-0000-000056090000}"/>
    <cellStyle name="20% - Ênfase2 20 3" xfId="2543" xr:uid="{00000000-0005-0000-0000-000057090000}"/>
    <cellStyle name="20% - Ênfase2 21" xfId="2544" xr:uid="{00000000-0005-0000-0000-000058090000}"/>
    <cellStyle name="20% - Ênfase2 21 2" xfId="2545" xr:uid="{00000000-0005-0000-0000-000059090000}"/>
    <cellStyle name="20% - Ênfase2 21 2 2" xfId="2546" xr:uid="{00000000-0005-0000-0000-00005A090000}"/>
    <cellStyle name="20% - Ênfase2 21 3" xfId="2547" xr:uid="{00000000-0005-0000-0000-00005B090000}"/>
    <cellStyle name="20% - Ênfase2 22" xfId="2548" xr:uid="{00000000-0005-0000-0000-00005C090000}"/>
    <cellStyle name="20% - Ênfase2 22 2" xfId="2549" xr:uid="{00000000-0005-0000-0000-00005D090000}"/>
    <cellStyle name="20% - Ênfase2 22 2 2" xfId="2550" xr:uid="{00000000-0005-0000-0000-00005E090000}"/>
    <cellStyle name="20% - Ênfase2 22 3" xfId="2551" xr:uid="{00000000-0005-0000-0000-00005F090000}"/>
    <cellStyle name="20% - Ênfase2 23" xfId="2552" xr:uid="{00000000-0005-0000-0000-000060090000}"/>
    <cellStyle name="20% - Ênfase2 23 2" xfId="2553" xr:uid="{00000000-0005-0000-0000-000061090000}"/>
    <cellStyle name="20% - Ênfase2 23 2 2" xfId="2554" xr:uid="{00000000-0005-0000-0000-000062090000}"/>
    <cellStyle name="20% - Ênfase2 23 3" xfId="2555" xr:uid="{00000000-0005-0000-0000-000063090000}"/>
    <cellStyle name="20% - Ênfase2 24" xfId="2556" xr:uid="{00000000-0005-0000-0000-000064090000}"/>
    <cellStyle name="20% - Ênfase2 24 2" xfId="2557" xr:uid="{00000000-0005-0000-0000-000065090000}"/>
    <cellStyle name="20% - Ênfase2 24 2 2" xfId="2558" xr:uid="{00000000-0005-0000-0000-000066090000}"/>
    <cellStyle name="20% - Ênfase2 24 3" xfId="2559" xr:uid="{00000000-0005-0000-0000-000067090000}"/>
    <cellStyle name="20% - Ênfase2 25" xfId="2560" xr:uid="{00000000-0005-0000-0000-000068090000}"/>
    <cellStyle name="20% - Ênfase2 25 2" xfId="2561" xr:uid="{00000000-0005-0000-0000-000069090000}"/>
    <cellStyle name="20% - Ênfase2 25 2 2" xfId="2562" xr:uid="{00000000-0005-0000-0000-00006A090000}"/>
    <cellStyle name="20% - Ênfase2 25 3" xfId="2563" xr:uid="{00000000-0005-0000-0000-00006B090000}"/>
    <cellStyle name="20% - Ênfase2 26" xfId="2564" xr:uid="{00000000-0005-0000-0000-00006C090000}"/>
    <cellStyle name="20% - Ênfase2 26 2" xfId="2565" xr:uid="{00000000-0005-0000-0000-00006D090000}"/>
    <cellStyle name="20% - Ênfase2 26 2 2" xfId="2566" xr:uid="{00000000-0005-0000-0000-00006E090000}"/>
    <cellStyle name="20% - Ênfase2 26 3" xfId="2567" xr:uid="{00000000-0005-0000-0000-00006F090000}"/>
    <cellStyle name="20% - Ênfase2 27" xfId="2568" xr:uid="{00000000-0005-0000-0000-000070090000}"/>
    <cellStyle name="20% - Ênfase2 27 2" xfId="2569" xr:uid="{00000000-0005-0000-0000-000071090000}"/>
    <cellStyle name="20% - Ênfase2 27 2 2" xfId="2570" xr:uid="{00000000-0005-0000-0000-000072090000}"/>
    <cellStyle name="20% - Ênfase2 27 3" xfId="2571" xr:uid="{00000000-0005-0000-0000-000073090000}"/>
    <cellStyle name="20% - Ênfase2 28" xfId="2572" xr:uid="{00000000-0005-0000-0000-000074090000}"/>
    <cellStyle name="20% - Ênfase2 28 2" xfId="2573" xr:uid="{00000000-0005-0000-0000-000075090000}"/>
    <cellStyle name="20% - Ênfase2 28 2 2" xfId="2574" xr:uid="{00000000-0005-0000-0000-000076090000}"/>
    <cellStyle name="20% - Ênfase2 28 3" xfId="2575" xr:uid="{00000000-0005-0000-0000-000077090000}"/>
    <cellStyle name="20% - Ênfase2 29" xfId="2576" xr:uid="{00000000-0005-0000-0000-000078090000}"/>
    <cellStyle name="20% - Ênfase2 3" xfId="2577" xr:uid="{00000000-0005-0000-0000-000079090000}"/>
    <cellStyle name="20% - Ênfase2 3 10" xfId="2578" xr:uid="{00000000-0005-0000-0000-00007A090000}"/>
    <cellStyle name="20% - Ênfase2 3 10 2" xfId="2579" xr:uid="{00000000-0005-0000-0000-00007B090000}"/>
    <cellStyle name="20% - Ênfase2 3 10 2 2" xfId="2580" xr:uid="{00000000-0005-0000-0000-00007C090000}"/>
    <cellStyle name="20% - Ênfase2 3 10 3" xfId="2581" xr:uid="{00000000-0005-0000-0000-00007D090000}"/>
    <cellStyle name="20% - Ênfase2 3 11" xfId="2582" xr:uid="{00000000-0005-0000-0000-00007E090000}"/>
    <cellStyle name="20% - Ênfase2 3 11 2" xfId="2583" xr:uid="{00000000-0005-0000-0000-00007F090000}"/>
    <cellStyle name="20% - Ênfase2 3 12" xfId="2584" xr:uid="{00000000-0005-0000-0000-000080090000}"/>
    <cellStyle name="20% - Ênfase2 3 2" xfId="2585" xr:uid="{00000000-0005-0000-0000-000081090000}"/>
    <cellStyle name="20% - Ênfase2 3 2 10" xfId="2586" xr:uid="{00000000-0005-0000-0000-000082090000}"/>
    <cellStyle name="20% - Ênfase2 3 2 2" xfId="2587" xr:uid="{00000000-0005-0000-0000-000083090000}"/>
    <cellStyle name="20% - Ênfase2 3 2 2 2" xfId="2588" xr:uid="{00000000-0005-0000-0000-000084090000}"/>
    <cellStyle name="20% - Ênfase2 3 2 2 2 2" xfId="2589" xr:uid="{00000000-0005-0000-0000-000085090000}"/>
    <cellStyle name="20% - Ênfase2 3 2 2 2 2 2" xfId="2590" xr:uid="{00000000-0005-0000-0000-000086090000}"/>
    <cellStyle name="20% - Ênfase2 3 2 2 2 2 2 2" xfId="2591" xr:uid="{00000000-0005-0000-0000-000087090000}"/>
    <cellStyle name="20% - Ênfase2 3 2 2 2 2 3" xfId="2592" xr:uid="{00000000-0005-0000-0000-000088090000}"/>
    <cellStyle name="20% - Ênfase2 3 2 2 2 2 3 2" xfId="2593" xr:uid="{00000000-0005-0000-0000-000089090000}"/>
    <cellStyle name="20% - Ênfase2 3 2 2 2 2 4" xfId="2594" xr:uid="{00000000-0005-0000-0000-00008A090000}"/>
    <cellStyle name="20% - Ênfase2 3 2 2 2 3" xfId="2595" xr:uid="{00000000-0005-0000-0000-00008B090000}"/>
    <cellStyle name="20% - Ênfase2 3 2 2 2 3 2" xfId="2596" xr:uid="{00000000-0005-0000-0000-00008C090000}"/>
    <cellStyle name="20% - Ênfase2 3 2 2 2 4" xfId="2597" xr:uid="{00000000-0005-0000-0000-00008D090000}"/>
    <cellStyle name="20% - Ênfase2 3 2 2 2 4 2" xfId="2598" xr:uid="{00000000-0005-0000-0000-00008E090000}"/>
    <cellStyle name="20% - Ênfase2 3 2 2 2 5" xfId="2599" xr:uid="{00000000-0005-0000-0000-00008F090000}"/>
    <cellStyle name="20% - Ênfase2 3 2 2 3" xfId="2600" xr:uid="{00000000-0005-0000-0000-000090090000}"/>
    <cellStyle name="20% - Ênfase2 3 2 2 3 2" xfId="2601" xr:uid="{00000000-0005-0000-0000-000091090000}"/>
    <cellStyle name="20% - Ênfase2 3 2 2 3 2 2" xfId="2602" xr:uid="{00000000-0005-0000-0000-000092090000}"/>
    <cellStyle name="20% - Ênfase2 3 2 2 3 3" xfId="2603" xr:uid="{00000000-0005-0000-0000-000093090000}"/>
    <cellStyle name="20% - Ênfase2 3 2 2 3 3 2" xfId="2604" xr:uid="{00000000-0005-0000-0000-000094090000}"/>
    <cellStyle name="20% - Ênfase2 3 2 2 3 4" xfId="2605" xr:uid="{00000000-0005-0000-0000-000095090000}"/>
    <cellStyle name="20% - Ênfase2 3 2 2 4" xfId="2606" xr:uid="{00000000-0005-0000-0000-000096090000}"/>
    <cellStyle name="20% - Ênfase2 3 2 2 4 2" xfId="2607" xr:uid="{00000000-0005-0000-0000-000097090000}"/>
    <cellStyle name="20% - Ênfase2 3 2 2 4 2 2" xfId="2608" xr:uid="{00000000-0005-0000-0000-000098090000}"/>
    <cellStyle name="20% - Ênfase2 3 2 2 4 3" xfId="2609" xr:uid="{00000000-0005-0000-0000-000099090000}"/>
    <cellStyle name="20% - Ênfase2 3 2 2 5" xfId="2610" xr:uid="{00000000-0005-0000-0000-00009A090000}"/>
    <cellStyle name="20% - Ênfase2 3 2 2 5 2" xfId="2611" xr:uid="{00000000-0005-0000-0000-00009B090000}"/>
    <cellStyle name="20% - Ênfase2 3 2 2 6" xfId="2612" xr:uid="{00000000-0005-0000-0000-00009C090000}"/>
    <cellStyle name="20% - Ênfase2 3 2 3" xfId="2613" xr:uid="{00000000-0005-0000-0000-00009D090000}"/>
    <cellStyle name="20% - Ênfase2 3 2 3 2" xfId="2614" xr:uid="{00000000-0005-0000-0000-00009E090000}"/>
    <cellStyle name="20% - Ênfase2 3 2 3 2 2" xfId="2615" xr:uid="{00000000-0005-0000-0000-00009F090000}"/>
    <cellStyle name="20% - Ênfase2 3 2 3 2 2 2" xfId="2616" xr:uid="{00000000-0005-0000-0000-0000A0090000}"/>
    <cellStyle name="20% - Ênfase2 3 2 3 2 3" xfId="2617" xr:uid="{00000000-0005-0000-0000-0000A1090000}"/>
    <cellStyle name="20% - Ênfase2 3 2 3 2 3 2" xfId="2618" xr:uid="{00000000-0005-0000-0000-0000A2090000}"/>
    <cellStyle name="20% - Ênfase2 3 2 3 2 4" xfId="2619" xr:uid="{00000000-0005-0000-0000-0000A3090000}"/>
    <cellStyle name="20% - Ênfase2 3 2 3 3" xfId="2620" xr:uid="{00000000-0005-0000-0000-0000A4090000}"/>
    <cellStyle name="20% - Ênfase2 3 2 3 3 2" xfId="2621" xr:uid="{00000000-0005-0000-0000-0000A5090000}"/>
    <cellStyle name="20% - Ênfase2 3 2 3 3 2 2" xfId="2622" xr:uid="{00000000-0005-0000-0000-0000A6090000}"/>
    <cellStyle name="20% - Ênfase2 3 2 3 3 3" xfId="2623" xr:uid="{00000000-0005-0000-0000-0000A7090000}"/>
    <cellStyle name="20% - Ênfase2 3 2 3 3 3 2" xfId="2624" xr:uid="{00000000-0005-0000-0000-0000A8090000}"/>
    <cellStyle name="20% - Ênfase2 3 2 3 3 4" xfId="2625" xr:uid="{00000000-0005-0000-0000-0000A9090000}"/>
    <cellStyle name="20% - Ênfase2 3 2 3 4" xfId="2626" xr:uid="{00000000-0005-0000-0000-0000AA090000}"/>
    <cellStyle name="20% - Ênfase2 3 2 3 4 2" xfId="2627" xr:uid="{00000000-0005-0000-0000-0000AB090000}"/>
    <cellStyle name="20% - Ênfase2 3 2 3 5" xfId="2628" xr:uid="{00000000-0005-0000-0000-0000AC090000}"/>
    <cellStyle name="20% - Ênfase2 3 2 3 5 2" xfId="2629" xr:uid="{00000000-0005-0000-0000-0000AD090000}"/>
    <cellStyle name="20% - Ênfase2 3 2 3 6" xfId="2630" xr:uid="{00000000-0005-0000-0000-0000AE090000}"/>
    <cellStyle name="20% - Ênfase2 3 2 4" xfId="2631" xr:uid="{00000000-0005-0000-0000-0000AF090000}"/>
    <cellStyle name="20% - Ênfase2 3 2 4 2" xfId="2632" xr:uid="{00000000-0005-0000-0000-0000B0090000}"/>
    <cellStyle name="20% - Ênfase2 3 2 4 2 2" xfId="2633" xr:uid="{00000000-0005-0000-0000-0000B1090000}"/>
    <cellStyle name="20% - Ênfase2 3 2 4 3" xfId="2634" xr:uid="{00000000-0005-0000-0000-0000B2090000}"/>
    <cellStyle name="20% - Ênfase2 3 2 4 3 2" xfId="2635" xr:uid="{00000000-0005-0000-0000-0000B3090000}"/>
    <cellStyle name="20% - Ênfase2 3 2 4 4" xfId="2636" xr:uid="{00000000-0005-0000-0000-0000B4090000}"/>
    <cellStyle name="20% - Ênfase2 3 2 5" xfId="2637" xr:uid="{00000000-0005-0000-0000-0000B5090000}"/>
    <cellStyle name="20% - Ênfase2 3 2 5 2" xfId="2638" xr:uid="{00000000-0005-0000-0000-0000B6090000}"/>
    <cellStyle name="20% - Ênfase2 3 2 5 2 2" xfId="2639" xr:uid="{00000000-0005-0000-0000-0000B7090000}"/>
    <cellStyle name="20% - Ênfase2 3 2 5 3" xfId="2640" xr:uid="{00000000-0005-0000-0000-0000B8090000}"/>
    <cellStyle name="20% - Ênfase2 3 2 6" xfId="2641" xr:uid="{00000000-0005-0000-0000-0000B9090000}"/>
    <cellStyle name="20% - Ênfase2 3 2 6 2" xfId="2642" xr:uid="{00000000-0005-0000-0000-0000BA090000}"/>
    <cellStyle name="20% - Ênfase2 3 2 6 2 2" xfId="2643" xr:uid="{00000000-0005-0000-0000-0000BB090000}"/>
    <cellStyle name="20% - Ênfase2 3 2 6 3" xfId="2644" xr:uid="{00000000-0005-0000-0000-0000BC090000}"/>
    <cellStyle name="20% - Ênfase2 3 2 7" xfId="2645" xr:uid="{00000000-0005-0000-0000-0000BD090000}"/>
    <cellStyle name="20% - Ênfase2 3 2 7 2" xfId="2646" xr:uid="{00000000-0005-0000-0000-0000BE090000}"/>
    <cellStyle name="20% - Ênfase2 3 2 7 2 2" xfId="2647" xr:uid="{00000000-0005-0000-0000-0000BF090000}"/>
    <cellStyle name="20% - Ênfase2 3 2 7 3" xfId="2648" xr:uid="{00000000-0005-0000-0000-0000C0090000}"/>
    <cellStyle name="20% - Ênfase2 3 2 8" xfId="2649" xr:uid="{00000000-0005-0000-0000-0000C1090000}"/>
    <cellStyle name="20% - Ênfase2 3 2 8 2" xfId="2650" xr:uid="{00000000-0005-0000-0000-0000C2090000}"/>
    <cellStyle name="20% - Ênfase2 3 2 8 2 2" xfId="2651" xr:uid="{00000000-0005-0000-0000-0000C3090000}"/>
    <cellStyle name="20% - Ênfase2 3 2 8 3" xfId="2652" xr:uid="{00000000-0005-0000-0000-0000C4090000}"/>
    <cellStyle name="20% - Ênfase2 3 2 9" xfId="2653" xr:uid="{00000000-0005-0000-0000-0000C5090000}"/>
    <cellStyle name="20% - Ênfase2 3 2 9 2" xfId="2654" xr:uid="{00000000-0005-0000-0000-0000C6090000}"/>
    <cellStyle name="20% - Ênfase2 3 3" xfId="2655" xr:uid="{00000000-0005-0000-0000-0000C7090000}"/>
    <cellStyle name="20% - Ênfase2 3 3 2" xfId="2656" xr:uid="{00000000-0005-0000-0000-0000C8090000}"/>
    <cellStyle name="20% - Ênfase2 3 3 2 2" xfId="2657" xr:uid="{00000000-0005-0000-0000-0000C9090000}"/>
    <cellStyle name="20% - Ênfase2 3 3 2 2 2" xfId="2658" xr:uid="{00000000-0005-0000-0000-0000CA090000}"/>
    <cellStyle name="20% - Ênfase2 3 3 2 2 2 2" xfId="2659" xr:uid="{00000000-0005-0000-0000-0000CB090000}"/>
    <cellStyle name="20% - Ênfase2 3 3 2 2 3" xfId="2660" xr:uid="{00000000-0005-0000-0000-0000CC090000}"/>
    <cellStyle name="20% - Ênfase2 3 3 2 2 3 2" xfId="2661" xr:uid="{00000000-0005-0000-0000-0000CD090000}"/>
    <cellStyle name="20% - Ênfase2 3 3 2 2 4" xfId="2662" xr:uid="{00000000-0005-0000-0000-0000CE090000}"/>
    <cellStyle name="20% - Ênfase2 3 3 2 3" xfId="2663" xr:uid="{00000000-0005-0000-0000-0000CF090000}"/>
    <cellStyle name="20% - Ênfase2 3 3 2 3 2" xfId="2664" xr:uid="{00000000-0005-0000-0000-0000D0090000}"/>
    <cellStyle name="20% - Ênfase2 3 3 2 4" xfId="2665" xr:uid="{00000000-0005-0000-0000-0000D1090000}"/>
    <cellStyle name="20% - Ênfase2 3 3 2 4 2" xfId="2666" xr:uid="{00000000-0005-0000-0000-0000D2090000}"/>
    <cellStyle name="20% - Ênfase2 3 3 2 5" xfId="2667" xr:uid="{00000000-0005-0000-0000-0000D3090000}"/>
    <cellStyle name="20% - Ênfase2 3 3 3" xfId="2668" xr:uid="{00000000-0005-0000-0000-0000D4090000}"/>
    <cellStyle name="20% - Ênfase2 3 3 3 2" xfId="2669" xr:uid="{00000000-0005-0000-0000-0000D5090000}"/>
    <cellStyle name="20% - Ênfase2 3 3 3 2 2" xfId="2670" xr:uid="{00000000-0005-0000-0000-0000D6090000}"/>
    <cellStyle name="20% - Ênfase2 3 3 3 3" xfId="2671" xr:uid="{00000000-0005-0000-0000-0000D7090000}"/>
    <cellStyle name="20% - Ênfase2 3 3 3 3 2" xfId="2672" xr:uid="{00000000-0005-0000-0000-0000D8090000}"/>
    <cellStyle name="20% - Ênfase2 3 3 3 4" xfId="2673" xr:uid="{00000000-0005-0000-0000-0000D9090000}"/>
    <cellStyle name="20% - Ênfase2 3 3 4" xfId="2674" xr:uid="{00000000-0005-0000-0000-0000DA090000}"/>
    <cellStyle name="20% - Ênfase2 3 3 4 2" xfId="2675" xr:uid="{00000000-0005-0000-0000-0000DB090000}"/>
    <cellStyle name="20% - Ênfase2 3 3 4 2 2" xfId="2676" xr:uid="{00000000-0005-0000-0000-0000DC090000}"/>
    <cellStyle name="20% - Ênfase2 3 3 4 3" xfId="2677" xr:uid="{00000000-0005-0000-0000-0000DD090000}"/>
    <cellStyle name="20% - Ênfase2 3 3 5" xfId="2678" xr:uid="{00000000-0005-0000-0000-0000DE090000}"/>
    <cellStyle name="20% - Ênfase2 3 3 5 2" xfId="2679" xr:uid="{00000000-0005-0000-0000-0000DF090000}"/>
    <cellStyle name="20% - Ênfase2 3 3 6" xfId="2680" xr:uid="{00000000-0005-0000-0000-0000E0090000}"/>
    <cellStyle name="20% - Ênfase2 3 4" xfId="2681" xr:uid="{00000000-0005-0000-0000-0000E1090000}"/>
    <cellStyle name="20% - Ênfase2 3 4 2" xfId="2682" xr:uid="{00000000-0005-0000-0000-0000E2090000}"/>
    <cellStyle name="20% - Ênfase2 3 4 2 2" xfId="2683" xr:uid="{00000000-0005-0000-0000-0000E3090000}"/>
    <cellStyle name="20% - Ênfase2 3 4 2 2 2" xfId="2684" xr:uid="{00000000-0005-0000-0000-0000E4090000}"/>
    <cellStyle name="20% - Ênfase2 3 4 2 3" xfId="2685" xr:uid="{00000000-0005-0000-0000-0000E5090000}"/>
    <cellStyle name="20% - Ênfase2 3 4 2 3 2" xfId="2686" xr:uid="{00000000-0005-0000-0000-0000E6090000}"/>
    <cellStyle name="20% - Ênfase2 3 4 2 4" xfId="2687" xr:uid="{00000000-0005-0000-0000-0000E7090000}"/>
    <cellStyle name="20% - Ênfase2 3 4 3" xfId="2688" xr:uid="{00000000-0005-0000-0000-0000E8090000}"/>
    <cellStyle name="20% - Ênfase2 3 4 3 2" xfId="2689" xr:uid="{00000000-0005-0000-0000-0000E9090000}"/>
    <cellStyle name="20% - Ênfase2 3 4 3 2 2" xfId="2690" xr:uid="{00000000-0005-0000-0000-0000EA090000}"/>
    <cellStyle name="20% - Ênfase2 3 4 3 3" xfId="2691" xr:uid="{00000000-0005-0000-0000-0000EB090000}"/>
    <cellStyle name="20% - Ênfase2 3 4 3 3 2" xfId="2692" xr:uid="{00000000-0005-0000-0000-0000EC090000}"/>
    <cellStyle name="20% - Ênfase2 3 4 3 4" xfId="2693" xr:uid="{00000000-0005-0000-0000-0000ED090000}"/>
    <cellStyle name="20% - Ênfase2 3 4 4" xfId="2694" xr:uid="{00000000-0005-0000-0000-0000EE090000}"/>
    <cellStyle name="20% - Ênfase2 3 4 4 2" xfId="2695" xr:uid="{00000000-0005-0000-0000-0000EF090000}"/>
    <cellStyle name="20% - Ênfase2 3 4 5" xfId="2696" xr:uid="{00000000-0005-0000-0000-0000F0090000}"/>
    <cellStyle name="20% - Ênfase2 3 4 5 2" xfId="2697" xr:uid="{00000000-0005-0000-0000-0000F1090000}"/>
    <cellStyle name="20% - Ênfase2 3 4 6" xfId="2698" xr:uid="{00000000-0005-0000-0000-0000F2090000}"/>
    <cellStyle name="20% - Ênfase2 3 5" xfId="2699" xr:uid="{00000000-0005-0000-0000-0000F3090000}"/>
    <cellStyle name="20% - Ênfase2 3 5 2" xfId="2700" xr:uid="{00000000-0005-0000-0000-0000F4090000}"/>
    <cellStyle name="20% - Ênfase2 3 5 2 2" xfId="2701" xr:uid="{00000000-0005-0000-0000-0000F5090000}"/>
    <cellStyle name="20% - Ênfase2 3 5 2 2 2" xfId="2702" xr:uid="{00000000-0005-0000-0000-0000F6090000}"/>
    <cellStyle name="20% - Ênfase2 3 5 2 3" xfId="2703" xr:uid="{00000000-0005-0000-0000-0000F7090000}"/>
    <cellStyle name="20% - Ênfase2 3 5 2 3 2" xfId="2704" xr:uid="{00000000-0005-0000-0000-0000F8090000}"/>
    <cellStyle name="20% - Ênfase2 3 5 2 4" xfId="2705" xr:uid="{00000000-0005-0000-0000-0000F9090000}"/>
    <cellStyle name="20% - Ênfase2 3 5 3" xfId="2706" xr:uid="{00000000-0005-0000-0000-0000FA090000}"/>
    <cellStyle name="20% - Ênfase2 3 5 3 2" xfId="2707" xr:uid="{00000000-0005-0000-0000-0000FB090000}"/>
    <cellStyle name="20% - Ênfase2 3 5 3 2 2" xfId="2708" xr:uid="{00000000-0005-0000-0000-0000FC090000}"/>
    <cellStyle name="20% - Ênfase2 3 5 3 3" xfId="2709" xr:uid="{00000000-0005-0000-0000-0000FD090000}"/>
    <cellStyle name="20% - Ênfase2 3 5 3 3 2" xfId="2710" xr:uid="{00000000-0005-0000-0000-0000FE090000}"/>
    <cellStyle name="20% - Ênfase2 3 5 3 4" xfId="2711" xr:uid="{00000000-0005-0000-0000-0000FF090000}"/>
    <cellStyle name="20% - Ênfase2 3 5 4" xfId="2712" xr:uid="{00000000-0005-0000-0000-0000000A0000}"/>
    <cellStyle name="20% - Ênfase2 3 5 4 2" xfId="2713" xr:uid="{00000000-0005-0000-0000-0000010A0000}"/>
    <cellStyle name="20% - Ênfase2 3 5 5" xfId="2714" xr:uid="{00000000-0005-0000-0000-0000020A0000}"/>
    <cellStyle name="20% - Ênfase2 3 5 5 2" xfId="2715" xr:uid="{00000000-0005-0000-0000-0000030A0000}"/>
    <cellStyle name="20% - Ênfase2 3 5 6" xfId="2716" xr:uid="{00000000-0005-0000-0000-0000040A0000}"/>
    <cellStyle name="20% - Ênfase2 3 6" xfId="2717" xr:uid="{00000000-0005-0000-0000-0000050A0000}"/>
    <cellStyle name="20% - Ênfase2 3 6 2" xfId="2718" xr:uid="{00000000-0005-0000-0000-0000060A0000}"/>
    <cellStyle name="20% - Ênfase2 3 6 2 2" xfId="2719" xr:uid="{00000000-0005-0000-0000-0000070A0000}"/>
    <cellStyle name="20% - Ênfase2 3 6 3" xfId="2720" xr:uid="{00000000-0005-0000-0000-0000080A0000}"/>
    <cellStyle name="20% - Ênfase2 3 6 3 2" xfId="2721" xr:uid="{00000000-0005-0000-0000-0000090A0000}"/>
    <cellStyle name="20% - Ênfase2 3 6 4" xfId="2722" xr:uid="{00000000-0005-0000-0000-00000A0A0000}"/>
    <cellStyle name="20% - Ênfase2 3 7" xfId="2723" xr:uid="{00000000-0005-0000-0000-00000B0A0000}"/>
    <cellStyle name="20% - Ênfase2 3 7 2" xfId="2724" xr:uid="{00000000-0005-0000-0000-00000C0A0000}"/>
    <cellStyle name="20% - Ênfase2 3 7 2 2" xfId="2725" xr:uid="{00000000-0005-0000-0000-00000D0A0000}"/>
    <cellStyle name="20% - Ênfase2 3 7 3" xfId="2726" xr:uid="{00000000-0005-0000-0000-00000E0A0000}"/>
    <cellStyle name="20% - Ênfase2 3 8" xfId="2727" xr:uid="{00000000-0005-0000-0000-00000F0A0000}"/>
    <cellStyle name="20% - Ênfase2 3 8 2" xfId="2728" xr:uid="{00000000-0005-0000-0000-0000100A0000}"/>
    <cellStyle name="20% - Ênfase2 3 8 2 2" xfId="2729" xr:uid="{00000000-0005-0000-0000-0000110A0000}"/>
    <cellStyle name="20% - Ênfase2 3 8 3" xfId="2730" xr:uid="{00000000-0005-0000-0000-0000120A0000}"/>
    <cellStyle name="20% - Ênfase2 3 9" xfId="2731" xr:uid="{00000000-0005-0000-0000-0000130A0000}"/>
    <cellStyle name="20% - Ênfase2 3 9 2" xfId="2732" xr:uid="{00000000-0005-0000-0000-0000140A0000}"/>
    <cellStyle name="20% - Ênfase2 3 9 2 2" xfId="2733" xr:uid="{00000000-0005-0000-0000-0000150A0000}"/>
    <cellStyle name="20% - Ênfase2 3 9 3" xfId="2734" xr:uid="{00000000-0005-0000-0000-0000160A0000}"/>
    <cellStyle name="20% - Ênfase2 30" xfId="2735" xr:uid="{00000000-0005-0000-0000-0000170A0000}"/>
    <cellStyle name="20% - Ênfase2 31" xfId="2736" xr:uid="{00000000-0005-0000-0000-0000180A0000}"/>
    <cellStyle name="20% - Ênfase2 32" xfId="2737" xr:uid="{00000000-0005-0000-0000-0000190A0000}"/>
    <cellStyle name="20% - Ênfase2 33" xfId="2738" xr:uid="{00000000-0005-0000-0000-00001A0A0000}"/>
    <cellStyle name="20% - Ênfase2 4" xfId="2739" xr:uid="{00000000-0005-0000-0000-00001B0A0000}"/>
    <cellStyle name="20% - Ênfase2 4 10" xfId="2740" xr:uid="{00000000-0005-0000-0000-00001C0A0000}"/>
    <cellStyle name="20% - Ênfase2 4 10 2" xfId="2741" xr:uid="{00000000-0005-0000-0000-00001D0A0000}"/>
    <cellStyle name="20% - Ênfase2 4 11" xfId="2742" xr:uid="{00000000-0005-0000-0000-00001E0A0000}"/>
    <cellStyle name="20% - Ênfase2 4 2" xfId="2743" xr:uid="{00000000-0005-0000-0000-00001F0A0000}"/>
    <cellStyle name="20% - Ênfase2 4 2 2" xfId="2744" xr:uid="{00000000-0005-0000-0000-0000200A0000}"/>
    <cellStyle name="20% - Ênfase2 4 2 2 2" xfId="2745" xr:uid="{00000000-0005-0000-0000-0000210A0000}"/>
    <cellStyle name="20% - Ênfase2 4 2 2 2 2" xfId="2746" xr:uid="{00000000-0005-0000-0000-0000220A0000}"/>
    <cellStyle name="20% - Ênfase2 4 2 2 2 2 2" xfId="2747" xr:uid="{00000000-0005-0000-0000-0000230A0000}"/>
    <cellStyle name="20% - Ênfase2 4 2 2 2 3" xfId="2748" xr:uid="{00000000-0005-0000-0000-0000240A0000}"/>
    <cellStyle name="20% - Ênfase2 4 2 2 2 3 2" xfId="2749" xr:uid="{00000000-0005-0000-0000-0000250A0000}"/>
    <cellStyle name="20% - Ênfase2 4 2 2 2 4" xfId="2750" xr:uid="{00000000-0005-0000-0000-0000260A0000}"/>
    <cellStyle name="20% - Ênfase2 4 2 2 3" xfId="2751" xr:uid="{00000000-0005-0000-0000-0000270A0000}"/>
    <cellStyle name="20% - Ênfase2 4 2 2 3 2" xfId="2752" xr:uid="{00000000-0005-0000-0000-0000280A0000}"/>
    <cellStyle name="20% - Ênfase2 4 2 2 3 2 2" xfId="2753" xr:uid="{00000000-0005-0000-0000-0000290A0000}"/>
    <cellStyle name="20% - Ênfase2 4 2 2 3 3" xfId="2754" xr:uid="{00000000-0005-0000-0000-00002A0A0000}"/>
    <cellStyle name="20% - Ênfase2 4 2 2 3 3 2" xfId="2755" xr:uid="{00000000-0005-0000-0000-00002B0A0000}"/>
    <cellStyle name="20% - Ênfase2 4 2 2 3 4" xfId="2756" xr:uid="{00000000-0005-0000-0000-00002C0A0000}"/>
    <cellStyle name="20% - Ênfase2 4 2 2 4" xfId="2757" xr:uid="{00000000-0005-0000-0000-00002D0A0000}"/>
    <cellStyle name="20% - Ênfase2 4 2 2 4 2" xfId="2758" xr:uid="{00000000-0005-0000-0000-00002E0A0000}"/>
    <cellStyle name="20% - Ênfase2 4 2 2 5" xfId="2759" xr:uid="{00000000-0005-0000-0000-00002F0A0000}"/>
    <cellStyle name="20% - Ênfase2 4 2 2 5 2" xfId="2760" xr:uid="{00000000-0005-0000-0000-0000300A0000}"/>
    <cellStyle name="20% - Ênfase2 4 2 2 6" xfId="2761" xr:uid="{00000000-0005-0000-0000-0000310A0000}"/>
    <cellStyle name="20% - Ênfase2 4 2 3" xfId="2762" xr:uid="{00000000-0005-0000-0000-0000320A0000}"/>
    <cellStyle name="20% - Ênfase2 4 2 3 2" xfId="2763" xr:uid="{00000000-0005-0000-0000-0000330A0000}"/>
    <cellStyle name="20% - Ênfase2 4 2 3 2 2" xfId="2764" xr:uid="{00000000-0005-0000-0000-0000340A0000}"/>
    <cellStyle name="20% - Ênfase2 4 2 3 3" xfId="2765" xr:uid="{00000000-0005-0000-0000-0000350A0000}"/>
    <cellStyle name="20% - Ênfase2 4 2 3 3 2" xfId="2766" xr:uid="{00000000-0005-0000-0000-0000360A0000}"/>
    <cellStyle name="20% - Ênfase2 4 2 3 4" xfId="2767" xr:uid="{00000000-0005-0000-0000-0000370A0000}"/>
    <cellStyle name="20% - Ênfase2 4 2 4" xfId="2768" xr:uid="{00000000-0005-0000-0000-0000380A0000}"/>
    <cellStyle name="20% - Ênfase2 4 2 4 2" xfId="2769" xr:uid="{00000000-0005-0000-0000-0000390A0000}"/>
    <cellStyle name="20% - Ênfase2 4 2 4 2 2" xfId="2770" xr:uid="{00000000-0005-0000-0000-00003A0A0000}"/>
    <cellStyle name="20% - Ênfase2 4 2 4 3" xfId="2771" xr:uid="{00000000-0005-0000-0000-00003B0A0000}"/>
    <cellStyle name="20% - Ênfase2 4 2 5" xfId="2772" xr:uid="{00000000-0005-0000-0000-00003C0A0000}"/>
    <cellStyle name="20% - Ênfase2 4 2 5 2" xfId="2773" xr:uid="{00000000-0005-0000-0000-00003D0A0000}"/>
    <cellStyle name="20% - Ênfase2 4 2 5 2 2" xfId="2774" xr:uid="{00000000-0005-0000-0000-00003E0A0000}"/>
    <cellStyle name="20% - Ênfase2 4 2 5 3" xfId="2775" xr:uid="{00000000-0005-0000-0000-00003F0A0000}"/>
    <cellStyle name="20% - Ênfase2 4 2 6" xfId="2776" xr:uid="{00000000-0005-0000-0000-0000400A0000}"/>
    <cellStyle name="20% - Ênfase2 4 2 6 2" xfId="2777" xr:uid="{00000000-0005-0000-0000-0000410A0000}"/>
    <cellStyle name="20% - Ênfase2 4 2 6 2 2" xfId="2778" xr:uid="{00000000-0005-0000-0000-0000420A0000}"/>
    <cellStyle name="20% - Ênfase2 4 2 6 3" xfId="2779" xr:uid="{00000000-0005-0000-0000-0000430A0000}"/>
    <cellStyle name="20% - Ênfase2 4 2 7" xfId="2780" xr:uid="{00000000-0005-0000-0000-0000440A0000}"/>
    <cellStyle name="20% - Ênfase2 4 2 7 2" xfId="2781" xr:uid="{00000000-0005-0000-0000-0000450A0000}"/>
    <cellStyle name="20% - Ênfase2 4 2 7 2 2" xfId="2782" xr:uid="{00000000-0005-0000-0000-0000460A0000}"/>
    <cellStyle name="20% - Ênfase2 4 2 7 3" xfId="2783" xr:uid="{00000000-0005-0000-0000-0000470A0000}"/>
    <cellStyle name="20% - Ênfase2 4 2 8" xfId="2784" xr:uid="{00000000-0005-0000-0000-0000480A0000}"/>
    <cellStyle name="20% - Ênfase2 4 2 8 2" xfId="2785" xr:uid="{00000000-0005-0000-0000-0000490A0000}"/>
    <cellStyle name="20% - Ênfase2 4 2 9" xfId="2786" xr:uid="{00000000-0005-0000-0000-00004A0A0000}"/>
    <cellStyle name="20% - Ênfase2 4 3" xfId="2787" xr:uid="{00000000-0005-0000-0000-00004B0A0000}"/>
    <cellStyle name="20% - Ênfase2 4 3 2" xfId="2788" xr:uid="{00000000-0005-0000-0000-00004C0A0000}"/>
    <cellStyle name="20% - Ênfase2 4 3 2 2" xfId="2789" xr:uid="{00000000-0005-0000-0000-00004D0A0000}"/>
    <cellStyle name="20% - Ênfase2 4 3 2 2 2" xfId="2790" xr:uid="{00000000-0005-0000-0000-00004E0A0000}"/>
    <cellStyle name="20% - Ênfase2 4 3 2 3" xfId="2791" xr:uid="{00000000-0005-0000-0000-00004F0A0000}"/>
    <cellStyle name="20% - Ênfase2 4 3 2 3 2" xfId="2792" xr:uid="{00000000-0005-0000-0000-0000500A0000}"/>
    <cellStyle name="20% - Ênfase2 4 3 2 4" xfId="2793" xr:uid="{00000000-0005-0000-0000-0000510A0000}"/>
    <cellStyle name="20% - Ênfase2 4 3 3" xfId="2794" xr:uid="{00000000-0005-0000-0000-0000520A0000}"/>
    <cellStyle name="20% - Ênfase2 4 3 3 2" xfId="2795" xr:uid="{00000000-0005-0000-0000-0000530A0000}"/>
    <cellStyle name="20% - Ênfase2 4 3 3 2 2" xfId="2796" xr:uid="{00000000-0005-0000-0000-0000540A0000}"/>
    <cellStyle name="20% - Ênfase2 4 3 3 3" xfId="2797" xr:uid="{00000000-0005-0000-0000-0000550A0000}"/>
    <cellStyle name="20% - Ênfase2 4 3 3 3 2" xfId="2798" xr:uid="{00000000-0005-0000-0000-0000560A0000}"/>
    <cellStyle name="20% - Ênfase2 4 3 3 4" xfId="2799" xr:uid="{00000000-0005-0000-0000-0000570A0000}"/>
    <cellStyle name="20% - Ênfase2 4 3 4" xfId="2800" xr:uid="{00000000-0005-0000-0000-0000580A0000}"/>
    <cellStyle name="20% - Ênfase2 4 3 4 2" xfId="2801" xr:uid="{00000000-0005-0000-0000-0000590A0000}"/>
    <cellStyle name="20% - Ênfase2 4 3 5" xfId="2802" xr:uid="{00000000-0005-0000-0000-00005A0A0000}"/>
    <cellStyle name="20% - Ênfase2 4 3 5 2" xfId="2803" xr:uid="{00000000-0005-0000-0000-00005B0A0000}"/>
    <cellStyle name="20% - Ênfase2 4 3 6" xfId="2804" xr:uid="{00000000-0005-0000-0000-00005C0A0000}"/>
    <cellStyle name="20% - Ênfase2 4 4" xfId="2805" xr:uid="{00000000-0005-0000-0000-00005D0A0000}"/>
    <cellStyle name="20% - Ênfase2 4 4 2" xfId="2806" xr:uid="{00000000-0005-0000-0000-00005E0A0000}"/>
    <cellStyle name="20% - Ênfase2 4 4 2 2" xfId="2807" xr:uid="{00000000-0005-0000-0000-00005F0A0000}"/>
    <cellStyle name="20% - Ênfase2 4 4 2 2 2" xfId="2808" xr:uid="{00000000-0005-0000-0000-0000600A0000}"/>
    <cellStyle name="20% - Ênfase2 4 4 2 3" xfId="2809" xr:uid="{00000000-0005-0000-0000-0000610A0000}"/>
    <cellStyle name="20% - Ênfase2 4 4 2 3 2" xfId="2810" xr:uid="{00000000-0005-0000-0000-0000620A0000}"/>
    <cellStyle name="20% - Ênfase2 4 4 2 4" xfId="2811" xr:uid="{00000000-0005-0000-0000-0000630A0000}"/>
    <cellStyle name="20% - Ênfase2 4 4 3" xfId="2812" xr:uid="{00000000-0005-0000-0000-0000640A0000}"/>
    <cellStyle name="20% - Ênfase2 4 4 3 2" xfId="2813" xr:uid="{00000000-0005-0000-0000-0000650A0000}"/>
    <cellStyle name="20% - Ênfase2 4 4 3 2 2" xfId="2814" xr:uid="{00000000-0005-0000-0000-0000660A0000}"/>
    <cellStyle name="20% - Ênfase2 4 4 3 3" xfId="2815" xr:uid="{00000000-0005-0000-0000-0000670A0000}"/>
    <cellStyle name="20% - Ênfase2 4 4 3 3 2" xfId="2816" xr:uid="{00000000-0005-0000-0000-0000680A0000}"/>
    <cellStyle name="20% - Ênfase2 4 4 3 4" xfId="2817" xr:uid="{00000000-0005-0000-0000-0000690A0000}"/>
    <cellStyle name="20% - Ênfase2 4 4 4" xfId="2818" xr:uid="{00000000-0005-0000-0000-00006A0A0000}"/>
    <cellStyle name="20% - Ênfase2 4 4 4 2" xfId="2819" xr:uid="{00000000-0005-0000-0000-00006B0A0000}"/>
    <cellStyle name="20% - Ênfase2 4 4 5" xfId="2820" xr:uid="{00000000-0005-0000-0000-00006C0A0000}"/>
    <cellStyle name="20% - Ênfase2 4 4 5 2" xfId="2821" xr:uid="{00000000-0005-0000-0000-00006D0A0000}"/>
    <cellStyle name="20% - Ênfase2 4 4 6" xfId="2822" xr:uid="{00000000-0005-0000-0000-00006E0A0000}"/>
    <cellStyle name="20% - Ênfase2 4 5" xfId="2823" xr:uid="{00000000-0005-0000-0000-00006F0A0000}"/>
    <cellStyle name="20% - Ênfase2 4 5 2" xfId="2824" xr:uid="{00000000-0005-0000-0000-0000700A0000}"/>
    <cellStyle name="20% - Ênfase2 4 5 2 2" xfId="2825" xr:uid="{00000000-0005-0000-0000-0000710A0000}"/>
    <cellStyle name="20% - Ênfase2 4 5 3" xfId="2826" xr:uid="{00000000-0005-0000-0000-0000720A0000}"/>
    <cellStyle name="20% - Ênfase2 4 5 3 2" xfId="2827" xr:uid="{00000000-0005-0000-0000-0000730A0000}"/>
    <cellStyle name="20% - Ênfase2 4 5 4" xfId="2828" xr:uid="{00000000-0005-0000-0000-0000740A0000}"/>
    <cellStyle name="20% - Ênfase2 4 6" xfId="2829" xr:uid="{00000000-0005-0000-0000-0000750A0000}"/>
    <cellStyle name="20% - Ênfase2 4 6 2" xfId="2830" xr:uid="{00000000-0005-0000-0000-0000760A0000}"/>
    <cellStyle name="20% - Ênfase2 4 6 2 2" xfId="2831" xr:uid="{00000000-0005-0000-0000-0000770A0000}"/>
    <cellStyle name="20% - Ênfase2 4 6 3" xfId="2832" xr:uid="{00000000-0005-0000-0000-0000780A0000}"/>
    <cellStyle name="20% - Ênfase2 4 7" xfId="2833" xr:uid="{00000000-0005-0000-0000-0000790A0000}"/>
    <cellStyle name="20% - Ênfase2 4 7 2" xfId="2834" xr:uid="{00000000-0005-0000-0000-00007A0A0000}"/>
    <cellStyle name="20% - Ênfase2 4 7 2 2" xfId="2835" xr:uid="{00000000-0005-0000-0000-00007B0A0000}"/>
    <cellStyle name="20% - Ênfase2 4 7 3" xfId="2836" xr:uid="{00000000-0005-0000-0000-00007C0A0000}"/>
    <cellStyle name="20% - Ênfase2 4 8" xfId="2837" xr:uid="{00000000-0005-0000-0000-00007D0A0000}"/>
    <cellStyle name="20% - Ênfase2 4 8 2" xfId="2838" xr:uid="{00000000-0005-0000-0000-00007E0A0000}"/>
    <cellStyle name="20% - Ênfase2 4 8 2 2" xfId="2839" xr:uid="{00000000-0005-0000-0000-00007F0A0000}"/>
    <cellStyle name="20% - Ênfase2 4 8 3" xfId="2840" xr:uid="{00000000-0005-0000-0000-0000800A0000}"/>
    <cellStyle name="20% - Ênfase2 4 9" xfId="2841" xr:uid="{00000000-0005-0000-0000-0000810A0000}"/>
    <cellStyle name="20% - Ênfase2 4 9 2" xfId="2842" xr:uid="{00000000-0005-0000-0000-0000820A0000}"/>
    <cellStyle name="20% - Ênfase2 4 9 2 2" xfId="2843" xr:uid="{00000000-0005-0000-0000-0000830A0000}"/>
    <cellStyle name="20% - Ênfase2 4 9 3" xfId="2844" xr:uid="{00000000-0005-0000-0000-0000840A0000}"/>
    <cellStyle name="20% - Ênfase2 5" xfId="2845" xr:uid="{00000000-0005-0000-0000-0000850A0000}"/>
    <cellStyle name="20% - Ênfase2 5 10" xfId="2846" xr:uid="{00000000-0005-0000-0000-0000860A0000}"/>
    <cellStyle name="20% - Ênfase2 5 2" xfId="2847" xr:uid="{00000000-0005-0000-0000-0000870A0000}"/>
    <cellStyle name="20% - Ênfase2 5 2 2" xfId="2848" xr:uid="{00000000-0005-0000-0000-0000880A0000}"/>
    <cellStyle name="20% - Ênfase2 5 2 2 2" xfId="2849" xr:uid="{00000000-0005-0000-0000-0000890A0000}"/>
    <cellStyle name="20% - Ênfase2 5 2 2 2 2" xfId="2850" xr:uid="{00000000-0005-0000-0000-00008A0A0000}"/>
    <cellStyle name="20% - Ênfase2 5 2 2 2 2 2" xfId="2851" xr:uid="{00000000-0005-0000-0000-00008B0A0000}"/>
    <cellStyle name="20% - Ênfase2 5 2 2 2 3" xfId="2852" xr:uid="{00000000-0005-0000-0000-00008C0A0000}"/>
    <cellStyle name="20% - Ênfase2 5 2 2 2 3 2" xfId="2853" xr:uid="{00000000-0005-0000-0000-00008D0A0000}"/>
    <cellStyle name="20% - Ênfase2 5 2 2 2 4" xfId="2854" xr:uid="{00000000-0005-0000-0000-00008E0A0000}"/>
    <cellStyle name="20% - Ênfase2 5 2 2 3" xfId="2855" xr:uid="{00000000-0005-0000-0000-00008F0A0000}"/>
    <cellStyle name="20% - Ênfase2 5 2 2 3 2" xfId="2856" xr:uid="{00000000-0005-0000-0000-0000900A0000}"/>
    <cellStyle name="20% - Ênfase2 5 2 2 4" xfId="2857" xr:uid="{00000000-0005-0000-0000-0000910A0000}"/>
    <cellStyle name="20% - Ênfase2 5 2 2 4 2" xfId="2858" xr:uid="{00000000-0005-0000-0000-0000920A0000}"/>
    <cellStyle name="20% - Ênfase2 5 2 2 5" xfId="2859" xr:uid="{00000000-0005-0000-0000-0000930A0000}"/>
    <cellStyle name="20% - Ênfase2 5 2 3" xfId="2860" xr:uid="{00000000-0005-0000-0000-0000940A0000}"/>
    <cellStyle name="20% - Ênfase2 5 2 3 2" xfId="2861" xr:uid="{00000000-0005-0000-0000-0000950A0000}"/>
    <cellStyle name="20% - Ênfase2 5 2 3 2 2" xfId="2862" xr:uid="{00000000-0005-0000-0000-0000960A0000}"/>
    <cellStyle name="20% - Ênfase2 5 2 3 3" xfId="2863" xr:uid="{00000000-0005-0000-0000-0000970A0000}"/>
    <cellStyle name="20% - Ênfase2 5 2 3 3 2" xfId="2864" xr:uid="{00000000-0005-0000-0000-0000980A0000}"/>
    <cellStyle name="20% - Ênfase2 5 2 3 4" xfId="2865" xr:uid="{00000000-0005-0000-0000-0000990A0000}"/>
    <cellStyle name="20% - Ênfase2 5 2 4" xfId="2866" xr:uid="{00000000-0005-0000-0000-00009A0A0000}"/>
    <cellStyle name="20% - Ênfase2 5 2 4 2" xfId="2867" xr:uid="{00000000-0005-0000-0000-00009B0A0000}"/>
    <cellStyle name="20% - Ênfase2 5 2 4 2 2" xfId="2868" xr:uid="{00000000-0005-0000-0000-00009C0A0000}"/>
    <cellStyle name="20% - Ênfase2 5 2 4 3" xfId="2869" xr:uid="{00000000-0005-0000-0000-00009D0A0000}"/>
    <cellStyle name="20% - Ênfase2 5 2 5" xfId="2870" xr:uid="{00000000-0005-0000-0000-00009E0A0000}"/>
    <cellStyle name="20% - Ênfase2 5 2 5 2" xfId="2871" xr:uid="{00000000-0005-0000-0000-00009F0A0000}"/>
    <cellStyle name="20% - Ênfase2 5 2 6" xfId="2872" xr:uid="{00000000-0005-0000-0000-0000A00A0000}"/>
    <cellStyle name="20% - Ênfase2 5 3" xfId="2873" xr:uid="{00000000-0005-0000-0000-0000A10A0000}"/>
    <cellStyle name="20% - Ênfase2 5 3 2" xfId="2874" xr:uid="{00000000-0005-0000-0000-0000A20A0000}"/>
    <cellStyle name="20% - Ênfase2 5 3 2 2" xfId="2875" xr:uid="{00000000-0005-0000-0000-0000A30A0000}"/>
    <cellStyle name="20% - Ênfase2 5 3 2 2 2" xfId="2876" xr:uid="{00000000-0005-0000-0000-0000A40A0000}"/>
    <cellStyle name="20% - Ênfase2 5 3 2 3" xfId="2877" xr:uid="{00000000-0005-0000-0000-0000A50A0000}"/>
    <cellStyle name="20% - Ênfase2 5 3 2 3 2" xfId="2878" xr:uid="{00000000-0005-0000-0000-0000A60A0000}"/>
    <cellStyle name="20% - Ênfase2 5 3 2 4" xfId="2879" xr:uid="{00000000-0005-0000-0000-0000A70A0000}"/>
    <cellStyle name="20% - Ênfase2 5 3 3" xfId="2880" xr:uid="{00000000-0005-0000-0000-0000A80A0000}"/>
    <cellStyle name="20% - Ênfase2 5 3 3 2" xfId="2881" xr:uid="{00000000-0005-0000-0000-0000A90A0000}"/>
    <cellStyle name="20% - Ênfase2 5 3 3 2 2" xfId="2882" xr:uid="{00000000-0005-0000-0000-0000AA0A0000}"/>
    <cellStyle name="20% - Ênfase2 5 3 3 3" xfId="2883" xr:uid="{00000000-0005-0000-0000-0000AB0A0000}"/>
    <cellStyle name="20% - Ênfase2 5 3 3 3 2" xfId="2884" xr:uid="{00000000-0005-0000-0000-0000AC0A0000}"/>
    <cellStyle name="20% - Ênfase2 5 3 3 4" xfId="2885" xr:uid="{00000000-0005-0000-0000-0000AD0A0000}"/>
    <cellStyle name="20% - Ênfase2 5 3 4" xfId="2886" xr:uid="{00000000-0005-0000-0000-0000AE0A0000}"/>
    <cellStyle name="20% - Ênfase2 5 3 4 2" xfId="2887" xr:uid="{00000000-0005-0000-0000-0000AF0A0000}"/>
    <cellStyle name="20% - Ênfase2 5 3 5" xfId="2888" xr:uid="{00000000-0005-0000-0000-0000B00A0000}"/>
    <cellStyle name="20% - Ênfase2 5 3 5 2" xfId="2889" xr:uid="{00000000-0005-0000-0000-0000B10A0000}"/>
    <cellStyle name="20% - Ênfase2 5 3 6" xfId="2890" xr:uid="{00000000-0005-0000-0000-0000B20A0000}"/>
    <cellStyle name="20% - Ênfase2 5 4" xfId="2891" xr:uid="{00000000-0005-0000-0000-0000B30A0000}"/>
    <cellStyle name="20% - Ênfase2 5 4 2" xfId="2892" xr:uid="{00000000-0005-0000-0000-0000B40A0000}"/>
    <cellStyle name="20% - Ênfase2 5 4 2 2" xfId="2893" xr:uid="{00000000-0005-0000-0000-0000B50A0000}"/>
    <cellStyle name="20% - Ênfase2 5 4 3" xfId="2894" xr:uid="{00000000-0005-0000-0000-0000B60A0000}"/>
    <cellStyle name="20% - Ênfase2 5 4 3 2" xfId="2895" xr:uid="{00000000-0005-0000-0000-0000B70A0000}"/>
    <cellStyle name="20% - Ênfase2 5 4 4" xfId="2896" xr:uid="{00000000-0005-0000-0000-0000B80A0000}"/>
    <cellStyle name="20% - Ênfase2 5 5" xfId="2897" xr:uid="{00000000-0005-0000-0000-0000B90A0000}"/>
    <cellStyle name="20% - Ênfase2 5 5 2" xfId="2898" xr:uid="{00000000-0005-0000-0000-0000BA0A0000}"/>
    <cellStyle name="20% - Ênfase2 5 5 2 2" xfId="2899" xr:uid="{00000000-0005-0000-0000-0000BB0A0000}"/>
    <cellStyle name="20% - Ênfase2 5 5 3" xfId="2900" xr:uid="{00000000-0005-0000-0000-0000BC0A0000}"/>
    <cellStyle name="20% - Ênfase2 5 6" xfId="2901" xr:uid="{00000000-0005-0000-0000-0000BD0A0000}"/>
    <cellStyle name="20% - Ênfase2 5 6 2" xfId="2902" xr:uid="{00000000-0005-0000-0000-0000BE0A0000}"/>
    <cellStyle name="20% - Ênfase2 5 6 2 2" xfId="2903" xr:uid="{00000000-0005-0000-0000-0000BF0A0000}"/>
    <cellStyle name="20% - Ênfase2 5 6 3" xfId="2904" xr:uid="{00000000-0005-0000-0000-0000C00A0000}"/>
    <cellStyle name="20% - Ênfase2 5 7" xfId="2905" xr:uid="{00000000-0005-0000-0000-0000C10A0000}"/>
    <cellStyle name="20% - Ênfase2 5 7 2" xfId="2906" xr:uid="{00000000-0005-0000-0000-0000C20A0000}"/>
    <cellStyle name="20% - Ênfase2 5 7 2 2" xfId="2907" xr:uid="{00000000-0005-0000-0000-0000C30A0000}"/>
    <cellStyle name="20% - Ênfase2 5 7 3" xfId="2908" xr:uid="{00000000-0005-0000-0000-0000C40A0000}"/>
    <cellStyle name="20% - Ênfase2 5 8" xfId="2909" xr:uid="{00000000-0005-0000-0000-0000C50A0000}"/>
    <cellStyle name="20% - Ênfase2 5 8 2" xfId="2910" xr:uid="{00000000-0005-0000-0000-0000C60A0000}"/>
    <cellStyle name="20% - Ênfase2 5 8 2 2" xfId="2911" xr:uid="{00000000-0005-0000-0000-0000C70A0000}"/>
    <cellStyle name="20% - Ênfase2 5 8 3" xfId="2912" xr:uid="{00000000-0005-0000-0000-0000C80A0000}"/>
    <cellStyle name="20% - Ênfase2 5 9" xfId="2913" xr:uid="{00000000-0005-0000-0000-0000C90A0000}"/>
    <cellStyle name="20% - Ênfase2 5 9 2" xfId="2914" xr:uid="{00000000-0005-0000-0000-0000CA0A0000}"/>
    <cellStyle name="20% - Ênfase2 6" xfId="2915" xr:uid="{00000000-0005-0000-0000-0000CB0A0000}"/>
    <cellStyle name="20% - Ênfase2 6 2" xfId="2916" xr:uid="{00000000-0005-0000-0000-0000CC0A0000}"/>
    <cellStyle name="20% - Ênfase2 6 2 2" xfId="2917" xr:uid="{00000000-0005-0000-0000-0000CD0A0000}"/>
    <cellStyle name="20% - Ênfase2 6 2 2 2" xfId="2918" xr:uid="{00000000-0005-0000-0000-0000CE0A0000}"/>
    <cellStyle name="20% - Ênfase2 6 2 2 2 2" xfId="2919" xr:uid="{00000000-0005-0000-0000-0000CF0A0000}"/>
    <cellStyle name="20% - Ênfase2 6 2 2 2 2 2" xfId="2920" xr:uid="{00000000-0005-0000-0000-0000D00A0000}"/>
    <cellStyle name="20% - Ênfase2 6 2 2 2 3" xfId="2921" xr:uid="{00000000-0005-0000-0000-0000D10A0000}"/>
    <cellStyle name="20% - Ênfase2 6 2 2 2 3 2" xfId="2922" xr:uid="{00000000-0005-0000-0000-0000D20A0000}"/>
    <cellStyle name="20% - Ênfase2 6 2 2 2 4" xfId="2923" xr:uid="{00000000-0005-0000-0000-0000D30A0000}"/>
    <cellStyle name="20% - Ênfase2 6 2 2 3" xfId="2924" xr:uid="{00000000-0005-0000-0000-0000D40A0000}"/>
    <cellStyle name="20% - Ênfase2 6 2 2 3 2" xfId="2925" xr:uid="{00000000-0005-0000-0000-0000D50A0000}"/>
    <cellStyle name="20% - Ênfase2 6 2 2 4" xfId="2926" xr:uid="{00000000-0005-0000-0000-0000D60A0000}"/>
    <cellStyle name="20% - Ênfase2 6 2 2 4 2" xfId="2927" xr:uid="{00000000-0005-0000-0000-0000D70A0000}"/>
    <cellStyle name="20% - Ênfase2 6 2 2 5" xfId="2928" xr:uid="{00000000-0005-0000-0000-0000D80A0000}"/>
    <cellStyle name="20% - Ênfase2 6 2 3" xfId="2929" xr:uid="{00000000-0005-0000-0000-0000D90A0000}"/>
    <cellStyle name="20% - Ênfase2 6 2 3 2" xfId="2930" xr:uid="{00000000-0005-0000-0000-0000DA0A0000}"/>
    <cellStyle name="20% - Ênfase2 6 2 3 2 2" xfId="2931" xr:uid="{00000000-0005-0000-0000-0000DB0A0000}"/>
    <cellStyle name="20% - Ênfase2 6 2 3 3" xfId="2932" xr:uid="{00000000-0005-0000-0000-0000DC0A0000}"/>
    <cellStyle name="20% - Ênfase2 6 2 3 3 2" xfId="2933" xr:uid="{00000000-0005-0000-0000-0000DD0A0000}"/>
    <cellStyle name="20% - Ênfase2 6 2 3 4" xfId="2934" xr:uid="{00000000-0005-0000-0000-0000DE0A0000}"/>
    <cellStyle name="20% - Ênfase2 6 2 4" xfId="2935" xr:uid="{00000000-0005-0000-0000-0000DF0A0000}"/>
    <cellStyle name="20% - Ênfase2 6 2 4 2" xfId="2936" xr:uid="{00000000-0005-0000-0000-0000E00A0000}"/>
    <cellStyle name="20% - Ênfase2 6 2 4 2 2" xfId="2937" xr:uid="{00000000-0005-0000-0000-0000E10A0000}"/>
    <cellStyle name="20% - Ênfase2 6 2 4 3" xfId="2938" xr:uid="{00000000-0005-0000-0000-0000E20A0000}"/>
    <cellStyle name="20% - Ênfase2 6 2 5" xfId="2939" xr:uid="{00000000-0005-0000-0000-0000E30A0000}"/>
    <cellStyle name="20% - Ênfase2 6 2 5 2" xfId="2940" xr:uid="{00000000-0005-0000-0000-0000E40A0000}"/>
    <cellStyle name="20% - Ênfase2 6 2 6" xfId="2941" xr:uid="{00000000-0005-0000-0000-0000E50A0000}"/>
    <cellStyle name="20% - Ênfase2 6 3" xfId="2942" xr:uid="{00000000-0005-0000-0000-0000E60A0000}"/>
    <cellStyle name="20% - Ênfase2 6 3 2" xfId="2943" xr:uid="{00000000-0005-0000-0000-0000E70A0000}"/>
    <cellStyle name="20% - Ênfase2 6 3 2 2" xfId="2944" xr:uid="{00000000-0005-0000-0000-0000E80A0000}"/>
    <cellStyle name="20% - Ênfase2 6 3 2 2 2" xfId="2945" xr:uid="{00000000-0005-0000-0000-0000E90A0000}"/>
    <cellStyle name="20% - Ênfase2 6 3 2 3" xfId="2946" xr:uid="{00000000-0005-0000-0000-0000EA0A0000}"/>
    <cellStyle name="20% - Ênfase2 6 3 2 3 2" xfId="2947" xr:uid="{00000000-0005-0000-0000-0000EB0A0000}"/>
    <cellStyle name="20% - Ênfase2 6 3 2 4" xfId="2948" xr:uid="{00000000-0005-0000-0000-0000EC0A0000}"/>
    <cellStyle name="20% - Ênfase2 6 3 3" xfId="2949" xr:uid="{00000000-0005-0000-0000-0000ED0A0000}"/>
    <cellStyle name="20% - Ênfase2 6 3 3 2" xfId="2950" xr:uid="{00000000-0005-0000-0000-0000EE0A0000}"/>
    <cellStyle name="20% - Ênfase2 6 3 4" xfId="2951" xr:uid="{00000000-0005-0000-0000-0000EF0A0000}"/>
    <cellStyle name="20% - Ênfase2 6 3 4 2" xfId="2952" xr:uid="{00000000-0005-0000-0000-0000F00A0000}"/>
    <cellStyle name="20% - Ênfase2 6 3 5" xfId="2953" xr:uid="{00000000-0005-0000-0000-0000F10A0000}"/>
    <cellStyle name="20% - Ênfase2 6 4" xfId="2954" xr:uid="{00000000-0005-0000-0000-0000F20A0000}"/>
    <cellStyle name="20% - Ênfase2 6 4 2" xfId="2955" xr:uid="{00000000-0005-0000-0000-0000F30A0000}"/>
    <cellStyle name="20% - Ênfase2 6 4 2 2" xfId="2956" xr:uid="{00000000-0005-0000-0000-0000F40A0000}"/>
    <cellStyle name="20% - Ênfase2 6 4 3" xfId="2957" xr:uid="{00000000-0005-0000-0000-0000F50A0000}"/>
    <cellStyle name="20% - Ênfase2 6 4 3 2" xfId="2958" xr:uid="{00000000-0005-0000-0000-0000F60A0000}"/>
    <cellStyle name="20% - Ênfase2 6 4 4" xfId="2959" xr:uid="{00000000-0005-0000-0000-0000F70A0000}"/>
    <cellStyle name="20% - Ênfase2 6 5" xfId="2960" xr:uid="{00000000-0005-0000-0000-0000F80A0000}"/>
    <cellStyle name="20% - Ênfase2 6 5 2" xfId="2961" xr:uid="{00000000-0005-0000-0000-0000F90A0000}"/>
    <cellStyle name="20% - Ênfase2 6 5 2 2" xfId="2962" xr:uid="{00000000-0005-0000-0000-0000FA0A0000}"/>
    <cellStyle name="20% - Ênfase2 6 5 3" xfId="2963" xr:uid="{00000000-0005-0000-0000-0000FB0A0000}"/>
    <cellStyle name="20% - Ênfase2 6 6" xfId="2964" xr:uid="{00000000-0005-0000-0000-0000FC0A0000}"/>
    <cellStyle name="20% - Ênfase2 6 6 2" xfId="2965" xr:uid="{00000000-0005-0000-0000-0000FD0A0000}"/>
    <cellStyle name="20% - Ênfase2 6 7" xfId="2966" xr:uid="{00000000-0005-0000-0000-0000FE0A0000}"/>
    <cellStyle name="20% - Ênfase2 7" xfId="2967" xr:uid="{00000000-0005-0000-0000-0000FF0A0000}"/>
    <cellStyle name="20% - Ênfase2 7 2" xfId="2968" xr:uid="{00000000-0005-0000-0000-0000000B0000}"/>
    <cellStyle name="20% - Ênfase2 7 2 2" xfId="2969" xr:uid="{00000000-0005-0000-0000-0000010B0000}"/>
    <cellStyle name="20% - Ênfase2 7 2 2 2" xfId="2970" xr:uid="{00000000-0005-0000-0000-0000020B0000}"/>
    <cellStyle name="20% - Ênfase2 7 2 2 2 2" xfId="2971" xr:uid="{00000000-0005-0000-0000-0000030B0000}"/>
    <cellStyle name="20% - Ênfase2 7 2 2 2 2 2" xfId="2972" xr:uid="{00000000-0005-0000-0000-0000040B0000}"/>
    <cellStyle name="20% - Ênfase2 7 2 2 2 3" xfId="2973" xr:uid="{00000000-0005-0000-0000-0000050B0000}"/>
    <cellStyle name="20% - Ênfase2 7 2 2 2 3 2" xfId="2974" xr:uid="{00000000-0005-0000-0000-0000060B0000}"/>
    <cellStyle name="20% - Ênfase2 7 2 2 2 4" xfId="2975" xr:uid="{00000000-0005-0000-0000-0000070B0000}"/>
    <cellStyle name="20% - Ênfase2 7 2 2 3" xfId="2976" xr:uid="{00000000-0005-0000-0000-0000080B0000}"/>
    <cellStyle name="20% - Ênfase2 7 2 2 3 2" xfId="2977" xr:uid="{00000000-0005-0000-0000-0000090B0000}"/>
    <cellStyle name="20% - Ênfase2 7 2 2 4" xfId="2978" xr:uid="{00000000-0005-0000-0000-00000A0B0000}"/>
    <cellStyle name="20% - Ênfase2 7 2 2 4 2" xfId="2979" xr:uid="{00000000-0005-0000-0000-00000B0B0000}"/>
    <cellStyle name="20% - Ênfase2 7 2 2 5" xfId="2980" xr:uid="{00000000-0005-0000-0000-00000C0B0000}"/>
    <cellStyle name="20% - Ênfase2 7 2 3" xfId="2981" xr:uid="{00000000-0005-0000-0000-00000D0B0000}"/>
    <cellStyle name="20% - Ênfase2 7 2 3 2" xfId="2982" xr:uid="{00000000-0005-0000-0000-00000E0B0000}"/>
    <cellStyle name="20% - Ênfase2 7 2 3 2 2" xfId="2983" xr:uid="{00000000-0005-0000-0000-00000F0B0000}"/>
    <cellStyle name="20% - Ênfase2 7 2 3 3" xfId="2984" xr:uid="{00000000-0005-0000-0000-0000100B0000}"/>
    <cellStyle name="20% - Ênfase2 7 2 3 3 2" xfId="2985" xr:uid="{00000000-0005-0000-0000-0000110B0000}"/>
    <cellStyle name="20% - Ênfase2 7 2 3 4" xfId="2986" xr:uid="{00000000-0005-0000-0000-0000120B0000}"/>
    <cellStyle name="20% - Ênfase2 7 2 4" xfId="2987" xr:uid="{00000000-0005-0000-0000-0000130B0000}"/>
    <cellStyle name="20% - Ênfase2 7 2 4 2" xfId="2988" xr:uid="{00000000-0005-0000-0000-0000140B0000}"/>
    <cellStyle name="20% - Ênfase2 7 2 4 2 2" xfId="2989" xr:uid="{00000000-0005-0000-0000-0000150B0000}"/>
    <cellStyle name="20% - Ênfase2 7 2 4 3" xfId="2990" xr:uid="{00000000-0005-0000-0000-0000160B0000}"/>
    <cellStyle name="20% - Ênfase2 7 2 5" xfId="2991" xr:uid="{00000000-0005-0000-0000-0000170B0000}"/>
    <cellStyle name="20% - Ênfase2 7 2 5 2" xfId="2992" xr:uid="{00000000-0005-0000-0000-0000180B0000}"/>
    <cellStyle name="20% - Ênfase2 7 2 6" xfId="2993" xr:uid="{00000000-0005-0000-0000-0000190B0000}"/>
    <cellStyle name="20% - Ênfase2 7 3" xfId="2994" xr:uid="{00000000-0005-0000-0000-00001A0B0000}"/>
    <cellStyle name="20% - Ênfase2 7 3 2" xfId="2995" xr:uid="{00000000-0005-0000-0000-00001B0B0000}"/>
    <cellStyle name="20% - Ênfase2 7 3 2 2" xfId="2996" xr:uid="{00000000-0005-0000-0000-00001C0B0000}"/>
    <cellStyle name="20% - Ênfase2 7 3 2 2 2" xfId="2997" xr:uid="{00000000-0005-0000-0000-00001D0B0000}"/>
    <cellStyle name="20% - Ênfase2 7 3 2 3" xfId="2998" xr:uid="{00000000-0005-0000-0000-00001E0B0000}"/>
    <cellStyle name="20% - Ênfase2 7 3 2 3 2" xfId="2999" xr:uid="{00000000-0005-0000-0000-00001F0B0000}"/>
    <cellStyle name="20% - Ênfase2 7 3 2 4" xfId="3000" xr:uid="{00000000-0005-0000-0000-0000200B0000}"/>
    <cellStyle name="20% - Ênfase2 7 3 3" xfId="3001" xr:uid="{00000000-0005-0000-0000-0000210B0000}"/>
    <cellStyle name="20% - Ênfase2 7 3 3 2" xfId="3002" xr:uid="{00000000-0005-0000-0000-0000220B0000}"/>
    <cellStyle name="20% - Ênfase2 7 3 4" xfId="3003" xr:uid="{00000000-0005-0000-0000-0000230B0000}"/>
    <cellStyle name="20% - Ênfase2 7 3 4 2" xfId="3004" xr:uid="{00000000-0005-0000-0000-0000240B0000}"/>
    <cellStyle name="20% - Ênfase2 7 3 5" xfId="3005" xr:uid="{00000000-0005-0000-0000-0000250B0000}"/>
    <cellStyle name="20% - Ênfase2 7 4" xfId="3006" xr:uid="{00000000-0005-0000-0000-0000260B0000}"/>
    <cellStyle name="20% - Ênfase2 7 4 2" xfId="3007" xr:uid="{00000000-0005-0000-0000-0000270B0000}"/>
    <cellStyle name="20% - Ênfase2 7 4 2 2" xfId="3008" xr:uid="{00000000-0005-0000-0000-0000280B0000}"/>
    <cellStyle name="20% - Ênfase2 7 4 3" xfId="3009" xr:uid="{00000000-0005-0000-0000-0000290B0000}"/>
    <cellStyle name="20% - Ênfase2 7 4 3 2" xfId="3010" xr:uid="{00000000-0005-0000-0000-00002A0B0000}"/>
    <cellStyle name="20% - Ênfase2 7 4 4" xfId="3011" xr:uid="{00000000-0005-0000-0000-00002B0B0000}"/>
    <cellStyle name="20% - Ênfase2 7 5" xfId="3012" xr:uid="{00000000-0005-0000-0000-00002C0B0000}"/>
    <cellStyle name="20% - Ênfase2 7 5 2" xfId="3013" xr:uid="{00000000-0005-0000-0000-00002D0B0000}"/>
    <cellStyle name="20% - Ênfase2 7 5 2 2" xfId="3014" xr:uid="{00000000-0005-0000-0000-00002E0B0000}"/>
    <cellStyle name="20% - Ênfase2 7 5 3" xfId="3015" xr:uid="{00000000-0005-0000-0000-00002F0B0000}"/>
    <cellStyle name="20% - Ênfase2 7 6" xfId="3016" xr:uid="{00000000-0005-0000-0000-0000300B0000}"/>
    <cellStyle name="20% - Ênfase2 7 6 2" xfId="3017" xr:uid="{00000000-0005-0000-0000-0000310B0000}"/>
    <cellStyle name="20% - Ênfase2 7 7" xfId="3018" xr:uid="{00000000-0005-0000-0000-0000320B0000}"/>
    <cellStyle name="20% - Ênfase2 8" xfId="3019" xr:uid="{00000000-0005-0000-0000-0000330B0000}"/>
    <cellStyle name="20% - Ênfase2 8 2" xfId="3020" xr:uid="{00000000-0005-0000-0000-0000340B0000}"/>
    <cellStyle name="20% - Ênfase2 8 2 2" xfId="3021" xr:uid="{00000000-0005-0000-0000-0000350B0000}"/>
    <cellStyle name="20% - Ênfase2 8 2 2 2" xfId="3022" xr:uid="{00000000-0005-0000-0000-0000360B0000}"/>
    <cellStyle name="20% - Ênfase2 8 2 2 2 2" xfId="3023" xr:uid="{00000000-0005-0000-0000-0000370B0000}"/>
    <cellStyle name="20% - Ênfase2 8 2 2 2 2 2" xfId="3024" xr:uid="{00000000-0005-0000-0000-0000380B0000}"/>
    <cellStyle name="20% - Ênfase2 8 2 2 2 3" xfId="3025" xr:uid="{00000000-0005-0000-0000-0000390B0000}"/>
    <cellStyle name="20% - Ênfase2 8 2 2 2 3 2" xfId="3026" xr:uid="{00000000-0005-0000-0000-00003A0B0000}"/>
    <cellStyle name="20% - Ênfase2 8 2 2 2 4" xfId="3027" xr:uid="{00000000-0005-0000-0000-00003B0B0000}"/>
    <cellStyle name="20% - Ênfase2 8 2 2 3" xfId="3028" xr:uid="{00000000-0005-0000-0000-00003C0B0000}"/>
    <cellStyle name="20% - Ênfase2 8 2 2 3 2" xfId="3029" xr:uid="{00000000-0005-0000-0000-00003D0B0000}"/>
    <cellStyle name="20% - Ênfase2 8 2 2 4" xfId="3030" xr:uid="{00000000-0005-0000-0000-00003E0B0000}"/>
    <cellStyle name="20% - Ênfase2 8 2 2 4 2" xfId="3031" xr:uid="{00000000-0005-0000-0000-00003F0B0000}"/>
    <cellStyle name="20% - Ênfase2 8 2 2 5" xfId="3032" xr:uid="{00000000-0005-0000-0000-0000400B0000}"/>
    <cellStyle name="20% - Ênfase2 8 2 3" xfId="3033" xr:uid="{00000000-0005-0000-0000-0000410B0000}"/>
    <cellStyle name="20% - Ênfase2 8 2 3 2" xfId="3034" xr:uid="{00000000-0005-0000-0000-0000420B0000}"/>
    <cellStyle name="20% - Ênfase2 8 2 3 2 2" xfId="3035" xr:uid="{00000000-0005-0000-0000-0000430B0000}"/>
    <cellStyle name="20% - Ênfase2 8 2 3 3" xfId="3036" xr:uid="{00000000-0005-0000-0000-0000440B0000}"/>
    <cellStyle name="20% - Ênfase2 8 2 3 3 2" xfId="3037" xr:uid="{00000000-0005-0000-0000-0000450B0000}"/>
    <cellStyle name="20% - Ênfase2 8 2 3 4" xfId="3038" xr:uid="{00000000-0005-0000-0000-0000460B0000}"/>
    <cellStyle name="20% - Ênfase2 8 2 4" xfId="3039" xr:uid="{00000000-0005-0000-0000-0000470B0000}"/>
    <cellStyle name="20% - Ênfase2 8 2 4 2" xfId="3040" xr:uid="{00000000-0005-0000-0000-0000480B0000}"/>
    <cellStyle name="20% - Ênfase2 8 2 4 2 2" xfId="3041" xr:uid="{00000000-0005-0000-0000-0000490B0000}"/>
    <cellStyle name="20% - Ênfase2 8 2 4 3" xfId="3042" xr:uid="{00000000-0005-0000-0000-00004A0B0000}"/>
    <cellStyle name="20% - Ênfase2 8 2 5" xfId="3043" xr:uid="{00000000-0005-0000-0000-00004B0B0000}"/>
    <cellStyle name="20% - Ênfase2 8 2 5 2" xfId="3044" xr:uid="{00000000-0005-0000-0000-00004C0B0000}"/>
    <cellStyle name="20% - Ênfase2 8 2 6" xfId="3045" xr:uid="{00000000-0005-0000-0000-00004D0B0000}"/>
    <cellStyle name="20% - Ênfase2 8 3" xfId="3046" xr:uid="{00000000-0005-0000-0000-00004E0B0000}"/>
    <cellStyle name="20% - Ênfase2 8 3 2" xfId="3047" xr:uid="{00000000-0005-0000-0000-00004F0B0000}"/>
    <cellStyle name="20% - Ênfase2 8 3 2 2" xfId="3048" xr:uid="{00000000-0005-0000-0000-0000500B0000}"/>
    <cellStyle name="20% - Ênfase2 8 3 2 2 2" xfId="3049" xr:uid="{00000000-0005-0000-0000-0000510B0000}"/>
    <cellStyle name="20% - Ênfase2 8 3 2 3" xfId="3050" xr:uid="{00000000-0005-0000-0000-0000520B0000}"/>
    <cellStyle name="20% - Ênfase2 8 3 2 3 2" xfId="3051" xr:uid="{00000000-0005-0000-0000-0000530B0000}"/>
    <cellStyle name="20% - Ênfase2 8 3 2 4" xfId="3052" xr:uid="{00000000-0005-0000-0000-0000540B0000}"/>
    <cellStyle name="20% - Ênfase2 8 3 3" xfId="3053" xr:uid="{00000000-0005-0000-0000-0000550B0000}"/>
    <cellStyle name="20% - Ênfase2 8 3 3 2" xfId="3054" xr:uid="{00000000-0005-0000-0000-0000560B0000}"/>
    <cellStyle name="20% - Ênfase2 8 3 4" xfId="3055" xr:uid="{00000000-0005-0000-0000-0000570B0000}"/>
    <cellStyle name="20% - Ênfase2 8 3 4 2" xfId="3056" xr:uid="{00000000-0005-0000-0000-0000580B0000}"/>
    <cellStyle name="20% - Ênfase2 8 3 5" xfId="3057" xr:uid="{00000000-0005-0000-0000-0000590B0000}"/>
    <cellStyle name="20% - Ênfase2 8 4" xfId="3058" xr:uid="{00000000-0005-0000-0000-00005A0B0000}"/>
    <cellStyle name="20% - Ênfase2 8 4 2" xfId="3059" xr:uid="{00000000-0005-0000-0000-00005B0B0000}"/>
    <cellStyle name="20% - Ênfase2 8 4 2 2" xfId="3060" xr:uid="{00000000-0005-0000-0000-00005C0B0000}"/>
    <cellStyle name="20% - Ênfase2 8 4 3" xfId="3061" xr:uid="{00000000-0005-0000-0000-00005D0B0000}"/>
    <cellStyle name="20% - Ênfase2 8 4 3 2" xfId="3062" xr:uid="{00000000-0005-0000-0000-00005E0B0000}"/>
    <cellStyle name="20% - Ênfase2 8 4 4" xfId="3063" xr:uid="{00000000-0005-0000-0000-00005F0B0000}"/>
    <cellStyle name="20% - Ênfase2 8 5" xfId="3064" xr:uid="{00000000-0005-0000-0000-0000600B0000}"/>
    <cellStyle name="20% - Ênfase2 8 5 2" xfId="3065" xr:uid="{00000000-0005-0000-0000-0000610B0000}"/>
    <cellStyle name="20% - Ênfase2 8 5 2 2" xfId="3066" xr:uid="{00000000-0005-0000-0000-0000620B0000}"/>
    <cellStyle name="20% - Ênfase2 8 5 3" xfId="3067" xr:uid="{00000000-0005-0000-0000-0000630B0000}"/>
    <cellStyle name="20% - Ênfase2 8 6" xfId="3068" xr:uid="{00000000-0005-0000-0000-0000640B0000}"/>
    <cellStyle name="20% - Ênfase2 8 6 2" xfId="3069" xr:uid="{00000000-0005-0000-0000-0000650B0000}"/>
    <cellStyle name="20% - Ênfase2 8 7" xfId="3070" xr:uid="{00000000-0005-0000-0000-0000660B0000}"/>
    <cellStyle name="20% - Ênfase2 9" xfId="3071" xr:uid="{00000000-0005-0000-0000-0000670B0000}"/>
    <cellStyle name="20% - Ênfase2 9 2" xfId="3072" xr:uid="{00000000-0005-0000-0000-0000680B0000}"/>
    <cellStyle name="20% - Ênfase2 9 2 2" xfId="3073" xr:uid="{00000000-0005-0000-0000-0000690B0000}"/>
    <cellStyle name="20% - Ênfase2 9 2 2 2" xfId="3074" xr:uid="{00000000-0005-0000-0000-00006A0B0000}"/>
    <cellStyle name="20% - Ênfase2 9 2 2 2 2" xfId="3075" xr:uid="{00000000-0005-0000-0000-00006B0B0000}"/>
    <cellStyle name="20% - Ênfase2 9 2 2 2 2 2" xfId="3076" xr:uid="{00000000-0005-0000-0000-00006C0B0000}"/>
    <cellStyle name="20% - Ênfase2 9 2 2 2 3" xfId="3077" xr:uid="{00000000-0005-0000-0000-00006D0B0000}"/>
    <cellStyle name="20% - Ênfase2 9 2 2 2 3 2" xfId="3078" xr:uid="{00000000-0005-0000-0000-00006E0B0000}"/>
    <cellStyle name="20% - Ênfase2 9 2 2 2 4" xfId="3079" xr:uid="{00000000-0005-0000-0000-00006F0B0000}"/>
    <cellStyle name="20% - Ênfase2 9 2 2 3" xfId="3080" xr:uid="{00000000-0005-0000-0000-0000700B0000}"/>
    <cellStyle name="20% - Ênfase2 9 2 2 3 2" xfId="3081" xr:uid="{00000000-0005-0000-0000-0000710B0000}"/>
    <cellStyle name="20% - Ênfase2 9 2 2 4" xfId="3082" xr:uid="{00000000-0005-0000-0000-0000720B0000}"/>
    <cellStyle name="20% - Ênfase2 9 2 2 4 2" xfId="3083" xr:uid="{00000000-0005-0000-0000-0000730B0000}"/>
    <cellStyle name="20% - Ênfase2 9 2 2 5" xfId="3084" xr:uid="{00000000-0005-0000-0000-0000740B0000}"/>
    <cellStyle name="20% - Ênfase2 9 2 3" xfId="3085" xr:uid="{00000000-0005-0000-0000-0000750B0000}"/>
    <cellStyle name="20% - Ênfase2 9 2 3 2" xfId="3086" xr:uid="{00000000-0005-0000-0000-0000760B0000}"/>
    <cellStyle name="20% - Ênfase2 9 2 3 2 2" xfId="3087" xr:uid="{00000000-0005-0000-0000-0000770B0000}"/>
    <cellStyle name="20% - Ênfase2 9 2 3 3" xfId="3088" xr:uid="{00000000-0005-0000-0000-0000780B0000}"/>
    <cellStyle name="20% - Ênfase2 9 2 3 3 2" xfId="3089" xr:uid="{00000000-0005-0000-0000-0000790B0000}"/>
    <cellStyle name="20% - Ênfase2 9 2 3 4" xfId="3090" xr:uid="{00000000-0005-0000-0000-00007A0B0000}"/>
    <cellStyle name="20% - Ênfase2 9 2 4" xfId="3091" xr:uid="{00000000-0005-0000-0000-00007B0B0000}"/>
    <cellStyle name="20% - Ênfase2 9 2 4 2" xfId="3092" xr:uid="{00000000-0005-0000-0000-00007C0B0000}"/>
    <cellStyle name="20% - Ênfase2 9 2 4 2 2" xfId="3093" xr:uid="{00000000-0005-0000-0000-00007D0B0000}"/>
    <cellStyle name="20% - Ênfase2 9 2 4 3" xfId="3094" xr:uid="{00000000-0005-0000-0000-00007E0B0000}"/>
    <cellStyle name="20% - Ênfase2 9 2 5" xfId="3095" xr:uid="{00000000-0005-0000-0000-00007F0B0000}"/>
    <cellStyle name="20% - Ênfase2 9 2 5 2" xfId="3096" xr:uid="{00000000-0005-0000-0000-0000800B0000}"/>
    <cellStyle name="20% - Ênfase2 9 2 6" xfId="3097" xr:uid="{00000000-0005-0000-0000-0000810B0000}"/>
    <cellStyle name="20% - Ênfase2 9 3" xfId="3098" xr:uid="{00000000-0005-0000-0000-0000820B0000}"/>
    <cellStyle name="20% - Ênfase2 9 3 2" xfId="3099" xr:uid="{00000000-0005-0000-0000-0000830B0000}"/>
    <cellStyle name="20% - Ênfase2 9 3 2 2" xfId="3100" xr:uid="{00000000-0005-0000-0000-0000840B0000}"/>
    <cellStyle name="20% - Ênfase2 9 3 2 2 2" xfId="3101" xr:uid="{00000000-0005-0000-0000-0000850B0000}"/>
    <cellStyle name="20% - Ênfase2 9 3 2 3" xfId="3102" xr:uid="{00000000-0005-0000-0000-0000860B0000}"/>
    <cellStyle name="20% - Ênfase2 9 3 2 3 2" xfId="3103" xr:uid="{00000000-0005-0000-0000-0000870B0000}"/>
    <cellStyle name="20% - Ênfase2 9 3 2 4" xfId="3104" xr:uid="{00000000-0005-0000-0000-0000880B0000}"/>
    <cellStyle name="20% - Ênfase2 9 3 3" xfId="3105" xr:uid="{00000000-0005-0000-0000-0000890B0000}"/>
    <cellStyle name="20% - Ênfase2 9 3 3 2" xfId="3106" xr:uid="{00000000-0005-0000-0000-00008A0B0000}"/>
    <cellStyle name="20% - Ênfase2 9 3 4" xfId="3107" xr:uid="{00000000-0005-0000-0000-00008B0B0000}"/>
    <cellStyle name="20% - Ênfase2 9 3 4 2" xfId="3108" xr:uid="{00000000-0005-0000-0000-00008C0B0000}"/>
    <cellStyle name="20% - Ênfase2 9 3 5" xfId="3109" xr:uid="{00000000-0005-0000-0000-00008D0B0000}"/>
    <cellStyle name="20% - Ênfase2 9 4" xfId="3110" xr:uid="{00000000-0005-0000-0000-00008E0B0000}"/>
    <cellStyle name="20% - Ênfase2 9 4 2" xfId="3111" xr:uid="{00000000-0005-0000-0000-00008F0B0000}"/>
    <cellStyle name="20% - Ênfase2 9 4 2 2" xfId="3112" xr:uid="{00000000-0005-0000-0000-0000900B0000}"/>
    <cellStyle name="20% - Ênfase2 9 4 3" xfId="3113" xr:uid="{00000000-0005-0000-0000-0000910B0000}"/>
    <cellStyle name="20% - Ênfase2 9 4 3 2" xfId="3114" xr:uid="{00000000-0005-0000-0000-0000920B0000}"/>
    <cellStyle name="20% - Ênfase2 9 4 4" xfId="3115" xr:uid="{00000000-0005-0000-0000-0000930B0000}"/>
    <cellStyle name="20% - Ênfase2 9 5" xfId="3116" xr:uid="{00000000-0005-0000-0000-0000940B0000}"/>
    <cellStyle name="20% - Ênfase2 9 5 2" xfId="3117" xr:uid="{00000000-0005-0000-0000-0000950B0000}"/>
    <cellStyle name="20% - Ênfase2 9 5 2 2" xfId="3118" xr:uid="{00000000-0005-0000-0000-0000960B0000}"/>
    <cellStyle name="20% - Ênfase2 9 5 3" xfId="3119" xr:uid="{00000000-0005-0000-0000-0000970B0000}"/>
    <cellStyle name="20% - Ênfase2 9 6" xfId="3120" xr:uid="{00000000-0005-0000-0000-0000980B0000}"/>
    <cellStyle name="20% - Ênfase2 9 6 2" xfId="3121" xr:uid="{00000000-0005-0000-0000-0000990B0000}"/>
    <cellStyle name="20% - Ênfase2 9 7" xfId="3122" xr:uid="{00000000-0005-0000-0000-00009A0B0000}"/>
    <cellStyle name="20% - Ênfase3 10" xfId="3123" xr:uid="{00000000-0005-0000-0000-00009B0B0000}"/>
    <cellStyle name="20% - Ênfase3 10 2" xfId="3124" xr:uid="{00000000-0005-0000-0000-00009C0B0000}"/>
    <cellStyle name="20% - Ênfase3 10 2 2" xfId="3125" xr:uid="{00000000-0005-0000-0000-00009D0B0000}"/>
    <cellStyle name="20% - Ênfase3 10 2 2 2" xfId="3126" xr:uid="{00000000-0005-0000-0000-00009E0B0000}"/>
    <cellStyle name="20% - Ênfase3 10 2 2 2 2" xfId="3127" xr:uid="{00000000-0005-0000-0000-00009F0B0000}"/>
    <cellStyle name="20% - Ênfase3 10 2 2 2 2 2" xfId="3128" xr:uid="{00000000-0005-0000-0000-0000A00B0000}"/>
    <cellStyle name="20% - Ênfase3 10 2 2 2 3" xfId="3129" xr:uid="{00000000-0005-0000-0000-0000A10B0000}"/>
    <cellStyle name="20% - Ênfase3 10 2 2 2 3 2" xfId="3130" xr:uid="{00000000-0005-0000-0000-0000A20B0000}"/>
    <cellStyle name="20% - Ênfase3 10 2 2 2 4" xfId="3131" xr:uid="{00000000-0005-0000-0000-0000A30B0000}"/>
    <cellStyle name="20% - Ênfase3 10 2 2 3" xfId="3132" xr:uid="{00000000-0005-0000-0000-0000A40B0000}"/>
    <cellStyle name="20% - Ênfase3 10 2 2 3 2" xfId="3133" xr:uid="{00000000-0005-0000-0000-0000A50B0000}"/>
    <cellStyle name="20% - Ênfase3 10 2 2 4" xfId="3134" xr:uid="{00000000-0005-0000-0000-0000A60B0000}"/>
    <cellStyle name="20% - Ênfase3 10 2 2 4 2" xfId="3135" xr:uid="{00000000-0005-0000-0000-0000A70B0000}"/>
    <cellStyle name="20% - Ênfase3 10 2 2 5" xfId="3136" xr:uid="{00000000-0005-0000-0000-0000A80B0000}"/>
    <cellStyle name="20% - Ênfase3 10 2 3" xfId="3137" xr:uid="{00000000-0005-0000-0000-0000A90B0000}"/>
    <cellStyle name="20% - Ênfase3 10 2 3 2" xfId="3138" xr:uid="{00000000-0005-0000-0000-0000AA0B0000}"/>
    <cellStyle name="20% - Ênfase3 10 2 3 2 2" xfId="3139" xr:uid="{00000000-0005-0000-0000-0000AB0B0000}"/>
    <cellStyle name="20% - Ênfase3 10 2 3 3" xfId="3140" xr:uid="{00000000-0005-0000-0000-0000AC0B0000}"/>
    <cellStyle name="20% - Ênfase3 10 2 3 3 2" xfId="3141" xr:uid="{00000000-0005-0000-0000-0000AD0B0000}"/>
    <cellStyle name="20% - Ênfase3 10 2 3 4" xfId="3142" xr:uid="{00000000-0005-0000-0000-0000AE0B0000}"/>
    <cellStyle name="20% - Ênfase3 10 2 4" xfId="3143" xr:uid="{00000000-0005-0000-0000-0000AF0B0000}"/>
    <cellStyle name="20% - Ênfase3 10 2 4 2" xfId="3144" xr:uid="{00000000-0005-0000-0000-0000B00B0000}"/>
    <cellStyle name="20% - Ênfase3 10 2 4 2 2" xfId="3145" xr:uid="{00000000-0005-0000-0000-0000B10B0000}"/>
    <cellStyle name="20% - Ênfase3 10 2 4 3" xfId="3146" xr:uid="{00000000-0005-0000-0000-0000B20B0000}"/>
    <cellStyle name="20% - Ênfase3 10 2 5" xfId="3147" xr:uid="{00000000-0005-0000-0000-0000B30B0000}"/>
    <cellStyle name="20% - Ênfase3 10 2 5 2" xfId="3148" xr:uid="{00000000-0005-0000-0000-0000B40B0000}"/>
    <cellStyle name="20% - Ênfase3 10 2 6" xfId="3149" xr:uid="{00000000-0005-0000-0000-0000B50B0000}"/>
    <cellStyle name="20% - Ênfase3 10 3" xfId="3150" xr:uid="{00000000-0005-0000-0000-0000B60B0000}"/>
    <cellStyle name="20% - Ênfase3 10 3 2" xfId="3151" xr:uid="{00000000-0005-0000-0000-0000B70B0000}"/>
    <cellStyle name="20% - Ênfase3 10 3 2 2" xfId="3152" xr:uid="{00000000-0005-0000-0000-0000B80B0000}"/>
    <cellStyle name="20% - Ênfase3 10 3 2 2 2" xfId="3153" xr:uid="{00000000-0005-0000-0000-0000B90B0000}"/>
    <cellStyle name="20% - Ênfase3 10 3 2 3" xfId="3154" xr:uid="{00000000-0005-0000-0000-0000BA0B0000}"/>
    <cellStyle name="20% - Ênfase3 10 3 2 3 2" xfId="3155" xr:uid="{00000000-0005-0000-0000-0000BB0B0000}"/>
    <cellStyle name="20% - Ênfase3 10 3 2 4" xfId="3156" xr:uid="{00000000-0005-0000-0000-0000BC0B0000}"/>
    <cellStyle name="20% - Ênfase3 10 3 3" xfId="3157" xr:uid="{00000000-0005-0000-0000-0000BD0B0000}"/>
    <cellStyle name="20% - Ênfase3 10 3 3 2" xfId="3158" xr:uid="{00000000-0005-0000-0000-0000BE0B0000}"/>
    <cellStyle name="20% - Ênfase3 10 3 4" xfId="3159" xr:uid="{00000000-0005-0000-0000-0000BF0B0000}"/>
    <cellStyle name="20% - Ênfase3 10 3 4 2" xfId="3160" xr:uid="{00000000-0005-0000-0000-0000C00B0000}"/>
    <cellStyle name="20% - Ênfase3 10 3 5" xfId="3161" xr:uid="{00000000-0005-0000-0000-0000C10B0000}"/>
    <cellStyle name="20% - Ênfase3 10 4" xfId="3162" xr:uid="{00000000-0005-0000-0000-0000C20B0000}"/>
    <cellStyle name="20% - Ênfase3 10 4 2" xfId="3163" xr:uid="{00000000-0005-0000-0000-0000C30B0000}"/>
    <cellStyle name="20% - Ênfase3 10 4 2 2" xfId="3164" xr:uid="{00000000-0005-0000-0000-0000C40B0000}"/>
    <cellStyle name="20% - Ênfase3 10 4 3" xfId="3165" xr:uid="{00000000-0005-0000-0000-0000C50B0000}"/>
    <cellStyle name="20% - Ênfase3 10 4 3 2" xfId="3166" xr:uid="{00000000-0005-0000-0000-0000C60B0000}"/>
    <cellStyle name="20% - Ênfase3 10 4 4" xfId="3167" xr:uid="{00000000-0005-0000-0000-0000C70B0000}"/>
    <cellStyle name="20% - Ênfase3 10 5" xfId="3168" xr:uid="{00000000-0005-0000-0000-0000C80B0000}"/>
    <cellStyle name="20% - Ênfase3 10 5 2" xfId="3169" xr:uid="{00000000-0005-0000-0000-0000C90B0000}"/>
    <cellStyle name="20% - Ênfase3 10 5 2 2" xfId="3170" xr:uid="{00000000-0005-0000-0000-0000CA0B0000}"/>
    <cellStyle name="20% - Ênfase3 10 5 3" xfId="3171" xr:uid="{00000000-0005-0000-0000-0000CB0B0000}"/>
    <cellStyle name="20% - Ênfase3 10 6" xfId="3172" xr:uid="{00000000-0005-0000-0000-0000CC0B0000}"/>
    <cellStyle name="20% - Ênfase3 10 6 2" xfId="3173" xr:uid="{00000000-0005-0000-0000-0000CD0B0000}"/>
    <cellStyle name="20% - Ênfase3 10 7" xfId="3174" xr:uid="{00000000-0005-0000-0000-0000CE0B0000}"/>
    <cellStyle name="20% - Ênfase3 11" xfId="3175" xr:uid="{00000000-0005-0000-0000-0000CF0B0000}"/>
    <cellStyle name="20% - Ênfase3 11 2" xfId="3176" xr:uid="{00000000-0005-0000-0000-0000D00B0000}"/>
    <cellStyle name="20% - Ênfase3 11 2 2" xfId="3177" xr:uid="{00000000-0005-0000-0000-0000D10B0000}"/>
    <cellStyle name="20% - Ênfase3 11 2 2 2" xfId="3178" xr:uid="{00000000-0005-0000-0000-0000D20B0000}"/>
    <cellStyle name="20% - Ênfase3 11 2 2 2 2" xfId="3179" xr:uid="{00000000-0005-0000-0000-0000D30B0000}"/>
    <cellStyle name="20% - Ênfase3 11 2 2 2 2 2" xfId="3180" xr:uid="{00000000-0005-0000-0000-0000D40B0000}"/>
    <cellStyle name="20% - Ênfase3 11 2 2 2 3" xfId="3181" xr:uid="{00000000-0005-0000-0000-0000D50B0000}"/>
    <cellStyle name="20% - Ênfase3 11 2 2 2 3 2" xfId="3182" xr:uid="{00000000-0005-0000-0000-0000D60B0000}"/>
    <cellStyle name="20% - Ênfase3 11 2 2 2 4" xfId="3183" xr:uid="{00000000-0005-0000-0000-0000D70B0000}"/>
    <cellStyle name="20% - Ênfase3 11 2 2 3" xfId="3184" xr:uid="{00000000-0005-0000-0000-0000D80B0000}"/>
    <cellStyle name="20% - Ênfase3 11 2 2 3 2" xfId="3185" xr:uid="{00000000-0005-0000-0000-0000D90B0000}"/>
    <cellStyle name="20% - Ênfase3 11 2 2 4" xfId="3186" xr:uid="{00000000-0005-0000-0000-0000DA0B0000}"/>
    <cellStyle name="20% - Ênfase3 11 2 2 4 2" xfId="3187" xr:uid="{00000000-0005-0000-0000-0000DB0B0000}"/>
    <cellStyle name="20% - Ênfase3 11 2 2 5" xfId="3188" xr:uid="{00000000-0005-0000-0000-0000DC0B0000}"/>
    <cellStyle name="20% - Ênfase3 11 2 3" xfId="3189" xr:uid="{00000000-0005-0000-0000-0000DD0B0000}"/>
    <cellStyle name="20% - Ênfase3 11 2 3 2" xfId="3190" xr:uid="{00000000-0005-0000-0000-0000DE0B0000}"/>
    <cellStyle name="20% - Ênfase3 11 2 3 2 2" xfId="3191" xr:uid="{00000000-0005-0000-0000-0000DF0B0000}"/>
    <cellStyle name="20% - Ênfase3 11 2 3 3" xfId="3192" xr:uid="{00000000-0005-0000-0000-0000E00B0000}"/>
    <cellStyle name="20% - Ênfase3 11 2 3 3 2" xfId="3193" xr:uid="{00000000-0005-0000-0000-0000E10B0000}"/>
    <cellStyle name="20% - Ênfase3 11 2 3 4" xfId="3194" xr:uid="{00000000-0005-0000-0000-0000E20B0000}"/>
    <cellStyle name="20% - Ênfase3 11 2 4" xfId="3195" xr:uid="{00000000-0005-0000-0000-0000E30B0000}"/>
    <cellStyle name="20% - Ênfase3 11 2 4 2" xfId="3196" xr:uid="{00000000-0005-0000-0000-0000E40B0000}"/>
    <cellStyle name="20% - Ênfase3 11 2 4 2 2" xfId="3197" xr:uid="{00000000-0005-0000-0000-0000E50B0000}"/>
    <cellStyle name="20% - Ênfase3 11 2 4 3" xfId="3198" xr:uid="{00000000-0005-0000-0000-0000E60B0000}"/>
    <cellStyle name="20% - Ênfase3 11 2 5" xfId="3199" xr:uid="{00000000-0005-0000-0000-0000E70B0000}"/>
    <cellStyle name="20% - Ênfase3 11 2 5 2" xfId="3200" xr:uid="{00000000-0005-0000-0000-0000E80B0000}"/>
    <cellStyle name="20% - Ênfase3 11 2 6" xfId="3201" xr:uid="{00000000-0005-0000-0000-0000E90B0000}"/>
    <cellStyle name="20% - Ênfase3 11 3" xfId="3202" xr:uid="{00000000-0005-0000-0000-0000EA0B0000}"/>
    <cellStyle name="20% - Ênfase3 11 3 2" xfId="3203" xr:uid="{00000000-0005-0000-0000-0000EB0B0000}"/>
    <cellStyle name="20% - Ênfase3 11 3 2 2" xfId="3204" xr:uid="{00000000-0005-0000-0000-0000EC0B0000}"/>
    <cellStyle name="20% - Ênfase3 11 3 2 2 2" xfId="3205" xr:uid="{00000000-0005-0000-0000-0000ED0B0000}"/>
    <cellStyle name="20% - Ênfase3 11 3 2 3" xfId="3206" xr:uid="{00000000-0005-0000-0000-0000EE0B0000}"/>
    <cellStyle name="20% - Ênfase3 11 3 2 3 2" xfId="3207" xr:uid="{00000000-0005-0000-0000-0000EF0B0000}"/>
    <cellStyle name="20% - Ênfase3 11 3 2 4" xfId="3208" xr:uid="{00000000-0005-0000-0000-0000F00B0000}"/>
    <cellStyle name="20% - Ênfase3 11 3 3" xfId="3209" xr:uid="{00000000-0005-0000-0000-0000F10B0000}"/>
    <cellStyle name="20% - Ênfase3 11 3 3 2" xfId="3210" xr:uid="{00000000-0005-0000-0000-0000F20B0000}"/>
    <cellStyle name="20% - Ênfase3 11 3 4" xfId="3211" xr:uid="{00000000-0005-0000-0000-0000F30B0000}"/>
    <cellStyle name="20% - Ênfase3 11 3 4 2" xfId="3212" xr:uid="{00000000-0005-0000-0000-0000F40B0000}"/>
    <cellStyle name="20% - Ênfase3 11 3 5" xfId="3213" xr:uid="{00000000-0005-0000-0000-0000F50B0000}"/>
    <cellStyle name="20% - Ênfase3 11 4" xfId="3214" xr:uid="{00000000-0005-0000-0000-0000F60B0000}"/>
    <cellStyle name="20% - Ênfase3 11 4 2" xfId="3215" xr:uid="{00000000-0005-0000-0000-0000F70B0000}"/>
    <cellStyle name="20% - Ênfase3 11 4 2 2" xfId="3216" xr:uid="{00000000-0005-0000-0000-0000F80B0000}"/>
    <cellStyle name="20% - Ênfase3 11 4 3" xfId="3217" xr:uid="{00000000-0005-0000-0000-0000F90B0000}"/>
    <cellStyle name="20% - Ênfase3 11 4 3 2" xfId="3218" xr:uid="{00000000-0005-0000-0000-0000FA0B0000}"/>
    <cellStyle name="20% - Ênfase3 11 4 4" xfId="3219" xr:uid="{00000000-0005-0000-0000-0000FB0B0000}"/>
    <cellStyle name="20% - Ênfase3 11 5" xfId="3220" xr:uid="{00000000-0005-0000-0000-0000FC0B0000}"/>
    <cellStyle name="20% - Ênfase3 11 5 2" xfId="3221" xr:uid="{00000000-0005-0000-0000-0000FD0B0000}"/>
    <cellStyle name="20% - Ênfase3 11 5 2 2" xfId="3222" xr:uid="{00000000-0005-0000-0000-0000FE0B0000}"/>
    <cellStyle name="20% - Ênfase3 11 5 3" xfId="3223" xr:uid="{00000000-0005-0000-0000-0000FF0B0000}"/>
    <cellStyle name="20% - Ênfase3 11 6" xfId="3224" xr:uid="{00000000-0005-0000-0000-0000000C0000}"/>
    <cellStyle name="20% - Ênfase3 11 6 2" xfId="3225" xr:uid="{00000000-0005-0000-0000-0000010C0000}"/>
    <cellStyle name="20% - Ênfase3 11 7" xfId="3226" xr:uid="{00000000-0005-0000-0000-0000020C0000}"/>
    <cellStyle name="20% - Ênfase3 12" xfId="3227" xr:uid="{00000000-0005-0000-0000-0000030C0000}"/>
    <cellStyle name="20% - Ênfase3 12 2" xfId="3228" xr:uid="{00000000-0005-0000-0000-0000040C0000}"/>
    <cellStyle name="20% - Ênfase3 12 2 2" xfId="3229" xr:uid="{00000000-0005-0000-0000-0000050C0000}"/>
    <cellStyle name="20% - Ênfase3 12 2 2 2" xfId="3230" xr:uid="{00000000-0005-0000-0000-0000060C0000}"/>
    <cellStyle name="20% - Ênfase3 12 2 2 2 2" xfId="3231" xr:uid="{00000000-0005-0000-0000-0000070C0000}"/>
    <cellStyle name="20% - Ênfase3 12 2 2 2 2 2" xfId="3232" xr:uid="{00000000-0005-0000-0000-0000080C0000}"/>
    <cellStyle name="20% - Ênfase3 12 2 2 2 3" xfId="3233" xr:uid="{00000000-0005-0000-0000-0000090C0000}"/>
    <cellStyle name="20% - Ênfase3 12 2 2 2 3 2" xfId="3234" xr:uid="{00000000-0005-0000-0000-00000A0C0000}"/>
    <cellStyle name="20% - Ênfase3 12 2 2 2 4" xfId="3235" xr:uid="{00000000-0005-0000-0000-00000B0C0000}"/>
    <cellStyle name="20% - Ênfase3 12 2 2 3" xfId="3236" xr:uid="{00000000-0005-0000-0000-00000C0C0000}"/>
    <cellStyle name="20% - Ênfase3 12 2 2 3 2" xfId="3237" xr:uid="{00000000-0005-0000-0000-00000D0C0000}"/>
    <cellStyle name="20% - Ênfase3 12 2 2 4" xfId="3238" xr:uid="{00000000-0005-0000-0000-00000E0C0000}"/>
    <cellStyle name="20% - Ênfase3 12 2 2 4 2" xfId="3239" xr:uid="{00000000-0005-0000-0000-00000F0C0000}"/>
    <cellStyle name="20% - Ênfase3 12 2 2 5" xfId="3240" xr:uid="{00000000-0005-0000-0000-0000100C0000}"/>
    <cellStyle name="20% - Ênfase3 12 2 3" xfId="3241" xr:uid="{00000000-0005-0000-0000-0000110C0000}"/>
    <cellStyle name="20% - Ênfase3 12 2 3 2" xfId="3242" xr:uid="{00000000-0005-0000-0000-0000120C0000}"/>
    <cellStyle name="20% - Ênfase3 12 2 3 2 2" xfId="3243" xr:uid="{00000000-0005-0000-0000-0000130C0000}"/>
    <cellStyle name="20% - Ênfase3 12 2 3 3" xfId="3244" xr:uid="{00000000-0005-0000-0000-0000140C0000}"/>
    <cellStyle name="20% - Ênfase3 12 2 3 3 2" xfId="3245" xr:uid="{00000000-0005-0000-0000-0000150C0000}"/>
    <cellStyle name="20% - Ênfase3 12 2 3 4" xfId="3246" xr:uid="{00000000-0005-0000-0000-0000160C0000}"/>
    <cellStyle name="20% - Ênfase3 12 2 4" xfId="3247" xr:uid="{00000000-0005-0000-0000-0000170C0000}"/>
    <cellStyle name="20% - Ênfase3 12 2 4 2" xfId="3248" xr:uid="{00000000-0005-0000-0000-0000180C0000}"/>
    <cellStyle name="20% - Ênfase3 12 2 4 2 2" xfId="3249" xr:uid="{00000000-0005-0000-0000-0000190C0000}"/>
    <cellStyle name="20% - Ênfase3 12 2 4 3" xfId="3250" xr:uid="{00000000-0005-0000-0000-00001A0C0000}"/>
    <cellStyle name="20% - Ênfase3 12 2 5" xfId="3251" xr:uid="{00000000-0005-0000-0000-00001B0C0000}"/>
    <cellStyle name="20% - Ênfase3 12 2 5 2" xfId="3252" xr:uid="{00000000-0005-0000-0000-00001C0C0000}"/>
    <cellStyle name="20% - Ênfase3 12 2 6" xfId="3253" xr:uid="{00000000-0005-0000-0000-00001D0C0000}"/>
    <cellStyle name="20% - Ênfase3 12 3" xfId="3254" xr:uid="{00000000-0005-0000-0000-00001E0C0000}"/>
    <cellStyle name="20% - Ênfase3 12 3 2" xfId="3255" xr:uid="{00000000-0005-0000-0000-00001F0C0000}"/>
    <cellStyle name="20% - Ênfase3 12 3 2 2" xfId="3256" xr:uid="{00000000-0005-0000-0000-0000200C0000}"/>
    <cellStyle name="20% - Ênfase3 12 3 2 2 2" xfId="3257" xr:uid="{00000000-0005-0000-0000-0000210C0000}"/>
    <cellStyle name="20% - Ênfase3 12 3 2 3" xfId="3258" xr:uid="{00000000-0005-0000-0000-0000220C0000}"/>
    <cellStyle name="20% - Ênfase3 12 3 2 3 2" xfId="3259" xr:uid="{00000000-0005-0000-0000-0000230C0000}"/>
    <cellStyle name="20% - Ênfase3 12 3 2 4" xfId="3260" xr:uid="{00000000-0005-0000-0000-0000240C0000}"/>
    <cellStyle name="20% - Ênfase3 12 3 3" xfId="3261" xr:uid="{00000000-0005-0000-0000-0000250C0000}"/>
    <cellStyle name="20% - Ênfase3 12 3 3 2" xfId="3262" xr:uid="{00000000-0005-0000-0000-0000260C0000}"/>
    <cellStyle name="20% - Ênfase3 12 3 4" xfId="3263" xr:uid="{00000000-0005-0000-0000-0000270C0000}"/>
    <cellStyle name="20% - Ênfase3 12 3 4 2" xfId="3264" xr:uid="{00000000-0005-0000-0000-0000280C0000}"/>
    <cellStyle name="20% - Ênfase3 12 3 5" xfId="3265" xr:uid="{00000000-0005-0000-0000-0000290C0000}"/>
    <cellStyle name="20% - Ênfase3 12 4" xfId="3266" xr:uid="{00000000-0005-0000-0000-00002A0C0000}"/>
    <cellStyle name="20% - Ênfase3 12 4 2" xfId="3267" xr:uid="{00000000-0005-0000-0000-00002B0C0000}"/>
    <cellStyle name="20% - Ênfase3 12 4 2 2" xfId="3268" xr:uid="{00000000-0005-0000-0000-00002C0C0000}"/>
    <cellStyle name="20% - Ênfase3 12 4 3" xfId="3269" xr:uid="{00000000-0005-0000-0000-00002D0C0000}"/>
    <cellStyle name="20% - Ênfase3 12 4 3 2" xfId="3270" xr:uid="{00000000-0005-0000-0000-00002E0C0000}"/>
    <cellStyle name="20% - Ênfase3 12 4 4" xfId="3271" xr:uid="{00000000-0005-0000-0000-00002F0C0000}"/>
    <cellStyle name="20% - Ênfase3 12 5" xfId="3272" xr:uid="{00000000-0005-0000-0000-0000300C0000}"/>
    <cellStyle name="20% - Ênfase3 12 5 2" xfId="3273" xr:uid="{00000000-0005-0000-0000-0000310C0000}"/>
    <cellStyle name="20% - Ênfase3 12 5 2 2" xfId="3274" xr:uid="{00000000-0005-0000-0000-0000320C0000}"/>
    <cellStyle name="20% - Ênfase3 12 5 3" xfId="3275" xr:uid="{00000000-0005-0000-0000-0000330C0000}"/>
    <cellStyle name="20% - Ênfase3 12 6" xfId="3276" xr:uid="{00000000-0005-0000-0000-0000340C0000}"/>
    <cellStyle name="20% - Ênfase3 12 6 2" xfId="3277" xr:uid="{00000000-0005-0000-0000-0000350C0000}"/>
    <cellStyle name="20% - Ênfase3 12 7" xfId="3278" xr:uid="{00000000-0005-0000-0000-0000360C0000}"/>
    <cellStyle name="20% - Ênfase3 13" xfId="3279" xr:uid="{00000000-0005-0000-0000-0000370C0000}"/>
    <cellStyle name="20% - Ênfase3 13 2" xfId="3280" xr:uid="{00000000-0005-0000-0000-0000380C0000}"/>
    <cellStyle name="20% - Ênfase3 13 2 2" xfId="3281" xr:uid="{00000000-0005-0000-0000-0000390C0000}"/>
    <cellStyle name="20% - Ênfase3 13 2 2 2" xfId="3282" xr:uid="{00000000-0005-0000-0000-00003A0C0000}"/>
    <cellStyle name="20% - Ênfase3 13 2 2 2 2" xfId="3283" xr:uid="{00000000-0005-0000-0000-00003B0C0000}"/>
    <cellStyle name="20% - Ênfase3 13 2 2 2 2 2" xfId="3284" xr:uid="{00000000-0005-0000-0000-00003C0C0000}"/>
    <cellStyle name="20% - Ênfase3 13 2 2 2 3" xfId="3285" xr:uid="{00000000-0005-0000-0000-00003D0C0000}"/>
    <cellStyle name="20% - Ênfase3 13 2 2 2 3 2" xfId="3286" xr:uid="{00000000-0005-0000-0000-00003E0C0000}"/>
    <cellStyle name="20% - Ênfase3 13 2 2 2 4" xfId="3287" xr:uid="{00000000-0005-0000-0000-00003F0C0000}"/>
    <cellStyle name="20% - Ênfase3 13 2 2 3" xfId="3288" xr:uid="{00000000-0005-0000-0000-0000400C0000}"/>
    <cellStyle name="20% - Ênfase3 13 2 2 3 2" xfId="3289" xr:uid="{00000000-0005-0000-0000-0000410C0000}"/>
    <cellStyle name="20% - Ênfase3 13 2 2 4" xfId="3290" xr:uid="{00000000-0005-0000-0000-0000420C0000}"/>
    <cellStyle name="20% - Ênfase3 13 2 2 4 2" xfId="3291" xr:uid="{00000000-0005-0000-0000-0000430C0000}"/>
    <cellStyle name="20% - Ênfase3 13 2 2 5" xfId="3292" xr:uid="{00000000-0005-0000-0000-0000440C0000}"/>
    <cellStyle name="20% - Ênfase3 13 2 3" xfId="3293" xr:uid="{00000000-0005-0000-0000-0000450C0000}"/>
    <cellStyle name="20% - Ênfase3 13 2 3 2" xfId="3294" xr:uid="{00000000-0005-0000-0000-0000460C0000}"/>
    <cellStyle name="20% - Ênfase3 13 2 3 2 2" xfId="3295" xr:uid="{00000000-0005-0000-0000-0000470C0000}"/>
    <cellStyle name="20% - Ênfase3 13 2 3 3" xfId="3296" xr:uid="{00000000-0005-0000-0000-0000480C0000}"/>
    <cellStyle name="20% - Ênfase3 13 2 3 3 2" xfId="3297" xr:uid="{00000000-0005-0000-0000-0000490C0000}"/>
    <cellStyle name="20% - Ênfase3 13 2 3 4" xfId="3298" xr:uid="{00000000-0005-0000-0000-00004A0C0000}"/>
    <cellStyle name="20% - Ênfase3 13 2 4" xfId="3299" xr:uid="{00000000-0005-0000-0000-00004B0C0000}"/>
    <cellStyle name="20% - Ênfase3 13 2 4 2" xfId="3300" xr:uid="{00000000-0005-0000-0000-00004C0C0000}"/>
    <cellStyle name="20% - Ênfase3 13 2 4 2 2" xfId="3301" xr:uid="{00000000-0005-0000-0000-00004D0C0000}"/>
    <cellStyle name="20% - Ênfase3 13 2 4 3" xfId="3302" xr:uid="{00000000-0005-0000-0000-00004E0C0000}"/>
    <cellStyle name="20% - Ênfase3 13 2 5" xfId="3303" xr:uid="{00000000-0005-0000-0000-00004F0C0000}"/>
    <cellStyle name="20% - Ênfase3 13 2 5 2" xfId="3304" xr:uid="{00000000-0005-0000-0000-0000500C0000}"/>
    <cellStyle name="20% - Ênfase3 13 2 6" xfId="3305" xr:uid="{00000000-0005-0000-0000-0000510C0000}"/>
    <cellStyle name="20% - Ênfase3 13 3" xfId="3306" xr:uid="{00000000-0005-0000-0000-0000520C0000}"/>
    <cellStyle name="20% - Ênfase3 13 3 2" xfId="3307" xr:uid="{00000000-0005-0000-0000-0000530C0000}"/>
    <cellStyle name="20% - Ênfase3 13 3 2 2" xfId="3308" xr:uid="{00000000-0005-0000-0000-0000540C0000}"/>
    <cellStyle name="20% - Ênfase3 13 3 2 2 2" xfId="3309" xr:uid="{00000000-0005-0000-0000-0000550C0000}"/>
    <cellStyle name="20% - Ênfase3 13 3 2 3" xfId="3310" xr:uid="{00000000-0005-0000-0000-0000560C0000}"/>
    <cellStyle name="20% - Ênfase3 13 3 2 3 2" xfId="3311" xr:uid="{00000000-0005-0000-0000-0000570C0000}"/>
    <cellStyle name="20% - Ênfase3 13 3 2 4" xfId="3312" xr:uid="{00000000-0005-0000-0000-0000580C0000}"/>
    <cellStyle name="20% - Ênfase3 13 3 3" xfId="3313" xr:uid="{00000000-0005-0000-0000-0000590C0000}"/>
    <cellStyle name="20% - Ênfase3 13 3 3 2" xfId="3314" xr:uid="{00000000-0005-0000-0000-00005A0C0000}"/>
    <cellStyle name="20% - Ênfase3 13 3 4" xfId="3315" xr:uid="{00000000-0005-0000-0000-00005B0C0000}"/>
    <cellStyle name="20% - Ênfase3 13 3 4 2" xfId="3316" xr:uid="{00000000-0005-0000-0000-00005C0C0000}"/>
    <cellStyle name="20% - Ênfase3 13 3 5" xfId="3317" xr:uid="{00000000-0005-0000-0000-00005D0C0000}"/>
    <cellStyle name="20% - Ênfase3 13 4" xfId="3318" xr:uid="{00000000-0005-0000-0000-00005E0C0000}"/>
    <cellStyle name="20% - Ênfase3 13 4 2" xfId="3319" xr:uid="{00000000-0005-0000-0000-00005F0C0000}"/>
    <cellStyle name="20% - Ênfase3 13 4 2 2" xfId="3320" xr:uid="{00000000-0005-0000-0000-0000600C0000}"/>
    <cellStyle name="20% - Ênfase3 13 4 3" xfId="3321" xr:uid="{00000000-0005-0000-0000-0000610C0000}"/>
    <cellStyle name="20% - Ênfase3 13 4 3 2" xfId="3322" xr:uid="{00000000-0005-0000-0000-0000620C0000}"/>
    <cellStyle name="20% - Ênfase3 13 4 4" xfId="3323" xr:uid="{00000000-0005-0000-0000-0000630C0000}"/>
    <cellStyle name="20% - Ênfase3 13 5" xfId="3324" xr:uid="{00000000-0005-0000-0000-0000640C0000}"/>
    <cellStyle name="20% - Ênfase3 13 5 2" xfId="3325" xr:uid="{00000000-0005-0000-0000-0000650C0000}"/>
    <cellStyle name="20% - Ênfase3 13 5 2 2" xfId="3326" xr:uid="{00000000-0005-0000-0000-0000660C0000}"/>
    <cellStyle name="20% - Ênfase3 13 5 3" xfId="3327" xr:uid="{00000000-0005-0000-0000-0000670C0000}"/>
    <cellStyle name="20% - Ênfase3 13 6" xfId="3328" xr:uid="{00000000-0005-0000-0000-0000680C0000}"/>
    <cellStyle name="20% - Ênfase3 13 6 2" xfId="3329" xr:uid="{00000000-0005-0000-0000-0000690C0000}"/>
    <cellStyle name="20% - Ênfase3 13 7" xfId="3330" xr:uid="{00000000-0005-0000-0000-00006A0C0000}"/>
    <cellStyle name="20% - Ênfase3 14" xfId="3331" xr:uid="{00000000-0005-0000-0000-00006B0C0000}"/>
    <cellStyle name="20% - Ênfase3 14 2" xfId="3332" xr:uid="{00000000-0005-0000-0000-00006C0C0000}"/>
    <cellStyle name="20% - Ênfase3 14 2 2" xfId="3333" xr:uid="{00000000-0005-0000-0000-00006D0C0000}"/>
    <cellStyle name="20% - Ênfase3 14 2 2 2" xfId="3334" xr:uid="{00000000-0005-0000-0000-00006E0C0000}"/>
    <cellStyle name="20% - Ênfase3 14 2 2 2 2" xfId="3335" xr:uid="{00000000-0005-0000-0000-00006F0C0000}"/>
    <cellStyle name="20% - Ênfase3 14 2 2 2 2 2" xfId="3336" xr:uid="{00000000-0005-0000-0000-0000700C0000}"/>
    <cellStyle name="20% - Ênfase3 14 2 2 2 3" xfId="3337" xr:uid="{00000000-0005-0000-0000-0000710C0000}"/>
    <cellStyle name="20% - Ênfase3 14 2 2 2 3 2" xfId="3338" xr:uid="{00000000-0005-0000-0000-0000720C0000}"/>
    <cellStyle name="20% - Ênfase3 14 2 2 2 4" xfId="3339" xr:uid="{00000000-0005-0000-0000-0000730C0000}"/>
    <cellStyle name="20% - Ênfase3 14 2 2 3" xfId="3340" xr:uid="{00000000-0005-0000-0000-0000740C0000}"/>
    <cellStyle name="20% - Ênfase3 14 2 2 3 2" xfId="3341" xr:uid="{00000000-0005-0000-0000-0000750C0000}"/>
    <cellStyle name="20% - Ênfase3 14 2 2 4" xfId="3342" xr:uid="{00000000-0005-0000-0000-0000760C0000}"/>
    <cellStyle name="20% - Ênfase3 14 2 2 4 2" xfId="3343" xr:uid="{00000000-0005-0000-0000-0000770C0000}"/>
    <cellStyle name="20% - Ênfase3 14 2 2 5" xfId="3344" xr:uid="{00000000-0005-0000-0000-0000780C0000}"/>
    <cellStyle name="20% - Ênfase3 14 2 3" xfId="3345" xr:uid="{00000000-0005-0000-0000-0000790C0000}"/>
    <cellStyle name="20% - Ênfase3 14 2 3 2" xfId="3346" xr:uid="{00000000-0005-0000-0000-00007A0C0000}"/>
    <cellStyle name="20% - Ênfase3 14 2 3 2 2" xfId="3347" xr:uid="{00000000-0005-0000-0000-00007B0C0000}"/>
    <cellStyle name="20% - Ênfase3 14 2 3 3" xfId="3348" xr:uid="{00000000-0005-0000-0000-00007C0C0000}"/>
    <cellStyle name="20% - Ênfase3 14 2 3 3 2" xfId="3349" xr:uid="{00000000-0005-0000-0000-00007D0C0000}"/>
    <cellStyle name="20% - Ênfase3 14 2 3 4" xfId="3350" xr:uid="{00000000-0005-0000-0000-00007E0C0000}"/>
    <cellStyle name="20% - Ênfase3 14 2 4" xfId="3351" xr:uid="{00000000-0005-0000-0000-00007F0C0000}"/>
    <cellStyle name="20% - Ênfase3 14 2 4 2" xfId="3352" xr:uid="{00000000-0005-0000-0000-0000800C0000}"/>
    <cellStyle name="20% - Ênfase3 14 2 4 2 2" xfId="3353" xr:uid="{00000000-0005-0000-0000-0000810C0000}"/>
    <cellStyle name="20% - Ênfase3 14 2 4 3" xfId="3354" xr:uid="{00000000-0005-0000-0000-0000820C0000}"/>
    <cellStyle name="20% - Ênfase3 14 2 5" xfId="3355" xr:uid="{00000000-0005-0000-0000-0000830C0000}"/>
    <cellStyle name="20% - Ênfase3 14 2 5 2" xfId="3356" xr:uid="{00000000-0005-0000-0000-0000840C0000}"/>
    <cellStyle name="20% - Ênfase3 14 2 6" xfId="3357" xr:uid="{00000000-0005-0000-0000-0000850C0000}"/>
    <cellStyle name="20% - Ênfase3 14 3" xfId="3358" xr:uid="{00000000-0005-0000-0000-0000860C0000}"/>
    <cellStyle name="20% - Ênfase3 14 3 2" xfId="3359" xr:uid="{00000000-0005-0000-0000-0000870C0000}"/>
    <cellStyle name="20% - Ênfase3 14 3 2 2" xfId="3360" xr:uid="{00000000-0005-0000-0000-0000880C0000}"/>
    <cellStyle name="20% - Ênfase3 14 3 2 2 2" xfId="3361" xr:uid="{00000000-0005-0000-0000-0000890C0000}"/>
    <cellStyle name="20% - Ênfase3 14 3 2 3" xfId="3362" xr:uid="{00000000-0005-0000-0000-00008A0C0000}"/>
    <cellStyle name="20% - Ênfase3 14 3 2 3 2" xfId="3363" xr:uid="{00000000-0005-0000-0000-00008B0C0000}"/>
    <cellStyle name="20% - Ênfase3 14 3 2 4" xfId="3364" xr:uid="{00000000-0005-0000-0000-00008C0C0000}"/>
    <cellStyle name="20% - Ênfase3 14 3 3" xfId="3365" xr:uid="{00000000-0005-0000-0000-00008D0C0000}"/>
    <cellStyle name="20% - Ênfase3 14 3 3 2" xfId="3366" xr:uid="{00000000-0005-0000-0000-00008E0C0000}"/>
    <cellStyle name="20% - Ênfase3 14 3 4" xfId="3367" xr:uid="{00000000-0005-0000-0000-00008F0C0000}"/>
    <cellStyle name="20% - Ênfase3 14 3 4 2" xfId="3368" xr:uid="{00000000-0005-0000-0000-0000900C0000}"/>
    <cellStyle name="20% - Ênfase3 14 3 5" xfId="3369" xr:uid="{00000000-0005-0000-0000-0000910C0000}"/>
    <cellStyle name="20% - Ênfase3 14 4" xfId="3370" xr:uid="{00000000-0005-0000-0000-0000920C0000}"/>
    <cellStyle name="20% - Ênfase3 14 4 2" xfId="3371" xr:uid="{00000000-0005-0000-0000-0000930C0000}"/>
    <cellStyle name="20% - Ênfase3 14 4 2 2" xfId="3372" xr:uid="{00000000-0005-0000-0000-0000940C0000}"/>
    <cellStyle name="20% - Ênfase3 14 4 3" xfId="3373" xr:uid="{00000000-0005-0000-0000-0000950C0000}"/>
    <cellStyle name="20% - Ênfase3 14 4 3 2" xfId="3374" xr:uid="{00000000-0005-0000-0000-0000960C0000}"/>
    <cellStyle name="20% - Ênfase3 14 4 4" xfId="3375" xr:uid="{00000000-0005-0000-0000-0000970C0000}"/>
    <cellStyle name="20% - Ênfase3 14 5" xfId="3376" xr:uid="{00000000-0005-0000-0000-0000980C0000}"/>
    <cellStyle name="20% - Ênfase3 14 5 2" xfId="3377" xr:uid="{00000000-0005-0000-0000-0000990C0000}"/>
    <cellStyle name="20% - Ênfase3 14 5 2 2" xfId="3378" xr:uid="{00000000-0005-0000-0000-00009A0C0000}"/>
    <cellStyle name="20% - Ênfase3 14 5 3" xfId="3379" xr:uid="{00000000-0005-0000-0000-00009B0C0000}"/>
    <cellStyle name="20% - Ênfase3 14 6" xfId="3380" xr:uid="{00000000-0005-0000-0000-00009C0C0000}"/>
    <cellStyle name="20% - Ênfase3 14 6 2" xfId="3381" xr:uid="{00000000-0005-0000-0000-00009D0C0000}"/>
    <cellStyle name="20% - Ênfase3 14 7" xfId="3382" xr:uid="{00000000-0005-0000-0000-00009E0C0000}"/>
    <cellStyle name="20% - Ênfase3 15" xfId="3383" xr:uid="{00000000-0005-0000-0000-00009F0C0000}"/>
    <cellStyle name="20% - Ênfase3 15 2" xfId="3384" xr:uid="{00000000-0005-0000-0000-0000A00C0000}"/>
    <cellStyle name="20% - Ênfase3 15 2 2" xfId="3385" xr:uid="{00000000-0005-0000-0000-0000A10C0000}"/>
    <cellStyle name="20% - Ênfase3 15 2 2 2" xfId="3386" xr:uid="{00000000-0005-0000-0000-0000A20C0000}"/>
    <cellStyle name="20% - Ênfase3 15 2 2 2 2" xfId="3387" xr:uid="{00000000-0005-0000-0000-0000A30C0000}"/>
    <cellStyle name="20% - Ênfase3 15 2 2 3" xfId="3388" xr:uid="{00000000-0005-0000-0000-0000A40C0000}"/>
    <cellStyle name="20% - Ênfase3 15 2 2 3 2" xfId="3389" xr:uid="{00000000-0005-0000-0000-0000A50C0000}"/>
    <cellStyle name="20% - Ênfase3 15 2 2 4" xfId="3390" xr:uid="{00000000-0005-0000-0000-0000A60C0000}"/>
    <cellStyle name="20% - Ênfase3 15 2 3" xfId="3391" xr:uid="{00000000-0005-0000-0000-0000A70C0000}"/>
    <cellStyle name="20% - Ênfase3 15 2 3 2" xfId="3392" xr:uid="{00000000-0005-0000-0000-0000A80C0000}"/>
    <cellStyle name="20% - Ênfase3 15 2 4" xfId="3393" xr:uid="{00000000-0005-0000-0000-0000A90C0000}"/>
    <cellStyle name="20% - Ênfase3 15 2 4 2" xfId="3394" xr:uid="{00000000-0005-0000-0000-0000AA0C0000}"/>
    <cellStyle name="20% - Ênfase3 15 2 5" xfId="3395" xr:uid="{00000000-0005-0000-0000-0000AB0C0000}"/>
    <cellStyle name="20% - Ênfase3 15 3" xfId="3396" xr:uid="{00000000-0005-0000-0000-0000AC0C0000}"/>
    <cellStyle name="20% - Ênfase3 15 3 2" xfId="3397" xr:uid="{00000000-0005-0000-0000-0000AD0C0000}"/>
    <cellStyle name="20% - Ênfase3 15 3 2 2" xfId="3398" xr:uid="{00000000-0005-0000-0000-0000AE0C0000}"/>
    <cellStyle name="20% - Ênfase3 15 3 3" xfId="3399" xr:uid="{00000000-0005-0000-0000-0000AF0C0000}"/>
    <cellStyle name="20% - Ênfase3 15 3 3 2" xfId="3400" xr:uid="{00000000-0005-0000-0000-0000B00C0000}"/>
    <cellStyle name="20% - Ênfase3 15 3 4" xfId="3401" xr:uid="{00000000-0005-0000-0000-0000B10C0000}"/>
    <cellStyle name="20% - Ênfase3 15 4" xfId="3402" xr:uid="{00000000-0005-0000-0000-0000B20C0000}"/>
    <cellStyle name="20% - Ênfase3 15 4 2" xfId="3403" xr:uid="{00000000-0005-0000-0000-0000B30C0000}"/>
    <cellStyle name="20% - Ênfase3 15 4 2 2" xfId="3404" xr:uid="{00000000-0005-0000-0000-0000B40C0000}"/>
    <cellStyle name="20% - Ênfase3 15 4 3" xfId="3405" xr:uid="{00000000-0005-0000-0000-0000B50C0000}"/>
    <cellStyle name="20% - Ênfase3 15 5" xfId="3406" xr:uid="{00000000-0005-0000-0000-0000B60C0000}"/>
    <cellStyle name="20% - Ênfase3 15 5 2" xfId="3407" xr:uid="{00000000-0005-0000-0000-0000B70C0000}"/>
    <cellStyle name="20% - Ênfase3 15 6" xfId="3408" xr:uid="{00000000-0005-0000-0000-0000B80C0000}"/>
    <cellStyle name="20% - Ênfase3 16" xfId="3409" xr:uid="{00000000-0005-0000-0000-0000B90C0000}"/>
    <cellStyle name="20% - Ênfase3 16 2" xfId="3410" xr:uid="{00000000-0005-0000-0000-0000BA0C0000}"/>
    <cellStyle name="20% - Ênfase3 16 2 2" xfId="3411" xr:uid="{00000000-0005-0000-0000-0000BB0C0000}"/>
    <cellStyle name="20% - Ênfase3 16 2 2 2" xfId="3412" xr:uid="{00000000-0005-0000-0000-0000BC0C0000}"/>
    <cellStyle name="20% - Ênfase3 16 2 3" xfId="3413" xr:uid="{00000000-0005-0000-0000-0000BD0C0000}"/>
    <cellStyle name="20% - Ênfase3 16 2 3 2" xfId="3414" xr:uid="{00000000-0005-0000-0000-0000BE0C0000}"/>
    <cellStyle name="20% - Ênfase3 16 2 4" xfId="3415" xr:uid="{00000000-0005-0000-0000-0000BF0C0000}"/>
    <cellStyle name="20% - Ênfase3 16 3" xfId="3416" xr:uid="{00000000-0005-0000-0000-0000C00C0000}"/>
    <cellStyle name="20% - Ênfase3 16 3 2" xfId="3417" xr:uid="{00000000-0005-0000-0000-0000C10C0000}"/>
    <cellStyle name="20% - Ênfase3 16 3 2 2" xfId="3418" xr:uid="{00000000-0005-0000-0000-0000C20C0000}"/>
    <cellStyle name="20% - Ênfase3 16 3 3" xfId="3419" xr:uid="{00000000-0005-0000-0000-0000C30C0000}"/>
    <cellStyle name="20% - Ênfase3 16 3 3 2" xfId="3420" xr:uid="{00000000-0005-0000-0000-0000C40C0000}"/>
    <cellStyle name="20% - Ênfase3 16 3 4" xfId="3421" xr:uid="{00000000-0005-0000-0000-0000C50C0000}"/>
    <cellStyle name="20% - Ênfase3 16 4" xfId="3422" xr:uid="{00000000-0005-0000-0000-0000C60C0000}"/>
    <cellStyle name="20% - Ênfase3 16 4 2" xfId="3423" xr:uid="{00000000-0005-0000-0000-0000C70C0000}"/>
    <cellStyle name="20% - Ênfase3 16 5" xfId="3424" xr:uid="{00000000-0005-0000-0000-0000C80C0000}"/>
    <cellStyle name="20% - Ênfase3 16 5 2" xfId="3425" xr:uid="{00000000-0005-0000-0000-0000C90C0000}"/>
    <cellStyle name="20% - Ênfase3 16 6" xfId="3426" xr:uid="{00000000-0005-0000-0000-0000CA0C0000}"/>
    <cellStyle name="20% - Ênfase3 17" xfId="3427" xr:uid="{00000000-0005-0000-0000-0000CB0C0000}"/>
    <cellStyle name="20% - Ênfase3 17 2" xfId="3428" xr:uid="{00000000-0005-0000-0000-0000CC0C0000}"/>
    <cellStyle name="20% - Ênfase3 17 2 2" xfId="3429" xr:uid="{00000000-0005-0000-0000-0000CD0C0000}"/>
    <cellStyle name="20% - Ênfase3 17 2 2 2" xfId="3430" xr:uid="{00000000-0005-0000-0000-0000CE0C0000}"/>
    <cellStyle name="20% - Ênfase3 17 2 3" xfId="3431" xr:uid="{00000000-0005-0000-0000-0000CF0C0000}"/>
    <cellStyle name="20% - Ênfase3 17 2 3 2" xfId="3432" xr:uid="{00000000-0005-0000-0000-0000D00C0000}"/>
    <cellStyle name="20% - Ênfase3 17 2 4" xfId="3433" xr:uid="{00000000-0005-0000-0000-0000D10C0000}"/>
    <cellStyle name="20% - Ênfase3 17 3" xfId="3434" xr:uid="{00000000-0005-0000-0000-0000D20C0000}"/>
    <cellStyle name="20% - Ênfase3 17 3 2" xfId="3435" xr:uid="{00000000-0005-0000-0000-0000D30C0000}"/>
    <cellStyle name="20% - Ênfase3 17 3 2 2" xfId="3436" xr:uid="{00000000-0005-0000-0000-0000D40C0000}"/>
    <cellStyle name="20% - Ênfase3 17 3 3" xfId="3437" xr:uid="{00000000-0005-0000-0000-0000D50C0000}"/>
    <cellStyle name="20% - Ênfase3 17 3 3 2" xfId="3438" xr:uid="{00000000-0005-0000-0000-0000D60C0000}"/>
    <cellStyle name="20% - Ênfase3 17 3 4" xfId="3439" xr:uid="{00000000-0005-0000-0000-0000D70C0000}"/>
    <cellStyle name="20% - Ênfase3 17 4" xfId="3440" xr:uid="{00000000-0005-0000-0000-0000D80C0000}"/>
    <cellStyle name="20% - Ênfase3 17 4 2" xfId="3441" xr:uid="{00000000-0005-0000-0000-0000D90C0000}"/>
    <cellStyle name="20% - Ênfase3 17 5" xfId="3442" xr:uid="{00000000-0005-0000-0000-0000DA0C0000}"/>
    <cellStyle name="20% - Ênfase3 17 5 2" xfId="3443" xr:uid="{00000000-0005-0000-0000-0000DB0C0000}"/>
    <cellStyle name="20% - Ênfase3 17 6" xfId="3444" xr:uid="{00000000-0005-0000-0000-0000DC0C0000}"/>
    <cellStyle name="20% - Ênfase3 18" xfId="3445" xr:uid="{00000000-0005-0000-0000-0000DD0C0000}"/>
    <cellStyle name="20% - Ênfase3 18 2" xfId="3446" xr:uid="{00000000-0005-0000-0000-0000DE0C0000}"/>
    <cellStyle name="20% - Ênfase3 18 2 2" xfId="3447" xr:uid="{00000000-0005-0000-0000-0000DF0C0000}"/>
    <cellStyle name="20% - Ênfase3 18 3" xfId="3448" xr:uid="{00000000-0005-0000-0000-0000E00C0000}"/>
    <cellStyle name="20% - Ênfase3 18 3 2" xfId="3449" xr:uid="{00000000-0005-0000-0000-0000E10C0000}"/>
    <cellStyle name="20% - Ênfase3 18 4" xfId="3450" xr:uid="{00000000-0005-0000-0000-0000E20C0000}"/>
    <cellStyle name="20% - Ênfase3 19" xfId="3451" xr:uid="{00000000-0005-0000-0000-0000E30C0000}"/>
    <cellStyle name="20% - Ênfase3 19 2" xfId="3452" xr:uid="{00000000-0005-0000-0000-0000E40C0000}"/>
    <cellStyle name="20% - Ênfase3 19 2 2" xfId="3453" xr:uid="{00000000-0005-0000-0000-0000E50C0000}"/>
    <cellStyle name="20% - Ênfase3 19 3" xfId="3454" xr:uid="{00000000-0005-0000-0000-0000E60C0000}"/>
    <cellStyle name="20% - Ênfase3 2" xfId="3455" xr:uid="{00000000-0005-0000-0000-0000E70C0000}"/>
    <cellStyle name="20% - Ênfase3 2 10" xfId="3456" xr:uid="{00000000-0005-0000-0000-0000E80C0000}"/>
    <cellStyle name="20% - Ênfase3 2 10 2" xfId="3457" xr:uid="{00000000-0005-0000-0000-0000E90C0000}"/>
    <cellStyle name="20% - Ênfase3 2 10 2 2" xfId="3458" xr:uid="{00000000-0005-0000-0000-0000EA0C0000}"/>
    <cellStyle name="20% - Ênfase3 2 10 3" xfId="3459" xr:uid="{00000000-0005-0000-0000-0000EB0C0000}"/>
    <cellStyle name="20% - Ênfase3 2 10 3 2" xfId="3460" xr:uid="{00000000-0005-0000-0000-0000EC0C0000}"/>
    <cellStyle name="20% - Ênfase3 2 10 4" xfId="3461" xr:uid="{00000000-0005-0000-0000-0000ED0C0000}"/>
    <cellStyle name="20% - Ênfase3 2 11" xfId="3462" xr:uid="{00000000-0005-0000-0000-0000EE0C0000}"/>
    <cellStyle name="20% - Ênfase3 2 11 2" xfId="3463" xr:uid="{00000000-0005-0000-0000-0000EF0C0000}"/>
    <cellStyle name="20% - Ênfase3 2 11 2 2" xfId="3464" xr:uid="{00000000-0005-0000-0000-0000F00C0000}"/>
    <cellStyle name="20% - Ênfase3 2 11 3" xfId="3465" xr:uid="{00000000-0005-0000-0000-0000F10C0000}"/>
    <cellStyle name="20% - Ênfase3 2 12" xfId="3466" xr:uid="{00000000-0005-0000-0000-0000F20C0000}"/>
    <cellStyle name="20% - Ênfase3 2 12 2" xfId="3467" xr:uid="{00000000-0005-0000-0000-0000F30C0000}"/>
    <cellStyle name="20% - Ênfase3 2 12 2 2" xfId="3468" xr:uid="{00000000-0005-0000-0000-0000F40C0000}"/>
    <cellStyle name="20% - Ênfase3 2 12 3" xfId="3469" xr:uid="{00000000-0005-0000-0000-0000F50C0000}"/>
    <cellStyle name="20% - Ênfase3 2 13" xfId="3470" xr:uid="{00000000-0005-0000-0000-0000F60C0000}"/>
    <cellStyle name="20% - Ênfase3 2 13 2" xfId="3471" xr:uid="{00000000-0005-0000-0000-0000F70C0000}"/>
    <cellStyle name="20% - Ênfase3 2 13 2 2" xfId="3472" xr:uid="{00000000-0005-0000-0000-0000F80C0000}"/>
    <cellStyle name="20% - Ênfase3 2 13 3" xfId="3473" xr:uid="{00000000-0005-0000-0000-0000F90C0000}"/>
    <cellStyle name="20% - Ênfase3 2 14" xfId="3474" xr:uid="{00000000-0005-0000-0000-0000FA0C0000}"/>
    <cellStyle name="20% - Ênfase3 2 14 2" xfId="3475" xr:uid="{00000000-0005-0000-0000-0000FB0C0000}"/>
    <cellStyle name="20% - Ênfase3 2 14 2 2" xfId="3476" xr:uid="{00000000-0005-0000-0000-0000FC0C0000}"/>
    <cellStyle name="20% - Ênfase3 2 14 3" xfId="3477" xr:uid="{00000000-0005-0000-0000-0000FD0C0000}"/>
    <cellStyle name="20% - Ênfase3 2 15" xfId="3478" xr:uid="{00000000-0005-0000-0000-0000FE0C0000}"/>
    <cellStyle name="20% - Ênfase3 2 15 2" xfId="3479" xr:uid="{00000000-0005-0000-0000-0000FF0C0000}"/>
    <cellStyle name="20% - Ênfase3 2 16" xfId="3480" xr:uid="{00000000-0005-0000-0000-0000000D0000}"/>
    <cellStyle name="20% - Ênfase3 2 2" xfId="3481" xr:uid="{00000000-0005-0000-0000-0000010D0000}"/>
    <cellStyle name="20% - Ênfase3 2 2 10" xfId="3482" xr:uid="{00000000-0005-0000-0000-0000020D0000}"/>
    <cellStyle name="20% - Ênfase3 2 2 10 2" xfId="3483" xr:uid="{00000000-0005-0000-0000-0000030D0000}"/>
    <cellStyle name="20% - Ênfase3 2 2 11" xfId="3484" xr:uid="{00000000-0005-0000-0000-0000040D0000}"/>
    <cellStyle name="20% - Ênfase3 2 2 2" xfId="3485" xr:uid="{00000000-0005-0000-0000-0000050D0000}"/>
    <cellStyle name="20% - Ênfase3 2 2 2 2" xfId="3486" xr:uid="{00000000-0005-0000-0000-0000060D0000}"/>
    <cellStyle name="20% - Ênfase3 2 2 2 2 2" xfId="3487" xr:uid="{00000000-0005-0000-0000-0000070D0000}"/>
    <cellStyle name="20% - Ênfase3 2 2 2 2 2 2" xfId="3488" xr:uid="{00000000-0005-0000-0000-0000080D0000}"/>
    <cellStyle name="20% - Ênfase3 2 2 2 2 2 2 2" xfId="3489" xr:uid="{00000000-0005-0000-0000-0000090D0000}"/>
    <cellStyle name="20% - Ênfase3 2 2 2 2 2 3" xfId="3490" xr:uid="{00000000-0005-0000-0000-00000A0D0000}"/>
    <cellStyle name="20% - Ênfase3 2 2 2 2 2 3 2" xfId="3491" xr:uid="{00000000-0005-0000-0000-00000B0D0000}"/>
    <cellStyle name="20% - Ênfase3 2 2 2 2 2 4" xfId="3492" xr:uid="{00000000-0005-0000-0000-00000C0D0000}"/>
    <cellStyle name="20% - Ênfase3 2 2 2 2 3" xfId="3493" xr:uid="{00000000-0005-0000-0000-00000D0D0000}"/>
    <cellStyle name="20% - Ênfase3 2 2 2 2 3 2" xfId="3494" xr:uid="{00000000-0005-0000-0000-00000E0D0000}"/>
    <cellStyle name="20% - Ênfase3 2 2 2 2 3 2 2" xfId="3495" xr:uid="{00000000-0005-0000-0000-00000F0D0000}"/>
    <cellStyle name="20% - Ênfase3 2 2 2 2 3 3" xfId="3496" xr:uid="{00000000-0005-0000-0000-0000100D0000}"/>
    <cellStyle name="20% - Ênfase3 2 2 2 2 3 3 2" xfId="3497" xr:uid="{00000000-0005-0000-0000-0000110D0000}"/>
    <cellStyle name="20% - Ênfase3 2 2 2 2 3 4" xfId="3498" xr:uid="{00000000-0005-0000-0000-0000120D0000}"/>
    <cellStyle name="20% - Ênfase3 2 2 2 2 4" xfId="3499" xr:uid="{00000000-0005-0000-0000-0000130D0000}"/>
    <cellStyle name="20% - Ênfase3 2 2 2 2 4 2" xfId="3500" xr:uid="{00000000-0005-0000-0000-0000140D0000}"/>
    <cellStyle name="20% - Ênfase3 2 2 2 2 5" xfId="3501" xr:uid="{00000000-0005-0000-0000-0000150D0000}"/>
    <cellStyle name="20% - Ênfase3 2 2 2 2 5 2" xfId="3502" xr:uid="{00000000-0005-0000-0000-0000160D0000}"/>
    <cellStyle name="20% - Ênfase3 2 2 2 2 6" xfId="3503" xr:uid="{00000000-0005-0000-0000-0000170D0000}"/>
    <cellStyle name="20% - Ênfase3 2 2 2 3" xfId="3504" xr:uid="{00000000-0005-0000-0000-0000180D0000}"/>
    <cellStyle name="20% - Ênfase3 2 2 2 3 2" xfId="3505" xr:uid="{00000000-0005-0000-0000-0000190D0000}"/>
    <cellStyle name="20% - Ênfase3 2 2 2 3 2 2" xfId="3506" xr:uid="{00000000-0005-0000-0000-00001A0D0000}"/>
    <cellStyle name="20% - Ênfase3 2 2 2 3 3" xfId="3507" xr:uid="{00000000-0005-0000-0000-00001B0D0000}"/>
    <cellStyle name="20% - Ênfase3 2 2 2 3 3 2" xfId="3508" xr:uid="{00000000-0005-0000-0000-00001C0D0000}"/>
    <cellStyle name="20% - Ênfase3 2 2 2 3 4" xfId="3509" xr:uid="{00000000-0005-0000-0000-00001D0D0000}"/>
    <cellStyle name="20% - Ênfase3 2 2 2 4" xfId="3510" xr:uid="{00000000-0005-0000-0000-00001E0D0000}"/>
    <cellStyle name="20% - Ênfase3 2 2 2 4 2" xfId="3511" xr:uid="{00000000-0005-0000-0000-00001F0D0000}"/>
    <cellStyle name="20% - Ênfase3 2 2 2 4 2 2" xfId="3512" xr:uid="{00000000-0005-0000-0000-0000200D0000}"/>
    <cellStyle name="20% - Ênfase3 2 2 2 4 3" xfId="3513" xr:uid="{00000000-0005-0000-0000-0000210D0000}"/>
    <cellStyle name="20% - Ênfase3 2 2 2 5" xfId="3514" xr:uid="{00000000-0005-0000-0000-0000220D0000}"/>
    <cellStyle name="20% - Ênfase3 2 2 2 5 2" xfId="3515" xr:uid="{00000000-0005-0000-0000-0000230D0000}"/>
    <cellStyle name="20% - Ênfase3 2 2 2 5 2 2" xfId="3516" xr:uid="{00000000-0005-0000-0000-0000240D0000}"/>
    <cellStyle name="20% - Ênfase3 2 2 2 5 3" xfId="3517" xr:uid="{00000000-0005-0000-0000-0000250D0000}"/>
    <cellStyle name="20% - Ênfase3 2 2 2 6" xfId="3518" xr:uid="{00000000-0005-0000-0000-0000260D0000}"/>
    <cellStyle name="20% - Ênfase3 2 2 2 6 2" xfId="3519" xr:uid="{00000000-0005-0000-0000-0000270D0000}"/>
    <cellStyle name="20% - Ênfase3 2 2 2 6 2 2" xfId="3520" xr:uid="{00000000-0005-0000-0000-0000280D0000}"/>
    <cellStyle name="20% - Ênfase3 2 2 2 6 3" xfId="3521" xr:uid="{00000000-0005-0000-0000-0000290D0000}"/>
    <cellStyle name="20% - Ênfase3 2 2 2 7" xfId="3522" xr:uid="{00000000-0005-0000-0000-00002A0D0000}"/>
    <cellStyle name="20% - Ênfase3 2 2 2 7 2" xfId="3523" xr:uid="{00000000-0005-0000-0000-00002B0D0000}"/>
    <cellStyle name="20% - Ênfase3 2 2 2 7 2 2" xfId="3524" xr:uid="{00000000-0005-0000-0000-00002C0D0000}"/>
    <cellStyle name="20% - Ênfase3 2 2 2 7 3" xfId="3525" xr:uid="{00000000-0005-0000-0000-00002D0D0000}"/>
    <cellStyle name="20% - Ênfase3 2 2 2 8" xfId="3526" xr:uid="{00000000-0005-0000-0000-00002E0D0000}"/>
    <cellStyle name="20% - Ênfase3 2 2 2 8 2" xfId="3527" xr:uid="{00000000-0005-0000-0000-00002F0D0000}"/>
    <cellStyle name="20% - Ênfase3 2 2 2 9" xfId="3528" xr:uid="{00000000-0005-0000-0000-0000300D0000}"/>
    <cellStyle name="20% - Ênfase3 2 2 3" xfId="3529" xr:uid="{00000000-0005-0000-0000-0000310D0000}"/>
    <cellStyle name="20% - Ênfase3 2 2 3 2" xfId="3530" xr:uid="{00000000-0005-0000-0000-0000320D0000}"/>
    <cellStyle name="20% - Ênfase3 2 2 3 2 2" xfId="3531" xr:uid="{00000000-0005-0000-0000-0000330D0000}"/>
    <cellStyle name="20% - Ênfase3 2 2 3 2 2 2" xfId="3532" xr:uid="{00000000-0005-0000-0000-0000340D0000}"/>
    <cellStyle name="20% - Ênfase3 2 2 3 2 3" xfId="3533" xr:uid="{00000000-0005-0000-0000-0000350D0000}"/>
    <cellStyle name="20% - Ênfase3 2 2 3 2 3 2" xfId="3534" xr:uid="{00000000-0005-0000-0000-0000360D0000}"/>
    <cellStyle name="20% - Ênfase3 2 2 3 2 4" xfId="3535" xr:uid="{00000000-0005-0000-0000-0000370D0000}"/>
    <cellStyle name="20% - Ênfase3 2 2 3 3" xfId="3536" xr:uid="{00000000-0005-0000-0000-0000380D0000}"/>
    <cellStyle name="20% - Ênfase3 2 2 3 3 2" xfId="3537" xr:uid="{00000000-0005-0000-0000-0000390D0000}"/>
    <cellStyle name="20% - Ênfase3 2 2 3 3 2 2" xfId="3538" xr:uid="{00000000-0005-0000-0000-00003A0D0000}"/>
    <cellStyle name="20% - Ênfase3 2 2 3 3 3" xfId="3539" xr:uid="{00000000-0005-0000-0000-00003B0D0000}"/>
    <cellStyle name="20% - Ênfase3 2 2 3 3 3 2" xfId="3540" xr:uid="{00000000-0005-0000-0000-00003C0D0000}"/>
    <cellStyle name="20% - Ênfase3 2 2 3 3 4" xfId="3541" xr:uid="{00000000-0005-0000-0000-00003D0D0000}"/>
    <cellStyle name="20% - Ênfase3 2 2 3 4" xfId="3542" xr:uid="{00000000-0005-0000-0000-00003E0D0000}"/>
    <cellStyle name="20% - Ênfase3 2 2 3 4 2" xfId="3543" xr:uid="{00000000-0005-0000-0000-00003F0D0000}"/>
    <cellStyle name="20% - Ênfase3 2 2 3 5" xfId="3544" xr:uid="{00000000-0005-0000-0000-0000400D0000}"/>
    <cellStyle name="20% - Ênfase3 2 2 3 5 2" xfId="3545" xr:uid="{00000000-0005-0000-0000-0000410D0000}"/>
    <cellStyle name="20% - Ênfase3 2 2 3 6" xfId="3546" xr:uid="{00000000-0005-0000-0000-0000420D0000}"/>
    <cellStyle name="20% - Ênfase3 2 2 4" xfId="3547" xr:uid="{00000000-0005-0000-0000-0000430D0000}"/>
    <cellStyle name="20% - Ênfase3 2 2 4 2" xfId="3548" xr:uid="{00000000-0005-0000-0000-0000440D0000}"/>
    <cellStyle name="20% - Ênfase3 2 2 4 2 2" xfId="3549" xr:uid="{00000000-0005-0000-0000-0000450D0000}"/>
    <cellStyle name="20% - Ênfase3 2 2 4 2 2 2" xfId="3550" xr:uid="{00000000-0005-0000-0000-0000460D0000}"/>
    <cellStyle name="20% - Ênfase3 2 2 4 2 3" xfId="3551" xr:uid="{00000000-0005-0000-0000-0000470D0000}"/>
    <cellStyle name="20% - Ênfase3 2 2 4 2 3 2" xfId="3552" xr:uid="{00000000-0005-0000-0000-0000480D0000}"/>
    <cellStyle name="20% - Ênfase3 2 2 4 2 4" xfId="3553" xr:uid="{00000000-0005-0000-0000-0000490D0000}"/>
    <cellStyle name="20% - Ênfase3 2 2 4 3" xfId="3554" xr:uid="{00000000-0005-0000-0000-00004A0D0000}"/>
    <cellStyle name="20% - Ênfase3 2 2 4 3 2" xfId="3555" xr:uid="{00000000-0005-0000-0000-00004B0D0000}"/>
    <cellStyle name="20% - Ênfase3 2 2 4 3 2 2" xfId="3556" xr:uid="{00000000-0005-0000-0000-00004C0D0000}"/>
    <cellStyle name="20% - Ênfase3 2 2 4 3 3" xfId="3557" xr:uid="{00000000-0005-0000-0000-00004D0D0000}"/>
    <cellStyle name="20% - Ênfase3 2 2 4 3 3 2" xfId="3558" xr:uid="{00000000-0005-0000-0000-00004E0D0000}"/>
    <cellStyle name="20% - Ênfase3 2 2 4 3 4" xfId="3559" xr:uid="{00000000-0005-0000-0000-00004F0D0000}"/>
    <cellStyle name="20% - Ênfase3 2 2 4 4" xfId="3560" xr:uid="{00000000-0005-0000-0000-0000500D0000}"/>
    <cellStyle name="20% - Ênfase3 2 2 4 4 2" xfId="3561" xr:uid="{00000000-0005-0000-0000-0000510D0000}"/>
    <cellStyle name="20% - Ênfase3 2 2 4 5" xfId="3562" xr:uid="{00000000-0005-0000-0000-0000520D0000}"/>
    <cellStyle name="20% - Ênfase3 2 2 4 5 2" xfId="3563" xr:uid="{00000000-0005-0000-0000-0000530D0000}"/>
    <cellStyle name="20% - Ênfase3 2 2 4 6" xfId="3564" xr:uid="{00000000-0005-0000-0000-0000540D0000}"/>
    <cellStyle name="20% - Ênfase3 2 2 5" xfId="3565" xr:uid="{00000000-0005-0000-0000-0000550D0000}"/>
    <cellStyle name="20% - Ênfase3 2 2 5 2" xfId="3566" xr:uid="{00000000-0005-0000-0000-0000560D0000}"/>
    <cellStyle name="20% - Ênfase3 2 2 5 2 2" xfId="3567" xr:uid="{00000000-0005-0000-0000-0000570D0000}"/>
    <cellStyle name="20% - Ênfase3 2 2 5 3" xfId="3568" xr:uid="{00000000-0005-0000-0000-0000580D0000}"/>
    <cellStyle name="20% - Ênfase3 2 2 5 3 2" xfId="3569" xr:uid="{00000000-0005-0000-0000-0000590D0000}"/>
    <cellStyle name="20% - Ênfase3 2 2 5 4" xfId="3570" xr:uid="{00000000-0005-0000-0000-00005A0D0000}"/>
    <cellStyle name="20% - Ênfase3 2 2 6" xfId="3571" xr:uid="{00000000-0005-0000-0000-00005B0D0000}"/>
    <cellStyle name="20% - Ênfase3 2 2 6 2" xfId="3572" xr:uid="{00000000-0005-0000-0000-00005C0D0000}"/>
    <cellStyle name="20% - Ênfase3 2 2 6 2 2" xfId="3573" xr:uid="{00000000-0005-0000-0000-00005D0D0000}"/>
    <cellStyle name="20% - Ênfase3 2 2 6 3" xfId="3574" xr:uid="{00000000-0005-0000-0000-00005E0D0000}"/>
    <cellStyle name="20% - Ênfase3 2 2 7" xfId="3575" xr:uid="{00000000-0005-0000-0000-00005F0D0000}"/>
    <cellStyle name="20% - Ênfase3 2 2 7 2" xfId="3576" xr:uid="{00000000-0005-0000-0000-0000600D0000}"/>
    <cellStyle name="20% - Ênfase3 2 2 7 2 2" xfId="3577" xr:uid="{00000000-0005-0000-0000-0000610D0000}"/>
    <cellStyle name="20% - Ênfase3 2 2 7 3" xfId="3578" xr:uid="{00000000-0005-0000-0000-0000620D0000}"/>
    <cellStyle name="20% - Ênfase3 2 2 8" xfId="3579" xr:uid="{00000000-0005-0000-0000-0000630D0000}"/>
    <cellStyle name="20% - Ênfase3 2 2 8 2" xfId="3580" xr:uid="{00000000-0005-0000-0000-0000640D0000}"/>
    <cellStyle name="20% - Ênfase3 2 2 8 2 2" xfId="3581" xr:uid="{00000000-0005-0000-0000-0000650D0000}"/>
    <cellStyle name="20% - Ênfase3 2 2 8 3" xfId="3582" xr:uid="{00000000-0005-0000-0000-0000660D0000}"/>
    <cellStyle name="20% - Ênfase3 2 2 9" xfId="3583" xr:uid="{00000000-0005-0000-0000-0000670D0000}"/>
    <cellStyle name="20% - Ênfase3 2 2 9 2" xfId="3584" xr:uid="{00000000-0005-0000-0000-0000680D0000}"/>
    <cellStyle name="20% - Ênfase3 2 2 9 2 2" xfId="3585" xr:uid="{00000000-0005-0000-0000-0000690D0000}"/>
    <cellStyle name="20% - Ênfase3 2 2 9 3" xfId="3586" xr:uid="{00000000-0005-0000-0000-00006A0D0000}"/>
    <cellStyle name="20% - Ênfase3 2 3" xfId="3587" xr:uid="{00000000-0005-0000-0000-00006B0D0000}"/>
    <cellStyle name="20% - Ênfase3 2 3 10" xfId="3588" xr:uid="{00000000-0005-0000-0000-00006C0D0000}"/>
    <cellStyle name="20% - Ênfase3 2 3 10 2" xfId="3589" xr:uid="{00000000-0005-0000-0000-00006D0D0000}"/>
    <cellStyle name="20% - Ênfase3 2 3 11" xfId="3590" xr:uid="{00000000-0005-0000-0000-00006E0D0000}"/>
    <cellStyle name="20% - Ênfase3 2 3 2" xfId="3591" xr:uid="{00000000-0005-0000-0000-00006F0D0000}"/>
    <cellStyle name="20% - Ênfase3 2 3 2 2" xfId="3592" xr:uid="{00000000-0005-0000-0000-0000700D0000}"/>
    <cellStyle name="20% - Ênfase3 2 3 2 2 2" xfId="3593" xr:uid="{00000000-0005-0000-0000-0000710D0000}"/>
    <cellStyle name="20% - Ênfase3 2 3 2 2 2 2" xfId="3594" xr:uid="{00000000-0005-0000-0000-0000720D0000}"/>
    <cellStyle name="20% - Ênfase3 2 3 2 2 2 2 2" xfId="3595" xr:uid="{00000000-0005-0000-0000-0000730D0000}"/>
    <cellStyle name="20% - Ênfase3 2 3 2 2 2 3" xfId="3596" xr:uid="{00000000-0005-0000-0000-0000740D0000}"/>
    <cellStyle name="20% - Ênfase3 2 3 2 2 2 3 2" xfId="3597" xr:uid="{00000000-0005-0000-0000-0000750D0000}"/>
    <cellStyle name="20% - Ênfase3 2 3 2 2 2 4" xfId="3598" xr:uid="{00000000-0005-0000-0000-0000760D0000}"/>
    <cellStyle name="20% - Ênfase3 2 3 2 2 3" xfId="3599" xr:uid="{00000000-0005-0000-0000-0000770D0000}"/>
    <cellStyle name="20% - Ênfase3 2 3 2 2 3 2" xfId="3600" xr:uid="{00000000-0005-0000-0000-0000780D0000}"/>
    <cellStyle name="20% - Ênfase3 2 3 2 2 3 2 2" xfId="3601" xr:uid="{00000000-0005-0000-0000-0000790D0000}"/>
    <cellStyle name="20% - Ênfase3 2 3 2 2 3 3" xfId="3602" xr:uid="{00000000-0005-0000-0000-00007A0D0000}"/>
    <cellStyle name="20% - Ênfase3 2 3 2 2 3 3 2" xfId="3603" xr:uid="{00000000-0005-0000-0000-00007B0D0000}"/>
    <cellStyle name="20% - Ênfase3 2 3 2 2 3 4" xfId="3604" xr:uid="{00000000-0005-0000-0000-00007C0D0000}"/>
    <cellStyle name="20% - Ênfase3 2 3 2 2 4" xfId="3605" xr:uid="{00000000-0005-0000-0000-00007D0D0000}"/>
    <cellStyle name="20% - Ênfase3 2 3 2 2 4 2" xfId="3606" xr:uid="{00000000-0005-0000-0000-00007E0D0000}"/>
    <cellStyle name="20% - Ênfase3 2 3 2 2 5" xfId="3607" xr:uid="{00000000-0005-0000-0000-00007F0D0000}"/>
    <cellStyle name="20% - Ênfase3 2 3 2 2 5 2" xfId="3608" xr:uid="{00000000-0005-0000-0000-0000800D0000}"/>
    <cellStyle name="20% - Ênfase3 2 3 2 2 6" xfId="3609" xr:uid="{00000000-0005-0000-0000-0000810D0000}"/>
    <cellStyle name="20% - Ênfase3 2 3 2 3" xfId="3610" xr:uid="{00000000-0005-0000-0000-0000820D0000}"/>
    <cellStyle name="20% - Ênfase3 2 3 2 3 2" xfId="3611" xr:uid="{00000000-0005-0000-0000-0000830D0000}"/>
    <cellStyle name="20% - Ênfase3 2 3 2 3 2 2" xfId="3612" xr:uid="{00000000-0005-0000-0000-0000840D0000}"/>
    <cellStyle name="20% - Ênfase3 2 3 2 3 3" xfId="3613" xr:uid="{00000000-0005-0000-0000-0000850D0000}"/>
    <cellStyle name="20% - Ênfase3 2 3 2 3 3 2" xfId="3614" xr:uid="{00000000-0005-0000-0000-0000860D0000}"/>
    <cellStyle name="20% - Ênfase3 2 3 2 3 4" xfId="3615" xr:uid="{00000000-0005-0000-0000-0000870D0000}"/>
    <cellStyle name="20% - Ênfase3 2 3 2 4" xfId="3616" xr:uid="{00000000-0005-0000-0000-0000880D0000}"/>
    <cellStyle name="20% - Ênfase3 2 3 2 4 2" xfId="3617" xr:uid="{00000000-0005-0000-0000-0000890D0000}"/>
    <cellStyle name="20% - Ênfase3 2 3 2 4 2 2" xfId="3618" xr:uid="{00000000-0005-0000-0000-00008A0D0000}"/>
    <cellStyle name="20% - Ênfase3 2 3 2 4 3" xfId="3619" xr:uid="{00000000-0005-0000-0000-00008B0D0000}"/>
    <cellStyle name="20% - Ênfase3 2 3 2 5" xfId="3620" xr:uid="{00000000-0005-0000-0000-00008C0D0000}"/>
    <cellStyle name="20% - Ênfase3 2 3 2 5 2" xfId="3621" xr:uid="{00000000-0005-0000-0000-00008D0D0000}"/>
    <cellStyle name="20% - Ênfase3 2 3 2 5 2 2" xfId="3622" xr:uid="{00000000-0005-0000-0000-00008E0D0000}"/>
    <cellStyle name="20% - Ênfase3 2 3 2 5 3" xfId="3623" xr:uid="{00000000-0005-0000-0000-00008F0D0000}"/>
    <cellStyle name="20% - Ênfase3 2 3 2 6" xfId="3624" xr:uid="{00000000-0005-0000-0000-0000900D0000}"/>
    <cellStyle name="20% - Ênfase3 2 3 2 6 2" xfId="3625" xr:uid="{00000000-0005-0000-0000-0000910D0000}"/>
    <cellStyle name="20% - Ênfase3 2 3 2 6 2 2" xfId="3626" xr:uid="{00000000-0005-0000-0000-0000920D0000}"/>
    <cellStyle name="20% - Ênfase3 2 3 2 6 3" xfId="3627" xr:uid="{00000000-0005-0000-0000-0000930D0000}"/>
    <cellStyle name="20% - Ênfase3 2 3 2 7" xfId="3628" xr:uid="{00000000-0005-0000-0000-0000940D0000}"/>
    <cellStyle name="20% - Ênfase3 2 3 2 7 2" xfId="3629" xr:uid="{00000000-0005-0000-0000-0000950D0000}"/>
    <cellStyle name="20% - Ênfase3 2 3 2 7 2 2" xfId="3630" xr:uid="{00000000-0005-0000-0000-0000960D0000}"/>
    <cellStyle name="20% - Ênfase3 2 3 2 7 3" xfId="3631" xr:uid="{00000000-0005-0000-0000-0000970D0000}"/>
    <cellStyle name="20% - Ênfase3 2 3 2 8" xfId="3632" xr:uid="{00000000-0005-0000-0000-0000980D0000}"/>
    <cellStyle name="20% - Ênfase3 2 3 2 8 2" xfId="3633" xr:uid="{00000000-0005-0000-0000-0000990D0000}"/>
    <cellStyle name="20% - Ênfase3 2 3 2 9" xfId="3634" xr:uid="{00000000-0005-0000-0000-00009A0D0000}"/>
    <cellStyle name="20% - Ênfase3 2 3 3" xfId="3635" xr:uid="{00000000-0005-0000-0000-00009B0D0000}"/>
    <cellStyle name="20% - Ênfase3 2 3 3 2" xfId="3636" xr:uid="{00000000-0005-0000-0000-00009C0D0000}"/>
    <cellStyle name="20% - Ênfase3 2 3 3 2 2" xfId="3637" xr:uid="{00000000-0005-0000-0000-00009D0D0000}"/>
    <cellStyle name="20% - Ênfase3 2 3 3 2 2 2" xfId="3638" xr:uid="{00000000-0005-0000-0000-00009E0D0000}"/>
    <cellStyle name="20% - Ênfase3 2 3 3 2 3" xfId="3639" xr:uid="{00000000-0005-0000-0000-00009F0D0000}"/>
    <cellStyle name="20% - Ênfase3 2 3 3 2 3 2" xfId="3640" xr:uid="{00000000-0005-0000-0000-0000A00D0000}"/>
    <cellStyle name="20% - Ênfase3 2 3 3 2 4" xfId="3641" xr:uid="{00000000-0005-0000-0000-0000A10D0000}"/>
    <cellStyle name="20% - Ênfase3 2 3 3 3" xfId="3642" xr:uid="{00000000-0005-0000-0000-0000A20D0000}"/>
    <cellStyle name="20% - Ênfase3 2 3 3 3 2" xfId="3643" xr:uid="{00000000-0005-0000-0000-0000A30D0000}"/>
    <cellStyle name="20% - Ênfase3 2 3 3 3 2 2" xfId="3644" xr:uid="{00000000-0005-0000-0000-0000A40D0000}"/>
    <cellStyle name="20% - Ênfase3 2 3 3 3 3" xfId="3645" xr:uid="{00000000-0005-0000-0000-0000A50D0000}"/>
    <cellStyle name="20% - Ênfase3 2 3 3 3 3 2" xfId="3646" xr:uid="{00000000-0005-0000-0000-0000A60D0000}"/>
    <cellStyle name="20% - Ênfase3 2 3 3 3 4" xfId="3647" xr:uid="{00000000-0005-0000-0000-0000A70D0000}"/>
    <cellStyle name="20% - Ênfase3 2 3 3 4" xfId="3648" xr:uid="{00000000-0005-0000-0000-0000A80D0000}"/>
    <cellStyle name="20% - Ênfase3 2 3 3 4 2" xfId="3649" xr:uid="{00000000-0005-0000-0000-0000A90D0000}"/>
    <cellStyle name="20% - Ênfase3 2 3 3 5" xfId="3650" xr:uid="{00000000-0005-0000-0000-0000AA0D0000}"/>
    <cellStyle name="20% - Ênfase3 2 3 3 5 2" xfId="3651" xr:uid="{00000000-0005-0000-0000-0000AB0D0000}"/>
    <cellStyle name="20% - Ênfase3 2 3 3 6" xfId="3652" xr:uid="{00000000-0005-0000-0000-0000AC0D0000}"/>
    <cellStyle name="20% - Ênfase3 2 3 4" xfId="3653" xr:uid="{00000000-0005-0000-0000-0000AD0D0000}"/>
    <cellStyle name="20% - Ênfase3 2 3 4 2" xfId="3654" xr:uid="{00000000-0005-0000-0000-0000AE0D0000}"/>
    <cellStyle name="20% - Ênfase3 2 3 4 2 2" xfId="3655" xr:uid="{00000000-0005-0000-0000-0000AF0D0000}"/>
    <cellStyle name="20% - Ênfase3 2 3 4 2 2 2" xfId="3656" xr:uid="{00000000-0005-0000-0000-0000B00D0000}"/>
    <cellStyle name="20% - Ênfase3 2 3 4 2 3" xfId="3657" xr:uid="{00000000-0005-0000-0000-0000B10D0000}"/>
    <cellStyle name="20% - Ênfase3 2 3 4 2 3 2" xfId="3658" xr:uid="{00000000-0005-0000-0000-0000B20D0000}"/>
    <cellStyle name="20% - Ênfase3 2 3 4 2 4" xfId="3659" xr:uid="{00000000-0005-0000-0000-0000B30D0000}"/>
    <cellStyle name="20% - Ênfase3 2 3 4 3" xfId="3660" xr:uid="{00000000-0005-0000-0000-0000B40D0000}"/>
    <cellStyle name="20% - Ênfase3 2 3 4 3 2" xfId="3661" xr:uid="{00000000-0005-0000-0000-0000B50D0000}"/>
    <cellStyle name="20% - Ênfase3 2 3 4 3 2 2" xfId="3662" xr:uid="{00000000-0005-0000-0000-0000B60D0000}"/>
    <cellStyle name="20% - Ênfase3 2 3 4 3 3" xfId="3663" xr:uid="{00000000-0005-0000-0000-0000B70D0000}"/>
    <cellStyle name="20% - Ênfase3 2 3 4 3 3 2" xfId="3664" xr:uid="{00000000-0005-0000-0000-0000B80D0000}"/>
    <cellStyle name="20% - Ênfase3 2 3 4 3 4" xfId="3665" xr:uid="{00000000-0005-0000-0000-0000B90D0000}"/>
    <cellStyle name="20% - Ênfase3 2 3 4 4" xfId="3666" xr:uid="{00000000-0005-0000-0000-0000BA0D0000}"/>
    <cellStyle name="20% - Ênfase3 2 3 4 4 2" xfId="3667" xr:uid="{00000000-0005-0000-0000-0000BB0D0000}"/>
    <cellStyle name="20% - Ênfase3 2 3 4 5" xfId="3668" xr:uid="{00000000-0005-0000-0000-0000BC0D0000}"/>
    <cellStyle name="20% - Ênfase3 2 3 4 5 2" xfId="3669" xr:uid="{00000000-0005-0000-0000-0000BD0D0000}"/>
    <cellStyle name="20% - Ênfase3 2 3 4 6" xfId="3670" xr:uid="{00000000-0005-0000-0000-0000BE0D0000}"/>
    <cellStyle name="20% - Ênfase3 2 3 5" xfId="3671" xr:uid="{00000000-0005-0000-0000-0000BF0D0000}"/>
    <cellStyle name="20% - Ênfase3 2 3 5 2" xfId="3672" xr:uid="{00000000-0005-0000-0000-0000C00D0000}"/>
    <cellStyle name="20% - Ênfase3 2 3 5 2 2" xfId="3673" xr:uid="{00000000-0005-0000-0000-0000C10D0000}"/>
    <cellStyle name="20% - Ênfase3 2 3 5 3" xfId="3674" xr:uid="{00000000-0005-0000-0000-0000C20D0000}"/>
    <cellStyle name="20% - Ênfase3 2 3 5 3 2" xfId="3675" xr:uid="{00000000-0005-0000-0000-0000C30D0000}"/>
    <cellStyle name="20% - Ênfase3 2 3 5 4" xfId="3676" xr:uid="{00000000-0005-0000-0000-0000C40D0000}"/>
    <cellStyle name="20% - Ênfase3 2 3 6" xfId="3677" xr:uid="{00000000-0005-0000-0000-0000C50D0000}"/>
    <cellStyle name="20% - Ênfase3 2 3 6 2" xfId="3678" xr:uid="{00000000-0005-0000-0000-0000C60D0000}"/>
    <cellStyle name="20% - Ênfase3 2 3 6 2 2" xfId="3679" xr:uid="{00000000-0005-0000-0000-0000C70D0000}"/>
    <cellStyle name="20% - Ênfase3 2 3 6 3" xfId="3680" xr:uid="{00000000-0005-0000-0000-0000C80D0000}"/>
    <cellStyle name="20% - Ênfase3 2 3 7" xfId="3681" xr:uid="{00000000-0005-0000-0000-0000C90D0000}"/>
    <cellStyle name="20% - Ênfase3 2 3 7 2" xfId="3682" xr:uid="{00000000-0005-0000-0000-0000CA0D0000}"/>
    <cellStyle name="20% - Ênfase3 2 3 7 2 2" xfId="3683" xr:uid="{00000000-0005-0000-0000-0000CB0D0000}"/>
    <cellStyle name="20% - Ênfase3 2 3 7 3" xfId="3684" xr:uid="{00000000-0005-0000-0000-0000CC0D0000}"/>
    <cellStyle name="20% - Ênfase3 2 3 8" xfId="3685" xr:uid="{00000000-0005-0000-0000-0000CD0D0000}"/>
    <cellStyle name="20% - Ênfase3 2 3 8 2" xfId="3686" xr:uid="{00000000-0005-0000-0000-0000CE0D0000}"/>
    <cellStyle name="20% - Ênfase3 2 3 8 2 2" xfId="3687" xr:uid="{00000000-0005-0000-0000-0000CF0D0000}"/>
    <cellStyle name="20% - Ênfase3 2 3 8 3" xfId="3688" xr:uid="{00000000-0005-0000-0000-0000D00D0000}"/>
    <cellStyle name="20% - Ênfase3 2 3 9" xfId="3689" xr:uid="{00000000-0005-0000-0000-0000D10D0000}"/>
    <cellStyle name="20% - Ênfase3 2 3 9 2" xfId="3690" xr:uid="{00000000-0005-0000-0000-0000D20D0000}"/>
    <cellStyle name="20% - Ênfase3 2 3 9 2 2" xfId="3691" xr:uid="{00000000-0005-0000-0000-0000D30D0000}"/>
    <cellStyle name="20% - Ênfase3 2 3 9 3" xfId="3692" xr:uid="{00000000-0005-0000-0000-0000D40D0000}"/>
    <cellStyle name="20% - Ênfase3 2 4" xfId="3693" xr:uid="{00000000-0005-0000-0000-0000D50D0000}"/>
    <cellStyle name="20% - Ênfase3 2 4 10" xfId="3694" xr:uid="{00000000-0005-0000-0000-0000D60D0000}"/>
    <cellStyle name="20% - Ênfase3 2 4 2" xfId="3695" xr:uid="{00000000-0005-0000-0000-0000D70D0000}"/>
    <cellStyle name="20% - Ênfase3 2 4 2 2" xfId="3696" xr:uid="{00000000-0005-0000-0000-0000D80D0000}"/>
    <cellStyle name="20% - Ênfase3 2 4 2 2 2" xfId="3697" xr:uid="{00000000-0005-0000-0000-0000D90D0000}"/>
    <cellStyle name="20% - Ênfase3 2 4 2 2 2 2" xfId="3698" xr:uid="{00000000-0005-0000-0000-0000DA0D0000}"/>
    <cellStyle name="20% - Ênfase3 2 4 2 2 2 2 2" xfId="3699" xr:uid="{00000000-0005-0000-0000-0000DB0D0000}"/>
    <cellStyle name="20% - Ênfase3 2 4 2 2 2 3" xfId="3700" xr:uid="{00000000-0005-0000-0000-0000DC0D0000}"/>
    <cellStyle name="20% - Ênfase3 2 4 2 2 2 3 2" xfId="3701" xr:uid="{00000000-0005-0000-0000-0000DD0D0000}"/>
    <cellStyle name="20% - Ênfase3 2 4 2 2 2 4" xfId="3702" xr:uid="{00000000-0005-0000-0000-0000DE0D0000}"/>
    <cellStyle name="20% - Ênfase3 2 4 2 2 3" xfId="3703" xr:uid="{00000000-0005-0000-0000-0000DF0D0000}"/>
    <cellStyle name="20% - Ênfase3 2 4 2 2 3 2" xfId="3704" xr:uid="{00000000-0005-0000-0000-0000E00D0000}"/>
    <cellStyle name="20% - Ênfase3 2 4 2 2 4" xfId="3705" xr:uid="{00000000-0005-0000-0000-0000E10D0000}"/>
    <cellStyle name="20% - Ênfase3 2 4 2 2 4 2" xfId="3706" xr:uid="{00000000-0005-0000-0000-0000E20D0000}"/>
    <cellStyle name="20% - Ênfase3 2 4 2 2 5" xfId="3707" xr:uid="{00000000-0005-0000-0000-0000E30D0000}"/>
    <cellStyle name="20% - Ênfase3 2 4 2 3" xfId="3708" xr:uid="{00000000-0005-0000-0000-0000E40D0000}"/>
    <cellStyle name="20% - Ênfase3 2 4 2 3 2" xfId="3709" xr:uid="{00000000-0005-0000-0000-0000E50D0000}"/>
    <cellStyle name="20% - Ênfase3 2 4 2 3 2 2" xfId="3710" xr:uid="{00000000-0005-0000-0000-0000E60D0000}"/>
    <cellStyle name="20% - Ênfase3 2 4 2 3 3" xfId="3711" xr:uid="{00000000-0005-0000-0000-0000E70D0000}"/>
    <cellStyle name="20% - Ênfase3 2 4 2 3 3 2" xfId="3712" xr:uid="{00000000-0005-0000-0000-0000E80D0000}"/>
    <cellStyle name="20% - Ênfase3 2 4 2 3 4" xfId="3713" xr:uid="{00000000-0005-0000-0000-0000E90D0000}"/>
    <cellStyle name="20% - Ênfase3 2 4 2 4" xfId="3714" xr:uid="{00000000-0005-0000-0000-0000EA0D0000}"/>
    <cellStyle name="20% - Ênfase3 2 4 2 4 2" xfId="3715" xr:uid="{00000000-0005-0000-0000-0000EB0D0000}"/>
    <cellStyle name="20% - Ênfase3 2 4 2 4 2 2" xfId="3716" xr:uid="{00000000-0005-0000-0000-0000EC0D0000}"/>
    <cellStyle name="20% - Ênfase3 2 4 2 4 3" xfId="3717" xr:uid="{00000000-0005-0000-0000-0000ED0D0000}"/>
    <cellStyle name="20% - Ênfase3 2 4 2 5" xfId="3718" xr:uid="{00000000-0005-0000-0000-0000EE0D0000}"/>
    <cellStyle name="20% - Ênfase3 2 4 2 5 2" xfId="3719" xr:uid="{00000000-0005-0000-0000-0000EF0D0000}"/>
    <cellStyle name="20% - Ênfase3 2 4 2 6" xfId="3720" xr:uid="{00000000-0005-0000-0000-0000F00D0000}"/>
    <cellStyle name="20% - Ênfase3 2 4 3" xfId="3721" xr:uid="{00000000-0005-0000-0000-0000F10D0000}"/>
    <cellStyle name="20% - Ênfase3 2 4 3 2" xfId="3722" xr:uid="{00000000-0005-0000-0000-0000F20D0000}"/>
    <cellStyle name="20% - Ênfase3 2 4 3 2 2" xfId="3723" xr:uid="{00000000-0005-0000-0000-0000F30D0000}"/>
    <cellStyle name="20% - Ênfase3 2 4 3 2 2 2" xfId="3724" xr:uid="{00000000-0005-0000-0000-0000F40D0000}"/>
    <cellStyle name="20% - Ênfase3 2 4 3 2 3" xfId="3725" xr:uid="{00000000-0005-0000-0000-0000F50D0000}"/>
    <cellStyle name="20% - Ênfase3 2 4 3 2 3 2" xfId="3726" xr:uid="{00000000-0005-0000-0000-0000F60D0000}"/>
    <cellStyle name="20% - Ênfase3 2 4 3 2 4" xfId="3727" xr:uid="{00000000-0005-0000-0000-0000F70D0000}"/>
    <cellStyle name="20% - Ênfase3 2 4 3 3" xfId="3728" xr:uid="{00000000-0005-0000-0000-0000F80D0000}"/>
    <cellStyle name="20% - Ênfase3 2 4 3 3 2" xfId="3729" xr:uid="{00000000-0005-0000-0000-0000F90D0000}"/>
    <cellStyle name="20% - Ênfase3 2 4 3 3 2 2" xfId="3730" xr:uid="{00000000-0005-0000-0000-0000FA0D0000}"/>
    <cellStyle name="20% - Ênfase3 2 4 3 3 3" xfId="3731" xr:uid="{00000000-0005-0000-0000-0000FB0D0000}"/>
    <cellStyle name="20% - Ênfase3 2 4 3 3 3 2" xfId="3732" xr:uid="{00000000-0005-0000-0000-0000FC0D0000}"/>
    <cellStyle name="20% - Ênfase3 2 4 3 3 4" xfId="3733" xr:uid="{00000000-0005-0000-0000-0000FD0D0000}"/>
    <cellStyle name="20% - Ênfase3 2 4 3 4" xfId="3734" xr:uid="{00000000-0005-0000-0000-0000FE0D0000}"/>
    <cellStyle name="20% - Ênfase3 2 4 3 4 2" xfId="3735" xr:uid="{00000000-0005-0000-0000-0000FF0D0000}"/>
    <cellStyle name="20% - Ênfase3 2 4 3 5" xfId="3736" xr:uid="{00000000-0005-0000-0000-0000000E0000}"/>
    <cellStyle name="20% - Ênfase3 2 4 3 5 2" xfId="3737" xr:uid="{00000000-0005-0000-0000-0000010E0000}"/>
    <cellStyle name="20% - Ênfase3 2 4 3 6" xfId="3738" xr:uid="{00000000-0005-0000-0000-0000020E0000}"/>
    <cellStyle name="20% - Ênfase3 2 4 4" xfId="3739" xr:uid="{00000000-0005-0000-0000-0000030E0000}"/>
    <cellStyle name="20% - Ênfase3 2 4 4 2" xfId="3740" xr:uid="{00000000-0005-0000-0000-0000040E0000}"/>
    <cellStyle name="20% - Ênfase3 2 4 4 2 2" xfId="3741" xr:uid="{00000000-0005-0000-0000-0000050E0000}"/>
    <cellStyle name="20% - Ênfase3 2 4 4 3" xfId="3742" xr:uid="{00000000-0005-0000-0000-0000060E0000}"/>
    <cellStyle name="20% - Ênfase3 2 4 4 3 2" xfId="3743" xr:uid="{00000000-0005-0000-0000-0000070E0000}"/>
    <cellStyle name="20% - Ênfase3 2 4 4 4" xfId="3744" xr:uid="{00000000-0005-0000-0000-0000080E0000}"/>
    <cellStyle name="20% - Ênfase3 2 4 5" xfId="3745" xr:uid="{00000000-0005-0000-0000-0000090E0000}"/>
    <cellStyle name="20% - Ênfase3 2 4 5 2" xfId="3746" xr:uid="{00000000-0005-0000-0000-00000A0E0000}"/>
    <cellStyle name="20% - Ênfase3 2 4 5 2 2" xfId="3747" xr:uid="{00000000-0005-0000-0000-00000B0E0000}"/>
    <cellStyle name="20% - Ênfase3 2 4 5 3" xfId="3748" xr:uid="{00000000-0005-0000-0000-00000C0E0000}"/>
    <cellStyle name="20% - Ênfase3 2 4 6" xfId="3749" xr:uid="{00000000-0005-0000-0000-00000D0E0000}"/>
    <cellStyle name="20% - Ênfase3 2 4 6 2" xfId="3750" xr:uid="{00000000-0005-0000-0000-00000E0E0000}"/>
    <cellStyle name="20% - Ênfase3 2 4 6 2 2" xfId="3751" xr:uid="{00000000-0005-0000-0000-00000F0E0000}"/>
    <cellStyle name="20% - Ênfase3 2 4 6 3" xfId="3752" xr:uid="{00000000-0005-0000-0000-0000100E0000}"/>
    <cellStyle name="20% - Ênfase3 2 4 7" xfId="3753" xr:uid="{00000000-0005-0000-0000-0000110E0000}"/>
    <cellStyle name="20% - Ênfase3 2 4 7 2" xfId="3754" xr:uid="{00000000-0005-0000-0000-0000120E0000}"/>
    <cellStyle name="20% - Ênfase3 2 4 7 2 2" xfId="3755" xr:uid="{00000000-0005-0000-0000-0000130E0000}"/>
    <cellStyle name="20% - Ênfase3 2 4 7 3" xfId="3756" xr:uid="{00000000-0005-0000-0000-0000140E0000}"/>
    <cellStyle name="20% - Ênfase3 2 4 8" xfId="3757" xr:uid="{00000000-0005-0000-0000-0000150E0000}"/>
    <cellStyle name="20% - Ênfase3 2 4 8 2" xfId="3758" xr:uid="{00000000-0005-0000-0000-0000160E0000}"/>
    <cellStyle name="20% - Ênfase3 2 4 8 2 2" xfId="3759" xr:uid="{00000000-0005-0000-0000-0000170E0000}"/>
    <cellStyle name="20% - Ênfase3 2 4 8 3" xfId="3760" xr:uid="{00000000-0005-0000-0000-0000180E0000}"/>
    <cellStyle name="20% - Ênfase3 2 4 9" xfId="3761" xr:uid="{00000000-0005-0000-0000-0000190E0000}"/>
    <cellStyle name="20% - Ênfase3 2 4 9 2" xfId="3762" xr:uid="{00000000-0005-0000-0000-00001A0E0000}"/>
    <cellStyle name="20% - Ênfase3 2 5" xfId="3763" xr:uid="{00000000-0005-0000-0000-00001B0E0000}"/>
    <cellStyle name="20% - Ênfase3 2 5 2" xfId="3764" xr:uid="{00000000-0005-0000-0000-00001C0E0000}"/>
    <cellStyle name="20% - Ênfase3 2 5 2 2" xfId="3765" xr:uid="{00000000-0005-0000-0000-00001D0E0000}"/>
    <cellStyle name="20% - Ênfase3 2 5 2 2 2" xfId="3766" xr:uid="{00000000-0005-0000-0000-00001E0E0000}"/>
    <cellStyle name="20% - Ênfase3 2 5 2 2 2 2" xfId="3767" xr:uid="{00000000-0005-0000-0000-00001F0E0000}"/>
    <cellStyle name="20% - Ênfase3 2 5 2 2 2 2 2" xfId="3768" xr:uid="{00000000-0005-0000-0000-0000200E0000}"/>
    <cellStyle name="20% - Ênfase3 2 5 2 2 2 3" xfId="3769" xr:uid="{00000000-0005-0000-0000-0000210E0000}"/>
    <cellStyle name="20% - Ênfase3 2 5 2 2 2 3 2" xfId="3770" xr:uid="{00000000-0005-0000-0000-0000220E0000}"/>
    <cellStyle name="20% - Ênfase3 2 5 2 2 2 4" xfId="3771" xr:uid="{00000000-0005-0000-0000-0000230E0000}"/>
    <cellStyle name="20% - Ênfase3 2 5 2 2 3" xfId="3772" xr:uid="{00000000-0005-0000-0000-0000240E0000}"/>
    <cellStyle name="20% - Ênfase3 2 5 2 2 3 2" xfId="3773" xr:uid="{00000000-0005-0000-0000-0000250E0000}"/>
    <cellStyle name="20% - Ênfase3 2 5 2 2 4" xfId="3774" xr:uid="{00000000-0005-0000-0000-0000260E0000}"/>
    <cellStyle name="20% - Ênfase3 2 5 2 2 4 2" xfId="3775" xr:uid="{00000000-0005-0000-0000-0000270E0000}"/>
    <cellStyle name="20% - Ênfase3 2 5 2 2 5" xfId="3776" xr:uid="{00000000-0005-0000-0000-0000280E0000}"/>
    <cellStyle name="20% - Ênfase3 2 5 2 3" xfId="3777" xr:uid="{00000000-0005-0000-0000-0000290E0000}"/>
    <cellStyle name="20% - Ênfase3 2 5 2 3 2" xfId="3778" xr:uid="{00000000-0005-0000-0000-00002A0E0000}"/>
    <cellStyle name="20% - Ênfase3 2 5 2 3 2 2" xfId="3779" xr:uid="{00000000-0005-0000-0000-00002B0E0000}"/>
    <cellStyle name="20% - Ênfase3 2 5 2 3 3" xfId="3780" xr:uid="{00000000-0005-0000-0000-00002C0E0000}"/>
    <cellStyle name="20% - Ênfase3 2 5 2 3 3 2" xfId="3781" xr:uid="{00000000-0005-0000-0000-00002D0E0000}"/>
    <cellStyle name="20% - Ênfase3 2 5 2 3 4" xfId="3782" xr:uid="{00000000-0005-0000-0000-00002E0E0000}"/>
    <cellStyle name="20% - Ênfase3 2 5 2 4" xfId="3783" xr:uid="{00000000-0005-0000-0000-00002F0E0000}"/>
    <cellStyle name="20% - Ênfase3 2 5 2 4 2" xfId="3784" xr:uid="{00000000-0005-0000-0000-0000300E0000}"/>
    <cellStyle name="20% - Ênfase3 2 5 2 4 2 2" xfId="3785" xr:uid="{00000000-0005-0000-0000-0000310E0000}"/>
    <cellStyle name="20% - Ênfase3 2 5 2 4 3" xfId="3786" xr:uid="{00000000-0005-0000-0000-0000320E0000}"/>
    <cellStyle name="20% - Ênfase3 2 5 2 5" xfId="3787" xr:uid="{00000000-0005-0000-0000-0000330E0000}"/>
    <cellStyle name="20% - Ênfase3 2 5 2 5 2" xfId="3788" xr:uid="{00000000-0005-0000-0000-0000340E0000}"/>
    <cellStyle name="20% - Ênfase3 2 5 2 6" xfId="3789" xr:uid="{00000000-0005-0000-0000-0000350E0000}"/>
    <cellStyle name="20% - Ênfase3 2 5 3" xfId="3790" xr:uid="{00000000-0005-0000-0000-0000360E0000}"/>
    <cellStyle name="20% - Ênfase3 2 5 3 2" xfId="3791" xr:uid="{00000000-0005-0000-0000-0000370E0000}"/>
    <cellStyle name="20% - Ênfase3 2 5 3 2 2" xfId="3792" xr:uid="{00000000-0005-0000-0000-0000380E0000}"/>
    <cellStyle name="20% - Ênfase3 2 5 3 2 2 2" xfId="3793" xr:uid="{00000000-0005-0000-0000-0000390E0000}"/>
    <cellStyle name="20% - Ênfase3 2 5 3 2 3" xfId="3794" xr:uid="{00000000-0005-0000-0000-00003A0E0000}"/>
    <cellStyle name="20% - Ênfase3 2 5 3 2 3 2" xfId="3795" xr:uid="{00000000-0005-0000-0000-00003B0E0000}"/>
    <cellStyle name="20% - Ênfase3 2 5 3 2 4" xfId="3796" xr:uid="{00000000-0005-0000-0000-00003C0E0000}"/>
    <cellStyle name="20% - Ênfase3 2 5 3 3" xfId="3797" xr:uid="{00000000-0005-0000-0000-00003D0E0000}"/>
    <cellStyle name="20% - Ênfase3 2 5 3 3 2" xfId="3798" xr:uid="{00000000-0005-0000-0000-00003E0E0000}"/>
    <cellStyle name="20% - Ênfase3 2 5 3 4" xfId="3799" xr:uid="{00000000-0005-0000-0000-00003F0E0000}"/>
    <cellStyle name="20% - Ênfase3 2 5 3 4 2" xfId="3800" xr:uid="{00000000-0005-0000-0000-0000400E0000}"/>
    <cellStyle name="20% - Ênfase3 2 5 3 5" xfId="3801" xr:uid="{00000000-0005-0000-0000-0000410E0000}"/>
    <cellStyle name="20% - Ênfase3 2 5 4" xfId="3802" xr:uid="{00000000-0005-0000-0000-0000420E0000}"/>
    <cellStyle name="20% - Ênfase3 2 5 4 2" xfId="3803" xr:uid="{00000000-0005-0000-0000-0000430E0000}"/>
    <cellStyle name="20% - Ênfase3 2 5 4 2 2" xfId="3804" xr:uid="{00000000-0005-0000-0000-0000440E0000}"/>
    <cellStyle name="20% - Ênfase3 2 5 4 3" xfId="3805" xr:uid="{00000000-0005-0000-0000-0000450E0000}"/>
    <cellStyle name="20% - Ênfase3 2 5 4 3 2" xfId="3806" xr:uid="{00000000-0005-0000-0000-0000460E0000}"/>
    <cellStyle name="20% - Ênfase3 2 5 4 4" xfId="3807" xr:uid="{00000000-0005-0000-0000-0000470E0000}"/>
    <cellStyle name="20% - Ênfase3 2 5 5" xfId="3808" xr:uid="{00000000-0005-0000-0000-0000480E0000}"/>
    <cellStyle name="20% - Ênfase3 2 5 5 2" xfId="3809" xr:uid="{00000000-0005-0000-0000-0000490E0000}"/>
    <cellStyle name="20% - Ênfase3 2 5 5 2 2" xfId="3810" xr:uid="{00000000-0005-0000-0000-00004A0E0000}"/>
    <cellStyle name="20% - Ênfase3 2 5 5 3" xfId="3811" xr:uid="{00000000-0005-0000-0000-00004B0E0000}"/>
    <cellStyle name="20% - Ênfase3 2 5 6" xfId="3812" xr:uid="{00000000-0005-0000-0000-00004C0E0000}"/>
    <cellStyle name="20% - Ênfase3 2 5 6 2" xfId="3813" xr:uid="{00000000-0005-0000-0000-00004D0E0000}"/>
    <cellStyle name="20% - Ênfase3 2 5 7" xfId="3814" xr:uid="{00000000-0005-0000-0000-00004E0E0000}"/>
    <cellStyle name="20% - Ênfase3 2 6" xfId="3815" xr:uid="{00000000-0005-0000-0000-00004F0E0000}"/>
    <cellStyle name="20% - Ênfase3 2 6 2" xfId="3816" xr:uid="{00000000-0005-0000-0000-0000500E0000}"/>
    <cellStyle name="20% - Ênfase3 2 6 2 2" xfId="3817" xr:uid="{00000000-0005-0000-0000-0000510E0000}"/>
    <cellStyle name="20% - Ênfase3 2 6 2 2 2" xfId="3818" xr:uid="{00000000-0005-0000-0000-0000520E0000}"/>
    <cellStyle name="20% - Ênfase3 2 6 2 2 2 2" xfId="3819" xr:uid="{00000000-0005-0000-0000-0000530E0000}"/>
    <cellStyle name="20% - Ênfase3 2 6 2 2 2 2 2" xfId="3820" xr:uid="{00000000-0005-0000-0000-0000540E0000}"/>
    <cellStyle name="20% - Ênfase3 2 6 2 2 2 3" xfId="3821" xr:uid="{00000000-0005-0000-0000-0000550E0000}"/>
    <cellStyle name="20% - Ênfase3 2 6 2 2 2 3 2" xfId="3822" xr:uid="{00000000-0005-0000-0000-0000560E0000}"/>
    <cellStyle name="20% - Ênfase3 2 6 2 2 2 4" xfId="3823" xr:uid="{00000000-0005-0000-0000-0000570E0000}"/>
    <cellStyle name="20% - Ênfase3 2 6 2 2 3" xfId="3824" xr:uid="{00000000-0005-0000-0000-0000580E0000}"/>
    <cellStyle name="20% - Ênfase3 2 6 2 2 3 2" xfId="3825" xr:uid="{00000000-0005-0000-0000-0000590E0000}"/>
    <cellStyle name="20% - Ênfase3 2 6 2 2 4" xfId="3826" xr:uid="{00000000-0005-0000-0000-00005A0E0000}"/>
    <cellStyle name="20% - Ênfase3 2 6 2 2 4 2" xfId="3827" xr:uid="{00000000-0005-0000-0000-00005B0E0000}"/>
    <cellStyle name="20% - Ênfase3 2 6 2 2 5" xfId="3828" xr:uid="{00000000-0005-0000-0000-00005C0E0000}"/>
    <cellStyle name="20% - Ênfase3 2 6 2 3" xfId="3829" xr:uid="{00000000-0005-0000-0000-00005D0E0000}"/>
    <cellStyle name="20% - Ênfase3 2 6 2 3 2" xfId="3830" xr:uid="{00000000-0005-0000-0000-00005E0E0000}"/>
    <cellStyle name="20% - Ênfase3 2 6 2 3 2 2" xfId="3831" xr:uid="{00000000-0005-0000-0000-00005F0E0000}"/>
    <cellStyle name="20% - Ênfase3 2 6 2 3 3" xfId="3832" xr:uid="{00000000-0005-0000-0000-0000600E0000}"/>
    <cellStyle name="20% - Ênfase3 2 6 2 3 3 2" xfId="3833" xr:uid="{00000000-0005-0000-0000-0000610E0000}"/>
    <cellStyle name="20% - Ênfase3 2 6 2 3 4" xfId="3834" xr:uid="{00000000-0005-0000-0000-0000620E0000}"/>
    <cellStyle name="20% - Ênfase3 2 6 2 4" xfId="3835" xr:uid="{00000000-0005-0000-0000-0000630E0000}"/>
    <cellStyle name="20% - Ênfase3 2 6 2 4 2" xfId="3836" xr:uid="{00000000-0005-0000-0000-0000640E0000}"/>
    <cellStyle name="20% - Ênfase3 2 6 2 4 2 2" xfId="3837" xr:uid="{00000000-0005-0000-0000-0000650E0000}"/>
    <cellStyle name="20% - Ênfase3 2 6 2 4 3" xfId="3838" xr:uid="{00000000-0005-0000-0000-0000660E0000}"/>
    <cellStyle name="20% - Ênfase3 2 6 2 5" xfId="3839" xr:uid="{00000000-0005-0000-0000-0000670E0000}"/>
    <cellStyle name="20% - Ênfase3 2 6 2 5 2" xfId="3840" xr:uid="{00000000-0005-0000-0000-0000680E0000}"/>
    <cellStyle name="20% - Ênfase3 2 6 2 6" xfId="3841" xr:uid="{00000000-0005-0000-0000-0000690E0000}"/>
    <cellStyle name="20% - Ênfase3 2 6 3" xfId="3842" xr:uid="{00000000-0005-0000-0000-00006A0E0000}"/>
    <cellStyle name="20% - Ênfase3 2 6 3 2" xfId="3843" xr:uid="{00000000-0005-0000-0000-00006B0E0000}"/>
    <cellStyle name="20% - Ênfase3 2 6 3 2 2" xfId="3844" xr:uid="{00000000-0005-0000-0000-00006C0E0000}"/>
    <cellStyle name="20% - Ênfase3 2 6 3 2 2 2" xfId="3845" xr:uid="{00000000-0005-0000-0000-00006D0E0000}"/>
    <cellStyle name="20% - Ênfase3 2 6 3 2 3" xfId="3846" xr:uid="{00000000-0005-0000-0000-00006E0E0000}"/>
    <cellStyle name="20% - Ênfase3 2 6 3 2 3 2" xfId="3847" xr:uid="{00000000-0005-0000-0000-00006F0E0000}"/>
    <cellStyle name="20% - Ênfase3 2 6 3 2 4" xfId="3848" xr:uid="{00000000-0005-0000-0000-0000700E0000}"/>
    <cellStyle name="20% - Ênfase3 2 6 3 3" xfId="3849" xr:uid="{00000000-0005-0000-0000-0000710E0000}"/>
    <cellStyle name="20% - Ênfase3 2 6 3 3 2" xfId="3850" xr:uid="{00000000-0005-0000-0000-0000720E0000}"/>
    <cellStyle name="20% - Ênfase3 2 6 3 4" xfId="3851" xr:uid="{00000000-0005-0000-0000-0000730E0000}"/>
    <cellStyle name="20% - Ênfase3 2 6 3 4 2" xfId="3852" xr:uid="{00000000-0005-0000-0000-0000740E0000}"/>
    <cellStyle name="20% - Ênfase3 2 6 3 5" xfId="3853" xr:uid="{00000000-0005-0000-0000-0000750E0000}"/>
    <cellStyle name="20% - Ênfase3 2 6 4" xfId="3854" xr:uid="{00000000-0005-0000-0000-0000760E0000}"/>
    <cellStyle name="20% - Ênfase3 2 6 4 2" xfId="3855" xr:uid="{00000000-0005-0000-0000-0000770E0000}"/>
    <cellStyle name="20% - Ênfase3 2 6 4 2 2" xfId="3856" xr:uid="{00000000-0005-0000-0000-0000780E0000}"/>
    <cellStyle name="20% - Ênfase3 2 6 4 3" xfId="3857" xr:uid="{00000000-0005-0000-0000-0000790E0000}"/>
    <cellStyle name="20% - Ênfase3 2 6 4 3 2" xfId="3858" xr:uid="{00000000-0005-0000-0000-00007A0E0000}"/>
    <cellStyle name="20% - Ênfase3 2 6 4 4" xfId="3859" xr:uid="{00000000-0005-0000-0000-00007B0E0000}"/>
    <cellStyle name="20% - Ênfase3 2 6 5" xfId="3860" xr:uid="{00000000-0005-0000-0000-00007C0E0000}"/>
    <cellStyle name="20% - Ênfase3 2 6 5 2" xfId="3861" xr:uid="{00000000-0005-0000-0000-00007D0E0000}"/>
    <cellStyle name="20% - Ênfase3 2 6 5 2 2" xfId="3862" xr:uid="{00000000-0005-0000-0000-00007E0E0000}"/>
    <cellStyle name="20% - Ênfase3 2 6 5 3" xfId="3863" xr:uid="{00000000-0005-0000-0000-00007F0E0000}"/>
    <cellStyle name="20% - Ênfase3 2 6 6" xfId="3864" xr:uid="{00000000-0005-0000-0000-0000800E0000}"/>
    <cellStyle name="20% - Ênfase3 2 6 6 2" xfId="3865" xr:uid="{00000000-0005-0000-0000-0000810E0000}"/>
    <cellStyle name="20% - Ênfase3 2 6 7" xfId="3866" xr:uid="{00000000-0005-0000-0000-0000820E0000}"/>
    <cellStyle name="20% - Ênfase3 2 7" xfId="3867" xr:uid="{00000000-0005-0000-0000-0000830E0000}"/>
    <cellStyle name="20% - Ênfase3 2 7 2" xfId="3868" xr:uid="{00000000-0005-0000-0000-0000840E0000}"/>
    <cellStyle name="20% - Ênfase3 2 7 2 2" xfId="3869" xr:uid="{00000000-0005-0000-0000-0000850E0000}"/>
    <cellStyle name="20% - Ênfase3 2 7 2 2 2" xfId="3870" xr:uid="{00000000-0005-0000-0000-0000860E0000}"/>
    <cellStyle name="20% - Ênfase3 2 7 2 2 2 2" xfId="3871" xr:uid="{00000000-0005-0000-0000-0000870E0000}"/>
    <cellStyle name="20% - Ênfase3 2 7 2 2 3" xfId="3872" xr:uid="{00000000-0005-0000-0000-0000880E0000}"/>
    <cellStyle name="20% - Ênfase3 2 7 2 2 3 2" xfId="3873" xr:uid="{00000000-0005-0000-0000-0000890E0000}"/>
    <cellStyle name="20% - Ênfase3 2 7 2 2 4" xfId="3874" xr:uid="{00000000-0005-0000-0000-00008A0E0000}"/>
    <cellStyle name="20% - Ênfase3 2 7 2 3" xfId="3875" xr:uid="{00000000-0005-0000-0000-00008B0E0000}"/>
    <cellStyle name="20% - Ênfase3 2 7 2 3 2" xfId="3876" xr:uid="{00000000-0005-0000-0000-00008C0E0000}"/>
    <cellStyle name="20% - Ênfase3 2 7 2 4" xfId="3877" xr:uid="{00000000-0005-0000-0000-00008D0E0000}"/>
    <cellStyle name="20% - Ênfase3 2 7 2 4 2" xfId="3878" xr:uid="{00000000-0005-0000-0000-00008E0E0000}"/>
    <cellStyle name="20% - Ênfase3 2 7 2 5" xfId="3879" xr:uid="{00000000-0005-0000-0000-00008F0E0000}"/>
    <cellStyle name="20% - Ênfase3 2 7 3" xfId="3880" xr:uid="{00000000-0005-0000-0000-0000900E0000}"/>
    <cellStyle name="20% - Ênfase3 2 7 3 2" xfId="3881" xr:uid="{00000000-0005-0000-0000-0000910E0000}"/>
    <cellStyle name="20% - Ênfase3 2 7 3 2 2" xfId="3882" xr:uid="{00000000-0005-0000-0000-0000920E0000}"/>
    <cellStyle name="20% - Ênfase3 2 7 3 3" xfId="3883" xr:uid="{00000000-0005-0000-0000-0000930E0000}"/>
    <cellStyle name="20% - Ênfase3 2 7 3 3 2" xfId="3884" xr:uid="{00000000-0005-0000-0000-0000940E0000}"/>
    <cellStyle name="20% - Ênfase3 2 7 3 4" xfId="3885" xr:uid="{00000000-0005-0000-0000-0000950E0000}"/>
    <cellStyle name="20% - Ênfase3 2 7 4" xfId="3886" xr:uid="{00000000-0005-0000-0000-0000960E0000}"/>
    <cellStyle name="20% - Ênfase3 2 7 4 2" xfId="3887" xr:uid="{00000000-0005-0000-0000-0000970E0000}"/>
    <cellStyle name="20% - Ênfase3 2 7 4 2 2" xfId="3888" xr:uid="{00000000-0005-0000-0000-0000980E0000}"/>
    <cellStyle name="20% - Ênfase3 2 7 4 3" xfId="3889" xr:uid="{00000000-0005-0000-0000-0000990E0000}"/>
    <cellStyle name="20% - Ênfase3 2 7 5" xfId="3890" xr:uid="{00000000-0005-0000-0000-00009A0E0000}"/>
    <cellStyle name="20% - Ênfase3 2 7 5 2" xfId="3891" xr:uid="{00000000-0005-0000-0000-00009B0E0000}"/>
    <cellStyle name="20% - Ênfase3 2 7 6" xfId="3892" xr:uid="{00000000-0005-0000-0000-00009C0E0000}"/>
    <cellStyle name="20% - Ênfase3 2 8" xfId="3893" xr:uid="{00000000-0005-0000-0000-00009D0E0000}"/>
    <cellStyle name="20% - Ênfase3 2 8 2" xfId="3894" xr:uid="{00000000-0005-0000-0000-00009E0E0000}"/>
    <cellStyle name="20% - Ênfase3 2 8 2 2" xfId="3895" xr:uid="{00000000-0005-0000-0000-00009F0E0000}"/>
    <cellStyle name="20% - Ênfase3 2 8 2 2 2" xfId="3896" xr:uid="{00000000-0005-0000-0000-0000A00E0000}"/>
    <cellStyle name="20% - Ênfase3 2 8 2 3" xfId="3897" xr:uid="{00000000-0005-0000-0000-0000A10E0000}"/>
    <cellStyle name="20% - Ênfase3 2 8 2 3 2" xfId="3898" xr:uid="{00000000-0005-0000-0000-0000A20E0000}"/>
    <cellStyle name="20% - Ênfase3 2 8 2 4" xfId="3899" xr:uid="{00000000-0005-0000-0000-0000A30E0000}"/>
    <cellStyle name="20% - Ênfase3 2 8 3" xfId="3900" xr:uid="{00000000-0005-0000-0000-0000A40E0000}"/>
    <cellStyle name="20% - Ênfase3 2 8 3 2" xfId="3901" xr:uid="{00000000-0005-0000-0000-0000A50E0000}"/>
    <cellStyle name="20% - Ênfase3 2 8 3 2 2" xfId="3902" xr:uid="{00000000-0005-0000-0000-0000A60E0000}"/>
    <cellStyle name="20% - Ênfase3 2 8 3 3" xfId="3903" xr:uid="{00000000-0005-0000-0000-0000A70E0000}"/>
    <cellStyle name="20% - Ênfase3 2 8 3 3 2" xfId="3904" xr:uid="{00000000-0005-0000-0000-0000A80E0000}"/>
    <cellStyle name="20% - Ênfase3 2 8 3 4" xfId="3905" xr:uid="{00000000-0005-0000-0000-0000A90E0000}"/>
    <cellStyle name="20% - Ênfase3 2 8 4" xfId="3906" xr:uid="{00000000-0005-0000-0000-0000AA0E0000}"/>
    <cellStyle name="20% - Ênfase3 2 8 4 2" xfId="3907" xr:uid="{00000000-0005-0000-0000-0000AB0E0000}"/>
    <cellStyle name="20% - Ênfase3 2 8 5" xfId="3908" xr:uid="{00000000-0005-0000-0000-0000AC0E0000}"/>
    <cellStyle name="20% - Ênfase3 2 8 5 2" xfId="3909" xr:uid="{00000000-0005-0000-0000-0000AD0E0000}"/>
    <cellStyle name="20% - Ênfase3 2 8 6" xfId="3910" xr:uid="{00000000-0005-0000-0000-0000AE0E0000}"/>
    <cellStyle name="20% - Ênfase3 2 9" xfId="3911" xr:uid="{00000000-0005-0000-0000-0000AF0E0000}"/>
    <cellStyle name="20% - Ênfase3 2 9 2" xfId="3912" xr:uid="{00000000-0005-0000-0000-0000B00E0000}"/>
    <cellStyle name="20% - Ênfase3 2 9 2 2" xfId="3913" xr:uid="{00000000-0005-0000-0000-0000B10E0000}"/>
    <cellStyle name="20% - Ênfase3 2 9 2 2 2" xfId="3914" xr:uid="{00000000-0005-0000-0000-0000B20E0000}"/>
    <cellStyle name="20% - Ênfase3 2 9 2 3" xfId="3915" xr:uid="{00000000-0005-0000-0000-0000B30E0000}"/>
    <cellStyle name="20% - Ênfase3 2 9 2 3 2" xfId="3916" xr:uid="{00000000-0005-0000-0000-0000B40E0000}"/>
    <cellStyle name="20% - Ênfase3 2 9 2 4" xfId="3917" xr:uid="{00000000-0005-0000-0000-0000B50E0000}"/>
    <cellStyle name="20% - Ênfase3 2 9 3" xfId="3918" xr:uid="{00000000-0005-0000-0000-0000B60E0000}"/>
    <cellStyle name="20% - Ênfase3 2 9 3 2" xfId="3919" xr:uid="{00000000-0005-0000-0000-0000B70E0000}"/>
    <cellStyle name="20% - Ênfase3 2 9 3 2 2" xfId="3920" xr:uid="{00000000-0005-0000-0000-0000B80E0000}"/>
    <cellStyle name="20% - Ênfase3 2 9 3 3" xfId="3921" xr:uid="{00000000-0005-0000-0000-0000B90E0000}"/>
    <cellStyle name="20% - Ênfase3 2 9 3 3 2" xfId="3922" xr:uid="{00000000-0005-0000-0000-0000BA0E0000}"/>
    <cellStyle name="20% - Ênfase3 2 9 3 4" xfId="3923" xr:uid="{00000000-0005-0000-0000-0000BB0E0000}"/>
    <cellStyle name="20% - Ênfase3 2 9 4" xfId="3924" xr:uid="{00000000-0005-0000-0000-0000BC0E0000}"/>
    <cellStyle name="20% - Ênfase3 2 9 4 2" xfId="3925" xr:uid="{00000000-0005-0000-0000-0000BD0E0000}"/>
    <cellStyle name="20% - Ênfase3 2 9 5" xfId="3926" xr:uid="{00000000-0005-0000-0000-0000BE0E0000}"/>
    <cellStyle name="20% - Ênfase3 2 9 5 2" xfId="3927" xr:uid="{00000000-0005-0000-0000-0000BF0E0000}"/>
    <cellStyle name="20% - Ênfase3 2 9 6" xfId="3928" xr:uid="{00000000-0005-0000-0000-0000C00E0000}"/>
    <cellStyle name="20% - Ênfase3 20" xfId="3929" xr:uid="{00000000-0005-0000-0000-0000C10E0000}"/>
    <cellStyle name="20% - Ênfase3 20 2" xfId="3930" xr:uid="{00000000-0005-0000-0000-0000C20E0000}"/>
    <cellStyle name="20% - Ênfase3 20 2 2" xfId="3931" xr:uid="{00000000-0005-0000-0000-0000C30E0000}"/>
    <cellStyle name="20% - Ênfase3 20 3" xfId="3932" xr:uid="{00000000-0005-0000-0000-0000C40E0000}"/>
    <cellStyle name="20% - Ênfase3 21" xfId="3933" xr:uid="{00000000-0005-0000-0000-0000C50E0000}"/>
    <cellStyle name="20% - Ênfase3 21 2" xfId="3934" xr:uid="{00000000-0005-0000-0000-0000C60E0000}"/>
    <cellStyle name="20% - Ênfase3 21 2 2" xfId="3935" xr:uid="{00000000-0005-0000-0000-0000C70E0000}"/>
    <cellStyle name="20% - Ênfase3 21 3" xfId="3936" xr:uid="{00000000-0005-0000-0000-0000C80E0000}"/>
    <cellStyle name="20% - Ênfase3 22" xfId="3937" xr:uid="{00000000-0005-0000-0000-0000C90E0000}"/>
    <cellStyle name="20% - Ênfase3 22 2" xfId="3938" xr:uid="{00000000-0005-0000-0000-0000CA0E0000}"/>
    <cellStyle name="20% - Ênfase3 22 2 2" xfId="3939" xr:uid="{00000000-0005-0000-0000-0000CB0E0000}"/>
    <cellStyle name="20% - Ênfase3 22 3" xfId="3940" xr:uid="{00000000-0005-0000-0000-0000CC0E0000}"/>
    <cellStyle name="20% - Ênfase3 23" xfId="3941" xr:uid="{00000000-0005-0000-0000-0000CD0E0000}"/>
    <cellStyle name="20% - Ênfase3 23 2" xfId="3942" xr:uid="{00000000-0005-0000-0000-0000CE0E0000}"/>
    <cellStyle name="20% - Ênfase3 23 2 2" xfId="3943" xr:uid="{00000000-0005-0000-0000-0000CF0E0000}"/>
    <cellStyle name="20% - Ênfase3 23 3" xfId="3944" xr:uid="{00000000-0005-0000-0000-0000D00E0000}"/>
    <cellStyle name="20% - Ênfase3 24" xfId="3945" xr:uid="{00000000-0005-0000-0000-0000D10E0000}"/>
    <cellStyle name="20% - Ênfase3 24 2" xfId="3946" xr:uid="{00000000-0005-0000-0000-0000D20E0000}"/>
    <cellStyle name="20% - Ênfase3 24 2 2" xfId="3947" xr:uid="{00000000-0005-0000-0000-0000D30E0000}"/>
    <cellStyle name="20% - Ênfase3 24 3" xfId="3948" xr:uid="{00000000-0005-0000-0000-0000D40E0000}"/>
    <cellStyle name="20% - Ênfase3 25" xfId="3949" xr:uid="{00000000-0005-0000-0000-0000D50E0000}"/>
    <cellStyle name="20% - Ênfase3 25 2" xfId="3950" xr:uid="{00000000-0005-0000-0000-0000D60E0000}"/>
    <cellStyle name="20% - Ênfase3 25 2 2" xfId="3951" xr:uid="{00000000-0005-0000-0000-0000D70E0000}"/>
    <cellStyle name="20% - Ênfase3 25 3" xfId="3952" xr:uid="{00000000-0005-0000-0000-0000D80E0000}"/>
    <cellStyle name="20% - Ênfase3 26" xfId="3953" xr:uid="{00000000-0005-0000-0000-0000D90E0000}"/>
    <cellStyle name="20% - Ênfase3 26 2" xfId="3954" xr:uid="{00000000-0005-0000-0000-0000DA0E0000}"/>
    <cellStyle name="20% - Ênfase3 26 2 2" xfId="3955" xr:uid="{00000000-0005-0000-0000-0000DB0E0000}"/>
    <cellStyle name="20% - Ênfase3 26 3" xfId="3956" xr:uid="{00000000-0005-0000-0000-0000DC0E0000}"/>
    <cellStyle name="20% - Ênfase3 27" xfId="3957" xr:uid="{00000000-0005-0000-0000-0000DD0E0000}"/>
    <cellStyle name="20% - Ênfase3 27 2" xfId="3958" xr:uid="{00000000-0005-0000-0000-0000DE0E0000}"/>
    <cellStyle name="20% - Ênfase3 27 2 2" xfId="3959" xr:uid="{00000000-0005-0000-0000-0000DF0E0000}"/>
    <cellStyle name="20% - Ênfase3 27 3" xfId="3960" xr:uid="{00000000-0005-0000-0000-0000E00E0000}"/>
    <cellStyle name="20% - Ênfase3 28" xfId="3961" xr:uid="{00000000-0005-0000-0000-0000E10E0000}"/>
    <cellStyle name="20% - Ênfase3 28 2" xfId="3962" xr:uid="{00000000-0005-0000-0000-0000E20E0000}"/>
    <cellStyle name="20% - Ênfase3 28 2 2" xfId="3963" xr:uid="{00000000-0005-0000-0000-0000E30E0000}"/>
    <cellStyle name="20% - Ênfase3 28 3" xfId="3964" xr:uid="{00000000-0005-0000-0000-0000E40E0000}"/>
    <cellStyle name="20% - Ênfase3 29" xfId="3965" xr:uid="{00000000-0005-0000-0000-0000E50E0000}"/>
    <cellStyle name="20% - Ênfase3 3" xfId="3966" xr:uid="{00000000-0005-0000-0000-0000E60E0000}"/>
    <cellStyle name="20% - Ênfase3 3 10" xfId="3967" xr:uid="{00000000-0005-0000-0000-0000E70E0000}"/>
    <cellStyle name="20% - Ênfase3 3 10 2" xfId="3968" xr:uid="{00000000-0005-0000-0000-0000E80E0000}"/>
    <cellStyle name="20% - Ênfase3 3 10 2 2" xfId="3969" xr:uid="{00000000-0005-0000-0000-0000E90E0000}"/>
    <cellStyle name="20% - Ênfase3 3 10 3" xfId="3970" xr:uid="{00000000-0005-0000-0000-0000EA0E0000}"/>
    <cellStyle name="20% - Ênfase3 3 11" xfId="3971" xr:uid="{00000000-0005-0000-0000-0000EB0E0000}"/>
    <cellStyle name="20% - Ênfase3 3 11 2" xfId="3972" xr:uid="{00000000-0005-0000-0000-0000EC0E0000}"/>
    <cellStyle name="20% - Ênfase3 3 12" xfId="3973" xr:uid="{00000000-0005-0000-0000-0000ED0E0000}"/>
    <cellStyle name="20% - Ênfase3 3 2" xfId="3974" xr:uid="{00000000-0005-0000-0000-0000EE0E0000}"/>
    <cellStyle name="20% - Ênfase3 3 2 10" xfId="3975" xr:uid="{00000000-0005-0000-0000-0000EF0E0000}"/>
    <cellStyle name="20% - Ênfase3 3 2 2" xfId="3976" xr:uid="{00000000-0005-0000-0000-0000F00E0000}"/>
    <cellStyle name="20% - Ênfase3 3 2 2 2" xfId="3977" xr:uid="{00000000-0005-0000-0000-0000F10E0000}"/>
    <cellStyle name="20% - Ênfase3 3 2 2 2 2" xfId="3978" xr:uid="{00000000-0005-0000-0000-0000F20E0000}"/>
    <cellStyle name="20% - Ênfase3 3 2 2 2 2 2" xfId="3979" xr:uid="{00000000-0005-0000-0000-0000F30E0000}"/>
    <cellStyle name="20% - Ênfase3 3 2 2 2 2 2 2" xfId="3980" xr:uid="{00000000-0005-0000-0000-0000F40E0000}"/>
    <cellStyle name="20% - Ênfase3 3 2 2 2 2 3" xfId="3981" xr:uid="{00000000-0005-0000-0000-0000F50E0000}"/>
    <cellStyle name="20% - Ênfase3 3 2 2 2 2 3 2" xfId="3982" xr:uid="{00000000-0005-0000-0000-0000F60E0000}"/>
    <cellStyle name="20% - Ênfase3 3 2 2 2 2 4" xfId="3983" xr:uid="{00000000-0005-0000-0000-0000F70E0000}"/>
    <cellStyle name="20% - Ênfase3 3 2 2 2 3" xfId="3984" xr:uid="{00000000-0005-0000-0000-0000F80E0000}"/>
    <cellStyle name="20% - Ênfase3 3 2 2 2 3 2" xfId="3985" xr:uid="{00000000-0005-0000-0000-0000F90E0000}"/>
    <cellStyle name="20% - Ênfase3 3 2 2 2 4" xfId="3986" xr:uid="{00000000-0005-0000-0000-0000FA0E0000}"/>
    <cellStyle name="20% - Ênfase3 3 2 2 2 4 2" xfId="3987" xr:uid="{00000000-0005-0000-0000-0000FB0E0000}"/>
    <cellStyle name="20% - Ênfase3 3 2 2 2 5" xfId="3988" xr:uid="{00000000-0005-0000-0000-0000FC0E0000}"/>
    <cellStyle name="20% - Ênfase3 3 2 2 3" xfId="3989" xr:uid="{00000000-0005-0000-0000-0000FD0E0000}"/>
    <cellStyle name="20% - Ênfase3 3 2 2 3 2" xfId="3990" xr:uid="{00000000-0005-0000-0000-0000FE0E0000}"/>
    <cellStyle name="20% - Ênfase3 3 2 2 3 2 2" xfId="3991" xr:uid="{00000000-0005-0000-0000-0000FF0E0000}"/>
    <cellStyle name="20% - Ênfase3 3 2 2 3 3" xfId="3992" xr:uid="{00000000-0005-0000-0000-0000000F0000}"/>
    <cellStyle name="20% - Ênfase3 3 2 2 3 3 2" xfId="3993" xr:uid="{00000000-0005-0000-0000-0000010F0000}"/>
    <cellStyle name="20% - Ênfase3 3 2 2 3 4" xfId="3994" xr:uid="{00000000-0005-0000-0000-0000020F0000}"/>
    <cellStyle name="20% - Ênfase3 3 2 2 4" xfId="3995" xr:uid="{00000000-0005-0000-0000-0000030F0000}"/>
    <cellStyle name="20% - Ênfase3 3 2 2 4 2" xfId="3996" xr:uid="{00000000-0005-0000-0000-0000040F0000}"/>
    <cellStyle name="20% - Ênfase3 3 2 2 4 2 2" xfId="3997" xr:uid="{00000000-0005-0000-0000-0000050F0000}"/>
    <cellStyle name="20% - Ênfase3 3 2 2 4 3" xfId="3998" xr:uid="{00000000-0005-0000-0000-0000060F0000}"/>
    <cellStyle name="20% - Ênfase3 3 2 2 5" xfId="3999" xr:uid="{00000000-0005-0000-0000-0000070F0000}"/>
    <cellStyle name="20% - Ênfase3 3 2 2 5 2" xfId="4000" xr:uid="{00000000-0005-0000-0000-0000080F0000}"/>
    <cellStyle name="20% - Ênfase3 3 2 2 6" xfId="4001" xr:uid="{00000000-0005-0000-0000-0000090F0000}"/>
    <cellStyle name="20% - Ênfase3 3 2 3" xfId="4002" xr:uid="{00000000-0005-0000-0000-00000A0F0000}"/>
    <cellStyle name="20% - Ênfase3 3 2 3 2" xfId="4003" xr:uid="{00000000-0005-0000-0000-00000B0F0000}"/>
    <cellStyle name="20% - Ênfase3 3 2 3 2 2" xfId="4004" xr:uid="{00000000-0005-0000-0000-00000C0F0000}"/>
    <cellStyle name="20% - Ênfase3 3 2 3 2 2 2" xfId="4005" xr:uid="{00000000-0005-0000-0000-00000D0F0000}"/>
    <cellStyle name="20% - Ênfase3 3 2 3 2 3" xfId="4006" xr:uid="{00000000-0005-0000-0000-00000E0F0000}"/>
    <cellStyle name="20% - Ênfase3 3 2 3 2 3 2" xfId="4007" xr:uid="{00000000-0005-0000-0000-00000F0F0000}"/>
    <cellStyle name="20% - Ênfase3 3 2 3 2 4" xfId="4008" xr:uid="{00000000-0005-0000-0000-0000100F0000}"/>
    <cellStyle name="20% - Ênfase3 3 2 3 3" xfId="4009" xr:uid="{00000000-0005-0000-0000-0000110F0000}"/>
    <cellStyle name="20% - Ênfase3 3 2 3 3 2" xfId="4010" xr:uid="{00000000-0005-0000-0000-0000120F0000}"/>
    <cellStyle name="20% - Ênfase3 3 2 3 3 2 2" xfId="4011" xr:uid="{00000000-0005-0000-0000-0000130F0000}"/>
    <cellStyle name="20% - Ênfase3 3 2 3 3 3" xfId="4012" xr:uid="{00000000-0005-0000-0000-0000140F0000}"/>
    <cellStyle name="20% - Ênfase3 3 2 3 3 3 2" xfId="4013" xr:uid="{00000000-0005-0000-0000-0000150F0000}"/>
    <cellStyle name="20% - Ênfase3 3 2 3 3 4" xfId="4014" xr:uid="{00000000-0005-0000-0000-0000160F0000}"/>
    <cellStyle name="20% - Ênfase3 3 2 3 4" xfId="4015" xr:uid="{00000000-0005-0000-0000-0000170F0000}"/>
    <cellStyle name="20% - Ênfase3 3 2 3 4 2" xfId="4016" xr:uid="{00000000-0005-0000-0000-0000180F0000}"/>
    <cellStyle name="20% - Ênfase3 3 2 3 5" xfId="4017" xr:uid="{00000000-0005-0000-0000-0000190F0000}"/>
    <cellStyle name="20% - Ênfase3 3 2 3 5 2" xfId="4018" xr:uid="{00000000-0005-0000-0000-00001A0F0000}"/>
    <cellStyle name="20% - Ênfase3 3 2 3 6" xfId="4019" xr:uid="{00000000-0005-0000-0000-00001B0F0000}"/>
    <cellStyle name="20% - Ênfase3 3 2 4" xfId="4020" xr:uid="{00000000-0005-0000-0000-00001C0F0000}"/>
    <cellStyle name="20% - Ênfase3 3 2 4 2" xfId="4021" xr:uid="{00000000-0005-0000-0000-00001D0F0000}"/>
    <cellStyle name="20% - Ênfase3 3 2 4 2 2" xfId="4022" xr:uid="{00000000-0005-0000-0000-00001E0F0000}"/>
    <cellStyle name="20% - Ênfase3 3 2 4 3" xfId="4023" xr:uid="{00000000-0005-0000-0000-00001F0F0000}"/>
    <cellStyle name="20% - Ênfase3 3 2 4 3 2" xfId="4024" xr:uid="{00000000-0005-0000-0000-0000200F0000}"/>
    <cellStyle name="20% - Ênfase3 3 2 4 4" xfId="4025" xr:uid="{00000000-0005-0000-0000-0000210F0000}"/>
    <cellStyle name="20% - Ênfase3 3 2 5" xfId="4026" xr:uid="{00000000-0005-0000-0000-0000220F0000}"/>
    <cellStyle name="20% - Ênfase3 3 2 5 2" xfId="4027" xr:uid="{00000000-0005-0000-0000-0000230F0000}"/>
    <cellStyle name="20% - Ênfase3 3 2 5 2 2" xfId="4028" xr:uid="{00000000-0005-0000-0000-0000240F0000}"/>
    <cellStyle name="20% - Ênfase3 3 2 5 3" xfId="4029" xr:uid="{00000000-0005-0000-0000-0000250F0000}"/>
    <cellStyle name="20% - Ênfase3 3 2 6" xfId="4030" xr:uid="{00000000-0005-0000-0000-0000260F0000}"/>
    <cellStyle name="20% - Ênfase3 3 2 6 2" xfId="4031" xr:uid="{00000000-0005-0000-0000-0000270F0000}"/>
    <cellStyle name="20% - Ênfase3 3 2 6 2 2" xfId="4032" xr:uid="{00000000-0005-0000-0000-0000280F0000}"/>
    <cellStyle name="20% - Ênfase3 3 2 6 3" xfId="4033" xr:uid="{00000000-0005-0000-0000-0000290F0000}"/>
    <cellStyle name="20% - Ênfase3 3 2 7" xfId="4034" xr:uid="{00000000-0005-0000-0000-00002A0F0000}"/>
    <cellStyle name="20% - Ênfase3 3 2 7 2" xfId="4035" xr:uid="{00000000-0005-0000-0000-00002B0F0000}"/>
    <cellStyle name="20% - Ênfase3 3 2 7 2 2" xfId="4036" xr:uid="{00000000-0005-0000-0000-00002C0F0000}"/>
    <cellStyle name="20% - Ênfase3 3 2 7 3" xfId="4037" xr:uid="{00000000-0005-0000-0000-00002D0F0000}"/>
    <cellStyle name="20% - Ênfase3 3 2 8" xfId="4038" xr:uid="{00000000-0005-0000-0000-00002E0F0000}"/>
    <cellStyle name="20% - Ênfase3 3 2 8 2" xfId="4039" xr:uid="{00000000-0005-0000-0000-00002F0F0000}"/>
    <cellStyle name="20% - Ênfase3 3 2 8 2 2" xfId="4040" xr:uid="{00000000-0005-0000-0000-0000300F0000}"/>
    <cellStyle name="20% - Ênfase3 3 2 8 3" xfId="4041" xr:uid="{00000000-0005-0000-0000-0000310F0000}"/>
    <cellStyle name="20% - Ênfase3 3 2 9" xfId="4042" xr:uid="{00000000-0005-0000-0000-0000320F0000}"/>
    <cellStyle name="20% - Ênfase3 3 2 9 2" xfId="4043" xr:uid="{00000000-0005-0000-0000-0000330F0000}"/>
    <cellStyle name="20% - Ênfase3 3 3" xfId="4044" xr:uid="{00000000-0005-0000-0000-0000340F0000}"/>
    <cellStyle name="20% - Ênfase3 3 3 2" xfId="4045" xr:uid="{00000000-0005-0000-0000-0000350F0000}"/>
    <cellStyle name="20% - Ênfase3 3 3 2 2" xfId="4046" xr:uid="{00000000-0005-0000-0000-0000360F0000}"/>
    <cellStyle name="20% - Ênfase3 3 3 2 2 2" xfId="4047" xr:uid="{00000000-0005-0000-0000-0000370F0000}"/>
    <cellStyle name="20% - Ênfase3 3 3 2 2 2 2" xfId="4048" xr:uid="{00000000-0005-0000-0000-0000380F0000}"/>
    <cellStyle name="20% - Ênfase3 3 3 2 2 3" xfId="4049" xr:uid="{00000000-0005-0000-0000-0000390F0000}"/>
    <cellStyle name="20% - Ênfase3 3 3 2 2 3 2" xfId="4050" xr:uid="{00000000-0005-0000-0000-00003A0F0000}"/>
    <cellStyle name="20% - Ênfase3 3 3 2 2 4" xfId="4051" xr:uid="{00000000-0005-0000-0000-00003B0F0000}"/>
    <cellStyle name="20% - Ênfase3 3 3 2 3" xfId="4052" xr:uid="{00000000-0005-0000-0000-00003C0F0000}"/>
    <cellStyle name="20% - Ênfase3 3 3 2 3 2" xfId="4053" xr:uid="{00000000-0005-0000-0000-00003D0F0000}"/>
    <cellStyle name="20% - Ênfase3 3 3 2 4" xfId="4054" xr:uid="{00000000-0005-0000-0000-00003E0F0000}"/>
    <cellStyle name="20% - Ênfase3 3 3 2 4 2" xfId="4055" xr:uid="{00000000-0005-0000-0000-00003F0F0000}"/>
    <cellStyle name="20% - Ênfase3 3 3 2 5" xfId="4056" xr:uid="{00000000-0005-0000-0000-0000400F0000}"/>
    <cellStyle name="20% - Ênfase3 3 3 3" xfId="4057" xr:uid="{00000000-0005-0000-0000-0000410F0000}"/>
    <cellStyle name="20% - Ênfase3 3 3 3 2" xfId="4058" xr:uid="{00000000-0005-0000-0000-0000420F0000}"/>
    <cellStyle name="20% - Ênfase3 3 3 3 2 2" xfId="4059" xr:uid="{00000000-0005-0000-0000-0000430F0000}"/>
    <cellStyle name="20% - Ênfase3 3 3 3 3" xfId="4060" xr:uid="{00000000-0005-0000-0000-0000440F0000}"/>
    <cellStyle name="20% - Ênfase3 3 3 3 3 2" xfId="4061" xr:uid="{00000000-0005-0000-0000-0000450F0000}"/>
    <cellStyle name="20% - Ênfase3 3 3 3 4" xfId="4062" xr:uid="{00000000-0005-0000-0000-0000460F0000}"/>
    <cellStyle name="20% - Ênfase3 3 3 4" xfId="4063" xr:uid="{00000000-0005-0000-0000-0000470F0000}"/>
    <cellStyle name="20% - Ênfase3 3 3 4 2" xfId="4064" xr:uid="{00000000-0005-0000-0000-0000480F0000}"/>
    <cellStyle name="20% - Ênfase3 3 3 4 2 2" xfId="4065" xr:uid="{00000000-0005-0000-0000-0000490F0000}"/>
    <cellStyle name="20% - Ênfase3 3 3 4 3" xfId="4066" xr:uid="{00000000-0005-0000-0000-00004A0F0000}"/>
    <cellStyle name="20% - Ênfase3 3 3 5" xfId="4067" xr:uid="{00000000-0005-0000-0000-00004B0F0000}"/>
    <cellStyle name="20% - Ênfase3 3 3 5 2" xfId="4068" xr:uid="{00000000-0005-0000-0000-00004C0F0000}"/>
    <cellStyle name="20% - Ênfase3 3 3 6" xfId="4069" xr:uid="{00000000-0005-0000-0000-00004D0F0000}"/>
    <cellStyle name="20% - Ênfase3 3 4" xfId="4070" xr:uid="{00000000-0005-0000-0000-00004E0F0000}"/>
    <cellStyle name="20% - Ênfase3 3 4 2" xfId="4071" xr:uid="{00000000-0005-0000-0000-00004F0F0000}"/>
    <cellStyle name="20% - Ênfase3 3 4 2 2" xfId="4072" xr:uid="{00000000-0005-0000-0000-0000500F0000}"/>
    <cellStyle name="20% - Ênfase3 3 4 2 2 2" xfId="4073" xr:uid="{00000000-0005-0000-0000-0000510F0000}"/>
    <cellStyle name="20% - Ênfase3 3 4 2 3" xfId="4074" xr:uid="{00000000-0005-0000-0000-0000520F0000}"/>
    <cellStyle name="20% - Ênfase3 3 4 2 3 2" xfId="4075" xr:uid="{00000000-0005-0000-0000-0000530F0000}"/>
    <cellStyle name="20% - Ênfase3 3 4 2 4" xfId="4076" xr:uid="{00000000-0005-0000-0000-0000540F0000}"/>
    <cellStyle name="20% - Ênfase3 3 4 3" xfId="4077" xr:uid="{00000000-0005-0000-0000-0000550F0000}"/>
    <cellStyle name="20% - Ênfase3 3 4 3 2" xfId="4078" xr:uid="{00000000-0005-0000-0000-0000560F0000}"/>
    <cellStyle name="20% - Ênfase3 3 4 3 2 2" xfId="4079" xr:uid="{00000000-0005-0000-0000-0000570F0000}"/>
    <cellStyle name="20% - Ênfase3 3 4 3 3" xfId="4080" xr:uid="{00000000-0005-0000-0000-0000580F0000}"/>
    <cellStyle name="20% - Ênfase3 3 4 3 3 2" xfId="4081" xr:uid="{00000000-0005-0000-0000-0000590F0000}"/>
    <cellStyle name="20% - Ênfase3 3 4 3 4" xfId="4082" xr:uid="{00000000-0005-0000-0000-00005A0F0000}"/>
    <cellStyle name="20% - Ênfase3 3 4 4" xfId="4083" xr:uid="{00000000-0005-0000-0000-00005B0F0000}"/>
    <cellStyle name="20% - Ênfase3 3 4 4 2" xfId="4084" xr:uid="{00000000-0005-0000-0000-00005C0F0000}"/>
    <cellStyle name="20% - Ênfase3 3 4 5" xfId="4085" xr:uid="{00000000-0005-0000-0000-00005D0F0000}"/>
    <cellStyle name="20% - Ênfase3 3 4 5 2" xfId="4086" xr:uid="{00000000-0005-0000-0000-00005E0F0000}"/>
    <cellStyle name="20% - Ênfase3 3 4 6" xfId="4087" xr:uid="{00000000-0005-0000-0000-00005F0F0000}"/>
    <cellStyle name="20% - Ênfase3 3 5" xfId="4088" xr:uid="{00000000-0005-0000-0000-0000600F0000}"/>
    <cellStyle name="20% - Ênfase3 3 5 2" xfId="4089" xr:uid="{00000000-0005-0000-0000-0000610F0000}"/>
    <cellStyle name="20% - Ênfase3 3 5 2 2" xfId="4090" xr:uid="{00000000-0005-0000-0000-0000620F0000}"/>
    <cellStyle name="20% - Ênfase3 3 5 2 2 2" xfId="4091" xr:uid="{00000000-0005-0000-0000-0000630F0000}"/>
    <cellStyle name="20% - Ênfase3 3 5 2 3" xfId="4092" xr:uid="{00000000-0005-0000-0000-0000640F0000}"/>
    <cellStyle name="20% - Ênfase3 3 5 2 3 2" xfId="4093" xr:uid="{00000000-0005-0000-0000-0000650F0000}"/>
    <cellStyle name="20% - Ênfase3 3 5 2 4" xfId="4094" xr:uid="{00000000-0005-0000-0000-0000660F0000}"/>
    <cellStyle name="20% - Ênfase3 3 5 3" xfId="4095" xr:uid="{00000000-0005-0000-0000-0000670F0000}"/>
    <cellStyle name="20% - Ênfase3 3 5 3 2" xfId="4096" xr:uid="{00000000-0005-0000-0000-0000680F0000}"/>
    <cellStyle name="20% - Ênfase3 3 5 3 2 2" xfId="4097" xr:uid="{00000000-0005-0000-0000-0000690F0000}"/>
    <cellStyle name="20% - Ênfase3 3 5 3 3" xfId="4098" xr:uid="{00000000-0005-0000-0000-00006A0F0000}"/>
    <cellStyle name="20% - Ênfase3 3 5 3 3 2" xfId="4099" xr:uid="{00000000-0005-0000-0000-00006B0F0000}"/>
    <cellStyle name="20% - Ênfase3 3 5 3 4" xfId="4100" xr:uid="{00000000-0005-0000-0000-00006C0F0000}"/>
    <cellStyle name="20% - Ênfase3 3 5 4" xfId="4101" xr:uid="{00000000-0005-0000-0000-00006D0F0000}"/>
    <cellStyle name="20% - Ênfase3 3 5 4 2" xfId="4102" xr:uid="{00000000-0005-0000-0000-00006E0F0000}"/>
    <cellStyle name="20% - Ênfase3 3 5 5" xfId="4103" xr:uid="{00000000-0005-0000-0000-00006F0F0000}"/>
    <cellStyle name="20% - Ênfase3 3 5 5 2" xfId="4104" xr:uid="{00000000-0005-0000-0000-0000700F0000}"/>
    <cellStyle name="20% - Ênfase3 3 5 6" xfId="4105" xr:uid="{00000000-0005-0000-0000-0000710F0000}"/>
    <cellStyle name="20% - Ênfase3 3 6" xfId="4106" xr:uid="{00000000-0005-0000-0000-0000720F0000}"/>
    <cellStyle name="20% - Ênfase3 3 6 2" xfId="4107" xr:uid="{00000000-0005-0000-0000-0000730F0000}"/>
    <cellStyle name="20% - Ênfase3 3 6 2 2" xfId="4108" xr:uid="{00000000-0005-0000-0000-0000740F0000}"/>
    <cellStyle name="20% - Ênfase3 3 6 3" xfId="4109" xr:uid="{00000000-0005-0000-0000-0000750F0000}"/>
    <cellStyle name="20% - Ênfase3 3 6 3 2" xfId="4110" xr:uid="{00000000-0005-0000-0000-0000760F0000}"/>
    <cellStyle name="20% - Ênfase3 3 6 4" xfId="4111" xr:uid="{00000000-0005-0000-0000-0000770F0000}"/>
    <cellStyle name="20% - Ênfase3 3 7" xfId="4112" xr:uid="{00000000-0005-0000-0000-0000780F0000}"/>
    <cellStyle name="20% - Ênfase3 3 7 2" xfId="4113" xr:uid="{00000000-0005-0000-0000-0000790F0000}"/>
    <cellStyle name="20% - Ênfase3 3 7 2 2" xfId="4114" xr:uid="{00000000-0005-0000-0000-00007A0F0000}"/>
    <cellStyle name="20% - Ênfase3 3 7 3" xfId="4115" xr:uid="{00000000-0005-0000-0000-00007B0F0000}"/>
    <cellStyle name="20% - Ênfase3 3 8" xfId="4116" xr:uid="{00000000-0005-0000-0000-00007C0F0000}"/>
    <cellStyle name="20% - Ênfase3 3 8 2" xfId="4117" xr:uid="{00000000-0005-0000-0000-00007D0F0000}"/>
    <cellStyle name="20% - Ênfase3 3 8 2 2" xfId="4118" xr:uid="{00000000-0005-0000-0000-00007E0F0000}"/>
    <cellStyle name="20% - Ênfase3 3 8 3" xfId="4119" xr:uid="{00000000-0005-0000-0000-00007F0F0000}"/>
    <cellStyle name="20% - Ênfase3 3 9" xfId="4120" xr:uid="{00000000-0005-0000-0000-0000800F0000}"/>
    <cellStyle name="20% - Ênfase3 3 9 2" xfId="4121" xr:uid="{00000000-0005-0000-0000-0000810F0000}"/>
    <cellStyle name="20% - Ênfase3 3 9 2 2" xfId="4122" xr:uid="{00000000-0005-0000-0000-0000820F0000}"/>
    <cellStyle name="20% - Ênfase3 3 9 3" xfId="4123" xr:uid="{00000000-0005-0000-0000-0000830F0000}"/>
    <cellStyle name="20% - Ênfase3 30" xfId="4124" xr:uid="{00000000-0005-0000-0000-0000840F0000}"/>
    <cellStyle name="20% - Ênfase3 31" xfId="4125" xr:uid="{00000000-0005-0000-0000-0000850F0000}"/>
    <cellStyle name="20% - Ênfase3 32" xfId="4126" xr:uid="{00000000-0005-0000-0000-0000860F0000}"/>
    <cellStyle name="20% - Ênfase3 33" xfId="4127" xr:uid="{00000000-0005-0000-0000-0000870F0000}"/>
    <cellStyle name="20% - Ênfase3 4" xfId="4128" xr:uid="{00000000-0005-0000-0000-0000880F0000}"/>
    <cellStyle name="20% - Ênfase3 4 10" xfId="4129" xr:uid="{00000000-0005-0000-0000-0000890F0000}"/>
    <cellStyle name="20% - Ênfase3 4 10 2" xfId="4130" xr:uid="{00000000-0005-0000-0000-00008A0F0000}"/>
    <cellStyle name="20% - Ênfase3 4 11" xfId="4131" xr:uid="{00000000-0005-0000-0000-00008B0F0000}"/>
    <cellStyle name="20% - Ênfase3 4 2" xfId="4132" xr:uid="{00000000-0005-0000-0000-00008C0F0000}"/>
    <cellStyle name="20% - Ênfase3 4 2 2" xfId="4133" xr:uid="{00000000-0005-0000-0000-00008D0F0000}"/>
    <cellStyle name="20% - Ênfase3 4 2 2 2" xfId="4134" xr:uid="{00000000-0005-0000-0000-00008E0F0000}"/>
    <cellStyle name="20% - Ênfase3 4 2 2 2 2" xfId="4135" xr:uid="{00000000-0005-0000-0000-00008F0F0000}"/>
    <cellStyle name="20% - Ênfase3 4 2 2 2 2 2" xfId="4136" xr:uid="{00000000-0005-0000-0000-0000900F0000}"/>
    <cellStyle name="20% - Ênfase3 4 2 2 2 3" xfId="4137" xr:uid="{00000000-0005-0000-0000-0000910F0000}"/>
    <cellStyle name="20% - Ênfase3 4 2 2 2 3 2" xfId="4138" xr:uid="{00000000-0005-0000-0000-0000920F0000}"/>
    <cellStyle name="20% - Ênfase3 4 2 2 2 4" xfId="4139" xr:uid="{00000000-0005-0000-0000-0000930F0000}"/>
    <cellStyle name="20% - Ênfase3 4 2 2 3" xfId="4140" xr:uid="{00000000-0005-0000-0000-0000940F0000}"/>
    <cellStyle name="20% - Ênfase3 4 2 2 3 2" xfId="4141" xr:uid="{00000000-0005-0000-0000-0000950F0000}"/>
    <cellStyle name="20% - Ênfase3 4 2 2 3 2 2" xfId="4142" xr:uid="{00000000-0005-0000-0000-0000960F0000}"/>
    <cellStyle name="20% - Ênfase3 4 2 2 3 3" xfId="4143" xr:uid="{00000000-0005-0000-0000-0000970F0000}"/>
    <cellStyle name="20% - Ênfase3 4 2 2 3 3 2" xfId="4144" xr:uid="{00000000-0005-0000-0000-0000980F0000}"/>
    <cellStyle name="20% - Ênfase3 4 2 2 3 4" xfId="4145" xr:uid="{00000000-0005-0000-0000-0000990F0000}"/>
    <cellStyle name="20% - Ênfase3 4 2 2 4" xfId="4146" xr:uid="{00000000-0005-0000-0000-00009A0F0000}"/>
    <cellStyle name="20% - Ênfase3 4 2 2 4 2" xfId="4147" xr:uid="{00000000-0005-0000-0000-00009B0F0000}"/>
    <cellStyle name="20% - Ênfase3 4 2 2 5" xfId="4148" xr:uid="{00000000-0005-0000-0000-00009C0F0000}"/>
    <cellStyle name="20% - Ênfase3 4 2 2 5 2" xfId="4149" xr:uid="{00000000-0005-0000-0000-00009D0F0000}"/>
    <cellStyle name="20% - Ênfase3 4 2 2 6" xfId="4150" xr:uid="{00000000-0005-0000-0000-00009E0F0000}"/>
    <cellStyle name="20% - Ênfase3 4 2 3" xfId="4151" xr:uid="{00000000-0005-0000-0000-00009F0F0000}"/>
    <cellStyle name="20% - Ênfase3 4 2 3 2" xfId="4152" xr:uid="{00000000-0005-0000-0000-0000A00F0000}"/>
    <cellStyle name="20% - Ênfase3 4 2 3 2 2" xfId="4153" xr:uid="{00000000-0005-0000-0000-0000A10F0000}"/>
    <cellStyle name="20% - Ênfase3 4 2 3 3" xfId="4154" xr:uid="{00000000-0005-0000-0000-0000A20F0000}"/>
    <cellStyle name="20% - Ênfase3 4 2 3 3 2" xfId="4155" xr:uid="{00000000-0005-0000-0000-0000A30F0000}"/>
    <cellStyle name="20% - Ênfase3 4 2 3 4" xfId="4156" xr:uid="{00000000-0005-0000-0000-0000A40F0000}"/>
    <cellStyle name="20% - Ênfase3 4 2 4" xfId="4157" xr:uid="{00000000-0005-0000-0000-0000A50F0000}"/>
    <cellStyle name="20% - Ênfase3 4 2 4 2" xfId="4158" xr:uid="{00000000-0005-0000-0000-0000A60F0000}"/>
    <cellStyle name="20% - Ênfase3 4 2 4 2 2" xfId="4159" xr:uid="{00000000-0005-0000-0000-0000A70F0000}"/>
    <cellStyle name="20% - Ênfase3 4 2 4 3" xfId="4160" xr:uid="{00000000-0005-0000-0000-0000A80F0000}"/>
    <cellStyle name="20% - Ênfase3 4 2 5" xfId="4161" xr:uid="{00000000-0005-0000-0000-0000A90F0000}"/>
    <cellStyle name="20% - Ênfase3 4 2 5 2" xfId="4162" xr:uid="{00000000-0005-0000-0000-0000AA0F0000}"/>
    <cellStyle name="20% - Ênfase3 4 2 5 2 2" xfId="4163" xr:uid="{00000000-0005-0000-0000-0000AB0F0000}"/>
    <cellStyle name="20% - Ênfase3 4 2 5 3" xfId="4164" xr:uid="{00000000-0005-0000-0000-0000AC0F0000}"/>
    <cellStyle name="20% - Ênfase3 4 2 6" xfId="4165" xr:uid="{00000000-0005-0000-0000-0000AD0F0000}"/>
    <cellStyle name="20% - Ênfase3 4 2 6 2" xfId="4166" xr:uid="{00000000-0005-0000-0000-0000AE0F0000}"/>
    <cellStyle name="20% - Ênfase3 4 2 6 2 2" xfId="4167" xr:uid="{00000000-0005-0000-0000-0000AF0F0000}"/>
    <cellStyle name="20% - Ênfase3 4 2 6 3" xfId="4168" xr:uid="{00000000-0005-0000-0000-0000B00F0000}"/>
    <cellStyle name="20% - Ênfase3 4 2 7" xfId="4169" xr:uid="{00000000-0005-0000-0000-0000B10F0000}"/>
    <cellStyle name="20% - Ênfase3 4 2 7 2" xfId="4170" xr:uid="{00000000-0005-0000-0000-0000B20F0000}"/>
    <cellStyle name="20% - Ênfase3 4 2 7 2 2" xfId="4171" xr:uid="{00000000-0005-0000-0000-0000B30F0000}"/>
    <cellStyle name="20% - Ênfase3 4 2 7 3" xfId="4172" xr:uid="{00000000-0005-0000-0000-0000B40F0000}"/>
    <cellStyle name="20% - Ênfase3 4 2 8" xfId="4173" xr:uid="{00000000-0005-0000-0000-0000B50F0000}"/>
    <cellStyle name="20% - Ênfase3 4 2 8 2" xfId="4174" xr:uid="{00000000-0005-0000-0000-0000B60F0000}"/>
    <cellStyle name="20% - Ênfase3 4 2 9" xfId="4175" xr:uid="{00000000-0005-0000-0000-0000B70F0000}"/>
    <cellStyle name="20% - Ênfase3 4 3" xfId="4176" xr:uid="{00000000-0005-0000-0000-0000B80F0000}"/>
    <cellStyle name="20% - Ênfase3 4 3 2" xfId="4177" xr:uid="{00000000-0005-0000-0000-0000B90F0000}"/>
    <cellStyle name="20% - Ênfase3 4 3 2 2" xfId="4178" xr:uid="{00000000-0005-0000-0000-0000BA0F0000}"/>
    <cellStyle name="20% - Ênfase3 4 3 2 2 2" xfId="4179" xr:uid="{00000000-0005-0000-0000-0000BB0F0000}"/>
    <cellStyle name="20% - Ênfase3 4 3 2 3" xfId="4180" xr:uid="{00000000-0005-0000-0000-0000BC0F0000}"/>
    <cellStyle name="20% - Ênfase3 4 3 2 3 2" xfId="4181" xr:uid="{00000000-0005-0000-0000-0000BD0F0000}"/>
    <cellStyle name="20% - Ênfase3 4 3 2 4" xfId="4182" xr:uid="{00000000-0005-0000-0000-0000BE0F0000}"/>
    <cellStyle name="20% - Ênfase3 4 3 3" xfId="4183" xr:uid="{00000000-0005-0000-0000-0000BF0F0000}"/>
    <cellStyle name="20% - Ênfase3 4 3 3 2" xfId="4184" xr:uid="{00000000-0005-0000-0000-0000C00F0000}"/>
    <cellStyle name="20% - Ênfase3 4 3 3 2 2" xfId="4185" xr:uid="{00000000-0005-0000-0000-0000C10F0000}"/>
    <cellStyle name="20% - Ênfase3 4 3 3 3" xfId="4186" xr:uid="{00000000-0005-0000-0000-0000C20F0000}"/>
    <cellStyle name="20% - Ênfase3 4 3 3 3 2" xfId="4187" xr:uid="{00000000-0005-0000-0000-0000C30F0000}"/>
    <cellStyle name="20% - Ênfase3 4 3 3 4" xfId="4188" xr:uid="{00000000-0005-0000-0000-0000C40F0000}"/>
    <cellStyle name="20% - Ênfase3 4 3 4" xfId="4189" xr:uid="{00000000-0005-0000-0000-0000C50F0000}"/>
    <cellStyle name="20% - Ênfase3 4 3 4 2" xfId="4190" xr:uid="{00000000-0005-0000-0000-0000C60F0000}"/>
    <cellStyle name="20% - Ênfase3 4 3 5" xfId="4191" xr:uid="{00000000-0005-0000-0000-0000C70F0000}"/>
    <cellStyle name="20% - Ênfase3 4 3 5 2" xfId="4192" xr:uid="{00000000-0005-0000-0000-0000C80F0000}"/>
    <cellStyle name="20% - Ênfase3 4 3 6" xfId="4193" xr:uid="{00000000-0005-0000-0000-0000C90F0000}"/>
    <cellStyle name="20% - Ênfase3 4 4" xfId="4194" xr:uid="{00000000-0005-0000-0000-0000CA0F0000}"/>
    <cellStyle name="20% - Ênfase3 4 4 2" xfId="4195" xr:uid="{00000000-0005-0000-0000-0000CB0F0000}"/>
    <cellStyle name="20% - Ênfase3 4 4 2 2" xfId="4196" xr:uid="{00000000-0005-0000-0000-0000CC0F0000}"/>
    <cellStyle name="20% - Ênfase3 4 4 2 2 2" xfId="4197" xr:uid="{00000000-0005-0000-0000-0000CD0F0000}"/>
    <cellStyle name="20% - Ênfase3 4 4 2 3" xfId="4198" xr:uid="{00000000-0005-0000-0000-0000CE0F0000}"/>
    <cellStyle name="20% - Ênfase3 4 4 2 3 2" xfId="4199" xr:uid="{00000000-0005-0000-0000-0000CF0F0000}"/>
    <cellStyle name="20% - Ênfase3 4 4 2 4" xfId="4200" xr:uid="{00000000-0005-0000-0000-0000D00F0000}"/>
    <cellStyle name="20% - Ênfase3 4 4 3" xfId="4201" xr:uid="{00000000-0005-0000-0000-0000D10F0000}"/>
    <cellStyle name="20% - Ênfase3 4 4 3 2" xfId="4202" xr:uid="{00000000-0005-0000-0000-0000D20F0000}"/>
    <cellStyle name="20% - Ênfase3 4 4 3 2 2" xfId="4203" xr:uid="{00000000-0005-0000-0000-0000D30F0000}"/>
    <cellStyle name="20% - Ênfase3 4 4 3 3" xfId="4204" xr:uid="{00000000-0005-0000-0000-0000D40F0000}"/>
    <cellStyle name="20% - Ênfase3 4 4 3 3 2" xfId="4205" xr:uid="{00000000-0005-0000-0000-0000D50F0000}"/>
    <cellStyle name="20% - Ênfase3 4 4 3 4" xfId="4206" xr:uid="{00000000-0005-0000-0000-0000D60F0000}"/>
    <cellStyle name="20% - Ênfase3 4 4 4" xfId="4207" xr:uid="{00000000-0005-0000-0000-0000D70F0000}"/>
    <cellStyle name="20% - Ênfase3 4 4 4 2" xfId="4208" xr:uid="{00000000-0005-0000-0000-0000D80F0000}"/>
    <cellStyle name="20% - Ênfase3 4 4 5" xfId="4209" xr:uid="{00000000-0005-0000-0000-0000D90F0000}"/>
    <cellStyle name="20% - Ênfase3 4 4 5 2" xfId="4210" xr:uid="{00000000-0005-0000-0000-0000DA0F0000}"/>
    <cellStyle name="20% - Ênfase3 4 4 6" xfId="4211" xr:uid="{00000000-0005-0000-0000-0000DB0F0000}"/>
    <cellStyle name="20% - Ênfase3 4 5" xfId="4212" xr:uid="{00000000-0005-0000-0000-0000DC0F0000}"/>
    <cellStyle name="20% - Ênfase3 4 5 2" xfId="4213" xr:uid="{00000000-0005-0000-0000-0000DD0F0000}"/>
    <cellStyle name="20% - Ênfase3 4 5 2 2" xfId="4214" xr:uid="{00000000-0005-0000-0000-0000DE0F0000}"/>
    <cellStyle name="20% - Ênfase3 4 5 3" xfId="4215" xr:uid="{00000000-0005-0000-0000-0000DF0F0000}"/>
    <cellStyle name="20% - Ênfase3 4 5 3 2" xfId="4216" xr:uid="{00000000-0005-0000-0000-0000E00F0000}"/>
    <cellStyle name="20% - Ênfase3 4 5 4" xfId="4217" xr:uid="{00000000-0005-0000-0000-0000E10F0000}"/>
    <cellStyle name="20% - Ênfase3 4 6" xfId="4218" xr:uid="{00000000-0005-0000-0000-0000E20F0000}"/>
    <cellStyle name="20% - Ênfase3 4 6 2" xfId="4219" xr:uid="{00000000-0005-0000-0000-0000E30F0000}"/>
    <cellStyle name="20% - Ênfase3 4 6 2 2" xfId="4220" xr:uid="{00000000-0005-0000-0000-0000E40F0000}"/>
    <cellStyle name="20% - Ênfase3 4 6 3" xfId="4221" xr:uid="{00000000-0005-0000-0000-0000E50F0000}"/>
    <cellStyle name="20% - Ênfase3 4 7" xfId="4222" xr:uid="{00000000-0005-0000-0000-0000E60F0000}"/>
    <cellStyle name="20% - Ênfase3 4 7 2" xfId="4223" xr:uid="{00000000-0005-0000-0000-0000E70F0000}"/>
    <cellStyle name="20% - Ênfase3 4 7 2 2" xfId="4224" xr:uid="{00000000-0005-0000-0000-0000E80F0000}"/>
    <cellStyle name="20% - Ênfase3 4 7 3" xfId="4225" xr:uid="{00000000-0005-0000-0000-0000E90F0000}"/>
    <cellStyle name="20% - Ênfase3 4 8" xfId="4226" xr:uid="{00000000-0005-0000-0000-0000EA0F0000}"/>
    <cellStyle name="20% - Ênfase3 4 8 2" xfId="4227" xr:uid="{00000000-0005-0000-0000-0000EB0F0000}"/>
    <cellStyle name="20% - Ênfase3 4 8 2 2" xfId="4228" xr:uid="{00000000-0005-0000-0000-0000EC0F0000}"/>
    <cellStyle name="20% - Ênfase3 4 8 3" xfId="4229" xr:uid="{00000000-0005-0000-0000-0000ED0F0000}"/>
    <cellStyle name="20% - Ênfase3 4 9" xfId="4230" xr:uid="{00000000-0005-0000-0000-0000EE0F0000}"/>
    <cellStyle name="20% - Ênfase3 4 9 2" xfId="4231" xr:uid="{00000000-0005-0000-0000-0000EF0F0000}"/>
    <cellStyle name="20% - Ênfase3 4 9 2 2" xfId="4232" xr:uid="{00000000-0005-0000-0000-0000F00F0000}"/>
    <cellStyle name="20% - Ênfase3 4 9 3" xfId="4233" xr:uid="{00000000-0005-0000-0000-0000F10F0000}"/>
    <cellStyle name="20% - Ênfase3 5" xfId="4234" xr:uid="{00000000-0005-0000-0000-0000F20F0000}"/>
    <cellStyle name="20% - Ênfase3 5 10" xfId="4235" xr:uid="{00000000-0005-0000-0000-0000F30F0000}"/>
    <cellStyle name="20% - Ênfase3 5 2" xfId="4236" xr:uid="{00000000-0005-0000-0000-0000F40F0000}"/>
    <cellStyle name="20% - Ênfase3 5 2 2" xfId="4237" xr:uid="{00000000-0005-0000-0000-0000F50F0000}"/>
    <cellStyle name="20% - Ênfase3 5 2 2 2" xfId="4238" xr:uid="{00000000-0005-0000-0000-0000F60F0000}"/>
    <cellStyle name="20% - Ênfase3 5 2 2 2 2" xfId="4239" xr:uid="{00000000-0005-0000-0000-0000F70F0000}"/>
    <cellStyle name="20% - Ênfase3 5 2 2 2 2 2" xfId="4240" xr:uid="{00000000-0005-0000-0000-0000F80F0000}"/>
    <cellStyle name="20% - Ênfase3 5 2 2 2 3" xfId="4241" xr:uid="{00000000-0005-0000-0000-0000F90F0000}"/>
    <cellStyle name="20% - Ênfase3 5 2 2 2 3 2" xfId="4242" xr:uid="{00000000-0005-0000-0000-0000FA0F0000}"/>
    <cellStyle name="20% - Ênfase3 5 2 2 2 4" xfId="4243" xr:uid="{00000000-0005-0000-0000-0000FB0F0000}"/>
    <cellStyle name="20% - Ênfase3 5 2 2 3" xfId="4244" xr:uid="{00000000-0005-0000-0000-0000FC0F0000}"/>
    <cellStyle name="20% - Ênfase3 5 2 2 3 2" xfId="4245" xr:uid="{00000000-0005-0000-0000-0000FD0F0000}"/>
    <cellStyle name="20% - Ênfase3 5 2 2 4" xfId="4246" xr:uid="{00000000-0005-0000-0000-0000FE0F0000}"/>
    <cellStyle name="20% - Ênfase3 5 2 2 4 2" xfId="4247" xr:uid="{00000000-0005-0000-0000-0000FF0F0000}"/>
    <cellStyle name="20% - Ênfase3 5 2 2 5" xfId="4248" xr:uid="{00000000-0005-0000-0000-000000100000}"/>
    <cellStyle name="20% - Ênfase3 5 2 3" xfId="4249" xr:uid="{00000000-0005-0000-0000-000001100000}"/>
    <cellStyle name="20% - Ênfase3 5 2 3 2" xfId="4250" xr:uid="{00000000-0005-0000-0000-000002100000}"/>
    <cellStyle name="20% - Ênfase3 5 2 3 2 2" xfId="4251" xr:uid="{00000000-0005-0000-0000-000003100000}"/>
    <cellStyle name="20% - Ênfase3 5 2 3 3" xfId="4252" xr:uid="{00000000-0005-0000-0000-000004100000}"/>
    <cellStyle name="20% - Ênfase3 5 2 3 3 2" xfId="4253" xr:uid="{00000000-0005-0000-0000-000005100000}"/>
    <cellStyle name="20% - Ênfase3 5 2 3 4" xfId="4254" xr:uid="{00000000-0005-0000-0000-000006100000}"/>
    <cellStyle name="20% - Ênfase3 5 2 4" xfId="4255" xr:uid="{00000000-0005-0000-0000-000007100000}"/>
    <cellStyle name="20% - Ênfase3 5 2 4 2" xfId="4256" xr:uid="{00000000-0005-0000-0000-000008100000}"/>
    <cellStyle name="20% - Ênfase3 5 2 4 2 2" xfId="4257" xr:uid="{00000000-0005-0000-0000-000009100000}"/>
    <cellStyle name="20% - Ênfase3 5 2 4 3" xfId="4258" xr:uid="{00000000-0005-0000-0000-00000A100000}"/>
    <cellStyle name="20% - Ênfase3 5 2 5" xfId="4259" xr:uid="{00000000-0005-0000-0000-00000B100000}"/>
    <cellStyle name="20% - Ênfase3 5 2 5 2" xfId="4260" xr:uid="{00000000-0005-0000-0000-00000C100000}"/>
    <cellStyle name="20% - Ênfase3 5 2 6" xfId="4261" xr:uid="{00000000-0005-0000-0000-00000D100000}"/>
    <cellStyle name="20% - Ênfase3 5 3" xfId="4262" xr:uid="{00000000-0005-0000-0000-00000E100000}"/>
    <cellStyle name="20% - Ênfase3 5 3 2" xfId="4263" xr:uid="{00000000-0005-0000-0000-00000F100000}"/>
    <cellStyle name="20% - Ênfase3 5 3 2 2" xfId="4264" xr:uid="{00000000-0005-0000-0000-000010100000}"/>
    <cellStyle name="20% - Ênfase3 5 3 2 2 2" xfId="4265" xr:uid="{00000000-0005-0000-0000-000011100000}"/>
    <cellStyle name="20% - Ênfase3 5 3 2 3" xfId="4266" xr:uid="{00000000-0005-0000-0000-000012100000}"/>
    <cellStyle name="20% - Ênfase3 5 3 2 3 2" xfId="4267" xr:uid="{00000000-0005-0000-0000-000013100000}"/>
    <cellStyle name="20% - Ênfase3 5 3 2 4" xfId="4268" xr:uid="{00000000-0005-0000-0000-000014100000}"/>
    <cellStyle name="20% - Ênfase3 5 3 3" xfId="4269" xr:uid="{00000000-0005-0000-0000-000015100000}"/>
    <cellStyle name="20% - Ênfase3 5 3 3 2" xfId="4270" xr:uid="{00000000-0005-0000-0000-000016100000}"/>
    <cellStyle name="20% - Ênfase3 5 3 3 2 2" xfId="4271" xr:uid="{00000000-0005-0000-0000-000017100000}"/>
    <cellStyle name="20% - Ênfase3 5 3 3 3" xfId="4272" xr:uid="{00000000-0005-0000-0000-000018100000}"/>
    <cellStyle name="20% - Ênfase3 5 3 3 3 2" xfId="4273" xr:uid="{00000000-0005-0000-0000-000019100000}"/>
    <cellStyle name="20% - Ênfase3 5 3 3 4" xfId="4274" xr:uid="{00000000-0005-0000-0000-00001A100000}"/>
    <cellStyle name="20% - Ênfase3 5 3 4" xfId="4275" xr:uid="{00000000-0005-0000-0000-00001B100000}"/>
    <cellStyle name="20% - Ênfase3 5 3 4 2" xfId="4276" xr:uid="{00000000-0005-0000-0000-00001C100000}"/>
    <cellStyle name="20% - Ênfase3 5 3 5" xfId="4277" xr:uid="{00000000-0005-0000-0000-00001D100000}"/>
    <cellStyle name="20% - Ênfase3 5 3 5 2" xfId="4278" xr:uid="{00000000-0005-0000-0000-00001E100000}"/>
    <cellStyle name="20% - Ênfase3 5 3 6" xfId="4279" xr:uid="{00000000-0005-0000-0000-00001F100000}"/>
    <cellStyle name="20% - Ênfase3 5 4" xfId="4280" xr:uid="{00000000-0005-0000-0000-000020100000}"/>
    <cellStyle name="20% - Ênfase3 5 4 2" xfId="4281" xr:uid="{00000000-0005-0000-0000-000021100000}"/>
    <cellStyle name="20% - Ênfase3 5 4 2 2" xfId="4282" xr:uid="{00000000-0005-0000-0000-000022100000}"/>
    <cellStyle name="20% - Ênfase3 5 4 3" xfId="4283" xr:uid="{00000000-0005-0000-0000-000023100000}"/>
    <cellStyle name="20% - Ênfase3 5 4 3 2" xfId="4284" xr:uid="{00000000-0005-0000-0000-000024100000}"/>
    <cellStyle name="20% - Ênfase3 5 4 4" xfId="4285" xr:uid="{00000000-0005-0000-0000-000025100000}"/>
    <cellStyle name="20% - Ênfase3 5 5" xfId="4286" xr:uid="{00000000-0005-0000-0000-000026100000}"/>
    <cellStyle name="20% - Ênfase3 5 5 2" xfId="4287" xr:uid="{00000000-0005-0000-0000-000027100000}"/>
    <cellStyle name="20% - Ênfase3 5 5 2 2" xfId="4288" xr:uid="{00000000-0005-0000-0000-000028100000}"/>
    <cellStyle name="20% - Ênfase3 5 5 3" xfId="4289" xr:uid="{00000000-0005-0000-0000-000029100000}"/>
    <cellStyle name="20% - Ênfase3 5 6" xfId="4290" xr:uid="{00000000-0005-0000-0000-00002A100000}"/>
    <cellStyle name="20% - Ênfase3 5 6 2" xfId="4291" xr:uid="{00000000-0005-0000-0000-00002B100000}"/>
    <cellStyle name="20% - Ênfase3 5 6 2 2" xfId="4292" xr:uid="{00000000-0005-0000-0000-00002C100000}"/>
    <cellStyle name="20% - Ênfase3 5 6 3" xfId="4293" xr:uid="{00000000-0005-0000-0000-00002D100000}"/>
    <cellStyle name="20% - Ênfase3 5 7" xfId="4294" xr:uid="{00000000-0005-0000-0000-00002E100000}"/>
    <cellStyle name="20% - Ênfase3 5 7 2" xfId="4295" xr:uid="{00000000-0005-0000-0000-00002F100000}"/>
    <cellStyle name="20% - Ênfase3 5 7 2 2" xfId="4296" xr:uid="{00000000-0005-0000-0000-000030100000}"/>
    <cellStyle name="20% - Ênfase3 5 7 3" xfId="4297" xr:uid="{00000000-0005-0000-0000-000031100000}"/>
    <cellStyle name="20% - Ênfase3 5 8" xfId="4298" xr:uid="{00000000-0005-0000-0000-000032100000}"/>
    <cellStyle name="20% - Ênfase3 5 8 2" xfId="4299" xr:uid="{00000000-0005-0000-0000-000033100000}"/>
    <cellStyle name="20% - Ênfase3 5 8 2 2" xfId="4300" xr:uid="{00000000-0005-0000-0000-000034100000}"/>
    <cellStyle name="20% - Ênfase3 5 8 3" xfId="4301" xr:uid="{00000000-0005-0000-0000-000035100000}"/>
    <cellStyle name="20% - Ênfase3 5 9" xfId="4302" xr:uid="{00000000-0005-0000-0000-000036100000}"/>
    <cellStyle name="20% - Ênfase3 5 9 2" xfId="4303" xr:uid="{00000000-0005-0000-0000-000037100000}"/>
    <cellStyle name="20% - Ênfase3 6" xfId="4304" xr:uid="{00000000-0005-0000-0000-000038100000}"/>
    <cellStyle name="20% - Ênfase3 6 2" xfId="4305" xr:uid="{00000000-0005-0000-0000-000039100000}"/>
    <cellStyle name="20% - Ênfase3 6 2 2" xfId="4306" xr:uid="{00000000-0005-0000-0000-00003A100000}"/>
    <cellStyle name="20% - Ênfase3 6 2 2 2" xfId="4307" xr:uid="{00000000-0005-0000-0000-00003B100000}"/>
    <cellStyle name="20% - Ênfase3 6 2 2 2 2" xfId="4308" xr:uid="{00000000-0005-0000-0000-00003C100000}"/>
    <cellStyle name="20% - Ênfase3 6 2 2 2 2 2" xfId="4309" xr:uid="{00000000-0005-0000-0000-00003D100000}"/>
    <cellStyle name="20% - Ênfase3 6 2 2 2 3" xfId="4310" xr:uid="{00000000-0005-0000-0000-00003E100000}"/>
    <cellStyle name="20% - Ênfase3 6 2 2 2 3 2" xfId="4311" xr:uid="{00000000-0005-0000-0000-00003F100000}"/>
    <cellStyle name="20% - Ênfase3 6 2 2 2 4" xfId="4312" xr:uid="{00000000-0005-0000-0000-000040100000}"/>
    <cellStyle name="20% - Ênfase3 6 2 2 3" xfId="4313" xr:uid="{00000000-0005-0000-0000-000041100000}"/>
    <cellStyle name="20% - Ênfase3 6 2 2 3 2" xfId="4314" xr:uid="{00000000-0005-0000-0000-000042100000}"/>
    <cellStyle name="20% - Ênfase3 6 2 2 4" xfId="4315" xr:uid="{00000000-0005-0000-0000-000043100000}"/>
    <cellStyle name="20% - Ênfase3 6 2 2 4 2" xfId="4316" xr:uid="{00000000-0005-0000-0000-000044100000}"/>
    <cellStyle name="20% - Ênfase3 6 2 2 5" xfId="4317" xr:uid="{00000000-0005-0000-0000-000045100000}"/>
    <cellStyle name="20% - Ênfase3 6 2 3" xfId="4318" xr:uid="{00000000-0005-0000-0000-000046100000}"/>
    <cellStyle name="20% - Ênfase3 6 2 3 2" xfId="4319" xr:uid="{00000000-0005-0000-0000-000047100000}"/>
    <cellStyle name="20% - Ênfase3 6 2 3 2 2" xfId="4320" xr:uid="{00000000-0005-0000-0000-000048100000}"/>
    <cellStyle name="20% - Ênfase3 6 2 3 3" xfId="4321" xr:uid="{00000000-0005-0000-0000-000049100000}"/>
    <cellStyle name="20% - Ênfase3 6 2 3 3 2" xfId="4322" xr:uid="{00000000-0005-0000-0000-00004A100000}"/>
    <cellStyle name="20% - Ênfase3 6 2 3 4" xfId="4323" xr:uid="{00000000-0005-0000-0000-00004B100000}"/>
    <cellStyle name="20% - Ênfase3 6 2 4" xfId="4324" xr:uid="{00000000-0005-0000-0000-00004C100000}"/>
    <cellStyle name="20% - Ênfase3 6 2 4 2" xfId="4325" xr:uid="{00000000-0005-0000-0000-00004D100000}"/>
    <cellStyle name="20% - Ênfase3 6 2 4 2 2" xfId="4326" xr:uid="{00000000-0005-0000-0000-00004E100000}"/>
    <cellStyle name="20% - Ênfase3 6 2 4 3" xfId="4327" xr:uid="{00000000-0005-0000-0000-00004F100000}"/>
    <cellStyle name="20% - Ênfase3 6 2 5" xfId="4328" xr:uid="{00000000-0005-0000-0000-000050100000}"/>
    <cellStyle name="20% - Ênfase3 6 2 5 2" xfId="4329" xr:uid="{00000000-0005-0000-0000-000051100000}"/>
    <cellStyle name="20% - Ênfase3 6 2 6" xfId="4330" xr:uid="{00000000-0005-0000-0000-000052100000}"/>
    <cellStyle name="20% - Ênfase3 6 3" xfId="4331" xr:uid="{00000000-0005-0000-0000-000053100000}"/>
    <cellStyle name="20% - Ênfase3 6 3 2" xfId="4332" xr:uid="{00000000-0005-0000-0000-000054100000}"/>
    <cellStyle name="20% - Ênfase3 6 3 2 2" xfId="4333" xr:uid="{00000000-0005-0000-0000-000055100000}"/>
    <cellStyle name="20% - Ênfase3 6 3 2 2 2" xfId="4334" xr:uid="{00000000-0005-0000-0000-000056100000}"/>
    <cellStyle name="20% - Ênfase3 6 3 2 3" xfId="4335" xr:uid="{00000000-0005-0000-0000-000057100000}"/>
    <cellStyle name="20% - Ênfase3 6 3 2 3 2" xfId="4336" xr:uid="{00000000-0005-0000-0000-000058100000}"/>
    <cellStyle name="20% - Ênfase3 6 3 2 4" xfId="4337" xr:uid="{00000000-0005-0000-0000-000059100000}"/>
    <cellStyle name="20% - Ênfase3 6 3 3" xfId="4338" xr:uid="{00000000-0005-0000-0000-00005A100000}"/>
    <cellStyle name="20% - Ênfase3 6 3 3 2" xfId="4339" xr:uid="{00000000-0005-0000-0000-00005B100000}"/>
    <cellStyle name="20% - Ênfase3 6 3 4" xfId="4340" xr:uid="{00000000-0005-0000-0000-00005C100000}"/>
    <cellStyle name="20% - Ênfase3 6 3 4 2" xfId="4341" xr:uid="{00000000-0005-0000-0000-00005D100000}"/>
    <cellStyle name="20% - Ênfase3 6 3 5" xfId="4342" xr:uid="{00000000-0005-0000-0000-00005E100000}"/>
    <cellStyle name="20% - Ênfase3 6 4" xfId="4343" xr:uid="{00000000-0005-0000-0000-00005F100000}"/>
    <cellStyle name="20% - Ênfase3 6 4 2" xfId="4344" xr:uid="{00000000-0005-0000-0000-000060100000}"/>
    <cellStyle name="20% - Ênfase3 6 4 2 2" xfId="4345" xr:uid="{00000000-0005-0000-0000-000061100000}"/>
    <cellStyle name="20% - Ênfase3 6 4 3" xfId="4346" xr:uid="{00000000-0005-0000-0000-000062100000}"/>
    <cellStyle name="20% - Ênfase3 6 4 3 2" xfId="4347" xr:uid="{00000000-0005-0000-0000-000063100000}"/>
    <cellStyle name="20% - Ênfase3 6 4 4" xfId="4348" xr:uid="{00000000-0005-0000-0000-000064100000}"/>
    <cellStyle name="20% - Ênfase3 6 5" xfId="4349" xr:uid="{00000000-0005-0000-0000-000065100000}"/>
    <cellStyle name="20% - Ênfase3 6 5 2" xfId="4350" xr:uid="{00000000-0005-0000-0000-000066100000}"/>
    <cellStyle name="20% - Ênfase3 6 5 2 2" xfId="4351" xr:uid="{00000000-0005-0000-0000-000067100000}"/>
    <cellStyle name="20% - Ênfase3 6 5 3" xfId="4352" xr:uid="{00000000-0005-0000-0000-000068100000}"/>
    <cellStyle name="20% - Ênfase3 6 6" xfId="4353" xr:uid="{00000000-0005-0000-0000-000069100000}"/>
    <cellStyle name="20% - Ênfase3 6 6 2" xfId="4354" xr:uid="{00000000-0005-0000-0000-00006A100000}"/>
    <cellStyle name="20% - Ênfase3 6 7" xfId="4355" xr:uid="{00000000-0005-0000-0000-00006B100000}"/>
    <cellStyle name="20% - Ênfase3 7" xfId="4356" xr:uid="{00000000-0005-0000-0000-00006C100000}"/>
    <cellStyle name="20% - Ênfase3 7 2" xfId="4357" xr:uid="{00000000-0005-0000-0000-00006D100000}"/>
    <cellStyle name="20% - Ênfase3 7 2 2" xfId="4358" xr:uid="{00000000-0005-0000-0000-00006E100000}"/>
    <cellStyle name="20% - Ênfase3 7 2 2 2" xfId="4359" xr:uid="{00000000-0005-0000-0000-00006F100000}"/>
    <cellStyle name="20% - Ênfase3 7 2 2 2 2" xfId="4360" xr:uid="{00000000-0005-0000-0000-000070100000}"/>
    <cellStyle name="20% - Ênfase3 7 2 2 2 2 2" xfId="4361" xr:uid="{00000000-0005-0000-0000-000071100000}"/>
    <cellStyle name="20% - Ênfase3 7 2 2 2 3" xfId="4362" xr:uid="{00000000-0005-0000-0000-000072100000}"/>
    <cellStyle name="20% - Ênfase3 7 2 2 2 3 2" xfId="4363" xr:uid="{00000000-0005-0000-0000-000073100000}"/>
    <cellStyle name="20% - Ênfase3 7 2 2 2 4" xfId="4364" xr:uid="{00000000-0005-0000-0000-000074100000}"/>
    <cellStyle name="20% - Ênfase3 7 2 2 3" xfId="4365" xr:uid="{00000000-0005-0000-0000-000075100000}"/>
    <cellStyle name="20% - Ênfase3 7 2 2 3 2" xfId="4366" xr:uid="{00000000-0005-0000-0000-000076100000}"/>
    <cellStyle name="20% - Ênfase3 7 2 2 4" xfId="4367" xr:uid="{00000000-0005-0000-0000-000077100000}"/>
    <cellStyle name="20% - Ênfase3 7 2 2 4 2" xfId="4368" xr:uid="{00000000-0005-0000-0000-000078100000}"/>
    <cellStyle name="20% - Ênfase3 7 2 2 5" xfId="4369" xr:uid="{00000000-0005-0000-0000-000079100000}"/>
    <cellStyle name="20% - Ênfase3 7 2 3" xfId="4370" xr:uid="{00000000-0005-0000-0000-00007A100000}"/>
    <cellStyle name="20% - Ênfase3 7 2 3 2" xfId="4371" xr:uid="{00000000-0005-0000-0000-00007B100000}"/>
    <cellStyle name="20% - Ênfase3 7 2 3 2 2" xfId="4372" xr:uid="{00000000-0005-0000-0000-00007C100000}"/>
    <cellStyle name="20% - Ênfase3 7 2 3 3" xfId="4373" xr:uid="{00000000-0005-0000-0000-00007D100000}"/>
    <cellStyle name="20% - Ênfase3 7 2 3 3 2" xfId="4374" xr:uid="{00000000-0005-0000-0000-00007E100000}"/>
    <cellStyle name="20% - Ênfase3 7 2 3 4" xfId="4375" xr:uid="{00000000-0005-0000-0000-00007F100000}"/>
    <cellStyle name="20% - Ênfase3 7 2 4" xfId="4376" xr:uid="{00000000-0005-0000-0000-000080100000}"/>
    <cellStyle name="20% - Ênfase3 7 2 4 2" xfId="4377" xr:uid="{00000000-0005-0000-0000-000081100000}"/>
    <cellStyle name="20% - Ênfase3 7 2 4 2 2" xfId="4378" xr:uid="{00000000-0005-0000-0000-000082100000}"/>
    <cellStyle name="20% - Ênfase3 7 2 4 3" xfId="4379" xr:uid="{00000000-0005-0000-0000-000083100000}"/>
    <cellStyle name="20% - Ênfase3 7 2 5" xfId="4380" xr:uid="{00000000-0005-0000-0000-000084100000}"/>
    <cellStyle name="20% - Ênfase3 7 2 5 2" xfId="4381" xr:uid="{00000000-0005-0000-0000-000085100000}"/>
    <cellStyle name="20% - Ênfase3 7 2 6" xfId="4382" xr:uid="{00000000-0005-0000-0000-000086100000}"/>
    <cellStyle name="20% - Ênfase3 7 3" xfId="4383" xr:uid="{00000000-0005-0000-0000-000087100000}"/>
    <cellStyle name="20% - Ênfase3 7 3 2" xfId="4384" xr:uid="{00000000-0005-0000-0000-000088100000}"/>
    <cellStyle name="20% - Ênfase3 7 3 2 2" xfId="4385" xr:uid="{00000000-0005-0000-0000-000089100000}"/>
    <cellStyle name="20% - Ênfase3 7 3 2 2 2" xfId="4386" xr:uid="{00000000-0005-0000-0000-00008A100000}"/>
    <cellStyle name="20% - Ênfase3 7 3 2 3" xfId="4387" xr:uid="{00000000-0005-0000-0000-00008B100000}"/>
    <cellStyle name="20% - Ênfase3 7 3 2 3 2" xfId="4388" xr:uid="{00000000-0005-0000-0000-00008C100000}"/>
    <cellStyle name="20% - Ênfase3 7 3 2 4" xfId="4389" xr:uid="{00000000-0005-0000-0000-00008D100000}"/>
    <cellStyle name="20% - Ênfase3 7 3 3" xfId="4390" xr:uid="{00000000-0005-0000-0000-00008E100000}"/>
    <cellStyle name="20% - Ênfase3 7 3 3 2" xfId="4391" xr:uid="{00000000-0005-0000-0000-00008F100000}"/>
    <cellStyle name="20% - Ênfase3 7 3 4" xfId="4392" xr:uid="{00000000-0005-0000-0000-000090100000}"/>
    <cellStyle name="20% - Ênfase3 7 3 4 2" xfId="4393" xr:uid="{00000000-0005-0000-0000-000091100000}"/>
    <cellStyle name="20% - Ênfase3 7 3 5" xfId="4394" xr:uid="{00000000-0005-0000-0000-000092100000}"/>
    <cellStyle name="20% - Ênfase3 7 4" xfId="4395" xr:uid="{00000000-0005-0000-0000-000093100000}"/>
    <cellStyle name="20% - Ênfase3 7 4 2" xfId="4396" xr:uid="{00000000-0005-0000-0000-000094100000}"/>
    <cellStyle name="20% - Ênfase3 7 4 2 2" xfId="4397" xr:uid="{00000000-0005-0000-0000-000095100000}"/>
    <cellStyle name="20% - Ênfase3 7 4 3" xfId="4398" xr:uid="{00000000-0005-0000-0000-000096100000}"/>
    <cellStyle name="20% - Ênfase3 7 4 3 2" xfId="4399" xr:uid="{00000000-0005-0000-0000-000097100000}"/>
    <cellStyle name="20% - Ênfase3 7 4 4" xfId="4400" xr:uid="{00000000-0005-0000-0000-000098100000}"/>
    <cellStyle name="20% - Ênfase3 7 5" xfId="4401" xr:uid="{00000000-0005-0000-0000-000099100000}"/>
    <cellStyle name="20% - Ênfase3 7 5 2" xfId="4402" xr:uid="{00000000-0005-0000-0000-00009A100000}"/>
    <cellStyle name="20% - Ênfase3 7 5 2 2" xfId="4403" xr:uid="{00000000-0005-0000-0000-00009B100000}"/>
    <cellStyle name="20% - Ênfase3 7 5 3" xfId="4404" xr:uid="{00000000-0005-0000-0000-00009C100000}"/>
    <cellStyle name="20% - Ênfase3 7 6" xfId="4405" xr:uid="{00000000-0005-0000-0000-00009D100000}"/>
    <cellStyle name="20% - Ênfase3 7 6 2" xfId="4406" xr:uid="{00000000-0005-0000-0000-00009E100000}"/>
    <cellStyle name="20% - Ênfase3 7 7" xfId="4407" xr:uid="{00000000-0005-0000-0000-00009F100000}"/>
    <cellStyle name="20% - Ênfase3 8" xfId="4408" xr:uid="{00000000-0005-0000-0000-0000A0100000}"/>
    <cellStyle name="20% - Ênfase3 8 2" xfId="4409" xr:uid="{00000000-0005-0000-0000-0000A1100000}"/>
    <cellStyle name="20% - Ênfase3 8 2 2" xfId="4410" xr:uid="{00000000-0005-0000-0000-0000A2100000}"/>
    <cellStyle name="20% - Ênfase3 8 2 2 2" xfId="4411" xr:uid="{00000000-0005-0000-0000-0000A3100000}"/>
    <cellStyle name="20% - Ênfase3 8 2 2 2 2" xfId="4412" xr:uid="{00000000-0005-0000-0000-0000A4100000}"/>
    <cellStyle name="20% - Ênfase3 8 2 2 2 2 2" xfId="4413" xr:uid="{00000000-0005-0000-0000-0000A5100000}"/>
    <cellStyle name="20% - Ênfase3 8 2 2 2 3" xfId="4414" xr:uid="{00000000-0005-0000-0000-0000A6100000}"/>
    <cellStyle name="20% - Ênfase3 8 2 2 2 3 2" xfId="4415" xr:uid="{00000000-0005-0000-0000-0000A7100000}"/>
    <cellStyle name="20% - Ênfase3 8 2 2 2 4" xfId="4416" xr:uid="{00000000-0005-0000-0000-0000A8100000}"/>
    <cellStyle name="20% - Ênfase3 8 2 2 3" xfId="4417" xr:uid="{00000000-0005-0000-0000-0000A9100000}"/>
    <cellStyle name="20% - Ênfase3 8 2 2 3 2" xfId="4418" xr:uid="{00000000-0005-0000-0000-0000AA100000}"/>
    <cellStyle name="20% - Ênfase3 8 2 2 4" xfId="4419" xr:uid="{00000000-0005-0000-0000-0000AB100000}"/>
    <cellStyle name="20% - Ênfase3 8 2 2 4 2" xfId="4420" xr:uid="{00000000-0005-0000-0000-0000AC100000}"/>
    <cellStyle name="20% - Ênfase3 8 2 2 5" xfId="4421" xr:uid="{00000000-0005-0000-0000-0000AD100000}"/>
    <cellStyle name="20% - Ênfase3 8 2 3" xfId="4422" xr:uid="{00000000-0005-0000-0000-0000AE100000}"/>
    <cellStyle name="20% - Ênfase3 8 2 3 2" xfId="4423" xr:uid="{00000000-0005-0000-0000-0000AF100000}"/>
    <cellStyle name="20% - Ênfase3 8 2 3 2 2" xfId="4424" xr:uid="{00000000-0005-0000-0000-0000B0100000}"/>
    <cellStyle name="20% - Ênfase3 8 2 3 3" xfId="4425" xr:uid="{00000000-0005-0000-0000-0000B1100000}"/>
    <cellStyle name="20% - Ênfase3 8 2 3 3 2" xfId="4426" xr:uid="{00000000-0005-0000-0000-0000B2100000}"/>
    <cellStyle name="20% - Ênfase3 8 2 3 4" xfId="4427" xr:uid="{00000000-0005-0000-0000-0000B3100000}"/>
    <cellStyle name="20% - Ênfase3 8 2 4" xfId="4428" xr:uid="{00000000-0005-0000-0000-0000B4100000}"/>
    <cellStyle name="20% - Ênfase3 8 2 4 2" xfId="4429" xr:uid="{00000000-0005-0000-0000-0000B5100000}"/>
    <cellStyle name="20% - Ênfase3 8 2 4 2 2" xfId="4430" xr:uid="{00000000-0005-0000-0000-0000B6100000}"/>
    <cellStyle name="20% - Ênfase3 8 2 4 3" xfId="4431" xr:uid="{00000000-0005-0000-0000-0000B7100000}"/>
    <cellStyle name="20% - Ênfase3 8 2 5" xfId="4432" xr:uid="{00000000-0005-0000-0000-0000B8100000}"/>
    <cellStyle name="20% - Ênfase3 8 2 5 2" xfId="4433" xr:uid="{00000000-0005-0000-0000-0000B9100000}"/>
    <cellStyle name="20% - Ênfase3 8 2 6" xfId="4434" xr:uid="{00000000-0005-0000-0000-0000BA100000}"/>
    <cellStyle name="20% - Ênfase3 8 3" xfId="4435" xr:uid="{00000000-0005-0000-0000-0000BB100000}"/>
    <cellStyle name="20% - Ênfase3 8 3 2" xfId="4436" xr:uid="{00000000-0005-0000-0000-0000BC100000}"/>
    <cellStyle name="20% - Ênfase3 8 3 2 2" xfId="4437" xr:uid="{00000000-0005-0000-0000-0000BD100000}"/>
    <cellStyle name="20% - Ênfase3 8 3 2 2 2" xfId="4438" xr:uid="{00000000-0005-0000-0000-0000BE100000}"/>
    <cellStyle name="20% - Ênfase3 8 3 2 3" xfId="4439" xr:uid="{00000000-0005-0000-0000-0000BF100000}"/>
    <cellStyle name="20% - Ênfase3 8 3 2 3 2" xfId="4440" xr:uid="{00000000-0005-0000-0000-0000C0100000}"/>
    <cellStyle name="20% - Ênfase3 8 3 2 4" xfId="4441" xr:uid="{00000000-0005-0000-0000-0000C1100000}"/>
    <cellStyle name="20% - Ênfase3 8 3 3" xfId="4442" xr:uid="{00000000-0005-0000-0000-0000C2100000}"/>
    <cellStyle name="20% - Ênfase3 8 3 3 2" xfId="4443" xr:uid="{00000000-0005-0000-0000-0000C3100000}"/>
    <cellStyle name="20% - Ênfase3 8 3 4" xfId="4444" xr:uid="{00000000-0005-0000-0000-0000C4100000}"/>
    <cellStyle name="20% - Ênfase3 8 3 4 2" xfId="4445" xr:uid="{00000000-0005-0000-0000-0000C5100000}"/>
    <cellStyle name="20% - Ênfase3 8 3 5" xfId="4446" xr:uid="{00000000-0005-0000-0000-0000C6100000}"/>
    <cellStyle name="20% - Ênfase3 8 4" xfId="4447" xr:uid="{00000000-0005-0000-0000-0000C7100000}"/>
    <cellStyle name="20% - Ênfase3 8 4 2" xfId="4448" xr:uid="{00000000-0005-0000-0000-0000C8100000}"/>
    <cellStyle name="20% - Ênfase3 8 4 2 2" xfId="4449" xr:uid="{00000000-0005-0000-0000-0000C9100000}"/>
    <cellStyle name="20% - Ênfase3 8 4 3" xfId="4450" xr:uid="{00000000-0005-0000-0000-0000CA100000}"/>
    <cellStyle name="20% - Ênfase3 8 4 3 2" xfId="4451" xr:uid="{00000000-0005-0000-0000-0000CB100000}"/>
    <cellStyle name="20% - Ênfase3 8 4 4" xfId="4452" xr:uid="{00000000-0005-0000-0000-0000CC100000}"/>
    <cellStyle name="20% - Ênfase3 8 5" xfId="4453" xr:uid="{00000000-0005-0000-0000-0000CD100000}"/>
    <cellStyle name="20% - Ênfase3 8 5 2" xfId="4454" xr:uid="{00000000-0005-0000-0000-0000CE100000}"/>
    <cellStyle name="20% - Ênfase3 8 5 2 2" xfId="4455" xr:uid="{00000000-0005-0000-0000-0000CF100000}"/>
    <cellStyle name="20% - Ênfase3 8 5 3" xfId="4456" xr:uid="{00000000-0005-0000-0000-0000D0100000}"/>
    <cellStyle name="20% - Ênfase3 8 6" xfId="4457" xr:uid="{00000000-0005-0000-0000-0000D1100000}"/>
    <cellStyle name="20% - Ênfase3 8 6 2" xfId="4458" xr:uid="{00000000-0005-0000-0000-0000D2100000}"/>
    <cellStyle name="20% - Ênfase3 8 7" xfId="4459" xr:uid="{00000000-0005-0000-0000-0000D3100000}"/>
    <cellStyle name="20% - Ênfase3 9" xfId="4460" xr:uid="{00000000-0005-0000-0000-0000D4100000}"/>
    <cellStyle name="20% - Ênfase3 9 2" xfId="4461" xr:uid="{00000000-0005-0000-0000-0000D5100000}"/>
    <cellStyle name="20% - Ênfase3 9 2 2" xfId="4462" xr:uid="{00000000-0005-0000-0000-0000D6100000}"/>
    <cellStyle name="20% - Ênfase3 9 2 2 2" xfId="4463" xr:uid="{00000000-0005-0000-0000-0000D7100000}"/>
    <cellStyle name="20% - Ênfase3 9 2 2 2 2" xfId="4464" xr:uid="{00000000-0005-0000-0000-0000D8100000}"/>
    <cellStyle name="20% - Ênfase3 9 2 2 2 2 2" xfId="4465" xr:uid="{00000000-0005-0000-0000-0000D9100000}"/>
    <cellStyle name="20% - Ênfase3 9 2 2 2 3" xfId="4466" xr:uid="{00000000-0005-0000-0000-0000DA100000}"/>
    <cellStyle name="20% - Ênfase3 9 2 2 2 3 2" xfId="4467" xr:uid="{00000000-0005-0000-0000-0000DB100000}"/>
    <cellStyle name="20% - Ênfase3 9 2 2 2 4" xfId="4468" xr:uid="{00000000-0005-0000-0000-0000DC100000}"/>
    <cellStyle name="20% - Ênfase3 9 2 2 3" xfId="4469" xr:uid="{00000000-0005-0000-0000-0000DD100000}"/>
    <cellStyle name="20% - Ênfase3 9 2 2 3 2" xfId="4470" xr:uid="{00000000-0005-0000-0000-0000DE100000}"/>
    <cellStyle name="20% - Ênfase3 9 2 2 4" xfId="4471" xr:uid="{00000000-0005-0000-0000-0000DF100000}"/>
    <cellStyle name="20% - Ênfase3 9 2 2 4 2" xfId="4472" xr:uid="{00000000-0005-0000-0000-0000E0100000}"/>
    <cellStyle name="20% - Ênfase3 9 2 2 5" xfId="4473" xr:uid="{00000000-0005-0000-0000-0000E1100000}"/>
    <cellStyle name="20% - Ênfase3 9 2 3" xfId="4474" xr:uid="{00000000-0005-0000-0000-0000E2100000}"/>
    <cellStyle name="20% - Ênfase3 9 2 3 2" xfId="4475" xr:uid="{00000000-0005-0000-0000-0000E3100000}"/>
    <cellStyle name="20% - Ênfase3 9 2 3 2 2" xfId="4476" xr:uid="{00000000-0005-0000-0000-0000E4100000}"/>
    <cellStyle name="20% - Ênfase3 9 2 3 3" xfId="4477" xr:uid="{00000000-0005-0000-0000-0000E5100000}"/>
    <cellStyle name="20% - Ênfase3 9 2 3 3 2" xfId="4478" xr:uid="{00000000-0005-0000-0000-0000E6100000}"/>
    <cellStyle name="20% - Ênfase3 9 2 3 4" xfId="4479" xr:uid="{00000000-0005-0000-0000-0000E7100000}"/>
    <cellStyle name="20% - Ênfase3 9 2 4" xfId="4480" xr:uid="{00000000-0005-0000-0000-0000E8100000}"/>
    <cellStyle name="20% - Ênfase3 9 2 4 2" xfId="4481" xr:uid="{00000000-0005-0000-0000-0000E9100000}"/>
    <cellStyle name="20% - Ênfase3 9 2 4 2 2" xfId="4482" xr:uid="{00000000-0005-0000-0000-0000EA100000}"/>
    <cellStyle name="20% - Ênfase3 9 2 4 3" xfId="4483" xr:uid="{00000000-0005-0000-0000-0000EB100000}"/>
    <cellStyle name="20% - Ênfase3 9 2 5" xfId="4484" xr:uid="{00000000-0005-0000-0000-0000EC100000}"/>
    <cellStyle name="20% - Ênfase3 9 2 5 2" xfId="4485" xr:uid="{00000000-0005-0000-0000-0000ED100000}"/>
    <cellStyle name="20% - Ênfase3 9 2 6" xfId="4486" xr:uid="{00000000-0005-0000-0000-0000EE100000}"/>
    <cellStyle name="20% - Ênfase3 9 3" xfId="4487" xr:uid="{00000000-0005-0000-0000-0000EF100000}"/>
    <cellStyle name="20% - Ênfase3 9 3 2" xfId="4488" xr:uid="{00000000-0005-0000-0000-0000F0100000}"/>
    <cellStyle name="20% - Ênfase3 9 3 2 2" xfId="4489" xr:uid="{00000000-0005-0000-0000-0000F1100000}"/>
    <cellStyle name="20% - Ênfase3 9 3 2 2 2" xfId="4490" xr:uid="{00000000-0005-0000-0000-0000F2100000}"/>
    <cellStyle name="20% - Ênfase3 9 3 2 3" xfId="4491" xr:uid="{00000000-0005-0000-0000-0000F3100000}"/>
    <cellStyle name="20% - Ênfase3 9 3 2 3 2" xfId="4492" xr:uid="{00000000-0005-0000-0000-0000F4100000}"/>
    <cellStyle name="20% - Ênfase3 9 3 2 4" xfId="4493" xr:uid="{00000000-0005-0000-0000-0000F5100000}"/>
    <cellStyle name="20% - Ênfase3 9 3 3" xfId="4494" xr:uid="{00000000-0005-0000-0000-0000F6100000}"/>
    <cellStyle name="20% - Ênfase3 9 3 3 2" xfId="4495" xr:uid="{00000000-0005-0000-0000-0000F7100000}"/>
    <cellStyle name="20% - Ênfase3 9 3 4" xfId="4496" xr:uid="{00000000-0005-0000-0000-0000F8100000}"/>
    <cellStyle name="20% - Ênfase3 9 3 4 2" xfId="4497" xr:uid="{00000000-0005-0000-0000-0000F9100000}"/>
    <cellStyle name="20% - Ênfase3 9 3 5" xfId="4498" xr:uid="{00000000-0005-0000-0000-0000FA100000}"/>
    <cellStyle name="20% - Ênfase3 9 4" xfId="4499" xr:uid="{00000000-0005-0000-0000-0000FB100000}"/>
    <cellStyle name="20% - Ênfase3 9 4 2" xfId="4500" xr:uid="{00000000-0005-0000-0000-0000FC100000}"/>
    <cellStyle name="20% - Ênfase3 9 4 2 2" xfId="4501" xr:uid="{00000000-0005-0000-0000-0000FD100000}"/>
    <cellStyle name="20% - Ênfase3 9 4 3" xfId="4502" xr:uid="{00000000-0005-0000-0000-0000FE100000}"/>
    <cellStyle name="20% - Ênfase3 9 4 3 2" xfId="4503" xr:uid="{00000000-0005-0000-0000-0000FF100000}"/>
    <cellStyle name="20% - Ênfase3 9 4 4" xfId="4504" xr:uid="{00000000-0005-0000-0000-000000110000}"/>
    <cellStyle name="20% - Ênfase3 9 5" xfId="4505" xr:uid="{00000000-0005-0000-0000-000001110000}"/>
    <cellStyle name="20% - Ênfase3 9 5 2" xfId="4506" xr:uid="{00000000-0005-0000-0000-000002110000}"/>
    <cellStyle name="20% - Ênfase3 9 5 2 2" xfId="4507" xr:uid="{00000000-0005-0000-0000-000003110000}"/>
    <cellStyle name="20% - Ênfase3 9 5 3" xfId="4508" xr:uid="{00000000-0005-0000-0000-000004110000}"/>
    <cellStyle name="20% - Ênfase3 9 6" xfId="4509" xr:uid="{00000000-0005-0000-0000-000005110000}"/>
    <cellStyle name="20% - Ênfase3 9 6 2" xfId="4510" xr:uid="{00000000-0005-0000-0000-000006110000}"/>
    <cellStyle name="20% - Ênfase3 9 7" xfId="4511" xr:uid="{00000000-0005-0000-0000-000007110000}"/>
    <cellStyle name="20% - Ênfase4 10" xfId="4512" xr:uid="{00000000-0005-0000-0000-000008110000}"/>
    <cellStyle name="20% - Ênfase4 10 2" xfId="4513" xr:uid="{00000000-0005-0000-0000-000009110000}"/>
    <cellStyle name="20% - Ênfase4 10 2 2" xfId="4514" xr:uid="{00000000-0005-0000-0000-00000A110000}"/>
    <cellStyle name="20% - Ênfase4 10 2 2 2" xfId="4515" xr:uid="{00000000-0005-0000-0000-00000B110000}"/>
    <cellStyle name="20% - Ênfase4 10 2 2 2 2" xfId="4516" xr:uid="{00000000-0005-0000-0000-00000C110000}"/>
    <cellStyle name="20% - Ênfase4 10 2 2 2 2 2" xfId="4517" xr:uid="{00000000-0005-0000-0000-00000D110000}"/>
    <cellStyle name="20% - Ênfase4 10 2 2 2 3" xfId="4518" xr:uid="{00000000-0005-0000-0000-00000E110000}"/>
    <cellStyle name="20% - Ênfase4 10 2 2 2 3 2" xfId="4519" xr:uid="{00000000-0005-0000-0000-00000F110000}"/>
    <cellStyle name="20% - Ênfase4 10 2 2 2 4" xfId="4520" xr:uid="{00000000-0005-0000-0000-000010110000}"/>
    <cellStyle name="20% - Ênfase4 10 2 2 3" xfId="4521" xr:uid="{00000000-0005-0000-0000-000011110000}"/>
    <cellStyle name="20% - Ênfase4 10 2 2 3 2" xfId="4522" xr:uid="{00000000-0005-0000-0000-000012110000}"/>
    <cellStyle name="20% - Ênfase4 10 2 2 4" xfId="4523" xr:uid="{00000000-0005-0000-0000-000013110000}"/>
    <cellStyle name="20% - Ênfase4 10 2 2 4 2" xfId="4524" xr:uid="{00000000-0005-0000-0000-000014110000}"/>
    <cellStyle name="20% - Ênfase4 10 2 2 5" xfId="4525" xr:uid="{00000000-0005-0000-0000-000015110000}"/>
    <cellStyle name="20% - Ênfase4 10 2 3" xfId="4526" xr:uid="{00000000-0005-0000-0000-000016110000}"/>
    <cellStyle name="20% - Ênfase4 10 2 3 2" xfId="4527" xr:uid="{00000000-0005-0000-0000-000017110000}"/>
    <cellStyle name="20% - Ênfase4 10 2 3 2 2" xfId="4528" xr:uid="{00000000-0005-0000-0000-000018110000}"/>
    <cellStyle name="20% - Ênfase4 10 2 3 3" xfId="4529" xr:uid="{00000000-0005-0000-0000-000019110000}"/>
    <cellStyle name="20% - Ênfase4 10 2 3 3 2" xfId="4530" xr:uid="{00000000-0005-0000-0000-00001A110000}"/>
    <cellStyle name="20% - Ênfase4 10 2 3 4" xfId="4531" xr:uid="{00000000-0005-0000-0000-00001B110000}"/>
    <cellStyle name="20% - Ênfase4 10 2 4" xfId="4532" xr:uid="{00000000-0005-0000-0000-00001C110000}"/>
    <cellStyle name="20% - Ênfase4 10 2 4 2" xfId="4533" xr:uid="{00000000-0005-0000-0000-00001D110000}"/>
    <cellStyle name="20% - Ênfase4 10 2 4 2 2" xfId="4534" xr:uid="{00000000-0005-0000-0000-00001E110000}"/>
    <cellStyle name="20% - Ênfase4 10 2 4 3" xfId="4535" xr:uid="{00000000-0005-0000-0000-00001F110000}"/>
    <cellStyle name="20% - Ênfase4 10 2 5" xfId="4536" xr:uid="{00000000-0005-0000-0000-000020110000}"/>
    <cellStyle name="20% - Ênfase4 10 2 5 2" xfId="4537" xr:uid="{00000000-0005-0000-0000-000021110000}"/>
    <cellStyle name="20% - Ênfase4 10 2 6" xfId="4538" xr:uid="{00000000-0005-0000-0000-000022110000}"/>
    <cellStyle name="20% - Ênfase4 10 3" xfId="4539" xr:uid="{00000000-0005-0000-0000-000023110000}"/>
    <cellStyle name="20% - Ênfase4 10 3 2" xfId="4540" xr:uid="{00000000-0005-0000-0000-000024110000}"/>
    <cellStyle name="20% - Ênfase4 10 3 2 2" xfId="4541" xr:uid="{00000000-0005-0000-0000-000025110000}"/>
    <cellStyle name="20% - Ênfase4 10 3 2 2 2" xfId="4542" xr:uid="{00000000-0005-0000-0000-000026110000}"/>
    <cellStyle name="20% - Ênfase4 10 3 2 3" xfId="4543" xr:uid="{00000000-0005-0000-0000-000027110000}"/>
    <cellStyle name="20% - Ênfase4 10 3 2 3 2" xfId="4544" xr:uid="{00000000-0005-0000-0000-000028110000}"/>
    <cellStyle name="20% - Ênfase4 10 3 2 4" xfId="4545" xr:uid="{00000000-0005-0000-0000-000029110000}"/>
    <cellStyle name="20% - Ênfase4 10 3 3" xfId="4546" xr:uid="{00000000-0005-0000-0000-00002A110000}"/>
    <cellStyle name="20% - Ênfase4 10 3 3 2" xfId="4547" xr:uid="{00000000-0005-0000-0000-00002B110000}"/>
    <cellStyle name="20% - Ênfase4 10 3 4" xfId="4548" xr:uid="{00000000-0005-0000-0000-00002C110000}"/>
    <cellStyle name="20% - Ênfase4 10 3 4 2" xfId="4549" xr:uid="{00000000-0005-0000-0000-00002D110000}"/>
    <cellStyle name="20% - Ênfase4 10 3 5" xfId="4550" xr:uid="{00000000-0005-0000-0000-00002E110000}"/>
    <cellStyle name="20% - Ênfase4 10 4" xfId="4551" xr:uid="{00000000-0005-0000-0000-00002F110000}"/>
    <cellStyle name="20% - Ênfase4 10 4 2" xfId="4552" xr:uid="{00000000-0005-0000-0000-000030110000}"/>
    <cellStyle name="20% - Ênfase4 10 4 2 2" xfId="4553" xr:uid="{00000000-0005-0000-0000-000031110000}"/>
    <cellStyle name="20% - Ênfase4 10 4 3" xfId="4554" xr:uid="{00000000-0005-0000-0000-000032110000}"/>
    <cellStyle name="20% - Ênfase4 10 4 3 2" xfId="4555" xr:uid="{00000000-0005-0000-0000-000033110000}"/>
    <cellStyle name="20% - Ênfase4 10 4 4" xfId="4556" xr:uid="{00000000-0005-0000-0000-000034110000}"/>
    <cellStyle name="20% - Ênfase4 10 5" xfId="4557" xr:uid="{00000000-0005-0000-0000-000035110000}"/>
    <cellStyle name="20% - Ênfase4 10 5 2" xfId="4558" xr:uid="{00000000-0005-0000-0000-000036110000}"/>
    <cellStyle name="20% - Ênfase4 10 5 2 2" xfId="4559" xr:uid="{00000000-0005-0000-0000-000037110000}"/>
    <cellStyle name="20% - Ênfase4 10 5 3" xfId="4560" xr:uid="{00000000-0005-0000-0000-000038110000}"/>
    <cellStyle name="20% - Ênfase4 10 6" xfId="4561" xr:uid="{00000000-0005-0000-0000-000039110000}"/>
    <cellStyle name="20% - Ênfase4 10 6 2" xfId="4562" xr:uid="{00000000-0005-0000-0000-00003A110000}"/>
    <cellStyle name="20% - Ênfase4 10 7" xfId="4563" xr:uid="{00000000-0005-0000-0000-00003B110000}"/>
    <cellStyle name="20% - Ênfase4 11" xfId="4564" xr:uid="{00000000-0005-0000-0000-00003C110000}"/>
    <cellStyle name="20% - Ênfase4 11 2" xfId="4565" xr:uid="{00000000-0005-0000-0000-00003D110000}"/>
    <cellStyle name="20% - Ênfase4 11 2 2" xfId="4566" xr:uid="{00000000-0005-0000-0000-00003E110000}"/>
    <cellStyle name="20% - Ênfase4 11 2 2 2" xfId="4567" xr:uid="{00000000-0005-0000-0000-00003F110000}"/>
    <cellStyle name="20% - Ênfase4 11 2 2 2 2" xfId="4568" xr:uid="{00000000-0005-0000-0000-000040110000}"/>
    <cellStyle name="20% - Ênfase4 11 2 2 2 2 2" xfId="4569" xr:uid="{00000000-0005-0000-0000-000041110000}"/>
    <cellStyle name="20% - Ênfase4 11 2 2 2 3" xfId="4570" xr:uid="{00000000-0005-0000-0000-000042110000}"/>
    <cellStyle name="20% - Ênfase4 11 2 2 2 3 2" xfId="4571" xr:uid="{00000000-0005-0000-0000-000043110000}"/>
    <cellStyle name="20% - Ênfase4 11 2 2 2 4" xfId="4572" xr:uid="{00000000-0005-0000-0000-000044110000}"/>
    <cellStyle name="20% - Ênfase4 11 2 2 3" xfId="4573" xr:uid="{00000000-0005-0000-0000-000045110000}"/>
    <cellStyle name="20% - Ênfase4 11 2 2 3 2" xfId="4574" xr:uid="{00000000-0005-0000-0000-000046110000}"/>
    <cellStyle name="20% - Ênfase4 11 2 2 4" xfId="4575" xr:uid="{00000000-0005-0000-0000-000047110000}"/>
    <cellStyle name="20% - Ênfase4 11 2 2 4 2" xfId="4576" xr:uid="{00000000-0005-0000-0000-000048110000}"/>
    <cellStyle name="20% - Ênfase4 11 2 2 5" xfId="4577" xr:uid="{00000000-0005-0000-0000-000049110000}"/>
    <cellStyle name="20% - Ênfase4 11 2 3" xfId="4578" xr:uid="{00000000-0005-0000-0000-00004A110000}"/>
    <cellStyle name="20% - Ênfase4 11 2 3 2" xfId="4579" xr:uid="{00000000-0005-0000-0000-00004B110000}"/>
    <cellStyle name="20% - Ênfase4 11 2 3 2 2" xfId="4580" xr:uid="{00000000-0005-0000-0000-00004C110000}"/>
    <cellStyle name="20% - Ênfase4 11 2 3 3" xfId="4581" xr:uid="{00000000-0005-0000-0000-00004D110000}"/>
    <cellStyle name="20% - Ênfase4 11 2 3 3 2" xfId="4582" xr:uid="{00000000-0005-0000-0000-00004E110000}"/>
    <cellStyle name="20% - Ênfase4 11 2 3 4" xfId="4583" xr:uid="{00000000-0005-0000-0000-00004F110000}"/>
    <cellStyle name="20% - Ênfase4 11 2 4" xfId="4584" xr:uid="{00000000-0005-0000-0000-000050110000}"/>
    <cellStyle name="20% - Ênfase4 11 2 4 2" xfId="4585" xr:uid="{00000000-0005-0000-0000-000051110000}"/>
    <cellStyle name="20% - Ênfase4 11 2 4 2 2" xfId="4586" xr:uid="{00000000-0005-0000-0000-000052110000}"/>
    <cellStyle name="20% - Ênfase4 11 2 4 3" xfId="4587" xr:uid="{00000000-0005-0000-0000-000053110000}"/>
    <cellStyle name="20% - Ênfase4 11 2 5" xfId="4588" xr:uid="{00000000-0005-0000-0000-000054110000}"/>
    <cellStyle name="20% - Ênfase4 11 2 5 2" xfId="4589" xr:uid="{00000000-0005-0000-0000-000055110000}"/>
    <cellStyle name="20% - Ênfase4 11 2 6" xfId="4590" xr:uid="{00000000-0005-0000-0000-000056110000}"/>
    <cellStyle name="20% - Ênfase4 11 3" xfId="4591" xr:uid="{00000000-0005-0000-0000-000057110000}"/>
    <cellStyle name="20% - Ênfase4 11 3 2" xfId="4592" xr:uid="{00000000-0005-0000-0000-000058110000}"/>
    <cellStyle name="20% - Ênfase4 11 3 2 2" xfId="4593" xr:uid="{00000000-0005-0000-0000-000059110000}"/>
    <cellStyle name="20% - Ênfase4 11 3 2 2 2" xfId="4594" xr:uid="{00000000-0005-0000-0000-00005A110000}"/>
    <cellStyle name="20% - Ênfase4 11 3 2 3" xfId="4595" xr:uid="{00000000-0005-0000-0000-00005B110000}"/>
    <cellStyle name="20% - Ênfase4 11 3 2 3 2" xfId="4596" xr:uid="{00000000-0005-0000-0000-00005C110000}"/>
    <cellStyle name="20% - Ênfase4 11 3 2 4" xfId="4597" xr:uid="{00000000-0005-0000-0000-00005D110000}"/>
    <cellStyle name="20% - Ênfase4 11 3 3" xfId="4598" xr:uid="{00000000-0005-0000-0000-00005E110000}"/>
    <cellStyle name="20% - Ênfase4 11 3 3 2" xfId="4599" xr:uid="{00000000-0005-0000-0000-00005F110000}"/>
    <cellStyle name="20% - Ênfase4 11 3 4" xfId="4600" xr:uid="{00000000-0005-0000-0000-000060110000}"/>
    <cellStyle name="20% - Ênfase4 11 3 4 2" xfId="4601" xr:uid="{00000000-0005-0000-0000-000061110000}"/>
    <cellStyle name="20% - Ênfase4 11 3 5" xfId="4602" xr:uid="{00000000-0005-0000-0000-000062110000}"/>
    <cellStyle name="20% - Ênfase4 11 4" xfId="4603" xr:uid="{00000000-0005-0000-0000-000063110000}"/>
    <cellStyle name="20% - Ênfase4 11 4 2" xfId="4604" xr:uid="{00000000-0005-0000-0000-000064110000}"/>
    <cellStyle name="20% - Ênfase4 11 4 2 2" xfId="4605" xr:uid="{00000000-0005-0000-0000-000065110000}"/>
    <cellStyle name="20% - Ênfase4 11 4 3" xfId="4606" xr:uid="{00000000-0005-0000-0000-000066110000}"/>
    <cellStyle name="20% - Ênfase4 11 4 3 2" xfId="4607" xr:uid="{00000000-0005-0000-0000-000067110000}"/>
    <cellStyle name="20% - Ênfase4 11 4 4" xfId="4608" xr:uid="{00000000-0005-0000-0000-000068110000}"/>
    <cellStyle name="20% - Ênfase4 11 5" xfId="4609" xr:uid="{00000000-0005-0000-0000-000069110000}"/>
    <cellStyle name="20% - Ênfase4 11 5 2" xfId="4610" xr:uid="{00000000-0005-0000-0000-00006A110000}"/>
    <cellStyle name="20% - Ênfase4 11 5 2 2" xfId="4611" xr:uid="{00000000-0005-0000-0000-00006B110000}"/>
    <cellStyle name="20% - Ênfase4 11 5 3" xfId="4612" xr:uid="{00000000-0005-0000-0000-00006C110000}"/>
    <cellStyle name="20% - Ênfase4 11 6" xfId="4613" xr:uid="{00000000-0005-0000-0000-00006D110000}"/>
    <cellStyle name="20% - Ênfase4 11 6 2" xfId="4614" xr:uid="{00000000-0005-0000-0000-00006E110000}"/>
    <cellStyle name="20% - Ênfase4 11 7" xfId="4615" xr:uid="{00000000-0005-0000-0000-00006F110000}"/>
    <cellStyle name="20% - Ênfase4 12" xfId="4616" xr:uid="{00000000-0005-0000-0000-000070110000}"/>
    <cellStyle name="20% - Ênfase4 12 2" xfId="4617" xr:uid="{00000000-0005-0000-0000-000071110000}"/>
    <cellStyle name="20% - Ênfase4 12 2 2" xfId="4618" xr:uid="{00000000-0005-0000-0000-000072110000}"/>
    <cellStyle name="20% - Ênfase4 12 2 2 2" xfId="4619" xr:uid="{00000000-0005-0000-0000-000073110000}"/>
    <cellStyle name="20% - Ênfase4 12 2 2 2 2" xfId="4620" xr:uid="{00000000-0005-0000-0000-000074110000}"/>
    <cellStyle name="20% - Ênfase4 12 2 2 2 2 2" xfId="4621" xr:uid="{00000000-0005-0000-0000-000075110000}"/>
    <cellStyle name="20% - Ênfase4 12 2 2 2 3" xfId="4622" xr:uid="{00000000-0005-0000-0000-000076110000}"/>
    <cellStyle name="20% - Ênfase4 12 2 2 2 3 2" xfId="4623" xr:uid="{00000000-0005-0000-0000-000077110000}"/>
    <cellStyle name="20% - Ênfase4 12 2 2 2 4" xfId="4624" xr:uid="{00000000-0005-0000-0000-000078110000}"/>
    <cellStyle name="20% - Ênfase4 12 2 2 3" xfId="4625" xr:uid="{00000000-0005-0000-0000-000079110000}"/>
    <cellStyle name="20% - Ênfase4 12 2 2 3 2" xfId="4626" xr:uid="{00000000-0005-0000-0000-00007A110000}"/>
    <cellStyle name="20% - Ênfase4 12 2 2 4" xfId="4627" xr:uid="{00000000-0005-0000-0000-00007B110000}"/>
    <cellStyle name="20% - Ênfase4 12 2 2 4 2" xfId="4628" xr:uid="{00000000-0005-0000-0000-00007C110000}"/>
    <cellStyle name="20% - Ênfase4 12 2 2 5" xfId="4629" xr:uid="{00000000-0005-0000-0000-00007D110000}"/>
    <cellStyle name="20% - Ênfase4 12 2 3" xfId="4630" xr:uid="{00000000-0005-0000-0000-00007E110000}"/>
    <cellStyle name="20% - Ênfase4 12 2 3 2" xfId="4631" xr:uid="{00000000-0005-0000-0000-00007F110000}"/>
    <cellStyle name="20% - Ênfase4 12 2 3 2 2" xfId="4632" xr:uid="{00000000-0005-0000-0000-000080110000}"/>
    <cellStyle name="20% - Ênfase4 12 2 3 3" xfId="4633" xr:uid="{00000000-0005-0000-0000-000081110000}"/>
    <cellStyle name="20% - Ênfase4 12 2 3 3 2" xfId="4634" xr:uid="{00000000-0005-0000-0000-000082110000}"/>
    <cellStyle name="20% - Ênfase4 12 2 3 4" xfId="4635" xr:uid="{00000000-0005-0000-0000-000083110000}"/>
    <cellStyle name="20% - Ênfase4 12 2 4" xfId="4636" xr:uid="{00000000-0005-0000-0000-000084110000}"/>
    <cellStyle name="20% - Ênfase4 12 2 4 2" xfId="4637" xr:uid="{00000000-0005-0000-0000-000085110000}"/>
    <cellStyle name="20% - Ênfase4 12 2 4 2 2" xfId="4638" xr:uid="{00000000-0005-0000-0000-000086110000}"/>
    <cellStyle name="20% - Ênfase4 12 2 4 3" xfId="4639" xr:uid="{00000000-0005-0000-0000-000087110000}"/>
    <cellStyle name="20% - Ênfase4 12 2 5" xfId="4640" xr:uid="{00000000-0005-0000-0000-000088110000}"/>
    <cellStyle name="20% - Ênfase4 12 2 5 2" xfId="4641" xr:uid="{00000000-0005-0000-0000-000089110000}"/>
    <cellStyle name="20% - Ênfase4 12 2 6" xfId="4642" xr:uid="{00000000-0005-0000-0000-00008A110000}"/>
    <cellStyle name="20% - Ênfase4 12 3" xfId="4643" xr:uid="{00000000-0005-0000-0000-00008B110000}"/>
    <cellStyle name="20% - Ênfase4 12 3 2" xfId="4644" xr:uid="{00000000-0005-0000-0000-00008C110000}"/>
    <cellStyle name="20% - Ênfase4 12 3 2 2" xfId="4645" xr:uid="{00000000-0005-0000-0000-00008D110000}"/>
    <cellStyle name="20% - Ênfase4 12 3 2 2 2" xfId="4646" xr:uid="{00000000-0005-0000-0000-00008E110000}"/>
    <cellStyle name="20% - Ênfase4 12 3 2 3" xfId="4647" xr:uid="{00000000-0005-0000-0000-00008F110000}"/>
    <cellStyle name="20% - Ênfase4 12 3 2 3 2" xfId="4648" xr:uid="{00000000-0005-0000-0000-000090110000}"/>
    <cellStyle name="20% - Ênfase4 12 3 2 4" xfId="4649" xr:uid="{00000000-0005-0000-0000-000091110000}"/>
    <cellStyle name="20% - Ênfase4 12 3 3" xfId="4650" xr:uid="{00000000-0005-0000-0000-000092110000}"/>
    <cellStyle name="20% - Ênfase4 12 3 3 2" xfId="4651" xr:uid="{00000000-0005-0000-0000-000093110000}"/>
    <cellStyle name="20% - Ênfase4 12 3 4" xfId="4652" xr:uid="{00000000-0005-0000-0000-000094110000}"/>
    <cellStyle name="20% - Ênfase4 12 3 4 2" xfId="4653" xr:uid="{00000000-0005-0000-0000-000095110000}"/>
    <cellStyle name="20% - Ênfase4 12 3 5" xfId="4654" xr:uid="{00000000-0005-0000-0000-000096110000}"/>
    <cellStyle name="20% - Ênfase4 12 4" xfId="4655" xr:uid="{00000000-0005-0000-0000-000097110000}"/>
    <cellStyle name="20% - Ênfase4 12 4 2" xfId="4656" xr:uid="{00000000-0005-0000-0000-000098110000}"/>
    <cellStyle name="20% - Ênfase4 12 4 2 2" xfId="4657" xr:uid="{00000000-0005-0000-0000-000099110000}"/>
    <cellStyle name="20% - Ênfase4 12 4 3" xfId="4658" xr:uid="{00000000-0005-0000-0000-00009A110000}"/>
    <cellStyle name="20% - Ênfase4 12 4 3 2" xfId="4659" xr:uid="{00000000-0005-0000-0000-00009B110000}"/>
    <cellStyle name="20% - Ênfase4 12 4 4" xfId="4660" xr:uid="{00000000-0005-0000-0000-00009C110000}"/>
    <cellStyle name="20% - Ênfase4 12 5" xfId="4661" xr:uid="{00000000-0005-0000-0000-00009D110000}"/>
    <cellStyle name="20% - Ênfase4 12 5 2" xfId="4662" xr:uid="{00000000-0005-0000-0000-00009E110000}"/>
    <cellStyle name="20% - Ênfase4 12 5 2 2" xfId="4663" xr:uid="{00000000-0005-0000-0000-00009F110000}"/>
    <cellStyle name="20% - Ênfase4 12 5 3" xfId="4664" xr:uid="{00000000-0005-0000-0000-0000A0110000}"/>
    <cellStyle name="20% - Ênfase4 12 6" xfId="4665" xr:uid="{00000000-0005-0000-0000-0000A1110000}"/>
    <cellStyle name="20% - Ênfase4 12 6 2" xfId="4666" xr:uid="{00000000-0005-0000-0000-0000A2110000}"/>
    <cellStyle name="20% - Ênfase4 12 7" xfId="4667" xr:uid="{00000000-0005-0000-0000-0000A3110000}"/>
    <cellStyle name="20% - Ênfase4 13" xfId="4668" xr:uid="{00000000-0005-0000-0000-0000A4110000}"/>
    <cellStyle name="20% - Ênfase4 13 2" xfId="4669" xr:uid="{00000000-0005-0000-0000-0000A5110000}"/>
    <cellStyle name="20% - Ênfase4 13 2 2" xfId="4670" xr:uid="{00000000-0005-0000-0000-0000A6110000}"/>
    <cellStyle name="20% - Ênfase4 13 2 2 2" xfId="4671" xr:uid="{00000000-0005-0000-0000-0000A7110000}"/>
    <cellStyle name="20% - Ênfase4 13 2 2 2 2" xfId="4672" xr:uid="{00000000-0005-0000-0000-0000A8110000}"/>
    <cellStyle name="20% - Ênfase4 13 2 2 2 2 2" xfId="4673" xr:uid="{00000000-0005-0000-0000-0000A9110000}"/>
    <cellStyle name="20% - Ênfase4 13 2 2 2 3" xfId="4674" xr:uid="{00000000-0005-0000-0000-0000AA110000}"/>
    <cellStyle name="20% - Ênfase4 13 2 2 2 3 2" xfId="4675" xr:uid="{00000000-0005-0000-0000-0000AB110000}"/>
    <cellStyle name="20% - Ênfase4 13 2 2 2 4" xfId="4676" xr:uid="{00000000-0005-0000-0000-0000AC110000}"/>
    <cellStyle name="20% - Ênfase4 13 2 2 3" xfId="4677" xr:uid="{00000000-0005-0000-0000-0000AD110000}"/>
    <cellStyle name="20% - Ênfase4 13 2 2 3 2" xfId="4678" xr:uid="{00000000-0005-0000-0000-0000AE110000}"/>
    <cellStyle name="20% - Ênfase4 13 2 2 4" xfId="4679" xr:uid="{00000000-0005-0000-0000-0000AF110000}"/>
    <cellStyle name="20% - Ênfase4 13 2 2 4 2" xfId="4680" xr:uid="{00000000-0005-0000-0000-0000B0110000}"/>
    <cellStyle name="20% - Ênfase4 13 2 2 5" xfId="4681" xr:uid="{00000000-0005-0000-0000-0000B1110000}"/>
    <cellStyle name="20% - Ênfase4 13 2 3" xfId="4682" xr:uid="{00000000-0005-0000-0000-0000B2110000}"/>
    <cellStyle name="20% - Ênfase4 13 2 3 2" xfId="4683" xr:uid="{00000000-0005-0000-0000-0000B3110000}"/>
    <cellStyle name="20% - Ênfase4 13 2 3 2 2" xfId="4684" xr:uid="{00000000-0005-0000-0000-0000B4110000}"/>
    <cellStyle name="20% - Ênfase4 13 2 3 3" xfId="4685" xr:uid="{00000000-0005-0000-0000-0000B5110000}"/>
    <cellStyle name="20% - Ênfase4 13 2 3 3 2" xfId="4686" xr:uid="{00000000-0005-0000-0000-0000B6110000}"/>
    <cellStyle name="20% - Ênfase4 13 2 3 4" xfId="4687" xr:uid="{00000000-0005-0000-0000-0000B7110000}"/>
    <cellStyle name="20% - Ênfase4 13 2 4" xfId="4688" xr:uid="{00000000-0005-0000-0000-0000B8110000}"/>
    <cellStyle name="20% - Ênfase4 13 2 4 2" xfId="4689" xr:uid="{00000000-0005-0000-0000-0000B9110000}"/>
    <cellStyle name="20% - Ênfase4 13 2 4 2 2" xfId="4690" xr:uid="{00000000-0005-0000-0000-0000BA110000}"/>
    <cellStyle name="20% - Ênfase4 13 2 4 3" xfId="4691" xr:uid="{00000000-0005-0000-0000-0000BB110000}"/>
    <cellStyle name="20% - Ênfase4 13 2 5" xfId="4692" xr:uid="{00000000-0005-0000-0000-0000BC110000}"/>
    <cellStyle name="20% - Ênfase4 13 2 5 2" xfId="4693" xr:uid="{00000000-0005-0000-0000-0000BD110000}"/>
    <cellStyle name="20% - Ênfase4 13 2 6" xfId="4694" xr:uid="{00000000-0005-0000-0000-0000BE110000}"/>
    <cellStyle name="20% - Ênfase4 13 3" xfId="4695" xr:uid="{00000000-0005-0000-0000-0000BF110000}"/>
    <cellStyle name="20% - Ênfase4 13 3 2" xfId="4696" xr:uid="{00000000-0005-0000-0000-0000C0110000}"/>
    <cellStyle name="20% - Ênfase4 13 3 2 2" xfId="4697" xr:uid="{00000000-0005-0000-0000-0000C1110000}"/>
    <cellStyle name="20% - Ênfase4 13 3 2 2 2" xfId="4698" xr:uid="{00000000-0005-0000-0000-0000C2110000}"/>
    <cellStyle name="20% - Ênfase4 13 3 2 3" xfId="4699" xr:uid="{00000000-0005-0000-0000-0000C3110000}"/>
    <cellStyle name="20% - Ênfase4 13 3 2 3 2" xfId="4700" xr:uid="{00000000-0005-0000-0000-0000C4110000}"/>
    <cellStyle name="20% - Ênfase4 13 3 2 4" xfId="4701" xr:uid="{00000000-0005-0000-0000-0000C5110000}"/>
    <cellStyle name="20% - Ênfase4 13 3 3" xfId="4702" xr:uid="{00000000-0005-0000-0000-0000C6110000}"/>
    <cellStyle name="20% - Ênfase4 13 3 3 2" xfId="4703" xr:uid="{00000000-0005-0000-0000-0000C7110000}"/>
    <cellStyle name="20% - Ênfase4 13 3 4" xfId="4704" xr:uid="{00000000-0005-0000-0000-0000C8110000}"/>
    <cellStyle name="20% - Ênfase4 13 3 4 2" xfId="4705" xr:uid="{00000000-0005-0000-0000-0000C9110000}"/>
    <cellStyle name="20% - Ênfase4 13 3 5" xfId="4706" xr:uid="{00000000-0005-0000-0000-0000CA110000}"/>
    <cellStyle name="20% - Ênfase4 13 4" xfId="4707" xr:uid="{00000000-0005-0000-0000-0000CB110000}"/>
    <cellStyle name="20% - Ênfase4 13 4 2" xfId="4708" xr:uid="{00000000-0005-0000-0000-0000CC110000}"/>
    <cellStyle name="20% - Ênfase4 13 4 2 2" xfId="4709" xr:uid="{00000000-0005-0000-0000-0000CD110000}"/>
    <cellStyle name="20% - Ênfase4 13 4 3" xfId="4710" xr:uid="{00000000-0005-0000-0000-0000CE110000}"/>
    <cellStyle name="20% - Ênfase4 13 4 3 2" xfId="4711" xr:uid="{00000000-0005-0000-0000-0000CF110000}"/>
    <cellStyle name="20% - Ênfase4 13 4 4" xfId="4712" xr:uid="{00000000-0005-0000-0000-0000D0110000}"/>
    <cellStyle name="20% - Ênfase4 13 5" xfId="4713" xr:uid="{00000000-0005-0000-0000-0000D1110000}"/>
    <cellStyle name="20% - Ênfase4 13 5 2" xfId="4714" xr:uid="{00000000-0005-0000-0000-0000D2110000}"/>
    <cellStyle name="20% - Ênfase4 13 5 2 2" xfId="4715" xr:uid="{00000000-0005-0000-0000-0000D3110000}"/>
    <cellStyle name="20% - Ênfase4 13 5 3" xfId="4716" xr:uid="{00000000-0005-0000-0000-0000D4110000}"/>
    <cellStyle name="20% - Ênfase4 13 6" xfId="4717" xr:uid="{00000000-0005-0000-0000-0000D5110000}"/>
    <cellStyle name="20% - Ênfase4 13 6 2" xfId="4718" xr:uid="{00000000-0005-0000-0000-0000D6110000}"/>
    <cellStyle name="20% - Ênfase4 13 7" xfId="4719" xr:uid="{00000000-0005-0000-0000-0000D7110000}"/>
    <cellStyle name="20% - Ênfase4 14" xfId="4720" xr:uid="{00000000-0005-0000-0000-0000D8110000}"/>
    <cellStyle name="20% - Ênfase4 14 2" xfId="4721" xr:uid="{00000000-0005-0000-0000-0000D9110000}"/>
    <cellStyle name="20% - Ênfase4 14 2 2" xfId="4722" xr:uid="{00000000-0005-0000-0000-0000DA110000}"/>
    <cellStyle name="20% - Ênfase4 14 2 2 2" xfId="4723" xr:uid="{00000000-0005-0000-0000-0000DB110000}"/>
    <cellStyle name="20% - Ênfase4 14 2 2 2 2" xfId="4724" xr:uid="{00000000-0005-0000-0000-0000DC110000}"/>
    <cellStyle name="20% - Ênfase4 14 2 2 2 2 2" xfId="4725" xr:uid="{00000000-0005-0000-0000-0000DD110000}"/>
    <cellStyle name="20% - Ênfase4 14 2 2 2 3" xfId="4726" xr:uid="{00000000-0005-0000-0000-0000DE110000}"/>
    <cellStyle name="20% - Ênfase4 14 2 2 2 3 2" xfId="4727" xr:uid="{00000000-0005-0000-0000-0000DF110000}"/>
    <cellStyle name="20% - Ênfase4 14 2 2 2 4" xfId="4728" xr:uid="{00000000-0005-0000-0000-0000E0110000}"/>
    <cellStyle name="20% - Ênfase4 14 2 2 3" xfId="4729" xr:uid="{00000000-0005-0000-0000-0000E1110000}"/>
    <cellStyle name="20% - Ênfase4 14 2 2 3 2" xfId="4730" xr:uid="{00000000-0005-0000-0000-0000E2110000}"/>
    <cellStyle name="20% - Ênfase4 14 2 2 4" xfId="4731" xr:uid="{00000000-0005-0000-0000-0000E3110000}"/>
    <cellStyle name="20% - Ênfase4 14 2 2 4 2" xfId="4732" xr:uid="{00000000-0005-0000-0000-0000E4110000}"/>
    <cellStyle name="20% - Ênfase4 14 2 2 5" xfId="4733" xr:uid="{00000000-0005-0000-0000-0000E5110000}"/>
    <cellStyle name="20% - Ênfase4 14 2 3" xfId="4734" xr:uid="{00000000-0005-0000-0000-0000E6110000}"/>
    <cellStyle name="20% - Ênfase4 14 2 3 2" xfId="4735" xr:uid="{00000000-0005-0000-0000-0000E7110000}"/>
    <cellStyle name="20% - Ênfase4 14 2 3 2 2" xfId="4736" xr:uid="{00000000-0005-0000-0000-0000E8110000}"/>
    <cellStyle name="20% - Ênfase4 14 2 3 3" xfId="4737" xr:uid="{00000000-0005-0000-0000-0000E9110000}"/>
    <cellStyle name="20% - Ênfase4 14 2 3 3 2" xfId="4738" xr:uid="{00000000-0005-0000-0000-0000EA110000}"/>
    <cellStyle name="20% - Ênfase4 14 2 3 4" xfId="4739" xr:uid="{00000000-0005-0000-0000-0000EB110000}"/>
    <cellStyle name="20% - Ênfase4 14 2 4" xfId="4740" xr:uid="{00000000-0005-0000-0000-0000EC110000}"/>
    <cellStyle name="20% - Ênfase4 14 2 4 2" xfId="4741" xr:uid="{00000000-0005-0000-0000-0000ED110000}"/>
    <cellStyle name="20% - Ênfase4 14 2 4 2 2" xfId="4742" xr:uid="{00000000-0005-0000-0000-0000EE110000}"/>
    <cellStyle name="20% - Ênfase4 14 2 4 3" xfId="4743" xr:uid="{00000000-0005-0000-0000-0000EF110000}"/>
    <cellStyle name="20% - Ênfase4 14 2 5" xfId="4744" xr:uid="{00000000-0005-0000-0000-0000F0110000}"/>
    <cellStyle name="20% - Ênfase4 14 2 5 2" xfId="4745" xr:uid="{00000000-0005-0000-0000-0000F1110000}"/>
    <cellStyle name="20% - Ênfase4 14 2 6" xfId="4746" xr:uid="{00000000-0005-0000-0000-0000F2110000}"/>
    <cellStyle name="20% - Ênfase4 14 3" xfId="4747" xr:uid="{00000000-0005-0000-0000-0000F3110000}"/>
    <cellStyle name="20% - Ênfase4 14 3 2" xfId="4748" xr:uid="{00000000-0005-0000-0000-0000F4110000}"/>
    <cellStyle name="20% - Ênfase4 14 3 2 2" xfId="4749" xr:uid="{00000000-0005-0000-0000-0000F5110000}"/>
    <cellStyle name="20% - Ênfase4 14 3 2 2 2" xfId="4750" xr:uid="{00000000-0005-0000-0000-0000F6110000}"/>
    <cellStyle name="20% - Ênfase4 14 3 2 3" xfId="4751" xr:uid="{00000000-0005-0000-0000-0000F7110000}"/>
    <cellStyle name="20% - Ênfase4 14 3 2 3 2" xfId="4752" xr:uid="{00000000-0005-0000-0000-0000F8110000}"/>
    <cellStyle name="20% - Ênfase4 14 3 2 4" xfId="4753" xr:uid="{00000000-0005-0000-0000-0000F9110000}"/>
    <cellStyle name="20% - Ênfase4 14 3 3" xfId="4754" xr:uid="{00000000-0005-0000-0000-0000FA110000}"/>
    <cellStyle name="20% - Ênfase4 14 3 3 2" xfId="4755" xr:uid="{00000000-0005-0000-0000-0000FB110000}"/>
    <cellStyle name="20% - Ênfase4 14 3 4" xfId="4756" xr:uid="{00000000-0005-0000-0000-0000FC110000}"/>
    <cellStyle name="20% - Ênfase4 14 3 4 2" xfId="4757" xr:uid="{00000000-0005-0000-0000-0000FD110000}"/>
    <cellStyle name="20% - Ênfase4 14 3 5" xfId="4758" xr:uid="{00000000-0005-0000-0000-0000FE110000}"/>
    <cellStyle name="20% - Ênfase4 14 4" xfId="4759" xr:uid="{00000000-0005-0000-0000-0000FF110000}"/>
    <cellStyle name="20% - Ênfase4 14 4 2" xfId="4760" xr:uid="{00000000-0005-0000-0000-000000120000}"/>
    <cellStyle name="20% - Ênfase4 14 4 2 2" xfId="4761" xr:uid="{00000000-0005-0000-0000-000001120000}"/>
    <cellStyle name="20% - Ênfase4 14 4 3" xfId="4762" xr:uid="{00000000-0005-0000-0000-000002120000}"/>
    <cellStyle name="20% - Ênfase4 14 4 3 2" xfId="4763" xr:uid="{00000000-0005-0000-0000-000003120000}"/>
    <cellStyle name="20% - Ênfase4 14 4 4" xfId="4764" xr:uid="{00000000-0005-0000-0000-000004120000}"/>
    <cellStyle name="20% - Ênfase4 14 5" xfId="4765" xr:uid="{00000000-0005-0000-0000-000005120000}"/>
    <cellStyle name="20% - Ênfase4 14 5 2" xfId="4766" xr:uid="{00000000-0005-0000-0000-000006120000}"/>
    <cellStyle name="20% - Ênfase4 14 5 2 2" xfId="4767" xr:uid="{00000000-0005-0000-0000-000007120000}"/>
    <cellStyle name="20% - Ênfase4 14 5 3" xfId="4768" xr:uid="{00000000-0005-0000-0000-000008120000}"/>
    <cellStyle name="20% - Ênfase4 14 6" xfId="4769" xr:uid="{00000000-0005-0000-0000-000009120000}"/>
    <cellStyle name="20% - Ênfase4 14 6 2" xfId="4770" xr:uid="{00000000-0005-0000-0000-00000A120000}"/>
    <cellStyle name="20% - Ênfase4 14 7" xfId="4771" xr:uid="{00000000-0005-0000-0000-00000B120000}"/>
    <cellStyle name="20% - Ênfase4 15" xfId="4772" xr:uid="{00000000-0005-0000-0000-00000C120000}"/>
    <cellStyle name="20% - Ênfase4 15 2" xfId="4773" xr:uid="{00000000-0005-0000-0000-00000D120000}"/>
    <cellStyle name="20% - Ênfase4 15 2 2" xfId="4774" xr:uid="{00000000-0005-0000-0000-00000E120000}"/>
    <cellStyle name="20% - Ênfase4 15 2 2 2" xfId="4775" xr:uid="{00000000-0005-0000-0000-00000F120000}"/>
    <cellStyle name="20% - Ênfase4 15 2 2 2 2" xfId="4776" xr:uid="{00000000-0005-0000-0000-000010120000}"/>
    <cellStyle name="20% - Ênfase4 15 2 2 3" xfId="4777" xr:uid="{00000000-0005-0000-0000-000011120000}"/>
    <cellStyle name="20% - Ênfase4 15 2 2 3 2" xfId="4778" xr:uid="{00000000-0005-0000-0000-000012120000}"/>
    <cellStyle name="20% - Ênfase4 15 2 2 4" xfId="4779" xr:uid="{00000000-0005-0000-0000-000013120000}"/>
    <cellStyle name="20% - Ênfase4 15 2 3" xfId="4780" xr:uid="{00000000-0005-0000-0000-000014120000}"/>
    <cellStyle name="20% - Ênfase4 15 2 3 2" xfId="4781" xr:uid="{00000000-0005-0000-0000-000015120000}"/>
    <cellStyle name="20% - Ênfase4 15 2 4" xfId="4782" xr:uid="{00000000-0005-0000-0000-000016120000}"/>
    <cellStyle name="20% - Ênfase4 15 2 4 2" xfId="4783" xr:uid="{00000000-0005-0000-0000-000017120000}"/>
    <cellStyle name="20% - Ênfase4 15 2 5" xfId="4784" xr:uid="{00000000-0005-0000-0000-000018120000}"/>
    <cellStyle name="20% - Ênfase4 15 3" xfId="4785" xr:uid="{00000000-0005-0000-0000-000019120000}"/>
    <cellStyle name="20% - Ênfase4 15 3 2" xfId="4786" xr:uid="{00000000-0005-0000-0000-00001A120000}"/>
    <cellStyle name="20% - Ênfase4 15 3 2 2" xfId="4787" xr:uid="{00000000-0005-0000-0000-00001B120000}"/>
    <cellStyle name="20% - Ênfase4 15 3 3" xfId="4788" xr:uid="{00000000-0005-0000-0000-00001C120000}"/>
    <cellStyle name="20% - Ênfase4 15 3 3 2" xfId="4789" xr:uid="{00000000-0005-0000-0000-00001D120000}"/>
    <cellStyle name="20% - Ênfase4 15 3 4" xfId="4790" xr:uid="{00000000-0005-0000-0000-00001E120000}"/>
    <cellStyle name="20% - Ênfase4 15 4" xfId="4791" xr:uid="{00000000-0005-0000-0000-00001F120000}"/>
    <cellStyle name="20% - Ênfase4 15 4 2" xfId="4792" xr:uid="{00000000-0005-0000-0000-000020120000}"/>
    <cellStyle name="20% - Ênfase4 15 4 2 2" xfId="4793" xr:uid="{00000000-0005-0000-0000-000021120000}"/>
    <cellStyle name="20% - Ênfase4 15 4 3" xfId="4794" xr:uid="{00000000-0005-0000-0000-000022120000}"/>
    <cellStyle name="20% - Ênfase4 15 5" xfId="4795" xr:uid="{00000000-0005-0000-0000-000023120000}"/>
    <cellStyle name="20% - Ênfase4 15 5 2" xfId="4796" xr:uid="{00000000-0005-0000-0000-000024120000}"/>
    <cellStyle name="20% - Ênfase4 15 6" xfId="4797" xr:uid="{00000000-0005-0000-0000-000025120000}"/>
    <cellStyle name="20% - Ênfase4 16" xfId="4798" xr:uid="{00000000-0005-0000-0000-000026120000}"/>
    <cellStyle name="20% - Ênfase4 16 2" xfId="4799" xr:uid="{00000000-0005-0000-0000-000027120000}"/>
    <cellStyle name="20% - Ênfase4 16 2 2" xfId="4800" xr:uid="{00000000-0005-0000-0000-000028120000}"/>
    <cellStyle name="20% - Ênfase4 16 2 2 2" xfId="4801" xr:uid="{00000000-0005-0000-0000-000029120000}"/>
    <cellStyle name="20% - Ênfase4 16 2 3" xfId="4802" xr:uid="{00000000-0005-0000-0000-00002A120000}"/>
    <cellStyle name="20% - Ênfase4 16 2 3 2" xfId="4803" xr:uid="{00000000-0005-0000-0000-00002B120000}"/>
    <cellStyle name="20% - Ênfase4 16 2 4" xfId="4804" xr:uid="{00000000-0005-0000-0000-00002C120000}"/>
    <cellStyle name="20% - Ênfase4 16 3" xfId="4805" xr:uid="{00000000-0005-0000-0000-00002D120000}"/>
    <cellStyle name="20% - Ênfase4 16 3 2" xfId="4806" xr:uid="{00000000-0005-0000-0000-00002E120000}"/>
    <cellStyle name="20% - Ênfase4 16 3 2 2" xfId="4807" xr:uid="{00000000-0005-0000-0000-00002F120000}"/>
    <cellStyle name="20% - Ênfase4 16 3 3" xfId="4808" xr:uid="{00000000-0005-0000-0000-000030120000}"/>
    <cellStyle name="20% - Ênfase4 16 3 3 2" xfId="4809" xr:uid="{00000000-0005-0000-0000-000031120000}"/>
    <cellStyle name="20% - Ênfase4 16 3 4" xfId="4810" xr:uid="{00000000-0005-0000-0000-000032120000}"/>
    <cellStyle name="20% - Ênfase4 16 4" xfId="4811" xr:uid="{00000000-0005-0000-0000-000033120000}"/>
    <cellStyle name="20% - Ênfase4 16 4 2" xfId="4812" xr:uid="{00000000-0005-0000-0000-000034120000}"/>
    <cellStyle name="20% - Ênfase4 16 5" xfId="4813" xr:uid="{00000000-0005-0000-0000-000035120000}"/>
    <cellStyle name="20% - Ênfase4 16 5 2" xfId="4814" xr:uid="{00000000-0005-0000-0000-000036120000}"/>
    <cellStyle name="20% - Ênfase4 16 6" xfId="4815" xr:uid="{00000000-0005-0000-0000-000037120000}"/>
    <cellStyle name="20% - Ênfase4 17" xfId="4816" xr:uid="{00000000-0005-0000-0000-000038120000}"/>
    <cellStyle name="20% - Ênfase4 17 2" xfId="4817" xr:uid="{00000000-0005-0000-0000-000039120000}"/>
    <cellStyle name="20% - Ênfase4 17 2 2" xfId="4818" xr:uid="{00000000-0005-0000-0000-00003A120000}"/>
    <cellStyle name="20% - Ênfase4 17 2 2 2" xfId="4819" xr:uid="{00000000-0005-0000-0000-00003B120000}"/>
    <cellStyle name="20% - Ênfase4 17 2 3" xfId="4820" xr:uid="{00000000-0005-0000-0000-00003C120000}"/>
    <cellStyle name="20% - Ênfase4 17 2 3 2" xfId="4821" xr:uid="{00000000-0005-0000-0000-00003D120000}"/>
    <cellStyle name="20% - Ênfase4 17 2 4" xfId="4822" xr:uid="{00000000-0005-0000-0000-00003E120000}"/>
    <cellStyle name="20% - Ênfase4 17 3" xfId="4823" xr:uid="{00000000-0005-0000-0000-00003F120000}"/>
    <cellStyle name="20% - Ênfase4 17 3 2" xfId="4824" xr:uid="{00000000-0005-0000-0000-000040120000}"/>
    <cellStyle name="20% - Ênfase4 17 3 2 2" xfId="4825" xr:uid="{00000000-0005-0000-0000-000041120000}"/>
    <cellStyle name="20% - Ênfase4 17 3 3" xfId="4826" xr:uid="{00000000-0005-0000-0000-000042120000}"/>
    <cellStyle name="20% - Ênfase4 17 3 3 2" xfId="4827" xr:uid="{00000000-0005-0000-0000-000043120000}"/>
    <cellStyle name="20% - Ênfase4 17 3 4" xfId="4828" xr:uid="{00000000-0005-0000-0000-000044120000}"/>
    <cellStyle name="20% - Ênfase4 17 4" xfId="4829" xr:uid="{00000000-0005-0000-0000-000045120000}"/>
    <cellStyle name="20% - Ênfase4 17 4 2" xfId="4830" xr:uid="{00000000-0005-0000-0000-000046120000}"/>
    <cellStyle name="20% - Ênfase4 17 5" xfId="4831" xr:uid="{00000000-0005-0000-0000-000047120000}"/>
    <cellStyle name="20% - Ênfase4 17 5 2" xfId="4832" xr:uid="{00000000-0005-0000-0000-000048120000}"/>
    <cellStyle name="20% - Ênfase4 17 6" xfId="4833" xr:uid="{00000000-0005-0000-0000-000049120000}"/>
    <cellStyle name="20% - Ênfase4 18" xfId="4834" xr:uid="{00000000-0005-0000-0000-00004A120000}"/>
    <cellStyle name="20% - Ênfase4 18 2" xfId="4835" xr:uid="{00000000-0005-0000-0000-00004B120000}"/>
    <cellStyle name="20% - Ênfase4 18 2 2" xfId="4836" xr:uid="{00000000-0005-0000-0000-00004C120000}"/>
    <cellStyle name="20% - Ênfase4 18 3" xfId="4837" xr:uid="{00000000-0005-0000-0000-00004D120000}"/>
    <cellStyle name="20% - Ênfase4 18 3 2" xfId="4838" xr:uid="{00000000-0005-0000-0000-00004E120000}"/>
    <cellStyle name="20% - Ênfase4 18 4" xfId="4839" xr:uid="{00000000-0005-0000-0000-00004F120000}"/>
    <cellStyle name="20% - Ênfase4 19" xfId="4840" xr:uid="{00000000-0005-0000-0000-000050120000}"/>
    <cellStyle name="20% - Ênfase4 19 2" xfId="4841" xr:uid="{00000000-0005-0000-0000-000051120000}"/>
    <cellStyle name="20% - Ênfase4 19 2 2" xfId="4842" xr:uid="{00000000-0005-0000-0000-000052120000}"/>
    <cellStyle name="20% - Ênfase4 19 3" xfId="4843" xr:uid="{00000000-0005-0000-0000-000053120000}"/>
    <cellStyle name="20% - Ênfase4 2" xfId="4844" xr:uid="{00000000-0005-0000-0000-000054120000}"/>
    <cellStyle name="20% - Ênfase4 2 10" xfId="4845" xr:uid="{00000000-0005-0000-0000-000055120000}"/>
    <cellStyle name="20% - Ênfase4 2 10 2" xfId="4846" xr:uid="{00000000-0005-0000-0000-000056120000}"/>
    <cellStyle name="20% - Ênfase4 2 10 2 2" xfId="4847" xr:uid="{00000000-0005-0000-0000-000057120000}"/>
    <cellStyle name="20% - Ênfase4 2 10 3" xfId="4848" xr:uid="{00000000-0005-0000-0000-000058120000}"/>
    <cellStyle name="20% - Ênfase4 2 10 3 2" xfId="4849" xr:uid="{00000000-0005-0000-0000-000059120000}"/>
    <cellStyle name="20% - Ênfase4 2 10 4" xfId="4850" xr:uid="{00000000-0005-0000-0000-00005A120000}"/>
    <cellStyle name="20% - Ênfase4 2 11" xfId="4851" xr:uid="{00000000-0005-0000-0000-00005B120000}"/>
    <cellStyle name="20% - Ênfase4 2 11 2" xfId="4852" xr:uid="{00000000-0005-0000-0000-00005C120000}"/>
    <cellStyle name="20% - Ênfase4 2 11 2 2" xfId="4853" xr:uid="{00000000-0005-0000-0000-00005D120000}"/>
    <cellStyle name="20% - Ênfase4 2 11 3" xfId="4854" xr:uid="{00000000-0005-0000-0000-00005E120000}"/>
    <cellStyle name="20% - Ênfase4 2 12" xfId="4855" xr:uid="{00000000-0005-0000-0000-00005F120000}"/>
    <cellStyle name="20% - Ênfase4 2 12 2" xfId="4856" xr:uid="{00000000-0005-0000-0000-000060120000}"/>
    <cellStyle name="20% - Ênfase4 2 12 2 2" xfId="4857" xr:uid="{00000000-0005-0000-0000-000061120000}"/>
    <cellStyle name="20% - Ênfase4 2 12 3" xfId="4858" xr:uid="{00000000-0005-0000-0000-000062120000}"/>
    <cellStyle name="20% - Ênfase4 2 13" xfId="4859" xr:uid="{00000000-0005-0000-0000-000063120000}"/>
    <cellStyle name="20% - Ênfase4 2 13 2" xfId="4860" xr:uid="{00000000-0005-0000-0000-000064120000}"/>
    <cellStyle name="20% - Ênfase4 2 13 2 2" xfId="4861" xr:uid="{00000000-0005-0000-0000-000065120000}"/>
    <cellStyle name="20% - Ênfase4 2 13 3" xfId="4862" xr:uid="{00000000-0005-0000-0000-000066120000}"/>
    <cellStyle name="20% - Ênfase4 2 14" xfId="4863" xr:uid="{00000000-0005-0000-0000-000067120000}"/>
    <cellStyle name="20% - Ênfase4 2 14 2" xfId="4864" xr:uid="{00000000-0005-0000-0000-000068120000}"/>
    <cellStyle name="20% - Ênfase4 2 14 2 2" xfId="4865" xr:uid="{00000000-0005-0000-0000-000069120000}"/>
    <cellStyle name="20% - Ênfase4 2 14 3" xfId="4866" xr:uid="{00000000-0005-0000-0000-00006A120000}"/>
    <cellStyle name="20% - Ênfase4 2 15" xfId="4867" xr:uid="{00000000-0005-0000-0000-00006B120000}"/>
    <cellStyle name="20% - Ênfase4 2 15 2" xfId="4868" xr:uid="{00000000-0005-0000-0000-00006C120000}"/>
    <cellStyle name="20% - Ênfase4 2 16" xfId="4869" xr:uid="{00000000-0005-0000-0000-00006D120000}"/>
    <cellStyle name="20% - Ênfase4 2 2" xfId="4870" xr:uid="{00000000-0005-0000-0000-00006E120000}"/>
    <cellStyle name="20% - Ênfase4 2 2 10" xfId="4871" xr:uid="{00000000-0005-0000-0000-00006F120000}"/>
    <cellStyle name="20% - Ênfase4 2 2 10 2" xfId="4872" xr:uid="{00000000-0005-0000-0000-000070120000}"/>
    <cellStyle name="20% - Ênfase4 2 2 11" xfId="4873" xr:uid="{00000000-0005-0000-0000-000071120000}"/>
    <cellStyle name="20% - Ênfase4 2 2 2" xfId="4874" xr:uid="{00000000-0005-0000-0000-000072120000}"/>
    <cellStyle name="20% - Ênfase4 2 2 2 2" xfId="4875" xr:uid="{00000000-0005-0000-0000-000073120000}"/>
    <cellStyle name="20% - Ênfase4 2 2 2 2 2" xfId="4876" xr:uid="{00000000-0005-0000-0000-000074120000}"/>
    <cellStyle name="20% - Ênfase4 2 2 2 2 2 2" xfId="4877" xr:uid="{00000000-0005-0000-0000-000075120000}"/>
    <cellStyle name="20% - Ênfase4 2 2 2 2 2 2 2" xfId="4878" xr:uid="{00000000-0005-0000-0000-000076120000}"/>
    <cellStyle name="20% - Ênfase4 2 2 2 2 2 3" xfId="4879" xr:uid="{00000000-0005-0000-0000-000077120000}"/>
    <cellStyle name="20% - Ênfase4 2 2 2 2 2 3 2" xfId="4880" xr:uid="{00000000-0005-0000-0000-000078120000}"/>
    <cellStyle name="20% - Ênfase4 2 2 2 2 2 4" xfId="4881" xr:uid="{00000000-0005-0000-0000-000079120000}"/>
    <cellStyle name="20% - Ênfase4 2 2 2 2 3" xfId="4882" xr:uid="{00000000-0005-0000-0000-00007A120000}"/>
    <cellStyle name="20% - Ênfase4 2 2 2 2 3 2" xfId="4883" xr:uid="{00000000-0005-0000-0000-00007B120000}"/>
    <cellStyle name="20% - Ênfase4 2 2 2 2 3 2 2" xfId="4884" xr:uid="{00000000-0005-0000-0000-00007C120000}"/>
    <cellStyle name="20% - Ênfase4 2 2 2 2 3 3" xfId="4885" xr:uid="{00000000-0005-0000-0000-00007D120000}"/>
    <cellStyle name="20% - Ênfase4 2 2 2 2 3 3 2" xfId="4886" xr:uid="{00000000-0005-0000-0000-00007E120000}"/>
    <cellStyle name="20% - Ênfase4 2 2 2 2 3 4" xfId="4887" xr:uid="{00000000-0005-0000-0000-00007F120000}"/>
    <cellStyle name="20% - Ênfase4 2 2 2 2 4" xfId="4888" xr:uid="{00000000-0005-0000-0000-000080120000}"/>
    <cellStyle name="20% - Ênfase4 2 2 2 2 4 2" xfId="4889" xr:uid="{00000000-0005-0000-0000-000081120000}"/>
    <cellStyle name="20% - Ênfase4 2 2 2 2 5" xfId="4890" xr:uid="{00000000-0005-0000-0000-000082120000}"/>
    <cellStyle name="20% - Ênfase4 2 2 2 2 5 2" xfId="4891" xr:uid="{00000000-0005-0000-0000-000083120000}"/>
    <cellStyle name="20% - Ênfase4 2 2 2 2 6" xfId="4892" xr:uid="{00000000-0005-0000-0000-000084120000}"/>
    <cellStyle name="20% - Ênfase4 2 2 2 3" xfId="4893" xr:uid="{00000000-0005-0000-0000-000085120000}"/>
    <cellStyle name="20% - Ênfase4 2 2 2 3 2" xfId="4894" xr:uid="{00000000-0005-0000-0000-000086120000}"/>
    <cellStyle name="20% - Ênfase4 2 2 2 3 2 2" xfId="4895" xr:uid="{00000000-0005-0000-0000-000087120000}"/>
    <cellStyle name="20% - Ênfase4 2 2 2 3 3" xfId="4896" xr:uid="{00000000-0005-0000-0000-000088120000}"/>
    <cellStyle name="20% - Ênfase4 2 2 2 3 3 2" xfId="4897" xr:uid="{00000000-0005-0000-0000-000089120000}"/>
    <cellStyle name="20% - Ênfase4 2 2 2 3 4" xfId="4898" xr:uid="{00000000-0005-0000-0000-00008A120000}"/>
    <cellStyle name="20% - Ênfase4 2 2 2 4" xfId="4899" xr:uid="{00000000-0005-0000-0000-00008B120000}"/>
    <cellStyle name="20% - Ênfase4 2 2 2 4 2" xfId="4900" xr:uid="{00000000-0005-0000-0000-00008C120000}"/>
    <cellStyle name="20% - Ênfase4 2 2 2 4 2 2" xfId="4901" xr:uid="{00000000-0005-0000-0000-00008D120000}"/>
    <cellStyle name="20% - Ênfase4 2 2 2 4 3" xfId="4902" xr:uid="{00000000-0005-0000-0000-00008E120000}"/>
    <cellStyle name="20% - Ênfase4 2 2 2 5" xfId="4903" xr:uid="{00000000-0005-0000-0000-00008F120000}"/>
    <cellStyle name="20% - Ênfase4 2 2 2 5 2" xfId="4904" xr:uid="{00000000-0005-0000-0000-000090120000}"/>
    <cellStyle name="20% - Ênfase4 2 2 2 5 2 2" xfId="4905" xr:uid="{00000000-0005-0000-0000-000091120000}"/>
    <cellStyle name="20% - Ênfase4 2 2 2 5 3" xfId="4906" xr:uid="{00000000-0005-0000-0000-000092120000}"/>
    <cellStyle name="20% - Ênfase4 2 2 2 6" xfId="4907" xr:uid="{00000000-0005-0000-0000-000093120000}"/>
    <cellStyle name="20% - Ênfase4 2 2 2 6 2" xfId="4908" xr:uid="{00000000-0005-0000-0000-000094120000}"/>
    <cellStyle name="20% - Ênfase4 2 2 2 6 2 2" xfId="4909" xr:uid="{00000000-0005-0000-0000-000095120000}"/>
    <cellStyle name="20% - Ênfase4 2 2 2 6 3" xfId="4910" xr:uid="{00000000-0005-0000-0000-000096120000}"/>
    <cellStyle name="20% - Ênfase4 2 2 2 7" xfId="4911" xr:uid="{00000000-0005-0000-0000-000097120000}"/>
    <cellStyle name="20% - Ênfase4 2 2 2 7 2" xfId="4912" xr:uid="{00000000-0005-0000-0000-000098120000}"/>
    <cellStyle name="20% - Ênfase4 2 2 2 7 2 2" xfId="4913" xr:uid="{00000000-0005-0000-0000-000099120000}"/>
    <cellStyle name="20% - Ênfase4 2 2 2 7 3" xfId="4914" xr:uid="{00000000-0005-0000-0000-00009A120000}"/>
    <cellStyle name="20% - Ênfase4 2 2 2 8" xfId="4915" xr:uid="{00000000-0005-0000-0000-00009B120000}"/>
    <cellStyle name="20% - Ênfase4 2 2 2 8 2" xfId="4916" xr:uid="{00000000-0005-0000-0000-00009C120000}"/>
    <cellStyle name="20% - Ênfase4 2 2 2 9" xfId="4917" xr:uid="{00000000-0005-0000-0000-00009D120000}"/>
    <cellStyle name="20% - Ênfase4 2 2 3" xfId="4918" xr:uid="{00000000-0005-0000-0000-00009E120000}"/>
    <cellStyle name="20% - Ênfase4 2 2 3 2" xfId="4919" xr:uid="{00000000-0005-0000-0000-00009F120000}"/>
    <cellStyle name="20% - Ênfase4 2 2 3 2 2" xfId="4920" xr:uid="{00000000-0005-0000-0000-0000A0120000}"/>
    <cellStyle name="20% - Ênfase4 2 2 3 2 2 2" xfId="4921" xr:uid="{00000000-0005-0000-0000-0000A1120000}"/>
    <cellStyle name="20% - Ênfase4 2 2 3 2 3" xfId="4922" xr:uid="{00000000-0005-0000-0000-0000A2120000}"/>
    <cellStyle name="20% - Ênfase4 2 2 3 2 3 2" xfId="4923" xr:uid="{00000000-0005-0000-0000-0000A3120000}"/>
    <cellStyle name="20% - Ênfase4 2 2 3 2 4" xfId="4924" xr:uid="{00000000-0005-0000-0000-0000A4120000}"/>
    <cellStyle name="20% - Ênfase4 2 2 3 3" xfId="4925" xr:uid="{00000000-0005-0000-0000-0000A5120000}"/>
    <cellStyle name="20% - Ênfase4 2 2 3 3 2" xfId="4926" xr:uid="{00000000-0005-0000-0000-0000A6120000}"/>
    <cellStyle name="20% - Ênfase4 2 2 3 3 2 2" xfId="4927" xr:uid="{00000000-0005-0000-0000-0000A7120000}"/>
    <cellStyle name="20% - Ênfase4 2 2 3 3 3" xfId="4928" xr:uid="{00000000-0005-0000-0000-0000A8120000}"/>
    <cellStyle name="20% - Ênfase4 2 2 3 3 3 2" xfId="4929" xr:uid="{00000000-0005-0000-0000-0000A9120000}"/>
    <cellStyle name="20% - Ênfase4 2 2 3 3 4" xfId="4930" xr:uid="{00000000-0005-0000-0000-0000AA120000}"/>
    <cellStyle name="20% - Ênfase4 2 2 3 4" xfId="4931" xr:uid="{00000000-0005-0000-0000-0000AB120000}"/>
    <cellStyle name="20% - Ênfase4 2 2 3 4 2" xfId="4932" xr:uid="{00000000-0005-0000-0000-0000AC120000}"/>
    <cellStyle name="20% - Ênfase4 2 2 3 5" xfId="4933" xr:uid="{00000000-0005-0000-0000-0000AD120000}"/>
    <cellStyle name="20% - Ênfase4 2 2 3 5 2" xfId="4934" xr:uid="{00000000-0005-0000-0000-0000AE120000}"/>
    <cellStyle name="20% - Ênfase4 2 2 3 6" xfId="4935" xr:uid="{00000000-0005-0000-0000-0000AF120000}"/>
    <cellStyle name="20% - Ênfase4 2 2 4" xfId="4936" xr:uid="{00000000-0005-0000-0000-0000B0120000}"/>
    <cellStyle name="20% - Ênfase4 2 2 4 2" xfId="4937" xr:uid="{00000000-0005-0000-0000-0000B1120000}"/>
    <cellStyle name="20% - Ênfase4 2 2 4 2 2" xfId="4938" xr:uid="{00000000-0005-0000-0000-0000B2120000}"/>
    <cellStyle name="20% - Ênfase4 2 2 4 2 2 2" xfId="4939" xr:uid="{00000000-0005-0000-0000-0000B3120000}"/>
    <cellStyle name="20% - Ênfase4 2 2 4 2 3" xfId="4940" xr:uid="{00000000-0005-0000-0000-0000B4120000}"/>
    <cellStyle name="20% - Ênfase4 2 2 4 2 3 2" xfId="4941" xr:uid="{00000000-0005-0000-0000-0000B5120000}"/>
    <cellStyle name="20% - Ênfase4 2 2 4 2 4" xfId="4942" xr:uid="{00000000-0005-0000-0000-0000B6120000}"/>
    <cellStyle name="20% - Ênfase4 2 2 4 3" xfId="4943" xr:uid="{00000000-0005-0000-0000-0000B7120000}"/>
    <cellStyle name="20% - Ênfase4 2 2 4 3 2" xfId="4944" xr:uid="{00000000-0005-0000-0000-0000B8120000}"/>
    <cellStyle name="20% - Ênfase4 2 2 4 3 2 2" xfId="4945" xr:uid="{00000000-0005-0000-0000-0000B9120000}"/>
    <cellStyle name="20% - Ênfase4 2 2 4 3 3" xfId="4946" xr:uid="{00000000-0005-0000-0000-0000BA120000}"/>
    <cellStyle name="20% - Ênfase4 2 2 4 3 3 2" xfId="4947" xr:uid="{00000000-0005-0000-0000-0000BB120000}"/>
    <cellStyle name="20% - Ênfase4 2 2 4 3 4" xfId="4948" xr:uid="{00000000-0005-0000-0000-0000BC120000}"/>
    <cellStyle name="20% - Ênfase4 2 2 4 4" xfId="4949" xr:uid="{00000000-0005-0000-0000-0000BD120000}"/>
    <cellStyle name="20% - Ênfase4 2 2 4 4 2" xfId="4950" xr:uid="{00000000-0005-0000-0000-0000BE120000}"/>
    <cellStyle name="20% - Ênfase4 2 2 4 5" xfId="4951" xr:uid="{00000000-0005-0000-0000-0000BF120000}"/>
    <cellStyle name="20% - Ênfase4 2 2 4 5 2" xfId="4952" xr:uid="{00000000-0005-0000-0000-0000C0120000}"/>
    <cellStyle name="20% - Ênfase4 2 2 4 6" xfId="4953" xr:uid="{00000000-0005-0000-0000-0000C1120000}"/>
    <cellStyle name="20% - Ênfase4 2 2 5" xfId="4954" xr:uid="{00000000-0005-0000-0000-0000C2120000}"/>
    <cellStyle name="20% - Ênfase4 2 2 5 2" xfId="4955" xr:uid="{00000000-0005-0000-0000-0000C3120000}"/>
    <cellStyle name="20% - Ênfase4 2 2 5 2 2" xfId="4956" xr:uid="{00000000-0005-0000-0000-0000C4120000}"/>
    <cellStyle name="20% - Ênfase4 2 2 5 3" xfId="4957" xr:uid="{00000000-0005-0000-0000-0000C5120000}"/>
    <cellStyle name="20% - Ênfase4 2 2 5 3 2" xfId="4958" xr:uid="{00000000-0005-0000-0000-0000C6120000}"/>
    <cellStyle name="20% - Ênfase4 2 2 5 4" xfId="4959" xr:uid="{00000000-0005-0000-0000-0000C7120000}"/>
    <cellStyle name="20% - Ênfase4 2 2 6" xfId="4960" xr:uid="{00000000-0005-0000-0000-0000C8120000}"/>
    <cellStyle name="20% - Ênfase4 2 2 6 2" xfId="4961" xr:uid="{00000000-0005-0000-0000-0000C9120000}"/>
    <cellStyle name="20% - Ênfase4 2 2 6 2 2" xfId="4962" xr:uid="{00000000-0005-0000-0000-0000CA120000}"/>
    <cellStyle name="20% - Ênfase4 2 2 6 3" xfId="4963" xr:uid="{00000000-0005-0000-0000-0000CB120000}"/>
    <cellStyle name="20% - Ênfase4 2 2 7" xfId="4964" xr:uid="{00000000-0005-0000-0000-0000CC120000}"/>
    <cellStyle name="20% - Ênfase4 2 2 7 2" xfId="4965" xr:uid="{00000000-0005-0000-0000-0000CD120000}"/>
    <cellStyle name="20% - Ênfase4 2 2 7 2 2" xfId="4966" xr:uid="{00000000-0005-0000-0000-0000CE120000}"/>
    <cellStyle name="20% - Ênfase4 2 2 7 3" xfId="4967" xr:uid="{00000000-0005-0000-0000-0000CF120000}"/>
    <cellStyle name="20% - Ênfase4 2 2 8" xfId="4968" xr:uid="{00000000-0005-0000-0000-0000D0120000}"/>
    <cellStyle name="20% - Ênfase4 2 2 8 2" xfId="4969" xr:uid="{00000000-0005-0000-0000-0000D1120000}"/>
    <cellStyle name="20% - Ênfase4 2 2 8 2 2" xfId="4970" xr:uid="{00000000-0005-0000-0000-0000D2120000}"/>
    <cellStyle name="20% - Ênfase4 2 2 8 3" xfId="4971" xr:uid="{00000000-0005-0000-0000-0000D3120000}"/>
    <cellStyle name="20% - Ênfase4 2 2 9" xfId="4972" xr:uid="{00000000-0005-0000-0000-0000D4120000}"/>
    <cellStyle name="20% - Ênfase4 2 2 9 2" xfId="4973" xr:uid="{00000000-0005-0000-0000-0000D5120000}"/>
    <cellStyle name="20% - Ênfase4 2 2 9 2 2" xfId="4974" xr:uid="{00000000-0005-0000-0000-0000D6120000}"/>
    <cellStyle name="20% - Ênfase4 2 2 9 3" xfId="4975" xr:uid="{00000000-0005-0000-0000-0000D7120000}"/>
    <cellStyle name="20% - Ênfase4 2 3" xfId="4976" xr:uid="{00000000-0005-0000-0000-0000D8120000}"/>
    <cellStyle name="20% - Ênfase4 2 3 10" xfId="4977" xr:uid="{00000000-0005-0000-0000-0000D9120000}"/>
    <cellStyle name="20% - Ênfase4 2 3 10 2" xfId="4978" xr:uid="{00000000-0005-0000-0000-0000DA120000}"/>
    <cellStyle name="20% - Ênfase4 2 3 11" xfId="4979" xr:uid="{00000000-0005-0000-0000-0000DB120000}"/>
    <cellStyle name="20% - Ênfase4 2 3 2" xfId="4980" xr:uid="{00000000-0005-0000-0000-0000DC120000}"/>
    <cellStyle name="20% - Ênfase4 2 3 2 2" xfId="4981" xr:uid="{00000000-0005-0000-0000-0000DD120000}"/>
    <cellStyle name="20% - Ênfase4 2 3 2 2 2" xfId="4982" xr:uid="{00000000-0005-0000-0000-0000DE120000}"/>
    <cellStyle name="20% - Ênfase4 2 3 2 2 2 2" xfId="4983" xr:uid="{00000000-0005-0000-0000-0000DF120000}"/>
    <cellStyle name="20% - Ênfase4 2 3 2 2 2 2 2" xfId="4984" xr:uid="{00000000-0005-0000-0000-0000E0120000}"/>
    <cellStyle name="20% - Ênfase4 2 3 2 2 2 3" xfId="4985" xr:uid="{00000000-0005-0000-0000-0000E1120000}"/>
    <cellStyle name="20% - Ênfase4 2 3 2 2 2 3 2" xfId="4986" xr:uid="{00000000-0005-0000-0000-0000E2120000}"/>
    <cellStyle name="20% - Ênfase4 2 3 2 2 2 4" xfId="4987" xr:uid="{00000000-0005-0000-0000-0000E3120000}"/>
    <cellStyle name="20% - Ênfase4 2 3 2 2 3" xfId="4988" xr:uid="{00000000-0005-0000-0000-0000E4120000}"/>
    <cellStyle name="20% - Ênfase4 2 3 2 2 3 2" xfId="4989" xr:uid="{00000000-0005-0000-0000-0000E5120000}"/>
    <cellStyle name="20% - Ênfase4 2 3 2 2 3 2 2" xfId="4990" xr:uid="{00000000-0005-0000-0000-0000E6120000}"/>
    <cellStyle name="20% - Ênfase4 2 3 2 2 3 3" xfId="4991" xr:uid="{00000000-0005-0000-0000-0000E7120000}"/>
    <cellStyle name="20% - Ênfase4 2 3 2 2 3 3 2" xfId="4992" xr:uid="{00000000-0005-0000-0000-0000E8120000}"/>
    <cellStyle name="20% - Ênfase4 2 3 2 2 3 4" xfId="4993" xr:uid="{00000000-0005-0000-0000-0000E9120000}"/>
    <cellStyle name="20% - Ênfase4 2 3 2 2 4" xfId="4994" xr:uid="{00000000-0005-0000-0000-0000EA120000}"/>
    <cellStyle name="20% - Ênfase4 2 3 2 2 4 2" xfId="4995" xr:uid="{00000000-0005-0000-0000-0000EB120000}"/>
    <cellStyle name="20% - Ênfase4 2 3 2 2 5" xfId="4996" xr:uid="{00000000-0005-0000-0000-0000EC120000}"/>
    <cellStyle name="20% - Ênfase4 2 3 2 2 5 2" xfId="4997" xr:uid="{00000000-0005-0000-0000-0000ED120000}"/>
    <cellStyle name="20% - Ênfase4 2 3 2 2 6" xfId="4998" xr:uid="{00000000-0005-0000-0000-0000EE120000}"/>
    <cellStyle name="20% - Ênfase4 2 3 2 3" xfId="4999" xr:uid="{00000000-0005-0000-0000-0000EF120000}"/>
    <cellStyle name="20% - Ênfase4 2 3 2 3 2" xfId="5000" xr:uid="{00000000-0005-0000-0000-0000F0120000}"/>
    <cellStyle name="20% - Ênfase4 2 3 2 3 2 2" xfId="5001" xr:uid="{00000000-0005-0000-0000-0000F1120000}"/>
    <cellStyle name="20% - Ênfase4 2 3 2 3 3" xfId="5002" xr:uid="{00000000-0005-0000-0000-0000F2120000}"/>
    <cellStyle name="20% - Ênfase4 2 3 2 3 3 2" xfId="5003" xr:uid="{00000000-0005-0000-0000-0000F3120000}"/>
    <cellStyle name="20% - Ênfase4 2 3 2 3 4" xfId="5004" xr:uid="{00000000-0005-0000-0000-0000F4120000}"/>
    <cellStyle name="20% - Ênfase4 2 3 2 4" xfId="5005" xr:uid="{00000000-0005-0000-0000-0000F5120000}"/>
    <cellStyle name="20% - Ênfase4 2 3 2 4 2" xfId="5006" xr:uid="{00000000-0005-0000-0000-0000F6120000}"/>
    <cellStyle name="20% - Ênfase4 2 3 2 4 2 2" xfId="5007" xr:uid="{00000000-0005-0000-0000-0000F7120000}"/>
    <cellStyle name="20% - Ênfase4 2 3 2 4 3" xfId="5008" xr:uid="{00000000-0005-0000-0000-0000F8120000}"/>
    <cellStyle name="20% - Ênfase4 2 3 2 5" xfId="5009" xr:uid="{00000000-0005-0000-0000-0000F9120000}"/>
    <cellStyle name="20% - Ênfase4 2 3 2 5 2" xfId="5010" xr:uid="{00000000-0005-0000-0000-0000FA120000}"/>
    <cellStyle name="20% - Ênfase4 2 3 2 5 2 2" xfId="5011" xr:uid="{00000000-0005-0000-0000-0000FB120000}"/>
    <cellStyle name="20% - Ênfase4 2 3 2 5 3" xfId="5012" xr:uid="{00000000-0005-0000-0000-0000FC120000}"/>
    <cellStyle name="20% - Ênfase4 2 3 2 6" xfId="5013" xr:uid="{00000000-0005-0000-0000-0000FD120000}"/>
    <cellStyle name="20% - Ênfase4 2 3 2 6 2" xfId="5014" xr:uid="{00000000-0005-0000-0000-0000FE120000}"/>
    <cellStyle name="20% - Ênfase4 2 3 2 6 2 2" xfId="5015" xr:uid="{00000000-0005-0000-0000-0000FF120000}"/>
    <cellStyle name="20% - Ênfase4 2 3 2 6 3" xfId="5016" xr:uid="{00000000-0005-0000-0000-000000130000}"/>
    <cellStyle name="20% - Ênfase4 2 3 2 7" xfId="5017" xr:uid="{00000000-0005-0000-0000-000001130000}"/>
    <cellStyle name="20% - Ênfase4 2 3 2 7 2" xfId="5018" xr:uid="{00000000-0005-0000-0000-000002130000}"/>
    <cellStyle name="20% - Ênfase4 2 3 2 7 2 2" xfId="5019" xr:uid="{00000000-0005-0000-0000-000003130000}"/>
    <cellStyle name="20% - Ênfase4 2 3 2 7 3" xfId="5020" xr:uid="{00000000-0005-0000-0000-000004130000}"/>
    <cellStyle name="20% - Ênfase4 2 3 2 8" xfId="5021" xr:uid="{00000000-0005-0000-0000-000005130000}"/>
    <cellStyle name="20% - Ênfase4 2 3 2 8 2" xfId="5022" xr:uid="{00000000-0005-0000-0000-000006130000}"/>
    <cellStyle name="20% - Ênfase4 2 3 2 9" xfId="5023" xr:uid="{00000000-0005-0000-0000-000007130000}"/>
    <cellStyle name="20% - Ênfase4 2 3 3" xfId="5024" xr:uid="{00000000-0005-0000-0000-000008130000}"/>
    <cellStyle name="20% - Ênfase4 2 3 3 2" xfId="5025" xr:uid="{00000000-0005-0000-0000-000009130000}"/>
    <cellStyle name="20% - Ênfase4 2 3 3 2 2" xfId="5026" xr:uid="{00000000-0005-0000-0000-00000A130000}"/>
    <cellStyle name="20% - Ênfase4 2 3 3 2 2 2" xfId="5027" xr:uid="{00000000-0005-0000-0000-00000B130000}"/>
    <cellStyle name="20% - Ênfase4 2 3 3 2 3" xfId="5028" xr:uid="{00000000-0005-0000-0000-00000C130000}"/>
    <cellStyle name="20% - Ênfase4 2 3 3 2 3 2" xfId="5029" xr:uid="{00000000-0005-0000-0000-00000D130000}"/>
    <cellStyle name="20% - Ênfase4 2 3 3 2 4" xfId="5030" xr:uid="{00000000-0005-0000-0000-00000E130000}"/>
    <cellStyle name="20% - Ênfase4 2 3 3 3" xfId="5031" xr:uid="{00000000-0005-0000-0000-00000F130000}"/>
    <cellStyle name="20% - Ênfase4 2 3 3 3 2" xfId="5032" xr:uid="{00000000-0005-0000-0000-000010130000}"/>
    <cellStyle name="20% - Ênfase4 2 3 3 3 2 2" xfId="5033" xr:uid="{00000000-0005-0000-0000-000011130000}"/>
    <cellStyle name="20% - Ênfase4 2 3 3 3 3" xfId="5034" xr:uid="{00000000-0005-0000-0000-000012130000}"/>
    <cellStyle name="20% - Ênfase4 2 3 3 3 3 2" xfId="5035" xr:uid="{00000000-0005-0000-0000-000013130000}"/>
    <cellStyle name="20% - Ênfase4 2 3 3 3 4" xfId="5036" xr:uid="{00000000-0005-0000-0000-000014130000}"/>
    <cellStyle name="20% - Ênfase4 2 3 3 4" xfId="5037" xr:uid="{00000000-0005-0000-0000-000015130000}"/>
    <cellStyle name="20% - Ênfase4 2 3 3 4 2" xfId="5038" xr:uid="{00000000-0005-0000-0000-000016130000}"/>
    <cellStyle name="20% - Ênfase4 2 3 3 5" xfId="5039" xr:uid="{00000000-0005-0000-0000-000017130000}"/>
    <cellStyle name="20% - Ênfase4 2 3 3 5 2" xfId="5040" xr:uid="{00000000-0005-0000-0000-000018130000}"/>
    <cellStyle name="20% - Ênfase4 2 3 3 6" xfId="5041" xr:uid="{00000000-0005-0000-0000-000019130000}"/>
    <cellStyle name="20% - Ênfase4 2 3 4" xfId="5042" xr:uid="{00000000-0005-0000-0000-00001A130000}"/>
    <cellStyle name="20% - Ênfase4 2 3 4 2" xfId="5043" xr:uid="{00000000-0005-0000-0000-00001B130000}"/>
    <cellStyle name="20% - Ênfase4 2 3 4 2 2" xfId="5044" xr:uid="{00000000-0005-0000-0000-00001C130000}"/>
    <cellStyle name="20% - Ênfase4 2 3 4 2 2 2" xfId="5045" xr:uid="{00000000-0005-0000-0000-00001D130000}"/>
    <cellStyle name="20% - Ênfase4 2 3 4 2 3" xfId="5046" xr:uid="{00000000-0005-0000-0000-00001E130000}"/>
    <cellStyle name="20% - Ênfase4 2 3 4 2 3 2" xfId="5047" xr:uid="{00000000-0005-0000-0000-00001F130000}"/>
    <cellStyle name="20% - Ênfase4 2 3 4 2 4" xfId="5048" xr:uid="{00000000-0005-0000-0000-000020130000}"/>
    <cellStyle name="20% - Ênfase4 2 3 4 3" xfId="5049" xr:uid="{00000000-0005-0000-0000-000021130000}"/>
    <cellStyle name="20% - Ênfase4 2 3 4 3 2" xfId="5050" xr:uid="{00000000-0005-0000-0000-000022130000}"/>
    <cellStyle name="20% - Ênfase4 2 3 4 3 2 2" xfId="5051" xr:uid="{00000000-0005-0000-0000-000023130000}"/>
    <cellStyle name="20% - Ênfase4 2 3 4 3 3" xfId="5052" xr:uid="{00000000-0005-0000-0000-000024130000}"/>
    <cellStyle name="20% - Ênfase4 2 3 4 3 3 2" xfId="5053" xr:uid="{00000000-0005-0000-0000-000025130000}"/>
    <cellStyle name="20% - Ênfase4 2 3 4 3 4" xfId="5054" xr:uid="{00000000-0005-0000-0000-000026130000}"/>
    <cellStyle name="20% - Ênfase4 2 3 4 4" xfId="5055" xr:uid="{00000000-0005-0000-0000-000027130000}"/>
    <cellStyle name="20% - Ênfase4 2 3 4 4 2" xfId="5056" xr:uid="{00000000-0005-0000-0000-000028130000}"/>
    <cellStyle name="20% - Ênfase4 2 3 4 5" xfId="5057" xr:uid="{00000000-0005-0000-0000-000029130000}"/>
    <cellStyle name="20% - Ênfase4 2 3 4 5 2" xfId="5058" xr:uid="{00000000-0005-0000-0000-00002A130000}"/>
    <cellStyle name="20% - Ênfase4 2 3 4 6" xfId="5059" xr:uid="{00000000-0005-0000-0000-00002B130000}"/>
    <cellStyle name="20% - Ênfase4 2 3 5" xfId="5060" xr:uid="{00000000-0005-0000-0000-00002C130000}"/>
    <cellStyle name="20% - Ênfase4 2 3 5 2" xfId="5061" xr:uid="{00000000-0005-0000-0000-00002D130000}"/>
    <cellStyle name="20% - Ênfase4 2 3 5 2 2" xfId="5062" xr:uid="{00000000-0005-0000-0000-00002E130000}"/>
    <cellStyle name="20% - Ênfase4 2 3 5 3" xfId="5063" xr:uid="{00000000-0005-0000-0000-00002F130000}"/>
    <cellStyle name="20% - Ênfase4 2 3 5 3 2" xfId="5064" xr:uid="{00000000-0005-0000-0000-000030130000}"/>
    <cellStyle name="20% - Ênfase4 2 3 5 4" xfId="5065" xr:uid="{00000000-0005-0000-0000-000031130000}"/>
    <cellStyle name="20% - Ênfase4 2 3 6" xfId="5066" xr:uid="{00000000-0005-0000-0000-000032130000}"/>
    <cellStyle name="20% - Ênfase4 2 3 6 2" xfId="5067" xr:uid="{00000000-0005-0000-0000-000033130000}"/>
    <cellStyle name="20% - Ênfase4 2 3 6 2 2" xfId="5068" xr:uid="{00000000-0005-0000-0000-000034130000}"/>
    <cellStyle name="20% - Ênfase4 2 3 6 3" xfId="5069" xr:uid="{00000000-0005-0000-0000-000035130000}"/>
    <cellStyle name="20% - Ênfase4 2 3 7" xfId="5070" xr:uid="{00000000-0005-0000-0000-000036130000}"/>
    <cellStyle name="20% - Ênfase4 2 3 7 2" xfId="5071" xr:uid="{00000000-0005-0000-0000-000037130000}"/>
    <cellStyle name="20% - Ênfase4 2 3 7 2 2" xfId="5072" xr:uid="{00000000-0005-0000-0000-000038130000}"/>
    <cellStyle name="20% - Ênfase4 2 3 7 3" xfId="5073" xr:uid="{00000000-0005-0000-0000-000039130000}"/>
    <cellStyle name="20% - Ênfase4 2 3 8" xfId="5074" xr:uid="{00000000-0005-0000-0000-00003A130000}"/>
    <cellStyle name="20% - Ênfase4 2 3 8 2" xfId="5075" xr:uid="{00000000-0005-0000-0000-00003B130000}"/>
    <cellStyle name="20% - Ênfase4 2 3 8 2 2" xfId="5076" xr:uid="{00000000-0005-0000-0000-00003C130000}"/>
    <cellStyle name="20% - Ênfase4 2 3 8 3" xfId="5077" xr:uid="{00000000-0005-0000-0000-00003D130000}"/>
    <cellStyle name="20% - Ênfase4 2 3 9" xfId="5078" xr:uid="{00000000-0005-0000-0000-00003E130000}"/>
    <cellStyle name="20% - Ênfase4 2 3 9 2" xfId="5079" xr:uid="{00000000-0005-0000-0000-00003F130000}"/>
    <cellStyle name="20% - Ênfase4 2 3 9 2 2" xfId="5080" xr:uid="{00000000-0005-0000-0000-000040130000}"/>
    <cellStyle name="20% - Ênfase4 2 3 9 3" xfId="5081" xr:uid="{00000000-0005-0000-0000-000041130000}"/>
    <cellStyle name="20% - Ênfase4 2 4" xfId="5082" xr:uid="{00000000-0005-0000-0000-000042130000}"/>
    <cellStyle name="20% - Ênfase4 2 4 10" xfId="5083" xr:uid="{00000000-0005-0000-0000-000043130000}"/>
    <cellStyle name="20% - Ênfase4 2 4 2" xfId="5084" xr:uid="{00000000-0005-0000-0000-000044130000}"/>
    <cellStyle name="20% - Ênfase4 2 4 2 2" xfId="5085" xr:uid="{00000000-0005-0000-0000-000045130000}"/>
    <cellStyle name="20% - Ênfase4 2 4 2 2 2" xfId="5086" xr:uid="{00000000-0005-0000-0000-000046130000}"/>
    <cellStyle name="20% - Ênfase4 2 4 2 2 2 2" xfId="5087" xr:uid="{00000000-0005-0000-0000-000047130000}"/>
    <cellStyle name="20% - Ênfase4 2 4 2 2 2 2 2" xfId="5088" xr:uid="{00000000-0005-0000-0000-000048130000}"/>
    <cellStyle name="20% - Ênfase4 2 4 2 2 2 3" xfId="5089" xr:uid="{00000000-0005-0000-0000-000049130000}"/>
    <cellStyle name="20% - Ênfase4 2 4 2 2 2 3 2" xfId="5090" xr:uid="{00000000-0005-0000-0000-00004A130000}"/>
    <cellStyle name="20% - Ênfase4 2 4 2 2 2 4" xfId="5091" xr:uid="{00000000-0005-0000-0000-00004B130000}"/>
    <cellStyle name="20% - Ênfase4 2 4 2 2 3" xfId="5092" xr:uid="{00000000-0005-0000-0000-00004C130000}"/>
    <cellStyle name="20% - Ênfase4 2 4 2 2 3 2" xfId="5093" xr:uid="{00000000-0005-0000-0000-00004D130000}"/>
    <cellStyle name="20% - Ênfase4 2 4 2 2 4" xfId="5094" xr:uid="{00000000-0005-0000-0000-00004E130000}"/>
    <cellStyle name="20% - Ênfase4 2 4 2 2 4 2" xfId="5095" xr:uid="{00000000-0005-0000-0000-00004F130000}"/>
    <cellStyle name="20% - Ênfase4 2 4 2 2 5" xfId="5096" xr:uid="{00000000-0005-0000-0000-000050130000}"/>
    <cellStyle name="20% - Ênfase4 2 4 2 3" xfId="5097" xr:uid="{00000000-0005-0000-0000-000051130000}"/>
    <cellStyle name="20% - Ênfase4 2 4 2 3 2" xfId="5098" xr:uid="{00000000-0005-0000-0000-000052130000}"/>
    <cellStyle name="20% - Ênfase4 2 4 2 3 2 2" xfId="5099" xr:uid="{00000000-0005-0000-0000-000053130000}"/>
    <cellStyle name="20% - Ênfase4 2 4 2 3 3" xfId="5100" xr:uid="{00000000-0005-0000-0000-000054130000}"/>
    <cellStyle name="20% - Ênfase4 2 4 2 3 3 2" xfId="5101" xr:uid="{00000000-0005-0000-0000-000055130000}"/>
    <cellStyle name="20% - Ênfase4 2 4 2 3 4" xfId="5102" xr:uid="{00000000-0005-0000-0000-000056130000}"/>
    <cellStyle name="20% - Ênfase4 2 4 2 4" xfId="5103" xr:uid="{00000000-0005-0000-0000-000057130000}"/>
    <cellStyle name="20% - Ênfase4 2 4 2 4 2" xfId="5104" xr:uid="{00000000-0005-0000-0000-000058130000}"/>
    <cellStyle name="20% - Ênfase4 2 4 2 4 2 2" xfId="5105" xr:uid="{00000000-0005-0000-0000-000059130000}"/>
    <cellStyle name="20% - Ênfase4 2 4 2 4 3" xfId="5106" xr:uid="{00000000-0005-0000-0000-00005A130000}"/>
    <cellStyle name="20% - Ênfase4 2 4 2 5" xfId="5107" xr:uid="{00000000-0005-0000-0000-00005B130000}"/>
    <cellStyle name="20% - Ênfase4 2 4 2 5 2" xfId="5108" xr:uid="{00000000-0005-0000-0000-00005C130000}"/>
    <cellStyle name="20% - Ênfase4 2 4 2 6" xfId="5109" xr:uid="{00000000-0005-0000-0000-00005D130000}"/>
    <cellStyle name="20% - Ênfase4 2 4 3" xfId="5110" xr:uid="{00000000-0005-0000-0000-00005E130000}"/>
    <cellStyle name="20% - Ênfase4 2 4 3 2" xfId="5111" xr:uid="{00000000-0005-0000-0000-00005F130000}"/>
    <cellStyle name="20% - Ênfase4 2 4 3 2 2" xfId="5112" xr:uid="{00000000-0005-0000-0000-000060130000}"/>
    <cellStyle name="20% - Ênfase4 2 4 3 2 2 2" xfId="5113" xr:uid="{00000000-0005-0000-0000-000061130000}"/>
    <cellStyle name="20% - Ênfase4 2 4 3 2 3" xfId="5114" xr:uid="{00000000-0005-0000-0000-000062130000}"/>
    <cellStyle name="20% - Ênfase4 2 4 3 2 3 2" xfId="5115" xr:uid="{00000000-0005-0000-0000-000063130000}"/>
    <cellStyle name="20% - Ênfase4 2 4 3 2 4" xfId="5116" xr:uid="{00000000-0005-0000-0000-000064130000}"/>
    <cellStyle name="20% - Ênfase4 2 4 3 3" xfId="5117" xr:uid="{00000000-0005-0000-0000-000065130000}"/>
    <cellStyle name="20% - Ênfase4 2 4 3 3 2" xfId="5118" xr:uid="{00000000-0005-0000-0000-000066130000}"/>
    <cellStyle name="20% - Ênfase4 2 4 3 3 2 2" xfId="5119" xr:uid="{00000000-0005-0000-0000-000067130000}"/>
    <cellStyle name="20% - Ênfase4 2 4 3 3 3" xfId="5120" xr:uid="{00000000-0005-0000-0000-000068130000}"/>
    <cellStyle name="20% - Ênfase4 2 4 3 3 3 2" xfId="5121" xr:uid="{00000000-0005-0000-0000-000069130000}"/>
    <cellStyle name="20% - Ênfase4 2 4 3 3 4" xfId="5122" xr:uid="{00000000-0005-0000-0000-00006A130000}"/>
    <cellStyle name="20% - Ênfase4 2 4 3 4" xfId="5123" xr:uid="{00000000-0005-0000-0000-00006B130000}"/>
    <cellStyle name="20% - Ênfase4 2 4 3 4 2" xfId="5124" xr:uid="{00000000-0005-0000-0000-00006C130000}"/>
    <cellStyle name="20% - Ênfase4 2 4 3 5" xfId="5125" xr:uid="{00000000-0005-0000-0000-00006D130000}"/>
    <cellStyle name="20% - Ênfase4 2 4 3 5 2" xfId="5126" xr:uid="{00000000-0005-0000-0000-00006E130000}"/>
    <cellStyle name="20% - Ênfase4 2 4 3 6" xfId="5127" xr:uid="{00000000-0005-0000-0000-00006F130000}"/>
    <cellStyle name="20% - Ênfase4 2 4 4" xfId="5128" xr:uid="{00000000-0005-0000-0000-000070130000}"/>
    <cellStyle name="20% - Ênfase4 2 4 4 2" xfId="5129" xr:uid="{00000000-0005-0000-0000-000071130000}"/>
    <cellStyle name="20% - Ênfase4 2 4 4 2 2" xfId="5130" xr:uid="{00000000-0005-0000-0000-000072130000}"/>
    <cellStyle name="20% - Ênfase4 2 4 4 3" xfId="5131" xr:uid="{00000000-0005-0000-0000-000073130000}"/>
    <cellStyle name="20% - Ênfase4 2 4 4 3 2" xfId="5132" xr:uid="{00000000-0005-0000-0000-000074130000}"/>
    <cellStyle name="20% - Ênfase4 2 4 4 4" xfId="5133" xr:uid="{00000000-0005-0000-0000-000075130000}"/>
    <cellStyle name="20% - Ênfase4 2 4 5" xfId="5134" xr:uid="{00000000-0005-0000-0000-000076130000}"/>
    <cellStyle name="20% - Ênfase4 2 4 5 2" xfId="5135" xr:uid="{00000000-0005-0000-0000-000077130000}"/>
    <cellStyle name="20% - Ênfase4 2 4 5 2 2" xfId="5136" xr:uid="{00000000-0005-0000-0000-000078130000}"/>
    <cellStyle name="20% - Ênfase4 2 4 5 3" xfId="5137" xr:uid="{00000000-0005-0000-0000-000079130000}"/>
    <cellStyle name="20% - Ênfase4 2 4 6" xfId="5138" xr:uid="{00000000-0005-0000-0000-00007A130000}"/>
    <cellStyle name="20% - Ênfase4 2 4 6 2" xfId="5139" xr:uid="{00000000-0005-0000-0000-00007B130000}"/>
    <cellStyle name="20% - Ênfase4 2 4 6 2 2" xfId="5140" xr:uid="{00000000-0005-0000-0000-00007C130000}"/>
    <cellStyle name="20% - Ênfase4 2 4 6 3" xfId="5141" xr:uid="{00000000-0005-0000-0000-00007D130000}"/>
    <cellStyle name="20% - Ênfase4 2 4 7" xfId="5142" xr:uid="{00000000-0005-0000-0000-00007E130000}"/>
    <cellStyle name="20% - Ênfase4 2 4 7 2" xfId="5143" xr:uid="{00000000-0005-0000-0000-00007F130000}"/>
    <cellStyle name="20% - Ênfase4 2 4 7 2 2" xfId="5144" xr:uid="{00000000-0005-0000-0000-000080130000}"/>
    <cellStyle name="20% - Ênfase4 2 4 7 3" xfId="5145" xr:uid="{00000000-0005-0000-0000-000081130000}"/>
    <cellStyle name="20% - Ênfase4 2 4 8" xfId="5146" xr:uid="{00000000-0005-0000-0000-000082130000}"/>
    <cellStyle name="20% - Ênfase4 2 4 8 2" xfId="5147" xr:uid="{00000000-0005-0000-0000-000083130000}"/>
    <cellStyle name="20% - Ênfase4 2 4 8 2 2" xfId="5148" xr:uid="{00000000-0005-0000-0000-000084130000}"/>
    <cellStyle name="20% - Ênfase4 2 4 8 3" xfId="5149" xr:uid="{00000000-0005-0000-0000-000085130000}"/>
    <cellStyle name="20% - Ênfase4 2 4 9" xfId="5150" xr:uid="{00000000-0005-0000-0000-000086130000}"/>
    <cellStyle name="20% - Ênfase4 2 4 9 2" xfId="5151" xr:uid="{00000000-0005-0000-0000-000087130000}"/>
    <cellStyle name="20% - Ênfase4 2 5" xfId="5152" xr:uid="{00000000-0005-0000-0000-000088130000}"/>
    <cellStyle name="20% - Ênfase4 2 5 2" xfId="5153" xr:uid="{00000000-0005-0000-0000-000089130000}"/>
    <cellStyle name="20% - Ênfase4 2 5 2 2" xfId="5154" xr:uid="{00000000-0005-0000-0000-00008A130000}"/>
    <cellStyle name="20% - Ênfase4 2 5 2 2 2" xfId="5155" xr:uid="{00000000-0005-0000-0000-00008B130000}"/>
    <cellStyle name="20% - Ênfase4 2 5 2 2 2 2" xfId="5156" xr:uid="{00000000-0005-0000-0000-00008C130000}"/>
    <cellStyle name="20% - Ênfase4 2 5 2 2 2 2 2" xfId="5157" xr:uid="{00000000-0005-0000-0000-00008D130000}"/>
    <cellStyle name="20% - Ênfase4 2 5 2 2 2 3" xfId="5158" xr:uid="{00000000-0005-0000-0000-00008E130000}"/>
    <cellStyle name="20% - Ênfase4 2 5 2 2 2 3 2" xfId="5159" xr:uid="{00000000-0005-0000-0000-00008F130000}"/>
    <cellStyle name="20% - Ênfase4 2 5 2 2 2 4" xfId="5160" xr:uid="{00000000-0005-0000-0000-000090130000}"/>
    <cellStyle name="20% - Ênfase4 2 5 2 2 3" xfId="5161" xr:uid="{00000000-0005-0000-0000-000091130000}"/>
    <cellStyle name="20% - Ênfase4 2 5 2 2 3 2" xfId="5162" xr:uid="{00000000-0005-0000-0000-000092130000}"/>
    <cellStyle name="20% - Ênfase4 2 5 2 2 4" xfId="5163" xr:uid="{00000000-0005-0000-0000-000093130000}"/>
    <cellStyle name="20% - Ênfase4 2 5 2 2 4 2" xfId="5164" xr:uid="{00000000-0005-0000-0000-000094130000}"/>
    <cellStyle name="20% - Ênfase4 2 5 2 2 5" xfId="5165" xr:uid="{00000000-0005-0000-0000-000095130000}"/>
    <cellStyle name="20% - Ênfase4 2 5 2 3" xfId="5166" xr:uid="{00000000-0005-0000-0000-000096130000}"/>
    <cellStyle name="20% - Ênfase4 2 5 2 3 2" xfId="5167" xr:uid="{00000000-0005-0000-0000-000097130000}"/>
    <cellStyle name="20% - Ênfase4 2 5 2 3 2 2" xfId="5168" xr:uid="{00000000-0005-0000-0000-000098130000}"/>
    <cellStyle name="20% - Ênfase4 2 5 2 3 3" xfId="5169" xr:uid="{00000000-0005-0000-0000-000099130000}"/>
    <cellStyle name="20% - Ênfase4 2 5 2 3 3 2" xfId="5170" xr:uid="{00000000-0005-0000-0000-00009A130000}"/>
    <cellStyle name="20% - Ênfase4 2 5 2 3 4" xfId="5171" xr:uid="{00000000-0005-0000-0000-00009B130000}"/>
    <cellStyle name="20% - Ênfase4 2 5 2 4" xfId="5172" xr:uid="{00000000-0005-0000-0000-00009C130000}"/>
    <cellStyle name="20% - Ênfase4 2 5 2 4 2" xfId="5173" xr:uid="{00000000-0005-0000-0000-00009D130000}"/>
    <cellStyle name="20% - Ênfase4 2 5 2 4 2 2" xfId="5174" xr:uid="{00000000-0005-0000-0000-00009E130000}"/>
    <cellStyle name="20% - Ênfase4 2 5 2 4 3" xfId="5175" xr:uid="{00000000-0005-0000-0000-00009F130000}"/>
    <cellStyle name="20% - Ênfase4 2 5 2 5" xfId="5176" xr:uid="{00000000-0005-0000-0000-0000A0130000}"/>
    <cellStyle name="20% - Ênfase4 2 5 2 5 2" xfId="5177" xr:uid="{00000000-0005-0000-0000-0000A1130000}"/>
    <cellStyle name="20% - Ênfase4 2 5 2 6" xfId="5178" xr:uid="{00000000-0005-0000-0000-0000A2130000}"/>
    <cellStyle name="20% - Ênfase4 2 5 3" xfId="5179" xr:uid="{00000000-0005-0000-0000-0000A3130000}"/>
    <cellStyle name="20% - Ênfase4 2 5 3 2" xfId="5180" xr:uid="{00000000-0005-0000-0000-0000A4130000}"/>
    <cellStyle name="20% - Ênfase4 2 5 3 2 2" xfId="5181" xr:uid="{00000000-0005-0000-0000-0000A5130000}"/>
    <cellStyle name="20% - Ênfase4 2 5 3 2 2 2" xfId="5182" xr:uid="{00000000-0005-0000-0000-0000A6130000}"/>
    <cellStyle name="20% - Ênfase4 2 5 3 2 3" xfId="5183" xr:uid="{00000000-0005-0000-0000-0000A7130000}"/>
    <cellStyle name="20% - Ênfase4 2 5 3 2 3 2" xfId="5184" xr:uid="{00000000-0005-0000-0000-0000A8130000}"/>
    <cellStyle name="20% - Ênfase4 2 5 3 2 4" xfId="5185" xr:uid="{00000000-0005-0000-0000-0000A9130000}"/>
    <cellStyle name="20% - Ênfase4 2 5 3 3" xfId="5186" xr:uid="{00000000-0005-0000-0000-0000AA130000}"/>
    <cellStyle name="20% - Ênfase4 2 5 3 3 2" xfId="5187" xr:uid="{00000000-0005-0000-0000-0000AB130000}"/>
    <cellStyle name="20% - Ênfase4 2 5 3 4" xfId="5188" xr:uid="{00000000-0005-0000-0000-0000AC130000}"/>
    <cellStyle name="20% - Ênfase4 2 5 3 4 2" xfId="5189" xr:uid="{00000000-0005-0000-0000-0000AD130000}"/>
    <cellStyle name="20% - Ênfase4 2 5 3 5" xfId="5190" xr:uid="{00000000-0005-0000-0000-0000AE130000}"/>
    <cellStyle name="20% - Ênfase4 2 5 4" xfId="5191" xr:uid="{00000000-0005-0000-0000-0000AF130000}"/>
    <cellStyle name="20% - Ênfase4 2 5 4 2" xfId="5192" xr:uid="{00000000-0005-0000-0000-0000B0130000}"/>
    <cellStyle name="20% - Ênfase4 2 5 4 2 2" xfId="5193" xr:uid="{00000000-0005-0000-0000-0000B1130000}"/>
    <cellStyle name="20% - Ênfase4 2 5 4 3" xfId="5194" xr:uid="{00000000-0005-0000-0000-0000B2130000}"/>
    <cellStyle name="20% - Ênfase4 2 5 4 3 2" xfId="5195" xr:uid="{00000000-0005-0000-0000-0000B3130000}"/>
    <cellStyle name="20% - Ênfase4 2 5 4 4" xfId="5196" xr:uid="{00000000-0005-0000-0000-0000B4130000}"/>
    <cellStyle name="20% - Ênfase4 2 5 5" xfId="5197" xr:uid="{00000000-0005-0000-0000-0000B5130000}"/>
    <cellStyle name="20% - Ênfase4 2 5 5 2" xfId="5198" xr:uid="{00000000-0005-0000-0000-0000B6130000}"/>
    <cellStyle name="20% - Ênfase4 2 5 5 2 2" xfId="5199" xr:uid="{00000000-0005-0000-0000-0000B7130000}"/>
    <cellStyle name="20% - Ênfase4 2 5 5 3" xfId="5200" xr:uid="{00000000-0005-0000-0000-0000B8130000}"/>
    <cellStyle name="20% - Ênfase4 2 5 6" xfId="5201" xr:uid="{00000000-0005-0000-0000-0000B9130000}"/>
    <cellStyle name="20% - Ênfase4 2 5 6 2" xfId="5202" xr:uid="{00000000-0005-0000-0000-0000BA130000}"/>
    <cellStyle name="20% - Ênfase4 2 5 7" xfId="5203" xr:uid="{00000000-0005-0000-0000-0000BB130000}"/>
    <cellStyle name="20% - Ênfase4 2 6" xfId="5204" xr:uid="{00000000-0005-0000-0000-0000BC130000}"/>
    <cellStyle name="20% - Ênfase4 2 6 2" xfId="5205" xr:uid="{00000000-0005-0000-0000-0000BD130000}"/>
    <cellStyle name="20% - Ênfase4 2 6 2 2" xfId="5206" xr:uid="{00000000-0005-0000-0000-0000BE130000}"/>
    <cellStyle name="20% - Ênfase4 2 6 2 2 2" xfId="5207" xr:uid="{00000000-0005-0000-0000-0000BF130000}"/>
    <cellStyle name="20% - Ênfase4 2 6 2 2 2 2" xfId="5208" xr:uid="{00000000-0005-0000-0000-0000C0130000}"/>
    <cellStyle name="20% - Ênfase4 2 6 2 2 2 2 2" xfId="5209" xr:uid="{00000000-0005-0000-0000-0000C1130000}"/>
    <cellStyle name="20% - Ênfase4 2 6 2 2 2 3" xfId="5210" xr:uid="{00000000-0005-0000-0000-0000C2130000}"/>
    <cellStyle name="20% - Ênfase4 2 6 2 2 2 3 2" xfId="5211" xr:uid="{00000000-0005-0000-0000-0000C3130000}"/>
    <cellStyle name="20% - Ênfase4 2 6 2 2 2 4" xfId="5212" xr:uid="{00000000-0005-0000-0000-0000C4130000}"/>
    <cellStyle name="20% - Ênfase4 2 6 2 2 3" xfId="5213" xr:uid="{00000000-0005-0000-0000-0000C5130000}"/>
    <cellStyle name="20% - Ênfase4 2 6 2 2 3 2" xfId="5214" xr:uid="{00000000-0005-0000-0000-0000C6130000}"/>
    <cellStyle name="20% - Ênfase4 2 6 2 2 4" xfId="5215" xr:uid="{00000000-0005-0000-0000-0000C7130000}"/>
    <cellStyle name="20% - Ênfase4 2 6 2 2 4 2" xfId="5216" xr:uid="{00000000-0005-0000-0000-0000C8130000}"/>
    <cellStyle name="20% - Ênfase4 2 6 2 2 5" xfId="5217" xr:uid="{00000000-0005-0000-0000-0000C9130000}"/>
    <cellStyle name="20% - Ênfase4 2 6 2 3" xfId="5218" xr:uid="{00000000-0005-0000-0000-0000CA130000}"/>
    <cellStyle name="20% - Ênfase4 2 6 2 3 2" xfId="5219" xr:uid="{00000000-0005-0000-0000-0000CB130000}"/>
    <cellStyle name="20% - Ênfase4 2 6 2 3 2 2" xfId="5220" xr:uid="{00000000-0005-0000-0000-0000CC130000}"/>
    <cellStyle name="20% - Ênfase4 2 6 2 3 3" xfId="5221" xr:uid="{00000000-0005-0000-0000-0000CD130000}"/>
    <cellStyle name="20% - Ênfase4 2 6 2 3 3 2" xfId="5222" xr:uid="{00000000-0005-0000-0000-0000CE130000}"/>
    <cellStyle name="20% - Ênfase4 2 6 2 3 4" xfId="5223" xr:uid="{00000000-0005-0000-0000-0000CF130000}"/>
    <cellStyle name="20% - Ênfase4 2 6 2 4" xfId="5224" xr:uid="{00000000-0005-0000-0000-0000D0130000}"/>
    <cellStyle name="20% - Ênfase4 2 6 2 4 2" xfId="5225" xr:uid="{00000000-0005-0000-0000-0000D1130000}"/>
    <cellStyle name="20% - Ênfase4 2 6 2 4 2 2" xfId="5226" xr:uid="{00000000-0005-0000-0000-0000D2130000}"/>
    <cellStyle name="20% - Ênfase4 2 6 2 4 3" xfId="5227" xr:uid="{00000000-0005-0000-0000-0000D3130000}"/>
    <cellStyle name="20% - Ênfase4 2 6 2 5" xfId="5228" xr:uid="{00000000-0005-0000-0000-0000D4130000}"/>
    <cellStyle name="20% - Ênfase4 2 6 2 5 2" xfId="5229" xr:uid="{00000000-0005-0000-0000-0000D5130000}"/>
    <cellStyle name="20% - Ênfase4 2 6 2 6" xfId="5230" xr:uid="{00000000-0005-0000-0000-0000D6130000}"/>
    <cellStyle name="20% - Ênfase4 2 6 3" xfId="5231" xr:uid="{00000000-0005-0000-0000-0000D7130000}"/>
    <cellStyle name="20% - Ênfase4 2 6 3 2" xfId="5232" xr:uid="{00000000-0005-0000-0000-0000D8130000}"/>
    <cellStyle name="20% - Ênfase4 2 6 3 2 2" xfId="5233" xr:uid="{00000000-0005-0000-0000-0000D9130000}"/>
    <cellStyle name="20% - Ênfase4 2 6 3 2 2 2" xfId="5234" xr:uid="{00000000-0005-0000-0000-0000DA130000}"/>
    <cellStyle name="20% - Ênfase4 2 6 3 2 3" xfId="5235" xr:uid="{00000000-0005-0000-0000-0000DB130000}"/>
    <cellStyle name="20% - Ênfase4 2 6 3 2 3 2" xfId="5236" xr:uid="{00000000-0005-0000-0000-0000DC130000}"/>
    <cellStyle name="20% - Ênfase4 2 6 3 2 4" xfId="5237" xr:uid="{00000000-0005-0000-0000-0000DD130000}"/>
    <cellStyle name="20% - Ênfase4 2 6 3 3" xfId="5238" xr:uid="{00000000-0005-0000-0000-0000DE130000}"/>
    <cellStyle name="20% - Ênfase4 2 6 3 3 2" xfId="5239" xr:uid="{00000000-0005-0000-0000-0000DF130000}"/>
    <cellStyle name="20% - Ênfase4 2 6 3 4" xfId="5240" xr:uid="{00000000-0005-0000-0000-0000E0130000}"/>
    <cellStyle name="20% - Ênfase4 2 6 3 4 2" xfId="5241" xr:uid="{00000000-0005-0000-0000-0000E1130000}"/>
    <cellStyle name="20% - Ênfase4 2 6 3 5" xfId="5242" xr:uid="{00000000-0005-0000-0000-0000E2130000}"/>
    <cellStyle name="20% - Ênfase4 2 6 4" xfId="5243" xr:uid="{00000000-0005-0000-0000-0000E3130000}"/>
    <cellStyle name="20% - Ênfase4 2 6 4 2" xfId="5244" xr:uid="{00000000-0005-0000-0000-0000E4130000}"/>
    <cellStyle name="20% - Ênfase4 2 6 4 2 2" xfId="5245" xr:uid="{00000000-0005-0000-0000-0000E5130000}"/>
    <cellStyle name="20% - Ênfase4 2 6 4 3" xfId="5246" xr:uid="{00000000-0005-0000-0000-0000E6130000}"/>
    <cellStyle name="20% - Ênfase4 2 6 4 3 2" xfId="5247" xr:uid="{00000000-0005-0000-0000-0000E7130000}"/>
    <cellStyle name="20% - Ênfase4 2 6 4 4" xfId="5248" xr:uid="{00000000-0005-0000-0000-0000E8130000}"/>
    <cellStyle name="20% - Ênfase4 2 6 5" xfId="5249" xr:uid="{00000000-0005-0000-0000-0000E9130000}"/>
    <cellStyle name="20% - Ênfase4 2 6 5 2" xfId="5250" xr:uid="{00000000-0005-0000-0000-0000EA130000}"/>
    <cellStyle name="20% - Ênfase4 2 6 5 2 2" xfId="5251" xr:uid="{00000000-0005-0000-0000-0000EB130000}"/>
    <cellStyle name="20% - Ênfase4 2 6 5 3" xfId="5252" xr:uid="{00000000-0005-0000-0000-0000EC130000}"/>
    <cellStyle name="20% - Ênfase4 2 6 6" xfId="5253" xr:uid="{00000000-0005-0000-0000-0000ED130000}"/>
    <cellStyle name="20% - Ênfase4 2 6 6 2" xfId="5254" xr:uid="{00000000-0005-0000-0000-0000EE130000}"/>
    <cellStyle name="20% - Ênfase4 2 6 7" xfId="5255" xr:uid="{00000000-0005-0000-0000-0000EF130000}"/>
    <cellStyle name="20% - Ênfase4 2 7" xfId="5256" xr:uid="{00000000-0005-0000-0000-0000F0130000}"/>
    <cellStyle name="20% - Ênfase4 2 7 2" xfId="5257" xr:uid="{00000000-0005-0000-0000-0000F1130000}"/>
    <cellStyle name="20% - Ênfase4 2 7 2 2" xfId="5258" xr:uid="{00000000-0005-0000-0000-0000F2130000}"/>
    <cellStyle name="20% - Ênfase4 2 7 2 2 2" xfId="5259" xr:uid="{00000000-0005-0000-0000-0000F3130000}"/>
    <cellStyle name="20% - Ênfase4 2 7 2 2 2 2" xfId="5260" xr:uid="{00000000-0005-0000-0000-0000F4130000}"/>
    <cellStyle name="20% - Ênfase4 2 7 2 2 3" xfId="5261" xr:uid="{00000000-0005-0000-0000-0000F5130000}"/>
    <cellStyle name="20% - Ênfase4 2 7 2 2 3 2" xfId="5262" xr:uid="{00000000-0005-0000-0000-0000F6130000}"/>
    <cellStyle name="20% - Ênfase4 2 7 2 2 4" xfId="5263" xr:uid="{00000000-0005-0000-0000-0000F7130000}"/>
    <cellStyle name="20% - Ênfase4 2 7 2 3" xfId="5264" xr:uid="{00000000-0005-0000-0000-0000F8130000}"/>
    <cellStyle name="20% - Ênfase4 2 7 2 3 2" xfId="5265" xr:uid="{00000000-0005-0000-0000-0000F9130000}"/>
    <cellStyle name="20% - Ênfase4 2 7 2 4" xfId="5266" xr:uid="{00000000-0005-0000-0000-0000FA130000}"/>
    <cellStyle name="20% - Ênfase4 2 7 2 4 2" xfId="5267" xr:uid="{00000000-0005-0000-0000-0000FB130000}"/>
    <cellStyle name="20% - Ênfase4 2 7 2 5" xfId="5268" xr:uid="{00000000-0005-0000-0000-0000FC130000}"/>
    <cellStyle name="20% - Ênfase4 2 7 3" xfId="5269" xr:uid="{00000000-0005-0000-0000-0000FD130000}"/>
    <cellStyle name="20% - Ênfase4 2 7 3 2" xfId="5270" xr:uid="{00000000-0005-0000-0000-0000FE130000}"/>
    <cellStyle name="20% - Ênfase4 2 7 3 2 2" xfId="5271" xr:uid="{00000000-0005-0000-0000-0000FF130000}"/>
    <cellStyle name="20% - Ênfase4 2 7 3 3" xfId="5272" xr:uid="{00000000-0005-0000-0000-000000140000}"/>
    <cellStyle name="20% - Ênfase4 2 7 3 3 2" xfId="5273" xr:uid="{00000000-0005-0000-0000-000001140000}"/>
    <cellStyle name="20% - Ênfase4 2 7 3 4" xfId="5274" xr:uid="{00000000-0005-0000-0000-000002140000}"/>
    <cellStyle name="20% - Ênfase4 2 7 4" xfId="5275" xr:uid="{00000000-0005-0000-0000-000003140000}"/>
    <cellStyle name="20% - Ênfase4 2 7 4 2" xfId="5276" xr:uid="{00000000-0005-0000-0000-000004140000}"/>
    <cellStyle name="20% - Ênfase4 2 7 4 2 2" xfId="5277" xr:uid="{00000000-0005-0000-0000-000005140000}"/>
    <cellStyle name="20% - Ênfase4 2 7 4 3" xfId="5278" xr:uid="{00000000-0005-0000-0000-000006140000}"/>
    <cellStyle name="20% - Ênfase4 2 7 5" xfId="5279" xr:uid="{00000000-0005-0000-0000-000007140000}"/>
    <cellStyle name="20% - Ênfase4 2 7 5 2" xfId="5280" xr:uid="{00000000-0005-0000-0000-000008140000}"/>
    <cellStyle name="20% - Ênfase4 2 7 6" xfId="5281" xr:uid="{00000000-0005-0000-0000-000009140000}"/>
    <cellStyle name="20% - Ênfase4 2 8" xfId="5282" xr:uid="{00000000-0005-0000-0000-00000A140000}"/>
    <cellStyle name="20% - Ênfase4 2 8 2" xfId="5283" xr:uid="{00000000-0005-0000-0000-00000B140000}"/>
    <cellStyle name="20% - Ênfase4 2 8 2 2" xfId="5284" xr:uid="{00000000-0005-0000-0000-00000C140000}"/>
    <cellStyle name="20% - Ênfase4 2 8 2 2 2" xfId="5285" xr:uid="{00000000-0005-0000-0000-00000D140000}"/>
    <cellStyle name="20% - Ênfase4 2 8 2 3" xfId="5286" xr:uid="{00000000-0005-0000-0000-00000E140000}"/>
    <cellStyle name="20% - Ênfase4 2 8 2 3 2" xfId="5287" xr:uid="{00000000-0005-0000-0000-00000F140000}"/>
    <cellStyle name="20% - Ênfase4 2 8 2 4" xfId="5288" xr:uid="{00000000-0005-0000-0000-000010140000}"/>
    <cellStyle name="20% - Ênfase4 2 8 3" xfId="5289" xr:uid="{00000000-0005-0000-0000-000011140000}"/>
    <cellStyle name="20% - Ênfase4 2 8 3 2" xfId="5290" xr:uid="{00000000-0005-0000-0000-000012140000}"/>
    <cellStyle name="20% - Ênfase4 2 8 3 2 2" xfId="5291" xr:uid="{00000000-0005-0000-0000-000013140000}"/>
    <cellStyle name="20% - Ênfase4 2 8 3 3" xfId="5292" xr:uid="{00000000-0005-0000-0000-000014140000}"/>
    <cellStyle name="20% - Ênfase4 2 8 3 3 2" xfId="5293" xr:uid="{00000000-0005-0000-0000-000015140000}"/>
    <cellStyle name="20% - Ênfase4 2 8 3 4" xfId="5294" xr:uid="{00000000-0005-0000-0000-000016140000}"/>
    <cellStyle name="20% - Ênfase4 2 8 4" xfId="5295" xr:uid="{00000000-0005-0000-0000-000017140000}"/>
    <cellStyle name="20% - Ênfase4 2 8 4 2" xfId="5296" xr:uid="{00000000-0005-0000-0000-000018140000}"/>
    <cellStyle name="20% - Ênfase4 2 8 5" xfId="5297" xr:uid="{00000000-0005-0000-0000-000019140000}"/>
    <cellStyle name="20% - Ênfase4 2 8 5 2" xfId="5298" xr:uid="{00000000-0005-0000-0000-00001A140000}"/>
    <cellStyle name="20% - Ênfase4 2 8 6" xfId="5299" xr:uid="{00000000-0005-0000-0000-00001B140000}"/>
    <cellStyle name="20% - Ênfase4 2 9" xfId="5300" xr:uid="{00000000-0005-0000-0000-00001C140000}"/>
    <cellStyle name="20% - Ênfase4 2 9 2" xfId="5301" xr:uid="{00000000-0005-0000-0000-00001D140000}"/>
    <cellStyle name="20% - Ênfase4 2 9 2 2" xfId="5302" xr:uid="{00000000-0005-0000-0000-00001E140000}"/>
    <cellStyle name="20% - Ênfase4 2 9 2 2 2" xfId="5303" xr:uid="{00000000-0005-0000-0000-00001F140000}"/>
    <cellStyle name="20% - Ênfase4 2 9 2 3" xfId="5304" xr:uid="{00000000-0005-0000-0000-000020140000}"/>
    <cellStyle name="20% - Ênfase4 2 9 2 3 2" xfId="5305" xr:uid="{00000000-0005-0000-0000-000021140000}"/>
    <cellStyle name="20% - Ênfase4 2 9 2 4" xfId="5306" xr:uid="{00000000-0005-0000-0000-000022140000}"/>
    <cellStyle name="20% - Ênfase4 2 9 3" xfId="5307" xr:uid="{00000000-0005-0000-0000-000023140000}"/>
    <cellStyle name="20% - Ênfase4 2 9 3 2" xfId="5308" xr:uid="{00000000-0005-0000-0000-000024140000}"/>
    <cellStyle name="20% - Ênfase4 2 9 3 2 2" xfId="5309" xr:uid="{00000000-0005-0000-0000-000025140000}"/>
    <cellStyle name="20% - Ênfase4 2 9 3 3" xfId="5310" xr:uid="{00000000-0005-0000-0000-000026140000}"/>
    <cellStyle name="20% - Ênfase4 2 9 3 3 2" xfId="5311" xr:uid="{00000000-0005-0000-0000-000027140000}"/>
    <cellStyle name="20% - Ênfase4 2 9 3 4" xfId="5312" xr:uid="{00000000-0005-0000-0000-000028140000}"/>
    <cellStyle name="20% - Ênfase4 2 9 4" xfId="5313" xr:uid="{00000000-0005-0000-0000-000029140000}"/>
    <cellStyle name="20% - Ênfase4 2 9 4 2" xfId="5314" xr:uid="{00000000-0005-0000-0000-00002A140000}"/>
    <cellStyle name="20% - Ênfase4 2 9 5" xfId="5315" xr:uid="{00000000-0005-0000-0000-00002B140000}"/>
    <cellStyle name="20% - Ênfase4 2 9 5 2" xfId="5316" xr:uid="{00000000-0005-0000-0000-00002C140000}"/>
    <cellStyle name="20% - Ênfase4 2 9 6" xfId="5317" xr:uid="{00000000-0005-0000-0000-00002D140000}"/>
    <cellStyle name="20% - Ênfase4 20" xfId="5318" xr:uid="{00000000-0005-0000-0000-00002E140000}"/>
    <cellStyle name="20% - Ênfase4 20 2" xfId="5319" xr:uid="{00000000-0005-0000-0000-00002F140000}"/>
    <cellStyle name="20% - Ênfase4 20 2 2" xfId="5320" xr:uid="{00000000-0005-0000-0000-000030140000}"/>
    <cellStyle name="20% - Ênfase4 20 3" xfId="5321" xr:uid="{00000000-0005-0000-0000-000031140000}"/>
    <cellStyle name="20% - Ênfase4 21" xfId="5322" xr:uid="{00000000-0005-0000-0000-000032140000}"/>
    <cellStyle name="20% - Ênfase4 21 2" xfId="5323" xr:uid="{00000000-0005-0000-0000-000033140000}"/>
    <cellStyle name="20% - Ênfase4 21 2 2" xfId="5324" xr:uid="{00000000-0005-0000-0000-000034140000}"/>
    <cellStyle name="20% - Ênfase4 21 3" xfId="5325" xr:uid="{00000000-0005-0000-0000-000035140000}"/>
    <cellStyle name="20% - Ênfase4 22" xfId="5326" xr:uid="{00000000-0005-0000-0000-000036140000}"/>
    <cellStyle name="20% - Ênfase4 22 2" xfId="5327" xr:uid="{00000000-0005-0000-0000-000037140000}"/>
    <cellStyle name="20% - Ênfase4 22 2 2" xfId="5328" xr:uid="{00000000-0005-0000-0000-000038140000}"/>
    <cellStyle name="20% - Ênfase4 22 3" xfId="5329" xr:uid="{00000000-0005-0000-0000-000039140000}"/>
    <cellStyle name="20% - Ênfase4 23" xfId="5330" xr:uid="{00000000-0005-0000-0000-00003A140000}"/>
    <cellStyle name="20% - Ênfase4 23 2" xfId="5331" xr:uid="{00000000-0005-0000-0000-00003B140000}"/>
    <cellStyle name="20% - Ênfase4 23 2 2" xfId="5332" xr:uid="{00000000-0005-0000-0000-00003C140000}"/>
    <cellStyle name="20% - Ênfase4 23 3" xfId="5333" xr:uid="{00000000-0005-0000-0000-00003D140000}"/>
    <cellStyle name="20% - Ênfase4 24" xfId="5334" xr:uid="{00000000-0005-0000-0000-00003E140000}"/>
    <cellStyle name="20% - Ênfase4 24 2" xfId="5335" xr:uid="{00000000-0005-0000-0000-00003F140000}"/>
    <cellStyle name="20% - Ênfase4 24 2 2" xfId="5336" xr:uid="{00000000-0005-0000-0000-000040140000}"/>
    <cellStyle name="20% - Ênfase4 24 3" xfId="5337" xr:uid="{00000000-0005-0000-0000-000041140000}"/>
    <cellStyle name="20% - Ênfase4 25" xfId="5338" xr:uid="{00000000-0005-0000-0000-000042140000}"/>
    <cellStyle name="20% - Ênfase4 25 2" xfId="5339" xr:uid="{00000000-0005-0000-0000-000043140000}"/>
    <cellStyle name="20% - Ênfase4 25 2 2" xfId="5340" xr:uid="{00000000-0005-0000-0000-000044140000}"/>
    <cellStyle name="20% - Ênfase4 25 3" xfId="5341" xr:uid="{00000000-0005-0000-0000-000045140000}"/>
    <cellStyle name="20% - Ênfase4 26" xfId="5342" xr:uid="{00000000-0005-0000-0000-000046140000}"/>
    <cellStyle name="20% - Ênfase4 26 2" xfId="5343" xr:uid="{00000000-0005-0000-0000-000047140000}"/>
    <cellStyle name="20% - Ênfase4 26 2 2" xfId="5344" xr:uid="{00000000-0005-0000-0000-000048140000}"/>
    <cellStyle name="20% - Ênfase4 26 3" xfId="5345" xr:uid="{00000000-0005-0000-0000-000049140000}"/>
    <cellStyle name="20% - Ênfase4 27" xfId="5346" xr:uid="{00000000-0005-0000-0000-00004A140000}"/>
    <cellStyle name="20% - Ênfase4 27 2" xfId="5347" xr:uid="{00000000-0005-0000-0000-00004B140000}"/>
    <cellStyle name="20% - Ênfase4 27 2 2" xfId="5348" xr:uid="{00000000-0005-0000-0000-00004C140000}"/>
    <cellStyle name="20% - Ênfase4 27 3" xfId="5349" xr:uid="{00000000-0005-0000-0000-00004D140000}"/>
    <cellStyle name="20% - Ênfase4 28" xfId="5350" xr:uid="{00000000-0005-0000-0000-00004E140000}"/>
    <cellStyle name="20% - Ênfase4 28 2" xfId="5351" xr:uid="{00000000-0005-0000-0000-00004F140000}"/>
    <cellStyle name="20% - Ênfase4 28 2 2" xfId="5352" xr:uid="{00000000-0005-0000-0000-000050140000}"/>
    <cellStyle name="20% - Ênfase4 28 3" xfId="5353" xr:uid="{00000000-0005-0000-0000-000051140000}"/>
    <cellStyle name="20% - Ênfase4 29" xfId="5354" xr:uid="{00000000-0005-0000-0000-000052140000}"/>
    <cellStyle name="20% - Ênfase4 3" xfId="5355" xr:uid="{00000000-0005-0000-0000-000053140000}"/>
    <cellStyle name="20% - Ênfase4 3 10" xfId="5356" xr:uid="{00000000-0005-0000-0000-000054140000}"/>
    <cellStyle name="20% - Ênfase4 3 10 2" xfId="5357" xr:uid="{00000000-0005-0000-0000-000055140000}"/>
    <cellStyle name="20% - Ênfase4 3 10 2 2" xfId="5358" xr:uid="{00000000-0005-0000-0000-000056140000}"/>
    <cellStyle name="20% - Ênfase4 3 10 3" xfId="5359" xr:uid="{00000000-0005-0000-0000-000057140000}"/>
    <cellStyle name="20% - Ênfase4 3 11" xfId="5360" xr:uid="{00000000-0005-0000-0000-000058140000}"/>
    <cellStyle name="20% - Ênfase4 3 11 2" xfId="5361" xr:uid="{00000000-0005-0000-0000-000059140000}"/>
    <cellStyle name="20% - Ênfase4 3 12" xfId="5362" xr:uid="{00000000-0005-0000-0000-00005A140000}"/>
    <cellStyle name="20% - Ênfase4 3 2" xfId="5363" xr:uid="{00000000-0005-0000-0000-00005B140000}"/>
    <cellStyle name="20% - Ênfase4 3 2 10" xfId="5364" xr:uid="{00000000-0005-0000-0000-00005C140000}"/>
    <cellStyle name="20% - Ênfase4 3 2 2" xfId="5365" xr:uid="{00000000-0005-0000-0000-00005D140000}"/>
    <cellStyle name="20% - Ênfase4 3 2 2 2" xfId="5366" xr:uid="{00000000-0005-0000-0000-00005E140000}"/>
    <cellStyle name="20% - Ênfase4 3 2 2 2 2" xfId="5367" xr:uid="{00000000-0005-0000-0000-00005F140000}"/>
    <cellStyle name="20% - Ênfase4 3 2 2 2 2 2" xfId="5368" xr:uid="{00000000-0005-0000-0000-000060140000}"/>
    <cellStyle name="20% - Ênfase4 3 2 2 2 2 2 2" xfId="5369" xr:uid="{00000000-0005-0000-0000-000061140000}"/>
    <cellStyle name="20% - Ênfase4 3 2 2 2 2 3" xfId="5370" xr:uid="{00000000-0005-0000-0000-000062140000}"/>
    <cellStyle name="20% - Ênfase4 3 2 2 2 2 3 2" xfId="5371" xr:uid="{00000000-0005-0000-0000-000063140000}"/>
    <cellStyle name="20% - Ênfase4 3 2 2 2 2 4" xfId="5372" xr:uid="{00000000-0005-0000-0000-000064140000}"/>
    <cellStyle name="20% - Ênfase4 3 2 2 2 3" xfId="5373" xr:uid="{00000000-0005-0000-0000-000065140000}"/>
    <cellStyle name="20% - Ênfase4 3 2 2 2 3 2" xfId="5374" xr:uid="{00000000-0005-0000-0000-000066140000}"/>
    <cellStyle name="20% - Ênfase4 3 2 2 2 4" xfId="5375" xr:uid="{00000000-0005-0000-0000-000067140000}"/>
    <cellStyle name="20% - Ênfase4 3 2 2 2 4 2" xfId="5376" xr:uid="{00000000-0005-0000-0000-000068140000}"/>
    <cellStyle name="20% - Ênfase4 3 2 2 2 5" xfId="5377" xr:uid="{00000000-0005-0000-0000-000069140000}"/>
    <cellStyle name="20% - Ênfase4 3 2 2 3" xfId="5378" xr:uid="{00000000-0005-0000-0000-00006A140000}"/>
    <cellStyle name="20% - Ênfase4 3 2 2 3 2" xfId="5379" xr:uid="{00000000-0005-0000-0000-00006B140000}"/>
    <cellStyle name="20% - Ênfase4 3 2 2 3 2 2" xfId="5380" xr:uid="{00000000-0005-0000-0000-00006C140000}"/>
    <cellStyle name="20% - Ênfase4 3 2 2 3 3" xfId="5381" xr:uid="{00000000-0005-0000-0000-00006D140000}"/>
    <cellStyle name="20% - Ênfase4 3 2 2 3 3 2" xfId="5382" xr:uid="{00000000-0005-0000-0000-00006E140000}"/>
    <cellStyle name="20% - Ênfase4 3 2 2 3 4" xfId="5383" xr:uid="{00000000-0005-0000-0000-00006F140000}"/>
    <cellStyle name="20% - Ênfase4 3 2 2 4" xfId="5384" xr:uid="{00000000-0005-0000-0000-000070140000}"/>
    <cellStyle name="20% - Ênfase4 3 2 2 4 2" xfId="5385" xr:uid="{00000000-0005-0000-0000-000071140000}"/>
    <cellStyle name="20% - Ênfase4 3 2 2 4 2 2" xfId="5386" xr:uid="{00000000-0005-0000-0000-000072140000}"/>
    <cellStyle name="20% - Ênfase4 3 2 2 4 3" xfId="5387" xr:uid="{00000000-0005-0000-0000-000073140000}"/>
    <cellStyle name="20% - Ênfase4 3 2 2 5" xfId="5388" xr:uid="{00000000-0005-0000-0000-000074140000}"/>
    <cellStyle name="20% - Ênfase4 3 2 2 5 2" xfId="5389" xr:uid="{00000000-0005-0000-0000-000075140000}"/>
    <cellStyle name="20% - Ênfase4 3 2 2 6" xfId="5390" xr:uid="{00000000-0005-0000-0000-000076140000}"/>
    <cellStyle name="20% - Ênfase4 3 2 3" xfId="5391" xr:uid="{00000000-0005-0000-0000-000077140000}"/>
    <cellStyle name="20% - Ênfase4 3 2 3 2" xfId="5392" xr:uid="{00000000-0005-0000-0000-000078140000}"/>
    <cellStyle name="20% - Ênfase4 3 2 3 2 2" xfId="5393" xr:uid="{00000000-0005-0000-0000-000079140000}"/>
    <cellStyle name="20% - Ênfase4 3 2 3 2 2 2" xfId="5394" xr:uid="{00000000-0005-0000-0000-00007A140000}"/>
    <cellStyle name="20% - Ênfase4 3 2 3 2 3" xfId="5395" xr:uid="{00000000-0005-0000-0000-00007B140000}"/>
    <cellStyle name="20% - Ênfase4 3 2 3 2 3 2" xfId="5396" xr:uid="{00000000-0005-0000-0000-00007C140000}"/>
    <cellStyle name="20% - Ênfase4 3 2 3 2 4" xfId="5397" xr:uid="{00000000-0005-0000-0000-00007D140000}"/>
    <cellStyle name="20% - Ênfase4 3 2 3 3" xfId="5398" xr:uid="{00000000-0005-0000-0000-00007E140000}"/>
    <cellStyle name="20% - Ênfase4 3 2 3 3 2" xfId="5399" xr:uid="{00000000-0005-0000-0000-00007F140000}"/>
    <cellStyle name="20% - Ênfase4 3 2 3 3 2 2" xfId="5400" xr:uid="{00000000-0005-0000-0000-000080140000}"/>
    <cellStyle name="20% - Ênfase4 3 2 3 3 3" xfId="5401" xr:uid="{00000000-0005-0000-0000-000081140000}"/>
    <cellStyle name="20% - Ênfase4 3 2 3 3 3 2" xfId="5402" xr:uid="{00000000-0005-0000-0000-000082140000}"/>
    <cellStyle name="20% - Ênfase4 3 2 3 3 4" xfId="5403" xr:uid="{00000000-0005-0000-0000-000083140000}"/>
    <cellStyle name="20% - Ênfase4 3 2 3 4" xfId="5404" xr:uid="{00000000-0005-0000-0000-000084140000}"/>
    <cellStyle name="20% - Ênfase4 3 2 3 4 2" xfId="5405" xr:uid="{00000000-0005-0000-0000-000085140000}"/>
    <cellStyle name="20% - Ênfase4 3 2 3 5" xfId="5406" xr:uid="{00000000-0005-0000-0000-000086140000}"/>
    <cellStyle name="20% - Ênfase4 3 2 3 5 2" xfId="5407" xr:uid="{00000000-0005-0000-0000-000087140000}"/>
    <cellStyle name="20% - Ênfase4 3 2 3 6" xfId="5408" xr:uid="{00000000-0005-0000-0000-000088140000}"/>
    <cellStyle name="20% - Ênfase4 3 2 4" xfId="5409" xr:uid="{00000000-0005-0000-0000-000089140000}"/>
    <cellStyle name="20% - Ênfase4 3 2 4 2" xfId="5410" xr:uid="{00000000-0005-0000-0000-00008A140000}"/>
    <cellStyle name="20% - Ênfase4 3 2 4 2 2" xfId="5411" xr:uid="{00000000-0005-0000-0000-00008B140000}"/>
    <cellStyle name="20% - Ênfase4 3 2 4 3" xfId="5412" xr:uid="{00000000-0005-0000-0000-00008C140000}"/>
    <cellStyle name="20% - Ênfase4 3 2 4 3 2" xfId="5413" xr:uid="{00000000-0005-0000-0000-00008D140000}"/>
    <cellStyle name="20% - Ênfase4 3 2 4 4" xfId="5414" xr:uid="{00000000-0005-0000-0000-00008E140000}"/>
    <cellStyle name="20% - Ênfase4 3 2 5" xfId="5415" xr:uid="{00000000-0005-0000-0000-00008F140000}"/>
    <cellStyle name="20% - Ênfase4 3 2 5 2" xfId="5416" xr:uid="{00000000-0005-0000-0000-000090140000}"/>
    <cellStyle name="20% - Ênfase4 3 2 5 2 2" xfId="5417" xr:uid="{00000000-0005-0000-0000-000091140000}"/>
    <cellStyle name="20% - Ênfase4 3 2 5 3" xfId="5418" xr:uid="{00000000-0005-0000-0000-000092140000}"/>
    <cellStyle name="20% - Ênfase4 3 2 6" xfId="5419" xr:uid="{00000000-0005-0000-0000-000093140000}"/>
    <cellStyle name="20% - Ênfase4 3 2 6 2" xfId="5420" xr:uid="{00000000-0005-0000-0000-000094140000}"/>
    <cellStyle name="20% - Ênfase4 3 2 6 2 2" xfId="5421" xr:uid="{00000000-0005-0000-0000-000095140000}"/>
    <cellStyle name="20% - Ênfase4 3 2 6 3" xfId="5422" xr:uid="{00000000-0005-0000-0000-000096140000}"/>
    <cellStyle name="20% - Ênfase4 3 2 7" xfId="5423" xr:uid="{00000000-0005-0000-0000-000097140000}"/>
    <cellStyle name="20% - Ênfase4 3 2 7 2" xfId="5424" xr:uid="{00000000-0005-0000-0000-000098140000}"/>
    <cellStyle name="20% - Ênfase4 3 2 7 2 2" xfId="5425" xr:uid="{00000000-0005-0000-0000-000099140000}"/>
    <cellStyle name="20% - Ênfase4 3 2 7 3" xfId="5426" xr:uid="{00000000-0005-0000-0000-00009A140000}"/>
    <cellStyle name="20% - Ênfase4 3 2 8" xfId="5427" xr:uid="{00000000-0005-0000-0000-00009B140000}"/>
    <cellStyle name="20% - Ênfase4 3 2 8 2" xfId="5428" xr:uid="{00000000-0005-0000-0000-00009C140000}"/>
    <cellStyle name="20% - Ênfase4 3 2 8 2 2" xfId="5429" xr:uid="{00000000-0005-0000-0000-00009D140000}"/>
    <cellStyle name="20% - Ênfase4 3 2 8 3" xfId="5430" xr:uid="{00000000-0005-0000-0000-00009E140000}"/>
    <cellStyle name="20% - Ênfase4 3 2 9" xfId="5431" xr:uid="{00000000-0005-0000-0000-00009F140000}"/>
    <cellStyle name="20% - Ênfase4 3 2 9 2" xfId="5432" xr:uid="{00000000-0005-0000-0000-0000A0140000}"/>
    <cellStyle name="20% - Ênfase4 3 3" xfId="5433" xr:uid="{00000000-0005-0000-0000-0000A1140000}"/>
    <cellStyle name="20% - Ênfase4 3 3 2" xfId="5434" xr:uid="{00000000-0005-0000-0000-0000A2140000}"/>
    <cellStyle name="20% - Ênfase4 3 3 2 2" xfId="5435" xr:uid="{00000000-0005-0000-0000-0000A3140000}"/>
    <cellStyle name="20% - Ênfase4 3 3 2 2 2" xfId="5436" xr:uid="{00000000-0005-0000-0000-0000A4140000}"/>
    <cellStyle name="20% - Ênfase4 3 3 2 2 2 2" xfId="5437" xr:uid="{00000000-0005-0000-0000-0000A5140000}"/>
    <cellStyle name="20% - Ênfase4 3 3 2 2 3" xfId="5438" xr:uid="{00000000-0005-0000-0000-0000A6140000}"/>
    <cellStyle name="20% - Ênfase4 3 3 2 2 3 2" xfId="5439" xr:uid="{00000000-0005-0000-0000-0000A7140000}"/>
    <cellStyle name="20% - Ênfase4 3 3 2 2 4" xfId="5440" xr:uid="{00000000-0005-0000-0000-0000A8140000}"/>
    <cellStyle name="20% - Ênfase4 3 3 2 3" xfId="5441" xr:uid="{00000000-0005-0000-0000-0000A9140000}"/>
    <cellStyle name="20% - Ênfase4 3 3 2 3 2" xfId="5442" xr:uid="{00000000-0005-0000-0000-0000AA140000}"/>
    <cellStyle name="20% - Ênfase4 3 3 2 4" xfId="5443" xr:uid="{00000000-0005-0000-0000-0000AB140000}"/>
    <cellStyle name="20% - Ênfase4 3 3 2 4 2" xfId="5444" xr:uid="{00000000-0005-0000-0000-0000AC140000}"/>
    <cellStyle name="20% - Ênfase4 3 3 2 5" xfId="5445" xr:uid="{00000000-0005-0000-0000-0000AD140000}"/>
    <cellStyle name="20% - Ênfase4 3 3 3" xfId="5446" xr:uid="{00000000-0005-0000-0000-0000AE140000}"/>
    <cellStyle name="20% - Ênfase4 3 3 3 2" xfId="5447" xr:uid="{00000000-0005-0000-0000-0000AF140000}"/>
    <cellStyle name="20% - Ênfase4 3 3 3 2 2" xfId="5448" xr:uid="{00000000-0005-0000-0000-0000B0140000}"/>
    <cellStyle name="20% - Ênfase4 3 3 3 3" xfId="5449" xr:uid="{00000000-0005-0000-0000-0000B1140000}"/>
    <cellStyle name="20% - Ênfase4 3 3 3 3 2" xfId="5450" xr:uid="{00000000-0005-0000-0000-0000B2140000}"/>
    <cellStyle name="20% - Ênfase4 3 3 3 4" xfId="5451" xr:uid="{00000000-0005-0000-0000-0000B3140000}"/>
    <cellStyle name="20% - Ênfase4 3 3 4" xfId="5452" xr:uid="{00000000-0005-0000-0000-0000B4140000}"/>
    <cellStyle name="20% - Ênfase4 3 3 4 2" xfId="5453" xr:uid="{00000000-0005-0000-0000-0000B5140000}"/>
    <cellStyle name="20% - Ênfase4 3 3 4 2 2" xfId="5454" xr:uid="{00000000-0005-0000-0000-0000B6140000}"/>
    <cellStyle name="20% - Ênfase4 3 3 4 3" xfId="5455" xr:uid="{00000000-0005-0000-0000-0000B7140000}"/>
    <cellStyle name="20% - Ênfase4 3 3 5" xfId="5456" xr:uid="{00000000-0005-0000-0000-0000B8140000}"/>
    <cellStyle name="20% - Ênfase4 3 3 5 2" xfId="5457" xr:uid="{00000000-0005-0000-0000-0000B9140000}"/>
    <cellStyle name="20% - Ênfase4 3 3 6" xfId="5458" xr:uid="{00000000-0005-0000-0000-0000BA140000}"/>
    <cellStyle name="20% - Ênfase4 3 4" xfId="5459" xr:uid="{00000000-0005-0000-0000-0000BB140000}"/>
    <cellStyle name="20% - Ênfase4 3 4 2" xfId="5460" xr:uid="{00000000-0005-0000-0000-0000BC140000}"/>
    <cellStyle name="20% - Ênfase4 3 4 2 2" xfId="5461" xr:uid="{00000000-0005-0000-0000-0000BD140000}"/>
    <cellStyle name="20% - Ênfase4 3 4 2 2 2" xfId="5462" xr:uid="{00000000-0005-0000-0000-0000BE140000}"/>
    <cellStyle name="20% - Ênfase4 3 4 2 3" xfId="5463" xr:uid="{00000000-0005-0000-0000-0000BF140000}"/>
    <cellStyle name="20% - Ênfase4 3 4 2 3 2" xfId="5464" xr:uid="{00000000-0005-0000-0000-0000C0140000}"/>
    <cellStyle name="20% - Ênfase4 3 4 2 4" xfId="5465" xr:uid="{00000000-0005-0000-0000-0000C1140000}"/>
    <cellStyle name="20% - Ênfase4 3 4 3" xfId="5466" xr:uid="{00000000-0005-0000-0000-0000C2140000}"/>
    <cellStyle name="20% - Ênfase4 3 4 3 2" xfId="5467" xr:uid="{00000000-0005-0000-0000-0000C3140000}"/>
    <cellStyle name="20% - Ênfase4 3 4 3 2 2" xfId="5468" xr:uid="{00000000-0005-0000-0000-0000C4140000}"/>
    <cellStyle name="20% - Ênfase4 3 4 3 3" xfId="5469" xr:uid="{00000000-0005-0000-0000-0000C5140000}"/>
    <cellStyle name="20% - Ênfase4 3 4 3 3 2" xfId="5470" xr:uid="{00000000-0005-0000-0000-0000C6140000}"/>
    <cellStyle name="20% - Ênfase4 3 4 3 4" xfId="5471" xr:uid="{00000000-0005-0000-0000-0000C7140000}"/>
    <cellStyle name="20% - Ênfase4 3 4 4" xfId="5472" xr:uid="{00000000-0005-0000-0000-0000C8140000}"/>
    <cellStyle name="20% - Ênfase4 3 4 4 2" xfId="5473" xr:uid="{00000000-0005-0000-0000-0000C9140000}"/>
    <cellStyle name="20% - Ênfase4 3 4 5" xfId="5474" xr:uid="{00000000-0005-0000-0000-0000CA140000}"/>
    <cellStyle name="20% - Ênfase4 3 4 5 2" xfId="5475" xr:uid="{00000000-0005-0000-0000-0000CB140000}"/>
    <cellStyle name="20% - Ênfase4 3 4 6" xfId="5476" xr:uid="{00000000-0005-0000-0000-0000CC140000}"/>
    <cellStyle name="20% - Ênfase4 3 5" xfId="5477" xr:uid="{00000000-0005-0000-0000-0000CD140000}"/>
    <cellStyle name="20% - Ênfase4 3 5 2" xfId="5478" xr:uid="{00000000-0005-0000-0000-0000CE140000}"/>
    <cellStyle name="20% - Ênfase4 3 5 2 2" xfId="5479" xr:uid="{00000000-0005-0000-0000-0000CF140000}"/>
    <cellStyle name="20% - Ênfase4 3 5 2 2 2" xfId="5480" xr:uid="{00000000-0005-0000-0000-0000D0140000}"/>
    <cellStyle name="20% - Ênfase4 3 5 2 3" xfId="5481" xr:uid="{00000000-0005-0000-0000-0000D1140000}"/>
    <cellStyle name="20% - Ênfase4 3 5 2 3 2" xfId="5482" xr:uid="{00000000-0005-0000-0000-0000D2140000}"/>
    <cellStyle name="20% - Ênfase4 3 5 2 4" xfId="5483" xr:uid="{00000000-0005-0000-0000-0000D3140000}"/>
    <cellStyle name="20% - Ênfase4 3 5 3" xfId="5484" xr:uid="{00000000-0005-0000-0000-0000D4140000}"/>
    <cellStyle name="20% - Ênfase4 3 5 3 2" xfId="5485" xr:uid="{00000000-0005-0000-0000-0000D5140000}"/>
    <cellStyle name="20% - Ênfase4 3 5 3 2 2" xfId="5486" xr:uid="{00000000-0005-0000-0000-0000D6140000}"/>
    <cellStyle name="20% - Ênfase4 3 5 3 3" xfId="5487" xr:uid="{00000000-0005-0000-0000-0000D7140000}"/>
    <cellStyle name="20% - Ênfase4 3 5 3 3 2" xfId="5488" xr:uid="{00000000-0005-0000-0000-0000D8140000}"/>
    <cellStyle name="20% - Ênfase4 3 5 3 4" xfId="5489" xr:uid="{00000000-0005-0000-0000-0000D9140000}"/>
    <cellStyle name="20% - Ênfase4 3 5 4" xfId="5490" xr:uid="{00000000-0005-0000-0000-0000DA140000}"/>
    <cellStyle name="20% - Ênfase4 3 5 4 2" xfId="5491" xr:uid="{00000000-0005-0000-0000-0000DB140000}"/>
    <cellStyle name="20% - Ênfase4 3 5 5" xfId="5492" xr:uid="{00000000-0005-0000-0000-0000DC140000}"/>
    <cellStyle name="20% - Ênfase4 3 5 5 2" xfId="5493" xr:uid="{00000000-0005-0000-0000-0000DD140000}"/>
    <cellStyle name="20% - Ênfase4 3 5 6" xfId="5494" xr:uid="{00000000-0005-0000-0000-0000DE140000}"/>
    <cellStyle name="20% - Ênfase4 3 6" xfId="5495" xr:uid="{00000000-0005-0000-0000-0000DF140000}"/>
    <cellStyle name="20% - Ênfase4 3 6 2" xfId="5496" xr:uid="{00000000-0005-0000-0000-0000E0140000}"/>
    <cellStyle name="20% - Ênfase4 3 6 2 2" xfId="5497" xr:uid="{00000000-0005-0000-0000-0000E1140000}"/>
    <cellStyle name="20% - Ênfase4 3 6 3" xfId="5498" xr:uid="{00000000-0005-0000-0000-0000E2140000}"/>
    <cellStyle name="20% - Ênfase4 3 6 3 2" xfId="5499" xr:uid="{00000000-0005-0000-0000-0000E3140000}"/>
    <cellStyle name="20% - Ênfase4 3 6 4" xfId="5500" xr:uid="{00000000-0005-0000-0000-0000E4140000}"/>
    <cellStyle name="20% - Ênfase4 3 7" xfId="5501" xr:uid="{00000000-0005-0000-0000-0000E5140000}"/>
    <cellStyle name="20% - Ênfase4 3 7 2" xfId="5502" xr:uid="{00000000-0005-0000-0000-0000E6140000}"/>
    <cellStyle name="20% - Ênfase4 3 7 2 2" xfId="5503" xr:uid="{00000000-0005-0000-0000-0000E7140000}"/>
    <cellStyle name="20% - Ênfase4 3 7 3" xfId="5504" xr:uid="{00000000-0005-0000-0000-0000E8140000}"/>
    <cellStyle name="20% - Ênfase4 3 8" xfId="5505" xr:uid="{00000000-0005-0000-0000-0000E9140000}"/>
    <cellStyle name="20% - Ênfase4 3 8 2" xfId="5506" xr:uid="{00000000-0005-0000-0000-0000EA140000}"/>
    <cellStyle name="20% - Ênfase4 3 8 2 2" xfId="5507" xr:uid="{00000000-0005-0000-0000-0000EB140000}"/>
    <cellStyle name="20% - Ênfase4 3 8 3" xfId="5508" xr:uid="{00000000-0005-0000-0000-0000EC140000}"/>
    <cellStyle name="20% - Ênfase4 3 9" xfId="5509" xr:uid="{00000000-0005-0000-0000-0000ED140000}"/>
    <cellStyle name="20% - Ênfase4 3 9 2" xfId="5510" xr:uid="{00000000-0005-0000-0000-0000EE140000}"/>
    <cellStyle name="20% - Ênfase4 3 9 2 2" xfId="5511" xr:uid="{00000000-0005-0000-0000-0000EF140000}"/>
    <cellStyle name="20% - Ênfase4 3 9 3" xfId="5512" xr:uid="{00000000-0005-0000-0000-0000F0140000}"/>
    <cellStyle name="20% - Ênfase4 30" xfId="5513" xr:uid="{00000000-0005-0000-0000-0000F1140000}"/>
    <cellStyle name="20% - Ênfase4 31" xfId="5514" xr:uid="{00000000-0005-0000-0000-0000F2140000}"/>
    <cellStyle name="20% - Ênfase4 32" xfId="5515" xr:uid="{00000000-0005-0000-0000-0000F3140000}"/>
    <cellStyle name="20% - Ênfase4 33" xfId="5516" xr:uid="{00000000-0005-0000-0000-0000F4140000}"/>
    <cellStyle name="20% - Ênfase4 4" xfId="5517" xr:uid="{00000000-0005-0000-0000-0000F5140000}"/>
    <cellStyle name="20% - Ênfase4 4 10" xfId="5518" xr:uid="{00000000-0005-0000-0000-0000F6140000}"/>
    <cellStyle name="20% - Ênfase4 4 10 2" xfId="5519" xr:uid="{00000000-0005-0000-0000-0000F7140000}"/>
    <cellStyle name="20% - Ênfase4 4 11" xfId="5520" xr:uid="{00000000-0005-0000-0000-0000F8140000}"/>
    <cellStyle name="20% - Ênfase4 4 2" xfId="5521" xr:uid="{00000000-0005-0000-0000-0000F9140000}"/>
    <cellStyle name="20% - Ênfase4 4 2 2" xfId="5522" xr:uid="{00000000-0005-0000-0000-0000FA140000}"/>
    <cellStyle name="20% - Ênfase4 4 2 2 2" xfId="5523" xr:uid="{00000000-0005-0000-0000-0000FB140000}"/>
    <cellStyle name="20% - Ênfase4 4 2 2 2 2" xfId="5524" xr:uid="{00000000-0005-0000-0000-0000FC140000}"/>
    <cellStyle name="20% - Ênfase4 4 2 2 2 2 2" xfId="5525" xr:uid="{00000000-0005-0000-0000-0000FD140000}"/>
    <cellStyle name="20% - Ênfase4 4 2 2 2 3" xfId="5526" xr:uid="{00000000-0005-0000-0000-0000FE140000}"/>
    <cellStyle name="20% - Ênfase4 4 2 2 2 3 2" xfId="5527" xr:uid="{00000000-0005-0000-0000-0000FF140000}"/>
    <cellStyle name="20% - Ênfase4 4 2 2 2 4" xfId="5528" xr:uid="{00000000-0005-0000-0000-000000150000}"/>
    <cellStyle name="20% - Ênfase4 4 2 2 3" xfId="5529" xr:uid="{00000000-0005-0000-0000-000001150000}"/>
    <cellStyle name="20% - Ênfase4 4 2 2 3 2" xfId="5530" xr:uid="{00000000-0005-0000-0000-000002150000}"/>
    <cellStyle name="20% - Ênfase4 4 2 2 3 2 2" xfId="5531" xr:uid="{00000000-0005-0000-0000-000003150000}"/>
    <cellStyle name="20% - Ênfase4 4 2 2 3 3" xfId="5532" xr:uid="{00000000-0005-0000-0000-000004150000}"/>
    <cellStyle name="20% - Ênfase4 4 2 2 3 3 2" xfId="5533" xr:uid="{00000000-0005-0000-0000-000005150000}"/>
    <cellStyle name="20% - Ênfase4 4 2 2 3 4" xfId="5534" xr:uid="{00000000-0005-0000-0000-000006150000}"/>
    <cellStyle name="20% - Ênfase4 4 2 2 4" xfId="5535" xr:uid="{00000000-0005-0000-0000-000007150000}"/>
    <cellStyle name="20% - Ênfase4 4 2 2 4 2" xfId="5536" xr:uid="{00000000-0005-0000-0000-000008150000}"/>
    <cellStyle name="20% - Ênfase4 4 2 2 5" xfId="5537" xr:uid="{00000000-0005-0000-0000-000009150000}"/>
    <cellStyle name="20% - Ênfase4 4 2 2 5 2" xfId="5538" xr:uid="{00000000-0005-0000-0000-00000A150000}"/>
    <cellStyle name="20% - Ênfase4 4 2 2 6" xfId="5539" xr:uid="{00000000-0005-0000-0000-00000B150000}"/>
    <cellStyle name="20% - Ênfase4 4 2 3" xfId="5540" xr:uid="{00000000-0005-0000-0000-00000C150000}"/>
    <cellStyle name="20% - Ênfase4 4 2 3 2" xfId="5541" xr:uid="{00000000-0005-0000-0000-00000D150000}"/>
    <cellStyle name="20% - Ênfase4 4 2 3 2 2" xfId="5542" xr:uid="{00000000-0005-0000-0000-00000E150000}"/>
    <cellStyle name="20% - Ênfase4 4 2 3 3" xfId="5543" xr:uid="{00000000-0005-0000-0000-00000F150000}"/>
    <cellStyle name="20% - Ênfase4 4 2 3 3 2" xfId="5544" xr:uid="{00000000-0005-0000-0000-000010150000}"/>
    <cellStyle name="20% - Ênfase4 4 2 3 4" xfId="5545" xr:uid="{00000000-0005-0000-0000-000011150000}"/>
    <cellStyle name="20% - Ênfase4 4 2 4" xfId="5546" xr:uid="{00000000-0005-0000-0000-000012150000}"/>
    <cellStyle name="20% - Ênfase4 4 2 4 2" xfId="5547" xr:uid="{00000000-0005-0000-0000-000013150000}"/>
    <cellStyle name="20% - Ênfase4 4 2 4 2 2" xfId="5548" xr:uid="{00000000-0005-0000-0000-000014150000}"/>
    <cellStyle name="20% - Ênfase4 4 2 4 3" xfId="5549" xr:uid="{00000000-0005-0000-0000-000015150000}"/>
    <cellStyle name="20% - Ênfase4 4 2 5" xfId="5550" xr:uid="{00000000-0005-0000-0000-000016150000}"/>
    <cellStyle name="20% - Ênfase4 4 2 5 2" xfId="5551" xr:uid="{00000000-0005-0000-0000-000017150000}"/>
    <cellStyle name="20% - Ênfase4 4 2 5 2 2" xfId="5552" xr:uid="{00000000-0005-0000-0000-000018150000}"/>
    <cellStyle name="20% - Ênfase4 4 2 5 3" xfId="5553" xr:uid="{00000000-0005-0000-0000-000019150000}"/>
    <cellStyle name="20% - Ênfase4 4 2 6" xfId="5554" xr:uid="{00000000-0005-0000-0000-00001A150000}"/>
    <cellStyle name="20% - Ênfase4 4 2 6 2" xfId="5555" xr:uid="{00000000-0005-0000-0000-00001B150000}"/>
    <cellStyle name="20% - Ênfase4 4 2 6 2 2" xfId="5556" xr:uid="{00000000-0005-0000-0000-00001C150000}"/>
    <cellStyle name="20% - Ênfase4 4 2 6 3" xfId="5557" xr:uid="{00000000-0005-0000-0000-00001D150000}"/>
    <cellStyle name="20% - Ênfase4 4 2 7" xfId="5558" xr:uid="{00000000-0005-0000-0000-00001E150000}"/>
    <cellStyle name="20% - Ênfase4 4 2 7 2" xfId="5559" xr:uid="{00000000-0005-0000-0000-00001F150000}"/>
    <cellStyle name="20% - Ênfase4 4 2 7 2 2" xfId="5560" xr:uid="{00000000-0005-0000-0000-000020150000}"/>
    <cellStyle name="20% - Ênfase4 4 2 7 3" xfId="5561" xr:uid="{00000000-0005-0000-0000-000021150000}"/>
    <cellStyle name="20% - Ênfase4 4 2 8" xfId="5562" xr:uid="{00000000-0005-0000-0000-000022150000}"/>
    <cellStyle name="20% - Ênfase4 4 2 8 2" xfId="5563" xr:uid="{00000000-0005-0000-0000-000023150000}"/>
    <cellStyle name="20% - Ênfase4 4 2 9" xfId="5564" xr:uid="{00000000-0005-0000-0000-000024150000}"/>
    <cellStyle name="20% - Ênfase4 4 3" xfId="5565" xr:uid="{00000000-0005-0000-0000-000025150000}"/>
    <cellStyle name="20% - Ênfase4 4 3 2" xfId="5566" xr:uid="{00000000-0005-0000-0000-000026150000}"/>
    <cellStyle name="20% - Ênfase4 4 3 2 2" xfId="5567" xr:uid="{00000000-0005-0000-0000-000027150000}"/>
    <cellStyle name="20% - Ênfase4 4 3 2 2 2" xfId="5568" xr:uid="{00000000-0005-0000-0000-000028150000}"/>
    <cellStyle name="20% - Ênfase4 4 3 2 3" xfId="5569" xr:uid="{00000000-0005-0000-0000-000029150000}"/>
    <cellStyle name="20% - Ênfase4 4 3 2 3 2" xfId="5570" xr:uid="{00000000-0005-0000-0000-00002A150000}"/>
    <cellStyle name="20% - Ênfase4 4 3 2 4" xfId="5571" xr:uid="{00000000-0005-0000-0000-00002B150000}"/>
    <cellStyle name="20% - Ênfase4 4 3 3" xfId="5572" xr:uid="{00000000-0005-0000-0000-00002C150000}"/>
    <cellStyle name="20% - Ênfase4 4 3 3 2" xfId="5573" xr:uid="{00000000-0005-0000-0000-00002D150000}"/>
    <cellStyle name="20% - Ênfase4 4 3 3 2 2" xfId="5574" xr:uid="{00000000-0005-0000-0000-00002E150000}"/>
    <cellStyle name="20% - Ênfase4 4 3 3 3" xfId="5575" xr:uid="{00000000-0005-0000-0000-00002F150000}"/>
    <cellStyle name="20% - Ênfase4 4 3 3 3 2" xfId="5576" xr:uid="{00000000-0005-0000-0000-000030150000}"/>
    <cellStyle name="20% - Ênfase4 4 3 3 4" xfId="5577" xr:uid="{00000000-0005-0000-0000-000031150000}"/>
    <cellStyle name="20% - Ênfase4 4 3 4" xfId="5578" xr:uid="{00000000-0005-0000-0000-000032150000}"/>
    <cellStyle name="20% - Ênfase4 4 3 4 2" xfId="5579" xr:uid="{00000000-0005-0000-0000-000033150000}"/>
    <cellStyle name="20% - Ênfase4 4 3 5" xfId="5580" xr:uid="{00000000-0005-0000-0000-000034150000}"/>
    <cellStyle name="20% - Ênfase4 4 3 5 2" xfId="5581" xr:uid="{00000000-0005-0000-0000-000035150000}"/>
    <cellStyle name="20% - Ênfase4 4 3 6" xfId="5582" xr:uid="{00000000-0005-0000-0000-000036150000}"/>
    <cellStyle name="20% - Ênfase4 4 4" xfId="5583" xr:uid="{00000000-0005-0000-0000-000037150000}"/>
    <cellStyle name="20% - Ênfase4 4 4 2" xfId="5584" xr:uid="{00000000-0005-0000-0000-000038150000}"/>
    <cellStyle name="20% - Ênfase4 4 4 2 2" xfId="5585" xr:uid="{00000000-0005-0000-0000-000039150000}"/>
    <cellStyle name="20% - Ênfase4 4 4 2 2 2" xfId="5586" xr:uid="{00000000-0005-0000-0000-00003A150000}"/>
    <cellStyle name="20% - Ênfase4 4 4 2 3" xfId="5587" xr:uid="{00000000-0005-0000-0000-00003B150000}"/>
    <cellStyle name="20% - Ênfase4 4 4 2 3 2" xfId="5588" xr:uid="{00000000-0005-0000-0000-00003C150000}"/>
    <cellStyle name="20% - Ênfase4 4 4 2 4" xfId="5589" xr:uid="{00000000-0005-0000-0000-00003D150000}"/>
    <cellStyle name="20% - Ênfase4 4 4 3" xfId="5590" xr:uid="{00000000-0005-0000-0000-00003E150000}"/>
    <cellStyle name="20% - Ênfase4 4 4 3 2" xfId="5591" xr:uid="{00000000-0005-0000-0000-00003F150000}"/>
    <cellStyle name="20% - Ênfase4 4 4 3 2 2" xfId="5592" xr:uid="{00000000-0005-0000-0000-000040150000}"/>
    <cellStyle name="20% - Ênfase4 4 4 3 3" xfId="5593" xr:uid="{00000000-0005-0000-0000-000041150000}"/>
    <cellStyle name="20% - Ênfase4 4 4 3 3 2" xfId="5594" xr:uid="{00000000-0005-0000-0000-000042150000}"/>
    <cellStyle name="20% - Ênfase4 4 4 3 4" xfId="5595" xr:uid="{00000000-0005-0000-0000-000043150000}"/>
    <cellStyle name="20% - Ênfase4 4 4 4" xfId="5596" xr:uid="{00000000-0005-0000-0000-000044150000}"/>
    <cellStyle name="20% - Ênfase4 4 4 4 2" xfId="5597" xr:uid="{00000000-0005-0000-0000-000045150000}"/>
    <cellStyle name="20% - Ênfase4 4 4 5" xfId="5598" xr:uid="{00000000-0005-0000-0000-000046150000}"/>
    <cellStyle name="20% - Ênfase4 4 4 5 2" xfId="5599" xr:uid="{00000000-0005-0000-0000-000047150000}"/>
    <cellStyle name="20% - Ênfase4 4 4 6" xfId="5600" xr:uid="{00000000-0005-0000-0000-000048150000}"/>
    <cellStyle name="20% - Ênfase4 4 5" xfId="5601" xr:uid="{00000000-0005-0000-0000-000049150000}"/>
    <cellStyle name="20% - Ênfase4 4 5 2" xfId="5602" xr:uid="{00000000-0005-0000-0000-00004A150000}"/>
    <cellStyle name="20% - Ênfase4 4 5 2 2" xfId="5603" xr:uid="{00000000-0005-0000-0000-00004B150000}"/>
    <cellStyle name="20% - Ênfase4 4 5 3" xfId="5604" xr:uid="{00000000-0005-0000-0000-00004C150000}"/>
    <cellStyle name="20% - Ênfase4 4 5 3 2" xfId="5605" xr:uid="{00000000-0005-0000-0000-00004D150000}"/>
    <cellStyle name="20% - Ênfase4 4 5 4" xfId="5606" xr:uid="{00000000-0005-0000-0000-00004E150000}"/>
    <cellStyle name="20% - Ênfase4 4 6" xfId="5607" xr:uid="{00000000-0005-0000-0000-00004F150000}"/>
    <cellStyle name="20% - Ênfase4 4 6 2" xfId="5608" xr:uid="{00000000-0005-0000-0000-000050150000}"/>
    <cellStyle name="20% - Ênfase4 4 6 2 2" xfId="5609" xr:uid="{00000000-0005-0000-0000-000051150000}"/>
    <cellStyle name="20% - Ênfase4 4 6 3" xfId="5610" xr:uid="{00000000-0005-0000-0000-000052150000}"/>
    <cellStyle name="20% - Ênfase4 4 7" xfId="5611" xr:uid="{00000000-0005-0000-0000-000053150000}"/>
    <cellStyle name="20% - Ênfase4 4 7 2" xfId="5612" xr:uid="{00000000-0005-0000-0000-000054150000}"/>
    <cellStyle name="20% - Ênfase4 4 7 2 2" xfId="5613" xr:uid="{00000000-0005-0000-0000-000055150000}"/>
    <cellStyle name="20% - Ênfase4 4 7 3" xfId="5614" xr:uid="{00000000-0005-0000-0000-000056150000}"/>
    <cellStyle name="20% - Ênfase4 4 8" xfId="5615" xr:uid="{00000000-0005-0000-0000-000057150000}"/>
    <cellStyle name="20% - Ênfase4 4 8 2" xfId="5616" xr:uid="{00000000-0005-0000-0000-000058150000}"/>
    <cellStyle name="20% - Ênfase4 4 8 2 2" xfId="5617" xr:uid="{00000000-0005-0000-0000-000059150000}"/>
    <cellStyle name="20% - Ênfase4 4 8 3" xfId="5618" xr:uid="{00000000-0005-0000-0000-00005A150000}"/>
    <cellStyle name="20% - Ênfase4 4 9" xfId="5619" xr:uid="{00000000-0005-0000-0000-00005B150000}"/>
    <cellStyle name="20% - Ênfase4 4 9 2" xfId="5620" xr:uid="{00000000-0005-0000-0000-00005C150000}"/>
    <cellStyle name="20% - Ênfase4 4 9 2 2" xfId="5621" xr:uid="{00000000-0005-0000-0000-00005D150000}"/>
    <cellStyle name="20% - Ênfase4 4 9 3" xfId="5622" xr:uid="{00000000-0005-0000-0000-00005E150000}"/>
    <cellStyle name="20% - Ênfase4 5" xfId="5623" xr:uid="{00000000-0005-0000-0000-00005F150000}"/>
    <cellStyle name="20% - Ênfase4 5 10" xfId="5624" xr:uid="{00000000-0005-0000-0000-000060150000}"/>
    <cellStyle name="20% - Ênfase4 5 2" xfId="5625" xr:uid="{00000000-0005-0000-0000-000061150000}"/>
    <cellStyle name="20% - Ênfase4 5 2 2" xfId="5626" xr:uid="{00000000-0005-0000-0000-000062150000}"/>
    <cellStyle name="20% - Ênfase4 5 2 2 2" xfId="5627" xr:uid="{00000000-0005-0000-0000-000063150000}"/>
    <cellStyle name="20% - Ênfase4 5 2 2 2 2" xfId="5628" xr:uid="{00000000-0005-0000-0000-000064150000}"/>
    <cellStyle name="20% - Ênfase4 5 2 2 2 2 2" xfId="5629" xr:uid="{00000000-0005-0000-0000-000065150000}"/>
    <cellStyle name="20% - Ênfase4 5 2 2 2 3" xfId="5630" xr:uid="{00000000-0005-0000-0000-000066150000}"/>
    <cellStyle name="20% - Ênfase4 5 2 2 2 3 2" xfId="5631" xr:uid="{00000000-0005-0000-0000-000067150000}"/>
    <cellStyle name="20% - Ênfase4 5 2 2 2 4" xfId="5632" xr:uid="{00000000-0005-0000-0000-000068150000}"/>
    <cellStyle name="20% - Ênfase4 5 2 2 3" xfId="5633" xr:uid="{00000000-0005-0000-0000-000069150000}"/>
    <cellStyle name="20% - Ênfase4 5 2 2 3 2" xfId="5634" xr:uid="{00000000-0005-0000-0000-00006A150000}"/>
    <cellStyle name="20% - Ênfase4 5 2 2 4" xfId="5635" xr:uid="{00000000-0005-0000-0000-00006B150000}"/>
    <cellStyle name="20% - Ênfase4 5 2 2 4 2" xfId="5636" xr:uid="{00000000-0005-0000-0000-00006C150000}"/>
    <cellStyle name="20% - Ênfase4 5 2 2 5" xfId="5637" xr:uid="{00000000-0005-0000-0000-00006D150000}"/>
    <cellStyle name="20% - Ênfase4 5 2 3" xfId="5638" xr:uid="{00000000-0005-0000-0000-00006E150000}"/>
    <cellStyle name="20% - Ênfase4 5 2 3 2" xfId="5639" xr:uid="{00000000-0005-0000-0000-00006F150000}"/>
    <cellStyle name="20% - Ênfase4 5 2 3 2 2" xfId="5640" xr:uid="{00000000-0005-0000-0000-000070150000}"/>
    <cellStyle name="20% - Ênfase4 5 2 3 3" xfId="5641" xr:uid="{00000000-0005-0000-0000-000071150000}"/>
    <cellStyle name="20% - Ênfase4 5 2 3 3 2" xfId="5642" xr:uid="{00000000-0005-0000-0000-000072150000}"/>
    <cellStyle name="20% - Ênfase4 5 2 3 4" xfId="5643" xr:uid="{00000000-0005-0000-0000-000073150000}"/>
    <cellStyle name="20% - Ênfase4 5 2 4" xfId="5644" xr:uid="{00000000-0005-0000-0000-000074150000}"/>
    <cellStyle name="20% - Ênfase4 5 2 4 2" xfId="5645" xr:uid="{00000000-0005-0000-0000-000075150000}"/>
    <cellStyle name="20% - Ênfase4 5 2 4 2 2" xfId="5646" xr:uid="{00000000-0005-0000-0000-000076150000}"/>
    <cellStyle name="20% - Ênfase4 5 2 4 3" xfId="5647" xr:uid="{00000000-0005-0000-0000-000077150000}"/>
    <cellStyle name="20% - Ênfase4 5 2 5" xfId="5648" xr:uid="{00000000-0005-0000-0000-000078150000}"/>
    <cellStyle name="20% - Ênfase4 5 2 5 2" xfId="5649" xr:uid="{00000000-0005-0000-0000-000079150000}"/>
    <cellStyle name="20% - Ênfase4 5 2 6" xfId="5650" xr:uid="{00000000-0005-0000-0000-00007A150000}"/>
    <cellStyle name="20% - Ênfase4 5 3" xfId="5651" xr:uid="{00000000-0005-0000-0000-00007B150000}"/>
    <cellStyle name="20% - Ênfase4 5 3 2" xfId="5652" xr:uid="{00000000-0005-0000-0000-00007C150000}"/>
    <cellStyle name="20% - Ênfase4 5 3 2 2" xfId="5653" xr:uid="{00000000-0005-0000-0000-00007D150000}"/>
    <cellStyle name="20% - Ênfase4 5 3 2 2 2" xfId="5654" xr:uid="{00000000-0005-0000-0000-00007E150000}"/>
    <cellStyle name="20% - Ênfase4 5 3 2 3" xfId="5655" xr:uid="{00000000-0005-0000-0000-00007F150000}"/>
    <cellStyle name="20% - Ênfase4 5 3 2 3 2" xfId="5656" xr:uid="{00000000-0005-0000-0000-000080150000}"/>
    <cellStyle name="20% - Ênfase4 5 3 2 4" xfId="5657" xr:uid="{00000000-0005-0000-0000-000081150000}"/>
    <cellStyle name="20% - Ênfase4 5 3 3" xfId="5658" xr:uid="{00000000-0005-0000-0000-000082150000}"/>
    <cellStyle name="20% - Ênfase4 5 3 3 2" xfId="5659" xr:uid="{00000000-0005-0000-0000-000083150000}"/>
    <cellStyle name="20% - Ênfase4 5 3 3 2 2" xfId="5660" xr:uid="{00000000-0005-0000-0000-000084150000}"/>
    <cellStyle name="20% - Ênfase4 5 3 3 3" xfId="5661" xr:uid="{00000000-0005-0000-0000-000085150000}"/>
    <cellStyle name="20% - Ênfase4 5 3 3 3 2" xfId="5662" xr:uid="{00000000-0005-0000-0000-000086150000}"/>
    <cellStyle name="20% - Ênfase4 5 3 3 4" xfId="5663" xr:uid="{00000000-0005-0000-0000-000087150000}"/>
    <cellStyle name="20% - Ênfase4 5 3 4" xfId="5664" xr:uid="{00000000-0005-0000-0000-000088150000}"/>
    <cellStyle name="20% - Ênfase4 5 3 4 2" xfId="5665" xr:uid="{00000000-0005-0000-0000-000089150000}"/>
    <cellStyle name="20% - Ênfase4 5 3 5" xfId="5666" xr:uid="{00000000-0005-0000-0000-00008A150000}"/>
    <cellStyle name="20% - Ênfase4 5 3 5 2" xfId="5667" xr:uid="{00000000-0005-0000-0000-00008B150000}"/>
    <cellStyle name="20% - Ênfase4 5 3 6" xfId="5668" xr:uid="{00000000-0005-0000-0000-00008C150000}"/>
    <cellStyle name="20% - Ênfase4 5 4" xfId="5669" xr:uid="{00000000-0005-0000-0000-00008D150000}"/>
    <cellStyle name="20% - Ênfase4 5 4 2" xfId="5670" xr:uid="{00000000-0005-0000-0000-00008E150000}"/>
    <cellStyle name="20% - Ênfase4 5 4 2 2" xfId="5671" xr:uid="{00000000-0005-0000-0000-00008F150000}"/>
    <cellStyle name="20% - Ênfase4 5 4 3" xfId="5672" xr:uid="{00000000-0005-0000-0000-000090150000}"/>
    <cellStyle name="20% - Ênfase4 5 4 3 2" xfId="5673" xr:uid="{00000000-0005-0000-0000-000091150000}"/>
    <cellStyle name="20% - Ênfase4 5 4 4" xfId="5674" xr:uid="{00000000-0005-0000-0000-000092150000}"/>
    <cellStyle name="20% - Ênfase4 5 5" xfId="5675" xr:uid="{00000000-0005-0000-0000-000093150000}"/>
    <cellStyle name="20% - Ênfase4 5 5 2" xfId="5676" xr:uid="{00000000-0005-0000-0000-000094150000}"/>
    <cellStyle name="20% - Ênfase4 5 5 2 2" xfId="5677" xr:uid="{00000000-0005-0000-0000-000095150000}"/>
    <cellStyle name="20% - Ênfase4 5 5 3" xfId="5678" xr:uid="{00000000-0005-0000-0000-000096150000}"/>
    <cellStyle name="20% - Ênfase4 5 6" xfId="5679" xr:uid="{00000000-0005-0000-0000-000097150000}"/>
    <cellStyle name="20% - Ênfase4 5 6 2" xfId="5680" xr:uid="{00000000-0005-0000-0000-000098150000}"/>
    <cellStyle name="20% - Ênfase4 5 6 2 2" xfId="5681" xr:uid="{00000000-0005-0000-0000-000099150000}"/>
    <cellStyle name="20% - Ênfase4 5 6 3" xfId="5682" xr:uid="{00000000-0005-0000-0000-00009A150000}"/>
    <cellStyle name="20% - Ênfase4 5 7" xfId="5683" xr:uid="{00000000-0005-0000-0000-00009B150000}"/>
    <cellStyle name="20% - Ênfase4 5 7 2" xfId="5684" xr:uid="{00000000-0005-0000-0000-00009C150000}"/>
    <cellStyle name="20% - Ênfase4 5 7 2 2" xfId="5685" xr:uid="{00000000-0005-0000-0000-00009D150000}"/>
    <cellStyle name="20% - Ênfase4 5 7 3" xfId="5686" xr:uid="{00000000-0005-0000-0000-00009E150000}"/>
    <cellStyle name="20% - Ênfase4 5 8" xfId="5687" xr:uid="{00000000-0005-0000-0000-00009F150000}"/>
    <cellStyle name="20% - Ênfase4 5 8 2" xfId="5688" xr:uid="{00000000-0005-0000-0000-0000A0150000}"/>
    <cellStyle name="20% - Ênfase4 5 8 2 2" xfId="5689" xr:uid="{00000000-0005-0000-0000-0000A1150000}"/>
    <cellStyle name="20% - Ênfase4 5 8 3" xfId="5690" xr:uid="{00000000-0005-0000-0000-0000A2150000}"/>
    <cellStyle name="20% - Ênfase4 5 9" xfId="5691" xr:uid="{00000000-0005-0000-0000-0000A3150000}"/>
    <cellStyle name="20% - Ênfase4 5 9 2" xfId="5692" xr:uid="{00000000-0005-0000-0000-0000A4150000}"/>
    <cellStyle name="20% - Ênfase4 6" xfId="5693" xr:uid="{00000000-0005-0000-0000-0000A5150000}"/>
    <cellStyle name="20% - Ênfase4 6 2" xfId="5694" xr:uid="{00000000-0005-0000-0000-0000A6150000}"/>
    <cellStyle name="20% - Ênfase4 6 2 2" xfId="5695" xr:uid="{00000000-0005-0000-0000-0000A7150000}"/>
    <cellStyle name="20% - Ênfase4 6 2 2 2" xfId="5696" xr:uid="{00000000-0005-0000-0000-0000A8150000}"/>
    <cellStyle name="20% - Ênfase4 6 2 2 2 2" xfId="5697" xr:uid="{00000000-0005-0000-0000-0000A9150000}"/>
    <cellStyle name="20% - Ênfase4 6 2 2 2 2 2" xfId="5698" xr:uid="{00000000-0005-0000-0000-0000AA150000}"/>
    <cellStyle name="20% - Ênfase4 6 2 2 2 3" xfId="5699" xr:uid="{00000000-0005-0000-0000-0000AB150000}"/>
    <cellStyle name="20% - Ênfase4 6 2 2 2 3 2" xfId="5700" xr:uid="{00000000-0005-0000-0000-0000AC150000}"/>
    <cellStyle name="20% - Ênfase4 6 2 2 2 4" xfId="5701" xr:uid="{00000000-0005-0000-0000-0000AD150000}"/>
    <cellStyle name="20% - Ênfase4 6 2 2 3" xfId="5702" xr:uid="{00000000-0005-0000-0000-0000AE150000}"/>
    <cellStyle name="20% - Ênfase4 6 2 2 3 2" xfId="5703" xr:uid="{00000000-0005-0000-0000-0000AF150000}"/>
    <cellStyle name="20% - Ênfase4 6 2 2 4" xfId="5704" xr:uid="{00000000-0005-0000-0000-0000B0150000}"/>
    <cellStyle name="20% - Ênfase4 6 2 2 4 2" xfId="5705" xr:uid="{00000000-0005-0000-0000-0000B1150000}"/>
    <cellStyle name="20% - Ênfase4 6 2 2 5" xfId="5706" xr:uid="{00000000-0005-0000-0000-0000B2150000}"/>
    <cellStyle name="20% - Ênfase4 6 2 3" xfId="5707" xr:uid="{00000000-0005-0000-0000-0000B3150000}"/>
    <cellStyle name="20% - Ênfase4 6 2 3 2" xfId="5708" xr:uid="{00000000-0005-0000-0000-0000B4150000}"/>
    <cellStyle name="20% - Ênfase4 6 2 3 2 2" xfId="5709" xr:uid="{00000000-0005-0000-0000-0000B5150000}"/>
    <cellStyle name="20% - Ênfase4 6 2 3 3" xfId="5710" xr:uid="{00000000-0005-0000-0000-0000B6150000}"/>
    <cellStyle name="20% - Ênfase4 6 2 3 3 2" xfId="5711" xr:uid="{00000000-0005-0000-0000-0000B7150000}"/>
    <cellStyle name="20% - Ênfase4 6 2 3 4" xfId="5712" xr:uid="{00000000-0005-0000-0000-0000B8150000}"/>
    <cellStyle name="20% - Ênfase4 6 2 4" xfId="5713" xr:uid="{00000000-0005-0000-0000-0000B9150000}"/>
    <cellStyle name="20% - Ênfase4 6 2 4 2" xfId="5714" xr:uid="{00000000-0005-0000-0000-0000BA150000}"/>
    <cellStyle name="20% - Ênfase4 6 2 4 2 2" xfId="5715" xr:uid="{00000000-0005-0000-0000-0000BB150000}"/>
    <cellStyle name="20% - Ênfase4 6 2 4 3" xfId="5716" xr:uid="{00000000-0005-0000-0000-0000BC150000}"/>
    <cellStyle name="20% - Ênfase4 6 2 5" xfId="5717" xr:uid="{00000000-0005-0000-0000-0000BD150000}"/>
    <cellStyle name="20% - Ênfase4 6 2 5 2" xfId="5718" xr:uid="{00000000-0005-0000-0000-0000BE150000}"/>
    <cellStyle name="20% - Ênfase4 6 2 6" xfId="5719" xr:uid="{00000000-0005-0000-0000-0000BF150000}"/>
    <cellStyle name="20% - Ênfase4 6 3" xfId="5720" xr:uid="{00000000-0005-0000-0000-0000C0150000}"/>
    <cellStyle name="20% - Ênfase4 6 3 2" xfId="5721" xr:uid="{00000000-0005-0000-0000-0000C1150000}"/>
    <cellStyle name="20% - Ênfase4 6 3 2 2" xfId="5722" xr:uid="{00000000-0005-0000-0000-0000C2150000}"/>
    <cellStyle name="20% - Ênfase4 6 3 2 2 2" xfId="5723" xr:uid="{00000000-0005-0000-0000-0000C3150000}"/>
    <cellStyle name="20% - Ênfase4 6 3 2 3" xfId="5724" xr:uid="{00000000-0005-0000-0000-0000C4150000}"/>
    <cellStyle name="20% - Ênfase4 6 3 2 3 2" xfId="5725" xr:uid="{00000000-0005-0000-0000-0000C5150000}"/>
    <cellStyle name="20% - Ênfase4 6 3 2 4" xfId="5726" xr:uid="{00000000-0005-0000-0000-0000C6150000}"/>
    <cellStyle name="20% - Ênfase4 6 3 3" xfId="5727" xr:uid="{00000000-0005-0000-0000-0000C7150000}"/>
    <cellStyle name="20% - Ênfase4 6 3 3 2" xfId="5728" xr:uid="{00000000-0005-0000-0000-0000C8150000}"/>
    <cellStyle name="20% - Ênfase4 6 3 4" xfId="5729" xr:uid="{00000000-0005-0000-0000-0000C9150000}"/>
    <cellStyle name="20% - Ênfase4 6 3 4 2" xfId="5730" xr:uid="{00000000-0005-0000-0000-0000CA150000}"/>
    <cellStyle name="20% - Ênfase4 6 3 5" xfId="5731" xr:uid="{00000000-0005-0000-0000-0000CB150000}"/>
    <cellStyle name="20% - Ênfase4 6 4" xfId="5732" xr:uid="{00000000-0005-0000-0000-0000CC150000}"/>
    <cellStyle name="20% - Ênfase4 6 4 2" xfId="5733" xr:uid="{00000000-0005-0000-0000-0000CD150000}"/>
    <cellStyle name="20% - Ênfase4 6 4 2 2" xfId="5734" xr:uid="{00000000-0005-0000-0000-0000CE150000}"/>
    <cellStyle name="20% - Ênfase4 6 4 3" xfId="5735" xr:uid="{00000000-0005-0000-0000-0000CF150000}"/>
    <cellStyle name="20% - Ênfase4 6 4 3 2" xfId="5736" xr:uid="{00000000-0005-0000-0000-0000D0150000}"/>
    <cellStyle name="20% - Ênfase4 6 4 4" xfId="5737" xr:uid="{00000000-0005-0000-0000-0000D1150000}"/>
    <cellStyle name="20% - Ênfase4 6 5" xfId="5738" xr:uid="{00000000-0005-0000-0000-0000D2150000}"/>
    <cellStyle name="20% - Ênfase4 6 5 2" xfId="5739" xr:uid="{00000000-0005-0000-0000-0000D3150000}"/>
    <cellStyle name="20% - Ênfase4 6 5 2 2" xfId="5740" xr:uid="{00000000-0005-0000-0000-0000D4150000}"/>
    <cellStyle name="20% - Ênfase4 6 5 3" xfId="5741" xr:uid="{00000000-0005-0000-0000-0000D5150000}"/>
    <cellStyle name="20% - Ênfase4 6 6" xfId="5742" xr:uid="{00000000-0005-0000-0000-0000D6150000}"/>
    <cellStyle name="20% - Ênfase4 6 6 2" xfId="5743" xr:uid="{00000000-0005-0000-0000-0000D7150000}"/>
    <cellStyle name="20% - Ênfase4 6 7" xfId="5744" xr:uid="{00000000-0005-0000-0000-0000D8150000}"/>
    <cellStyle name="20% - Ênfase4 7" xfId="5745" xr:uid="{00000000-0005-0000-0000-0000D9150000}"/>
    <cellStyle name="20% - Ênfase4 7 2" xfId="5746" xr:uid="{00000000-0005-0000-0000-0000DA150000}"/>
    <cellStyle name="20% - Ênfase4 7 2 2" xfId="5747" xr:uid="{00000000-0005-0000-0000-0000DB150000}"/>
    <cellStyle name="20% - Ênfase4 7 2 2 2" xfId="5748" xr:uid="{00000000-0005-0000-0000-0000DC150000}"/>
    <cellStyle name="20% - Ênfase4 7 2 2 2 2" xfId="5749" xr:uid="{00000000-0005-0000-0000-0000DD150000}"/>
    <cellStyle name="20% - Ênfase4 7 2 2 2 2 2" xfId="5750" xr:uid="{00000000-0005-0000-0000-0000DE150000}"/>
    <cellStyle name="20% - Ênfase4 7 2 2 2 3" xfId="5751" xr:uid="{00000000-0005-0000-0000-0000DF150000}"/>
    <cellStyle name="20% - Ênfase4 7 2 2 2 3 2" xfId="5752" xr:uid="{00000000-0005-0000-0000-0000E0150000}"/>
    <cellStyle name="20% - Ênfase4 7 2 2 2 4" xfId="5753" xr:uid="{00000000-0005-0000-0000-0000E1150000}"/>
    <cellStyle name="20% - Ênfase4 7 2 2 3" xfId="5754" xr:uid="{00000000-0005-0000-0000-0000E2150000}"/>
    <cellStyle name="20% - Ênfase4 7 2 2 3 2" xfId="5755" xr:uid="{00000000-0005-0000-0000-0000E3150000}"/>
    <cellStyle name="20% - Ênfase4 7 2 2 4" xfId="5756" xr:uid="{00000000-0005-0000-0000-0000E4150000}"/>
    <cellStyle name="20% - Ênfase4 7 2 2 4 2" xfId="5757" xr:uid="{00000000-0005-0000-0000-0000E5150000}"/>
    <cellStyle name="20% - Ênfase4 7 2 2 5" xfId="5758" xr:uid="{00000000-0005-0000-0000-0000E6150000}"/>
    <cellStyle name="20% - Ênfase4 7 2 3" xfId="5759" xr:uid="{00000000-0005-0000-0000-0000E7150000}"/>
    <cellStyle name="20% - Ênfase4 7 2 3 2" xfId="5760" xr:uid="{00000000-0005-0000-0000-0000E8150000}"/>
    <cellStyle name="20% - Ênfase4 7 2 3 2 2" xfId="5761" xr:uid="{00000000-0005-0000-0000-0000E9150000}"/>
    <cellStyle name="20% - Ênfase4 7 2 3 3" xfId="5762" xr:uid="{00000000-0005-0000-0000-0000EA150000}"/>
    <cellStyle name="20% - Ênfase4 7 2 3 3 2" xfId="5763" xr:uid="{00000000-0005-0000-0000-0000EB150000}"/>
    <cellStyle name="20% - Ênfase4 7 2 3 4" xfId="5764" xr:uid="{00000000-0005-0000-0000-0000EC150000}"/>
    <cellStyle name="20% - Ênfase4 7 2 4" xfId="5765" xr:uid="{00000000-0005-0000-0000-0000ED150000}"/>
    <cellStyle name="20% - Ênfase4 7 2 4 2" xfId="5766" xr:uid="{00000000-0005-0000-0000-0000EE150000}"/>
    <cellStyle name="20% - Ênfase4 7 2 4 2 2" xfId="5767" xr:uid="{00000000-0005-0000-0000-0000EF150000}"/>
    <cellStyle name="20% - Ênfase4 7 2 4 3" xfId="5768" xr:uid="{00000000-0005-0000-0000-0000F0150000}"/>
    <cellStyle name="20% - Ênfase4 7 2 5" xfId="5769" xr:uid="{00000000-0005-0000-0000-0000F1150000}"/>
    <cellStyle name="20% - Ênfase4 7 2 5 2" xfId="5770" xr:uid="{00000000-0005-0000-0000-0000F2150000}"/>
    <cellStyle name="20% - Ênfase4 7 2 6" xfId="5771" xr:uid="{00000000-0005-0000-0000-0000F3150000}"/>
    <cellStyle name="20% - Ênfase4 7 3" xfId="5772" xr:uid="{00000000-0005-0000-0000-0000F4150000}"/>
    <cellStyle name="20% - Ênfase4 7 3 2" xfId="5773" xr:uid="{00000000-0005-0000-0000-0000F5150000}"/>
    <cellStyle name="20% - Ênfase4 7 3 2 2" xfId="5774" xr:uid="{00000000-0005-0000-0000-0000F6150000}"/>
    <cellStyle name="20% - Ênfase4 7 3 2 2 2" xfId="5775" xr:uid="{00000000-0005-0000-0000-0000F7150000}"/>
    <cellStyle name="20% - Ênfase4 7 3 2 3" xfId="5776" xr:uid="{00000000-0005-0000-0000-0000F8150000}"/>
    <cellStyle name="20% - Ênfase4 7 3 2 3 2" xfId="5777" xr:uid="{00000000-0005-0000-0000-0000F9150000}"/>
    <cellStyle name="20% - Ênfase4 7 3 2 4" xfId="5778" xr:uid="{00000000-0005-0000-0000-0000FA150000}"/>
    <cellStyle name="20% - Ênfase4 7 3 3" xfId="5779" xr:uid="{00000000-0005-0000-0000-0000FB150000}"/>
    <cellStyle name="20% - Ênfase4 7 3 3 2" xfId="5780" xr:uid="{00000000-0005-0000-0000-0000FC150000}"/>
    <cellStyle name="20% - Ênfase4 7 3 4" xfId="5781" xr:uid="{00000000-0005-0000-0000-0000FD150000}"/>
    <cellStyle name="20% - Ênfase4 7 3 4 2" xfId="5782" xr:uid="{00000000-0005-0000-0000-0000FE150000}"/>
    <cellStyle name="20% - Ênfase4 7 3 5" xfId="5783" xr:uid="{00000000-0005-0000-0000-0000FF150000}"/>
    <cellStyle name="20% - Ênfase4 7 4" xfId="5784" xr:uid="{00000000-0005-0000-0000-000000160000}"/>
    <cellStyle name="20% - Ênfase4 7 4 2" xfId="5785" xr:uid="{00000000-0005-0000-0000-000001160000}"/>
    <cellStyle name="20% - Ênfase4 7 4 2 2" xfId="5786" xr:uid="{00000000-0005-0000-0000-000002160000}"/>
    <cellStyle name="20% - Ênfase4 7 4 3" xfId="5787" xr:uid="{00000000-0005-0000-0000-000003160000}"/>
    <cellStyle name="20% - Ênfase4 7 4 3 2" xfId="5788" xr:uid="{00000000-0005-0000-0000-000004160000}"/>
    <cellStyle name="20% - Ênfase4 7 4 4" xfId="5789" xr:uid="{00000000-0005-0000-0000-000005160000}"/>
    <cellStyle name="20% - Ênfase4 7 5" xfId="5790" xr:uid="{00000000-0005-0000-0000-000006160000}"/>
    <cellStyle name="20% - Ênfase4 7 5 2" xfId="5791" xr:uid="{00000000-0005-0000-0000-000007160000}"/>
    <cellStyle name="20% - Ênfase4 7 5 2 2" xfId="5792" xr:uid="{00000000-0005-0000-0000-000008160000}"/>
    <cellStyle name="20% - Ênfase4 7 5 3" xfId="5793" xr:uid="{00000000-0005-0000-0000-000009160000}"/>
    <cellStyle name="20% - Ênfase4 7 6" xfId="5794" xr:uid="{00000000-0005-0000-0000-00000A160000}"/>
    <cellStyle name="20% - Ênfase4 7 6 2" xfId="5795" xr:uid="{00000000-0005-0000-0000-00000B160000}"/>
    <cellStyle name="20% - Ênfase4 7 7" xfId="5796" xr:uid="{00000000-0005-0000-0000-00000C160000}"/>
    <cellStyle name="20% - Ênfase4 8" xfId="5797" xr:uid="{00000000-0005-0000-0000-00000D160000}"/>
    <cellStyle name="20% - Ênfase4 8 2" xfId="5798" xr:uid="{00000000-0005-0000-0000-00000E160000}"/>
    <cellStyle name="20% - Ênfase4 8 2 2" xfId="5799" xr:uid="{00000000-0005-0000-0000-00000F160000}"/>
    <cellStyle name="20% - Ênfase4 8 2 2 2" xfId="5800" xr:uid="{00000000-0005-0000-0000-000010160000}"/>
    <cellStyle name="20% - Ênfase4 8 2 2 2 2" xfId="5801" xr:uid="{00000000-0005-0000-0000-000011160000}"/>
    <cellStyle name="20% - Ênfase4 8 2 2 2 2 2" xfId="5802" xr:uid="{00000000-0005-0000-0000-000012160000}"/>
    <cellStyle name="20% - Ênfase4 8 2 2 2 3" xfId="5803" xr:uid="{00000000-0005-0000-0000-000013160000}"/>
    <cellStyle name="20% - Ênfase4 8 2 2 2 3 2" xfId="5804" xr:uid="{00000000-0005-0000-0000-000014160000}"/>
    <cellStyle name="20% - Ênfase4 8 2 2 2 4" xfId="5805" xr:uid="{00000000-0005-0000-0000-000015160000}"/>
    <cellStyle name="20% - Ênfase4 8 2 2 3" xfId="5806" xr:uid="{00000000-0005-0000-0000-000016160000}"/>
    <cellStyle name="20% - Ênfase4 8 2 2 3 2" xfId="5807" xr:uid="{00000000-0005-0000-0000-000017160000}"/>
    <cellStyle name="20% - Ênfase4 8 2 2 4" xfId="5808" xr:uid="{00000000-0005-0000-0000-000018160000}"/>
    <cellStyle name="20% - Ênfase4 8 2 2 4 2" xfId="5809" xr:uid="{00000000-0005-0000-0000-000019160000}"/>
    <cellStyle name="20% - Ênfase4 8 2 2 5" xfId="5810" xr:uid="{00000000-0005-0000-0000-00001A160000}"/>
    <cellStyle name="20% - Ênfase4 8 2 3" xfId="5811" xr:uid="{00000000-0005-0000-0000-00001B160000}"/>
    <cellStyle name="20% - Ênfase4 8 2 3 2" xfId="5812" xr:uid="{00000000-0005-0000-0000-00001C160000}"/>
    <cellStyle name="20% - Ênfase4 8 2 3 2 2" xfId="5813" xr:uid="{00000000-0005-0000-0000-00001D160000}"/>
    <cellStyle name="20% - Ênfase4 8 2 3 3" xfId="5814" xr:uid="{00000000-0005-0000-0000-00001E160000}"/>
    <cellStyle name="20% - Ênfase4 8 2 3 3 2" xfId="5815" xr:uid="{00000000-0005-0000-0000-00001F160000}"/>
    <cellStyle name="20% - Ênfase4 8 2 3 4" xfId="5816" xr:uid="{00000000-0005-0000-0000-000020160000}"/>
    <cellStyle name="20% - Ênfase4 8 2 4" xfId="5817" xr:uid="{00000000-0005-0000-0000-000021160000}"/>
    <cellStyle name="20% - Ênfase4 8 2 4 2" xfId="5818" xr:uid="{00000000-0005-0000-0000-000022160000}"/>
    <cellStyle name="20% - Ênfase4 8 2 4 2 2" xfId="5819" xr:uid="{00000000-0005-0000-0000-000023160000}"/>
    <cellStyle name="20% - Ênfase4 8 2 4 3" xfId="5820" xr:uid="{00000000-0005-0000-0000-000024160000}"/>
    <cellStyle name="20% - Ênfase4 8 2 5" xfId="5821" xr:uid="{00000000-0005-0000-0000-000025160000}"/>
    <cellStyle name="20% - Ênfase4 8 2 5 2" xfId="5822" xr:uid="{00000000-0005-0000-0000-000026160000}"/>
    <cellStyle name="20% - Ênfase4 8 2 6" xfId="5823" xr:uid="{00000000-0005-0000-0000-000027160000}"/>
    <cellStyle name="20% - Ênfase4 8 3" xfId="5824" xr:uid="{00000000-0005-0000-0000-000028160000}"/>
    <cellStyle name="20% - Ênfase4 8 3 2" xfId="5825" xr:uid="{00000000-0005-0000-0000-000029160000}"/>
    <cellStyle name="20% - Ênfase4 8 3 2 2" xfId="5826" xr:uid="{00000000-0005-0000-0000-00002A160000}"/>
    <cellStyle name="20% - Ênfase4 8 3 2 2 2" xfId="5827" xr:uid="{00000000-0005-0000-0000-00002B160000}"/>
    <cellStyle name="20% - Ênfase4 8 3 2 3" xfId="5828" xr:uid="{00000000-0005-0000-0000-00002C160000}"/>
    <cellStyle name="20% - Ênfase4 8 3 2 3 2" xfId="5829" xr:uid="{00000000-0005-0000-0000-00002D160000}"/>
    <cellStyle name="20% - Ênfase4 8 3 2 4" xfId="5830" xr:uid="{00000000-0005-0000-0000-00002E160000}"/>
    <cellStyle name="20% - Ênfase4 8 3 3" xfId="5831" xr:uid="{00000000-0005-0000-0000-00002F160000}"/>
    <cellStyle name="20% - Ênfase4 8 3 3 2" xfId="5832" xr:uid="{00000000-0005-0000-0000-000030160000}"/>
    <cellStyle name="20% - Ênfase4 8 3 4" xfId="5833" xr:uid="{00000000-0005-0000-0000-000031160000}"/>
    <cellStyle name="20% - Ênfase4 8 3 4 2" xfId="5834" xr:uid="{00000000-0005-0000-0000-000032160000}"/>
    <cellStyle name="20% - Ênfase4 8 3 5" xfId="5835" xr:uid="{00000000-0005-0000-0000-000033160000}"/>
    <cellStyle name="20% - Ênfase4 8 4" xfId="5836" xr:uid="{00000000-0005-0000-0000-000034160000}"/>
    <cellStyle name="20% - Ênfase4 8 4 2" xfId="5837" xr:uid="{00000000-0005-0000-0000-000035160000}"/>
    <cellStyle name="20% - Ênfase4 8 4 2 2" xfId="5838" xr:uid="{00000000-0005-0000-0000-000036160000}"/>
    <cellStyle name="20% - Ênfase4 8 4 3" xfId="5839" xr:uid="{00000000-0005-0000-0000-000037160000}"/>
    <cellStyle name="20% - Ênfase4 8 4 3 2" xfId="5840" xr:uid="{00000000-0005-0000-0000-000038160000}"/>
    <cellStyle name="20% - Ênfase4 8 4 4" xfId="5841" xr:uid="{00000000-0005-0000-0000-000039160000}"/>
    <cellStyle name="20% - Ênfase4 8 5" xfId="5842" xr:uid="{00000000-0005-0000-0000-00003A160000}"/>
    <cellStyle name="20% - Ênfase4 8 5 2" xfId="5843" xr:uid="{00000000-0005-0000-0000-00003B160000}"/>
    <cellStyle name="20% - Ênfase4 8 5 2 2" xfId="5844" xr:uid="{00000000-0005-0000-0000-00003C160000}"/>
    <cellStyle name="20% - Ênfase4 8 5 3" xfId="5845" xr:uid="{00000000-0005-0000-0000-00003D160000}"/>
    <cellStyle name="20% - Ênfase4 8 6" xfId="5846" xr:uid="{00000000-0005-0000-0000-00003E160000}"/>
    <cellStyle name="20% - Ênfase4 8 6 2" xfId="5847" xr:uid="{00000000-0005-0000-0000-00003F160000}"/>
    <cellStyle name="20% - Ênfase4 8 7" xfId="5848" xr:uid="{00000000-0005-0000-0000-000040160000}"/>
    <cellStyle name="20% - Ênfase4 9" xfId="5849" xr:uid="{00000000-0005-0000-0000-000041160000}"/>
    <cellStyle name="20% - Ênfase4 9 2" xfId="5850" xr:uid="{00000000-0005-0000-0000-000042160000}"/>
    <cellStyle name="20% - Ênfase4 9 2 2" xfId="5851" xr:uid="{00000000-0005-0000-0000-000043160000}"/>
    <cellStyle name="20% - Ênfase4 9 2 2 2" xfId="5852" xr:uid="{00000000-0005-0000-0000-000044160000}"/>
    <cellStyle name="20% - Ênfase4 9 2 2 2 2" xfId="5853" xr:uid="{00000000-0005-0000-0000-000045160000}"/>
    <cellStyle name="20% - Ênfase4 9 2 2 2 2 2" xfId="5854" xr:uid="{00000000-0005-0000-0000-000046160000}"/>
    <cellStyle name="20% - Ênfase4 9 2 2 2 3" xfId="5855" xr:uid="{00000000-0005-0000-0000-000047160000}"/>
    <cellStyle name="20% - Ênfase4 9 2 2 2 3 2" xfId="5856" xr:uid="{00000000-0005-0000-0000-000048160000}"/>
    <cellStyle name="20% - Ênfase4 9 2 2 2 4" xfId="5857" xr:uid="{00000000-0005-0000-0000-000049160000}"/>
    <cellStyle name="20% - Ênfase4 9 2 2 3" xfId="5858" xr:uid="{00000000-0005-0000-0000-00004A160000}"/>
    <cellStyle name="20% - Ênfase4 9 2 2 3 2" xfId="5859" xr:uid="{00000000-0005-0000-0000-00004B160000}"/>
    <cellStyle name="20% - Ênfase4 9 2 2 4" xfId="5860" xr:uid="{00000000-0005-0000-0000-00004C160000}"/>
    <cellStyle name="20% - Ênfase4 9 2 2 4 2" xfId="5861" xr:uid="{00000000-0005-0000-0000-00004D160000}"/>
    <cellStyle name="20% - Ênfase4 9 2 2 5" xfId="5862" xr:uid="{00000000-0005-0000-0000-00004E160000}"/>
    <cellStyle name="20% - Ênfase4 9 2 3" xfId="5863" xr:uid="{00000000-0005-0000-0000-00004F160000}"/>
    <cellStyle name="20% - Ênfase4 9 2 3 2" xfId="5864" xr:uid="{00000000-0005-0000-0000-000050160000}"/>
    <cellStyle name="20% - Ênfase4 9 2 3 2 2" xfId="5865" xr:uid="{00000000-0005-0000-0000-000051160000}"/>
    <cellStyle name="20% - Ênfase4 9 2 3 3" xfId="5866" xr:uid="{00000000-0005-0000-0000-000052160000}"/>
    <cellStyle name="20% - Ênfase4 9 2 3 3 2" xfId="5867" xr:uid="{00000000-0005-0000-0000-000053160000}"/>
    <cellStyle name="20% - Ênfase4 9 2 3 4" xfId="5868" xr:uid="{00000000-0005-0000-0000-000054160000}"/>
    <cellStyle name="20% - Ênfase4 9 2 4" xfId="5869" xr:uid="{00000000-0005-0000-0000-000055160000}"/>
    <cellStyle name="20% - Ênfase4 9 2 4 2" xfId="5870" xr:uid="{00000000-0005-0000-0000-000056160000}"/>
    <cellStyle name="20% - Ênfase4 9 2 4 2 2" xfId="5871" xr:uid="{00000000-0005-0000-0000-000057160000}"/>
    <cellStyle name="20% - Ênfase4 9 2 4 3" xfId="5872" xr:uid="{00000000-0005-0000-0000-000058160000}"/>
    <cellStyle name="20% - Ênfase4 9 2 5" xfId="5873" xr:uid="{00000000-0005-0000-0000-000059160000}"/>
    <cellStyle name="20% - Ênfase4 9 2 5 2" xfId="5874" xr:uid="{00000000-0005-0000-0000-00005A160000}"/>
    <cellStyle name="20% - Ênfase4 9 2 6" xfId="5875" xr:uid="{00000000-0005-0000-0000-00005B160000}"/>
    <cellStyle name="20% - Ênfase4 9 3" xfId="5876" xr:uid="{00000000-0005-0000-0000-00005C160000}"/>
    <cellStyle name="20% - Ênfase4 9 3 2" xfId="5877" xr:uid="{00000000-0005-0000-0000-00005D160000}"/>
    <cellStyle name="20% - Ênfase4 9 3 2 2" xfId="5878" xr:uid="{00000000-0005-0000-0000-00005E160000}"/>
    <cellStyle name="20% - Ênfase4 9 3 2 2 2" xfId="5879" xr:uid="{00000000-0005-0000-0000-00005F160000}"/>
    <cellStyle name="20% - Ênfase4 9 3 2 3" xfId="5880" xr:uid="{00000000-0005-0000-0000-000060160000}"/>
    <cellStyle name="20% - Ênfase4 9 3 2 3 2" xfId="5881" xr:uid="{00000000-0005-0000-0000-000061160000}"/>
    <cellStyle name="20% - Ênfase4 9 3 2 4" xfId="5882" xr:uid="{00000000-0005-0000-0000-000062160000}"/>
    <cellStyle name="20% - Ênfase4 9 3 3" xfId="5883" xr:uid="{00000000-0005-0000-0000-000063160000}"/>
    <cellStyle name="20% - Ênfase4 9 3 3 2" xfId="5884" xr:uid="{00000000-0005-0000-0000-000064160000}"/>
    <cellStyle name="20% - Ênfase4 9 3 4" xfId="5885" xr:uid="{00000000-0005-0000-0000-000065160000}"/>
    <cellStyle name="20% - Ênfase4 9 3 4 2" xfId="5886" xr:uid="{00000000-0005-0000-0000-000066160000}"/>
    <cellStyle name="20% - Ênfase4 9 3 5" xfId="5887" xr:uid="{00000000-0005-0000-0000-000067160000}"/>
    <cellStyle name="20% - Ênfase4 9 4" xfId="5888" xr:uid="{00000000-0005-0000-0000-000068160000}"/>
    <cellStyle name="20% - Ênfase4 9 4 2" xfId="5889" xr:uid="{00000000-0005-0000-0000-000069160000}"/>
    <cellStyle name="20% - Ênfase4 9 4 2 2" xfId="5890" xr:uid="{00000000-0005-0000-0000-00006A160000}"/>
    <cellStyle name="20% - Ênfase4 9 4 3" xfId="5891" xr:uid="{00000000-0005-0000-0000-00006B160000}"/>
    <cellStyle name="20% - Ênfase4 9 4 3 2" xfId="5892" xr:uid="{00000000-0005-0000-0000-00006C160000}"/>
    <cellStyle name="20% - Ênfase4 9 4 4" xfId="5893" xr:uid="{00000000-0005-0000-0000-00006D160000}"/>
    <cellStyle name="20% - Ênfase4 9 5" xfId="5894" xr:uid="{00000000-0005-0000-0000-00006E160000}"/>
    <cellStyle name="20% - Ênfase4 9 5 2" xfId="5895" xr:uid="{00000000-0005-0000-0000-00006F160000}"/>
    <cellStyle name="20% - Ênfase4 9 5 2 2" xfId="5896" xr:uid="{00000000-0005-0000-0000-000070160000}"/>
    <cellStyle name="20% - Ênfase4 9 5 3" xfId="5897" xr:uid="{00000000-0005-0000-0000-000071160000}"/>
    <cellStyle name="20% - Ênfase4 9 6" xfId="5898" xr:uid="{00000000-0005-0000-0000-000072160000}"/>
    <cellStyle name="20% - Ênfase4 9 6 2" xfId="5899" xr:uid="{00000000-0005-0000-0000-000073160000}"/>
    <cellStyle name="20% - Ênfase4 9 7" xfId="5900" xr:uid="{00000000-0005-0000-0000-000074160000}"/>
    <cellStyle name="20% - Ênfase5 10" xfId="5901" xr:uid="{00000000-0005-0000-0000-000075160000}"/>
    <cellStyle name="20% - Ênfase5 10 2" xfId="5902" xr:uid="{00000000-0005-0000-0000-000076160000}"/>
    <cellStyle name="20% - Ênfase5 10 2 2" xfId="5903" xr:uid="{00000000-0005-0000-0000-000077160000}"/>
    <cellStyle name="20% - Ênfase5 10 2 2 2" xfId="5904" xr:uid="{00000000-0005-0000-0000-000078160000}"/>
    <cellStyle name="20% - Ênfase5 10 2 2 2 2" xfId="5905" xr:uid="{00000000-0005-0000-0000-000079160000}"/>
    <cellStyle name="20% - Ênfase5 10 2 2 2 2 2" xfId="5906" xr:uid="{00000000-0005-0000-0000-00007A160000}"/>
    <cellStyle name="20% - Ênfase5 10 2 2 2 3" xfId="5907" xr:uid="{00000000-0005-0000-0000-00007B160000}"/>
    <cellStyle name="20% - Ênfase5 10 2 2 2 3 2" xfId="5908" xr:uid="{00000000-0005-0000-0000-00007C160000}"/>
    <cellStyle name="20% - Ênfase5 10 2 2 2 4" xfId="5909" xr:uid="{00000000-0005-0000-0000-00007D160000}"/>
    <cellStyle name="20% - Ênfase5 10 2 2 3" xfId="5910" xr:uid="{00000000-0005-0000-0000-00007E160000}"/>
    <cellStyle name="20% - Ênfase5 10 2 2 3 2" xfId="5911" xr:uid="{00000000-0005-0000-0000-00007F160000}"/>
    <cellStyle name="20% - Ênfase5 10 2 2 4" xfId="5912" xr:uid="{00000000-0005-0000-0000-000080160000}"/>
    <cellStyle name="20% - Ênfase5 10 2 2 4 2" xfId="5913" xr:uid="{00000000-0005-0000-0000-000081160000}"/>
    <cellStyle name="20% - Ênfase5 10 2 2 5" xfId="5914" xr:uid="{00000000-0005-0000-0000-000082160000}"/>
    <cellStyle name="20% - Ênfase5 10 2 3" xfId="5915" xr:uid="{00000000-0005-0000-0000-000083160000}"/>
    <cellStyle name="20% - Ênfase5 10 2 3 2" xfId="5916" xr:uid="{00000000-0005-0000-0000-000084160000}"/>
    <cellStyle name="20% - Ênfase5 10 2 3 2 2" xfId="5917" xr:uid="{00000000-0005-0000-0000-000085160000}"/>
    <cellStyle name="20% - Ênfase5 10 2 3 3" xfId="5918" xr:uid="{00000000-0005-0000-0000-000086160000}"/>
    <cellStyle name="20% - Ênfase5 10 2 3 3 2" xfId="5919" xr:uid="{00000000-0005-0000-0000-000087160000}"/>
    <cellStyle name="20% - Ênfase5 10 2 3 4" xfId="5920" xr:uid="{00000000-0005-0000-0000-000088160000}"/>
    <cellStyle name="20% - Ênfase5 10 2 4" xfId="5921" xr:uid="{00000000-0005-0000-0000-000089160000}"/>
    <cellStyle name="20% - Ênfase5 10 2 4 2" xfId="5922" xr:uid="{00000000-0005-0000-0000-00008A160000}"/>
    <cellStyle name="20% - Ênfase5 10 2 4 2 2" xfId="5923" xr:uid="{00000000-0005-0000-0000-00008B160000}"/>
    <cellStyle name="20% - Ênfase5 10 2 4 3" xfId="5924" xr:uid="{00000000-0005-0000-0000-00008C160000}"/>
    <cellStyle name="20% - Ênfase5 10 2 5" xfId="5925" xr:uid="{00000000-0005-0000-0000-00008D160000}"/>
    <cellStyle name="20% - Ênfase5 10 2 5 2" xfId="5926" xr:uid="{00000000-0005-0000-0000-00008E160000}"/>
    <cellStyle name="20% - Ênfase5 10 2 6" xfId="5927" xr:uid="{00000000-0005-0000-0000-00008F160000}"/>
    <cellStyle name="20% - Ênfase5 10 3" xfId="5928" xr:uid="{00000000-0005-0000-0000-000090160000}"/>
    <cellStyle name="20% - Ênfase5 10 3 2" xfId="5929" xr:uid="{00000000-0005-0000-0000-000091160000}"/>
    <cellStyle name="20% - Ênfase5 10 3 2 2" xfId="5930" xr:uid="{00000000-0005-0000-0000-000092160000}"/>
    <cellStyle name="20% - Ênfase5 10 3 2 2 2" xfId="5931" xr:uid="{00000000-0005-0000-0000-000093160000}"/>
    <cellStyle name="20% - Ênfase5 10 3 2 3" xfId="5932" xr:uid="{00000000-0005-0000-0000-000094160000}"/>
    <cellStyle name="20% - Ênfase5 10 3 2 3 2" xfId="5933" xr:uid="{00000000-0005-0000-0000-000095160000}"/>
    <cellStyle name="20% - Ênfase5 10 3 2 4" xfId="5934" xr:uid="{00000000-0005-0000-0000-000096160000}"/>
    <cellStyle name="20% - Ênfase5 10 3 3" xfId="5935" xr:uid="{00000000-0005-0000-0000-000097160000}"/>
    <cellStyle name="20% - Ênfase5 10 3 3 2" xfId="5936" xr:uid="{00000000-0005-0000-0000-000098160000}"/>
    <cellStyle name="20% - Ênfase5 10 3 4" xfId="5937" xr:uid="{00000000-0005-0000-0000-000099160000}"/>
    <cellStyle name="20% - Ênfase5 10 3 4 2" xfId="5938" xr:uid="{00000000-0005-0000-0000-00009A160000}"/>
    <cellStyle name="20% - Ênfase5 10 3 5" xfId="5939" xr:uid="{00000000-0005-0000-0000-00009B160000}"/>
    <cellStyle name="20% - Ênfase5 10 4" xfId="5940" xr:uid="{00000000-0005-0000-0000-00009C160000}"/>
    <cellStyle name="20% - Ênfase5 10 4 2" xfId="5941" xr:uid="{00000000-0005-0000-0000-00009D160000}"/>
    <cellStyle name="20% - Ênfase5 10 4 2 2" xfId="5942" xr:uid="{00000000-0005-0000-0000-00009E160000}"/>
    <cellStyle name="20% - Ênfase5 10 4 3" xfId="5943" xr:uid="{00000000-0005-0000-0000-00009F160000}"/>
    <cellStyle name="20% - Ênfase5 10 4 3 2" xfId="5944" xr:uid="{00000000-0005-0000-0000-0000A0160000}"/>
    <cellStyle name="20% - Ênfase5 10 4 4" xfId="5945" xr:uid="{00000000-0005-0000-0000-0000A1160000}"/>
    <cellStyle name="20% - Ênfase5 10 5" xfId="5946" xr:uid="{00000000-0005-0000-0000-0000A2160000}"/>
    <cellStyle name="20% - Ênfase5 10 5 2" xfId="5947" xr:uid="{00000000-0005-0000-0000-0000A3160000}"/>
    <cellStyle name="20% - Ênfase5 10 5 2 2" xfId="5948" xr:uid="{00000000-0005-0000-0000-0000A4160000}"/>
    <cellStyle name="20% - Ênfase5 10 5 3" xfId="5949" xr:uid="{00000000-0005-0000-0000-0000A5160000}"/>
    <cellStyle name="20% - Ênfase5 10 6" xfId="5950" xr:uid="{00000000-0005-0000-0000-0000A6160000}"/>
    <cellStyle name="20% - Ênfase5 10 6 2" xfId="5951" xr:uid="{00000000-0005-0000-0000-0000A7160000}"/>
    <cellStyle name="20% - Ênfase5 10 7" xfId="5952" xr:uid="{00000000-0005-0000-0000-0000A8160000}"/>
    <cellStyle name="20% - Ênfase5 11" xfId="5953" xr:uid="{00000000-0005-0000-0000-0000A9160000}"/>
    <cellStyle name="20% - Ênfase5 11 2" xfId="5954" xr:uid="{00000000-0005-0000-0000-0000AA160000}"/>
    <cellStyle name="20% - Ênfase5 11 2 2" xfId="5955" xr:uid="{00000000-0005-0000-0000-0000AB160000}"/>
    <cellStyle name="20% - Ênfase5 11 2 2 2" xfId="5956" xr:uid="{00000000-0005-0000-0000-0000AC160000}"/>
    <cellStyle name="20% - Ênfase5 11 2 2 2 2" xfId="5957" xr:uid="{00000000-0005-0000-0000-0000AD160000}"/>
    <cellStyle name="20% - Ênfase5 11 2 2 2 2 2" xfId="5958" xr:uid="{00000000-0005-0000-0000-0000AE160000}"/>
    <cellStyle name="20% - Ênfase5 11 2 2 2 3" xfId="5959" xr:uid="{00000000-0005-0000-0000-0000AF160000}"/>
    <cellStyle name="20% - Ênfase5 11 2 2 2 3 2" xfId="5960" xr:uid="{00000000-0005-0000-0000-0000B0160000}"/>
    <cellStyle name="20% - Ênfase5 11 2 2 2 4" xfId="5961" xr:uid="{00000000-0005-0000-0000-0000B1160000}"/>
    <cellStyle name="20% - Ênfase5 11 2 2 3" xfId="5962" xr:uid="{00000000-0005-0000-0000-0000B2160000}"/>
    <cellStyle name="20% - Ênfase5 11 2 2 3 2" xfId="5963" xr:uid="{00000000-0005-0000-0000-0000B3160000}"/>
    <cellStyle name="20% - Ênfase5 11 2 2 4" xfId="5964" xr:uid="{00000000-0005-0000-0000-0000B4160000}"/>
    <cellStyle name="20% - Ênfase5 11 2 2 4 2" xfId="5965" xr:uid="{00000000-0005-0000-0000-0000B5160000}"/>
    <cellStyle name="20% - Ênfase5 11 2 2 5" xfId="5966" xr:uid="{00000000-0005-0000-0000-0000B6160000}"/>
    <cellStyle name="20% - Ênfase5 11 2 3" xfId="5967" xr:uid="{00000000-0005-0000-0000-0000B7160000}"/>
    <cellStyle name="20% - Ênfase5 11 2 3 2" xfId="5968" xr:uid="{00000000-0005-0000-0000-0000B8160000}"/>
    <cellStyle name="20% - Ênfase5 11 2 3 2 2" xfId="5969" xr:uid="{00000000-0005-0000-0000-0000B9160000}"/>
    <cellStyle name="20% - Ênfase5 11 2 3 3" xfId="5970" xr:uid="{00000000-0005-0000-0000-0000BA160000}"/>
    <cellStyle name="20% - Ênfase5 11 2 3 3 2" xfId="5971" xr:uid="{00000000-0005-0000-0000-0000BB160000}"/>
    <cellStyle name="20% - Ênfase5 11 2 3 4" xfId="5972" xr:uid="{00000000-0005-0000-0000-0000BC160000}"/>
    <cellStyle name="20% - Ênfase5 11 2 4" xfId="5973" xr:uid="{00000000-0005-0000-0000-0000BD160000}"/>
    <cellStyle name="20% - Ênfase5 11 2 4 2" xfId="5974" xr:uid="{00000000-0005-0000-0000-0000BE160000}"/>
    <cellStyle name="20% - Ênfase5 11 2 4 2 2" xfId="5975" xr:uid="{00000000-0005-0000-0000-0000BF160000}"/>
    <cellStyle name="20% - Ênfase5 11 2 4 3" xfId="5976" xr:uid="{00000000-0005-0000-0000-0000C0160000}"/>
    <cellStyle name="20% - Ênfase5 11 2 5" xfId="5977" xr:uid="{00000000-0005-0000-0000-0000C1160000}"/>
    <cellStyle name="20% - Ênfase5 11 2 5 2" xfId="5978" xr:uid="{00000000-0005-0000-0000-0000C2160000}"/>
    <cellStyle name="20% - Ênfase5 11 2 6" xfId="5979" xr:uid="{00000000-0005-0000-0000-0000C3160000}"/>
    <cellStyle name="20% - Ênfase5 11 3" xfId="5980" xr:uid="{00000000-0005-0000-0000-0000C4160000}"/>
    <cellStyle name="20% - Ênfase5 11 3 2" xfId="5981" xr:uid="{00000000-0005-0000-0000-0000C5160000}"/>
    <cellStyle name="20% - Ênfase5 11 3 2 2" xfId="5982" xr:uid="{00000000-0005-0000-0000-0000C6160000}"/>
    <cellStyle name="20% - Ênfase5 11 3 2 2 2" xfId="5983" xr:uid="{00000000-0005-0000-0000-0000C7160000}"/>
    <cellStyle name="20% - Ênfase5 11 3 2 3" xfId="5984" xr:uid="{00000000-0005-0000-0000-0000C8160000}"/>
    <cellStyle name="20% - Ênfase5 11 3 2 3 2" xfId="5985" xr:uid="{00000000-0005-0000-0000-0000C9160000}"/>
    <cellStyle name="20% - Ênfase5 11 3 2 4" xfId="5986" xr:uid="{00000000-0005-0000-0000-0000CA160000}"/>
    <cellStyle name="20% - Ênfase5 11 3 3" xfId="5987" xr:uid="{00000000-0005-0000-0000-0000CB160000}"/>
    <cellStyle name="20% - Ênfase5 11 3 3 2" xfId="5988" xr:uid="{00000000-0005-0000-0000-0000CC160000}"/>
    <cellStyle name="20% - Ênfase5 11 3 4" xfId="5989" xr:uid="{00000000-0005-0000-0000-0000CD160000}"/>
    <cellStyle name="20% - Ênfase5 11 3 4 2" xfId="5990" xr:uid="{00000000-0005-0000-0000-0000CE160000}"/>
    <cellStyle name="20% - Ênfase5 11 3 5" xfId="5991" xr:uid="{00000000-0005-0000-0000-0000CF160000}"/>
    <cellStyle name="20% - Ênfase5 11 4" xfId="5992" xr:uid="{00000000-0005-0000-0000-0000D0160000}"/>
    <cellStyle name="20% - Ênfase5 11 4 2" xfId="5993" xr:uid="{00000000-0005-0000-0000-0000D1160000}"/>
    <cellStyle name="20% - Ênfase5 11 4 2 2" xfId="5994" xr:uid="{00000000-0005-0000-0000-0000D2160000}"/>
    <cellStyle name="20% - Ênfase5 11 4 3" xfId="5995" xr:uid="{00000000-0005-0000-0000-0000D3160000}"/>
    <cellStyle name="20% - Ênfase5 11 4 3 2" xfId="5996" xr:uid="{00000000-0005-0000-0000-0000D4160000}"/>
    <cellStyle name="20% - Ênfase5 11 4 4" xfId="5997" xr:uid="{00000000-0005-0000-0000-0000D5160000}"/>
    <cellStyle name="20% - Ênfase5 11 5" xfId="5998" xr:uid="{00000000-0005-0000-0000-0000D6160000}"/>
    <cellStyle name="20% - Ênfase5 11 5 2" xfId="5999" xr:uid="{00000000-0005-0000-0000-0000D7160000}"/>
    <cellStyle name="20% - Ênfase5 11 5 2 2" xfId="6000" xr:uid="{00000000-0005-0000-0000-0000D8160000}"/>
    <cellStyle name="20% - Ênfase5 11 5 3" xfId="6001" xr:uid="{00000000-0005-0000-0000-0000D9160000}"/>
    <cellStyle name="20% - Ênfase5 11 6" xfId="6002" xr:uid="{00000000-0005-0000-0000-0000DA160000}"/>
    <cellStyle name="20% - Ênfase5 11 6 2" xfId="6003" xr:uid="{00000000-0005-0000-0000-0000DB160000}"/>
    <cellStyle name="20% - Ênfase5 11 7" xfId="6004" xr:uid="{00000000-0005-0000-0000-0000DC160000}"/>
    <cellStyle name="20% - Ênfase5 12" xfId="6005" xr:uid="{00000000-0005-0000-0000-0000DD160000}"/>
    <cellStyle name="20% - Ênfase5 12 2" xfId="6006" xr:uid="{00000000-0005-0000-0000-0000DE160000}"/>
    <cellStyle name="20% - Ênfase5 12 2 2" xfId="6007" xr:uid="{00000000-0005-0000-0000-0000DF160000}"/>
    <cellStyle name="20% - Ênfase5 12 2 2 2" xfId="6008" xr:uid="{00000000-0005-0000-0000-0000E0160000}"/>
    <cellStyle name="20% - Ênfase5 12 2 2 2 2" xfId="6009" xr:uid="{00000000-0005-0000-0000-0000E1160000}"/>
    <cellStyle name="20% - Ênfase5 12 2 2 2 2 2" xfId="6010" xr:uid="{00000000-0005-0000-0000-0000E2160000}"/>
    <cellStyle name="20% - Ênfase5 12 2 2 2 3" xfId="6011" xr:uid="{00000000-0005-0000-0000-0000E3160000}"/>
    <cellStyle name="20% - Ênfase5 12 2 2 2 3 2" xfId="6012" xr:uid="{00000000-0005-0000-0000-0000E4160000}"/>
    <cellStyle name="20% - Ênfase5 12 2 2 2 4" xfId="6013" xr:uid="{00000000-0005-0000-0000-0000E5160000}"/>
    <cellStyle name="20% - Ênfase5 12 2 2 3" xfId="6014" xr:uid="{00000000-0005-0000-0000-0000E6160000}"/>
    <cellStyle name="20% - Ênfase5 12 2 2 3 2" xfId="6015" xr:uid="{00000000-0005-0000-0000-0000E7160000}"/>
    <cellStyle name="20% - Ênfase5 12 2 2 4" xfId="6016" xr:uid="{00000000-0005-0000-0000-0000E8160000}"/>
    <cellStyle name="20% - Ênfase5 12 2 2 4 2" xfId="6017" xr:uid="{00000000-0005-0000-0000-0000E9160000}"/>
    <cellStyle name="20% - Ênfase5 12 2 2 5" xfId="6018" xr:uid="{00000000-0005-0000-0000-0000EA160000}"/>
    <cellStyle name="20% - Ênfase5 12 2 3" xfId="6019" xr:uid="{00000000-0005-0000-0000-0000EB160000}"/>
    <cellStyle name="20% - Ênfase5 12 2 3 2" xfId="6020" xr:uid="{00000000-0005-0000-0000-0000EC160000}"/>
    <cellStyle name="20% - Ênfase5 12 2 3 2 2" xfId="6021" xr:uid="{00000000-0005-0000-0000-0000ED160000}"/>
    <cellStyle name="20% - Ênfase5 12 2 3 3" xfId="6022" xr:uid="{00000000-0005-0000-0000-0000EE160000}"/>
    <cellStyle name="20% - Ênfase5 12 2 3 3 2" xfId="6023" xr:uid="{00000000-0005-0000-0000-0000EF160000}"/>
    <cellStyle name="20% - Ênfase5 12 2 3 4" xfId="6024" xr:uid="{00000000-0005-0000-0000-0000F0160000}"/>
    <cellStyle name="20% - Ênfase5 12 2 4" xfId="6025" xr:uid="{00000000-0005-0000-0000-0000F1160000}"/>
    <cellStyle name="20% - Ênfase5 12 2 4 2" xfId="6026" xr:uid="{00000000-0005-0000-0000-0000F2160000}"/>
    <cellStyle name="20% - Ênfase5 12 2 4 2 2" xfId="6027" xr:uid="{00000000-0005-0000-0000-0000F3160000}"/>
    <cellStyle name="20% - Ênfase5 12 2 4 3" xfId="6028" xr:uid="{00000000-0005-0000-0000-0000F4160000}"/>
    <cellStyle name="20% - Ênfase5 12 2 5" xfId="6029" xr:uid="{00000000-0005-0000-0000-0000F5160000}"/>
    <cellStyle name="20% - Ênfase5 12 2 5 2" xfId="6030" xr:uid="{00000000-0005-0000-0000-0000F6160000}"/>
    <cellStyle name="20% - Ênfase5 12 2 6" xfId="6031" xr:uid="{00000000-0005-0000-0000-0000F7160000}"/>
    <cellStyle name="20% - Ênfase5 12 3" xfId="6032" xr:uid="{00000000-0005-0000-0000-0000F8160000}"/>
    <cellStyle name="20% - Ênfase5 12 3 2" xfId="6033" xr:uid="{00000000-0005-0000-0000-0000F9160000}"/>
    <cellStyle name="20% - Ênfase5 12 3 2 2" xfId="6034" xr:uid="{00000000-0005-0000-0000-0000FA160000}"/>
    <cellStyle name="20% - Ênfase5 12 3 2 2 2" xfId="6035" xr:uid="{00000000-0005-0000-0000-0000FB160000}"/>
    <cellStyle name="20% - Ênfase5 12 3 2 3" xfId="6036" xr:uid="{00000000-0005-0000-0000-0000FC160000}"/>
    <cellStyle name="20% - Ênfase5 12 3 2 3 2" xfId="6037" xr:uid="{00000000-0005-0000-0000-0000FD160000}"/>
    <cellStyle name="20% - Ênfase5 12 3 2 4" xfId="6038" xr:uid="{00000000-0005-0000-0000-0000FE160000}"/>
    <cellStyle name="20% - Ênfase5 12 3 3" xfId="6039" xr:uid="{00000000-0005-0000-0000-0000FF160000}"/>
    <cellStyle name="20% - Ênfase5 12 3 3 2" xfId="6040" xr:uid="{00000000-0005-0000-0000-000000170000}"/>
    <cellStyle name="20% - Ênfase5 12 3 4" xfId="6041" xr:uid="{00000000-0005-0000-0000-000001170000}"/>
    <cellStyle name="20% - Ênfase5 12 3 4 2" xfId="6042" xr:uid="{00000000-0005-0000-0000-000002170000}"/>
    <cellStyle name="20% - Ênfase5 12 3 5" xfId="6043" xr:uid="{00000000-0005-0000-0000-000003170000}"/>
    <cellStyle name="20% - Ênfase5 12 4" xfId="6044" xr:uid="{00000000-0005-0000-0000-000004170000}"/>
    <cellStyle name="20% - Ênfase5 12 4 2" xfId="6045" xr:uid="{00000000-0005-0000-0000-000005170000}"/>
    <cellStyle name="20% - Ênfase5 12 4 2 2" xfId="6046" xr:uid="{00000000-0005-0000-0000-000006170000}"/>
    <cellStyle name="20% - Ênfase5 12 4 3" xfId="6047" xr:uid="{00000000-0005-0000-0000-000007170000}"/>
    <cellStyle name="20% - Ênfase5 12 4 3 2" xfId="6048" xr:uid="{00000000-0005-0000-0000-000008170000}"/>
    <cellStyle name="20% - Ênfase5 12 4 4" xfId="6049" xr:uid="{00000000-0005-0000-0000-000009170000}"/>
    <cellStyle name="20% - Ênfase5 12 5" xfId="6050" xr:uid="{00000000-0005-0000-0000-00000A170000}"/>
    <cellStyle name="20% - Ênfase5 12 5 2" xfId="6051" xr:uid="{00000000-0005-0000-0000-00000B170000}"/>
    <cellStyle name="20% - Ênfase5 12 5 2 2" xfId="6052" xr:uid="{00000000-0005-0000-0000-00000C170000}"/>
    <cellStyle name="20% - Ênfase5 12 5 3" xfId="6053" xr:uid="{00000000-0005-0000-0000-00000D170000}"/>
    <cellStyle name="20% - Ênfase5 12 6" xfId="6054" xr:uid="{00000000-0005-0000-0000-00000E170000}"/>
    <cellStyle name="20% - Ênfase5 12 6 2" xfId="6055" xr:uid="{00000000-0005-0000-0000-00000F170000}"/>
    <cellStyle name="20% - Ênfase5 12 7" xfId="6056" xr:uid="{00000000-0005-0000-0000-000010170000}"/>
    <cellStyle name="20% - Ênfase5 13" xfId="6057" xr:uid="{00000000-0005-0000-0000-000011170000}"/>
    <cellStyle name="20% - Ênfase5 13 2" xfId="6058" xr:uid="{00000000-0005-0000-0000-000012170000}"/>
    <cellStyle name="20% - Ênfase5 13 2 2" xfId="6059" xr:uid="{00000000-0005-0000-0000-000013170000}"/>
    <cellStyle name="20% - Ênfase5 13 2 2 2" xfId="6060" xr:uid="{00000000-0005-0000-0000-000014170000}"/>
    <cellStyle name="20% - Ênfase5 13 2 2 2 2" xfId="6061" xr:uid="{00000000-0005-0000-0000-000015170000}"/>
    <cellStyle name="20% - Ênfase5 13 2 2 2 2 2" xfId="6062" xr:uid="{00000000-0005-0000-0000-000016170000}"/>
    <cellStyle name="20% - Ênfase5 13 2 2 2 3" xfId="6063" xr:uid="{00000000-0005-0000-0000-000017170000}"/>
    <cellStyle name="20% - Ênfase5 13 2 2 2 3 2" xfId="6064" xr:uid="{00000000-0005-0000-0000-000018170000}"/>
    <cellStyle name="20% - Ênfase5 13 2 2 2 4" xfId="6065" xr:uid="{00000000-0005-0000-0000-000019170000}"/>
    <cellStyle name="20% - Ênfase5 13 2 2 3" xfId="6066" xr:uid="{00000000-0005-0000-0000-00001A170000}"/>
    <cellStyle name="20% - Ênfase5 13 2 2 3 2" xfId="6067" xr:uid="{00000000-0005-0000-0000-00001B170000}"/>
    <cellStyle name="20% - Ênfase5 13 2 2 4" xfId="6068" xr:uid="{00000000-0005-0000-0000-00001C170000}"/>
    <cellStyle name="20% - Ênfase5 13 2 2 4 2" xfId="6069" xr:uid="{00000000-0005-0000-0000-00001D170000}"/>
    <cellStyle name="20% - Ênfase5 13 2 2 5" xfId="6070" xr:uid="{00000000-0005-0000-0000-00001E170000}"/>
    <cellStyle name="20% - Ênfase5 13 2 3" xfId="6071" xr:uid="{00000000-0005-0000-0000-00001F170000}"/>
    <cellStyle name="20% - Ênfase5 13 2 3 2" xfId="6072" xr:uid="{00000000-0005-0000-0000-000020170000}"/>
    <cellStyle name="20% - Ênfase5 13 2 3 2 2" xfId="6073" xr:uid="{00000000-0005-0000-0000-000021170000}"/>
    <cellStyle name="20% - Ênfase5 13 2 3 3" xfId="6074" xr:uid="{00000000-0005-0000-0000-000022170000}"/>
    <cellStyle name="20% - Ênfase5 13 2 3 3 2" xfId="6075" xr:uid="{00000000-0005-0000-0000-000023170000}"/>
    <cellStyle name="20% - Ênfase5 13 2 3 4" xfId="6076" xr:uid="{00000000-0005-0000-0000-000024170000}"/>
    <cellStyle name="20% - Ênfase5 13 2 4" xfId="6077" xr:uid="{00000000-0005-0000-0000-000025170000}"/>
    <cellStyle name="20% - Ênfase5 13 2 4 2" xfId="6078" xr:uid="{00000000-0005-0000-0000-000026170000}"/>
    <cellStyle name="20% - Ênfase5 13 2 4 2 2" xfId="6079" xr:uid="{00000000-0005-0000-0000-000027170000}"/>
    <cellStyle name="20% - Ênfase5 13 2 4 3" xfId="6080" xr:uid="{00000000-0005-0000-0000-000028170000}"/>
    <cellStyle name="20% - Ênfase5 13 2 5" xfId="6081" xr:uid="{00000000-0005-0000-0000-000029170000}"/>
    <cellStyle name="20% - Ênfase5 13 2 5 2" xfId="6082" xr:uid="{00000000-0005-0000-0000-00002A170000}"/>
    <cellStyle name="20% - Ênfase5 13 2 6" xfId="6083" xr:uid="{00000000-0005-0000-0000-00002B170000}"/>
    <cellStyle name="20% - Ênfase5 13 3" xfId="6084" xr:uid="{00000000-0005-0000-0000-00002C170000}"/>
    <cellStyle name="20% - Ênfase5 13 3 2" xfId="6085" xr:uid="{00000000-0005-0000-0000-00002D170000}"/>
    <cellStyle name="20% - Ênfase5 13 3 2 2" xfId="6086" xr:uid="{00000000-0005-0000-0000-00002E170000}"/>
    <cellStyle name="20% - Ênfase5 13 3 2 2 2" xfId="6087" xr:uid="{00000000-0005-0000-0000-00002F170000}"/>
    <cellStyle name="20% - Ênfase5 13 3 2 3" xfId="6088" xr:uid="{00000000-0005-0000-0000-000030170000}"/>
    <cellStyle name="20% - Ênfase5 13 3 2 3 2" xfId="6089" xr:uid="{00000000-0005-0000-0000-000031170000}"/>
    <cellStyle name="20% - Ênfase5 13 3 2 4" xfId="6090" xr:uid="{00000000-0005-0000-0000-000032170000}"/>
    <cellStyle name="20% - Ênfase5 13 3 3" xfId="6091" xr:uid="{00000000-0005-0000-0000-000033170000}"/>
    <cellStyle name="20% - Ênfase5 13 3 3 2" xfId="6092" xr:uid="{00000000-0005-0000-0000-000034170000}"/>
    <cellStyle name="20% - Ênfase5 13 3 4" xfId="6093" xr:uid="{00000000-0005-0000-0000-000035170000}"/>
    <cellStyle name="20% - Ênfase5 13 3 4 2" xfId="6094" xr:uid="{00000000-0005-0000-0000-000036170000}"/>
    <cellStyle name="20% - Ênfase5 13 3 5" xfId="6095" xr:uid="{00000000-0005-0000-0000-000037170000}"/>
    <cellStyle name="20% - Ênfase5 13 4" xfId="6096" xr:uid="{00000000-0005-0000-0000-000038170000}"/>
    <cellStyle name="20% - Ênfase5 13 4 2" xfId="6097" xr:uid="{00000000-0005-0000-0000-000039170000}"/>
    <cellStyle name="20% - Ênfase5 13 4 2 2" xfId="6098" xr:uid="{00000000-0005-0000-0000-00003A170000}"/>
    <cellStyle name="20% - Ênfase5 13 4 3" xfId="6099" xr:uid="{00000000-0005-0000-0000-00003B170000}"/>
    <cellStyle name="20% - Ênfase5 13 4 3 2" xfId="6100" xr:uid="{00000000-0005-0000-0000-00003C170000}"/>
    <cellStyle name="20% - Ênfase5 13 4 4" xfId="6101" xr:uid="{00000000-0005-0000-0000-00003D170000}"/>
    <cellStyle name="20% - Ênfase5 13 5" xfId="6102" xr:uid="{00000000-0005-0000-0000-00003E170000}"/>
    <cellStyle name="20% - Ênfase5 13 5 2" xfId="6103" xr:uid="{00000000-0005-0000-0000-00003F170000}"/>
    <cellStyle name="20% - Ênfase5 13 5 2 2" xfId="6104" xr:uid="{00000000-0005-0000-0000-000040170000}"/>
    <cellStyle name="20% - Ênfase5 13 5 3" xfId="6105" xr:uid="{00000000-0005-0000-0000-000041170000}"/>
    <cellStyle name="20% - Ênfase5 13 6" xfId="6106" xr:uid="{00000000-0005-0000-0000-000042170000}"/>
    <cellStyle name="20% - Ênfase5 13 6 2" xfId="6107" xr:uid="{00000000-0005-0000-0000-000043170000}"/>
    <cellStyle name="20% - Ênfase5 13 7" xfId="6108" xr:uid="{00000000-0005-0000-0000-000044170000}"/>
    <cellStyle name="20% - Ênfase5 14" xfId="6109" xr:uid="{00000000-0005-0000-0000-000045170000}"/>
    <cellStyle name="20% - Ênfase5 14 2" xfId="6110" xr:uid="{00000000-0005-0000-0000-000046170000}"/>
    <cellStyle name="20% - Ênfase5 14 2 2" xfId="6111" xr:uid="{00000000-0005-0000-0000-000047170000}"/>
    <cellStyle name="20% - Ênfase5 14 2 2 2" xfId="6112" xr:uid="{00000000-0005-0000-0000-000048170000}"/>
    <cellStyle name="20% - Ênfase5 14 2 2 2 2" xfId="6113" xr:uid="{00000000-0005-0000-0000-000049170000}"/>
    <cellStyle name="20% - Ênfase5 14 2 2 2 2 2" xfId="6114" xr:uid="{00000000-0005-0000-0000-00004A170000}"/>
    <cellStyle name="20% - Ênfase5 14 2 2 2 3" xfId="6115" xr:uid="{00000000-0005-0000-0000-00004B170000}"/>
    <cellStyle name="20% - Ênfase5 14 2 2 2 3 2" xfId="6116" xr:uid="{00000000-0005-0000-0000-00004C170000}"/>
    <cellStyle name="20% - Ênfase5 14 2 2 2 4" xfId="6117" xr:uid="{00000000-0005-0000-0000-00004D170000}"/>
    <cellStyle name="20% - Ênfase5 14 2 2 3" xfId="6118" xr:uid="{00000000-0005-0000-0000-00004E170000}"/>
    <cellStyle name="20% - Ênfase5 14 2 2 3 2" xfId="6119" xr:uid="{00000000-0005-0000-0000-00004F170000}"/>
    <cellStyle name="20% - Ênfase5 14 2 2 4" xfId="6120" xr:uid="{00000000-0005-0000-0000-000050170000}"/>
    <cellStyle name="20% - Ênfase5 14 2 2 4 2" xfId="6121" xr:uid="{00000000-0005-0000-0000-000051170000}"/>
    <cellStyle name="20% - Ênfase5 14 2 2 5" xfId="6122" xr:uid="{00000000-0005-0000-0000-000052170000}"/>
    <cellStyle name="20% - Ênfase5 14 2 3" xfId="6123" xr:uid="{00000000-0005-0000-0000-000053170000}"/>
    <cellStyle name="20% - Ênfase5 14 2 3 2" xfId="6124" xr:uid="{00000000-0005-0000-0000-000054170000}"/>
    <cellStyle name="20% - Ênfase5 14 2 3 2 2" xfId="6125" xr:uid="{00000000-0005-0000-0000-000055170000}"/>
    <cellStyle name="20% - Ênfase5 14 2 3 3" xfId="6126" xr:uid="{00000000-0005-0000-0000-000056170000}"/>
    <cellStyle name="20% - Ênfase5 14 2 3 3 2" xfId="6127" xr:uid="{00000000-0005-0000-0000-000057170000}"/>
    <cellStyle name="20% - Ênfase5 14 2 3 4" xfId="6128" xr:uid="{00000000-0005-0000-0000-000058170000}"/>
    <cellStyle name="20% - Ênfase5 14 2 4" xfId="6129" xr:uid="{00000000-0005-0000-0000-000059170000}"/>
    <cellStyle name="20% - Ênfase5 14 2 4 2" xfId="6130" xr:uid="{00000000-0005-0000-0000-00005A170000}"/>
    <cellStyle name="20% - Ênfase5 14 2 4 2 2" xfId="6131" xr:uid="{00000000-0005-0000-0000-00005B170000}"/>
    <cellStyle name="20% - Ênfase5 14 2 4 3" xfId="6132" xr:uid="{00000000-0005-0000-0000-00005C170000}"/>
    <cellStyle name="20% - Ênfase5 14 2 5" xfId="6133" xr:uid="{00000000-0005-0000-0000-00005D170000}"/>
    <cellStyle name="20% - Ênfase5 14 2 5 2" xfId="6134" xr:uid="{00000000-0005-0000-0000-00005E170000}"/>
    <cellStyle name="20% - Ênfase5 14 2 6" xfId="6135" xr:uid="{00000000-0005-0000-0000-00005F170000}"/>
    <cellStyle name="20% - Ênfase5 14 3" xfId="6136" xr:uid="{00000000-0005-0000-0000-000060170000}"/>
    <cellStyle name="20% - Ênfase5 14 3 2" xfId="6137" xr:uid="{00000000-0005-0000-0000-000061170000}"/>
    <cellStyle name="20% - Ênfase5 14 3 2 2" xfId="6138" xr:uid="{00000000-0005-0000-0000-000062170000}"/>
    <cellStyle name="20% - Ênfase5 14 3 2 2 2" xfId="6139" xr:uid="{00000000-0005-0000-0000-000063170000}"/>
    <cellStyle name="20% - Ênfase5 14 3 2 3" xfId="6140" xr:uid="{00000000-0005-0000-0000-000064170000}"/>
    <cellStyle name="20% - Ênfase5 14 3 2 3 2" xfId="6141" xr:uid="{00000000-0005-0000-0000-000065170000}"/>
    <cellStyle name="20% - Ênfase5 14 3 2 4" xfId="6142" xr:uid="{00000000-0005-0000-0000-000066170000}"/>
    <cellStyle name="20% - Ênfase5 14 3 3" xfId="6143" xr:uid="{00000000-0005-0000-0000-000067170000}"/>
    <cellStyle name="20% - Ênfase5 14 3 3 2" xfId="6144" xr:uid="{00000000-0005-0000-0000-000068170000}"/>
    <cellStyle name="20% - Ênfase5 14 3 4" xfId="6145" xr:uid="{00000000-0005-0000-0000-000069170000}"/>
    <cellStyle name="20% - Ênfase5 14 3 4 2" xfId="6146" xr:uid="{00000000-0005-0000-0000-00006A170000}"/>
    <cellStyle name="20% - Ênfase5 14 3 5" xfId="6147" xr:uid="{00000000-0005-0000-0000-00006B170000}"/>
    <cellStyle name="20% - Ênfase5 14 4" xfId="6148" xr:uid="{00000000-0005-0000-0000-00006C170000}"/>
    <cellStyle name="20% - Ênfase5 14 4 2" xfId="6149" xr:uid="{00000000-0005-0000-0000-00006D170000}"/>
    <cellStyle name="20% - Ênfase5 14 4 2 2" xfId="6150" xr:uid="{00000000-0005-0000-0000-00006E170000}"/>
    <cellStyle name="20% - Ênfase5 14 4 3" xfId="6151" xr:uid="{00000000-0005-0000-0000-00006F170000}"/>
    <cellStyle name="20% - Ênfase5 14 4 3 2" xfId="6152" xr:uid="{00000000-0005-0000-0000-000070170000}"/>
    <cellStyle name="20% - Ênfase5 14 4 4" xfId="6153" xr:uid="{00000000-0005-0000-0000-000071170000}"/>
    <cellStyle name="20% - Ênfase5 14 5" xfId="6154" xr:uid="{00000000-0005-0000-0000-000072170000}"/>
    <cellStyle name="20% - Ênfase5 14 5 2" xfId="6155" xr:uid="{00000000-0005-0000-0000-000073170000}"/>
    <cellStyle name="20% - Ênfase5 14 5 2 2" xfId="6156" xr:uid="{00000000-0005-0000-0000-000074170000}"/>
    <cellStyle name="20% - Ênfase5 14 5 3" xfId="6157" xr:uid="{00000000-0005-0000-0000-000075170000}"/>
    <cellStyle name="20% - Ênfase5 14 6" xfId="6158" xr:uid="{00000000-0005-0000-0000-000076170000}"/>
    <cellStyle name="20% - Ênfase5 14 6 2" xfId="6159" xr:uid="{00000000-0005-0000-0000-000077170000}"/>
    <cellStyle name="20% - Ênfase5 14 7" xfId="6160" xr:uid="{00000000-0005-0000-0000-000078170000}"/>
    <cellStyle name="20% - Ênfase5 15" xfId="6161" xr:uid="{00000000-0005-0000-0000-000079170000}"/>
    <cellStyle name="20% - Ênfase5 15 2" xfId="6162" xr:uid="{00000000-0005-0000-0000-00007A170000}"/>
    <cellStyle name="20% - Ênfase5 15 2 2" xfId="6163" xr:uid="{00000000-0005-0000-0000-00007B170000}"/>
    <cellStyle name="20% - Ênfase5 15 2 2 2" xfId="6164" xr:uid="{00000000-0005-0000-0000-00007C170000}"/>
    <cellStyle name="20% - Ênfase5 15 2 2 2 2" xfId="6165" xr:uid="{00000000-0005-0000-0000-00007D170000}"/>
    <cellStyle name="20% - Ênfase5 15 2 2 3" xfId="6166" xr:uid="{00000000-0005-0000-0000-00007E170000}"/>
    <cellStyle name="20% - Ênfase5 15 2 2 3 2" xfId="6167" xr:uid="{00000000-0005-0000-0000-00007F170000}"/>
    <cellStyle name="20% - Ênfase5 15 2 2 4" xfId="6168" xr:uid="{00000000-0005-0000-0000-000080170000}"/>
    <cellStyle name="20% - Ênfase5 15 2 3" xfId="6169" xr:uid="{00000000-0005-0000-0000-000081170000}"/>
    <cellStyle name="20% - Ênfase5 15 2 3 2" xfId="6170" xr:uid="{00000000-0005-0000-0000-000082170000}"/>
    <cellStyle name="20% - Ênfase5 15 2 4" xfId="6171" xr:uid="{00000000-0005-0000-0000-000083170000}"/>
    <cellStyle name="20% - Ênfase5 15 2 4 2" xfId="6172" xr:uid="{00000000-0005-0000-0000-000084170000}"/>
    <cellStyle name="20% - Ênfase5 15 2 5" xfId="6173" xr:uid="{00000000-0005-0000-0000-000085170000}"/>
    <cellStyle name="20% - Ênfase5 15 3" xfId="6174" xr:uid="{00000000-0005-0000-0000-000086170000}"/>
    <cellStyle name="20% - Ênfase5 15 3 2" xfId="6175" xr:uid="{00000000-0005-0000-0000-000087170000}"/>
    <cellStyle name="20% - Ênfase5 15 3 2 2" xfId="6176" xr:uid="{00000000-0005-0000-0000-000088170000}"/>
    <cellStyle name="20% - Ênfase5 15 3 3" xfId="6177" xr:uid="{00000000-0005-0000-0000-000089170000}"/>
    <cellStyle name="20% - Ênfase5 15 3 3 2" xfId="6178" xr:uid="{00000000-0005-0000-0000-00008A170000}"/>
    <cellStyle name="20% - Ênfase5 15 3 4" xfId="6179" xr:uid="{00000000-0005-0000-0000-00008B170000}"/>
    <cellStyle name="20% - Ênfase5 15 4" xfId="6180" xr:uid="{00000000-0005-0000-0000-00008C170000}"/>
    <cellStyle name="20% - Ênfase5 15 4 2" xfId="6181" xr:uid="{00000000-0005-0000-0000-00008D170000}"/>
    <cellStyle name="20% - Ênfase5 15 4 2 2" xfId="6182" xr:uid="{00000000-0005-0000-0000-00008E170000}"/>
    <cellStyle name="20% - Ênfase5 15 4 3" xfId="6183" xr:uid="{00000000-0005-0000-0000-00008F170000}"/>
    <cellStyle name="20% - Ênfase5 15 5" xfId="6184" xr:uid="{00000000-0005-0000-0000-000090170000}"/>
    <cellStyle name="20% - Ênfase5 15 5 2" xfId="6185" xr:uid="{00000000-0005-0000-0000-000091170000}"/>
    <cellStyle name="20% - Ênfase5 15 6" xfId="6186" xr:uid="{00000000-0005-0000-0000-000092170000}"/>
    <cellStyle name="20% - Ênfase5 16" xfId="6187" xr:uid="{00000000-0005-0000-0000-000093170000}"/>
    <cellStyle name="20% - Ênfase5 16 2" xfId="6188" xr:uid="{00000000-0005-0000-0000-000094170000}"/>
    <cellStyle name="20% - Ênfase5 16 2 2" xfId="6189" xr:uid="{00000000-0005-0000-0000-000095170000}"/>
    <cellStyle name="20% - Ênfase5 16 2 2 2" xfId="6190" xr:uid="{00000000-0005-0000-0000-000096170000}"/>
    <cellStyle name="20% - Ênfase5 16 2 3" xfId="6191" xr:uid="{00000000-0005-0000-0000-000097170000}"/>
    <cellStyle name="20% - Ênfase5 16 2 3 2" xfId="6192" xr:uid="{00000000-0005-0000-0000-000098170000}"/>
    <cellStyle name="20% - Ênfase5 16 2 4" xfId="6193" xr:uid="{00000000-0005-0000-0000-000099170000}"/>
    <cellStyle name="20% - Ênfase5 16 3" xfId="6194" xr:uid="{00000000-0005-0000-0000-00009A170000}"/>
    <cellStyle name="20% - Ênfase5 16 3 2" xfId="6195" xr:uid="{00000000-0005-0000-0000-00009B170000}"/>
    <cellStyle name="20% - Ênfase5 16 3 2 2" xfId="6196" xr:uid="{00000000-0005-0000-0000-00009C170000}"/>
    <cellStyle name="20% - Ênfase5 16 3 3" xfId="6197" xr:uid="{00000000-0005-0000-0000-00009D170000}"/>
    <cellStyle name="20% - Ênfase5 16 3 3 2" xfId="6198" xr:uid="{00000000-0005-0000-0000-00009E170000}"/>
    <cellStyle name="20% - Ênfase5 16 3 4" xfId="6199" xr:uid="{00000000-0005-0000-0000-00009F170000}"/>
    <cellStyle name="20% - Ênfase5 16 4" xfId="6200" xr:uid="{00000000-0005-0000-0000-0000A0170000}"/>
    <cellStyle name="20% - Ênfase5 16 4 2" xfId="6201" xr:uid="{00000000-0005-0000-0000-0000A1170000}"/>
    <cellStyle name="20% - Ênfase5 16 5" xfId="6202" xr:uid="{00000000-0005-0000-0000-0000A2170000}"/>
    <cellStyle name="20% - Ênfase5 16 5 2" xfId="6203" xr:uid="{00000000-0005-0000-0000-0000A3170000}"/>
    <cellStyle name="20% - Ênfase5 16 6" xfId="6204" xr:uid="{00000000-0005-0000-0000-0000A4170000}"/>
    <cellStyle name="20% - Ênfase5 17" xfId="6205" xr:uid="{00000000-0005-0000-0000-0000A5170000}"/>
    <cellStyle name="20% - Ênfase5 17 2" xfId="6206" xr:uid="{00000000-0005-0000-0000-0000A6170000}"/>
    <cellStyle name="20% - Ênfase5 17 2 2" xfId="6207" xr:uid="{00000000-0005-0000-0000-0000A7170000}"/>
    <cellStyle name="20% - Ênfase5 17 2 2 2" xfId="6208" xr:uid="{00000000-0005-0000-0000-0000A8170000}"/>
    <cellStyle name="20% - Ênfase5 17 2 3" xfId="6209" xr:uid="{00000000-0005-0000-0000-0000A9170000}"/>
    <cellStyle name="20% - Ênfase5 17 2 3 2" xfId="6210" xr:uid="{00000000-0005-0000-0000-0000AA170000}"/>
    <cellStyle name="20% - Ênfase5 17 2 4" xfId="6211" xr:uid="{00000000-0005-0000-0000-0000AB170000}"/>
    <cellStyle name="20% - Ênfase5 17 3" xfId="6212" xr:uid="{00000000-0005-0000-0000-0000AC170000}"/>
    <cellStyle name="20% - Ênfase5 17 3 2" xfId="6213" xr:uid="{00000000-0005-0000-0000-0000AD170000}"/>
    <cellStyle name="20% - Ênfase5 17 3 2 2" xfId="6214" xr:uid="{00000000-0005-0000-0000-0000AE170000}"/>
    <cellStyle name="20% - Ênfase5 17 3 3" xfId="6215" xr:uid="{00000000-0005-0000-0000-0000AF170000}"/>
    <cellStyle name="20% - Ênfase5 17 3 3 2" xfId="6216" xr:uid="{00000000-0005-0000-0000-0000B0170000}"/>
    <cellStyle name="20% - Ênfase5 17 3 4" xfId="6217" xr:uid="{00000000-0005-0000-0000-0000B1170000}"/>
    <cellStyle name="20% - Ênfase5 17 4" xfId="6218" xr:uid="{00000000-0005-0000-0000-0000B2170000}"/>
    <cellStyle name="20% - Ênfase5 17 4 2" xfId="6219" xr:uid="{00000000-0005-0000-0000-0000B3170000}"/>
    <cellStyle name="20% - Ênfase5 17 5" xfId="6220" xr:uid="{00000000-0005-0000-0000-0000B4170000}"/>
    <cellStyle name="20% - Ênfase5 17 5 2" xfId="6221" xr:uid="{00000000-0005-0000-0000-0000B5170000}"/>
    <cellStyle name="20% - Ênfase5 17 6" xfId="6222" xr:uid="{00000000-0005-0000-0000-0000B6170000}"/>
    <cellStyle name="20% - Ênfase5 18" xfId="6223" xr:uid="{00000000-0005-0000-0000-0000B7170000}"/>
    <cellStyle name="20% - Ênfase5 18 2" xfId="6224" xr:uid="{00000000-0005-0000-0000-0000B8170000}"/>
    <cellStyle name="20% - Ênfase5 18 2 2" xfId="6225" xr:uid="{00000000-0005-0000-0000-0000B9170000}"/>
    <cellStyle name="20% - Ênfase5 18 3" xfId="6226" xr:uid="{00000000-0005-0000-0000-0000BA170000}"/>
    <cellStyle name="20% - Ênfase5 18 3 2" xfId="6227" xr:uid="{00000000-0005-0000-0000-0000BB170000}"/>
    <cellStyle name="20% - Ênfase5 18 4" xfId="6228" xr:uid="{00000000-0005-0000-0000-0000BC170000}"/>
    <cellStyle name="20% - Ênfase5 19" xfId="6229" xr:uid="{00000000-0005-0000-0000-0000BD170000}"/>
    <cellStyle name="20% - Ênfase5 19 2" xfId="6230" xr:uid="{00000000-0005-0000-0000-0000BE170000}"/>
    <cellStyle name="20% - Ênfase5 19 2 2" xfId="6231" xr:uid="{00000000-0005-0000-0000-0000BF170000}"/>
    <cellStyle name="20% - Ênfase5 19 3" xfId="6232" xr:uid="{00000000-0005-0000-0000-0000C0170000}"/>
    <cellStyle name="20% - Ênfase5 2" xfId="6233" xr:uid="{00000000-0005-0000-0000-0000C1170000}"/>
    <cellStyle name="20% - Ênfase5 2 10" xfId="6234" xr:uid="{00000000-0005-0000-0000-0000C2170000}"/>
    <cellStyle name="20% - Ênfase5 2 10 2" xfId="6235" xr:uid="{00000000-0005-0000-0000-0000C3170000}"/>
    <cellStyle name="20% - Ênfase5 2 10 2 2" xfId="6236" xr:uid="{00000000-0005-0000-0000-0000C4170000}"/>
    <cellStyle name="20% - Ênfase5 2 10 3" xfId="6237" xr:uid="{00000000-0005-0000-0000-0000C5170000}"/>
    <cellStyle name="20% - Ênfase5 2 10 3 2" xfId="6238" xr:uid="{00000000-0005-0000-0000-0000C6170000}"/>
    <cellStyle name="20% - Ênfase5 2 10 4" xfId="6239" xr:uid="{00000000-0005-0000-0000-0000C7170000}"/>
    <cellStyle name="20% - Ênfase5 2 11" xfId="6240" xr:uid="{00000000-0005-0000-0000-0000C8170000}"/>
    <cellStyle name="20% - Ênfase5 2 11 2" xfId="6241" xr:uid="{00000000-0005-0000-0000-0000C9170000}"/>
    <cellStyle name="20% - Ênfase5 2 11 2 2" xfId="6242" xr:uid="{00000000-0005-0000-0000-0000CA170000}"/>
    <cellStyle name="20% - Ênfase5 2 11 3" xfId="6243" xr:uid="{00000000-0005-0000-0000-0000CB170000}"/>
    <cellStyle name="20% - Ênfase5 2 12" xfId="6244" xr:uid="{00000000-0005-0000-0000-0000CC170000}"/>
    <cellStyle name="20% - Ênfase5 2 12 2" xfId="6245" xr:uid="{00000000-0005-0000-0000-0000CD170000}"/>
    <cellStyle name="20% - Ênfase5 2 12 2 2" xfId="6246" xr:uid="{00000000-0005-0000-0000-0000CE170000}"/>
    <cellStyle name="20% - Ênfase5 2 12 3" xfId="6247" xr:uid="{00000000-0005-0000-0000-0000CF170000}"/>
    <cellStyle name="20% - Ênfase5 2 13" xfId="6248" xr:uid="{00000000-0005-0000-0000-0000D0170000}"/>
    <cellStyle name="20% - Ênfase5 2 13 2" xfId="6249" xr:uid="{00000000-0005-0000-0000-0000D1170000}"/>
    <cellStyle name="20% - Ênfase5 2 13 2 2" xfId="6250" xr:uid="{00000000-0005-0000-0000-0000D2170000}"/>
    <cellStyle name="20% - Ênfase5 2 13 3" xfId="6251" xr:uid="{00000000-0005-0000-0000-0000D3170000}"/>
    <cellStyle name="20% - Ênfase5 2 14" xfId="6252" xr:uid="{00000000-0005-0000-0000-0000D4170000}"/>
    <cellStyle name="20% - Ênfase5 2 14 2" xfId="6253" xr:uid="{00000000-0005-0000-0000-0000D5170000}"/>
    <cellStyle name="20% - Ênfase5 2 14 2 2" xfId="6254" xr:uid="{00000000-0005-0000-0000-0000D6170000}"/>
    <cellStyle name="20% - Ênfase5 2 14 3" xfId="6255" xr:uid="{00000000-0005-0000-0000-0000D7170000}"/>
    <cellStyle name="20% - Ênfase5 2 15" xfId="6256" xr:uid="{00000000-0005-0000-0000-0000D8170000}"/>
    <cellStyle name="20% - Ênfase5 2 15 2" xfId="6257" xr:uid="{00000000-0005-0000-0000-0000D9170000}"/>
    <cellStyle name="20% - Ênfase5 2 16" xfId="6258" xr:uid="{00000000-0005-0000-0000-0000DA170000}"/>
    <cellStyle name="20% - Ênfase5 2 2" xfId="6259" xr:uid="{00000000-0005-0000-0000-0000DB170000}"/>
    <cellStyle name="20% - Ênfase5 2 2 10" xfId="6260" xr:uid="{00000000-0005-0000-0000-0000DC170000}"/>
    <cellStyle name="20% - Ênfase5 2 2 10 2" xfId="6261" xr:uid="{00000000-0005-0000-0000-0000DD170000}"/>
    <cellStyle name="20% - Ênfase5 2 2 11" xfId="6262" xr:uid="{00000000-0005-0000-0000-0000DE170000}"/>
    <cellStyle name="20% - Ênfase5 2 2 2" xfId="6263" xr:uid="{00000000-0005-0000-0000-0000DF170000}"/>
    <cellStyle name="20% - Ênfase5 2 2 2 2" xfId="6264" xr:uid="{00000000-0005-0000-0000-0000E0170000}"/>
    <cellStyle name="20% - Ênfase5 2 2 2 2 2" xfId="6265" xr:uid="{00000000-0005-0000-0000-0000E1170000}"/>
    <cellStyle name="20% - Ênfase5 2 2 2 2 2 2" xfId="6266" xr:uid="{00000000-0005-0000-0000-0000E2170000}"/>
    <cellStyle name="20% - Ênfase5 2 2 2 2 2 2 2" xfId="6267" xr:uid="{00000000-0005-0000-0000-0000E3170000}"/>
    <cellStyle name="20% - Ênfase5 2 2 2 2 2 3" xfId="6268" xr:uid="{00000000-0005-0000-0000-0000E4170000}"/>
    <cellStyle name="20% - Ênfase5 2 2 2 2 2 3 2" xfId="6269" xr:uid="{00000000-0005-0000-0000-0000E5170000}"/>
    <cellStyle name="20% - Ênfase5 2 2 2 2 2 4" xfId="6270" xr:uid="{00000000-0005-0000-0000-0000E6170000}"/>
    <cellStyle name="20% - Ênfase5 2 2 2 2 3" xfId="6271" xr:uid="{00000000-0005-0000-0000-0000E7170000}"/>
    <cellStyle name="20% - Ênfase5 2 2 2 2 3 2" xfId="6272" xr:uid="{00000000-0005-0000-0000-0000E8170000}"/>
    <cellStyle name="20% - Ênfase5 2 2 2 2 3 2 2" xfId="6273" xr:uid="{00000000-0005-0000-0000-0000E9170000}"/>
    <cellStyle name="20% - Ênfase5 2 2 2 2 3 3" xfId="6274" xr:uid="{00000000-0005-0000-0000-0000EA170000}"/>
    <cellStyle name="20% - Ênfase5 2 2 2 2 3 3 2" xfId="6275" xr:uid="{00000000-0005-0000-0000-0000EB170000}"/>
    <cellStyle name="20% - Ênfase5 2 2 2 2 3 4" xfId="6276" xr:uid="{00000000-0005-0000-0000-0000EC170000}"/>
    <cellStyle name="20% - Ênfase5 2 2 2 2 4" xfId="6277" xr:uid="{00000000-0005-0000-0000-0000ED170000}"/>
    <cellStyle name="20% - Ênfase5 2 2 2 2 4 2" xfId="6278" xr:uid="{00000000-0005-0000-0000-0000EE170000}"/>
    <cellStyle name="20% - Ênfase5 2 2 2 2 5" xfId="6279" xr:uid="{00000000-0005-0000-0000-0000EF170000}"/>
    <cellStyle name="20% - Ênfase5 2 2 2 2 5 2" xfId="6280" xr:uid="{00000000-0005-0000-0000-0000F0170000}"/>
    <cellStyle name="20% - Ênfase5 2 2 2 2 6" xfId="6281" xr:uid="{00000000-0005-0000-0000-0000F1170000}"/>
    <cellStyle name="20% - Ênfase5 2 2 2 3" xfId="6282" xr:uid="{00000000-0005-0000-0000-0000F2170000}"/>
    <cellStyle name="20% - Ênfase5 2 2 2 3 2" xfId="6283" xr:uid="{00000000-0005-0000-0000-0000F3170000}"/>
    <cellStyle name="20% - Ênfase5 2 2 2 3 2 2" xfId="6284" xr:uid="{00000000-0005-0000-0000-0000F4170000}"/>
    <cellStyle name="20% - Ênfase5 2 2 2 3 3" xfId="6285" xr:uid="{00000000-0005-0000-0000-0000F5170000}"/>
    <cellStyle name="20% - Ênfase5 2 2 2 3 3 2" xfId="6286" xr:uid="{00000000-0005-0000-0000-0000F6170000}"/>
    <cellStyle name="20% - Ênfase5 2 2 2 3 4" xfId="6287" xr:uid="{00000000-0005-0000-0000-0000F7170000}"/>
    <cellStyle name="20% - Ênfase5 2 2 2 4" xfId="6288" xr:uid="{00000000-0005-0000-0000-0000F8170000}"/>
    <cellStyle name="20% - Ênfase5 2 2 2 4 2" xfId="6289" xr:uid="{00000000-0005-0000-0000-0000F9170000}"/>
    <cellStyle name="20% - Ênfase5 2 2 2 4 2 2" xfId="6290" xr:uid="{00000000-0005-0000-0000-0000FA170000}"/>
    <cellStyle name="20% - Ênfase5 2 2 2 4 3" xfId="6291" xr:uid="{00000000-0005-0000-0000-0000FB170000}"/>
    <cellStyle name="20% - Ênfase5 2 2 2 5" xfId="6292" xr:uid="{00000000-0005-0000-0000-0000FC170000}"/>
    <cellStyle name="20% - Ênfase5 2 2 2 5 2" xfId="6293" xr:uid="{00000000-0005-0000-0000-0000FD170000}"/>
    <cellStyle name="20% - Ênfase5 2 2 2 5 2 2" xfId="6294" xr:uid="{00000000-0005-0000-0000-0000FE170000}"/>
    <cellStyle name="20% - Ênfase5 2 2 2 5 3" xfId="6295" xr:uid="{00000000-0005-0000-0000-0000FF170000}"/>
    <cellStyle name="20% - Ênfase5 2 2 2 6" xfId="6296" xr:uid="{00000000-0005-0000-0000-000000180000}"/>
    <cellStyle name="20% - Ênfase5 2 2 2 6 2" xfId="6297" xr:uid="{00000000-0005-0000-0000-000001180000}"/>
    <cellStyle name="20% - Ênfase5 2 2 2 6 2 2" xfId="6298" xr:uid="{00000000-0005-0000-0000-000002180000}"/>
    <cellStyle name="20% - Ênfase5 2 2 2 6 3" xfId="6299" xr:uid="{00000000-0005-0000-0000-000003180000}"/>
    <cellStyle name="20% - Ênfase5 2 2 2 7" xfId="6300" xr:uid="{00000000-0005-0000-0000-000004180000}"/>
    <cellStyle name="20% - Ênfase5 2 2 2 7 2" xfId="6301" xr:uid="{00000000-0005-0000-0000-000005180000}"/>
    <cellStyle name="20% - Ênfase5 2 2 2 7 2 2" xfId="6302" xr:uid="{00000000-0005-0000-0000-000006180000}"/>
    <cellStyle name="20% - Ênfase5 2 2 2 7 3" xfId="6303" xr:uid="{00000000-0005-0000-0000-000007180000}"/>
    <cellStyle name="20% - Ênfase5 2 2 2 8" xfId="6304" xr:uid="{00000000-0005-0000-0000-000008180000}"/>
    <cellStyle name="20% - Ênfase5 2 2 2 8 2" xfId="6305" xr:uid="{00000000-0005-0000-0000-000009180000}"/>
    <cellStyle name="20% - Ênfase5 2 2 2 9" xfId="6306" xr:uid="{00000000-0005-0000-0000-00000A180000}"/>
    <cellStyle name="20% - Ênfase5 2 2 3" xfId="6307" xr:uid="{00000000-0005-0000-0000-00000B180000}"/>
    <cellStyle name="20% - Ênfase5 2 2 3 2" xfId="6308" xr:uid="{00000000-0005-0000-0000-00000C180000}"/>
    <cellStyle name="20% - Ênfase5 2 2 3 2 2" xfId="6309" xr:uid="{00000000-0005-0000-0000-00000D180000}"/>
    <cellStyle name="20% - Ênfase5 2 2 3 2 2 2" xfId="6310" xr:uid="{00000000-0005-0000-0000-00000E180000}"/>
    <cellStyle name="20% - Ênfase5 2 2 3 2 3" xfId="6311" xr:uid="{00000000-0005-0000-0000-00000F180000}"/>
    <cellStyle name="20% - Ênfase5 2 2 3 2 3 2" xfId="6312" xr:uid="{00000000-0005-0000-0000-000010180000}"/>
    <cellStyle name="20% - Ênfase5 2 2 3 2 4" xfId="6313" xr:uid="{00000000-0005-0000-0000-000011180000}"/>
    <cellStyle name="20% - Ênfase5 2 2 3 3" xfId="6314" xr:uid="{00000000-0005-0000-0000-000012180000}"/>
    <cellStyle name="20% - Ênfase5 2 2 3 3 2" xfId="6315" xr:uid="{00000000-0005-0000-0000-000013180000}"/>
    <cellStyle name="20% - Ênfase5 2 2 3 3 2 2" xfId="6316" xr:uid="{00000000-0005-0000-0000-000014180000}"/>
    <cellStyle name="20% - Ênfase5 2 2 3 3 3" xfId="6317" xr:uid="{00000000-0005-0000-0000-000015180000}"/>
    <cellStyle name="20% - Ênfase5 2 2 3 3 3 2" xfId="6318" xr:uid="{00000000-0005-0000-0000-000016180000}"/>
    <cellStyle name="20% - Ênfase5 2 2 3 3 4" xfId="6319" xr:uid="{00000000-0005-0000-0000-000017180000}"/>
    <cellStyle name="20% - Ênfase5 2 2 3 4" xfId="6320" xr:uid="{00000000-0005-0000-0000-000018180000}"/>
    <cellStyle name="20% - Ênfase5 2 2 3 4 2" xfId="6321" xr:uid="{00000000-0005-0000-0000-000019180000}"/>
    <cellStyle name="20% - Ênfase5 2 2 3 5" xfId="6322" xr:uid="{00000000-0005-0000-0000-00001A180000}"/>
    <cellStyle name="20% - Ênfase5 2 2 3 5 2" xfId="6323" xr:uid="{00000000-0005-0000-0000-00001B180000}"/>
    <cellStyle name="20% - Ênfase5 2 2 3 6" xfId="6324" xr:uid="{00000000-0005-0000-0000-00001C180000}"/>
    <cellStyle name="20% - Ênfase5 2 2 4" xfId="6325" xr:uid="{00000000-0005-0000-0000-00001D180000}"/>
    <cellStyle name="20% - Ênfase5 2 2 4 2" xfId="6326" xr:uid="{00000000-0005-0000-0000-00001E180000}"/>
    <cellStyle name="20% - Ênfase5 2 2 4 2 2" xfId="6327" xr:uid="{00000000-0005-0000-0000-00001F180000}"/>
    <cellStyle name="20% - Ênfase5 2 2 4 2 2 2" xfId="6328" xr:uid="{00000000-0005-0000-0000-000020180000}"/>
    <cellStyle name="20% - Ênfase5 2 2 4 2 3" xfId="6329" xr:uid="{00000000-0005-0000-0000-000021180000}"/>
    <cellStyle name="20% - Ênfase5 2 2 4 2 3 2" xfId="6330" xr:uid="{00000000-0005-0000-0000-000022180000}"/>
    <cellStyle name="20% - Ênfase5 2 2 4 2 4" xfId="6331" xr:uid="{00000000-0005-0000-0000-000023180000}"/>
    <cellStyle name="20% - Ênfase5 2 2 4 3" xfId="6332" xr:uid="{00000000-0005-0000-0000-000024180000}"/>
    <cellStyle name="20% - Ênfase5 2 2 4 3 2" xfId="6333" xr:uid="{00000000-0005-0000-0000-000025180000}"/>
    <cellStyle name="20% - Ênfase5 2 2 4 3 2 2" xfId="6334" xr:uid="{00000000-0005-0000-0000-000026180000}"/>
    <cellStyle name="20% - Ênfase5 2 2 4 3 3" xfId="6335" xr:uid="{00000000-0005-0000-0000-000027180000}"/>
    <cellStyle name="20% - Ênfase5 2 2 4 3 3 2" xfId="6336" xr:uid="{00000000-0005-0000-0000-000028180000}"/>
    <cellStyle name="20% - Ênfase5 2 2 4 3 4" xfId="6337" xr:uid="{00000000-0005-0000-0000-000029180000}"/>
    <cellStyle name="20% - Ênfase5 2 2 4 4" xfId="6338" xr:uid="{00000000-0005-0000-0000-00002A180000}"/>
    <cellStyle name="20% - Ênfase5 2 2 4 4 2" xfId="6339" xr:uid="{00000000-0005-0000-0000-00002B180000}"/>
    <cellStyle name="20% - Ênfase5 2 2 4 5" xfId="6340" xr:uid="{00000000-0005-0000-0000-00002C180000}"/>
    <cellStyle name="20% - Ênfase5 2 2 4 5 2" xfId="6341" xr:uid="{00000000-0005-0000-0000-00002D180000}"/>
    <cellStyle name="20% - Ênfase5 2 2 4 6" xfId="6342" xr:uid="{00000000-0005-0000-0000-00002E180000}"/>
    <cellStyle name="20% - Ênfase5 2 2 5" xfId="6343" xr:uid="{00000000-0005-0000-0000-00002F180000}"/>
    <cellStyle name="20% - Ênfase5 2 2 5 2" xfId="6344" xr:uid="{00000000-0005-0000-0000-000030180000}"/>
    <cellStyle name="20% - Ênfase5 2 2 5 2 2" xfId="6345" xr:uid="{00000000-0005-0000-0000-000031180000}"/>
    <cellStyle name="20% - Ênfase5 2 2 5 3" xfId="6346" xr:uid="{00000000-0005-0000-0000-000032180000}"/>
    <cellStyle name="20% - Ênfase5 2 2 5 3 2" xfId="6347" xr:uid="{00000000-0005-0000-0000-000033180000}"/>
    <cellStyle name="20% - Ênfase5 2 2 5 4" xfId="6348" xr:uid="{00000000-0005-0000-0000-000034180000}"/>
    <cellStyle name="20% - Ênfase5 2 2 6" xfId="6349" xr:uid="{00000000-0005-0000-0000-000035180000}"/>
    <cellStyle name="20% - Ênfase5 2 2 6 2" xfId="6350" xr:uid="{00000000-0005-0000-0000-000036180000}"/>
    <cellStyle name="20% - Ênfase5 2 2 6 2 2" xfId="6351" xr:uid="{00000000-0005-0000-0000-000037180000}"/>
    <cellStyle name="20% - Ênfase5 2 2 6 3" xfId="6352" xr:uid="{00000000-0005-0000-0000-000038180000}"/>
    <cellStyle name="20% - Ênfase5 2 2 7" xfId="6353" xr:uid="{00000000-0005-0000-0000-000039180000}"/>
    <cellStyle name="20% - Ênfase5 2 2 7 2" xfId="6354" xr:uid="{00000000-0005-0000-0000-00003A180000}"/>
    <cellStyle name="20% - Ênfase5 2 2 7 2 2" xfId="6355" xr:uid="{00000000-0005-0000-0000-00003B180000}"/>
    <cellStyle name="20% - Ênfase5 2 2 7 3" xfId="6356" xr:uid="{00000000-0005-0000-0000-00003C180000}"/>
    <cellStyle name="20% - Ênfase5 2 2 8" xfId="6357" xr:uid="{00000000-0005-0000-0000-00003D180000}"/>
    <cellStyle name="20% - Ênfase5 2 2 8 2" xfId="6358" xr:uid="{00000000-0005-0000-0000-00003E180000}"/>
    <cellStyle name="20% - Ênfase5 2 2 8 2 2" xfId="6359" xr:uid="{00000000-0005-0000-0000-00003F180000}"/>
    <cellStyle name="20% - Ênfase5 2 2 8 3" xfId="6360" xr:uid="{00000000-0005-0000-0000-000040180000}"/>
    <cellStyle name="20% - Ênfase5 2 2 9" xfId="6361" xr:uid="{00000000-0005-0000-0000-000041180000}"/>
    <cellStyle name="20% - Ênfase5 2 2 9 2" xfId="6362" xr:uid="{00000000-0005-0000-0000-000042180000}"/>
    <cellStyle name="20% - Ênfase5 2 2 9 2 2" xfId="6363" xr:uid="{00000000-0005-0000-0000-000043180000}"/>
    <cellStyle name="20% - Ênfase5 2 2 9 3" xfId="6364" xr:uid="{00000000-0005-0000-0000-000044180000}"/>
    <cellStyle name="20% - Ênfase5 2 3" xfId="6365" xr:uid="{00000000-0005-0000-0000-000045180000}"/>
    <cellStyle name="20% - Ênfase5 2 3 10" xfId="6366" xr:uid="{00000000-0005-0000-0000-000046180000}"/>
    <cellStyle name="20% - Ênfase5 2 3 10 2" xfId="6367" xr:uid="{00000000-0005-0000-0000-000047180000}"/>
    <cellStyle name="20% - Ênfase5 2 3 11" xfId="6368" xr:uid="{00000000-0005-0000-0000-000048180000}"/>
    <cellStyle name="20% - Ênfase5 2 3 2" xfId="6369" xr:uid="{00000000-0005-0000-0000-000049180000}"/>
    <cellStyle name="20% - Ênfase5 2 3 2 2" xfId="6370" xr:uid="{00000000-0005-0000-0000-00004A180000}"/>
    <cellStyle name="20% - Ênfase5 2 3 2 2 2" xfId="6371" xr:uid="{00000000-0005-0000-0000-00004B180000}"/>
    <cellStyle name="20% - Ênfase5 2 3 2 2 2 2" xfId="6372" xr:uid="{00000000-0005-0000-0000-00004C180000}"/>
    <cellStyle name="20% - Ênfase5 2 3 2 2 2 2 2" xfId="6373" xr:uid="{00000000-0005-0000-0000-00004D180000}"/>
    <cellStyle name="20% - Ênfase5 2 3 2 2 2 3" xfId="6374" xr:uid="{00000000-0005-0000-0000-00004E180000}"/>
    <cellStyle name="20% - Ênfase5 2 3 2 2 2 3 2" xfId="6375" xr:uid="{00000000-0005-0000-0000-00004F180000}"/>
    <cellStyle name="20% - Ênfase5 2 3 2 2 2 4" xfId="6376" xr:uid="{00000000-0005-0000-0000-000050180000}"/>
    <cellStyle name="20% - Ênfase5 2 3 2 2 3" xfId="6377" xr:uid="{00000000-0005-0000-0000-000051180000}"/>
    <cellStyle name="20% - Ênfase5 2 3 2 2 3 2" xfId="6378" xr:uid="{00000000-0005-0000-0000-000052180000}"/>
    <cellStyle name="20% - Ênfase5 2 3 2 2 3 2 2" xfId="6379" xr:uid="{00000000-0005-0000-0000-000053180000}"/>
    <cellStyle name="20% - Ênfase5 2 3 2 2 3 3" xfId="6380" xr:uid="{00000000-0005-0000-0000-000054180000}"/>
    <cellStyle name="20% - Ênfase5 2 3 2 2 3 3 2" xfId="6381" xr:uid="{00000000-0005-0000-0000-000055180000}"/>
    <cellStyle name="20% - Ênfase5 2 3 2 2 3 4" xfId="6382" xr:uid="{00000000-0005-0000-0000-000056180000}"/>
    <cellStyle name="20% - Ênfase5 2 3 2 2 4" xfId="6383" xr:uid="{00000000-0005-0000-0000-000057180000}"/>
    <cellStyle name="20% - Ênfase5 2 3 2 2 4 2" xfId="6384" xr:uid="{00000000-0005-0000-0000-000058180000}"/>
    <cellStyle name="20% - Ênfase5 2 3 2 2 5" xfId="6385" xr:uid="{00000000-0005-0000-0000-000059180000}"/>
    <cellStyle name="20% - Ênfase5 2 3 2 2 5 2" xfId="6386" xr:uid="{00000000-0005-0000-0000-00005A180000}"/>
    <cellStyle name="20% - Ênfase5 2 3 2 2 6" xfId="6387" xr:uid="{00000000-0005-0000-0000-00005B180000}"/>
    <cellStyle name="20% - Ênfase5 2 3 2 3" xfId="6388" xr:uid="{00000000-0005-0000-0000-00005C180000}"/>
    <cellStyle name="20% - Ênfase5 2 3 2 3 2" xfId="6389" xr:uid="{00000000-0005-0000-0000-00005D180000}"/>
    <cellStyle name="20% - Ênfase5 2 3 2 3 2 2" xfId="6390" xr:uid="{00000000-0005-0000-0000-00005E180000}"/>
    <cellStyle name="20% - Ênfase5 2 3 2 3 3" xfId="6391" xr:uid="{00000000-0005-0000-0000-00005F180000}"/>
    <cellStyle name="20% - Ênfase5 2 3 2 3 3 2" xfId="6392" xr:uid="{00000000-0005-0000-0000-000060180000}"/>
    <cellStyle name="20% - Ênfase5 2 3 2 3 4" xfId="6393" xr:uid="{00000000-0005-0000-0000-000061180000}"/>
    <cellStyle name="20% - Ênfase5 2 3 2 4" xfId="6394" xr:uid="{00000000-0005-0000-0000-000062180000}"/>
    <cellStyle name="20% - Ênfase5 2 3 2 4 2" xfId="6395" xr:uid="{00000000-0005-0000-0000-000063180000}"/>
    <cellStyle name="20% - Ênfase5 2 3 2 4 2 2" xfId="6396" xr:uid="{00000000-0005-0000-0000-000064180000}"/>
    <cellStyle name="20% - Ênfase5 2 3 2 4 3" xfId="6397" xr:uid="{00000000-0005-0000-0000-000065180000}"/>
    <cellStyle name="20% - Ênfase5 2 3 2 5" xfId="6398" xr:uid="{00000000-0005-0000-0000-000066180000}"/>
    <cellStyle name="20% - Ênfase5 2 3 2 5 2" xfId="6399" xr:uid="{00000000-0005-0000-0000-000067180000}"/>
    <cellStyle name="20% - Ênfase5 2 3 2 5 2 2" xfId="6400" xr:uid="{00000000-0005-0000-0000-000068180000}"/>
    <cellStyle name="20% - Ênfase5 2 3 2 5 3" xfId="6401" xr:uid="{00000000-0005-0000-0000-000069180000}"/>
    <cellStyle name="20% - Ênfase5 2 3 2 6" xfId="6402" xr:uid="{00000000-0005-0000-0000-00006A180000}"/>
    <cellStyle name="20% - Ênfase5 2 3 2 6 2" xfId="6403" xr:uid="{00000000-0005-0000-0000-00006B180000}"/>
    <cellStyle name="20% - Ênfase5 2 3 2 6 2 2" xfId="6404" xr:uid="{00000000-0005-0000-0000-00006C180000}"/>
    <cellStyle name="20% - Ênfase5 2 3 2 6 3" xfId="6405" xr:uid="{00000000-0005-0000-0000-00006D180000}"/>
    <cellStyle name="20% - Ênfase5 2 3 2 7" xfId="6406" xr:uid="{00000000-0005-0000-0000-00006E180000}"/>
    <cellStyle name="20% - Ênfase5 2 3 2 7 2" xfId="6407" xr:uid="{00000000-0005-0000-0000-00006F180000}"/>
    <cellStyle name="20% - Ênfase5 2 3 2 7 2 2" xfId="6408" xr:uid="{00000000-0005-0000-0000-000070180000}"/>
    <cellStyle name="20% - Ênfase5 2 3 2 7 3" xfId="6409" xr:uid="{00000000-0005-0000-0000-000071180000}"/>
    <cellStyle name="20% - Ênfase5 2 3 2 8" xfId="6410" xr:uid="{00000000-0005-0000-0000-000072180000}"/>
    <cellStyle name="20% - Ênfase5 2 3 2 8 2" xfId="6411" xr:uid="{00000000-0005-0000-0000-000073180000}"/>
    <cellStyle name="20% - Ênfase5 2 3 2 9" xfId="6412" xr:uid="{00000000-0005-0000-0000-000074180000}"/>
    <cellStyle name="20% - Ênfase5 2 3 3" xfId="6413" xr:uid="{00000000-0005-0000-0000-000075180000}"/>
    <cellStyle name="20% - Ênfase5 2 3 3 2" xfId="6414" xr:uid="{00000000-0005-0000-0000-000076180000}"/>
    <cellStyle name="20% - Ênfase5 2 3 3 2 2" xfId="6415" xr:uid="{00000000-0005-0000-0000-000077180000}"/>
    <cellStyle name="20% - Ênfase5 2 3 3 2 2 2" xfId="6416" xr:uid="{00000000-0005-0000-0000-000078180000}"/>
    <cellStyle name="20% - Ênfase5 2 3 3 2 3" xfId="6417" xr:uid="{00000000-0005-0000-0000-000079180000}"/>
    <cellStyle name="20% - Ênfase5 2 3 3 2 3 2" xfId="6418" xr:uid="{00000000-0005-0000-0000-00007A180000}"/>
    <cellStyle name="20% - Ênfase5 2 3 3 2 4" xfId="6419" xr:uid="{00000000-0005-0000-0000-00007B180000}"/>
    <cellStyle name="20% - Ênfase5 2 3 3 3" xfId="6420" xr:uid="{00000000-0005-0000-0000-00007C180000}"/>
    <cellStyle name="20% - Ênfase5 2 3 3 3 2" xfId="6421" xr:uid="{00000000-0005-0000-0000-00007D180000}"/>
    <cellStyle name="20% - Ênfase5 2 3 3 3 2 2" xfId="6422" xr:uid="{00000000-0005-0000-0000-00007E180000}"/>
    <cellStyle name="20% - Ênfase5 2 3 3 3 3" xfId="6423" xr:uid="{00000000-0005-0000-0000-00007F180000}"/>
    <cellStyle name="20% - Ênfase5 2 3 3 3 3 2" xfId="6424" xr:uid="{00000000-0005-0000-0000-000080180000}"/>
    <cellStyle name="20% - Ênfase5 2 3 3 3 4" xfId="6425" xr:uid="{00000000-0005-0000-0000-000081180000}"/>
    <cellStyle name="20% - Ênfase5 2 3 3 4" xfId="6426" xr:uid="{00000000-0005-0000-0000-000082180000}"/>
    <cellStyle name="20% - Ênfase5 2 3 3 4 2" xfId="6427" xr:uid="{00000000-0005-0000-0000-000083180000}"/>
    <cellStyle name="20% - Ênfase5 2 3 3 5" xfId="6428" xr:uid="{00000000-0005-0000-0000-000084180000}"/>
    <cellStyle name="20% - Ênfase5 2 3 3 5 2" xfId="6429" xr:uid="{00000000-0005-0000-0000-000085180000}"/>
    <cellStyle name="20% - Ênfase5 2 3 3 6" xfId="6430" xr:uid="{00000000-0005-0000-0000-000086180000}"/>
    <cellStyle name="20% - Ênfase5 2 3 4" xfId="6431" xr:uid="{00000000-0005-0000-0000-000087180000}"/>
    <cellStyle name="20% - Ênfase5 2 3 4 2" xfId="6432" xr:uid="{00000000-0005-0000-0000-000088180000}"/>
    <cellStyle name="20% - Ênfase5 2 3 4 2 2" xfId="6433" xr:uid="{00000000-0005-0000-0000-000089180000}"/>
    <cellStyle name="20% - Ênfase5 2 3 4 2 2 2" xfId="6434" xr:uid="{00000000-0005-0000-0000-00008A180000}"/>
    <cellStyle name="20% - Ênfase5 2 3 4 2 3" xfId="6435" xr:uid="{00000000-0005-0000-0000-00008B180000}"/>
    <cellStyle name="20% - Ênfase5 2 3 4 2 3 2" xfId="6436" xr:uid="{00000000-0005-0000-0000-00008C180000}"/>
    <cellStyle name="20% - Ênfase5 2 3 4 2 4" xfId="6437" xr:uid="{00000000-0005-0000-0000-00008D180000}"/>
    <cellStyle name="20% - Ênfase5 2 3 4 3" xfId="6438" xr:uid="{00000000-0005-0000-0000-00008E180000}"/>
    <cellStyle name="20% - Ênfase5 2 3 4 3 2" xfId="6439" xr:uid="{00000000-0005-0000-0000-00008F180000}"/>
    <cellStyle name="20% - Ênfase5 2 3 4 3 2 2" xfId="6440" xr:uid="{00000000-0005-0000-0000-000090180000}"/>
    <cellStyle name="20% - Ênfase5 2 3 4 3 3" xfId="6441" xr:uid="{00000000-0005-0000-0000-000091180000}"/>
    <cellStyle name="20% - Ênfase5 2 3 4 3 3 2" xfId="6442" xr:uid="{00000000-0005-0000-0000-000092180000}"/>
    <cellStyle name="20% - Ênfase5 2 3 4 3 4" xfId="6443" xr:uid="{00000000-0005-0000-0000-000093180000}"/>
    <cellStyle name="20% - Ênfase5 2 3 4 4" xfId="6444" xr:uid="{00000000-0005-0000-0000-000094180000}"/>
    <cellStyle name="20% - Ênfase5 2 3 4 4 2" xfId="6445" xr:uid="{00000000-0005-0000-0000-000095180000}"/>
    <cellStyle name="20% - Ênfase5 2 3 4 5" xfId="6446" xr:uid="{00000000-0005-0000-0000-000096180000}"/>
    <cellStyle name="20% - Ênfase5 2 3 4 5 2" xfId="6447" xr:uid="{00000000-0005-0000-0000-000097180000}"/>
    <cellStyle name="20% - Ênfase5 2 3 4 6" xfId="6448" xr:uid="{00000000-0005-0000-0000-000098180000}"/>
    <cellStyle name="20% - Ênfase5 2 3 5" xfId="6449" xr:uid="{00000000-0005-0000-0000-000099180000}"/>
    <cellStyle name="20% - Ênfase5 2 3 5 2" xfId="6450" xr:uid="{00000000-0005-0000-0000-00009A180000}"/>
    <cellStyle name="20% - Ênfase5 2 3 5 2 2" xfId="6451" xr:uid="{00000000-0005-0000-0000-00009B180000}"/>
    <cellStyle name="20% - Ênfase5 2 3 5 3" xfId="6452" xr:uid="{00000000-0005-0000-0000-00009C180000}"/>
    <cellStyle name="20% - Ênfase5 2 3 5 3 2" xfId="6453" xr:uid="{00000000-0005-0000-0000-00009D180000}"/>
    <cellStyle name="20% - Ênfase5 2 3 5 4" xfId="6454" xr:uid="{00000000-0005-0000-0000-00009E180000}"/>
    <cellStyle name="20% - Ênfase5 2 3 6" xfId="6455" xr:uid="{00000000-0005-0000-0000-00009F180000}"/>
    <cellStyle name="20% - Ênfase5 2 3 6 2" xfId="6456" xr:uid="{00000000-0005-0000-0000-0000A0180000}"/>
    <cellStyle name="20% - Ênfase5 2 3 6 2 2" xfId="6457" xr:uid="{00000000-0005-0000-0000-0000A1180000}"/>
    <cellStyle name="20% - Ênfase5 2 3 6 3" xfId="6458" xr:uid="{00000000-0005-0000-0000-0000A2180000}"/>
    <cellStyle name="20% - Ênfase5 2 3 7" xfId="6459" xr:uid="{00000000-0005-0000-0000-0000A3180000}"/>
    <cellStyle name="20% - Ênfase5 2 3 7 2" xfId="6460" xr:uid="{00000000-0005-0000-0000-0000A4180000}"/>
    <cellStyle name="20% - Ênfase5 2 3 7 2 2" xfId="6461" xr:uid="{00000000-0005-0000-0000-0000A5180000}"/>
    <cellStyle name="20% - Ênfase5 2 3 7 3" xfId="6462" xr:uid="{00000000-0005-0000-0000-0000A6180000}"/>
    <cellStyle name="20% - Ênfase5 2 3 8" xfId="6463" xr:uid="{00000000-0005-0000-0000-0000A7180000}"/>
    <cellStyle name="20% - Ênfase5 2 3 8 2" xfId="6464" xr:uid="{00000000-0005-0000-0000-0000A8180000}"/>
    <cellStyle name="20% - Ênfase5 2 3 8 2 2" xfId="6465" xr:uid="{00000000-0005-0000-0000-0000A9180000}"/>
    <cellStyle name="20% - Ênfase5 2 3 8 3" xfId="6466" xr:uid="{00000000-0005-0000-0000-0000AA180000}"/>
    <cellStyle name="20% - Ênfase5 2 3 9" xfId="6467" xr:uid="{00000000-0005-0000-0000-0000AB180000}"/>
    <cellStyle name="20% - Ênfase5 2 3 9 2" xfId="6468" xr:uid="{00000000-0005-0000-0000-0000AC180000}"/>
    <cellStyle name="20% - Ênfase5 2 3 9 2 2" xfId="6469" xr:uid="{00000000-0005-0000-0000-0000AD180000}"/>
    <cellStyle name="20% - Ênfase5 2 3 9 3" xfId="6470" xr:uid="{00000000-0005-0000-0000-0000AE180000}"/>
    <cellStyle name="20% - Ênfase5 2 4" xfId="6471" xr:uid="{00000000-0005-0000-0000-0000AF180000}"/>
    <cellStyle name="20% - Ênfase5 2 4 10" xfId="6472" xr:uid="{00000000-0005-0000-0000-0000B0180000}"/>
    <cellStyle name="20% - Ênfase5 2 4 2" xfId="6473" xr:uid="{00000000-0005-0000-0000-0000B1180000}"/>
    <cellStyle name="20% - Ênfase5 2 4 2 2" xfId="6474" xr:uid="{00000000-0005-0000-0000-0000B2180000}"/>
    <cellStyle name="20% - Ênfase5 2 4 2 2 2" xfId="6475" xr:uid="{00000000-0005-0000-0000-0000B3180000}"/>
    <cellStyle name="20% - Ênfase5 2 4 2 2 2 2" xfId="6476" xr:uid="{00000000-0005-0000-0000-0000B4180000}"/>
    <cellStyle name="20% - Ênfase5 2 4 2 2 2 2 2" xfId="6477" xr:uid="{00000000-0005-0000-0000-0000B5180000}"/>
    <cellStyle name="20% - Ênfase5 2 4 2 2 2 3" xfId="6478" xr:uid="{00000000-0005-0000-0000-0000B6180000}"/>
    <cellStyle name="20% - Ênfase5 2 4 2 2 2 3 2" xfId="6479" xr:uid="{00000000-0005-0000-0000-0000B7180000}"/>
    <cellStyle name="20% - Ênfase5 2 4 2 2 2 4" xfId="6480" xr:uid="{00000000-0005-0000-0000-0000B8180000}"/>
    <cellStyle name="20% - Ênfase5 2 4 2 2 3" xfId="6481" xr:uid="{00000000-0005-0000-0000-0000B9180000}"/>
    <cellStyle name="20% - Ênfase5 2 4 2 2 3 2" xfId="6482" xr:uid="{00000000-0005-0000-0000-0000BA180000}"/>
    <cellStyle name="20% - Ênfase5 2 4 2 2 4" xfId="6483" xr:uid="{00000000-0005-0000-0000-0000BB180000}"/>
    <cellStyle name="20% - Ênfase5 2 4 2 2 4 2" xfId="6484" xr:uid="{00000000-0005-0000-0000-0000BC180000}"/>
    <cellStyle name="20% - Ênfase5 2 4 2 2 5" xfId="6485" xr:uid="{00000000-0005-0000-0000-0000BD180000}"/>
    <cellStyle name="20% - Ênfase5 2 4 2 3" xfId="6486" xr:uid="{00000000-0005-0000-0000-0000BE180000}"/>
    <cellStyle name="20% - Ênfase5 2 4 2 3 2" xfId="6487" xr:uid="{00000000-0005-0000-0000-0000BF180000}"/>
    <cellStyle name="20% - Ênfase5 2 4 2 3 2 2" xfId="6488" xr:uid="{00000000-0005-0000-0000-0000C0180000}"/>
    <cellStyle name="20% - Ênfase5 2 4 2 3 3" xfId="6489" xr:uid="{00000000-0005-0000-0000-0000C1180000}"/>
    <cellStyle name="20% - Ênfase5 2 4 2 3 3 2" xfId="6490" xr:uid="{00000000-0005-0000-0000-0000C2180000}"/>
    <cellStyle name="20% - Ênfase5 2 4 2 3 4" xfId="6491" xr:uid="{00000000-0005-0000-0000-0000C3180000}"/>
    <cellStyle name="20% - Ênfase5 2 4 2 4" xfId="6492" xr:uid="{00000000-0005-0000-0000-0000C4180000}"/>
    <cellStyle name="20% - Ênfase5 2 4 2 4 2" xfId="6493" xr:uid="{00000000-0005-0000-0000-0000C5180000}"/>
    <cellStyle name="20% - Ênfase5 2 4 2 4 2 2" xfId="6494" xr:uid="{00000000-0005-0000-0000-0000C6180000}"/>
    <cellStyle name="20% - Ênfase5 2 4 2 4 3" xfId="6495" xr:uid="{00000000-0005-0000-0000-0000C7180000}"/>
    <cellStyle name="20% - Ênfase5 2 4 2 5" xfId="6496" xr:uid="{00000000-0005-0000-0000-0000C8180000}"/>
    <cellStyle name="20% - Ênfase5 2 4 2 5 2" xfId="6497" xr:uid="{00000000-0005-0000-0000-0000C9180000}"/>
    <cellStyle name="20% - Ênfase5 2 4 2 6" xfId="6498" xr:uid="{00000000-0005-0000-0000-0000CA180000}"/>
    <cellStyle name="20% - Ênfase5 2 4 3" xfId="6499" xr:uid="{00000000-0005-0000-0000-0000CB180000}"/>
    <cellStyle name="20% - Ênfase5 2 4 3 2" xfId="6500" xr:uid="{00000000-0005-0000-0000-0000CC180000}"/>
    <cellStyle name="20% - Ênfase5 2 4 3 2 2" xfId="6501" xr:uid="{00000000-0005-0000-0000-0000CD180000}"/>
    <cellStyle name="20% - Ênfase5 2 4 3 2 2 2" xfId="6502" xr:uid="{00000000-0005-0000-0000-0000CE180000}"/>
    <cellStyle name="20% - Ênfase5 2 4 3 2 3" xfId="6503" xr:uid="{00000000-0005-0000-0000-0000CF180000}"/>
    <cellStyle name="20% - Ênfase5 2 4 3 2 3 2" xfId="6504" xr:uid="{00000000-0005-0000-0000-0000D0180000}"/>
    <cellStyle name="20% - Ênfase5 2 4 3 2 4" xfId="6505" xr:uid="{00000000-0005-0000-0000-0000D1180000}"/>
    <cellStyle name="20% - Ênfase5 2 4 3 3" xfId="6506" xr:uid="{00000000-0005-0000-0000-0000D2180000}"/>
    <cellStyle name="20% - Ênfase5 2 4 3 3 2" xfId="6507" xr:uid="{00000000-0005-0000-0000-0000D3180000}"/>
    <cellStyle name="20% - Ênfase5 2 4 3 3 2 2" xfId="6508" xr:uid="{00000000-0005-0000-0000-0000D4180000}"/>
    <cellStyle name="20% - Ênfase5 2 4 3 3 3" xfId="6509" xr:uid="{00000000-0005-0000-0000-0000D5180000}"/>
    <cellStyle name="20% - Ênfase5 2 4 3 3 3 2" xfId="6510" xr:uid="{00000000-0005-0000-0000-0000D6180000}"/>
    <cellStyle name="20% - Ênfase5 2 4 3 3 4" xfId="6511" xr:uid="{00000000-0005-0000-0000-0000D7180000}"/>
    <cellStyle name="20% - Ênfase5 2 4 3 4" xfId="6512" xr:uid="{00000000-0005-0000-0000-0000D8180000}"/>
    <cellStyle name="20% - Ênfase5 2 4 3 4 2" xfId="6513" xr:uid="{00000000-0005-0000-0000-0000D9180000}"/>
    <cellStyle name="20% - Ênfase5 2 4 3 5" xfId="6514" xr:uid="{00000000-0005-0000-0000-0000DA180000}"/>
    <cellStyle name="20% - Ênfase5 2 4 3 5 2" xfId="6515" xr:uid="{00000000-0005-0000-0000-0000DB180000}"/>
    <cellStyle name="20% - Ênfase5 2 4 3 6" xfId="6516" xr:uid="{00000000-0005-0000-0000-0000DC180000}"/>
    <cellStyle name="20% - Ênfase5 2 4 4" xfId="6517" xr:uid="{00000000-0005-0000-0000-0000DD180000}"/>
    <cellStyle name="20% - Ênfase5 2 4 4 2" xfId="6518" xr:uid="{00000000-0005-0000-0000-0000DE180000}"/>
    <cellStyle name="20% - Ênfase5 2 4 4 2 2" xfId="6519" xr:uid="{00000000-0005-0000-0000-0000DF180000}"/>
    <cellStyle name="20% - Ênfase5 2 4 4 3" xfId="6520" xr:uid="{00000000-0005-0000-0000-0000E0180000}"/>
    <cellStyle name="20% - Ênfase5 2 4 4 3 2" xfId="6521" xr:uid="{00000000-0005-0000-0000-0000E1180000}"/>
    <cellStyle name="20% - Ênfase5 2 4 4 4" xfId="6522" xr:uid="{00000000-0005-0000-0000-0000E2180000}"/>
    <cellStyle name="20% - Ênfase5 2 4 5" xfId="6523" xr:uid="{00000000-0005-0000-0000-0000E3180000}"/>
    <cellStyle name="20% - Ênfase5 2 4 5 2" xfId="6524" xr:uid="{00000000-0005-0000-0000-0000E4180000}"/>
    <cellStyle name="20% - Ênfase5 2 4 5 2 2" xfId="6525" xr:uid="{00000000-0005-0000-0000-0000E5180000}"/>
    <cellStyle name="20% - Ênfase5 2 4 5 3" xfId="6526" xr:uid="{00000000-0005-0000-0000-0000E6180000}"/>
    <cellStyle name="20% - Ênfase5 2 4 6" xfId="6527" xr:uid="{00000000-0005-0000-0000-0000E7180000}"/>
    <cellStyle name="20% - Ênfase5 2 4 6 2" xfId="6528" xr:uid="{00000000-0005-0000-0000-0000E8180000}"/>
    <cellStyle name="20% - Ênfase5 2 4 6 2 2" xfId="6529" xr:uid="{00000000-0005-0000-0000-0000E9180000}"/>
    <cellStyle name="20% - Ênfase5 2 4 6 3" xfId="6530" xr:uid="{00000000-0005-0000-0000-0000EA180000}"/>
    <cellStyle name="20% - Ênfase5 2 4 7" xfId="6531" xr:uid="{00000000-0005-0000-0000-0000EB180000}"/>
    <cellStyle name="20% - Ênfase5 2 4 7 2" xfId="6532" xr:uid="{00000000-0005-0000-0000-0000EC180000}"/>
    <cellStyle name="20% - Ênfase5 2 4 7 2 2" xfId="6533" xr:uid="{00000000-0005-0000-0000-0000ED180000}"/>
    <cellStyle name="20% - Ênfase5 2 4 7 3" xfId="6534" xr:uid="{00000000-0005-0000-0000-0000EE180000}"/>
    <cellStyle name="20% - Ênfase5 2 4 8" xfId="6535" xr:uid="{00000000-0005-0000-0000-0000EF180000}"/>
    <cellStyle name="20% - Ênfase5 2 4 8 2" xfId="6536" xr:uid="{00000000-0005-0000-0000-0000F0180000}"/>
    <cellStyle name="20% - Ênfase5 2 4 8 2 2" xfId="6537" xr:uid="{00000000-0005-0000-0000-0000F1180000}"/>
    <cellStyle name="20% - Ênfase5 2 4 8 3" xfId="6538" xr:uid="{00000000-0005-0000-0000-0000F2180000}"/>
    <cellStyle name="20% - Ênfase5 2 4 9" xfId="6539" xr:uid="{00000000-0005-0000-0000-0000F3180000}"/>
    <cellStyle name="20% - Ênfase5 2 4 9 2" xfId="6540" xr:uid="{00000000-0005-0000-0000-0000F4180000}"/>
    <cellStyle name="20% - Ênfase5 2 5" xfId="6541" xr:uid="{00000000-0005-0000-0000-0000F5180000}"/>
    <cellStyle name="20% - Ênfase5 2 5 2" xfId="6542" xr:uid="{00000000-0005-0000-0000-0000F6180000}"/>
    <cellStyle name="20% - Ênfase5 2 5 2 2" xfId="6543" xr:uid="{00000000-0005-0000-0000-0000F7180000}"/>
    <cellStyle name="20% - Ênfase5 2 5 2 2 2" xfId="6544" xr:uid="{00000000-0005-0000-0000-0000F8180000}"/>
    <cellStyle name="20% - Ênfase5 2 5 2 2 2 2" xfId="6545" xr:uid="{00000000-0005-0000-0000-0000F9180000}"/>
    <cellStyle name="20% - Ênfase5 2 5 2 2 2 2 2" xfId="6546" xr:uid="{00000000-0005-0000-0000-0000FA180000}"/>
    <cellStyle name="20% - Ênfase5 2 5 2 2 2 3" xfId="6547" xr:uid="{00000000-0005-0000-0000-0000FB180000}"/>
    <cellStyle name="20% - Ênfase5 2 5 2 2 2 3 2" xfId="6548" xr:uid="{00000000-0005-0000-0000-0000FC180000}"/>
    <cellStyle name="20% - Ênfase5 2 5 2 2 2 4" xfId="6549" xr:uid="{00000000-0005-0000-0000-0000FD180000}"/>
    <cellStyle name="20% - Ênfase5 2 5 2 2 3" xfId="6550" xr:uid="{00000000-0005-0000-0000-0000FE180000}"/>
    <cellStyle name="20% - Ênfase5 2 5 2 2 3 2" xfId="6551" xr:uid="{00000000-0005-0000-0000-0000FF180000}"/>
    <cellStyle name="20% - Ênfase5 2 5 2 2 4" xfId="6552" xr:uid="{00000000-0005-0000-0000-000000190000}"/>
    <cellStyle name="20% - Ênfase5 2 5 2 2 4 2" xfId="6553" xr:uid="{00000000-0005-0000-0000-000001190000}"/>
    <cellStyle name="20% - Ênfase5 2 5 2 2 5" xfId="6554" xr:uid="{00000000-0005-0000-0000-000002190000}"/>
    <cellStyle name="20% - Ênfase5 2 5 2 3" xfId="6555" xr:uid="{00000000-0005-0000-0000-000003190000}"/>
    <cellStyle name="20% - Ênfase5 2 5 2 3 2" xfId="6556" xr:uid="{00000000-0005-0000-0000-000004190000}"/>
    <cellStyle name="20% - Ênfase5 2 5 2 3 2 2" xfId="6557" xr:uid="{00000000-0005-0000-0000-000005190000}"/>
    <cellStyle name="20% - Ênfase5 2 5 2 3 3" xfId="6558" xr:uid="{00000000-0005-0000-0000-000006190000}"/>
    <cellStyle name="20% - Ênfase5 2 5 2 3 3 2" xfId="6559" xr:uid="{00000000-0005-0000-0000-000007190000}"/>
    <cellStyle name="20% - Ênfase5 2 5 2 3 4" xfId="6560" xr:uid="{00000000-0005-0000-0000-000008190000}"/>
    <cellStyle name="20% - Ênfase5 2 5 2 4" xfId="6561" xr:uid="{00000000-0005-0000-0000-000009190000}"/>
    <cellStyle name="20% - Ênfase5 2 5 2 4 2" xfId="6562" xr:uid="{00000000-0005-0000-0000-00000A190000}"/>
    <cellStyle name="20% - Ênfase5 2 5 2 4 2 2" xfId="6563" xr:uid="{00000000-0005-0000-0000-00000B190000}"/>
    <cellStyle name="20% - Ênfase5 2 5 2 4 3" xfId="6564" xr:uid="{00000000-0005-0000-0000-00000C190000}"/>
    <cellStyle name="20% - Ênfase5 2 5 2 5" xfId="6565" xr:uid="{00000000-0005-0000-0000-00000D190000}"/>
    <cellStyle name="20% - Ênfase5 2 5 2 5 2" xfId="6566" xr:uid="{00000000-0005-0000-0000-00000E190000}"/>
    <cellStyle name="20% - Ênfase5 2 5 2 6" xfId="6567" xr:uid="{00000000-0005-0000-0000-00000F190000}"/>
    <cellStyle name="20% - Ênfase5 2 5 3" xfId="6568" xr:uid="{00000000-0005-0000-0000-000010190000}"/>
    <cellStyle name="20% - Ênfase5 2 5 3 2" xfId="6569" xr:uid="{00000000-0005-0000-0000-000011190000}"/>
    <cellStyle name="20% - Ênfase5 2 5 3 2 2" xfId="6570" xr:uid="{00000000-0005-0000-0000-000012190000}"/>
    <cellStyle name="20% - Ênfase5 2 5 3 2 2 2" xfId="6571" xr:uid="{00000000-0005-0000-0000-000013190000}"/>
    <cellStyle name="20% - Ênfase5 2 5 3 2 3" xfId="6572" xr:uid="{00000000-0005-0000-0000-000014190000}"/>
    <cellStyle name="20% - Ênfase5 2 5 3 2 3 2" xfId="6573" xr:uid="{00000000-0005-0000-0000-000015190000}"/>
    <cellStyle name="20% - Ênfase5 2 5 3 2 4" xfId="6574" xr:uid="{00000000-0005-0000-0000-000016190000}"/>
    <cellStyle name="20% - Ênfase5 2 5 3 3" xfId="6575" xr:uid="{00000000-0005-0000-0000-000017190000}"/>
    <cellStyle name="20% - Ênfase5 2 5 3 3 2" xfId="6576" xr:uid="{00000000-0005-0000-0000-000018190000}"/>
    <cellStyle name="20% - Ênfase5 2 5 3 4" xfId="6577" xr:uid="{00000000-0005-0000-0000-000019190000}"/>
    <cellStyle name="20% - Ênfase5 2 5 3 4 2" xfId="6578" xr:uid="{00000000-0005-0000-0000-00001A190000}"/>
    <cellStyle name="20% - Ênfase5 2 5 3 5" xfId="6579" xr:uid="{00000000-0005-0000-0000-00001B190000}"/>
    <cellStyle name="20% - Ênfase5 2 5 4" xfId="6580" xr:uid="{00000000-0005-0000-0000-00001C190000}"/>
    <cellStyle name="20% - Ênfase5 2 5 4 2" xfId="6581" xr:uid="{00000000-0005-0000-0000-00001D190000}"/>
    <cellStyle name="20% - Ênfase5 2 5 4 2 2" xfId="6582" xr:uid="{00000000-0005-0000-0000-00001E190000}"/>
    <cellStyle name="20% - Ênfase5 2 5 4 3" xfId="6583" xr:uid="{00000000-0005-0000-0000-00001F190000}"/>
    <cellStyle name="20% - Ênfase5 2 5 4 3 2" xfId="6584" xr:uid="{00000000-0005-0000-0000-000020190000}"/>
    <cellStyle name="20% - Ênfase5 2 5 4 4" xfId="6585" xr:uid="{00000000-0005-0000-0000-000021190000}"/>
    <cellStyle name="20% - Ênfase5 2 5 5" xfId="6586" xr:uid="{00000000-0005-0000-0000-000022190000}"/>
    <cellStyle name="20% - Ênfase5 2 5 5 2" xfId="6587" xr:uid="{00000000-0005-0000-0000-000023190000}"/>
    <cellStyle name="20% - Ênfase5 2 5 5 2 2" xfId="6588" xr:uid="{00000000-0005-0000-0000-000024190000}"/>
    <cellStyle name="20% - Ênfase5 2 5 5 3" xfId="6589" xr:uid="{00000000-0005-0000-0000-000025190000}"/>
    <cellStyle name="20% - Ênfase5 2 5 6" xfId="6590" xr:uid="{00000000-0005-0000-0000-000026190000}"/>
    <cellStyle name="20% - Ênfase5 2 5 6 2" xfId="6591" xr:uid="{00000000-0005-0000-0000-000027190000}"/>
    <cellStyle name="20% - Ênfase5 2 5 7" xfId="6592" xr:uid="{00000000-0005-0000-0000-000028190000}"/>
    <cellStyle name="20% - Ênfase5 2 6" xfId="6593" xr:uid="{00000000-0005-0000-0000-000029190000}"/>
    <cellStyle name="20% - Ênfase5 2 6 2" xfId="6594" xr:uid="{00000000-0005-0000-0000-00002A190000}"/>
    <cellStyle name="20% - Ênfase5 2 6 2 2" xfId="6595" xr:uid="{00000000-0005-0000-0000-00002B190000}"/>
    <cellStyle name="20% - Ênfase5 2 6 2 2 2" xfId="6596" xr:uid="{00000000-0005-0000-0000-00002C190000}"/>
    <cellStyle name="20% - Ênfase5 2 6 2 2 2 2" xfId="6597" xr:uid="{00000000-0005-0000-0000-00002D190000}"/>
    <cellStyle name="20% - Ênfase5 2 6 2 2 2 2 2" xfId="6598" xr:uid="{00000000-0005-0000-0000-00002E190000}"/>
    <cellStyle name="20% - Ênfase5 2 6 2 2 2 3" xfId="6599" xr:uid="{00000000-0005-0000-0000-00002F190000}"/>
    <cellStyle name="20% - Ênfase5 2 6 2 2 2 3 2" xfId="6600" xr:uid="{00000000-0005-0000-0000-000030190000}"/>
    <cellStyle name="20% - Ênfase5 2 6 2 2 2 4" xfId="6601" xr:uid="{00000000-0005-0000-0000-000031190000}"/>
    <cellStyle name="20% - Ênfase5 2 6 2 2 3" xfId="6602" xr:uid="{00000000-0005-0000-0000-000032190000}"/>
    <cellStyle name="20% - Ênfase5 2 6 2 2 3 2" xfId="6603" xr:uid="{00000000-0005-0000-0000-000033190000}"/>
    <cellStyle name="20% - Ênfase5 2 6 2 2 4" xfId="6604" xr:uid="{00000000-0005-0000-0000-000034190000}"/>
    <cellStyle name="20% - Ênfase5 2 6 2 2 4 2" xfId="6605" xr:uid="{00000000-0005-0000-0000-000035190000}"/>
    <cellStyle name="20% - Ênfase5 2 6 2 2 5" xfId="6606" xr:uid="{00000000-0005-0000-0000-000036190000}"/>
    <cellStyle name="20% - Ênfase5 2 6 2 3" xfId="6607" xr:uid="{00000000-0005-0000-0000-000037190000}"/>
    <cellStyle name="20% - Ênfase5 2 6 2 3 2" xfId="6608" xr:uid="{00000000-0005-0000-0000-000038190000}"/>
    <cellStyle name="20% - Ênfase5 2 6 2 3 2 2" xfId="6609" xr:uid="{00000000-0005-0000-0000-000039190000}"/>
    <cellStyle name="20% - Ênfase5 2 6 2 3 3" xfId="6610" xr:uid="{00000000-0005-0000-0000-00003A190000}"/>
    <cellStyle name="20% - Ênfase5 2 6 2 3 3 2" xfId="6611" xr:uid="{00000000-0005-0000-0000-00003B190000}"/>
    <cellStyle name="20% - Ênfase5 2 6 2 3 4" xfId="6612" xr:uid="{00000000-0005-0000-0000-00003C190000}"/>
    <cellStyle name="20% - Ênfase5 2 6 2 4" xfId="6613" xr:uid="{00000000-0005-0000-0000-00003D190000}"/>
    <cellStyle name="20% - Ênfase5 2 6 2 4 2" xfId="6614" xr:uid="{00000000-0005-0000-0000-00003E190000}"/>
    <cellStyle name="20% - Ênfase5 2 6 2 4 2 2" xfId="6615" xr:uid="{00000000-0005-0000-0000-00003F190000}"/>
    <cellStyle name="20% - Ênfase5 2 6 2 4 3" xfId="6616" xr:uid="{00000000-0005-0000-0000-000040190000}"/>
    <cellStyle name="20% - Ênfase5 2 6 2 5" xfId="6617" xr:uid="{00000000-0005-0000-0000-000041190000}"/>
    <cellStyle name="20% - Ênfase5 2 6 2 5 2" xfId="6618" xr:uid="{00000000-0005-0000-0000-000042190000}"/>
    <cellStyle name="20% - Ênfase5 2 6 2 6" xfId="6619" xr:uid="{00000000-0005-0000-0000-000043190000}"/>
    <cellStyle name="20% - Ênfase5 2 6 3" xfId="6620" xr:uid="{00000000-0005-0000-0000-000044190000}"/>
    <cellStyle name="20% - Ênfase5 2 6 3 2" xfId="6621" xr:uid="{00000000-0005-0000-0000-000045190000}"/>
    <cellStyle name="20% - Ênfase5 2 6 3 2 2" xfId="6622" xr:uid="{00000000-0005-0000-0000-000046190000}"/>
    <cellStyle name="20% - Ênfase5 2 6 3 2 2 2" xfId="6623" xr:uid="{00000000-0005-0000-0000-000047190000}"/>
    <cellStyle name="20% - Ênfase5 2 6 3 2 3" xfId="6624" xr:uid="{00000000-0005-0000-0000-000048190000}"/>
    <cellStyle name="20% - Ênfase5 2 6 3 2 3 2" xfId="6625" xr:uid="{00000000-0005-0000-0000-000049190000}"/>
    <cellStyle name="20% - Ênfase5 2 6 3 2 4" xfId="6626" xr:uid="{00000000-0005-0000-0000-00004A190000}"/>
    <cellStyle name="20% - Ênfase5 2 6 3 3" xfId="6627" xr:uid="{00000000-0005-0000-0000-00004B190000}"/>
    <cellStyle name="20% - Ênfase5 2 6 3 3 2" xfId="6628" xr:uid="{00000000-0005-0000-0000-00004C190000}"/>
    <cellStyle name="20% - Ênfase5 2 6 3 4" xfId="6629" xr:uid="{00000000-0005-0000-0000-00004D190000}"/>
    <cellStyle name="20% - Ênfase5 2 6 3 4 2" xfId="6630" xr:uid="{00000000-0005-0000-0000-00004E190000}"/>
    <cellStyle name="20% - Ênfase5 2 6 3 5" xfId="6631" xr:uid="{00000000-0005-0000-0000-00004F190000}"/>
    <cellStyle name="20% - Ênfase5 2 6 4" xfId="6632" xr:uid="{00000000-0005-0000-0000-000050190000}"/>
    <cellStyle name="20% - Ênfase5 2 6 4 2" xfId="6633" xr:uid="{00000000-0005-0000-0000-000051190000}"/>
    <cellStyle name="20% - Ênfase5 2 6 4 2 2" xfId="6634" xr:uid="{00000000-0005-0000-0000-000052190000}"/>
    <cellStyle name="20% - Ênfase5 2 6 4 3" xfId="6635" xr:uid="{00000000-0005-0000-0000-000053190000}"/>
    <cellStyle name="20% - Ênfase5 2 6 4 3 2" xfId="6636" xr:uid="{00000000-0005-0000-0000-000054190000}"/>
    <cellStyle name="20% - Ênfase5 2 6 4 4" xfId="6637" xr:uid="{00000000-0005-0000-0000-000055190000}"/>
    <cellStyle name="20% - Ênfase5 2 6 5" xfId="6638" xr:uid="{00000000-0005-0000-0000-000056190000}"/>
    <cellStyle name="20% - Ênfase5 2 6 5 2" xfId="6639" xr:uid="{00000000-0005-0000-0000-000057190000}"/>
    <cellStyle name="20% - Ênfase5 2 6 5 2 2" xfId="6640" xr:uid="{00000000-0005-0000-0000-000058190000}"/>
    <cellStyle name="20% - Ênfase5 2 6 5 3" xfId="6641" xr:uid="{00000000-0005-0000-0000-000059190000}"/>
    <cellStyle name="20% - Ênfase5 2 6 6" xfId="6642" xr:uid="{00000000-0005-0000-0000-00005A190000}"/>
    <cellStyle name="20% - Ênfase5 2 6 6 2" xfId="6643" xr:uid="{00000000-0005-0000-0000-00005B190000}"/>
    <cellStyle name="20% - Ênfase5 2 6 7" xfId="6644" xr:uid="{00000000-0005-0000-0000-00005C190000}"/>
    <cellStyle name="20% - Ênfase5 2 7" xfId="6645" xr:uid="{00000000-0005-0000-0000-00005D190000}"/>
    <cellStyle name="20% - Ênfase5 2 7 2" xfId="6646" xr:uid="{00000000-0005-0000-0000-00005E190000}"/>
    <cellStyle name="20% - Ênfase5 2 7 2 2" xfId="6647" xr:uid="{00000000-0005-0000-0000-00005F190000}"/>
    <cellStyle name="20% - Ênfase5 2 7 2 2 2" xfId="6648" xr:uid="{00000000-0005-0000-0000-000060190000}"/>
    <cellStyle name="20% - Ênfase5 2 7 2 2 2 2" xfId="6649" xr:uid="{00000000-0005-0000-0000-000061190000}"/>
    <cellStyle name="20% - Ênfase5 2 7 2 2 3" xfId="6650" xr:uid="{00000000-0005-0000-0000-000062190000}"/>
    <cellStyle name="20% - Ênfase5 2 7 2 2 3 2" xfId="6651" xr:uid="{00000000-0005-0000-0000-000063190000}"/>
    <cellStyle name="20% - Ênfase5 2 7 2 2 4" xfId="6652" xr:uid="{00000000-0005-0000-0000-000064190000}"/>
    <cellStyle name="20% - Ênfase5 2 7 2 3" xfId="6653" xr:uid="{00000000-0005-0000-0000-000065190000}"/>
    <cellStyle name="20% - Ênfase5 2 7 2 3 2" xfId="6654" xr:uid="{00000000-0005-0000-0000-000066190000}"/>
    <cellStyle name="20% - Ênfase5 2 7 2 4" xfId="6655" xr:uid="{00000000-0005-0000-0000-000067190000}"/>
    <cellStyle name="20% - Ênfase5 2 7 2 4 2" xfId="6656" xr:uid="{00000000-0005-0000-0000-000068190000}"/>
    <cellStyle name="20% - Ênfase5 2 7 2 5" xfId="6657" xr:uid="{00000000-0005-0000-0000-000069190000}"/>
    <cellStyle name="20% - Ênfase5 2 7 3" xfId="6658" xr:uid="{00000000-0005-0000-0000-00006A190000}"/>
    <cellStyle name="20% - Ênfase5 2 7 3 2" xfId="6659" xr:uid="{00000000-0005-0000-0000-00006B190000}"/>
    <cellStyle name="20% - Ênfase5 2 7 3 2 2" xfId="6660" xr:uid="{00000000-0005-0000-0000-00006C190000}"/>
    <cellStyle name="20% - Ênfase5 2 7 3 3" xfId="6661" xr:uid="{00000000-0005-0000-0000-00006D190000}"/>
    <cellStyle name="20% - Ênfase5 2 7 3 3 2" xfId="6662" xr:uid="{00000000-0005-0000-0000-00006E190000}"/>
    <cellStyle name="20% - Ênfase5 2 7 3 4" xfId="6663" xr:uid="{00000000-0005-0000-0000-00006F190000}"/>
    <cellStyle name="20% - Ênfase5 2 7 4" xfId="6664" xr:uid="{00000000-0005-0000-0000-000070190000}"/>
    <cellStyle name="20% - Ênfase5 2 7 4 2" xfId="6665" xr:uid="{00000000-0005-0000-0000-000071190000}"/>
    <cellStyle name="20% - Ênfase5 2 7 4 2 2" xfId="6666" xr:uid="{00000000-0005-0000-0000-000072190000}"/>
    <cellStyle name="20% - Ênfase5 2 7 4 3" xfId="6667" xr:uid="{00000000-0005-0000-0000-000073190000}"/>
    <cellStyle name="20% - Ênfase5 2 7 5" xfId="6668" xr:uid="{00000000-0005-0000-0000-000074190000}"/>
    <cellStyle name="20% - Ênfase5 2 7 5 2" xfId="6669" xr:uid="{00000000-0005-0000-0000-000075190000}"/>
    <cellStyle name="20% - Ênfase5 2 7 6" xfId="6670" xr:uid="{00000000-0005-0000-0000-000076190000}"/>
    <cellStyle name="20% - Ênfase5 2 8" xfId="6671" xr:uid="{00000000-0005-0000-0000-000077190000}"/>
    <cellStyle name="20% - Ênfase5 2 8 2" xfId="6672" xr:uid="{00000000-0005-0000-0000-000078190000}"/>
    <cellStyle name="20% - Ênfase5 2 8 2 2" xfId="6673" xr:uid="{00000000-0005-0000-0000-000079190000}"/>
    <cellStyle name="20% - Ênfase5 2 8 2 2 2" xfId="6674" xr:uid="{00000000-0005-0000-0000-00007A190000}"/>
    <cellStyle name="20% - Ênfase5 2 8 2 3" xfId="6675" xr:uid="{00000000-0005-0000-0000-00007B190000}"/>
    <cellStyle name="20% - Ênfase5 2 8 2 3 2" xfId="6676" xr:uid="{00000000-0005-0000-0000-00007C190000}"/>
    <cellStyle name="20% - Ênfase5 2 8 2 4" xfId="6677" xr:uid="{00000000-0005-0000-0000-00007D190000}"/>
    <cellStyle name="20% - Ênfase5 2 8 3" xfId="6678" xr:uid="{00000000-0005-0000-0000-00007E190000}"/>
    <cellStyle name="20% - Ênfase5 2 8 3 2" xfId="6679" xr:uid="{00000000-0005-0000-0000-00007F190000}"/>
    <cellStyle name="20% - Ênfase5 2 8 3 2 2" xfId="6680" xr:uid="{00000000-0005-0000-0000-000080190000}"/>
    <cellStyle name="20% - Ênfase5 2 8 3 3" xfId="6681" xr:uid="{00000000-0005-0000-0000-000081190000}"/>
    <cellStyle name="20% - Ênfase5 2 8 3 3 2" xfId="6682" xr:uid="{00000000-0005-0000-0000-000082190000}"/>
    <cellStyle name="20% - Ênfase5 2 8 3 4" xfId="6683" xr:uid="{00000000-0005-0000-0000-000083190000}"/>
    <cellStyle name="20% - Ênfase5 2 8 4" xfId="6684" xr:uid="{00000000-0005-0000-0000-000084190000}"/>
    <cellStyle name="20% - Ênfase5 2 8 4 2" xfId="6685" xr:uid="{00000000-0005-0000-0000-000085190000}"/>
    <cellStyle name="20% - Ênfase5 2 8 5" xfId="6686" xr:uid="{00000000-0005-0000-0000-000086190000}"/>
    <cellStyle name="20% - Ênfase5 2 8 5 2" xfId="6687" xr:uid="{00000000-0005-0000-0000-000087190000}"/>
    <cellStyle name="20% - Ênfase5 2 8 6" xfId="6688" xr:uid="{00000000-0005-0000-0000-000088190000}"/>
    <cellStyle name="20% - Ênfase5 2 9" xfId="6689" xr:uid="{00000000-0005-0000-0000-000089190000}"/>
    <cellStyle name="20% - Ênfase5 2 9 2" xfId="6690" xr:uid="{00000000-0005-0000-0000-00008A190000}"/>
    <cellStyle name="20% - Ênfase5 2 9 2 2" xfId="6691" xr:uid="{00000000-0005-0000-0000-00008B190000}"/>
    <cellStyle name="20% - Ênfase5 2 9 2 2 2" xfId="6692" xr:uid="{00000000-0005-0000-0000-00008C190000}"/>
    <cellStyle name="20% - Ênfase5 2 9 2 3" xfId="6693" xr:uid="{00000000-0005-0000-0000-00008D190000}"/>
    <cellStyle name="20% - Ênfase5 2 9 2 3 2" xfId="6694" xr:uid="{00000000-0005-0000-0000-00008E190000}"/>
    <cellStyle name="20% - Ênfase5 2 9 2 4" xfId="6695" xr:uid="{00000000-0005-0000-0000-00008F190000}"/>
    <cellStyle name="20% - Ênfase5 2 9 3" xfId="6696" xr:uid="{00000000-0005-0000-0000-000090190000}"/>
    <cellStyle name="20% - Ênfase5 2 9 3 2" xfId="6697" xr:uid="{00000000-0005-0000-0000-000091190000}"/>
    <cellStyle name="20% - Ênfase5 2 9 3 2 2" xfId="6698" xr:uid="{00000000-0005-0000-0000-000092190000}"/>
    <cellStyle name="20% - Ênfase5 2 9 3 3" xfId="6699" xr:uid="{00000000-0005-0000-0000-000093190000}"/>
    <cellStyle name="20% - Ênfase5 2 9 3 3 2" xfId="6700" xr:uid="{00000000-0005-0000-0000-000094190000}"/>
    <cellStyle name="20% - Ênfase5 2 9 3 4" xfId="6701" xr:uid="{00000000-0005-0000-0000-000095190000}"/>
    <cellStyle name="20% - Ênfase5 2 9 4" xfId="6702" xr:uid="{00000000-0005-0000-0000-000096190000}"/>
    <cellStyle name="20% - Ênfase5 2 9 4 2" xfId="6703" xr:uid="{00000000-0005-0000-0000-000097190000}"/>
    <cellStyle name="20% - Ênfase5 2 9 5" xfId="6704" xr:uid="{00000000-0005-0000-0000-000098190000}"/>
    <cellStyle name="20% - Ênfase5 2 9 5 2" xfId="6705" xr:uid="{00000000-0005-0000-0000-000099190000}"/>
    <cellStyle name="20% - Ênfase5 2 9 6" xfId="6706" xr:uid="{00000000-0005-0000-0000-00009A190000}"/>
    <cellStyle name="20% - Ênfase5 20" xfId="6707" xr:uid="{00000000-0005-0000-0000-00009B190000}"/>
    <cellStyle name="20% - Ênfase5 20 2" xfId="6708" xr:uid="{00000000-0005-0000-0000-00009C190000}"/>
    <cellStyle name="20% - Ênfase5 20 2 2" xfId="6709" xr:uid="{00000000-0005-0000-0000-00009D190000}"/>
    <cellStyle name="20% - Ênfase5 20 3" xfId="6710" xr:uid="{00000000-0005-0000-0000-00009E190000}"/>
    <cellStyle name="20% - Ênfase5 21" xfId="6711" xr:uid="{00000000-0005-0000-0000-00009F190000}"/>
    <cellStyle name="20% - Ênfase5 21 2" xfId="6712" xr:uid="{00000000-0005-0000-0000-0000A0190000}"/>
    <cellStyle name="20% - Ênfase5 21 2 2" xfId="6713" xr:uid="{00000000-0005-0000-0000-0000A1190000}"/>
    <cellStyle name="20% - Ênfase5 21 3" xfId="6714" xr:uid="{00000000-0005-0000-0000-0000A2190000}"/>
    <cellStyle name="20% - Ênfase5 22" xfId="6715" xr:uid="{00000000-0005-0000-0000-0000A3190000}"/>
    <cellStyle name="20% - Ênfase5 22 2" xfId="6716" xr:uid="{00000000-0005-0000-0000-0000A4190000}"/>
    <cellStyle name="20% - Ênfase5 22 2 2" xfId="6717" xr:uid="{00000000-0005-0000-0000-0000A5190000}"/>
    <cellStyle name="20% - Ênfase5 22 3" xfId="6718" xr:uid="{00000000-0005-0000-0000-0000A6190000}"/>
    <cellStyle name="20% - Ênfase5 23" xfId="6719" xr:uid="{00000000-0005-0000-0000-0000A7190000}"/>
    <cellStyle name="20% - Ênfase5 23 2" xfId="6720" xr:uid="{00000000-0005-0000-0000-0000A8190000}"/>
    <cellStyle name="20% - Ênfase5 23 2 2" xfId="6721" xr:uid="{00000000-0005-0000-0000-0000A9190000}"/>
    <cellStyle name="20% - Ênfase5 23 3" xfId="6722" xr:uid="{00000000-0005-0000-0000-0000AA190000}"/>
    <cellStyle name="20% - Ênfase5 24" xfId="6723" xr:uid="{00000000-0005-0000-0000-0000AB190000}"/>
    <cellStyle name="20% - Ênfase5 24 2" xfId="6724" xr:uid="{00000000-0005-0000-0000-0000AC190000}"/>
    <cellStyle name="20% - Ênfase5 24 2 2" xfId="6725" xr:uid="{00000000-0005-0000-0000-0000AD190000}"/>
    <cellStyle name="20% - Ênfase5 24 3" xfId="6726" xr:uid="{00000000-0005-0000-0000-0000AE190000}"/>
    <cellStyle name="20% - Ênfase5 25" xfId="6727" xr:uid="{00000000-0005-0000-0000-0000AF190000}"/>
    <cellStyle name="20% - Ênfase5 25 2" xfId="6728" xr:uid="{00000000-0005-0000-0000-0000B0190000}"/>
    <cellStyle name="20% - Ênfase5 25 2 2" xfId="6729" xr:uid="{00000000-0005-0000-0000-0000B1190000}"/>
    <cellStyle name="20% - Ênfase5 25 3" xfId="6730" xr:uid="{00000000-0005-0000-0000-0000B2190000}"/>
    <cellStyle name="20% - Ênfase5 26" xfId="6731" xr:uid="{00000000-0005-0000-0000-0000B3190000}"/>
    <cellStyle name="20% - Ênfase5 26 2" xfId="6732" xr:uid="{00000000-0005-0000-0000-0000B4190000}"/>
    <cellStyle name="20% - Ênfase5 26 2 2" xfId="6733" xr:uid="{00000000-0005-0000-0000-0000B5190000}"/>
    <cellStyle name="20% - Ênfase5 26 3" xfId="6734" xr:uid="{00000000-0005-0000-0000-0000B6190000}"/>
    <cellStyle name="20% - Ênfase5 27" xfId="6735" xr:uid="{00000000-0005-0000-0000-0000B7190000}"/>
    <cellStyle name="20% - Ênfase5 27 2" xfId="6736" xr:uid="{00000000-0005-0000-0000-0000B8190000}"/>
    <cellStyle name="20% - Ênfase5 27 2 2" xfId="6737" xr:uid="{00000000-0005-0000-0000-0000B9190000}"/>
    <cellStyle name="20% - Ênfase5 27 3" xfId="6738" xr:uid="{00000000-0005-0000-0000-0000BA190000}"/>
    <cellStyle name="20% - Ênfase5 28" xfId="6739" xr:uid="{00000000-0005-0000-0000-0000BB190000}"/>
    <cellStyle name="20% - Ênfase5 28 2" xfId="6740" xr:uid="{00000000-0005-0000-0000-0000BC190000}"/>
    <cellStyle name="20% - Ênfase5 28 2 2" xfId="6741" xr:uid="{00000000-0005-0000-0000-0000BD190000}"/>
    <cellStyle name="20% - Ênfase5 28 3" xfId="6742" xr:uid="{00000000-0005-0000-0000-0000BE190000}"/>
    <cellStyle name="20% - Ênfase5 29" xfId="6743" xr:uid="{00000000-0005-0000-0000-0000BF190000}"/>
    <cellStyle name="20% - Ênfase5 3" xfId="6744" xr:uid="{00000000-0005-0000-0000-0000C0190000}"/>
    <cellStyle name="20% - Ênfase5 3 10" xfId="6745" xr:uid="{00000000-0005-0000-0000-0000C1190000}"/>
    <cellStyle name="20% - Ênfase5 3 10 2" xfId="6746" xr:uid="{00000000-0005-0000-0000-0000C2190000}"/>
    <cellStyle name="20% - Ênfase5 3 10 2 2" xfId="6747" xr:uid="{00000000-0005-0000-0000-0000C3190000}"/>
    <cellStyle name="20% - Ênfase5 3 10 3" xfId="6748" xr:uid="{00000000-0005-0000-0000-0000C4190000}"/>
    <cellStyle name="20% - Ênfase5 3 11" xfId="6749" xr:uid="{00000000-0005-0000-0000-0000C5190000}"/>
    <cellStyle name="20% - Ênfase5 3 11 2" xfId="6750" xr:uid="{00000000-0005-0000-0000-0000C6190000}"/>
    <cellStyle name="20% - Ênfase5 3 12" xfId="6751" xr:uid="{00000000-0005-0000-0000-0000C7190000}"/>
    <cellStyle name="20% - Ênfase5 3 2" xfId="6752" xr:uid="{00000000-0005-0000-0000-0000C8190000}"/>
    <cellStyle name="20% - Ênfase5 3 2 10" xfId="6753" xr:uid="{00000000-0005-0000-0000-0000C9190000}"/>
    <cellStyle name="20% - Ênfase5 3 2 2" xfId="6754" xr:uid="{00000000-0005-0000-0000-0000CA190000}"/>
    <cellStyle name="20% - Ênfase5 3 2 2 2" xfId="6755" xr:uid="{00000000-0005-0000-0000-0000CB190000}"/>
    <cellStyle name="20% - Ênfase5 3 2 2 2 2" xfId="6756" xr:uid="{00000000-0005-0000-0000-0000CC190000}"/>
    <cellStyle name="20% - Ênfase5 3 2 2 2 2 2" xfId="6757" xr:uid="{00000000-0005-0000-0000-0000CD190000}"/>
    <cellStyle name="20% - Ênfase5 3 2 2 2 2 2 2" xfId="6758" xr:uid="{00000000-0005-0000-0000-0000CE190000}"/>
    <cellStyle name="20% - Ênfase5 3 2 2 2 2 3" xfId="6759" xr:uid="{00000000-0005-0000-0000-0000CF190000}"/>
    <cellStyle name="20% - Ênfase5 3 2 2 2 2 3 2" xfId="6760" xr:uid="{00000000-0005-0000-0000-0000D0190000}"/>
    <cellStyle name="20% - Ênfase5 3 2 2 2 2 4" xfId="6761" xr:uid="{00000000-0005-0000-0000-0000D1190000}"/>
    <cellStyle name="20% - Ênfase5 3 2 2 2 3" xfId="6762" xr:uid="{00000000-0005-0000-0000-0000D2190000}"/>
    <cellStyle name="20% - Ênfase5 3 2 2 2 3 2" xfId="6763" xr:uid="{00000000-0005-0000-0000-0000D3190000}"/>
    <cellStyle name="20% - Ênfase5 3 2 2 2 4" xfId="6764" xr:uid="{00000000-0005-0000-0000-0000D4190000}"/>
    <cellStyle name="20% - Ênfase5 3 2 2 2 4 2" xfId="6765" xr:uid="{00000000-0005-0000-0000-0000D5190000}"/>
    <cellStyle name="20% - Ênfase5 3 2 2 2 5" xfId="6766" xr:uid="{00000000-0005-0000-0000-0000D6190000}"/>
    <cellStyle name="20% - Ênfase5 3 2 2 3" xfId="6767" xr:uid="{00000000-0005-0000-0000-0000D7190000}"/>
    <cellStyle name="20% - Ênfase5 3 2 2 3 2" xfId="6768" xr:uid="{00000000-0005-0000-0000-0000D8190000}"/>
    <cellStyle name="20% - Ênfase5 3 2 2 3 2 2" xfId="6769" xr:uid="{00000000-0005-0000-0000-0000D9190000}"/>
    <cellStyle name="20% - Ênfase5 3 2 2 3 3" xfId="6770" xr:uid="{00000000-0005-0000-0000-0000DA190000}"/>
    <cellStyle name="20% - Ênfase5 3 2 2 3 3 2" xfId="6771" xr:uid="{00000000-0005-0000-0000-0000DB190000}"/>
    <cellStyle name="20% - Ênfase5 3 2 2 3 4" xfId="6772" xr:uid="{00000000-0005-0000-0000-0000DC190000}"/>
    <cellStyle name="20% - Ênfase5 3 2 2 4" xfId="6773" xr:uid="{00000000-0005-0000-0000-0000DD190000}"/>
    <cellStyle name="20% - Ênfase5 3 2 2 4 2" xfId="6774" xr:uid="{00000000-0005-0000-0000-0000DE190000}"/>
    <cellStyle name="20% - Ênfase5 3 2 2 4 2 2" xfId="6775" xr:uid="{00000000-0005-0000-0000-0000DF190000}"/>
    <cellStyle name="20% - Ênfase5 3 2 2 4 3" xfId="6776" xr:uid="{00000000-0005-0000-0000-0000E0190000}"/>
    <cellStyle name="20% - Ênfase5 3 2 2 5" xfId="6777" xr:uid="{00000000-0005-0000-0000-0000E1190000}"/>
    <cellStyle name="20% - Ênfase5 3 2 2 5 2" xfId="6778" xr:uid="{00000000-0005-0000-0000-0000E2190000}"/>
    <cellStyle name="20% - Ênfase5 3 2 2 6" xfId="6779" xr:uid="{00000000-0005-0000-0000-0000E3190000}"/>
    <cellStyle name="20% - Ênfase5 3 2 3" xfId="6780" xr:uid="{00000000-0005-0000-0000-0000E4190000}"/>
    <cellStyle name="20% - Ênfase5 3 2 3 2" xfId="6781" xr:uid="{00000000-0005-0000-0000-0000E5190000}"/>
    <cellStyle name="20% - Ênfase5 3 2 3 2 2" xfId="6782" xr:uid="{00000000-0005-0000-0000-0000E6190000}"/>
    <cellStyle name="20% - Ênfase5 3 2 3 2 2 2" xfId="6783" xr:uid="{00000000-0005-0000-0000-0000E7190000}"/>
    <cellStyle name="20% - Ênfase5 3 2 3 2 3" xfId="6784" xr:uid="{00000000-0005-0000-0000-0000E8190000}"/>
    <cellStyle name="20% - Ênfase5 3 2 3 2 3 2" xfId="6785" xr:uid="{00000000-0005-0000-0000-0000E9190000}"/>
    <cellStyle name="20% - Ênfase5 3 2 3 2 4" xfId="6786" xr:uid="{00000000-0005-0000-0000-0000EA190000}"/>
    <cellStyle name="20% - Ênfase5 3 2 3 3" xfId="6787" xr:uid="{00000000-0005-0000-0000-0000EB190000}"/>
    <cellStyle name="20% - Ênfase5 3 2 3 3 2" xfId="6788" xr:uid="{00000000-0005-0000-0000-0000EC190000}"/>
    <cellStyle name="20% - Ênfase5 3 2 3 3 2 2" xfId="6789" xr:uid="{00000000-0005-0000-0000-0000ED190000}"/>
    <cellStyle name="20% - Ênfase5 3 2 3 3 3" xfId="6790" xr:uid="{00000000-0005-0000-0000-0000EE190000}"/>
    <cellStyle name="20% - Ênfase5 3 2 3 3 3 2" xfId="6791" xr:uid="{00000000-0005-0000-0000-0000EF190000}"/>
    <cellStyle name="20% - Ênfase5 3 2 3 3 4" xfId="6792" xr:uid="{00000000-0005-0000-0000-0000F0190000}"/>
    <cellStyle name="20% - Ênfase5 3 2 3 4" xfId="6793" xr:uid="{00000000-0005-0000-0000-0000F1190000}"/>
    <cellStyle name="20% - Ênfase5 3 2 3 4 2" xfId="6794" xr:uid="{00000000-0005-0000-0000-0000F2190000}"/>
    <cellStyle name="20% - Ênfase5 3 2 3 5" xfId="6795" xr:uid="{00000000-0005-0000-0000-0000F3190000}"/>
    <cellStyle name="20% - Ênfase5 3 2 3 5 2" xfId="6796" xr:uid="{00000000-0005-0000-0000-0000F4190000}"/>
    <cellStyle name="20% - Ênfase5 3 2 3 6" xfId="6797" xr:uid="{00000000-0005-0000-0000-0000F5190000}"/>
    <cellStyle name="20% - Ênfase5 3 2 4" xfId="6798" xr:uid="{00000000-0005-0000-0000-0000F6190000}"/>
    <cellStyle name="20% - Ênfase5 3 2 4 2" xfId="6799" xr:uid="{00000000-0005-0000-0000-0000F7190000}"/>
    <cellStyle name="20% - Ênfase5 3 2 4 2 2" xfId="6800" xr:uid="{00000000-0005-0000-0000-0000F8190000}"/>
    <cellStyle name="20% - Ênfase5 3 2 4 3" xfId="6801" xr:uid="{00000000-0005-0000-0000-0000F9190000}"/>
    <cellStyle name="20% - Ênfase5 3 2 4 3 2" xfId="6802" xr:uid="{00000000-0005-0000-0000-0000FA190000}"/>
    <cellStyle name="20% - Ênfase5 3 2 4 4" xfId="6803" xr:uid="{00000000-0005-0000-0000-0000FB190000}"/>
    <cellStyle name="20% - Ênfase5 3 2 5" xfId="6804" xr:uid="{00000000-0005-0000-0000-0000FC190000}"/>
    <cellStyle name="20% - Ênfase5 3 2 5 2" xfId="6805" xr:uid="{00000000-0005-0000-0000-0000FD190000}"/>
    <cellStyle name="20% - Ênfase5 3 2 5 2 2" xfId="6806" xr:uid="{00000000-0005-0000-0000-0000FE190000}"/>
    <cellStyle name="20% - Ênfase5 3 2 5 3" xfId="6807" xr:uid="{00000000-0005-0000-0000-0000FF190000}"/>
    <cellStyle name="20% - Ênfase5 3 2 6" xfId="6808" xr:uid="{00000000-0005-0000-0000-0000001A0000}"/>
    <cellStyle name="20% - Ênfase5 3 2 6 2" xfId="6809" xr:uid="{00000000-0005-0000-0000-0000011A0000}"/>
    <cellStyle name="20% - Ênfase5 3 2 6 2 2" xfId="6810" xr:uid="{00000000-0005-0000-0000-0000021A0000}"/>
    <cellStyle name="20% - Ênfase5 3 2 6 3" xfId="6811" xr:uid="{00000000-0005-0000-0000-0000031A0000}"/>
    <cellStyle name="20% - Ênfase5 3 2 7" xfId="6812" xr:uid="{00000000-0005-0000-0000-0000041A0000}"/>
    <cellStyle name="20% - Ênfase5 3 2 7 2" xfId="6813" xr:uid="{00000000-0005-0000-0000-0000051A0000}"/>
    <cellStyle name="20% - Ênfase5 3 2 7 2 2" xfId="6814" xr:uid="{00000000-0005-0000-0000-0000061A0000}"/>
    <cellStyle name="20% - Ênfase5 3 2 7 3" xfId="6815" xr:uid="{00000000-0005-0000-0000-0000071A0000}"/>
    <cellStyle name="20% - Ênfase5 3 2 8" xfId="6816" xr:uid="{00000000-0005-0000-0000-0000081A0000}"/>
    <cellStyle name="20% - Ênfase5 3 2 8 2" xfId="6817" xr:uid="{00000000-0005-0000-0000-0000091A0000}"/>
    <cellStyle name="20% - Ênfase5 3 2 8 2 2" xfId="6818" xr:uid="{00000000-0005-0000-0000-00000A1A0000}"/>
    <cellStyle name="20% - Ênfase5 3 2 8 3" xfId="6819" xr:uid="{00000000-0005-0000-0000-00000B1A0000}"/>
    <cellStyle name="20% - Ênfase5 3 2 9" xfId="6820" xr:uid="{00000000-0005-0000-0000-00000C1A0000}"/>
    <cellStyle name="20% - Ênfase5 3 2 9 2" xfId="6821" xr:uid="{00000000-0005-0000-0000-00000D1A0000}"/>
    <cellStyle name="20% - Ênfase5 3 3" xfId="6822" xr:uid="{00000000-0005-0000-0000-00000E1A0000}"/>
    <cellStyle name="20% - Ênfase5 3 3 2" xfId="6823" xr:uid="{00000000-0005-0000-0000-00000F1A0000}"/>
    <cellStyle name="20% - Ênfase5 3 3 2 2" xfId="6824" xr:uid="{00000000-0005-0000-0000-0000101A0000}"/>
    <cellStyle name="20% - Ênfase5 3 3 2 2 2" xfId="6825" xr:uid="{00000000-0005-0000-0000-0000111A0000}"/>
    <cellStyle name="20% - Ênfase5 3 3 2 2 2 2" xfId="6826" xr:uid="{00000000-0005-0000-0000-0000121A0000}"/>
    <cellStyle name="20% - Ênfase5 3 3 2 2 3" xfId="6827" xr:uid="{00000000-0005-0000-0000-0000131A0000}"/>
    <cellStyle name="20% - Ênfase5 3 3 2 2 3 2" xfId="6828" xr:uid="{00000000-0005-0000-0000-0000141A0000}"/>
    <cellStyle name="20% - Ênfase5 3 3 2 2 4" xfId="6829" xr:uid="{00000000-0005-0000-0000-0000151A0000}"/>
    <cellStyle name="20% - Ênfase5 3 3 2 3" xfId="6830" xr:uid="{00000000-0005-0000-0000-0000161A0000}"/>
    <cellStyle name="20% - Ênfase5 3 3 2 3 2" xfId="6831" xr:uid="{00000000-0005-0000-0000-0000171A0000}"/>
    <cellStyle name="20% - Ênfase5 3 3 2 4" xfId="6832" xr:uid="{00000000-0005-0000-0000-0000181A0000}"/>
    <cellStyle name="20% - Ênfase5 3 3 2 4 2" xfId="6833" xr:uid="{00000000-0005-0000-0000-0000191A0000}"/>
    <cellStyle name="20% - Ênfase5 3 3 2 5" xfId="6834" xr:uid="{00000000-0005-0000-0000-00001A1A0000}"/>
    <cellStyle name="20% - Ênfase5 3 3 3" xfId="6835" xr:uid="{00000000-0005-0000-0000-00001B1A0000}"/>
    <cellStyle name="20% - Ênfase5 3 3 3 2" xfId="6836" xr:uid="{00000000-0005-0000-0000-00001C1A0000}"/>
    <cellStyle name="20% - Ênfase5 3 3 3 2 2" xfId="6837" xr:uid="{00000000-0005-0000-0000-00001D1A0000}"/>
    <cellStyle name="20% - Ênfase5 3 3 3 3" xfId="6838" xr:uid="{00000000-0005-0000-0000-00001E1A0000}"/>
    <cellStyle name="20% - Ênfase5 3 3 3 3 2" xfId="6839" xr:uid="{00000000-0005-0000-0000-00001F1A0000}"/>
    <cellStyle name="20% - Ênfase5 3 3 3 4" xfId="6840" xr:uid="{00000000-0005-0000-0000-0000201A0000}"/>
    <cellStyle name="20% - Ênfase5 3 3 4" xfId="6841" xr:uid="{00000000-0005-0000-0000-0000211A0000}"/>
    <cellStyle name="20% - Ênfase5 3 3 4 2" xfId="6842" xr:uid="{00000000-0005-0000-0000-0000221A0000}"/>
    <cellStyle name="20% - Ênfase5 3 3 4 2 2" xfId="6843" xr:uid="{00000000-0005-0000-0000-0000231A0000}"/>
    <cellStyle name="20% - Ênfase5 3 3 4 3" xfId="6844" xr:uid="{00000000-0005-0000-0000-0000241A0000}"/>
    <cellStyle name="20% - Ênfase5 3 3 5" xfId="6845" xr:uid="{00000000-0005-0000-0000-0000251A0000}"/>
    <cellStyle name="20% - Ênfase5 3 3 5 2" xfId="6846" xr:uid="{00000000-0005-0000-0000-0000261A0000}"/>
    <cellStyle name="20% - Ênfase5 3 3 6" xfId="6847" xr:uid="{00000000-0005-0000-0000-0000271A0000}"/>
    <cellStyle name="20% - Ênfase5 3 4" xfId="6848" xr:uid="{00000000-0005-0000-0000-0000281A0000}"/>
    <cellStyle name="20% - Ênfase5 3 4 2" xfId="6849" xr:uid="{00000000-0005-0000-0000-0000291A0000}"/>
    <cellStyle name="20% - Ênfase5 3 4 2 2" xfId="6850" xr:uid="{00000000-0005-0000-0000-00002A1A0000}"/>
    <cellStyle name="20% - Ênfase5 3 4 2 2 2" xfId="6851" xr:uid="{00000000-0005-0000-0000-00002B1A0000}"/>
    <cellStyle name="20% - Ênfase5 3 4 2 3" xfId="6852" xr:uid="{00000000-0005-0000-0000-00002C1A0000}"/>
    <cellStyle name="20% - Ênfase5 3 4 2 3 2" xfId="6853" xr:uid="{00000000-0005-0000-0000-00002D1A0000}"/>
    <cellStyle name="20% - Ênfase5 3 4 2 4" xfId="6854" xr:uid="{00000000-0005-0000-0000-00002E1A0000}"/>
    <cellStyle name="20% - Ênfase5 3 4 3" xfId="6855" xr:uid="{00000000-0005-0000-0000-00002F1A0000}"/>
    <cellStyle name="20% - Ênfase5 3 4 3 2" xfId="6856" xr:uid="{00000000-0005-0000-0000-0000301A0000}"/>
    <cellStyle name="20% - Ênfase5 3 4 3 2 2" xfId="6857" xr:uid="{00000000-0005-0000-0000-0000311A0000}"/>
    <cellStyle name="20% - Ênfase5 3 4 3 3" xfId="6858" xr:uid="{00000000-0005-0000-0000-0000321A0000}"/>
    <cellStyle name="20% - Ênfase5 3 4 3 3 2" xfId="6859" xr:uid="{00000000-0005-0000-0000-0000331A0000}"/>
    <cellStyle name="20% - Ênfase5 3 4 3 4" xfId="6860" xr:uid="{00000000-0005-0000-0000-0000341A0000}"/>
    <cellStyle name="20% - Ênfase5 3 4 4" xfId="6861" xr:uid="{00000000-0005-0000-0000-0000351A0000}"/>
    <cellStyle name="20% - Ênfase5 3 4 4 2" xfId="6862" xr:uid="{00000000-0005-0000-0000-0000361A0000}"/>
    <cellStyle name="20% - Ênfase5 3 4 5" xfId="6863" xr:uid="{00000000-0005-0000-0000-0000371A0000}"/>
    <cellStyle name="20% - Ênfase5 3 4 5 2" xfId="6864" xr:uid="{00000000-0005-0000-0000-0000381A0000}"/>
    <cellStyle name="20% - Ênfase5 3 4 6" xfId="6865" xr:uid="{00000000-0005-0000-0000-0000391A0000}"/>
    <cellStyle name="20% - Ênfase5 3 5" xfId="6866" xr:uid="{00000000-0005-0000-0000-00003A1A0000}"/>
    <cellStyle name="20% - Ênfase5 3 5 2" xfId="6867" xr:uid="{00000000-0005-0000-0000-00003B1A0000}"/>
    <cellStyle name="20% - Ênfase5 3 5 2 2" xfId="6868" xr:uid="{00000000-0005-0000-0000-00003C1A0000}"/>
    <cellStyle name="20% - Ênfase5 3 5 2 2 2" xfId="6869" xr:uid="{00000000-0005-0000-0000-00003D1A0000}"/>
    <cellStyle name="20% - Ênfase5 3 5 2 3" xfId="6870" xr:uid="{00000000-0005-0000-0000-00003E1A0000}"/>
    <cellStyle name="20% - Ênfase5 3 5 2 3 2" xfId="6871" xr:uid="{00000000-0005-0000-0000-00003F1A0000}"/>
    <cellStyle name="20% - Ênfase5 3 5 2 4" xfId="6872" xr:uid="{00000000-0005-0000-0000-0000401A0000}"/>
    <cellStyle name="20% - Ênfase5 3 5 3" xfId="6873" xr:uid="{00000000-0005-0000-0000-0000411A0000}"/>
    <cellStyle name="20% - Ênfase5 3 5 3 2" xfId="6874" xr:uid="{00000000-0005-0000-0000-0000421A0000}"/>
    <cellStyle name="20% - Ênfase5 3 5 3 2 2" xfId="6875" xr:uid="{00000000-0005-0000-0000-0000431A0000}"/>
    <cellStyle name="20% - Ênfase5 3 5 3 3" xfId="6876" xr:uid="{00000000-0005-0000-0000-0000441A0000}"/>
    <cellStyle name="20% - Ênfase5 3 5 3 3 2" xfId="6877" xr:uid="{00000000-0005-0000-0000-0000451A0000}"/>
    <cellStyle name="20% - Ênfase5 3 5 3 4" xfId="6878" xr:uid="{00000000-0005-0000-0000-0000461A0000}"/>
    <cellStyle name="20% - Ênfase5 3 5 4" xfId="6879" xr:uid="{00000000-0005-0000-0000-0000471A0000}"/>
    <cellStyle name="20% - Ênfase5 3 5 4 2" xfId="6880" xr:uid="{00000000-0005-0000-0000-0000481A0000}"/>
    <cellStyle name="20% - Ênfase5 3 5 5" xfId="6881" xr:uid="{00000000-0005-0000-0000-0000491A0000}"/>
    <cellStyle name="20% - Ênfase5 3 5 5 2" xfId="6882" xr:uid="{00000000-0005-0000-0000-00004A1A0000}"/>
    <cellStyle name="20% - Ênfase5 3 5 6" xfId="6883" xr:uid="{00000000-0005-0000-0000-00004B1A0000}"/>
    <cellStyle name="20% - Ênfase5 3 6" xfId="6884" xr:uid="{00000000-0005-0000-0000-00004C1A0000}"/>
    <cellStyle name="20% - Ênfase5 3 6 2" xfId="6885" xr:uid="{00000000-0005-0000-0000-00004D1A0000}"/>
    <cellStyle name="20% - Ênfase5 3 6 2 2" xfId="6886" xr:uid="{00000000-0005-0000-0000-00004E1A0000}"/>
    <cellStyle name="20% - Ênfase5 3 6 3" xfId="6887" xr:uid="{00000000-0005-0000-0000-00004F1A0000}"/>
    <cellStyle name="20% - Ênfase5 3 6 3 2" xfId="6888" xr:uid="{00000000-0005-0000-0000-0000501A0000}"/>
    <cellStyle name="20% - Ênfase5 3 6 4" xfId="6889" xr:uid="{00000000-0005-0000-0000-0000511A0000}"/>
    <cellStyle name="20% - Ênfase5 3 7" xfId="6890" xr:uid="{00000000-0005-0000-0000-0000521A0000}"/>
    <cellStyle name="20% - Ênfase5 3 7 2" xfId="6891" xr:uid="{00000000-0005-0000-0000-0000531A0000}"/>
    <cellStyle name="20% - Ênfase5 3 7 2 2" xfId="6892" xr:uid="{00000000-0005-0000-0000-0000541A0000}"/>
    <cellStyle name="20% - Ênfase5 3 7 3" xfId="6893" xr:uid="{00000000-0005-0000-0000-0000551A0000}"/>
    <cellStyle name="20% - Ênfase5 3 8" xfId="6894" xr:uid="{00000000-0005-0000-0000-0000561A0000}"/>
    <cellStyle name="20% - Ênfase5 3 8 2" xfId="6895" xr:uid="{00000000-0005-0000-0000-0000571A0000}"/>
    <cellStyle name="20% - Ênfase5 3 8 2 2" xfId="6896" xr:uid="{00000000-0005-0000-0000-0000581A0000}"/>
    <cellStyle name="20% - Ênfase5 3 8 3" xfId="6897" xr:uid="{00000000-0005-0000-0000-0000591A0000}"/>
    <cellStyle name="20% - Ênfase5 3 9" xfId="6898" xr:uid="{00000000-0005-0000-0000-00005A1A0000}"/>
    <cellStyle name="20% - Ênfase5 3 9 2" xfId="6899" xr:uid="{00000000-0005-0000-0000-00005B1A0000}"/>
    <cellStyle name="20% - Ênfase5 3 9 2 2" xfId="6900" xr:uid="{00000000-0005-0000-0000-00005C1A0000}"/>
    <cellStyle name="20% - Ênfase5 3 9 3" xfId="6901" xr:uid="{00000000-0005-0000-0000-00005D1A0000}"/>
    <cellStyle name="20% - Ênfase5 30" xfId="6902" xr:uid="{00000000-0005-0000-0000-00005E1A0000}"/>
    <cellStyle name="20% - Ênfase5 31" xfId="6903" xr:uid="{00000000-0005-0000-0000-00005F1A0000}"/>
    <cellStyle name="20% - Ênfase5 32" xfId="6904" xr:uid="{00000000-0005-0000-0000-0000601A0000}"/>
    <cellStyle name="20% - Ênfase5 33" xfId="6905" xr:uid="{00000000-0005-0000-0000-0000611A0000}"/>
    <cellStyle name="20% - Ênfase5 4" xfId="6906" xr:uid="{00000000-0005-0000-0000-0000621A0000}"/>
    <cellStyle name="20% - Ênfase5 4 10" xfId="6907" xr:uid="{00000000-0005-0000-0000-0000631A0000}"/>
    <cellStyle name="20% - Ênfase5 4 10 2" xfId="6908" xr:uid="{00000000-0005-0000-0000-0000641A0000}"/>
    <cellStyle name="20% - Ênfase5 4 11" xfId="6909" xr:uid="{00000000-0005-0000-0000-0000651A0000}"/>
    <cellStyle name="20% - Ênfase5 4 2" xfId="6910" xr:uid="{00000000-0005-0000-0000-0000661A0000}"/>
    <cellStyle name="20% - Ênfase5 4 2 2" xfId="6911" xr:uid="{00000000-0005-0000-0000-0000671A0000}"/>
    <cellStyle name="20% - Ênfase5 4 2 2 2" xfId="6912" xr:uid="{00000000-0005-0000-0000-0000681A0000}"/>
    <cellStyle name="20% - Ênfase5 4 2 2 2 2" xfId="6913" xr:uid="{00000000-0005-0000-0000-0000691A0000}"/>
    <cellStyle name="20% - Ênfase5 4 2 2 2 2 2" xfId="6914" xr:uid="{00000000-0005-0000-0000-00006A1A0000}"/>
    <cellStyle name="20% - Ênfase5 4 2 2 2 3" xfId="6915" xr:uid="{00000000-0005-0000-0000-00006B1A0000}"/>
    <cellStyle name="20% - Ênfase5 4 2 2 2 3 2" xfId="6916" xr:uid="{00000000-0005-0000-0000-00006C1A0000}"/>
    <cellStyle name="20% - Ênfase5 4 2 2 2 4" xfId="6917" xr:uid="{00000000-0005-0000-0000-00006D1A0000}"/>
    <cellStyle name="20% - Ênfase5 4 2 2 3" xfId="6918" xr:uid="{00000000-0005-0000-0000-00006E1A0000}"/>
    <cellStyle name="20% - Ênfase5 4 2 2 3 2" xfId="6919" xr:uid="{00000000-0005-0000-0000-00006F1A0000}"/>
    <cellStyle name="20% - Ênfase5 4 2 2 3 2 2" xfId="6920" xr:uid="{00000000-0005-0000-0000-0000701A0000}"/>
    <cellStyle name="20% - Ênfase5 4 2 2 3 3" xfId="6921" xr:uid="{00000000-0005-0000-0000-0000711A0000}"/>
    <cellStyle name="20% - Ênfase5 4 2 2 3 3 2" xfId="6922" xr:uid="{00000000-0005-0000-0000-0000721A0000}"/>
    <cellStyle name="20% - Ênfase5 4 2 2 3 4" xfId="6923" xr:uid="{00000000-0005-0000-0000-0000731A0000}"/>
    <cellStyle name="20% - Ênfase5 4 2 2 4" xfId="6924" xr:uid="{00000000-0005-0000-0000-0000741A0000}"/>
    <cellStyle name="20% - Ênfase5 4 2 2 4 2" xfId="6925" xr:uid="{00000000-0005-0000-0000-0000751A0000}"/>
    <cellStyle name="20% - Ênfase5 4 2 2 5" xfId="6926" xr:uid="{00000000-0005-0000-0000-0000761A0000}"/>
    <cellStyle name="20% - Ênfase5 4 2 2 5 2" xfId="6927" xr:uid="{00000000-0005-0000-0000-0000771A0000}"/>
    <cellStyle name="20% - Ênfase5 4 2 2 6" xfId="6928" xr:uid="{00000000-0005-0000-0000-0000781A0000}"/>
    <cellStyle name="20% - Ênfase5 4 2 3" xfId="6929" xr:uid="{00000000-0005-0000-0000-0000791A0000}"/>
    <cellStyle name="20% - Ênfase5 4 2 3 2" xfId="6930" xr:uid="{00000000-0005-0000-0000-00007A1A0000}"/>
    <cellStyle name="20% - Ênfase5 4 2 3 2 2" xfId="6931" xr:uid="{00000000-0005-0000-0000-00007B1A0000}"/>
    <cellStyle name="20% - Ênfase5 4 2 3 3" xfId="6932" xr:uid="{00000000-0005-0000-0000-00007C1A0000}"/>
    <cellStyle name="20% - Ênfase5 4 2 3 3 2" xfId="6933" xr:uid="{00000000-0005-0000-0000-00007D1A0000}"/>
    <cellStyle name="20% - Ênfase5 4 2 3 4" xfId="6934" xr:uid="{00000000-0005-0000-0000-00007E1A0000}"/>
    <cellStyle name="20% - Ênfase5 4 2 4" xfId="6935" xr:uid="{00000000-0005-0000-0000-00007F1A0000}"/>
    <cellStyle name="20% - Ênfase5 4 2 4 2" xfId="6936" xr:uid="{00000000-0005-0000-0000-0000801A0000}"/>
    <cellStyle name="20% - Ênfase5 4 2 4 2 2" xfId="6937" xr:uid="{00000000-0005-0000-0000-0000811A0000}"/>
    <cellStyle name="20% - Ênfase5 4 2 4 3" xfId="6938" xr:uid="{00000000-0005-0000-0000-0000821A0000}"/>
    <cellStyle name="20% - Ênfase5 4 2 5" xfId="6939" xr:uid="{00000000-0005-0000-0000-0000831A0000}"/>
    <cellStyle name="20% - Ênfase5 4 2 5 2" xfId="6940" xr:uid="{00000000-0005-0000-0000-0000841A0000}"/>
    <cellStyle name="20% - Ênfase5 4 2 5 2 2" xfId="6941" xr:uid="{00000000-0005-0000-0000-0000851A0000}"/>
    <cellStyle name="20% - Ênfase5 4 2 5 3" xfId="6942" xr:uid="{00000000-0005-0000-0000-0000861A0000}"/>
    <cellStyle name="20% - Ênfase5 4 2 6" xfId="6943" xr:uid="{00000000-0005-0000-0000-0000871A0000}"/>
    <cellStyle name="20% - Ênfase5 4 2 6 2" xfId="6944" xr:uid="{00000000-0005-0000-0000-0000881A0000}"/>
    <cellStyle name="20% - Ênfase5 4 2 6 2 2" xfId="6945" xr:uid="{00000000-0005-0000-0000-0000891A0000}"/>
    <cellStyle name="20% - Ênfase5 4 2 6 3" xfId="6946" xr:uid="{00000000-0005-0000-0000-00008A1A0000}"/>
    <cellStyle name="20% - Ênfase5 4 2 7" xfId="6947" xr:uid="{00000000-0005-0000-0000-00008B1A0000}"/>
    <cellStyle name="20% - Ênfase5 4 2 7 2" xfId="6948" xr:uid="{00000000-0005-0000-0000-00008C1A0000}"/>
    <cellStyle name="20% - Ênfase5 4 2 7 2 2" xfId="6949" xr:uid="{00000000-0005-0000-0000-00008D1A0000}"/>
    <cellStyle name="20% - Ênfase5 4 2 7 3" xfId="6950" xr:uid="{00000000-0005-0000-0000-00008E1A0000}"/>
    <cellStyle name="20% - Ênfase5 4 2 8" xfId="6951" xr:uid="{00000000-0005-0000-0000-00008F1A0000}"/>
    <cellStyle name="20% - Ênfase5 4 2 8 2" xfId="6952" xr:uid="{00000000-0005-0000-0000-0000901A0000}"/>
    <cellStyle name="20% - Ênfase5 4 2 9" xfId="6953" xr:uid="{00000000-0005-0000-0000-0000911A0000}"/>
    <cellStyle name="20% - Ênfase5 4 3" xfId="6954" xr:uid="{00000000-0005-0000-0000-0000921A0000}"/>
    <cellStyle name="20% - Ênfase5 4 3 2" xfId="6955" xr:uid="{00000000-0005-0000-0000-0000931A0000}"/>
    <cellStyle name="20% - Ênfase5 4 3 2 2" xfId="6956" xr:uid="{00000000-0005-0000-0000-0000941A0000}"/>
    <cellStyle name="20% - Ênfase5 4 3 2 2 2" xfId="6957" xr:uid="{00000000-0005-0000-0000-0000951A0000}"/>
    <cellStyle name="20% - Ênfase5 4 3 2 3" xfId="6958" xr:uid="{00000000-0005-0000-0000-0000961A0000}"/>
    <cellStyle name="20% - Ênfase5 4 3 2 3 2" xfId="6959" xr:uid="{00000000-0005-0000-0000-0000971A0000}"/>
    <cellStyle name="20% - Ênfase5 4 3 2 4" xfId="6960" xr:uid="{00000000-0005-0000-0000-0000981A0000}"/>
    <cellStyle name="20% - Ênfase5 4 3 3" xfId="6961" xr:uid="{00000000-0005-0000-0000-0000991A0000}"/>
    <cellStyle name="20% - Ênfase5 4 3 3 2" xfId="6962" xr:uid="{00000000-0005-0000-0000-00009A1A0000}"/>
    <cellStyle name="20% - Ênfase5 4 3 3 2 2" xfId="6963" xr:uid="{00000000-0005-0000-0000-00009B1A0000}"/>
    <cellStyle name="20% - Ênfase5 4 3 3 3" xfId="6964" xr:uid="{00000000-0005-0000-0000-00009C1A0000}"/>
    <cellStyle name="20% - Ênfase5 4 3 3 3 2" xfId="6965" xr:uid="{00000000-0005-0000-0000-00009D1A0000}"/>
    <cellStyle name="20% - Ênfase5 4 3 3 4" xfId="6966" xr:uid="{00000000-0005-0000-0000-00009E1A0000}"/>
    <cellStyle name="20% - Ênfase5 4 3 4" xfId="6967" xr:uid="{00000000-0005-0000-0000-00009F1A0000}"/>
    <cellStyle name="20% - Ênfase5 4 3 4 2" xfId="6968" xr:uid="{00000000-0005-0000-0000-0000A01A0000}"/>
    <cellStyle name="20% - Ênfase5 4 3 5" xfId="6969" xr:uid="{00000000-0005-0000-0000-0000A11A0000}"/>
    <cellStyle name="20% - Ênfase5 4 3 5 2" xfId="6970" xr:uid="{00000000-0005-0000-0000-0000A21A0000}"/>
    <cellStyle name="20% - Ênfase5 4 3 6" xfId="6971" xr:uid="{00000000-0005-0000-0000-0000A31A0000}"/>
    <cellStyle name="20% - Ênfase5 4 4" xfId="6972" xr:uid="{00000000-0005-0000-0000-0000A41A0000}"/>
    <cellStyle name="20% - Ênfase5 4 4 2" xfId="6973" xr:uid="{00000000-0005-0000-0000-0000A51A0000}"/>
    <cellStyle name="20% - Ênfase5 4 4 2 2" xfId="6974" xr:uid="{00000000-0005-0000-0000-0000A61A0000}"/>
    <cellStyle name="20% - Ênfase5 4 4 2 2 2" xfId="6975" xr:uid="{00000000-0005-0000-0000-0000A71A0000}"/>
    <cellStyle name="20% - Ênfase5 4 4 2 3" xfId="6976" xr:uid="{00000000-0005-0000-0000-0000A81A0000}"/>
    <cellStyle name="20% - Ênfase5 4 4 2 3 2" xfId="6977" xr:uid="{00000000-0005-0000-0000-0000A91A0000}"/>
    <cellStyle name="20% - Ênfase5 4 4 2 4" xfId="6978" xr:uid="{00000000-0005-0000-0000-0000AA1A0000}"/>
    <cellStyle name="20% - Ênfase5 4 4 3" xfId="6979" xr:uid="{00000000-0005-0000-0000-0000AB1A0000}"/>
    <cellStyle name="20% - Ênfase5 4 4 3 2" xfId="6980" xr:uid="{00000000-0005-0000-0000-0000AC1A0000}"/>
    <cellStyle name="20% - Ênfase5 4 4 3 2 2" xfId="6981" xr:uid="{00000000-0005-0000-0000-0000AD1A0000}"/>
    <cellStyle name="20% - Ênfase5 4 4 3 3" xfId="6982" xr:uid="{00000000-0005-0000-0000-0000AE1A0000}"/>
    <cellStyle name="20% - Ênfase5 4 4 3 3 2" xfId="6983" xr:uid="{00000000-0005-0000-0000-0000AF1A0000}"/>
    <cellStyle name="20% - Ênfase5 4 4 3 4" xfId="6984" xr:uid="{00000000-0005-0000-0000-0000B01A0000}"/>
    <cellStyle name="20% - Ênfase5 4 4 4" xfId="6985" xr:uid="{00000000-0005-0000-0000-0000B11A0000}"/>
    <cellStyle name="20% - Ênfase5 4 4 4 2" xfId="6986" xr:uid="{00000000-0005-0000-0000-0000B21A0000}"/>
    <cellStyle name="20% - Ênfase5 4 4 5" xfId="6987" xr:uid="{00000000-0005-0000-0000-0000B31A0000}"/>
    <cellStyle name="20% - Ênfase5 4 4 5 2" xfId="6988" xr:uid="{00000000-0005-0000-0000-0000B41A0000}"/>
    <cellStyle name="20% - Ênfase5 4 4 6" xfId="6989" xr:uid="{00000000-0005-0000-0000-0000B51A0000}"/>
    <cellStyle name="20% - Ênfase5 4 5" xfId="6990" xr:uid="{00000000-0005-0000-0000-0000B61A0000}"/>
    <cellStyle name="20% - Ênfase5 4 5 2" xfId="6991" xr:uid="{00000000-0005-0000-0000-0000B71A0000}"/>
    <cellStyle name="20% - Ênfase5 4 5 2 2" xfId="6992" xr:uid="{00000000-0005-0000-0000-0000B81A0000}"/>
    <cellStyle name="20% - Ênfase5 4 5 3" xfId="6993" xr:uid="{00000000-0005-0000-0000-0000B91A0000}"/>
    <cellStyle name="20% - Ênfase5 4 5 3 2" xfId="6994" xr:uid="{00000000-0005-0000-0000-0000BA1A0000}"/>
    <cellStyle name="20% - Ênfase5 4 5 4" xfId="6995" xr:uid="{00000000-0005-0000-0000-0000BB1A0000}"/>
    <cellStyle name="20% - Ênfase5 4 6" xfId="6996" xr:uid="{00000000-0005-0000-0000-0000BC1A0000}"/>
    <cellStyle name="20% - Ênfase5 4 6 2" xfId="6997" xr:uid="{00000000-0005-0000-0000-0000BD1A0000}"/>
    <cellStyle name="20% - Ênfase5 4 6 2 2" xfId="6998" xr:uid="{00000000-0005-0000-0000-0000BE1A0000}"/>
    <cellStyle name="20% - Ênfase5 4 6 3" xfId="6999" xr:uid="{00000000-0005-0000-0000-0000BF1A0000}"/>
    <cellStyle name="20% - Ênfase5 4 7" xfId="7000" xr:uid="{00000000-0005-0000-0000-0000C01A0000}"/>
    <cellStyle name="20% - Ênfase5 4 7 2" xfId="7001" xr:uid="{00000000-0005-0000-0000-0000C11A0000}"/>
    <cellStyle name="20% - Ênfase5 4 7 2 2" xfId="7002" xr:uid="{00000000-0005-0000-0000-0000C21A0000}"/>
    <cellStyle name="20% - Ênfase5 4 7 3" xfId="7003" xr:uid="{00000000-0005-0000-0000-0000C31A0000}"/>
    <cellStyle name="20% - Ênfase5 4 8" xfId="7004" xr:uid="{00000000-0005-0000-0000-0000C41A0000}"/>
    <cellStyle name="20% - Ênfase5 4 8 2" xfId="7005" xr:uid="{00000000-0005-0000-0000-0000C51A0000}"/>
    <cellStyle name="20% - Ênfase5 4 8 2 2" xfId="7006" xr:uid="{00000000-0005-0000-0000-0000C61A0000}"/>
    <cellStyle name="20% - Ênfase5 4 8 3" xfId="7007" xr:uid="{00000000-0005-0000-0000-0000C71A0000}"/>
    <cellStyle name="20% - Ênfase5 4 9" xfId="7008" xr:uid="{00000000-0005-0000-0000-0000C81A0000}"/>
    <cellStyle name="20% - Ênfase5 4 9 2" xfId="7009" xr:uid="{00000000-0005-0000-0000-0000C91A0000}"/>
    <cellStyle name="20% - Ênfase5 4 9 2 2" xfId="7010" xr:uid="{00000000-0005-0000-0000-0000CA1A0000}"/>
    <cellStyle name="20% - Ênfase5 4 9 3" xfId="7011" xr:uid="{00000000-0005-0000-0000-0000CB1A0000}"/>
    <cellStyle name="20% - Ênfase5 5" xfId="7012" xr:uid="{00000000-0005-0000-0000-0000CC1A0000}"/>
    <cellStyle name="20% - Ênfase5 5 10" xfId="7013" xr:uid="{00000000-0005-0000-0000-0000CD1A0000}"/>
    <cellStyle name="20% - Ênfase5 5 2" xfId="7014" xr:uid="{00000000-0005-0000-0000-0000CE1A0000}"/>
    <cellStyle name="20% - Ênfase5 5 2 2" xfId="7015" xr:uid="{00000000-0005-0000-0000-0000CF1A0000}"/>
    <cellStyle name="20% - Ênfase5 5 2 2 2" xfId="7016" xr:uid="{00000000-0005-0000-0000-0000D01A0000}"/>
    <cellStyle name="20% - Ênfase5 5 2 2 2 2" xfId="7017" xr:uid="{00000000-0005-0000-0000-0000D11A0000}"/>
    <cellStyle name="20% - Ênfase5 5 2 2 2 2 2" xfId="7018" xr:uid="{00000000-0005-0000-0000-0000D21A0000}"/>
    <cellStyle name="20% - Ênfase5 5 2 2 2 3" xfId="7019" xr:uid="{00000000-0005-0000-0000-0000D31A0000}"/>
    <cellStyle name="20% - Ênfase5 5 2 2 2 3 2" xfId="7020" xr:uid="{00000000-0005-0000-0000-0000D41A0000}"/>
    <cellStyle name="20% - Ênfase5 5 2 2 2 4" xfId="7021" xr:uid="{00000000-0005-0000-0000-0000D51A0000}"/>
    <cellStyle name="20% - Ênfase5 5 2 2 3" xfId="7022" xr:uid="{00000000-0005-0000-0000-0000D61A0000}"/>
    <cellStyle name="20% - Ênfase5 5 2 2 3 2" xfId="7023" xr:uid="{00000000-0005-0000-0000-0000D71A0000}"/>
    <cellStyle name="20% - Ênfase5 5 2 2 4" xfId="7024" xr:uid="{00000000-0005-0000-0000-0000D81A0000}"/>
    <cellStyle name="20% - Ênfase5 5 2 2 4 2" xfId="7025" xr:uid="{00000000-0005-0000-0000-0000D91A0000}"/>
    <cellStyle name="20% - Ênfase5 5 2 2 5" xfId="7026" xr:uid="{00000000-0005-0000-0000-0000DA1A0000}"/>
    <cellStyle name="20% - Ênfase5 5 2 3" xfId="7027" xr:uid="{00000000-0005-0000-0000-0000DB1A0000}"/>
    <cellStyle name="20% - Ênfase5 5 2 3 2" xfId="7028" xr:uid="{00000000-0005-0000-0000-0000DC1A0000}"/>
    <cellStyle name="20% - Ênfase5 5 2 3 2 2" xfId="7029" xr:uid="{00000000-0005-0000-0000-0000DD1A0000}"/>
    <cellStyle name="20% - Ênfase5 5 2 3 3" xfId="7030" xr:uid="{00000000-0005-0000-0000-0000DE1A0000}"/>
    <cellStyle name="20% - Ênfase5 5 2 3 3 2" xfId="7031" xr:uid="{00000000-0005-0000-0000-0000DF1A0000}"/>
    <cellStyle name="20% - Ênfase5 5 2 3 4" xfId="7032" xr:uid="{00000000-0005-0000-0000-0000E01A0000}"/>
    <cellStyle name="20% - Ênfase5 5 2 4" xfId="7033" xr:uid="{00000000-0005-0000-0000-0000E11A0000}"/>
    <cellStyle name="20% - Ênfase5 5 2 4 2" xfId="7034" xr:uid="{00000000-0005-0000-0000-0000E21A0000}"/>
    <cellStyle name="20% - Ênfase5 5 2 4 2 2" xfId="7035" xr:uid="{00000000-0005-0000-0000-0000E31A0000}"/>
    <cellStyle name="20% - Ênfase5 5 2 4 3" xfId="7036" xr:uid="{00000000-0005-0000-0000-0000E41A0000}"/>
    <cellStyle name="20% - Ênfase5 5 2 5" xfId="7037" xr:uid="{00000000-0005-0000-0000-0000E51A0000}"/>
    <cellStyle name="20% - Ênfase5 5 2 5 2" xfId="7038" xr:uid="{00000000-0005-0000-0000-0000E61A0000}"/>
    <cellStyle name="20% - Ênfase5 5 2 6" xfId="7039" xr:uid="{00000000-0005-0000-0000-0000E71A0000}"/>
    <cellStyle name="20% - Ênfase5 5 3" xfId="7040" xr:uid="{00000000-0005-0000-0000-0000E81A0000}"/>
    <cellStyle name="20% - Ênfase5 5 3 2" xfId="7041" xr:uid="{00000000-0005-0000-0000-0000E91A0000}"/>
    <cellStyle name="20% - Ênfase5 5 3 2 2" xfId="7042" xr:uid="{00000000-0005-0000-0000-0000EA1A0000}"/>
    <cellStyle name="20% - Ênfase5 5 3 2 2 2" xfId="7043" xr:uid="{00000000-0005-0000-0000-0000EB1A0000}"/>
    <cellStyle name="20% - Ênfase5 5 3 2 3" xfId="7044" xr:uid="{00000000-0005-0000-0000-0000EC1A0000}"/>
    <cellStyle name="20% - Ênfase5 5 3 2 3 2" xfId="7045" xr:uid="{00000000-0005-0000-0000-0000ED1A0000}"/>
    <cellStyle name="20% - Ênfase5 5 3 2 4" xfId="7046" xr:uid="{00000000-0005-0000-0000-0000EE1A0000}"/>
    <cellStyle name="20% - Ênfase5 5 3 3" xfId="7047" xr:uid="{00000000-0005-0000-0000-0000EF1A0000}"/>
    <cellStyle name="20% - Ênfase5 5 3 3 2" xfId="7048" xr:uid="{00000000-0005-0000-0000-0000F01A0000}"/>
    <cellStyle name="20% - Ênfase5 5 3 3 2 2" xfId="7049" xr:uid="{00000000-0005-0000-0000-0000F11A0000}"/>
    <cellStyle name="20% - Ênfase5 5 3 3 3" xfId="7050" xr:uid="{00000000-0005-0000-0000-0000F21A0000}"/>
    <cellStyle name="20% - Ênfase5 5 3 3 3 2" xfId="7051" xr:uid="{00000000-0005-0000-0000-0000F31A0000}"/>
    <cellStyle name="20% - Ênfase5 5 3 3 4" xfId="7052" xr:uid="{00000000-0005-0000-0000-0000F41A0000}"/>
    <cellStyle name="20% - Ênfase5 5 3 4" xfId="7053" xr:uid="{00000000-0005-0000-0000-0000F51A0000}"/>
    <cellStyle name="20% - Ênfase5 5 3 4 2" xfId="7054" xr:uid="{00000000-0005-0000-0000-0000F61A0000}"/>
    <cellStyle name="20% - Ênfase5 5 3 5" xfId="7055" xr:uid="{00000000-0005-0000-0000-0000F71A0000}"/>
    <cellStyle name="20% - Ênfase5 5 3 5 2" xfId="7056" xr:uid="{00000000-0005-0000-0000-0000F81A0000}"/>
    <cellStyle name="20% - Ênfase5 5 3 6" xfId="7057" xr:uid="{00000000-0005-0000-0000-0000F91A0000}"/>
    <cellStyle name="20% - Ênfase5 5 4" xfId="7058" xr:uid="{00000000-0005-0000-0000-0000FA1A0000}"/>
    <cellStyle name="20% - Ênfase5 5 4 2" xfId="7059" xr:uid="{00000000-0005-0000-0000-0000FB1A0000}"/>
    <cellStyle name="20% - Ênfase5 5 4 2 2" xfId="7060" xr:uid="{00000000-0005-0000-0000-0000FC1A0000}"/>
    <cellStyle name="20% - Ênfase5 5 4 3" xfId="7061" xr:uid="{00000000-0005-0000-0000-0000FD1A0000}"/>
    <cellStyle name="20% - Ênfase5 5 4 3 2" xfId="7062" xr:uid="{00000000-0005-0000-0000-0000FE1A0000}"/>
    <cellStyle name="20% - Ênfase5 5 4 4" xfId="7063" xr:uid="{00000000-0005-0000-0000-0000FF1A0000}"/>
    <cellStyle name="20% - Ênfase5 5 5" xfId="7064" xr:uid="{00000000-0005-0000-0000-0000001B0000}"/>
    <cellStyle name="20% - Ênfase5 5 5 2" xfId="7065" xr:uid="{00000000-0005-0000-0000-0000011B0000}"/>
    <cellStyle name="20% - Ênfase5 5 5 2 2" xfId="7066" xr:uid="{00000000-0005-0000-0000-0000021B0000}"/>
    <cellStyle name="20% - Ênfase5 5 5 3" xfId="7067" xr:uid="{00000000-0005-0000-0000-0000031B0000}"/>
    <cellStyle name="20% - Ênfase5 5 6" xfId="7068" xr:uid="{00000000-0005-0000-0000-0000041B0000}"/>
    <cellStyle name="20% - Ênfase5 5 6 2" xfId="7069" xr:uid="{00000000-0005-0000-0000-0000051B0000}"/>
    <cellStyle name="20% - Ênfase5 5 6 2 2" xfId="7070" xr:uid="{00000000-0005-0000-0000-0000061B0000}"/>
    <cellStyle name="20% - Ênfase5 5 6 3" xfId="7071" xr:uid="{00000000-0005-0000-0000-0000071B0000}"/>
    <cellStyle name="20% - Ênfase5 5 7" xfId="7072" xr:uid="{00000000-0005-0000-0000-0000081B0000}"/>
    <cellStyle name="20% - Ênfase5 5 7 2" xfId="7073" xr:uid="{00000000-0005-0000-0000-0000091B0000}"/>
    <cellStyle name="20% - Ênfase5 5 7 2 2" xfId="7074" xr:uid="{00000000-0005-0000-0000-00000A1B0000}"/>
    <cellStyle name="20% - Ênfase5 5 7 3" xfId="7075" xr:uid="{00000000-0005-0000-0000-00000B1B0000}"/>
    <cellStyle name="20% - Ênfase5 5 8" xfId="7076" xr:uid="{00000000-0005-0000-0000-00000C1B0000}"/>
    <cellStyle name="20% - Ênfase5 5 8 2" xfId="7077" xr:uid="{00000000-0005-0000-0000-00000D1B0000}"/>
    <cellStyle name="20% - Ênfase5 5 8 2 2" xfId="7078" xr:uid="{00000000-0005-0000-0000-00000E1B0000}"/>
    <cellStyle name="20% - Ênfase5 5 8 3" xfId="7079" xr:uid="{00000000-0005-0000-0000-00000F1B0000}"/>
    <cellStyle name="20% - Ênfase5 5 9" xfId="7080" xr:uid="{00000000-0005-0000-0000-0000101B0000}"/>
    <cellStyle name="20% - Ênfase5 5 9 2" xfId="7081" xr:uid="{00000000-0005-0000-0000-0000111B0000}"/>
    <cellStyle name="20% - Ênfase5 6" xfId="7082" xr:uid="{00000000-0005-0000-0000-0000121B0000}"/>
    <cellStyle name="20% - Ênfase5 6 2" xfId="7083" xr:uid="{00000000-0005-0000-0000-0000131B0000}"/>
    <cellStyle name="20% - Ênfase5 6 2 2" xfId="7084" xr:uid="{00000000-0005-0000-0000-0000141B0000}"/>
    <cellStyle name="20% - Ênfase5 6 2 2 2" xfId="7085" xr:uid="{00000000-0005-0000-0000-0000151B0000}"/>
    <cellStyle name="20% - Ênfase5 6 2 2 2 2" xfId="7086" xr:uid="{00000000-0005-0000-0000-0000161B0000}"/>
    <cellStyle name="20% - Ênfase5 6 2 2 2 2 2" xfId="7087" xr:uid="{00000000-0005-0000-0000-0000171B0000}"/>
    <cellStyle name="20% - Ênfase5 6 2 2 2 3" xfId="7088" xr:uid="{00000000-0005-0000-0000-0000181B0000}"/>
    <cellStyle name="20% - Ênfase5 6 2 2 2 3 2" xfId="7089" xr:uid="{00000000-0005-0000-0000-0000191B0000}"/>
    <cellStyle name="20% - Ênfase5 6 2 2 2 4" xfId="7090" xr:uid="{00000000-0005-0000-0000-00001A1B0000}"/>
    <cellStyle name="20% - Ênfase5 6 2 2 3" xfId="7091" xr:uid="{00000000-0005-0000-0000-00001B1B0000}"/>
    <cellStyle name="20% - Ênfase5 6 2 2 3 2" xfId="7092" xr:uid="{00000000-0005-0000-0000-00001C1B0000}"/>
    <cellStyle name="20% - Ênfase5 6 2 2 4" xfId="7093" xr:uid="{00000000-0005-0000-0000-00001D1B0000}"/>
    <cellStyle name="20% - Ênfase5 6 2 2 4 2" xfId="7094" xr:uid="{00000000-0005-0000-0000-00001E1B0000}"/>
    <cellStyle name="20% - Ênfase5 6 2 2 5" xfId="7095" xr:uid="{00000000-0005-0000-0000-00001F1B0000}"/>
    <cellStyle name="20% - Ênfase5 6 2 3" xfId="7096" xr:uid="{00000000-0005-0000-0000-0000201B0000}"/>
    <cellStyle name="20% - Ênfase5 6 2 3 2" xfId="7097" xr:uid="{00000000-0005-0000-0000-0000211B0000}"/>
    <cellStyle name="20% - Ênfase5 6 2 3 2 2" xfId="7098" xr:uid="{00000000-0005-0000-0000-0000221B0000}"/>
    <cellStyle name="20% - Ênfase5 6 2 3 3" xfId="7099" xr:uid="{00000000-0005-0000-0000-0000231B0000}"/>
    <cellStyle name="20% - Ênfase5 6 2 3 3 2" xfId="7100" xr:uid="{00000000-0005-0000-0000-0000241B0000}"/>
    <cellStyle name="20% - Ênfase5 6 2 3 4" xfId="7101" xr:uid="{00000000-0005-0000-0000-0000251B0000}"/>
    <cellStyle name="20% - Ênfase5 6 2 4" xfId="7102" xr:uid="{00000000-0005-0000-0000-0000261B0000}"/>
    <cellStyle name="20% - Ênfase5 6 2 4 2" xfId="7103" xr:uid="{00000000-0005-0000-0000-0000271B0000}"/>
    <cellStyle name="20% - Ênfase5 6 2 4 2 2" xfId="7104" xr:uid="{00000000-0005-0000-0000-0000281B0000}"/>
    <cellStyle name="20% - Ênfase5 6 2 4 3" xfId="7105" xr:uid="{00000000-0005-0000-0000-0000291B0000}"/>
    <cellStyle name="20% - Ênfase5 6 2 5" xfId="7106" xr:uid="{00000000-0005-0000-0000-00002A1B0000}"/>
    <cellStyle name="20% - Ênfase5 6 2 5 2" xfId="7107" xr:uid="{00000000-0005-0000-0000-00002B1B0000}"/>
    <cellStyle name="20% - Ênfase5 6 2 6" xfId="7108" xr:uid="{00000000-0005-0000-0000-00002C1B0000}"/>
    <cellStyle name="20% - Ênfase5 6 3" xfId="7109" xr:uid="{00000000-0005-0000-0000-00002D1B0000}"/>
    <cellStyle name="20% - Ênfase5 6 3 2" xfId="7110" xr:uid="{00000000-0005-0000-0000-00002E1B0000}"/>
    <cellStyle name="20% - Ênfase5 6 3 2 2" xfId="7111" xr:uid="{00000000-0005-0000-0000-00002F1B0000}"/>
    <cellStyle name="20% - Ênfase5 6 3 2 2 2" xfId="7112" xr:uid="{00000000-0005-0000-0000-0000301B0000}"/>
    <cellStyle name="20% - Ênfase5 6 3 2 3" xfId="7113" xr:uid="{00000000-0005-0000-0000-0000311B0000}"/>
    <cellStyle name="20% - Ênfase5 6 3 2 3 2" xfId="7114" xr:uid="{00000000-0005-0000-0000-0000321B0000}"/>
    <cellStyle name="20% - Ênfase5 6 3 2 4" xfId="7115" xr:uid="{00000000-0005-0000-0000-0000331B0000}"/>
    <cellStyle name="20% - Ênfase5 6 3 3" xfId="7116" xr:uid="{00000000-0005-0000-0000-0000341B0000}"/>
    <cellStyle name="20% - Ênfase5 6 3 3 2" xfId="7117" xr:uid="{00000000-0005-0000-0000-0000351B0000}"/>
    <cellStyle name="20% - Ênfase5 6 3 4" xfId="7118" xr:uid="{00000000-0005-0000-0000-0000361B0000}"/>
    <cellStyle name="20% - Ênfase5 6 3 4 2" xfId="7119" xr:uid="{00000000-0005-0000-0000-0000371B0000}"/>
    <cellStyle name="20% - Ênfase5 6 3 5" xfId="7120" xr:uid="{00000000-0005-0000-0000-0000381B0000}"/>
    <cellStyle name="20% - Ênfase5 6 4" xfId="7121" xr:uid="{00000000-0005-0000-0000-0000391B0000}"/>
    <cellStyle name="20% - Ênfase5 6 4 2" xfId="7122" xr:uid="{00000000-0005-0000-0000-00003A1B0000}"/>
    <cellStyle name="20% - Ênfase5 6 4 2 2" xfId="7123" xr:uid="{00000000-0005-0000-0000-00003B1B0000}"/>
    <cellStyle name="20% - Ênfase5 6 4 3" xfId="7124" xr:uid="{00000000-0005-0000-0000-00003C1B0000}"/>
    <cellStyle name="20% - Ênfase5 6 4 3 2" xfId="7125" xr:uid="{00000000-0005-0000-0000-00003D1B0000}"/>
    <cellStyle name="20% - Ênfase5 6 4 4" xfId="7126" xr:uid="{00000000-0005-0000-0000-00003E1B0000}"/>
    <cellStyle name="20% - Ênfase5 6 5" xfId="7127" xr:uid="{00000000-0005-0000-0000-00003F1B0000}"/>
    <cellStyle name="20% - Ênfase5 6 5 2" xfId="7128" xr:uid="{00000000-0005-0000-0000-0000401B0000}"/>
    <cellStyle name="20% - Ênfase5 6 5 2 2" xfId="7129" xr:uid="{00000000-0005-0000-0000-0000411B0000}"/>
    <cellStyle name="20% - Ênfase5 6 5 3" xfId="7130" xr:uid="{00000000-0005-0000-0000-0000421B0000}"/>
    <cellStyle name="20% - Ênfase5 6 6" xfId="7131" xr:uid="{00000000-0005-0000-0000-0000431B0000}"/>
    <cellStyle name="20% - Ênfase5 6 6 2" xfId="7132" xr:uid="{00000000-0005-0000-0000-0000441B0000}"/>
    <cellStyle name="20% - Ênfase5 6 7" xfId="7133" xr:uid="{00000000-0005-0000-0000-0000451B0000}"/>
    <cellStyle name="20% - Ênfase5 7" xfId="7134" xr:uid="{00000000-0005-0000-0000-0000461B0000}"/>
    <cellStyle name="20% - Ênfase5 7 2" xfId="7135" xr:uid="{00000000-0005-0000-0000-0000471B0000}"/>
    <cellStyle name="20% - Ênfase5 7 2 2" xfId="7136" xr:uid="{00000000-0005-0000-0000-0000481B0000}"/>
    <cellStyle name="20% - Ênfase5 7 2 2 2" xfId="7137" xr:uid="{00000000-0005-0000-0000-0000491B0000}"/>
    <cellStyle name="20% - Ênfase5 7 2 2 2 2" xfId="7138" xr:uid="{00000000-0005-0000-0000-00004A1B0000}"/>
    <cellStyle name="20% - Ênfase5 7 2 2 2 2 2" xfId="7139" xr:uid="{00000000-0005-0000-0000-00004B1B0000}"/>
    <cellStyle name="20% - Ênfase5 7 2 2 2 3" xfId="7140" xr:uid="{00000000-0005-0000-0000-00004C1B0000}"/>
    <cellStyle name="20% - Ênfase5 7 2 2 2 3 2" xfId="7141" xr:uid="{00000000-0005-0000-0000-00004D1B0000}"/>
    <cellStyle name="20% - Ênfase5 7 2 2 2 4" xfId="7142" xr:uid="{00000000-0005-0000-0000-00004E1B0000}"/>
    <cellStyle name="20% - Ênfase5 7 2 2 3" xfId="7143" xr:uid="{00000000-0005-0000-0000-00004F1B0000}"/>
    <cellStyle name="20% - Ênfase5 7 2 2 3 2" xfId="7144" xr:uid="{00000000-0005-0000-0000-0000501B0000}"/>
    <cellStyle name="20% - Ênfase5 7 2 2 4" xfId="7145" xr:uid="{00000000-0005-0000-0000-0000511B0000}"/>
    <cellStyle name="20% - Ênfase5 7 2 2 4 2" xfId="7146" xr:uid="{00000000-0005-0000-0000-0000521B0000}"/>
    <cellStyle name="20% - Ênfase5 7 2 2 5" xfId="7147" xr:uid="{00000000-0005-0000-0000-0000531B0000}"/>
    <cellStyle name="20% - Ênfase5 7 2 3" xfId="7148" xr:uid="{00000000-0005-0000-0000-0000541B0000}"/>
    <cellStyle name="20% - Ênfase5 7 2 3 2" xfId="7149" xr:uid="{00000000-0005-0000-0000-0000551B0000}"/>
    <cellStyle name="20% - Ênfase5 7 2 3 2 2" xfId="7150" xr:uid="{00000000-0005-0000-0000-0000561B0000}"/>
    <cellStyle name="20% - Ênfase5 7 2 3 3" xfId="7151" xr:uid="{00000000-0005-0000-0000-0000571B0000}"/>
    <cellStyle name="20% - Ênfase5 7 2 3 3 2" xfId="7152" xr:uid="{00000000-0005-0000-0000-0000581B0000}"/>
    <cellStyle name="20% - Ênfase5 7 2 3 4" xfId="7153" xr:uid="{00000000-0005-0000-0000-0000591B0000}"/>
    <cellStyle name="20% - Ênfase5 7 2 4" xfId="7154" xr:uid="{00000000-0005-0000-0000-00005A1B0000}"/>
    <cellStyle name="20% - Ênfase5 7 2 4 2" xfId="7155" xr:uid="{00000000-0005-0000-0000-00005B1B0000}"/>
    <cellStyle name="20% - Ênfase5 7 2 4 2 2" xfId="7156" xr:uid="{00000000-0005-0000-0000-00005C1B0000}"/>
    <cellStyle name="20% - Ênfase5 7 2 4 3" xfId="7157" xr:uid="{00000000-0005-0000-0000-00005D1B0000}"/>
    <cellStyle name="20% - Ênfase5 7 2 5" xfId="7158" xr:uid="{00000000-0005-0000-0000-00005E1B0000}"/>
    <cellStyle name="20% - Ênfase5 7 2 5 2" xfId="7159" xr:uid="{00000000-0005-0000-0000-00005F1B0000}"/>
    <cellStyle name="20% - Ênfase5 7 2 6" xfId="7160" xr:uid="{00000000-0005-0000-0000-0000601B0000}"/>
    <cellStyle name="20% - Ênfase5 7 3" xfId="7161" xr:uid="{00000000-0005-0000-0000-0000611B0000}"/>
    <cellStyle name="20% - Ênfase5 7 3 2" xfId="7162" xr:uid="{00000000-0005-0000-0000-0000621B0000}"/>
    <cellStyle name="20% - Ênfase5 7 3 2 2" xfId="7163" xr:uid="{00000000-0005-0000-0000-0000631B0000}"/>
    <cellStyle name="20% - Ênfase5 7 3 2 2 2" xfId="7164" xr:uid="{00000000-0005-0000-0000-0000641B0000}"/>
    <cellStyle name="20% - Ênfase5 7 3 2 3" xfId="7165" xr:uid="{00000000-0005-0000-0000-0000651B0000}"/>
    <cellStyle name="20% - Ênfase5 7 3 2 3 2" xfId="7166" xr:uid="{00000000-0005-0000-0000-0000661B0000}"/>
    <cellStyle name="20% - Ênfase5 7 3 2 4" xfId="7167" xr:uid="{00000000-0005-0000-0000-0000671B0000}"/>
    <cellStyle name="20% - Ênfase5 7 3 3" xfId="7168" xr:uid="{00000000-0005-0000-0000-0000681B0000}"/>
    <cellStyle name="20% - Ênfase5 7 3 3 2" xfId="7169" xr:uid="{00000000-0005-0000-0000-0000691B0000}"/>
    <cellStyle name="20% - Ênfase5 7 3 4" xfId="7170" xr:uid="{00000000-0005-0000-0000-00006A1B0000}"/>
    <cellStyle name="20% - Ênfase5 7 3 4 2" xfId="7171" xr:uid="{00000000-0005-0000-0000-00006B1B0000}"/>
    <cellStyle name="20% - Ênfase5 7 3 5" xfId="7172" xr:uid="{00000000-0005-0000-0000-00006C1B0000}"/>
    <cellStyle name="20% - Ênfase5 7 4" xfId="7173" xr:uid="{00000000-0005-0000-0000-00006D1B0000}"/>
    <cellStyle name="20% - Ênfase5 7 4 2" xfId="7174" xr:uid="{00000000-0005-0000-0000-00006E1B0000}"/>
    <cellStyle name="20% - Ênfase5 7 4 2 2" xfId="7175" xr:uid="{00000000-0005-0000-0000-00006F1B0000}"/>
    <cellStyle name="20% - Ênfase5 7 4 3" xfId="7176" xr:uid="{00000000-0005-0000-0000-0000701B0000}"/>
    <cellStyle name="20% - Ênfase5 7 4 3 2" xfId="7177" xr:uid="{00000000-0005-0000-0000-0000711B0000}"/>
    <cellStyle name="20% - Ênfase5 7 4 4" xfId="7178" xr:uid="{00000000-0005-0000-0000-0000721B0000}"/>
    <cellStyle name="20% - Ênfase5 7 5" xfId="7179" xr:uid="{00000000-0005-0000-0000-0000731B0000}"/>
    <cellStyle name="20% - Ênfase5 7 5 2" xfId="7180" xr:uid="{00000000-0005-0000-0000-0000741B0000}"/>
    <cellStyle name="20% - Ênfase5 7 5 2 2" xfId="7181" xr:uid="{00000000-0005-0000-0000-0000751B0000}"/>
    <cellStyle name="20% - Ênfase5 7 5 3" xfId="7182" xr:uid="{00000000-0005-0000-0000-0000761B0000}"/>
    <cellStyle name="20% - Ênfase5 7 6" xfId="7183" xr:uid="{00000000-0005-0000-0000-0000771B0000}"/>
    <cellStyle name="20% - Ênfase5 7 6 2" xfId="7184" xr:uid="{00000000-0005-0000-0000-0000781B0000}"/>
    <cellStyle name="20% - Ênfase5 7 7" xfId="7185" xr:uid="{00000000-0005-0000-0000-0000791B0000}"/>
    <cellStyle name="20% - Ênfase5 8" xfId="7186" xr:uid="{00000000-0005-0000-0000-00007A1B0000}"/>
    <cellStyle name="20% - Ênfase5 8 2" xfId="7187" xr:uid="{00000000-0005-0000-0000-00007B1B0000}"/>
    <cellStyle name="20% - Ênfase5 8 2 2" xfId="7188" xr:uid="{00000000-0005-0000-0000-00007C1B0000}"/>
    <cellStyle name="20% - Ênfase5 8 2 2 2" xfId="7189" xr:uid="{00000000-0005-0000-0000-00007D1B0000}"/>
    <cellStyle name="20% - Ênfase5 8 2 2 2 2" xfId="7190" xr:uid="{00000000-0005-0000-0000-00007E1B0000}"/>
    <cellStyle name="20% - Ênfase5 8 2 2 2 2 2" xfId="7191" xr:uid="{00000000-0005-0000-0000-00007F1B0000}"/>
    <cellStyle name="20% - Ênfase5 8 2 2 2 3" xfId="7192" xr:uid="{00000000-0005-0000-0000-0000801B0000}"/>
    <cellStyle name="20% - Ênfase5 8 2 2 2 3 2" xfId="7193" xr:uid="{00000000-0005-0000-0000-0000811B0000}"/>
    <cellStyle name="20% - Ênfase5 8 2 2 2 4" xfId="7194" xr:uid="{00000000-0005-0000-0000-0000821B0000}"/>
    <cellStyle name="20% - Ênfase5 8 2 2 3" xfId="7195" xr:uid="{00000000-0005-0000-0000-0000831B0000}"/>
    <cellStyle name="20% - Ênfase5 8 2 2 3 2" xfId="7196" xr:uid="{00000000-0005-0000-0000-0000841B0000}"/>
    <cellStyle name="20% - Ênfase5 8 2 2 4" xfId="7197" xr:uid="{00000000-0005-0000-0000-0000851B0000}"/>
    <cellStyle name="20% - Ênfase5 8 2 2 4 2" xfId="7198" xr:uid="{00000000-0005-0000-0000-0000861B0000}"/>
    <cellStyle name="20% - Ênfase5 8 2 2 5" xfId="7199" xr:uid="{00000000-0005-0000-0000-0000871B0000}"/>
    <cellStyle name="20% - Ênfase5 8 2 3" xfId="7200" xr:uid="{00000000-0005-0000-0000-0000881B0000}"/>
    <cellStyle name="20% - Ênfase5 8 2 3 2" xfId="7201" xr:uid="{00000000-0005-0000-0000-0000891B0000}"/>
    <cellStyle name="20% - Ênfase5 8 2 3 2 2" xfId="7202" xr:uid="{00000000-0005-0000-0000-00008A1B0000}"/>
    <cellStyle name="20% - Ênfase5 8 2 3 3" xfId="7203" xr:uid="{00000000-0005-0000-0000-00008B1B0000}"/>
    <cellStyle name="20% - Ênfase5 8 2 3 3 2" xfId="7204" xr:uid="{00000000-0005-0000-0000-00008C1B0000}"/>
    <cellStyle name="20% - Ênfase5 8 2 3 4" xfId="7205" xr:uid="{00000000-0005-0000-0000-00008D1B0000}"/>
    <cellStyle name="20% - Ênfase5 8 2 4" xfId="7206" xr:uid="{00000000-0005-0000-0000-00008E1B0000}"/>
    <cellStyle name="20% - Ênfase5 8 2 4 2" xfId="7207" xr:uid="{00000000-0005-0000-0000-00008F1B0000}"/>
    <cellStyle name="20% - Ênfase5 8 2 4 2 2" xfId="7208" xr:uid="{00000000-0005-0000-0000-0000901B0000}"/>
    <cellStyle name="20% - Ênfase5 8 2 4 3" xfId="7209" xr:uid="{00000000-0005-0000-0000-0000911B0000}"/>
    <cellStyle name="20% - Ênfase5 8 2 5" xfId="7210" xr:uid="{00000000-0005-0000-0000-0000921B0000}"/>
    <cellStyle name="20% - Ênfase5 8 2 5 2" xfId="7211" xr:uid="{00000000-0005-0000-0000-0000931B0000}"/>
    <cellStyle name="20% - Ênfase5 8 2 6" xfId="7212" xr:uid="{00000000-0005-0000-0000-0000941B0000}"/>
    <cellStyle name="20% - Ênfase5 8 3" xfId="7213" xr:uid="{00000000-0005-0000-0000-0000951B0000}"/>
    <cellStyle name="20% - Ênfase5 8 3 2" xfId="7214" xr:uid="{00000000-0005-0000-0000-0000961B0000}"/>
    <cellStyle name="20% - Ênfase5 8 3 2 2" xfId="7215" xr:uid="{00000000-0005-0000-0000-0000971B0000}"/>
    <cellStyle name="20% - Ênfase5 8 3 2 2 2" xfId="7216" xr:uid="{00000000-0005-0000-0000-0000981B0000}"/>
    <cellStyle name="20% - Ênfase5 8 3 2 3" xfId="7217" xr:uid="{00000000-0005-0000-0000-0000991B0000}"/>
    <cellStyle name="20% - Ênfase5 8 3 2 3 2" xfId="7218" xr:uid="{00000000-0005-0000-0000-00009A1B0000}"/>
    <cellStyle name="20% - Ênfase5 8 3 2 4" xfId="7219" xr:uid="{00000000-0005-0000-0000-00009B1B0000}"/>
    <cellStyle name="20% - Ênfase5 8 3 3" xfId="7220" xr:uid="{00000000-0005-0000-0000-00009C1B0000}"/>
    <cellStyle name="20% - Ênfase5 8 3 3 2" xfId="7221" xr:uid="{00000000-0005-0000-0000-00009D1B0000}"/>
    <cellStyle name="20% - Ênfase5 8 3 4" xfId="7222" xr:uid="{00000000-0005-0000-0000-00009E1B0000}"/>
    <cellStyle name="20% - Ênfase5 8 3 4 2" xfId="7223" xr:uid="{00000000-0005-0000-0000-00009F1B0000}"/>
    <cellStyle name="20% - Ênfase5 8 3 5" xfId="7224" xr:uid="{00000000-0005-0000-0000-0000A01B0000}"/>
    <cellStyle name="20% - Ênfase5 8 4" xfId="7225" xr:uid="{00000000-0005-0000-0000-0000A11B0000}"/>
    <cellStyle name="20% - Ênfase5 8 4 2" xfId="7226" xr:uid="{00000000-0005-0000-0000-0000A21B0000}"/>
    <cellStyle name="20% - Ênfase5 8 4 2 2" xfId="7227" xr:uid="{00000000-0005-0000-0000-0000A31B0000}"/>
    <cellStyle name="20% - Ênfase5 8 4 3" xfId="7228" xr:uid="{00000000-0005-0000-0000-0000A41B0000}"/>
    <cellStyle name="20% - Ênfase5 8 4 3 2" xfId="7229" xr:uid="{00000000-0005-0000-0000-0000A51B0000}"/>
    <cellStyle name="20% - Ênfase5 8 4 4" xfId="7230" xr:uid="{00000000-0005-0000-0000-0000A61B0000}"/>
    <cellStyle name="20% - Ênfase5 8 5" xfId="7231" xr:uid="{00000000-0005-0000-0000-0000A71B0000}"/>
    <cellStyle name="20% - Ênfase5 8 5 2" xfId="7232" xr:uid="{00000000-0005-0000-0000-0000A81B0000}"/>
    <cellStyle name="20% - Ênfase5 8 5 2 2" xfId="7233" xr:uid="{00000000-0005-0000-0000-0000A91B0000}"/>
    <cellStyle name="20% - Ênfase5 8 5 3" xfId="7234" xr:uid="{00000000-0005-0000-0000-0000AA1B0000}"/>
    <cellStyle name="20% - Ênfase5 8 6" xfId="7235" xr:uid="{00000000-0005-0000-0000-0000AB1B0000}"/>
    <cellStyle name="20% - Ênfase5 8 6 2" xfId="7236" xr:uid="{00000000-0005-0000-0000-0000AC1B0000}"/>
    <cellStyle name="20% - Ênfase5 8 7" xfId="7237" xr:uid="{00000000-0005-0000-0000-0000AD1B0000}"/>
    <cellStyle name="20% - Ênfase5 9" xfId="7238" xr:uid="{00000000-0005-0000-0000-0000AE1B0000}"/>
    <cellStyle name="20% - Ênfase5 9 2" xfId="7239" xr:uid="{00000000-0005-0000-0000-0000AF1B0000}"/>
    <cellStyle name="20% - Ênfase5 9 2 2" xfId="7240" xr:uid="{00000000-0005-0000-0000-0000B01B0000}"/>
    <cellStyle name="20% - Ênfase5 9 2 2 2" xfId="7241" xr:uid="{00000000-0005-0000-0000-0000B11B0000}"/>
    <cellStyle name="20% - Ênfase5 9 2 2 2 2" xfId="7242" xr:uid="{00000000-0005-0000-0000-0000B21B0000}"/>
    <cellStyle name="20% - Ênfase5 9 2 2 2 2 2" xfId="7243" xr:uid="{00000000-0005-0000-0000-0000B31B0000}"/>
    <cellStyle name="20% - Ênfase5 9 2 2 2 3" xfId="7244" xr:uid="{00000000-0005-0000-0000-0000B41B0000}"/>
    <cellStyle name="20% - Ênfase5 9 2 2 2 3 2" xfId="7245" xr:uid="{00000000-0005-0000-0000-0000B51B0000}"/>
    <cellStyle name="20% - Ênfase5 9 2 2 2 4" xfId="7246" xr:uid="{00000000-0005-0000-0000-0000B61B0000}"/>
    <cellStyle name="20% - Ênfase5 9 2 2 3" xfId="7247" xr:uid="{00000000-0005-0000-0000-0000B71B0000}"/>
    <cellStyle name="20% - Ênfase5 9 2 2 3 2" xfId="7248" xr:uid="{00000000-0005-0000-0000-0000B81B0000}"/>
    <cellStyle name="20% - Ênfase5 9 2 2 4" xfId="7249" xr:uid="{00000000-0005-0000-0000-0000B91B0000}"/>
    <cellStyle name="20% - Ênfase5 9 2 2 4 2" xfId="7250" xr:uid="{00000000-0005-0000-0000-0000BA1B0000}"/>
    <cellStyle name="20% - Ênfase5 9 2 2 5" xfId="7251" xr:uid="{00000000-0005-0000-0000-0000BB1B0000}"/>
    <cellStyle name="20% - Ênfase5 9 2 3" xfId="7252" xr:uid="{00000000-0005-0000-0000-0000BC1B0000}"/>
    <cellStyle name="20% - Ênfase5 9 2 3 2" xfId="7253" xr:uid="{00000000-0005-0000-0000-0000BD1B0000}"/>
    <cellStyle name="20% - Ênfase5 9 2 3 2 2" xfId="7254" xr:uid="{00000000-0005-0000-0000-0000BE1B0000}"/>
    <cellStyle name="20% - Ênfase5 9 2 3 3" xfId="7255" xr:uid="{00000000-0005-0000-0000-0000BF1B0000}"/>
    <cellStyle name="20% - Ênfase5 9 2 3 3 2" xfId="7256" xr:uid="{00000000-0005-0000-0000-0000C01B0000}"/>
    <cellStyle name="20% - Ênfase5 9 2 3 4" xfId="7257" xr:uid="{00000000-0005-0000-0000-0000C11B0000}"/>
    <cellStyle name="20% - Ênfase5 9 2 4" xfId="7258" xr:uid="{00000000-0005-0000-0000-0000C21B0000}"/>
    <cellStyle name="20% - Ênfase5 9 2 4 2" xfId="7259" xr:uid="{00000000-0005-0000-0000-0000C31B0000}"/>
    <cellStyle name="20% - Ênfase5 9 2 4 2 2" xfId="7260" xr:uid="{00000000-0005-0000-0000-0000C41B0000}"/>
    <cellStyle name="20% - Ênfase5 9 2 4 3" xfId="7261" xr:uid="{00000000-0005-0000-0000-0000C51B0000}"/>
    <cellStyle name="20% - Ênfase5 9 2 5" xfId="7262" xr:uid="{00000000-0005-0000-0000-0000C61B0000}"/>
    <cellStyle name="20% - Ênfase5 9 2 5 2" xfId="7263" xr:uid="{00000000-0005-0000-0000-0000C71B0000}"/>
    <cellStyle name="20% - Ênfase5 9 2 6" xfId="7264" xr:uid="{00000000-0005-0000-0000-0000C81B0000}"/>
    <cellStyle name="20% - Ênfase5 9 3" xfId="7265" xr:uid="{00000000-0005-0000-0000-0000C91B0000}"/>
    <cellStyle name="20% - Ênfase5 9 3 2" xfId="7266" xr:uid="{00000000-0005-0000-0000-0000CA1B0000}"/>
    <cellStyle name="20% - Ênfase5 9 3 2 2" xfId="7267" xr:uid="{00000000-0005-0000-0000-0000CB1B0000}"/>
    <cellStyle name="20% - Ênfase5 9 3 2 2 2" xfId="7268" xr:uid="{00000000-0005-0000-0000-0000CC1B0000}"/>
    <cellStyle name="20% - Ênfase5 9 3 2 3" xfId="7269" xr:uid="{00000000-0005-0000-0000-0000CD1B0000}"/>
    <cellStyle name="20% - Ênfase5 9 3 2 3 2" xfId="7270" xr:uid="{00000000-0005-0000-0000-0000CE1B0000}"/>
    <cellStyle name="20% - Ênfase5 9 3 2 4" xfId="7271" xr:uid="{00000000-0005-0000-0000-0000CF1B0000}"/>
    <cellStyle name="20% - Ênfase5 9 3 3" xfId="7272" xr:uid="{00000000-0005-0000-0000-0000D01B0000}"/>
    <cellStyle name="20% - Ênfase5 9 3 3 2" xfId="7273" xr:uid="{00000000-0005-0000-0000-0000D11B0000}"/>
    <cellStyle name="20% - Ênfase5 9 3 4" xfId="7274" xr:uid="{00000000-0005-0000-0000-0000D21B0000}"/>
    <cellStyle name="20% - Ênfase5 9 3 4 2" xfId="7275" xr:uid="{00000000-0005-0000-0000-0000D31B0000}"/>
    <cellStyle name="20% - Ênfase5 9 3 5" xfId="7276" xr:uid="{00000000-0005-0000-0000-0000D41B0000}"/>
    <cellStyle name="20% - Ênfase5 9 4" xfId="7277" xr:uid="{00000000-0005-0000-0000-0000D51B0000}"/>
    <cellStyle name="20% - Ênfase5 9 4 2" xfId="7278" xr:uid="{00000000-0005-0000-0000-0000D61B0000}"/>
    <cellStyle name="20% - Ênfase5 9 4 2 2" xfId="7279" xr:uid="{00000000-0005-0000-0000-0000D71B0000}"/>
    <cellStyle name="20% - Ênfase5 9 4 3" xfId="7280" xr:uid="{00000000-0005-0000-0000-0000D81B0000}"/>
    <cellStyle name="20% - Ênfase5 9 4 3 2" xfId="7281" xr:uid="{00000000-0005-0000-0000-0000D91B0000}"/>
    <cellStyle name="20% - Ênfase5 9 4 4" xfId="7282" xr:uid="{00000000-0005-0000-0000-0000DA1B0000}"/>
    <cellStyle name="20% - Ênfase5 9 5" xfId="7283" xr:uid="{00000000-0005-0000-0000-0000DB1B0000}"/>
    <cellStyle name="20% - Ênfase5 9 5 2" xfId="7284" xr:uid="{00000000-0005-0000-0000-0000DC1B0000}"/>
    <cellStyle name="20% - Ênfase5 9 5 2 2" xfId="7285" xr:uid="{00000000-0005-0000-0000-0000DD1B0000}"/>
    <cellStyle name="20% - Ênfase5 9 5 3" xfId="7286" xr:uid="{00000000-0005-0000-0000-0000DE1B0000}"/>
    <cellStyle name="20% - Ênfase5 9 6" xfId="7287" xr:uid="{00000000-0005-0000-0000-0000DF1B0000}"/>
    <cellStyle name="20% - Ênfase5 9 6 2" xfId="7288" xr:uid="{00000000-0005-0000-0000-0000E01B0000}"/>
    <cellStyle name="20% - Ênfase5 9 7" xfId="7289" xr:uid="{00000000-0005-0000-0000-0000E11B0000}"/>
    <cellStyle name="20% - Ênfase6 10" xfId="7290" xr:uid="{00000000-0005-0000-0000-0000E21B0000}"/>
    <cellStyle name="20% - Ênfase6 10 2" xfId="7291" xr:uid="{00000000-0005-0000-0000-0000E31B0000}"/>
    <cellStyle name="20% - Ênfase6 10 2 2" xfId="7292" xr:uid="{00000000-0005-0000-0000-0000E41B0000}"/>
    <cellStyle name="20% - Ênfase6 10 2 2 2" xfId="7293" xr:uid="{00000000-0005-0000-0000-0000E51B0000}"/>
    <cellStyle name="20% - Ênfase6 10 2 2 2 2" xfId="7294" xr:uid="{00000000-0005-0000-0000-0000E61B0000}"/>
    <cellStyle name="20% - Ênfase6 10 2 2 2 2 2" xfId="7295" xr:uid="{00000000-0005-0000-0000-0000E71B0000}"/>
    <cellStyle name="20% - Ênfase6 10 2 2 2 3" xfId="7296" xr:uid="{00000000-0005-0000-0000-0000E81B0000}"/>
    <cellStyle name="20% - Ênfase6 10 2 2 2 3 2" xfId="7297" xr:uid="{00000000-0005-0000-0000-0000E91B0000}"/>
    <cellStyle name="20% - Ênfase6 10 2 2 2 4" xfId="7298" xr:uid="{00000000-0005-0000-0000-0000EA1B0000}"/>
    <cellStyle name="20% - Ênfase6 10 2 2 3" xfId="7299" xr:uid="{00000000-0005-0000-0000-0000EB1B0000}"/>
    <cellStyle name="20% - Ênfase6 10 2 2 3 2" xfId="7300" xr:uid="{00000000-0005-0000-0000-0000EC1B0000}"/>
    <cellStyle name="20% - Ênfase6 10 2 2 4" xfId="7301" xr:uid="{00000000-0005-0000-0000-0000ED1B0000}"/>
    <cellStyle name="20% - Ênfase6 10 2 2 4 2" xfId="7302" xr:uid="{00000000-0005-0000-0000-0000EE1B0000}"/>
    <cellStyle name="20% - Ênfase6 10 2 2 5" xfId="7303" xr:uid="{00000000-0005-0000-0000-0000EF1B0000}"/>
    <cellStyle name="20% - Ênfase6 10 2 3" xfId="7304" xr:uid="{00000000-0005-0000-0000-0000F01B0000}"/>
    <cellStyle name="20% - Ênfase6 10 2 3 2" xfId="7305" xr:uid="{00000000-0005-0000-0000-0000F11B0000}"/>
    <cellStyle name="20% - Ênfase6 10 2 3 2 2" xfId="7306" xr:uid="{00000000-0005-0000-0000-0000F21B0000}"/>
    <cellStyle name="20% - Ênfase6 10 2 3 3" xfId="7307" xr:uid="{00000000-0005-0000-0000-0000F31B0000}"/>
    <cellStyle name="20% - Ênfase6 10 2 3 3 2" xfId="7308" xr:uid="{00000000-0005-0000-0000-0000F41B0000}"/>
    <cellStyle name="20% - Ênfase6 10 2 3 4" xfId="7309" xr:uid="{00000000-0005-0000-0000-0000F51B0000}"/>
    <cellStyle name="20% - Ênfase6 10 2 4" xfId="7310" xr:uid="{00000000-0005-0000-0000-0000F61B0000}"/>
    <cellStyle name="20% - Ênfase6 10 2 4 2" xfId="7311" xr:uid="{00000000-0005-0000-0000-0000F71B0000}"/>
    <cellStyle name="20% - Ênfase6 10 2 4 2 2" xfId="7312" xr:uid="{00000000-0005-0000-0000-0000F81B0000}"/>
    <cellStyle name="20% - Ênfase6 10 2 4 3" xfId="7313" xr:uid="{00000000-0005-0000-0000-0000F91B0000}"/>
    <cellStyle name="20% - Ênfase6 10 2 5" xfId="7314" xr:uid="{00000000-0005-0000-0000-0000FA1B0000}"/>
    <cellStyle name="20% - Ênfase6 10 2 5 2" xfId="7315" xr:uid="{00000000-0005-0000-0000-0000FB1B0000}"/>
    <cellStyle name="20% - Ênfase6 10 2 6" xfId="7316" xr:uid="{00000000-0005-0000-0000-0000FC1B0000}"/>
    <cellStyle name="20% - Ênfase6 10 3" xfId="7317" xr:uid="{00000000-0005-0000-0000-0000FD1B0000}"/>
    <cellStyle name="20% - Ênfase6 10 3 2" xfId="7318" xr:uid="{00000000-0005-0000-0000-0000FE1B0000}"/>
    <cellStyle name="20% - Ênfase6 10 3 2 2" xfId="7319" xr:uid="{00000000-0005-0000-0000-0000FF1B0000}"/>
    <cellStyle name="20% - Ênfase6 10 3 2 2 2" xfId="7320" xr:uid="{00000000-0005-0000-0000-0000001C0000}"/>
    <cellStyle name="20% - Ênfase6 10 3 2 3" xfId="7321" xr:uid="{00000000-0005-0000-0000-0000011C0000}"/>
    <cellStyle name="20% - Ênfase6 10 3 2 3 2" xfId="7322" xr:uid="{00000000-0005-0000-0000-0000021C0000}"/>
    <cellStyle name="20% - Ênfase6 10 3 2 4" xfId="7323" xr:uid="{00000000-0005-0000-0000-0000031C0000}"/>
    <cellStyle name="20% - Ênfase6 10 3 3" xfId="7324" xr:uid="{00000000-0005-0000-0000-0000041C0000}"/>
    <cellStyle name="20% - Ênfase6 10 3 3 2" xfId="7325" xr:uid="{00000000-0005-0000-0000-0000051C0000}"/>
    <cellStyle name="20% - Ênfase6 10 3 4" xfId="7326" xr:uid="{00000000-0005-0000-0000-0000061C0000}"/>
    <cellStyle name="20% - Ênfase6 10 3 4 2" xfId="7327" xr:uid="{00000000-0005-0000-0000-0000071C0000}"/>
    <cellStyle name="20% - Ênfase6 10 3 5" xfId="7328" xr:uid="{00000000-0005-0000-0000-0000081C0000}"/>
    <cellStyle name="20% - Ênfase6 10 4" xfId="7329" xr:uid="{00000000-0005-0000-0000-0000091C0000}"/>
    <cellStyle name="20% - Ênfase6 10 4 2" xfId="7330" xr:uid="{00000000-0005-0000-0000-00000A1C0000}"/>
    <cellStyle name="20% - Ênfase6 10 4 2 2" xfId="7331" xr:uid="{00000000-0005-0000-0000-00000B1C0000}"/>
    <cellStyle name="20% - Ênfase6 10 4 3" xfId="7332" xr:uid="{00000000-0005-0000-0000-00000C1C0000}"/>
    <cellStyle name="20% - Ênfase6 10 4 3 2" xfId="7333" xr:uid="{00000000-0005-0000-0000-00000D1C0000}"/>
    <cellStyle name="20% - Ênfase6 10 4 4" xfId="7334" xr:uid="{00000000-0005-0000-0000-00000E1C0000}"/>
    <cellStyle name="20% - Ênfase6 10 5" xfId="7335" xr:uid="{00000000-0005-0000-0000-00000F1C0000}"/>
    <cellStyle name="20% - Ênfase6 10 5 2" xfId="7336" xr:uid="{00000000-0005-0000-0000-0000101C0000}"/>
    <cellStyle name="20% - Ênfase6 10 5 2 2" xfId="7337" xr:uid="{00000000-0005-0000-0000-0000111C0000}"/>
    <cellStyle name="20% - Ênfase6 10 5 3" xfId="7338" xr:uid="{00000000-0005-0000-0000-0000121C0000}"/>
    <cellStyle name="20% - Ênfase6 10 6" xfId="7339" xr:uid="{00000000-0005-0000-0000-0000131C0000}"/>
    <cellStyle name="20% - Ênfase6 10 6 2" xfId="7340" xr:uid="{00000000-0005-0000-0000-0000141C0000}"/>
    <cellStyle name="20% - Ênfase6 10 7" xfId="7341" xr:uid="{00000000-0005-0000-0000-0000151C0000}"/>
    <cellStyle name="20% - Ênfase6 11" xfId="7342" xr:uid="{00000000-0005-0000-0000-0000161C0000}"/>
    <cellStyle name="20% - Ênfase6 11 2" xfId="7343" xr:uid="{00000000-0005-0000-0000-0000171C0000}"/>
    <cellStyle name="20% - Ênfase6 11 2 2" xfId="7344" xr:uid="{00000000-0005-0000-0000-0000181C0000}"/>
    <cellStyle name="20% - Ênfase6 11 2 2 2" xfId="7345" xr:uid="{00000000-0005-0000-0000-0000191C0000}"/>
    <cellStyle name="20% - Ênfase6 11 2 2 2 2" xfId="7346" xr:uid="{00000000-0005-0000-0000-00001A1C0000}"/>
    <cellStyle name="20% - Ênfase6 11 2 2 2 2 2" xfId="7347" xr:uid="{00000000-0005-0000-0000-00001B1C0000}"/>
    <cellStyle name="20% - Ênfase6 11 2 2 2 3" xfId="7348" xr:uid="{00000000-0005-0000-0000-00001C1C0000}"/>
    <cellStyle name="20% - Ênfase6 11 2 2 2 3 2" xfId="7349" xr:uid="{00000000-0005-0000-0000-00001D1C0000}"/>
    <cellStyle name="20% - Ênfase6 11 2 2 2 4" xfId="7350" xr:uid="{00000000-0005-0000-0000-00001E1C0000}"/>
    <cellStyle name="20% - Ênfase6 11 2 2 3" xfId="7351" xr:uid="{00000000-0005-0000-0000-00001F1C0000}"/>
    <cellStyle name="20% - Ênfase6 11 2 2 3 2" xfId="7352" xr:uid="{00000000-0005-0000-0000-0000201C0000}"/>
    <cellStyle name="20% - Ênfase6 11 2 2 4" xfId="7353" xr:uid="{00000000-0005-0000-0000-0000211C0000}"/>
    <cellStyle name="20% - Ênfase6 11 2 2 4 2" xfId="7354" xr:uid="{00000000-0005-0000-0000-0000221C0000}"/>
    <cellStyle name="20% - Ênfase6 11 2 2 5" xfId="7355" xr:uid="{00000000-0005-0000-0000-0000231C0000}"/>
    <cellStyle name="20% - Ênfase6 11 2 3" xfId="7356" xr:uid="{00000000-0005-0000-0000-0000241C0000}"/>
    <cellStyle name="20% - Ênfase6 11 2 3 2" xfId="7357" xr:uid="{00000000-0005-0000-0000-0000251C0000}"/>
    <cellStyle name="20% - Ênfase6 11 2 3 2 2" xfId="7358" xr:uid="{00000000-0005-0000-0000-0000261C0000}"/>
    <cellStyle name="20% - Ênfase6 11 2 3 3" xfId="7359" xr:uid="{00000000-0005-0000-0000-0000271C0000}"/>
    <cellStyle name="20% - Ênfase6 11 2 3 3 2" xfId="7360" xr:uid="{00000000-0005-0000-0000-0000281C0000}"/>
    <cellStyle name="20% - Ênfase6 11 2 3 4" xfId="7361" xr:uid="{00000000-0005-0000-0000-0000291C0000}"/>
    <cellStyle name="20% - Ênfase6 11 2 4" xfId="7362" xr:uid="{00000000-0005-0000-0000-00002A1C0000}"/>
    <cellStyle name="20% - Ênfase6 11 2 4 2" xfId="7363" xr:uid="{00000000-0005-0000-0000-00002B1C0000}"/>
    <cellStyle name="20% - Ênfase6 11 2 4 2 2" xfId="7364" xr:uid="{00000000-0005-0000-0000-00002C1C0000}"/>
    <cellStyle name="20% - Ênfase6 11 2 4 3" xfId="7365" xr:uid="{00000000-0005-0000-0000-00002D1C0000}"/>
    <cellStyle name="20% - Ênfase6 11 2 5" xfId="7366" xr:uid="{00000000-0005-0000-0000-00002E1C0000}"/>
    <cellStyle name="20% - Ênfase6 11 2 5 2" xfId="7367" xr:uid="{00000000-0005-0000-0000-00002F1C0000}"/>
    <cellStyle name="20% - Ênfase6 11 2 6" xfId="7368" xr:uid="{00000000-0005-0000-0000-0000301C0000}"/>
    <cellStyle name="20% - Ênfase6 11 3" xfId="7369" xr:uid="{00000000-0005-0000-0000-0000311C0000}"/>
    <cellStyle name="20% - Ênfase6 11 3 2" xfId="7370" xr:uid="{00000000-0005-0000-0000-0000321C0000}"/>
    <cellStyle name="20% - Ênfase6 11 3 2 2" xfId="7371" xr:uid="{00000000-0005-0000-0000-0000331C0000}"/>
    <cellStyle name="20% - Ênfase6 11 3 2 2 2" xfId="7372" xr:uid="{00000000-0005-0000-0000-0000341C0000}"/>
    <cellStyle name="20% - Ênfase6 11 3 2 3" xfId="7373" xr:uid="{00000000-0005-0000-0000-0000351C0000}"/>
    <cellStyle name="20% - Ênfase6 11 3 2 3 2" xfId="7374" xr:uid="{00000000-0005-0000-0000-0000361C0000}"/>
    <cellStyle name="20% - Ênfase6 11 3 2 4" xfId="7375" xr:uid="{00000000-0005-0000-0000-0000371C0000}"/>
    <cellStyle name="20% - Ênfase6 11 3 3" xfId="7376" xr:uid="{00000000-0005-0000-0000-0000381C0000}"/>
    <cellStyle name="20% - Ênfase6 11 3 3 2" xfId="7377" xr:uid="{00000000-0005-0000-0000-0000391C0000}"/>
    <cellStyle name="20% - Ênfase6 11 3 4" xfId="7378" xr:uid="{00000000-0005-0000-0000-00003A1C0000}"/>
    <cellStyle name="20% - Ênfase6 11 3 4 2" xfId="7379" xr:uid="{00000000-0005-0000-0000-00003B1C0000}"/>
    <cellStyle name="20% - Ênfase6 11 3 5" xfId="7380" xr:uid="{00000000-0005-0000-0000-00003C1C0000}"/>
    <cellStyle name="20% - Ênfase6 11 4" xfId="7381" xr:uid="{00000000-0005-0000-0000-00003D1C0000}"/>
    <cellStyle name="20% - Ênfase6 11 4 2" xfId="7382" xr:uid="{00000000-0005-0000-0000-00003E1C0000}"/>
    <cellStyle name="20% - Ênfase6 11 4 2 2" xfId="7383" xr:uid="{00000000-0005-0000-0000-00003F1C0000}"/>
    <cellStyle name="20% - Ênfase6 11 4 3" xfId="7384" xr:uid="{00000000-0005-0000-0000-0000401C0000}"/>
    <cellStyle name="20% - Ênfase6 11 4 3 2" xfId="7385" xr:uid="{00000000-0005-0000-0000-0000411C0000}"/>
    <cellStyle name="20% - Ênfase6 11 4 4" xfId="7386" xr:uid="{00000000-0005-0000-0000-0000421C0000}"/>
    <cellStyle name="20% - Ênfase6 11 5" xfId="7387" xr:uid="{00000000-0005-0000-0000-0000431C0000}"/>
    <cellStyle name="20% - Ênfase6 11 5 2" xfId="7388" xr:uid="{00000000-0005-0000-0000-0000441C0000}"/>
    <cellStyle name="20% - Ênfase6 11 5 2 2" xfId="7389" xr:uid="{00000000-0005-0000-0000-0000451C0000}"/>
    <cellStyle name="20% - Ênfase6 11 5 3" xfId="7390" xr:uid="{00000000-0005-0000-0000-0000461C0000}"/>
    <cellStyle name="20% - Ênfase6 11 6" xfId="7391" xr:uid="{00000000-0005-0000-0000-0000471C0000}"/>
    <cellStyle name="20% - Ênfase6 11 6 2" xfId="7392" xr:uid="{00000000-0005-0000-0000-0000481C0000}"/>
    <cellStyle name="20% - Ênfase6 11 7" xfId="7393" xr:uid="{00000000-0005-0000-0000-0000491C0000}"/>
    <cellStyle name="20% - Ênfase6 12" xfId="7394" xr:uid="{00000000-0005-0000-0000-00004A1C0000}"/>
    <cellStyle name="20% - Ênfase6 12 2" xfId="7395" xr:uid="{00000000-0005-0000-0000-00004B1C0000}"/>
    <cellStyle name="20% - Ênfase6 12 2 2" xfId="7396" xr:uid="{00000000-0005-0000-0000-00004C1C0000}"/>
    <cellStyle name="20% - Ênfase6 12 2 2 2" xfId="7397" xr:uid="{00000000-0005-0000-0000-00004D1C0000}"/>
    <cellStyle name="20% - Ênfase6 12 2 2 2 2" xfId="7398" xr:uid="{00000000-0005-0000-0000-00004E1C0000}"/>
    <cellStyle name="20% - Ênfase6 12 2 2 2 2 2" xfId="7399" xr:uid="{00000000-0005-0000-0000-00004F1C0000}"/>
    <cellStyle name="20% - Ênfase6 12 2 2 2 3" xfId="7400" xr:uid="{00000000-0005-0000-0000-0000501C0000}"/>
    <cellStyle name="20% - Ênfase6 12 2 2 2 3 2" xfId="7401" xr:uid="{00000000-0005-0000-0000-0000511C0000}"/>
    <cellStyle name="20% - Ênfase6 12 2 2 2 4" xfId="7402" xr:uid="{00000000-0005-0000-0000-0000521C0000}"/>
    <cellStyle name="20% - Ênfase6 12 2 2 3" xfId="7403" xr:uid="{00000000-0005-0000-0000-0000531C0000}"/>
    <cellStyle name="20% - Ênfase6 12 2 2 3 2" xfId="7404" xr:uid="{00000000-0005-0000-0000-0000541C0000}"/>
    <cellStyle name="20% - Ênfase6 12 2 2 4" xfId="7405" xr:uid="{00000000-0005-0000-0000-0000551C0000}"/>
    <cellStyle name="20% - Ênfase6 12 2 2 4 2" xfId="7406" xr:uid="{00000000-0005-0000-0000-0000561C0000}"/>
    <cellStyle name="20% - Ênfase6 12 2 2 5" xfId="7407" xr:uid="{00000000-0005-0000-0000-0000571C0000}"/>
    <cellStyle name="20% - Ênfase6 12 2 3" xfId="7408" xr:uid="{00000000-0005-0000-0000-0000581C0000}"/>
    <cellStyle name="20% - Ênfase6 12 2 3 2" xfId="7409" xr:uid="{00000000-0005-0000-0000-0000591C0000}"/>
    <cellStyle name="20% - Ênfase6 12 2 3 2 2" xfId="7410" xr:uid="{00000000-0005-0000-0000-00005A1C0000}"/>
    <cellStyle name="20% - Ênfase6 12 2 3 3" xfId="7411" xr:uid="{00000000-0005-0000-0000-00005B1C0000}"/>
    <cellStyle name="20% - Ênfase6 12 2 3 3 2" xfId="7412" xr:uid="{00000000-0005-0000-0000-00005C1C0000}"/>
    <cellStyle name="20% - Ênfase6 12 2 3 4" xfId="7413" xr:uid="{00000000-0005-0000-0000-00005D1C0000}"/>
    <cellStyle name="20% - Ênfase6 12 2 4" xfId="7414" xr:uid="{00000000-0005-0000-0000-00005E1C0000}"/>
    <cellStyle name="20% - Ênfase6 12 2 4 2" xfId="7415" xr:uid="{00000000-0005-0000-0000-00005F1C0000}"/>
    <cellStyle name="20% - Ênfase6 12 2 4 2 2" xfId="7416" xr:uid="{00000000-0005-0000-0000-0000601C0000}"/>
    <cellStyle name="20% - Ênfase6 12 2 4 3" xfId="7417" xr:uid="{00000000-0005-0000-0000-0000611C0000}"/>
    <cellStyle name="20% - Ênfase6 12 2 5" xfId="7418" xr:uid="{00000000-0005-0000-0000-0000621C0000}"/>
    <cellStyle name="20% - Ênfase6 12 2 5 2" xfId="7419" xr:uid="{00000000-0005-0000-0000-0000631C0000}"/>
    <cellStyle name="20% - Ênfase6 12 2 6" xfId="7420" xr:uid="{00000000-0005-0000-0000-0000641C0000}"/>
    <cellStyle name="20% - Ênfase6 12 3" xfId="7421" xr:uid="{00000000-0005-0000-0000-0000651C0000}"/>
    <cellStyle name="20% - Ênfase6 12 3 2" xfId="7422" xr:uid="{00000000-0005-0000-0000-0000661C0000}"/>
    <cellStyle name="20% - Ênfase6 12 3 2 2" xfId="7423" xr:uid="{00000000-0005-0000-0000-0000671C0000}"/>
    <cellStyle name="20% - Ênfase6 12 3 2 2 2" xfId="7424" xr:uid="{00000000-0005-0000-0000-0000681C0000}"/>
    <cellStyle name="20% - Ênfase6 12 3 2 3" xfId="7425" xr:uid="{00000000-0005-0000-0000-0000691C0000}"/>
    <cellStyle name="20% - Ênfase6 12 3 2 3 2" xfId="7426" xr:uid="{00000000-0005-0000-0000-00006A1C0000}"/>
    <cellStyle name="20% - Ênfase6 12 3 2 4" xfId="7427" xr:uid="{00000000-0005-0000-0000-00006B1C0000}"/>
    <cellStyle name="20% - Ênfase6 12 3 3" xfId="7428" xr:uid="{00000000-0005-0000-0000-00006C1C0000}"/>
    <cellStyle name="20% - Ênfase6 12 3 3 2" xfId="7429" xr:uid="{00000000-0005-0000-0000-00006D1C0000}"/>
    <cellStyle name="20% - Ênfase6 12 3 4" xfId="7430" xr:uid="{00000000-0005-0000-0000-00006E1C0000}"/>
    <cellStyle name="20% - Ênfase6 12 3 4 2" xfId="7431" xr:uid="{00000000-0005-0000-0000-00006F1C0000}"/>
    <cellStyle name="20% - Ênfase6 12 3 5" xfId="7432" xr:uid="{00000000-0005-0000-0000-0000701C0000}"/>
    <cellStyle name="20% - Ênfase6 12 4" xfId="7433" xr:uid="{00000000-0005-0000-0000-0000711C0000}"/>
    <cellStyle name="20% - Ênfase6 12 4 2" xfId="7434" xr:uid="{00000000-0005-0000-0000-0000721C0000}"/>
    <cellStyle name="20% - Ênfase6 12 4 2 2" xfId="7435" xr:uid="{00000000-0005-0000-0000-0000731C0000}"/>
    <cellStyle name="20% - Ênfase6 12 4 3" xfId="7436" xr:uid="{00000000-0005-0000-0000-0000741C0000}"/>
    <cellStyle name="20% - Ênfase6 12 4 3 2" xfId="7437" xr:uid="{00000000-0005-0000-0000-0000751C0000}"/>
    <cellStyle name="20% - Ênfase6 12 4 4" xfId="7438" xr:uid="{00000000-0005-0000-0000-0000761C0000}"/>
    <cellStyle name="20% - Ênfase6 12 5" xfId="7439" xr:uid="{00000000-0005-0000-0000-0000771C0000}"/>
    <cellStyle name="20% - Ênfase6 12 5 2" xfId="7440" xr:uid="{00000000-0005-0000-0000-0000781C0000}"/>
    <cellStyle name="20% - Ênfase6 12 5 2 2" xfId="7441" xr:uid="{00000000-0005-0000-0000-0000791C0000}"/>
    <cellStyle name="20% - Ênfase6 12 5 3" xfId="7442" xr:uid="{00000000-0005-0000-0000-00007A1C0000}"/>
    <cellStyle name="20% - Ênfase6 12 6" xfId="7443" xr:uid="{00000000-0005-0000-0000-00007B1C0000}"/>
    <cellStyle name="20% - Ênfase6 12 6 2" xfId="7444" xr:uid="{00000000-0005-0000-0000-00007C1C0000}"/>
    <cellStyle name="20% - Ênfase6 12 7" xfId="7445" xr:uid="{00000000-0005-0000-0000-00007D1C0000}"/>
    <cellStyle name="20% - Ênfase6 13" xfId="7446" xr:uid="{00000000-0005-0000-0000-00007E1C0000}"/>
    <cellStyle name="20% - Ênfase6 13 2" xfId="7447" xr:uid="{00000000-0005-0000-0000-00007F1C0000}"/>
    <cellStyle name="20% - Ênfase6 13 2 2" xfId="7448" xr:uid="{00000000-0005-0000-0000-0000801C0000}"/>
    <cellStyle name="20% - Ênfase6 13 2 2 2" xfId="7449" xr:uid="{00000000-0005-0000-0000-0000811C0000}"/>
    <cellStyle name="20% - Ênfase6 13 2 2 2 2" xfId="7450" xr:uid="{00000000-0005-0000-0000-0000821C0000}"/>
    <cellStyle name="20% - Ênfase6 13 2 2 2 2 2" xfId="7451" xr:uid="{00000000-0005-0000-0000-0000831C0000}"/>
    <cellStyle name="20% - Ênfase6 13 2 2 2 3" xfId="7452" xr:uid="{00000000-0005-0000-0000-0000841C0000}"/>
    <cellStyle name="20% - Ênfase6 13 2 2 2 3 2" xfId="7453" xr:uid="{00000000-0005-0000-0000-0000851C0000}"/>
    <cellStyle name="20% - Ênfase6 13 2 2 2 4" xfId="7454" xr:uid="{00000000-0005-0000-0000-0000861C0000}"/>
    <cellStyle name="20% - Ênfase6 13 2 2 3" xfId="7455" xr:uid="{00000000-0005-0000-0000-0000871C0000}"/>
    <cellStyle name="20% - Ênfase6 13 2 2 3 2" xfId="7456" xr:uid="{00000000-0005-0000-0000-0000881C0000}"/>
    <cellStyle name="20% - Ênfase6 13 2 2 4" xfId="7457" xr:uid="{00000000-0005-0000-0000-0000891C0000}"/>
    <cellStyle name="20% - Ênfase6 13 2 2 4 2" xfId="7458" xr:uid="{00000000-0005-0000-0000-00008A1C0000}"/>
    <cellStyle name="20% - Ênfase6 13 2 2 5" xfId="7459" xr:uid="{00000000-0005-0000-0000-00008B1C0000}"/>
    <cellStyle name="20% - Ênfase6 13 2 3" xfId="7460" xr:uid="{00000000-0005-0000-0000-00008C1C0000}"/>
    <cellStyle name="20% - Ênfase6 13 2 3 2" xfId="7461" xr:uid="{00000000-0005-0000-0000-00008D1C0000}"/>
    <cellStyle name="20% - Ênfase6 13 2 3 2 2" xfId="7462" xr:uid="{00000000-0005-0000-0000-00008E1C0000}"/>
    <cellStyle name="20% - Ênfase6 13 2 3 3" xfId="7463" xr:uid="{00000000-0005-0000-0000-00008F1C0000}"/>
    <cellStyle name="20% - Ênfase6 13 2 3 3 2" xfId="7464" xr:uid="{00000000-0005-0000-0000-0000901C0000}"/>
    <cellStyle name="20% - Ênfase6 13 2 3 4" xfId="7465" xr:uid="{00000000-0005-0000-0000-0000911C0000}"/>
    <cellStyle name="20% - Ênfase6 13 2 4" xfId="7466" xr:uid="{00000000-0005-0000-0000-0000921C0000}"/>
    <cellStyle name="20% - Ênfase6 13 2 4 2" xfId="7467" xr:uid="{00000000-0005-0000-0000-0000931C0000}"/>
    <cellStyle name="20% - Ênfase6 13 2 4 2 2" xfId="7468" xr:uid="{00000000-0005-0000-0000-0000941C0000}"/>
    <cellStyle name="20% - Ênfase6 13 2 4 3" xfId="7469" xr:uid="{00000000-0005-0000-0000-0000951C0000}"/>
    <cellStyle name="20% - Ênfase6 13 2 5" xfId="7470" xr:uid="{00000000-0005-0000-0000-0000961C0000}"/>
    <cellStyle name="20% - Ênfase6 13 2 5 2" xfId="7471" xr:uid="{00000000-0005-0000-0000-0000971C0000}"/>
    <cellStyle name="20% - Ênfase6 13 2 6" xfId="7472" xr:uid="{00000000-0005-0000-0000-0000981C0000}"/>
    <cellStyle name="20% - Ênfase6 13 3" xfId="7473" xr:uid="{00000000-0005-0000-0000-0000991C0000}"/>
    <cellStyle name="20% - Ênfase6 13 3 2" xfId="7474" xr:uid="{00000000-0005-0000-0000-00009A1C0000}"/>
    <cellStyle name="20% - Ênfase6 13 3 2 2" xfId="7475" xr:uid="{00000000-0005-0000-0000-00009B1C0000}"/>
    <cellStyle name="20% - Ênfase6 13 3 2 2 2" xfId="7476" xr:uid="{00000000-0005-0000-0000-00009C1C0000}"/>
    <cellStyle name="20% - Ênfase6 13 3 2 3" xfId="7477" xr:uid="{00000000-0005-0000-0000-00009D1C0000}"/>
    <cellStyle name="20% - Ênfase6 13 3 2 3 2" xfId="7478" xr:uid="{00000000-0005-0000-0000-00009E1C0000}"/>
    <cellStyle name="20% - Ênfase6 13 3 2 4" xfId="7479" xr:uid="{00000000-0005-0000-0000-00009F1C0000}"/>
    <cellStyle name="20% - Ênfase6 13 3 3" xfId="7480" xr:uid="{00000000-0005-0000-0000-0000A01C0000}"/>
    <cellStyle name="20% - Ênfase6 13 3 3 2" xfId="7481" xr:uid="{00000000-0005-0000-0000-0000A11C0000}"/>
    <cellStyle name="20% - Ênfase6 13 3 4" xfId="7482" xr:uid="{00000000-0005-0000-0000-0000A21C0000}"/>
    <cellStyle name="20% - Ênfase6 13 3 4 2" xfId="7483" xr:uid="{00000000-0005-0000-0000-0000A31C0000}"/>
    <cellStyle name="20% - Ênfase6 13 3 5" xfId="7484" xr:uid="{00000000-0005-0000-0000-0000A41C0000}"/>
    <cellStyle name="20% - Ênfase6 13 4" xfId="7485" xr:uid="{00000000-0005-0000-0000-0000A51C0000}"/>
    <cellStyle name="20% - Ênfase6 13 4 2" xfId="7486" xr:uid="{00000000-0005-0000-0000-0000A61C0000}"/>
    <cellStyle name="20% - Ênfase6 13 4 2 2" xfId="7487" xr:uid="{00000000-0005-0000-0000-0000A71C0000}"/>
    <cellStyle name="20% - Ênfase6 13 4 3" xfId="7488" xr:uid="{00000000-0005-0000-0000-0000A81C0000}"/>
    <cellStyle name="20% - Ênfase6 13 4 3 2" xfId="7489" xr:uid="{00000000-0005-0000-0000-0000A91C0000}"/>
    <cellStyle name="20% - Ênfase6 13 4 4" xfId="7490" xr:uid="{00000000-0005-0000-0000-0000AA1C0000}"/>
    <cellStyle name="20% - Ênfase6 13 5" xfId="7491" xr:uid="{00000000-0005-0000-0000-0000AB1C0000}"/>
    <cellStyle name="20% - Ênfase6 13 5 2" xfId="7492" xr:uid="{00000000-0005-0000-0000-0000AC1C0000}"/>
    <cellStyle name="20% - Ênfase6 13 5 2 2" xfId="7493" xr:uid="{00000000-0005-0000-0000-0000AD1C0000}"/>
    <cellStyle name="20% - Ênfase6 13 5 3" xfId="7494" xr:uid="{00000000-0005-0000-0000-0000AE1C0000}"/>
    <cellStyle name="20% - Ênfase6 13 6" xfId="7495" xr:uid="{00000000-0005-0000-0000-0000AF1C0000}"/>
    <cellStyle name="20% - Ênfase6 13 6 2" xfId="7496" xr:uid="{00000000-0005-0000-0000-0000B01C0000}"/>
    <cellStyle name="20% - Ênfase6 13 7" xfId="7497" xr:uid="{00000000-0005-0000-0000-0000B11C0000}"/>
    <cellStyle name="20% - Ênfase6 14" xfId="7498" xr:uid="{00000000-0005-0000-0000-0000B21C0000}"/>
    <cellStyle name="20% - Ênfase6 14 2" xfId="7499" xr:uid="{00000000-0005-0000-0000-0000B31C0000}"/>
    <cellStyle name="20% - Ênfase6 14 2 2" xfId="7500" xr:uid="{00000000-0005-0000-0000-0000B41C0000}"/>
    <cellStyle name="20% - Ênfase6 14 2 2 2" xfId="7501" xr:uid="{00000000-0005-0000-0000-0000B51C0000}"/>
    <cellStyle name="20% - Ênfase6 14 2 2 2 2" xfId="7502" xr:uid="{00000000-0005-0000-0000-0000B61C0000}"/>
    <cellStyle name="20% - Ênfase6 14 2 2 2 2 2" xfId="7503" xr:uid="{00000000-0005-0000-0000-0000B71C0000}"/>
    <cellStyle name="20% - Ênfase6 14 2 2 2 3" xfId="7504" xr:uid="{00000000-0005-0000-0000-0000B81C0000}"/>
    <cellStyle name="20% - Ênfase6 14 2 2 2 3 2" xfId="7505" xr:uid="{00000000-0005-0000-0000-0000B91C0000}"/>
    <cellStyle name="20% - Ênfase6 14 2 2 2 4" xfId="7506" xr:uid="{00000000-0005-0000-0000-0000BA1C0000}"/>
    <cellStyle name="20% - Ênfase6 14 2 2 3" xfId="7507" xr:uid="{00000000-0005-0000-0000-0000BB1C0000}"/>
    <cellStyle name="20% - Ênfase6 14 2 2 3 2" xfId="7508" xr:uid="{00000000-0005-0000-0000-0000BC1C0000}"/>
    <cellStyle name="20% - Ênfase6 14 2 2 4" xfId="7509" xr:uid="{00000000-0005-0000-0000-0000BD1C0000}"/>
    <cellStyle name="20% - Ênfase6 14 2 2 4 2" xfId="7510" xr:uid="{00000000-0005-0000-0000-0000BE1C0000}"/>
    <cellStyle name="20% - Ênfase6 14 2 2 5" xfId="7511" xr:uid="{00000000-0005-0000-0000-0000BF1C0000}"/>
    <cellStyle name="20% - Ênfase6 14 2 3" xfId="7512" xr:uid="{00000000-0005-0000-0000-0000C01C0000}"/>
    <cellStyle name="20% - Ênfase6 14 2 3 2" xfId="7513" xr:uid="{00000000-0005-0000-0000-0000C11C0000}"/>
    <cellStyle name="20% - Ênfase6 14 2 3 2 2" xfId="7514" xr:uid="{00000000-0005-0000-0000-0000C21C0000}"/>
    <cellStyle name="20% - Ênfase6 14 2 3 3" xfId="7515" xr:uid="{00000000-0005-0000-0000-0000C31C0000}"/>
    <cellStyle name="20% - Ênfase6 14 2 3 3 2" xfId="7516" xr:uid="{00000000-0005-0000-0000-0000C41C0000}"/>
    <cellStyle name="20% - Ênfase6 14 2 3 4" xfId="7517" xr:uid="{00000000-0005-0000-0000-0000C51C0000}"/>
    <cellStyle name="20% - Ênfase6 14 2 4" xfId="7518" xr:uid="{00000000-0005-0000-0000-0000C61C0000}"/>
    <cellStyle name="20% - Ênfase6 14 2 4 2" xfId="7519" xr:uid="{00000000-0005-0000-0000-0000C71C0000}"/>
    <cellStyle name="20% - Ênfase6 14 2 4 2 2" xfId="7520" xr:uid="{00000000-0005-0000-0000-0000C81C0000}"/>
    <cellStyle name="20% - Ênfase6 14 2 4 3" xfId="7521" xr:uid="{00000000-0005-0000-0000-0000C91C0000}"/>
    <cellStyle name="20% - Ênfase6 14 2 5" xfId="7522" xr:uid="{00000000-0005-0000-0000-0000CA1C0000}"/>
    <cellStyle name="20% - Ênfase6 14 2 5 2" xfId="7523" xr:uid="{00000000-0005-0000-0000-0000CB1C0000}"/>
    <cellStyle name="20% - Ênfase6 14 2 6" xfId="7524" xr:uid="{00000000-0005-0000-0000-0000CC1C0000}"/>
    <cellStyle name="20% - Ênfase6 14 3" xfId="7525" xr:uid="{00000000-0005-0000-0000-0000CD1C0000}"/>
    <cellStyle name="20% - Ênfase6 14 3 2" xfId="7526" xr:uid="{00000000-0005-0000-0000-0000CE1C0000}"/>
    <cellStyle name="20% - Ênfase6 14 3 2 2" xfId="7527" xr:uid="{00000000-0005-0000-0000-0000CF1C0000}"/>
    <cellStyle name="20% - Ênfase6 14 3 2 2 2" xfId="7528" xr:uid="{00000000-0005-0000-0000-0000D01C0000}"/>
    <cellStyle name="20% - Ênfase6 14 3 2 3" xfId="7529" xr:uid="{00000000-0005-0000-0000-0000D11C0000}"/>
    <cellStyle name="20% - Ênfase6 14 3 2 3 2" xfId="7530" xr:uid="{00000000-0005-0000-0000-0000D21C0000}"/>
    <cellStyle name="20% - Ênfase6 14 3 2 4" xfId="7531" xr:uid="{00000000-0005-0000-0000-0000D31C0000}"/>
    <cellStyle name="20% - Ênfase6 14 3 3" xfId="7532" xr:uid="{00000000-0005-0000-0000-0000D41C0000}"/>
    <cellStyle name="20% - Ênfase6 14 3 3 2" xfId="7533" xr:uid="{00000000-0005-0000-0000-0000D51C0000}"/>
    <cellStyle name="20% - Ênfase6 14 3 4" xfId="7534" xr:uid="{00000000-0005-0000-0000-0000D61C0000}"/>
    <cellStyle name="20% - Ênfase6 14 3 4 2" xfId="7535" xr:uid="{00000000-0005-0000-0000-0000D71C0000}"/>
    <cellStyle name="20% - Ênfase6 14 3 5" xfId="7536" xr:uid="{00000000-0005-0000-0000-0000D81C0000}"/>
    <cellStyle name="20% - Ênfase6 14 4" xfId="7537" xr:uid="{00000000-0005-0000-0000-0000D91C0000}"/>
    <cellStyle name="20% - Ênfase6 14 4 2" xfId="7538" xr:uid="{00000000-0005-0000-0000-0000DA1C0000}"/>
    <cellStyle name="20% - Ênfase6 14 4 2 2" xfId="7539" xr:uid="{00000000-0005-0000-0000-0000DB1C0000}"/>
    <cellStyle name="20% - Ênfase6 14 4 3" xfId="7540" xr:uid="{00000000-0005-0000-0000-0000DC1C0000}"/>
    <cellStyle name="20% - Ênfase6 14 4 3 2" xfId="7541" xr:uid="{00000000-0005-0000-0000-0000DD1C0000}"/>
    <cellStyle name="20% - Ênfase6 14 4 4" xfId="7542" xr:uid="{00000000-0005-0000-0000-0000DE1C0000}"/>
    <cellStyle name="20% - Ênfase6 14 5" xfId="7543" xr:uid="{00000000-0005-0000-0000-0000DF1C0000}"/>
    <cellStyle name="20% - Ênfase6 14 5 2" xfId="7544" xr:uid="{00000000-0005-0000-0000-0000E01C0000}"/>
    <cellStyle name="20% - Ênfase6 14 5 2 2" xfId="7545" xr:uid="{00000000-0005-0000-0000-0000E11C0000}"/>
    <cellStyle name="20% - Ênfase6 14 5 3" xfId="7546" xr:uid="{00000000-0005-0000-0000-0000E21C0000}"/>
    <cellStyle name="20% - Ênfase6 14 6" xfId="7547" xr:uid="{00000000-0005-0000-0000-0000E31C0000}"/>
    <cellStyle name="20% - Ênfase6 14 6 2" xfId="7548" xr:uid="{00000000-0005-0000-0000-0000E41C0000}"/>
    <cellStyle name="20% - Ênfase6 14 7" xfId="7549" xr:uid="{00000000-0005-0000-0000-0000E51C0000}"/>
    <cellStyle name="20% - Ênfase6 15" xfId="7550" xr:uid="{00000000-0005-0000-0000-0000E61C0000}"/>
    <cellStyle name="20% - Ênfase6 15 2" xfId="7551" xr:uid="{00000000-0005-0000-0000-0000E71C0000}"/>
    <cellStyle name="20% - Ênfase6 15 2 2" xfId="7552" xr:uid="{00000000-0005-0000-0000-0000E81C0000}"/>
    <cellStyle name="20% - Ênfase6 15 2 2 2" xfId="7553" xr:uid="{00000000-0005-0000-0000-0000E91C0000}"/>
    <cellStyle name="20% - Ênfase6 15 2 2 2 2" xfId="7554" xr:uid="{00000000-0005-0000-0000-0000EA1C0000}"/>
    <cellStyle name="20% - Ênfase6 15 2 2 3" xfId="7555" xr:uid="{00000000-0005-0000-0000-0000EB1C0000}"/>
    <cellStyle name="20% - Ênfase6 15 2 2 3 2" xfId="7556" xr:uid="{00000000-0005-0000-0000-0000EC1C0000}"/>
    <cellStyle name="20% - Ênfase6 15 2 2 4" xfId="7557" xr:uid="{00000000-0005-0000-0000-0000ED1C0000}"/>
    <cellStyle name="20% - Ênfase6 15 2 3" xfId="7558" xr:uid="{00000000-0005-0000-0000-0000EE1C0000}"/>
    <cellStyle name="20% - Ênfase6 15 2 3 2" xfId="7559" xr:uid="{00000000-0005-0000-0000-0000EF1C0000}"/>
    <cellStyle name="20% - Ênfase6 15 2 4" xfId="7560" xr:uid="{00000000-0005-0000-0000-0000F01C0000}"/>
    <cellStyle name="20% - Ênfase6 15 2 4 2" xfId="7561" xr:uid="{00000000-0005-0000-0000-0000F11C0000}"/>
    <cellStyle name="20% - Ênfase6 15 2 5" xfId="7562" xr:uid="{00000000-0005-0000-0000-0000F21C0000}"/>
    <cellStyle name="20% - Ênfase6 15 3" xfId="7563" xr:uid="{00000000-0005-0000-0000-0000F31C0000}"/>
    <cellStyle name="20% - Ênfase6 15 3 2" xfId="7564" xr:uid="{00000000-0005-0000-0000-0000F41C0000}"/>
    <cellStyle name="20% - Ênfase6 15 3 2 2" xfId="7565" xr:uid="{00000000-0005-0000-0000-0000F51C0000}"/>
    <cellStyle name="20% - Ênfase6 15 3 3" xfId="7566" xr:uid="{00000000-0005-0000-0000-0000F61C0000}"/>
    <cellStyle name="20% - Ênfase6 15 3 3 2" xfId="7567" xr:uid="{00000000-0005-0000-0000-0000F71C0000}"/>
    <cellStyle name="20% - Ênfase6 15 3 4" xfId="7568" xr:uid="{00000000-0005-0000-0000-0000F81C0000}"/>
    <cellStyle name="20% - Ênfase6 15 4" xfId="7569" xr:uid="{00000000-0005-0000-0000-0000F91C0000}"/>
    <cellStyle name="20% - Ênfase6 15 4 2" xfId="7570" xr:uid="{00000000-0005-0000-0000-0000FA1C0000}"/>
    <cellStyle name="20% - Ênfase6 15 4 2 2" xfId="7571" xr:uid="{00000000-0005-0000-0000-0000FB1C0000}"/>
    <cellStyle name="20% - Ênfase6 15 4 3" xfId="7572" xr:uid="{00000000-0005-0000-0000-0000FC1C0000}"/>
    <cellStyle name="20% - Ênfase6 15 5" xfId="7573" xr:uid="{00000000-0005-0000-0000-0000FD1C0000}"/>
    <cellStyle name="20% - Ênfase6 15 5 2" xfId="7574" xr:uid="{00000000-0005-0000-0000-0000FE1C0000}"/>
    <cellStyle name="20% - Ênfase6 15 6" xfId="7575" xr:uid="{00000000-0005-0000-0000-0000FF1C0000}"/>
    <cellStyle name="20% - Ênfase6 16" xfId="7576" xr:uid="{00000000-0005-0000-0000-0000001D0000}"/>
    <cellStyle name="20% - Ênfase6 16 2" xfId="7577" xr:uid="{00000000-0005-0000-0000-0000011D0000}"/>
    <cellStyle name="20% - Ênfase6 16 2 2" xfId="7578" xr:uid="{00000000-0005-0000-0000-0000021D0000}"/>
    <cellStyle name="20% - Ênfase6 16 2 2 2" xfId="7579" xr:uid="{00000000-0005-0000-0000-0000031D0000}"/>
    <cellStyle name="20% - Ênfase6 16 2 3" xfId="7580" xr:uid="{00000000-0005-0000-0000-0000041D0000}"/>
    <cellStyle name="20% - Ênfase6 16 2 3 2" xfId="7581" xr:uid="{00000000-0005-0000-0000-0000051D0000}"/>
    <cellStyle name="20% - Ênfase6 16 2 4" xfId="7582" xr:uid="{00000000-0005-0000-0000-0000061D0000}"/>
    <cellStyle name="20% - Ênfase6 16 3" xfId="7583" xr:uid="{00000000-0005-0000-0000-0000071D0000}"/>
    <cellStyle name="20% - Ênfase6 16 3 2" xfId="7584" xr:uid="{00000000-0005-0000-0000-0000081D0000}"/>
    <cellStyle name="20% - Ênfase6 16 3 2 2" xfId="7585" xr:uid="{00000000-0005-0000-0000-0000091D0000}"/>
    <cellStyle name="20% - Ênfase6 16 3 3" xfId="7586" xr:uid="{00000000-0005-0000-0000-00000A1D0000}"/>
    <cellStyle name="20% - Ênfase6 16 3 3 2" xfId="7587" xr:uid="{00000000-0005-0000-0000-00000B1D0000}"/>
    <cellStyle name="20% - Ênfase6 16 3 4" xfId="7588" xr:uid="{00000000-0005-0000-0000-00000C1D0000}"/>
    <cellStyle name="20% - Ênfase6 16 4" xfId="7589" xr:uid="{00000000-0005-0000-0000-00000D1D0000}"/>
    <cellStyle name="20% - Ênfase6 16 4 2" xfId="7590" xr:uid="{00000000-0005-0000-0000-00000E1D0000}"/>
    <cellStyle name="20% - Ênfase6 16 5" xfId="7591" xr:uid="{00000000-0005-0000-0000-00000F1D0000}"/>
    <cellStyle name="20% - Ênfase6 16 5 2" xfId="7592" xr:uid="{00000000-0005-0000-0000-0000101D0000}"/>
    <cellStyle name="20% - Ênfase6 16 6" xfId="7593" xr:uid="{00000000-0005-0000-0000-0000111D0000}"/>
    <cellStyle name="20% - Ênfase6 17" xfId="7594" xr:uid="{00000000-0005-0000-0000-0000121D0000}"/>
    <cellStyle name="20% - Ênfase6 17 2" xfId="7595" xr:uid="{00000000-0005-0000-0000-0000131D0000}"/>
    <cellStyle name="20% - Ênfase6 17 2 2" xfId="7596" xr:uid="{00000000-0005-0000-0000-0000141D0000}"/>
    <cellStyle name="20% - Ênfase6 17 2 2 2" xfId="7597" xr:uid="{00000000-0005-0000-0000-0000151D0000}"/>
    <cellStyle name="20% - Ênfase6 17 2 3" xfId="7598" xr:uid="{00000000-0005-0000-0000-0000161D0000}"/>
    <cellStyle name="20% - Ênfase6 17 2 3 2" xfId="7599" xr:uid="{00000000-0005-0000-0000-0000171D0000}"/>
    <cellStyle name="20% - Ênfase6 17 2 4" xfId="7600" xr:uid="{00000000-0005-0000-0000-0000181D0000}"/>
    <cellStyle name="20% - Ênfase6 17 3" xfId="7601" xr:uid="{00000000-0005-0000-0000-0000191D0000}"/>
    <cellStyle name="20% - Ênfase6 17 3 2" xfId="7602" xr:uid="{00000000-0005-0000-0000-00001A1D0000}"/>
    <cellStyle name="20% - Ênfase6 17 3 2 2" xfId="7603" xr:uid="{00000000-0005-0000-0000-00001B1D0000}"/>
    <cellStyle name="20% - Ênfase6 17 3 3" xfId="7604" xr:uid="{00000000-0005-0000-0000-00001C1D0000}"/>
    <cellStyle name="20% - Ênfase6 17 3 3 2" xfId="7605" xr:uid="{00000000-0005-0000-0000-00001D1D0000}"/>
    <cellStyle name="20% - Ênfase6 17 3 4" xfId="7606" xr:uid="{00000000-0005-0000-0000-00001E1D0000}"/>
    <cellStyle name="20% - Ênfase6 17 4" xfId="7607" xr:uid="{00000000-0005-0000-0000-00001F1D0000}"/>
    <cellStyle name="20% - Ênfase6 17 4 2" xfId="7608" xr:uid="{00000000-0005-0000-0000-0000201D0000}"/>
    <cellStyle name="20% - Ênfase6 17 5" xfId="7609" xr:uid="{00000000-0005-0000-0000-0000211D0000}"/>
    <cellStyle name="20% - Ênfase6 17 5 2" xfId="7610" xr:uid="{00000000-0005-0000-0000-0000221D0000}"/>
    <cellStyle name="20% - Ênfase6 17 6" xfId="7611" xr:uid="{00000000-0005-0000-0000-0000231D0000}"/>
    <cellStyle name="20% - Ênfase6 18" xfId="7612" xr:uid="{00000000-0005-0000-0000-0000241D0000}"/>
    <cellStyle name="20% - Ênfase6 18 2" xfId="7613" xr:uid="{00000000-0005-0000-0000-0000251D0000}"/>
    <cellStyle name="20% - Ênfase6 18 2 2" xfId="7614" xr:uid="{00000000-0005-0000-0000-0000261D0000}"/>
    <cellStyle name="20% - Ênfase6 18 3" xfId="7615" xr:uid="{00000000-0005-0000-0000-0000271D0000}"/>
    <cellStyle name="20% - Ênfase6 18 3 2" xfId="7616" xr:uid="{00000000-0005-0000-0000-0000281D0000}"/>
    <cellStyle name="20% - Ênfase6 18 4" xfId="7617" xr:uid="{00000000-0005-0000-0000-0000291D0000}"/>
    <cellStyle name="20% - Ênfase6 19" xfId="7618" xr:uid="{00000000-0005-0000-0000-00002A1D0000}"/>
    <cellStyle name="20% - Ênfase6 19 2" xfId="7619" xr:uid="{00000000-0005-0000-0000-00002B1D0000}"/>
    <cellStyle name="20% - Ênfase6 19 2 2" xfId="7620" xr:uid="{00000000-0005-0000-0000-00002C1D0000}"/>
    <cellStyle name="20% - Ênfase6 19 3" xfId="7621" xr:uid="{00000000-0005-0000-0000-00002D1D0000}"/>
    <cellStyle name="20% - Ênfase6 2" xfId="7622" xr:uid="{00000000-0005-0000-0000-00002E1D0000}"/>
    <cellStyle name="20% - Ênfase6 2 10" xfId="7623" xr:uid="{00000000-0005-0000-0000-00002F1D0000}"/>
    <cellStyle name="20% - Ênfase6 2 10 2" xfId="7624" xr:uid="{00000000-0005-0000-0000-0000301D0000}"/>
    <cellStyle name="20% - Ênfase6 2 10 2 2" xfId="7625" xr:uid="{00000000-0005-0000-0000-0000311D0000}"/>
    <cellStyle name="20% - Ênfase6 2 10 3" xfId="7626" xr:uid="{00000000-0005-0000-0000-0000321D0000}"/>
    <cellStyle name="20% - Ênfase6 2 10 3 2" xfId="7627" xr:uid="{00000000-0005-0000-0000-0000331D0000}"/>
    <cellStyle name="20% - Ênfase6 2 10 4" xfId="7628" xr:uid="{00000000-0005-0000-0000-0000341D0000}"/>
    <cellStyle name="20% - Ênfase6 2 11" xfId="7629" xr:uid="{00000000-0005-0000-0000-0000351D0000}"/>
    <cellStyle name="20% - Ênfase6 2 11 2" xfId="7630" xr:uid="{00000000-0005-0000-0000-0000361D0000}"/>
    <cellStyle name="20% - Ênfase6 2 11 2 2" xfId="7631" xr:uid="{00000000-0005-0000-0000-0000371D0000}"/>
    <cellStyle name="20% - Ênfase6 2 11 3" xfId="7632" xr:uid="{00000000-0005-0000-0000-0000381D0000}"/>
    <cellStyle name="20% - Ênfase6 2 12" xfId="7633" xr:uid="{00000000-0005-0000-0000-0000391D0000}"/>
    <cellStyle name="20% - Ênfase6 2 12 2" xfId="7634" xr:uid="{00000000-0005-0000-0000-00003A1D0000}"/>
    <cellStyle name="20% - Ênfase6 2 12 2 2" xfId="7635" xr:uid="{00000000-0005-0000-0000-00003B1D0000}"/>
    <cellStyle name="20% - Ênfase6 2 12 3" xfId="7636" xr:uid="{00000000-0005-0000-0000-00003C1D0000}"/>
    <cellStyle name="20% - Ênfase6 2 13" xfId="7637" xr:uid="{00000000-0005-0000-0000-00003D1D0000}"/>
    <cellStyle name="20% - Ênfase6 2 13 2" xfId="7638" xr:uid="{00000000-0005-0000-0000-00003E1D0000}"/>
    <cellStyle name="20% - Ênfase6 2 13 2 2" xfId="7639" xr:uid="{00000000-0005-0000-0000-00003F1D0000}"/>
    <cellStyle name="20% - Ênfase6 2 13 3" xfId="7640" xr:uid="{00000000-0005-0000-0000-0000401D0000}"/>
    <cellStyle name="20% - Ênfase6 2 14" xfId="7641" xr:uid="{00000000-0005-0000-0000-0000411D0000}"/>
    <cellStyle name="20% - Ênfase6 2 14 2" xfId="7642" xr:uid="{00000000-0005-0000-0000-0000421D0000}"/>
    <cellStyle name="20% - Ênfase6 2 14 2 2" xfId="7643" xr:uid="{00000000-0005-0000-0000-0000431D0000}"/>
    <cellStyle name="20% - Ênfase6 2 14 3" xfId="7644" xr:uid="{00000000-0005-0000-0000-0000441D0000}"/>
    <cellStyle name="20% - Ênfase6 2 15" xfId="7645" xr:uid="{00000000-0005-0000-0000-0000451D0000}"/>
    <cellStyle name="20% - Ênfase6 2 15 2" xfId="7646" xr:uid="{00000000-0005-0000-0000-0000461D0000}"/>
    <cellStyle name="20% - Ênfase6 2 16" xfId="7647" xr:uid="{00000000-0005-0000-0000-0000471D0000}"/>
    <cellStyle name="20% - Ênfase6 2 2" xfId="7648" xr:uid="{00000000-0005-0000-0000-0000481D0000}"/>
    <cellStyle name="20% - Ênfase6 2 2 10" xfId="7649" xr:uid="{00000000-0005-0000-0000-0000491D0000}"/>
    <cellStyle name="20% - Ênfase6 2 2 10 2" xfId="7650" xr:uid="{00000000-0005-0000-0000-00004A1D0000}"/>
    <cellStyle name="20% - Ênfase6 2 2 11" xfId="7651" xr:uid="{00000000-0005-0000-0000-00004B1D0000}"/>
    <cellStyle name="20% - Ênfase6 2 2 2" xfId="7652" xr:uid="{00000000-0005-0000-0000-00004C1D0000}"/>
    <cellStyle name="20% - Ênfase6 2 2 2 2" xfId="7653" xr:uid="{00000000-0005-0000-0000-00004D1D0000}"/>
    <cellStyle name="20% - Ênfase6 2 2 2 2 2" xfId="7654" xr:uid="{00000000-0005-0000-0000-00004E1D0000}"/>
    <cellStyle name="20% - Ênfase6 2 2 2 2 2 2" xfId="7655" xr:uid="{00000000-0005-0000-0000-00004F1D0000}"/>
    <cellStyle name="20% - Ênfase6 2 2 2 2 2 2 2" xfId="7656" xr:uid="{00000000-0005-0000-0000-0000501D0000}"/>
    <cellStyle name="20% - Ênfase6 2 2 2 2 2 3" xfId="7657" xr:uid="{00000000-0005-0000-0000-0000511D0000}"/>
    <cellStyle name="20% - Ênfase6 2 2 2 2 2 3 2" xfId="7658" xr:uid="{00000000-0005-0000-0000-0000521D0000}"/>
    <cellStyle name="20% - Ênfase6 2 2 2 2 2 4" xfId="7659" xr:uid="{00000000-0005-0000-0000-0000531D0000}"/>
    <cellStyle name="20% - Ênfase6 2 2 2 2 3" xfId="7660" xr:uid="{00000000-0005-0000-0000-0000541D0000}"/>
    <cellStyle name="20% - Ênfase6 2 2 2 2 3 2" xfId="7661" xr:uid="{00000000-0005-0000-0000-0000551D0000}"/>
    <cellStyle name="20% - Ênfase6 2 2 2 2 3 2 2" xfId="7662" xr:uid="{00000000-0005-0000-0000-0000561D0000}"/>
    <cellStyle name="20% - Ênfase6 2 2 2 2 3 3" xfId="7663" xr:uid="{00000000-0005-0000-0000-0000571D0000}"/>
    <cellStyle name="20% - Ênfase6 2 2 2 2 3 3 2" xfId="7664" xr:uid="{00000000-0005-0000-0000-0000581D0000}"/>
    <cellStyle name="20% - Ênfase6 2 2 2 2 3 4" xfId="7665" xr:uid="{00000000-0005-0000-0000-0000591D0000}"/>
    <cellStyle name="20% - Ênfase6 2 2 2 2 4" xfId="7666" xr:uid="{00000000-0005-0000-0000-00005A1D0000}"/>
    <cellStyle name="20% - Ênfase6 2 2 2 2 4 2" xfId="7667" xr:uid="{00000000-0005-0000-0000-00005B1D0000}"/>
    <cellStyle name="20% - Ênfase6 2 2 2 2 5" xfId="7668" xr:uid="{00000000-0005-0000-0000-00005C1D0000}"/>
    <cellStyle name="20% - Ênfase6 2 2 2 2 5 2" xfId="7669" xr:uid="{00000000-0005-0000-0000-00005D1D0000}"/>
    <cellStyle name="20% - Ênfase6 2 2 2 2 6" xfId="7670" xr:uid="{00000000-0005-0000-0000-00005E1D0000}"/>
    <cellStyle name="20% - Ênfase6 2 2 2 3" xfId="7671" xr:uid="{00000000-0005-0000-0000-00005F1D0000}"/>
    <cellStyle name="20% - Ênfase6 2 2 2 3 2" xfId="7672" xr:uid="{00000000-0005-0000-0000-0000601D0000}"/>
    <cellStyle name="20% - Ênfase6 2 2 2 3 2 2" xfId="7673" xr:uid="{00000000-0005-0000-0000-0000611D0000}"/>
    <cellStyle name="20% - Ênfase6 2 2 2 3 3" xfId="7674" xr:uid="{00000000-0005-0000-0000-0000621D0000}"/>
    <cellStyle name="20% - Ênfase6 2 2 2 3 3 2" xfId="7675" xr:uid="{00000000-0005-0000-0000-0000631D0000}"/>
    <cellStyle name="20% - Ênfase6 2 2 2 3 4" xfId="7676" xr:uid="{00000000-0005-0000-0000-0000641D0000}"/>
    <cellStyle name="20% - Ênfase6 2 2 2 4" xfId="7677" xr:uid="{00000000-0005-0000-0000-0000651D0000}"/>
    <cellStyle name="20% - Ênfase6 2 2 2 4 2" xfId="7678" xr:uid="{00000000-0005-0000-0000-0000661D0000}"/>
    <cellStyle name="20% - Ênfase6 2 2 2 4 2 2" xfId="7679" xr:uid="{00000000-0005-0000-0000-0000671D0000}"/>
    <cellStyle name="20% - Ênfase6 2 2 2 4 3" xfId="7680" xr:uid="{00000000-0005-0000-0000-0000681D0000}"/>
    <cellStyle name="20% - Ênfase6 2 2 2 5" xfId="7681" xr:uid="{00000000-0005-0000-0000-0000691D0000}"/>
    <cellStyle name="20% - Ênfase6 2 2 2 5 2" xfId="7682" xr:uid="{00000000-0005-0000-0000-00006A1D0000}"/>
    <cellStyle name="20% - Ênfase6 2 2 2 5 2 2" xfId="7683" xr:uid="{00000000-0005-0000-0000-00006B1D0000}"/>
    <cellStyle name="20% - Ênfase6 2 2 2 5 3" xfId="7684" xr:uid="{00000000-0005-0000-0000-00006C1D0000}"/>
    <cellStyle name="20% - Ênfase6 2 2 2 6" xfId="7685" xr:uid="{00000000-0005-0000-0000-00006D1D0000}"/>
    <cellStyle name="20% - Ênfase6 2 2 2 6 2" xfId="7686" xr:uid="{00000000-0005-0000-0000-00006E1D0000}"/>
    <cellStyle name="20% - Ênfase6 2 2 2 6 2 2" xfId="7687" xr:uid="{00000000-0005-0000-0000-00006F1D0000}"/>
    <cellStyle name="20% - Ênfase6 2 2 2 6 3" xfId="7688" xr:uid="{00000000-0005-0000-0000-0000701D0000}"/>
    <cellStyle name="20% - Ênfase6 2 2 2 7" xfId="7689" xr:uid="{00000000-0005-0000-0000-0000711D0000}"/>
    <cellStyle name="20% - Ênfase6 2 2 2 7 2" xfId="7690" xr:uid="{00000000-0005-0000-0000-0000721D0000}"/>
    <cellStyle name="20% - Ênfase6 2 2 2 7 2 2" xfId="7691" xr:uid="{00000000-0005-0000-0000-0000731D0000}"/>
    <cellStyle name="20% - Ênfase6 2 2 2 7 3" xfId="7692" xr:uid="{00000000-0005-0000-0000-0000741D0000}"/>
    <cellStyle name="20% - Ênfase6 2 2 2 8" xfId="7693" xr:uid="{00000000-0005-0000-0000-0000751D0000}"/>
    <cellStyle name="20% - Ênfase6 2 2 2 8 2" xfId="7694" xr:uid="{00000000-0005-0000-0000-0000761D0000}"/>
    <cellStyle name="20% - Ênfase6 2 2 2 9" xfId="7695" xr:uid="{00000000-0005-0000-0000-0000771D0000}"/>
    <cellStyle name="20% - Ênfase6 2 2 3" xfId="7696" xr:uid="{00000000-0005-0000-0000-0000781D0000}"/>
    <cellStyle name="20% - Ênfase6 2 2 3 2" xfId="7697" xr:uid="{00000000-0005-0000-0000-0000791D0000}"/>
    <cellStyle name="20% - Ênfase6 2 2 3 2 2" xfId="7698" xr:uid="{00000000-0005-0000-0000-00007A1D0000}"/>
    <cellStyle name="20% - Ênfase6 2 2 3 2 2 2" xfId="7699" xr:uid="{00000000-0005-0000-0000-00007B1D0000}"/>
    <cellStyle name="20% - Ênfase6 2 2 3 2 3" xfId="7700" xr:uid="{00000000-0005-0000-0000-00007C1D0000}"/>
    <cellStyle name="20% - Ênfase6 2 2 3 2 3 2" xfId="7701" xr:uid="{00000000-0005-0000-0000-00007D1D0000}"/>
    <cellStyle name="20% - Ênfase6 2 2 3 2 4" xfId="7702" xr:uid="{00000000-0005-0000-0000-00007E1D0000}"/>
    <cellStyle name="20% - Ênfase6 2 2 3 3" xfId="7703" xr:uid="{00000000-0005-0000-0000-00007F1D0000}"/>
    <cellStyle name="20% - Ênfase6 2 2 3 3 2" xfId="7704" xr:uid="{00000000-0005-0000-0000-0000801D0000}"/>
    <cellStyle name="20% - Ênfase6 2 2 3 3 2 2" xfId="7705" xr:uid="{00000000-0005-0000-0000-0000811D0000}"/>
    <cellStyle name="20% - Ênfase6 2 2 3 3 3" xfId="7706" xr:uid="{00000000-0005-0000-0000-0000821D0000}"/>
    <cellStyle name="20% - Ênfase6 2 2 3 3 3 2" xfId="7707" xr:uid="{00000000-0005-0000-0000-0000831D0000}"/>
    <cellStyle name="20% - Ênfase6 2 2 3 3 4" xfId="7708" xr:uid="{00000000-0005-0000-0000-0000841D0000}"/>
    <cellStyle name="20% - Ênfase6 2 2 3 4" xfId="7709" xr:uid="{00000000-0005-0000-0000-0000851D0000}"/>
    <cellStyle name="20% - Ênfase6 2 2 3 4 2" xfId="7710" xr:uid="{00000000-0005-0000-0000-0000861D0000}"/>
    <cellStyle name="20% - Ênfase6 2 2 3 5" xfId="7711" xr:uid="{00000000-0005-0000-0000-0000871D0000}"/>
    <cellStyle name="20% - Ênfase6 2 2 3 5 2" xfId="7712" xr:uid="{00000000-0005-0000-0000-0000881D0000}"/>
    <cellStyle name="20% - Ênfase6 2 2 3 6" xfId="7713" xr:uid="{00000000-0005-0000-0000-0000891D0000}"/>
    <cellStyle name="20% - Ênfase6 2 2 4" xfId="7714" xr:uid="{00000000-0005-0000-0000-00008A1D0000}"/>
    <cellStyle name="20% - Ênfase6 2 2 4 2" xfId="7715" xr:uid="{00000000-0005-0000-0000-00008B1D0000}"/>
    <cellStyle name="20% - Ênfase6 2 2 4 2 2" xfId="7716" xr:uid="{00000000-0005-0000-0000-00008C1D0000}"/>
    <cellStyle name="20% - Ênfase6 2 2 4 2 2 2" xfId="7717" xr:uid="{00000000-0005-0000-0000-00008D1D0000}"/>
    <cellStyle name="20% - Ênfase6 2 2 4 2 3" xfId="7718" xr:uid="{00000000-0005-0000-0000-00008E1D0000}"/>
    <cellStyle name="20% - Ênfase6 2 2 4 2 3 2" xfId="7719" xr:uid="{00000000-0005-0000-0000-00008F1D0000}"/>
    <cellStyle name="20% - Ênfase6 2 2 4 2 4" xfId="7720" xr:uid="{00000000-0005-0000-0000-0000901D0000}"/>
    <cellStyle name="20% - Ênfase6 2 2 4 3" xfId="7721" xr:uid="{00000000-0005-0000-0000-0000911D0000}"/>
    <cellStyle name="20% - Ênfase6 2 2 4 3 2" xfId="7722" xr:uid="{00000000-0005-0000-0000-0000921D0000}"/>
    <cellStyle name="20% - Ênfase6 2 2 4 3 2 2" xfId="7723" xr:uid="{00000000-0005-0000-0000-0000931D0000}"/>
    <cellStyle name="20% - Ênfase6 2 2 4 3 3" xfId="7724" xr:uid="{00000000-0005-0000-0000-0000941D0000}"/>
    <cellStyle name="20% - Ênfase6 2 2 4 3 3 2" xfId="7725" xr:uid="{00000000-0005-0000-0000-0000951D0000}"/>
    <cellStyle name="20% - Ênfase6 2 2 4 3 4" xfId="7726" xr:uid="{00000000-0005-0000-0000-0000961D0000}"/>
    <cellStyle name="20% - Ênfase6 2 2 4 4" xfId="7727" xr:uid="{00000000-0005-0000-0000-0000971D0000}"/>
    <cellStyle name="20% - Ênfase6 2 2 4 4 2" xfId="7728" xr:uid="{00000000-0005-0000-0000-0000981D0000}"/>
    <cellStyle name="20% - Ênfase6 2 2 4 5" xfId="7729" xr:uid="{00000000-0005-0000-0000-0000991D0000}"/>
    <cellStyle name="20% - Ênfase6 2 2 4 5 2" xfId="7730" xr:uid="{00000000-0005-0000-0000-00009A1D0000}"/>
    <cellStyle name="20% - Ênfase6 2 2 4 6" xfId="7731" xr:uid="{00000000-0005-0000-0000-00009B1D0000}"/>
    <cellStyle name="20% - Ênfase6 2 2 5" xfId="7732" xr:uid="{00000000-0005-0000-0000-00009C1D0000}"/>
    <cellStyle name="20% - Ênfase6 2 2 5 2" xfId="7733" xr:uid="{00000000-0005-0000-0000-00009D1D0000}"/>
    <cellStyle name="20% - Ênfase6 2 2 5 2 2" xfId="7734" xr:uid="{00000000-0005-0000-0000-00009E1D0000}"/>
    <cellStyle name="20% - Ênfase6 2 2 5 3" xfId="7735" xr:uid="{00000000-0005-0000-0000-00009F1D0000}"/>
    <cellStyle name="20% - Ênfase6 2 2 5 3 2" xfId="7736" xr:uid="{00000000-0005-0000-0000-0000A01D0000}"/>
    <cellStyle name="20% - Ênfase6 2 2 5 4" xfId="7737" xr:uid="{00000000-0005-0000-0000-0000A11D0000}"/>
    <cellStyle name="20% - Ênfase6 2 2 6" xfId="7738" xr:uid="{00000000-0005-0000-0000-0000A21D0000}"/>
    <cellStyle name="20% - Ênfase6 2 2 6 2" xfId="7739" xr:uid="{00000000-0005-0000-0000-0000A31D0000}"/>
    <cellStyle name="20% - Ênfase6 2 2 6 2 2" xfId="7740" xr:uid="{00000000-0005-0000-0000-0000A41D0000}"/>
    <cellStyle name="20% - Ênfase6 2 2 6 3" xfId="7741" xr:uid="{00000000-0005-0000-0000-0000A51D0000}"/>
    <cellStyle name="20% - Ênfase6 2 2 7" xfId="7742" xr:uid="{00000000-0005-0000-0000-0000A61D0000}"/>
    <cellStyle name="20% - Ênfase6 2 2 7 2" xfId="7743" xr:uid="{00000000-0005-0000-0000-0000A71D0000}"/>
    <cellStyle name="20% - Ênfase6 2 2 7 2 2" xfId="7744" xr:uid="{00000000-0005-0000-0000-0000A81D0000}"/>
    <cellStyle name="20% - Ênfase6 2 2 7 3" xfId="7745" xr:uid="{00000000-0005-0000-0000-0000A91D0000}"/>
    <cellStyle name="20% - Ênfase6 2 2 8" xfId="7746" xr:uid="{00000000-0005-0000-0000-0000AA1D0000}"/>
    <cellStyle name="20% - Ênfase6 2 2 8 2" xfId="7747" xr:uid="{00000000-0005-0000-0000-0000AB1D0000}"/>
    <cellStyle name="20% - Ênfase6 2 2 8 2 2" xfId="7748" xr:uid="{00000000-0005-0000-0000-0000AC1D0000}"/>
    <cellStyle name="20% - Ênfase6 2 2 8 3" xfId="7749" xr:uid="{00000000-0005-0000-0000-0000AD1D0000}"/>
    <cellStyle name="20% - Ênfase6 2 2 9" xfId="7750" xr:uid="{00000000-0005-0000-0000-0000AE1D0000}"/>
    <cellStyle name="20% - Ênfase6 2 2 9 2" xfId="7751" xr:uid="{00000000-0005-0000-0000-0000AF1D0000}"/>
    <cellStyle name="20% - Ênfase6 2 2 9 2 2" xfId="7752" xr:uid="{00000000-0005-0000-0000-0000B01D0000}"/>
    <cellStyle name="20% - Ênfase6 2 2 9 3" xfId="7753" xr:uid="{00000000-0005-0000-0000-0000B11D0000}"/>
    <cellStyle name="20% - Ênfase6 2 3" xfId="7754" xr:uid="{00000000-0005-0000-0000-0000B21D0000}"/>
    <cellStyle name="20% - Ênfase6 2 3 10" xfId="7755" xr:uid="{00000000-0005-0000-0000-0000B31D0000}"/>
    <cellStyle name="20% - Ênfase6 2 3 10 2" xfId="7756" xr:uid="{00000000-0005-0000-0000-0000B41D0000}"/>
    <cellStyle name="20% - Ênfase6 2 3 11" xfId="7757" xr:uid="{00000000-0005-0000-0000-0000B51D0000}"/>
    <cellStyle name="20% - Ênfase6 2 3 2" xfId="7758" xr:uid="{00000000-0005-0000-0000-0000B61D0000}"/>
    <cellStyle name="20% - Ênfase6 2 3 2 2" xfId="7759" xr:uid="{00000000-0005-0000-0000-0000B71D0000}"/>
    <cellStyle name="20% - Ênfase6 2 3 2 2 2" xfId="7760" xr:uid="{00000000-0005-0000-0000-0000B81D0000}"/>
    <cellStyle name="20% - Ênfase6 2 3 2 2 2 2" xfId="7761" xr:uid="{00000000-0005-0000-0000-0000B91D0000}"/>
    <cellStyle name="20% - Ênfase6 2 3 2 2 2 2 2" xfId="7762" xr:uid="{00000000-0005-0000-0000-0000BA1D0000}"/>
    <cellStyle name="20% - Ênfase6 2 3 2 2 2 3" xfId="7763" xr:uid="{00000000-0005-0000-0000-0000BB1D0000}"/>
    <cellStyle name="20% - Ênfase6 2 3 2 2 2 3 2" xfId="7764" xr:uid="{00000000-0005-0000-0000-0000BC1D0000}"/>
    <cellStyle name="20% - Ênfase6 2 3 2 2 2 4" xfId="7765" xr:uid="{00000000-0005-0000-0000-0000BD1D0000}"/>
    <cellStyle name="20% - Ênfase6 2 3 2 2 3" xfId="7766" xr:uid="{00000000-0005-0000-0000-0000BE1D0000}"/>
    <cellStyle name="20% - Ênfase6 2 3 2 2 3 2" xfId="7767" xr:uid="{00000000-0005-0000-0000-0000BF1D0000}"/>
    <cellStyle name="20% - Ênfase6 2 3 2 2 3 2 2" xfId="7768" xr:uid="{00000000-0005-0000-0000-0000C01D0000}"/>
    <cellStyle name="20% - Ênfase6 2 3 2 2 3 3" xfId="7769" xr:uid="{00000000-0005-0000-0000-0000C11D0000}"/>
    <cellStyle name="20% - Ênfase6 2 3 2 2 3 3 2" xfId="7770" xr:uid="{00000000-0005-0000-0000-0000C21D0000}"/>
    <cellStyle name="20% - Ênfase6 2 3 2 2 3 4" xfId="7771" xr:uid="{00000000-0005-0000-0000-0000C31D0000}"/>
    <cellStyle name="20% - Ênfase6 2 3 2 2 4" xfId="7772" xr:uid="{00000000-0005-0000-0000-0000C41D0000}"/>
    <cellStyle name="20% - Ênfase6 2 3 2 2 4 2" xfId="7773" xr:uid="{00000000-0005-0000-0000-0000C51D0000}"/>
    <cellStyle name="20% - Ênfase6 2 3 2 2 5" xfId="7774" xr:uid="{00000000-0005-0000-0000-0000C61D0000}"/>
    <cellStyle name="20% - Ênfase6 2 3 2 2 5 2" xfId="7775" xr:uid="{00000000-0005-0000-0000-0000C71D0000}"/>
    <cellStyle name="20% - Ênfase6 2 3 2 2 6" xfId="7776" xr:uid="{00000000-0005-0000-0000-0000C81D0000}"/>
    <cellStyle name="20% - Ênfase6 2 3 2 3" xfId="7777" xr:uid="{00000000-0005-0000-0000-0000C91D0000}"/>
    <cellStyle name="20% - Ênfase6 2 3 2 3 2" xfId="7778" xr:uid="{00000000-0005-0000-0000-0000CA1D0000}"/>
    <cellStyle name="20% - Ênfase6 2 3 2 3 2 2" xfId="7779" xr:uid="{00000000-0005-0000-0000-0000CB1D0000}"/>
    <cellStyle name="20% - Ênfase6 2 3 2 3 3" xfId="7780" xr:uid="{00000000-0005-0000-0000-0000CC1D0000}"/>
    <cellStyle name="20% - Ênfase6 2 3 2 3 3 2" xfId="7781" xr:uid="{00000000-0005-0000-0000-0000CD1D0000}"/>
    <cellStyle name="20% - Ênfase6 2 3 2 3 4" xfId="7782" xr:uid="{00000000-0005-0000-0000-0000CE1D0000}"/>
    <cellStyle name="20% - Ênfase6 2 3 2 4" xfId="7783" xr:uid="{00000000-0005-0000-0000-0000CF1D0000}"/>
    <cellStyle name="20% - Ênfase6 2 3 2 4 2" xfId="7784" xr:uid="{00000000-0005-0000-0000-0000D01D0000}"/>
    <cellStyle name="20% - Ênfase6 2 3 2 4 2 2" xfId="7785" xr:uid="{00000000-0005-0000-0000-0000D11D0000}"/>
    <cellStyle name="20% - Ênfase6 2 3 2 4 3" xfId="7786" xr:uid="{00000000-0005-0000-0000-0000D21D0000}"/>
    <cellStyle name="20% - Ênfase6 2 3 2 5" xfId="7787" xr:uid="{00000000-0005-0000-0000-0000D31D0000}"/>
    <cellStyle name="20% - Ênfase6 2 3 2 5 2" xfId="7788" xr:uid="{00000000-0005-0000-0000-0000D41D0000}"/>
    <cellStyle name="20% - Ênfase6 2 3 2 5 2 2" xfId="7789" xr:uid="{00000000-0005-0000-0000-0000D51D0000}"/>
    <cellStyle name="20% - Ênfase6 2 3 2 5 3" xfId="7790" xr:uid="{00000000-0005-0000-0000-0000D61D0000}"/>
    <cellStyle name="20% - Ênfase6 2 3 2 6" xfId="7791" xr:uid="{00000000-0005-0000-0000-0000D71D0000}"/>
    <cellStyle name="20% - Ênfase6 2 3 2 6 2" xfId="7792" xr:uid="{00000000-0005-0000-0000-0000D81D0000}"/>
    <cellStyle name="20% - Ênfase6 2 3 2 6 2 2" xfId="7793" xr:uid="{00000000-0005-0000-0000-0000D91D0000}"/>
    <cellStyle name="20% - Ênfase6 2 3 2 6 3" xfId="7794" xr:uid="{00000000-0005-0000-0000-0000DA1D0000}"/>
    <cellStyle name="20% - Ênfase6 2 3 2 7" xfId="7795" xr:uid="{00000000-0005-0000-0000-0000DB1D0000}"/>
    <cellStyle name="20% - Ênfase6 2 3 2 7 2" xfId="7796" xr:uid="{00000000-0005-0000-0000-0000DC1D0000}"/>
    <cellStyle name="20% - Ênfase6 2 3 2 7 2 2" xfId="7797" xr:uid="{00000000-0005-0000-0000-0000DD1D0000}"/>
    <cellStyle name="20% - Ênfase6 2 3 2 7 3" xfId="7798" xr:uid="{00000000-0005-0000-0000-0000DE1D0000}"/>
    <cellStyle name="20% - Ênfase6 2 3 2 8" xfId="7799" xr:uid="{00000000-0005-0000-0000-0000DF1D0000}"/>
    <cellStyle name="20% - Ênfase6 2 3 2 8 2" xfId="7800" xr:uid="{00000000-0005-0000-0000-0000E01D0000}"/>
    <cellStyle name="20% - Ênfase6 2 3 2 9" xfId="7801" xr:uid="{00000000-0005-0000-0000-0000E11D0000}"/>
    <cellStyle name="20% - Ênfase6 2 3 3" xfId="7802" xr:uid="{00000000-0005-0000-0000-0000E21D0000}"/>
    <cellStyle name="20% - Ênfase6 2 3 3 2" xfId="7803" xr:uid="{00000000-0005-0000-0000-0000E31D0000}"/>
    <cellStyle name="20% - Ênfase6 2 3 3 2 2" xfId="7804" xr:uid="{00000000-0005-0000-0000-0000E41D0000}"/>
    <cellStyle name="20% - Ênfase6 2 3 3 2 2 2" xfId="7805" xr:uid="{00000000-0005-0000-0000-0000E51D0000}"/>
    <cellStyle name="20% - Ênfase6 2 3 3 2 3" xfId="7806" xr:uid="{00000000-0005-0000-0000-0000E61D0000}"/>
    <cellStyle name="20% - Ênfase6 2 3 3 2 3 2" xfId="7807" xr:uid="{00000000-0005-0000-0000-0000E71D0000}"/>
    <cellStyle name="20% - Ênfase6 2 3 3 2 4" xfId="7808" xr:uid="{00000000-0005-0000-0000-0000E81D0000}"/>
    <cellStyle name="20% - Ênfase6 2 3 3 3" xfId="7809" xr:uid="{00000000-0005-0000-0000-0000E91D0000}"/>
    <cellStyle name="20% - Ênfase6 2 3 3 3 2" xfId="7810" xr:uid="{00000000-0005-0000-0000-0000EA1D0000}"/>
    <cellStyle name="20% - Ênfase6 2 3 3 3 2 2" xfId="7811" xr:uid="{00000000-0005-0000-0000-0000EB1D0000}"/>
    <cellStyle name="20% - Ênfase6 2 3 3 3 3" xfId="7812" xr:uid="{00000000-0005-0000-0000-0000EC1D0000}"/>
    <cellStyle name="20% - Ênfase6 2 3 3 3 3 2" xfId="7813" xr:uid="{00000000-0005-0000-0000-0000ED1D0000}"/>
    <cellStyle name="20% - Ênfase6 2 3 3 3 4" xfId="7814" xr:uid="{00000000-0005-0000-0000-0000EE1D0000}"/>
    <cellStyle name="20% - Ênfase6 2 3 3 4" xfId="7815" xr:uid="{00000000-0005-0000-0000-0000EF1D0000}"/>
    <cellStyle name="20% - Ênfase6 2 3 3 4 2" xfId="7816" xr:uid="{00000000-0005-0000-0000-0000F01D0000}"/>
    <cellStyle name="20% - Ênfase6 2 3 3 5" xfId="7817" xr:uid="{00000000-0005-0000-0000-0000F11D0000}"/>
    <cellStyle name="20% - Ênfase6 2 3 3 5 2" xfId="7818" xr:uid="{00000000-0005-0000-0000-0000F21D0000}"/>
    <cellStyle name="20% - Ênfase6 2 3 3 6" xfId="7819" xr:uid="{00000000-0005-0000-0000-0000F31D0000}"/>
    <cellStyle name="20% - Ênfase6 2 3 4" xfId="7820" xr:uid="{00000000-0005-0000-0000-0000F41D0000}"/>
    <cellStyle name="20% - Ênfase6 2 3 4 2" xfId="7821" xr:uid="{00000000-0005-0000-0000-0000F51D0000}"/>
    <cellStyle name="20% - Ênfase6 2 3 4 2 2" xfId="7822" xr:uid="{00000000-0005-0000-0000-0000F61D0000}"/>
    <cellStyle name="20% - Ênfase6 2 3 4 2 2 2" xfId="7823" xr:uid="{00000000-0005-0000-0000-0000F71D0000}"/>
    <cellStyle name="20% - Ênfase6 2 3 4 2 3" xfId="7824" xr:uid="{00000000-0005-0000-0000-0000F81D0000}"/>
    <cellStyle name="20% - Ênfase6 2 3 4 2 3 2" xfId="7825" xr:uid="{00000000-0005-0000-0000-0000F91D0000}"/>
    <cellStyle name="20% - Ênfase6 2 3 4 2 4" xfId="7826" xr:uid="{00000000-0005-0000-0000-0000FA1D0000}"/>
    <cellStyle name="20% - Ênfase6 2 3 4 3" xfId="7827" xr:uid="{00000000-0005-0000-0000-0000FB1D0000}"/>
    <cellStyle name="20% - Ênfase6 2 3 4 3 2" xfId="7828" xr:uid="{00000000-0005-0000-0000-0000FC1D0000}"/>
    <cellStyle name="20% - Ênfase6 2 3 4 3 2 2" xfId="7829" xr:uid="{00000000-0005-0000-0000-0000FD1D0000}"/>
    <cellStyle name="20% - Ênfase6 2 3 4 3 3" xfId="7830" xr:uid="{00000000-0005-0000-0000-0000FE1D0000}"/>
    <cellStyle name="20% - Ênfase6 2 3 4 3 3 2" xfId="7831" xr:uid="{00000000-0005-0000-0000-0000FF1D0000}"/>
    <cellStyle name="20% - Ênfase6 2 3 4 3 4" xfId="7832" xr:uid="{00000000-0005-0000-0000-0000001E0000}"/>
    <cellStyle name="20% - Ênfase6 2 3 4 4" xfId="7833" xr:uid="{00000000-0005-0000-0000-0000011E0000}"/>
    <cellStyle name="20% - Ênfase6 2 3 4 4 2" xfId="7834" xr:uid="{00000000-0005-0000-0000-0000021E0000}"/>
    <cellStyle name="20% - Ênfase6 2 3 4 5" xfId="7835" xr:uid="{00000000-0005-0000-0000-0000031E0000}"/>
    <cellStyle name="20% - Ênfase6 2 3 4 5 2" xfId="7836" xr:uid="{00000000-0005-0000-0000-0000041E0000}"/>
    <cellStyle name="20% - Ênfase6 2 3 4 6" xfId="7837" xr:uid="{00000000-0005-0000-0000-0000051E0000}"/>
    <cellStyle name="20% - Ênfase6 2 3 5" xfId="7838" xr:uid="{00000000-0005-0000-0000-0000061E0000}"/>
    <cellStyle name="20% - Ênfase6 2 3 5 2" xfId="7839" xr:uid="{00000000-0005-0000-0000-0000071E0000}"/>
    <cellStyle name="20% - Ênfase6 2 3 5 2 2" xfId="7840" xr:uid="{00000000-0005-0000-0000-0000081E0000}"/>
    <cellStyle name="20% - Ênfase6 2 3 5 3" xfId="7841" xr:uid="{00000000-0005-0000-0000-0000091E0000}"/>
    <cellStyle name="20% - Ênfase6 2 3 5 3 2" xfId="7842" xr:uid="{00000000-0005-0000-0000-00000A1E0000}"/>
    <cellStyle name="20% - Ênfase6 2 3 5 4" xfId="7843" xr:uid="{00000000-0005-0000-0000-00000B1E0000}"/>
    <cellStyle name="20% - Ênfase6 2 3 6" xfId="7844" xr:uid="{00000000-0005-0000-0000-00000C1E0000}"/>
    <cellStyle name="20% - Ênfase6 2 3 6 2" xfId="7845" xr:uid="{00000000-0005-0000-0000-00000D1E0000}"/>
    <cellStyle name="20% - Ênfase6 2 3 6 2 2" xfId="7846" xr:uid="{00000000-0005-0000-0000-00000E1E0000}"/>
    <cellStyle name="20% - Ênfase6 2 3 6 3" xfId="7847" xr:uid="{00000000-0005-0000-0000-00000F1E0000}"/>
    <cellStyle name="20% - Ênfase6 2 3 7" xfId="7848" xr:uid="{00000000-0005-0000-0000-0000101E0000}"/>
    <cellStyle name="20% - Ênfase6 2 3 7 2" xfId="7849" xr:uid="{00000000-0005-0000-0000-0000111E0000}"/>
    <cellStyle name="20% - Ênfase6 2 3 7 2 2" xfId="7850" xr:uid="{00000000-0005-0000-0000-0000121E0000}"/>
    <cellStyle name="20% - Ênfase6 2 3 7 3" xfId="7851" xr:uid="{00000000-0005-0000-0000-0000131E0000}"/>
    <cellStyle name="20% - Ênfase6 2 3 8" xfId="7852" xr:uid="{00000000-0005-0000-0000-0000141E0000}"/>
    <cellStyle name="20% - Ênfase6 2 3 8 2" xfId="7853" xr:uid="{00000000-0005-0000-0000-0000151E0000}"/>
    <cellStyle name="20% - Ênfase6 2 3 8 2 2" xfId="7854" xr:uid="{00000000-0005-0000-0000-0000161E0000}"/>
    <cellStyle name="20% - Ênfase6 2 3 8 3" xfId="7855" xr:uid="{00000000-0005-0000-0000-0000171E0000}"/>
    <cellStyle name="20% - Ênfase6 2 3 9" xfId="7856" xr:uid="{00000000-0005-0000-0000-0000181E0000}"/>
    <cellStyle name="20% - Ênfase6 2 3 9 2" xfId="7857" xr:uid="{00000000-0005-0000-0000-0000191E0000}"/>
    <cellStyle name="20% - Ênfase6 2 3 9 2 2" xfId="7858" xr:uid="{00000000-0005-0000-0000-00001A1E0000}"/>
    <cellStyle name="20% - Ênfase6 2 3 9 3" xfId="7859" xr:uid="{00000000-0005-0000-0000-00001B1E0000}"/>
    <cellStyle name="20% - Ênfase6 2 4" xfId="7860" xr:uid="{00000000-0005-0000-0000-00001C1E0000}"/>
    <cellStyle name="20% - Ênfase6 2 4 10" xfId="7861" xr:uid="{00000000-0005-0000-0000-00001D1E0000}"/>
    <cellStyle name="20% - Ênfase6 2 4 2" xfId="7862" xr:uid="{00000000-0005-0000-0000-00001E1E0000}"/>
    <cellStyle name="20% - Ênfase6 2 4 2 2" xfId="7863" xr:uid="{00000000-0005-0000-0000-00001F1E0000}"/>
    <cellStyle name="20% - Ênfase6 2 4 2 2 2" xfId="7864" xr:uid="{00000000-0005-0000-0000-0000201E0000}"/>
    <cellStyle name="20% - Ênfase6 2 4 2 2 2 2" xfId="7865" xr:uid="{00000000-0005-0000-0000-0000211E0000}"/>
    <cellStyle name="20% - Ênfase6 2 4 2 2 2 2 2" xfId="7866" xr:uid="{00000000-0005-0000-0000-0000221E0000}"/>
    <cellStyle name="20% - Ênfase6 2 4 2 2 2 3" xfId="7867" xr:uid="{00000000-0005-0000-0000-0000231E0000}"/>
    <cellStyle name="20% - Ênfase6 2 4 2 2 2 3 2" xfId="7868" xr:uid="{00000000-0005-0000-0000-0000241E0000}"/>
    <cellStyle name="20% - Ênfase6 2 4 2 2 2 4" xfId="7869" xr:uid="{00000000-0005-0000-0000-0000251E0000}"/>
    <cellStyle name="20% - Ênfase6 2 4 2 2 3" xfId="7870" xr:uid="{00000000-0005-0000-0000-0000261E0000}"/>
    <cellStyle name="20% - Ênfase6 2 4 2 2 3 2" xfId="7871" xr:uid="{00000000-0005-0000-0000-0000271E0000}"/>
    <cellStyle name="20% - Ênfase6 2 4 2 2 4" xfId="7872" xr:uid="{00000000-0005-0000-0000-0000281E0000}"/>
    <cellStyle name="20% - Ênfase6 2 4 2 2 4 2" xfId="7873" xr:uid="{00000000-0005-0000-0000-0000291E0000}"/>
    <cellStyle name="20% - Ênfase6 2 4 2 2 5" xfId="7874" xr:uid="{00000000-0005-0000-0000-00002A1E0000}"/>
    <cellStyle name="20% - Ênfase6 2 4 2 3" xfId="7875" xr:uid="{00000000-0005-0000-0000-00002B1E0000}"/>
    <cellStyle name="20% - Ênfase6 2 4 2 3 2" xfId="7876" xr:uid="{00000000-0005-0000-0000-00002C1E0000}"/>
    <cellStyle name="20% - Ênfase6 2 4 2 3 2 2" xfId="7877" xr:uid="{00000000-0005-0000-0000-00002D1E0000}"/>
    <cellStyle name="20% - Ênfase6 2 4 2 3 3" xfId="7878" xr:uid="{00000000-0005-0000-0000-00002E1E0000}"/>
    <cellStyle name="20% - Ênfase6 2 4 2 3 3 2" xfId="7879" xr:uid="{00000000-0005-0000-0000-00002F1E0000}"/>
    <cellStyle name="20% - Ênfase6 2 4 2 3 4" xfId="7880" xr:uid="{00000000-0005-0000-0000-0000301E0000}"/>
    <cellStyle name="20% - Ênfase6 2 4 2 4" xfId="7881" xr:uid="{00000000-0005-0000-0000-0000311E0000}"/>
    <cellStyle name="20% - Ênfase6 2 4 2 4 2" xfId="7882" xr:uid="{00000000-0005-0000-0000-0000321E0000}"/>
    <cellStyle name="20% - Ênfase6 2 4 2 4 2 2" xfId="7883" xr:uid="{00000000-0005-0000-0000-0000331E0000}"/>
    <cellStyle name="20% - Ênfase6 2 4 2 4 3" xfId="7884" xr:uid="{00000000-0005-0000-0000-0000341E0000}"/>
    <cellStyle name="20% - Ênfase6 2 4 2 5" xfId="7885" xr:uid="{00000000-0005-0000-0000-0000351E0000}"/>
    <cellStyle name="20% - Ênfase6 2 4 2 5 2" xfId="7886" xr:uid="{00000000-0005-0000-0000-0000361E0000}"/>
    <cellStyle name="20% - Ênfase6 2 4 2 6" xfId="7887" xr:uid="{00000000-0005-0000-0000-0000371E0000}"/>
    <cellStyle name="20% - Ênfase6 2 4 3" xfId="7888" xr:uid="{00000000-0005-0000-0000-0000381E0000}"/>
    <cellStyle name="20% - Ênfase6 2 4 3 2" xfId="7889" xr:uid="{00000000-0005-0000-0000-0000391E0000}"/>
    <cellStyle name="20% - Ênfase6 2 4 3 2 2" xfId="7890" xr:uid="{00000000-0005-0000-0000-00003A1E0000}"/>
    <cellStyle name="20% - Ênfase6 2 4 3 2 2 2" xfId="7891" xr:uid="{00000000-0005-0000-0000-00003B1E0000}"/>
    <cellStyle name="20% - Ênfase6 2 4 3 2 3" xfId="7892" xr:uid="{00000000-0005-0000-0000-00003C1E0000}"/>
    <cellStyle name="20% - Ênfase6 2 4 3 2 3 2" xfId="7893" xr:uid="{00000000-0005-0000-0000-00003D1E0000}"/>
    <cellStyle name="20% - Ênfase6 2 4 3 2 4" xfId="7894" xr:uid="{00000000-0005-0000-0000-00003E1E0000}"/>
    <cellStyle name="20% - Ênfase6 2 4 3 3" xfId="7895" xr:uid="{00000000-0005-0000-0000-00003F1E0000}"/>
    <cellStyle name="20% - Ênfase6 2 4 3 3 2" xfId="7896" xr:uid="{00000000-0005-0000-0000-0000401E0000}"/>
    <cellStyle name="20% - Ênfase6 2 4 3 3 2 2" xfId="7897" xr:uid="{00000000-0005-0000-0000-0000411E0000}"/>
    <cellStyle name="20% - Ênfase6 2 4 3 3 3" xfId="7898" xr:uid="{00000000-0005-0000-0000-0000421E0000}"/>
    <cellStyle name="20% - Ênfase6 2 4 3 3 3 2" xfId="7899" xr:uid="{00000000-0005-0000-0000-0000431E0000}"/>
    <cellStyle name="20% - Ênfase6 2 4 3 3 4" xfId="7900" xr:uid="{00000000-0005-0000-0000-0000441E0000}"/>
    <cellStyle name="20% - Ênfase6 2 4 3 4" xfId="7901" xr:uid="{00000000-0005-0000-0000-0000451E0000}"/>
    <cellStyle name="20% - Ênfase6 2 4 3 4 2" xfId="7902" xr:uid="{00000000-0005-0000-0000-0000461E0000}"/>
    <cellStyle name="20% - Ênfase6 2 4 3 5" xfId="7903" xr:uid="{00000000-0005-0000-0000-0000471E0000}"/>
    <cellStyle name="20% - Ênfase6 2 4 3 5 2" xfId="7904" xr:uid="{00000000-0005-0000-0000-0000481E0000}"/>
    <cellStyle name="20% - Ênfase6 2 4 3 6" xfId="7905" xr:uid="{00000000-0005-0000-0000-0000491E0000}"/>
    <cellStyle name="20% - Ênfase6 2 4 4" xfId="7906" xr:uid="{00000000-0005-0000-0000-00004A1E0000}"/>
    <cellStyle name="20% - Ênfase6 2 4 4 2" xfId="7907" xr:uid="{00000000-0005-0000-0000-00004B1E0000}"/>
    <cellStyle name="20% - Ênfase6 2 4 4 2 2" xfId="7908" xr:uid="{00000000-0005-0000-0000-00004C1E0000}"/>
    <cellStyle name="20% - Ênfase6 2 4 4 3" xfId="7909" xr:uid="{00000000-0005-0000-0000-00004D1E0000}"/>
    <cellStyle name="20% - Ênfase6 2 4 4 3 2" xfId="7910" xr:uid="{00000000-0005-0000-0000-00004E1E0000}"/>
    <cellStyle name="20% - Ênfase6 2 4 4 4" xfId="7911" xr:uid="{00000000-0005-0000-0000-00004F1E0000}"/>
    <cellStyle name="20% - Ênfase6 2 4 5" xfId="7912" xr:uid="{00000000-0005-0000-0000-0000501E0000}"/>
    <cellStyle name="20% - Ênfase6 2 4 5 2" xfId="7913" xr:uid="{00000000-0005-0000-0000-0000511E0000}"/>
    <cellStyle name="20% - Ênfase6 2 4 5 2 2" xfId="7914" xr:uid="{00000000-0005-0000-0000-0000521E0000}"/>
    <cellStyle name="20% - Ênfase6 2 4 5 3" xfId="7915" xr:uid="{00000000-0005-0000-0000-0000531E0000}"/>
    <cellStyle name="20% - Ênfase6 2 4 6" xfId="7916" xr:uid="{00000000-0005-0000-0000-0000541E0000}"/>
    <cellStyle name="20% - Ênfase6 2 4 6 2" xfId="7917" xr:uid="{00000000-0005-0000-0000-0000551E0000}"/>
    <cellStyle name="20% - Ênfase6 2 4 6 2 2" xfId="7918" xr:uid="{00000000-0005-0000-0000-0000561E0000}"/>
    <cellStyle name="20% - Ênfase6 2 4 6 3" xfId="7919" xr:uid="{00000000-0005-0000-0000-0000571E0000}"/>
    <cellStyle name="20% - Ênfase6 2 4 7" xfId="7920" xr:uid="{00000000-0005-0000-0000-0000581E0000}"/>
    <cellStyle name="20% - Ênfase6 2 4 7 2" xfId="7921" xr:uid="{00000000-0005-0000-0000-0000591E0000}"/>
    <cellStyle name="20% - Ênfase6 2 4 7 2 2" xfId="7922" xr:uid="{00000000-0005-0000-0000-00005A1E0000}"/>
    <cellStyle name="20% - Ênfase6 2 4 7 3" xfId="7923" xr:uid="{00000000-0005-0000-0000-00005B1E0000}"/>
    <cellStyle name="20% - Ênfase6 2 4 8" xfId="7924" xr:uid="{00000000-0005-0000-0000-00005C1E0000}"/>
    <cellStyle name="20% - Ênfase6 2 4 8 2" xfId="7925" xr:uid="{00000000-0005-0000-0000-00005D1E0000}"/>
    <cellStyle name="20% - Ênfase6 2 4 8 2 2" xfId="7926" xr:uid="{00000000-0005-0000-0000-00005E1E0000}"/>
    <cellStyle name="20% - Ênfase6 2 4 8 3" xfId="7927" xr:uid="{00000000-0005-0000-0000-00005F1E0000}"/>
    <cellStyle name="20% - Ênfase6 2 4 9" xfId="7928" xr:uid="{00000000-0005-0000-0000-0000601E0000}"/>
    <cellStyle name="20% - Ênfase6 2 4 9 2" xfId="7929" xr:uid="{00000000-0005-0000-0000-0000611E0000}"/>
    <cellStyle name="20% - Ênfase6 2 5" xfId="7930" xr:uid="{00000000-0005-0000-0000-0000621E0000}"/>
    <cellStyle name="20% - Ênfase6 2 5 2" xfId="7931" xr:uid="{00000000-0005-0000-0000-0000631E0000}"/>
    <cellStyle name="20% - Ênfase6 2 5 2 2" xfId="7932" xr:uid="{00000000-0005-0000-0000-0000641E0000}"/>
    <cellStyle name="20% - Ênfase6 2 5 2 2 2" xfId="7933" xr:uid="{00000000-0005-0000-0000-0000651E0000}"/>
    <cellStyle name="20% - Ênfase6 2 5 2 2 2 2" xfId="7934" xr:uid="{00000000-0005-0000-0000-0000661E0000}"/>
    <cellStyle name="20% - Ênfase6 2 5 2 2 2 2 2" xfId="7935" xr:uid="{00000000-0005-0000-0000-0000671E0000}"/>
    <cellStyle name="20% - Ênfase6 2 5 2 2 2 3" xfId="7936" xr:uid="{00000000-0005-0000-0000-0000681E0000}"/>
    <cellStyle name="20% - Ênfase6 2 5 2 2 2 3 2" xfId="7937" xr:uid="{00000000-0005-0000-0000-0000691E0000}"/>
    <cellStyle name="20% - Ênfase6 2 5 2 2 2 4" xfId="7938" xr:uid="{00000000-0005-0000-0000-00006A1E0000}"/>
    <cellStyle name="20% - Ênfase6 2 5 2 2 3" xfId="7939" xr:uid="{00000000-0005-0000-0000-00006B1E0000}"/>
    <cellStyle name="20% - Ênfase6 2 5 2 2 3 2" xfId="7940" xr:uid="{00000000-0005-0000-0000-00006C1E0000}"/>
    <cellStyle name="20% - Ênfase6 2 5 2 2 4" xfId="7941" xr:uid="{00000000-0005-0000-0000-00006D1E0000}"/>
    <cellStyle name="20% - Ênfase6 2 5 2 2 4 2" xfId="7942" xr:uid="{00000000-0005-0000-0000-00006E1E0000}"/>
    <cellStyle name="20% - Ênfase6 2 5 2 2 5" xfId="7943" xr:uid="{00000000-0005-0000-0000-00006F1E0000}"/>
    <cellStyle name="20% - Ênfase6 2 5 2 3" xfId="7944" xr:uid="{00000000-0005-0000-0000-0000701E0000}"/>
    <cellStyle name="20% - Ênfase6 2 5 2 3 2" xfId="7945" xr:uid="{00000000-0005-0000-0000-0000711E0000}"/>
    <cellStyle name="20% - Ênfase6 2 5 2 3 2 2" xfId="7946" xr:uid="{00000000-0005-0000-0000-0000721E0000}"/>
    <cellStyle name="20% - Ênfase6 2 5 2 3 3" xfId="7947" xr:uid="{00000000-0005-0000-0000-0000731E0000}"/>
    <cellStyle name="20% - Ênfase6 2 5 2 3 3 2" xfId="7948" xr:uid="{00000000-0005-0000-0000-0000741E0000}"/>
    <cellStyle name="20% - Ênfase6 2 5 2 3 4" xfId="7949" xr:uid="{00000000-0005-0000-0000-0000751E0000}"/>
    <cellStyle name="20% - Ênfase6 2 5 2 4" xfId="7950" xr:uid="{00000000-0005-0000-0000-0000761E0000}"/>
    <cellStyle name="20% - Ênfase6 2 5 2 4 2" xfId="7951" xr:uid="{00000000-0005-0000-0000-0000771E0000}"/>
    <cellStyle name="20% - Ênfase6 2 5 2 4 2 2" xfId="7952" xr:uid="{00000000-0005-0000-0000-0000781E0000}"/>
    <cellStyle name="20% - Ênfase6 2 5 2 4 3" xfId="7953" xr:uid="{00000000-0005-0000-0000-0000791E0000}"/>
    <cellStyle name="20% - Ênfase6 2 5 2 5" xfId="7954" xr:uid="{00000000-0005-0000-0000-00007A1E0000}"/>
    <cellStyle name="20% - Ênfase6 2 5 2 5 2" xfId="7955" xr:uid="{00000000-0005-0000-0000-00007B1E0000}"/>
    <cellStyle name="20% - Ênfase6 2 5 2 6" xfId="7956" xr:uid="{00000000-0005-0000-0000-00007C1E0000}"/>
    <cellStyle name="20% - Ênfase6 2 5 3" xfId="7957" xr:uid="{00000000-0005-0000-0000-00007D1E0000}"/>
    <cellStyle name="20% - Ênfase6 2 5 3 2" xfId="7958" xr:uid="{00000000-0005-0000-0000-00007E1E0000}"/>
    <cellStyle name="20% - Ênfase6 2 5 3 2 2" xfId="7959" xr:uid="{00000000-0005-0000-0000-00007F1E0000}"/>
    <cellStyle name="20% - Ênfase6 2 5 3 2 2 2" xfId="7960" xr:uid="{00000000-0005-0000-0000-0000801E0000}"/>
    <cellStyle name="20% - Ênfase6 2 5 3 2 3" xfId="7961" xr:uid="{00000000-0005-0000-0000-0000811E0000}"/>
    <cellStyle name="20% - Ênfase6 2 5 3 2 3 2" xfId="7962" xr:uid="{00000000-0005-0000-0000-0000821E0000}"/>
    <cellStyle name="20% - Ênfase6 2 5 3 2 4" xfId="7963" xr:uid="{00000000-0005-0000-0000-0000831E0000}"/>
    <cellStyle name="20% - Ênfase6 2 5 3 3" xfId="7964" xr:uid="{00000000-0005-0000-0000-0000841E0000}"/>
    <cellStyle name="20% - Ênfase6 2 5 3 3 2" xfId="7965" xr:uid="{00000000-0005-0000-0000-0000851E0000}"/>
    <cellStyle name="20% - Ênfase6 2 5 3 4" xfId="7966" xr:uid="{00000000-0005-0000-0000-0000861E0000}"/>
    <cellStyle name="20% - Ênfase6 2 5 3 4 2" xfId="7967" xr:uid="{00000000-0005-0000-0000-0000871E0000}"/>
    <cellStyle name="20% - Ênfase6 2 5 3 5" xfId="7968" xr:uid="{00000000-0005-0000-0000-0000881E0000}"/>
    <cellStyle name="20% - Ênfase6 2 5 4" xfId="7969" xr:uid="{00000000-0005-0000-0000-0000891E0000}"/>
    <cellStyle name="20% - Ênfase6 2 5 4 2" xfId="7970" xr:uid="{00000000-0005-0000-0000-00008A1E0000}"/>
    <cellStyle name="20% - Ênfase6 2 5 4 2 2" xfId="7971" xr:uid="{00000000-0005-0000-0000-00008B1E0000}"/>
    <cellStyle name="20% - Ênfase6 2 5 4 3" xfId="7972" xr:uid="{00000000-0005-0000-0000-00008C1E0000}"/>
    <cellStyle name="20% - Ênfase6 2 5 4 3 2" xfId="7973" xr:uid="{00000000-0005-0000-0000-00008D1E0000}"/>
    <cellStyle name="20% - Ênfase6 2 5 4 4" xfId="7974" xr:uid="{00000000-0005-0000-0000-00008E1E0000}"/>
    <cellStyle name="20% - Ênfase6 2 5 5" xfId="7975" xr:uid="{00000000-0005-0000-0000-00008F1E0000}"/>
    <cellStyle name="20% - Ênfase6 2 5 5 2" xfId="7976" xr:uid="{00000000-0005-0000-0000-0000901E0000}"/>
    <cellStyle name="20% - Ênfase6 2 5 5 2 2" xfId="7977" xr:uid="{00000000-0005-0000-0000-0000911E0000}"/>
    <cellStyle name="20% - Ênfase6 2 5 5 3" xfId="7978" xr:uid="{00000000-0005-0000-0000-0000921E0000}"/>
    <cellStyle name="20% - Ênfase6 2 5 6" xfId="7979" xr:uid="{00000000-0005-0000-0000-0000931E0000}"/>
    <cellStyle name="20% - Ênfase6 2 5 6 2" xfId="7980" xr:uid="{00000000-0005-0000-0000-0000941E0000}"/>
    <cellStyle name="20% - Ênfase6 2 5 7" xfId="7981" xr:uid="{00000000-0005-0000-0000-0000951E0000}"/>
    <cellStyle name="20% - Ênfase6 2 6" xfId="7982" xr:uid="{00000000-0005-0000-0000-0000961E0000}"/>
    <cellStyle name="20% - Ênfase6 2 6 2" xfId="7983" xr:uid="{00000000-0005-0000-0000-0000971E0000}"/>
    <cellStyle name="20% - Ênfase6 2 6 2 2" xfId="7984" xr:uid="{00000000-0005-0000-0000-0000981E0000}"/>
    <cellStyle name="20% - Ênfase6 2 6 2 2 2" xfId="7985" xr:uid="{00000000-0005-0000-0000-0000991E0000}"/>
    <cellStyle name="20% - Ênfase6 2 6 2 2 2 2" xfId="7986" xr:uid="{00000000-0005-0000-0000-00009A1E0000}"/>
    <cellStyle name="20% - Ênfase6 2 6 2 2 2 2 2" xfId="7987" xr:uid="{00000000-0005-0000-0000-00009B1E0000}"/>
    <cellStyle name="20% - Ênfase6 2 6 2 2 2 3" xfId="7988" xr:uid="{00000000-0005-0000-0000-00009C1E0000}"/>
    <cellStyle name="20% - Ênfase6 2 6 2 2 2 3 2" xfId="7989" xr:uid="{00000000-0005-0000-0000-00009D1E0000}"/>
    <cellStyle name="20% - Ênfase6 2 6 2 2 2 4" xfId="7990" xr:uid="{00000000-0005-0000-0000-00009E1E0000}"/>
    <cellStyle name="20% - Ênfase6 2 6 2 2 3" xfId="7991" xr:uid="{00000000-0005-0000-0000-00009F1E0000}"/>
    <cellStyle name="20% - Ênfase6 2 6 2 2 3 2" xfId="7992" xr:uid="{00000000-0005-0000-0000-0000A01E0000}"/>
    <cellStyle name="20% - Ênfase6 2 6 2 2 4" xfId="7993" xr:uid="{00000000-0005-0000-0000-0000A11E0000}"/>
    <cellStyle name="20% - Ênfase6 2 6 2 2 4 2" xfId="7994" xr:uid="{00000000-0005-0000-0000-0000A21E0000}"/>
    <cellStyle name="20% - Ênfase6 2 6 2 2 5" xfId="7995" xr:uid="{00000000-0005-0000-0000-0000A31E0000}"/>
    <cellStyle name="20% - Ênfase6 2 6 2 3" xfId="7996" xr:uid="{00000000-0005-0000-0000-0000A41E0000}"/>
    <cellStyle name="20% - Ênfase6 2 6 2 3 2" xfId="7997" xr:uid="{00000000-0005-0000-0000-0000A51E0000}"/>
    <cellStyle name="20% - Ênfase6 2 6 2 3 2 2" xfId="7998" xr:uid="{00000000-0005-0000-0000-0000A61E0000}"/>
    <cellStyle name="20% - Ênfase6 2 6 2 3 3" xfId="7999" xr:uid="{00000000-0005-0000-0000-0000A71E0000}"/>
    <cellStyle name="20% - Ênfase6 2 6 2 3 3 2" xfId="8000" xr:uid="{00000000-0005-0000-0000-0000A81E0000}"/>
    <cellStyle name="20% - Ênfase6 2 6 2 3 4" xfId="8001" xr:uid="{00000000-0005-0000-0000-0000A91E0000}"/>
    <cellStyle name="20% - Ênfase6 2 6 2 4" xfId="8002" xr:uid="{00000000-0005-0000-0000-0000AA1E0000}"/>
    <cellStyle name="20% - Ênfase6 2 6 2 4 2" xfId="8003" xr:uid="{00000000-0005-0000-0000-0000AB1E0000}"/>
    <cellStyle name="20% - Ênfase6 2 6 2 4 2 2" xfId="8004" xr:uid="{00000000-0005-0000-0000-0000AC1E0000}"/>
    <cellStyle name="20% - Ênfase6 2 6 2 4 3" xfId="8005" xr:uid="{00000000-0005-0000-0000-0000AD1E0000}"/>
    <cellStyle name="20% - Ênfase6 2 6 2 5" xfId="8006" xr:uid="{00000000-0005-0000-0000-0000AE1E0000}"/>
    <cellStyle name="20% - Ênfase6 2 6 2 5 2" xfId="8007" xr:uid="{00000000-0005-0000-0000-0000AF1E0000}"/>
    <cellStyle name="20% - Ênfase6 2 6 2 6" xfId="8008" xr:uid="{00000000-0005-0000-0000-0000B01E0000}"/>
    <cellStyle name="20% - Ênfase6 2 6 3" xfId="8009" xr:uid="{00000000-0005-0000-0000-0000B11E0000}"/>
    <cellStyle name="20% - Ênfase6 2 6 3 2" xfId="8010" xr:uid="{00000000-0005-0000-0000-0000B21E0000}"/>
    <cellStyle name="20% - Ênfase6 2 6 3 2 2" xfId="8011" xr:uid="{00000000-0005-0000-0000-0000B31E0000}"/>
    <cellStyle name="20% - Ênfase6 2 6 3 2 2 2" xfId="8012" xr:uid="{00000000-0005-0000-0000-0000B41E0000}"/>
    <cellStyle name="20% - Ênfase6 2 6 3 2 3" xfId="8013" xr:uid="{00000000-0005-0000-0000-0000B51E0000}"/>
    <cellStyle name="20% - Ênfase6 2 6 3 2 3 2" xfId="8014" xr:uid="{00000000-0005-0000-0000-0000B61E0000}"/>
    <cellStyle name="20% - Ênfase6 2 6 3 2 4" xfId="8015" xr:uid="{00000000-0005-0000-0000-0000B71E0000}"/>
    <cellStyle name="20% - Ênfase6 2 6 3 3" xfId="8016" xr:uid="{00000000-0005-0000-0000-0000B81E0000}"/>
    <cellStyle name="20% - Ênfase6 2 6 3 3 2" xfId="8017" xr:uid="{00000000-0005-0000-0000-0000B91E0000}"/>
    <cellStyle name="20% - Ênfase6 2 6 3 4" xfId="8018" xr:uid="{00000000-0005-0000-0000-0000BA1E0000}"/>
    <cellStyle name="20% - Ênfase6 2 6 3 4 2" xfId="8019" xr:uid="{00000000-0005-0000-0000-0000BB1E0000}"/>
    <cellStyle name="20% - Ênfase6 2 6 3 5" xfId="8020" xr:uid="{00000000-0005-0000-0000-0000BC1E0000}"/>
    <cellStyle name="20% - Ênfase6 2 6 4" xfId="8021" xr:uid="{00000000-0005-0000-0000-0000BD1E0000}"/>
    <cellStyle name="20% - Ênfase6 2 6 4 2" xfId="8022" xr:uid="{00000000-0005-0000-0000-0000BE1E0000}"/>
    <cellStyle name="20% - Ênfase6 2 6 4 2 2" xfId="8023" xr:uid="{00000000-0005-0000-0000-0000BF1E0000}"/>
    <cellStyle name="20% - Ênfase6 2 6 4 3" xfId="8024" xr:uid="{00000000-0005-0000-0000-0000C01E0000}"/>
    <cellStyle name="20% - Ênfase6 2 6 4 3 2" xfId="8025" xr:uid="{00000000-0005-0000-0000-0000C11E0000}"/>
    <cellStyle name="20% - Ênfase6 2 6 4 4" xfId="8026" xr:uid="{00000000-0005-0000-0000-0000C21E0000}"/>
    <cellStyle name="20% - Ênfase6 2 6 5" xfId="8027" xr:uid="{00000000-0005-0000-0000-0000C31E0000}"/>
    <cellStyle name="20% - Ênfase6 2 6 5 2" xfId="8028" xr:uid="{00000000-0005-0000-0000-0000C41E0000}"/>
    <cellStyle name="20% - Ênfase6 2 6 5 2 2" xfId="8029" xr:uid="{00000000-0005-0000-0000-0000C51E0000}"/>
    <cellStyle name="20% - Ênfase6 2 6 5 3" xfId="8030" xr:uid="{00000000-0005-0000-0000-0000C61E0000}"/>
    <cellStyle name="20% - Ênfase6 2 6 6" xfId="8031" xr:uid="{00000000-0005-0000-0000-0000C71E0000}"/>
    <cellStyle name="20% - Ênfase6 2 6 6 2" xfId="8032" xr:uid="{00000000-0005-0000-0000-0000C81E0000}"/>
    <cellStyle name="20% - Ênfase6 2 6 7" xfId="8033" xr:uid="{00000000-0005-0000-0000-0000C91E0000}"/>
    <cellStyle name="20% - Ênfase6 2 7" xfId="8034" xr:uid="{00000000-0005-0000-0000-0000CA1E0000}"/>
    <cellStyle name="20% - Ênfase6 2 7 2" xfId="8035" xr:uid="{00000000-0005-0000-0000-0000CB1E0000}"/>
    <cellStyle name="20% - Ênfase6 2 7 2 2" xfId="8036" xr:uid="{00000000-0005-0000-0000-0000CC1E0000}"/>
    <cellStyle name="20% - Ênfase6 2 7 2 2 2" xfId="8037" xr:uid="{00000000-0005-0000-0000-0000CD1E0000}"/>
    <cellStyle name="20% - Ênfase6 2 7 2 2 2 2" xfId="8038" xr:uid="{00000000-0005-0000-0000-0000CE1E0000}"/>
    <cellStyle name="20% - Ênfase6 2 7 2 2 3" xfId="8039" xr:uid="{00000000-0005-0000-0000-0000CF1E0000}"/>
    <cellStyle name="20% - Ênfase6 2 7 2 2 3 2" xfId="8040" xr:uid="{00000000-0005-0000-0000-0000D01E0000}"/>
    <cellStyle name="20% - Ênfase6 2 7 2 2 4" xfId="8041" xr:uid="{00000000-0005-0000-0000-0000D11E0000}"/>
    <cellStyle name="20% - Ênfase6 2 7 2 3" xfId="8042" xr:uid="{00000000-0005-0000-0000-0000D21E0000}"/>
    <cellStyle name="20% - Ênfase6 2 7 2 3 2" xfId="8043" xr:uid="{00000000-0005-0000-0000-0000D31E0000}"/>
    <cellStyle name="20% - Ênfase6 2 7 2 4" xfId="8044" xr:uid="{00000000-0005-0000-0000-0000D41E0000}"/>
    <cellStyle name="20% - Ênfase6 2 7 2 4 2" xfId="8045" xr:uid="{00000000-0005-0000-0000-0000D51E0000}"/>
    <cellStyle name="20% - Ênfase6 2 7 2 5" xfId="8046" xr:uid="{00000000-0005-0000-0000-0000D61E0000}"/>
    <cellStyle name="20% - Ênfase6 2 7 3" xfId="8047" xr:uid="{00000000-0005-0000-0000-0000D71E0000}"/>
    <cellStyle name="20% - Ênfase6 2 7 3 2" xfId="8048" xr:uid="{00000000-0005-0000-0000-0000D81E0000}"/>
    <cellStyle name="20% - Ênfase6 2 7 3 2 2" xfId="8049" xr:uid="{00000000-0005-0000-0000-0000D91E0000}"/>
    <cellStyle name="20% - Ênfase6 2 7 3 3" xfId="8050" xr:uid="{00000000-0005-0000-0000-0000DA1E0000}"/>
    <cellStyle name="20% - Ênfase6 2 7 3 3 2" xfId="8051" xr:uid="{00000000-0005-0000-0000-0000DB1E0000}"/>
    <cellStyle name="20% - Ênfase6 2 7 3 4" xfId="8052" xr:uid="{00000000-0005-0000-0000-0000DC1E0000}"/>
    <cellStyle name="20% - Ênfase6 2 7 4" xfId="8053" xr:uid="{00000000-0005-0000-0000-0000DD1E0000}"/>
    <cellStyle name="20% - Ênfase6 2 7 4 2" xfId="8054" xr:uid="{00000000-0005-0000-0000-0000DE1E0000}"/>
    <cellStyle name="20% - Ênfase6 2 7 4 2 2" xfId="8055" xr:uid="{00000000-0005-0000-0000-0000DF1E0000}"/>
    <cellStyle name="20% - Ênfase6 2 7 4 3" xfId="8056" xr:uid="{00000000-0005-0000-0000-0000E01E0000}"/>
    <cellStyle name="20% - Ênfase6 2 7 5" xfId="8057" xr:uid="{00000000-0005-0000-0000-0000E11E0000}"/>
    <cellStyle name="20% - Ênfase6 2 7 5 2" xfId="8058" xr:uid="{00000000-0005-0000-0000-0000E21E0000}"/>
    <cellStyle name="20% - Ênfase6 2 7 6" xfId="8059" xr:uid="{00000000-0005-0000-0000-0000E31E0000}"/>
    <cellStyle name="20% - Ênfase6 2 8" xfId="8060" xr:uid="{00000000-0005-0000-0000-0000E41E0000}"/>
    <cellStyle name="20% - Ênfase6 2 8 2" xfId="8061" xr:uid="{00000000-0005-0000-0000-0000E51E0000}"/>
    <cellStyle name="20% - Ênfase6 2 8 2 2" xfId="8062" xr:uid="{00000000-0005-0000-0000-0000E61E0000}"/>
    <cellStyle name="20% - Ênfase6 2 8 2 2 2" xfId="8063" xr:uid="{00000000-0005-0000-0000-0000E71E0000}"/>
    <cellStyle name="20% - Ênfase6 2 8 2 3" xfId="8064" xr:uid="{00000000-0005-0000-0000-0000E81E0000}"/>
    <cellStyle name="20% - Ênfase6 2 8 2 3 2" xfId="8065" xr:uid="{00000000-0005-0000-0000-0000E91E0000}"/>
    <cellStyle name="20% - Ênfase6 2 8 2 4" xfId="8066" xr:uid="{00000000-0005-0000-0000-0000EA1E0000}"/>
    <cellStyle name="20% - Ênfase6 2 8 3" xfId="8067" xr:uid="{00000000-0005-0000-0000-0000EB1E0000}"/>
    <cellStyle name="20% - Ênfase6 2 8 3 2" xfId="8068" xr:uid="{00000000-0005-0000-0000-0000EC1E0000}"/>
    <cellStyle name="20% - Ênfase6 2 8 3 2 2" xfId="8069" xr:uid="{00000000-0005-0000-0000-0000ED1E0000}"/>
    <cellStyle name="20% - Ênfase6 2 8 3 3" xfId="8070" xr:uid="{00000000-0005-0000-0000-0000EE1E0000}"/>
    <cellStyle name="20% - Ênfase6 2 8 3 3 2" xfId="8071" xr:uid="{00000000-0005-0000-0000-0000EF1E0000}"/>
    <cellStyle name="20% - Ênfase6 2 8 3 4" xfId="8072" xr:uid="{00000000-0005-0000-0000-0000F01E0000}"/>
    <cellStyle name="20% - Ênfase6 2 8 4" xfId="8073" xr:uid="{00000000-0005-0000-0000-0000F11E0000}"/>
    <cellStyle name="20% - Ênfase6 2 8 4 2" xfId="8074" xr:uid="{00000000-0005-0000-0000-0000F21E0000}"/>
    <cellStyle name="20% - Ênfase6 2 8 5" xfId="8075" xr:uid="{00000000-0005-0000-0000-0000F31E0000}"/>
    <cellStyle name="20% - Ênfase6 2 8 5 2" xfId="8076" xr:uid="{00000000-0005-0000-0000-0000F41E0000}"/>
    <cellStyle name="20% - Ênfase6 2 8 6" xfId="8077" xr:uid="{00000000-0005-0000-0000-0000F51E0000}"/>
    <cellStyle name="20% - Ênfase6 2 9" xfId="8078" xr:uid="{00000000-0005-0000-0000-0000F61E0000}"/>
    <cellStyle name="20% - Ênfase6 2 9 2" xfId="8079" xr:uid="{00000000-0005-0000-0000-0000F71E0000}"/>
    <cellStyle name="20% - Ênfase6 2 9 2 2" xfId="8080" xr:uid="{00000000-0005-0000-0000-0000F81E0000}"/>
    <cellStyle name="20% - Ênfase6 2 9 2 2 2" xfId="8081" xr:uid="{00000000-0005-0000-0000-0000F91E0000}"/>
    <cellStyle name="20% - Ênfase6 2 9 2 3" xfId="8082" xr:uid="{00000000-0005-0000-0000-0000FA1E0000}"/>
    <cellStyle name="20% - Ênfase6 2 9 2 3 2" xfId="8083" xr:uid="{00000000-0005-0000-0000-0000FB1E0000}"/>
    <cellStyle name="20% - Ênfase6 2 9 2 4" xfId="8084" xr:uid="{00000000-0005-0000-0000-0000FC1E0000}"/>
    <cellStyle name="20% - Ênfase6 2 9 3" xfId="8085" xr:uid="{00000000-0005-0000-0000-0000FD1E0000}"/>
    <cellStyle name="20% - Ênfase6 2 9 3 2" xfId="8086" xr:uid="{00000000-0005-0000-0000-0000FE1E0000}"/>
    <cellStyle name="20% - Ênfase6 2 9 3 2 2" xfId="8087" xr:uid="{00000000-0005-0000-0000-0000FF1E0000}"/>
    <cellStyle name="20% - Ênfase6 2 9 3 3" xfId="8088" xr:uid="{00000000-0005-0000-0000-0000001F0000}"/>
    <cellStyle name="20% - Ênfase6 2 9 3 3 2" xfId="8089" xr:uid="{00000000-0005-0000-0000-0000011F0000}"/>
    <cellStyle name="20% - Ênfase6 2 9 3 4" xfId="8090" xr:uid="{00000000-0005-0000-0000-0000021F0000}"/>
    <cellStyle name="20% - Ênfase6 2 9 4" xfId="8091" xr:uid="{00000000-0005-0000-0000-0000031F0000}"/>
    <cellStyle name="20% - Ênfase6 2 9 4 2" xfId="8092" xr:uid="{00000000-0005-0000-0000-0000041F0000}"/>
    <cellStyle name="20% - Ênfase6 2 9 5" xfId="8093" xr:uid="{00000000-0005-0000-0000-0000051F0000}"/>
    <cellStyle name="20% - Ênfase6 2 9 5 2" xfId="8094" xr:uid="{00000000-0005-0000-0000-0000061F0000}"/>
    <cellStyle name="20% - Ênfase6 2 9 6" xfId="8095" xr:uid="{00000000-0005-0000-0000-0000071F0000}"/>
    <cellStyle name="20% - Ênfase6 20" xfId="8096" xr:uid="{00000000-0005-0000-0000-0000081F0000}"/>
    <cellStyle name="20% - Ênfase6 20 2" xfId="8097" xr:uid="{00000000-0005-0000-0000-0000091F0000}"/>
    <cellStyle name="20% - Ênfase6 20 2 2" xfId="8098" xr:uid="{00000000-0005-0000-0000-00000A1F0000}"/>
    <cellStyle name="20% - Ênfase6 20 3" xfId="8099" xr:uid="{00000000-0005-0000-0000-00000B1F0000}"/>
    <cellStyle name="20% - Ênfase6 21" xfId="8100" xr:uid="{00000000-0005-0000-0000-00000C1F0000}"/>
    <cellStyle name="20% - Ênfase6 21 2" xfId="8101" xr:uid="{00000000-0005-0000-0000-00000D1F0000}"/>
    <cellStyle name="20% - Ênfase6 21 2 2" xfId="8102" xr:uid="{00000000-0005-0000-0000-00000E1F0000}"/>
    <cellStyle name="20% - Ênfase6 21 3" xfId="8103" xr:uid="{00000000-0005-0000-0000-00000F1F0000}"/>
    <cellStyle name="20% - Ênfase6 22" xfId="8104" xr:uid="{00000000-0005-0000-0000-0000101F0000}"/>
    <cellStyle name="20% - Ênfase6 22 2" xfId="8105" xr:uid="{00000000-0005-0000-0000-0000111F0000}"/>
    <cellStyle name="20% - Ênfase6 22 2 2" xfId="8106" xr:uid="{00000000-0005-0000-0000-0000121F0000}"/>
    <cellStyle name="20% - Ênfase6 22 3" xfId="8107" xr:uid="{00000000-0005-0000-0000-0000131F0000}"/>
    <cellStyle name="20% - Ênfase6 23" xfId="8108" xr:uid="{00000000-0005-0000-0000-0000141F0000}"/>
    <cellStyle name="20% - Ênfase6 23 2" xfId="8109" xr:uid="{00000000-0005-0000-0000-0000151F0000}"/>
    <cellStyle name="20% - Ênfase6 23 2 2" xfId="8110" xr:uid="{00000000-0005-0000-0000-0000161F0000}"/>
    <cellStyle name="20% - Ênfase6 23 3" xfId="8111" xr:uid="{00000000-0005-0000-0000-0000171F0000}"/>
    <cellStyle name="20% - Ênfase6 24" xfId="8112" xr:uid="{00000000-0005-0000-0000-0000181F0000}"/>
    <cellStyle name="20% - Ênfase6 24 2" xfId="8113" xr:uid="{00000000-0005-0000-0000-0000191F0000}"/>
    <cellStyle name="20% - Ênfase6 24 2 2" xfId="8114" xr:uid="{00000000-0005-0000-0000-00001A1F0000}"/>
    <cellStyle name="20% - Ênfase6 24 3" xfId="8115" xr:uid="{00000000-0005-0000-0000-00001B1F0000}"/>
    <cellStyle name="20% - Ênfase6 25" xfId="8116" xr:uid="{00000000-0005-0000-0000-00001C1F0000}"/>
    <cellStyle name="20% - Ênfase6 25 2" xfId="8117" xr:uid="{00000000-0005-0000-0000-00001D1F0000}"/>
    <cellStyle name="20% - Ênfase6 25 2 2" xfId="8118" xr:uid="{00000000-0005-0000-0000-00001E1F0000}"/>
    <cellStyle name="20% - Ênfase6 25 3" xfId="8119" xr:uid="{00000000-0005-0000-0000-00001F1F0000}"/>
    <cellStyle name="20% - Ênfase6 26" xfId="8120" xr:uid="{00000000-0005-0000-0000-0000201F0000}"/>
    <cellStyle name="20% - Ênfase6 26 2" xfId="8121" xr:uid="{00000000-0005-0000-0000-0000211F0000}"/>
    <cellStyle name="20% - Ênfase6 26 2 2" xfId="8122" xr:uid="{00000000-0005-0000-0000-0000221F0000}"/>
    <cellStyle name="20% - Ênfase6 26 3" xfId="8123" xr:uid="{00000000-0005-0000-0000-0000231F0000}"/>
    <cellStyle name="20% - Ênfase6 27" xfId="8124" xr:uid="{00000000-0005-0000-0000-0000241F0000}"/>
    <cellStyle name="20% - Ênfase6 27 2" xfId="8125" xr:uid="{00000000-0005-0000-0000-0000251F0000}"/>
    <cellStyle name="20% - Ênfase6 27 2 2" xfId="8126" xr:uid="{00000000-0005-0000-0000-0000261F0000}"/>
    <cellStyle name="20% - Ênfase6 27 3" xfId="8127" xr:uid="{00000000-0005-0000-0000-0000271F0000}"/>
    <cellStyle name="20% - Ênfase6 28" xfId="8128" xr:uid="{00000000-0005-0000-0000-0000281F0000}"/>
    <cellStyle name="20% - Ênfase6 28 2" xfId="8129" xr:uid="{00000000-0005-0000-0000-0000291F0000}"/>
    <cellStyle name="20% - Ênfase6 28 2 2" xfId="8130" xr:uid="{00000000-0005-0000-0000-00002A1F0000}"/>
    <cellStyle name="20% - Ênfase6 28 3" xfId="8131" xr:uid="{00000000-0005-0000-0000-00002B1F0000}"/>
    <cellStyle name="20% - Ênfase6 29" xfId="8132" xr:uid="{00000000-0005-0000-0000-00002C1F0000}"/>
    <cellStyle name="20% - Ênfase6 3" xfId="8133" xr:uid="{00000000-0005-0000-0000-00002D1F0000}"/>
    <cellStyle name="20% - Ênfase6 3 10" xfId="8134" xr:uid="{00000000-0005-0000-0000-00002E1F0000}"/>
    <cellStyle name="20% - Ênfase6 3 10 2" xfId="8135" xr:uid="{00000000-0005-0000-0000-00002F1F0000}"/>
    <cellStyle name="20% - Ênfase6 3 10 2 2" xfId="8136" xr:uid="{00000000-0005-0000-0000-0000301F0000}"/>
    <cellStyle name="20% - Ênfase6 3 10 3" xfId="8137" xr:uid="{00000000-0005-0000-0000-0000311F0000}"/>
    <cellStyle name="20% - Ênfase6 3 11" xfId="8138" xr:uid="{00000000-0005-0000-0000-0000321F0000}"/>
    <cellStyle name="20% - Ênfase6 3 11 2" xfId="8139" xr:uid="{00000000-0005-0000-0000-0000331F0000}"/>
    <cellStyle name="20% - Ênfase6 3 12" xfId="8140" xr:uid="{00000000-0005-0000-0000-0000341F0000}"/>
    <cellStyle name="20% - Ênfase6 3 2" xfId="8141" xr:uid="{00000000-0005-0000-0000-0000351F0000}"/>
    <cellStyle name="20% - Ênfase6 3 2 10" xfId="8142" xr:uid="{00000000-0005-0000-0000-0000361F0000}"/>
    <cellStyle name="20% - Ênfase6 3 2 2" xfId="8143" xr:uid="{00000000-0005-0000-0000-0000371F0000}"/>
    <cellStyle name="20% - Ênfase6 3 2 2 2" xfId="8144" xr:uid="{00000000-0005-0000-0000-0000381F0000}"/>
    <cellStyle name="20% - Ênfase6 3 2 2 2 2" xfId="8145" xr:uid="{00000000-0005-0000-0000-0000391F0000}"/>
    <cellStyle name="20% - Ênfase6 3 2 2 2 2 2" xfId="8146" xr:uid="{00000000-0005-0000-0000-00003A1F0000}"/>
    <cellStyle name="20% - Ênfase6 3 2 2 2 2 2 2" xfId="8147" xr:uid="{00000000-0005-0000-0000-00003B1F0000}"/>
    <cellStyle name="20% - Ênfase6 3 2 2 2 2 3" xfId="8148" xr:uid="{00000000-0005-0000-0000-00003C1F0000}"/>
    <cellStyle name="20% - Ênfase6 3 2 2 2 2 3 2" xfId="8149" xr:uid="{00000000-0005-0000-0000-00003D1F0000}"/>
    <cellStyle name="20% - Ênfase6 3 2 2 2 2 4" xfId="8150" xr:uid="{00000000-0005-0000-0000-00003E1F0000}"/>
    <cellStyle name="20% - Ênfase6 3 2 2 2 3" xfId="8151" xr:uid="{00000000-0005-0000-0000-00003F1F0000}"/>
    <cellStyle name="20% - Ênfase6 3 2 2 2 3 2" xfId="8152" xr:uid="{00000000-0005-0000-0000-0000401F0000}"/>
    <cellStyle name="20% - Ênfase6 3 2 2 2 4" xfId="8153" xr:uid="{00000000-0005-0000-0000-0000411F0000}"/>
    <cellStyle name="20% - Ênfase6 3 2 2 2 4 2" xfId="8154" xr:uid="{00000000-0005-0000-0000-0000421F0000}"/>
    <cellStyle name="20% - Ênfase6 3 2 2 2 5" xfId="8155" xr:uid="{00000000-0005-0000-0000-0000431F0000}"/>
    <cellStyle name="20% - Ênfase6 3 2 2 3" xfId="8156" xr:uid="{00000000-0005-0000-0000-0000441F0000}"/>
    <cellStyle name="20% - Ênfase6 3 2 2 3 2" xfId="8157" xr:uid="{00000000-0005-0000-0000-0000451F0000}"/>
    <cellStyle name="20% - Ênfase6 3 2 2 3 2 2" xfId="8158" xr:uid="{00000000-0005-0000-0000-0000461F0000}"/>
    <cellStyle name="20% - Ênfase6 3 2 2 3 3" xfId="8159" xr:uid="{00000000-0005-0000-0000-0000471F0000}"/>
    <cellStyle name="20% - Ênfase6 3 2 2 3 3 2" xfId="8160" xr:uid="{00000000-0005-0000-0000-0000481F0000}"/>
    <cellStyle name="20% - Ênfase6 3 2 2 3 4" xfId="8161" xr:uid="{00000000-0005-0000-0000-0000491F0000}"/>
    <cellStyle name="20% - Ênfase6 3 2 2 4" xfId="8162" xr:uid="{00000000-0005-0000-0000-00004A1F0000}"/>
    <cellStyle name="20% - Ênfase6 3 2 2 4 2" xfId="8163" xr:uid="{00000000-0005-0000-0000-00004B1F0000}"/>
    <cellStyle name="20% - Ênfase6 3 2 2 4 2 2" xfId="8164" xr:uid="{00000000-0005-0000-0000-00004C1F0000}"/>
    <cellStyle name="20% - Ênfase6 3 2 2 4 3" xfId="8165" xr:uid="{00000000-0005-0000-0000-00004D1F0000}"/>
    <cellStyle name="20% - Ênfase6 3 2 2 5" xfId="8166" xr:uid="{00000000-0005-0000-0000-00004E1F0000}"/>
    <cellStyle name="20% - Ênfase6 3 2 2 5 2" xfId="8167" xr:uid="{00000000-0005-0000-0000-00004F1F0000}"/>
    <cellStyle name="20% - Ênfase6 3 2 2 6" xfId="8168" xr:uid="{00000000-0005-0000-0000-0000501F0000}"/>
    <cellStyle name="20% - Ênfase6 3 2 3" xfId="8169" xr:uid="{00000000-0005-0000-0000-0000511F0000}"/>
    <cellStyle name="20% - Ênfase6 3 2 3 2" xfId="8170" xr:uid="{00000000-0005-0000-0000-0000521F0000}"/>
    <cellStyle name="20% - Ênfase6 3 2 3 2 2" xfId="8171" xr:uid="{00000000-0005-0000-0000-0000531F0000}"/>
    <cellStyle name="20% - Ênfase6 3 2 3 2 2 2" xfId="8172" xr:uid="{00000000-0005-0000-0000-0000541F0000}"/>
    <cellStyle name="20% - Ênfase6 3 2 3 2 3" xfId="8173" xr:uid="{00000000-0005-0000-0000-0000551F0000}"/>
    <cellStyle name="20% - Ênfase6 3 2 3 2 3 2" xfId="8174" xr:uid="{00000000-0005-0000-0000-0000561F0000}"/>
    <cellStyle name="20% - Ênfase6 3 2 3 2 4" xfId="8175" xr:uid="{00000000-0005-0000-0000-0000571F0000}"/>
    <cellStyle name="20% - Ênfase6 3 2 3 3" xfId="8176" xr:uid="{00000000-0005-0000-0000-0000581F0000}"/>
    <cellStyle name="20% - Ênfase6 3 2 3 3 2" xfId="8177" xr:uid="{00000000-0005-0000-0000-0000591F0000}"/>
    <cellStyle name="20% - Ênfase6 3 2 3 3 2 2" xfId="8178" xr:uid="{00000000-0005-0000-0000-00005A1F0000}"/>
    <cellStyle name="20% - Ênfase6 3 2 3 3 3" xfId="8179" xr:uid="{00000000-0005-0000-0000-00005B1F0000}"/>
    <cellStyle name="20% - Ênfase6 3 2 3 3 3 2" xfId="8180" xr:uid="{00000000-0005-0000-0000-00005C1F0000}"/>
    <cellStyle name="20% - Ênfase6 3 2 3 3 4" xfId="8181" xr:uid="{00000000-0005-0000-0000-00005D1F0000}"/>
    <cellStyle name="20% - Ênfase6 3 2 3 4" xfId="8182" xr:uid="{00000000-0005-0000-0000-00005E1F0000}"/>
    <cellStyle name="20% - Ênfase6 3 2 3 4 2" xfId="8183" xr:uid="{00000000-0005-0000-0000-00005F1F0000}"/>
    <cellStyle name="20% - Ênfase6 3 2 3 5" xfId="8184" xr:uid="{00000000-0005-0000-0000-0000601F0000}"/>
    <cellStyle name="20% - Ênfase6 3 2 3 5 2" xfId="8185" xr:uid="{00000000-0005-0000-0000-0000611F0000}"/>
    <cellStyle name="20% - Ênfase6 3 2 3 6" xfId="8186" xr:uid="{00000000-0005-0000-0000-0000621F0000}"/>
    <cellStyle name="20% - Ênfase6 3 2 4" xfId="8187" xr:uid="{00000000-0005-0000-0000-0000631F0000}"/>
    <cellStyle name="20% - Ênfase6 3 2 4 2" xfId="8188" xr:uid="{00000000-0005-0000-0000-0000641F0000}"/>
    <cellStyle name="20% - Ênfase6 3 2 4 2 2" xfId="8189" xr:uid="{00000000-0005-0000-0000-0000651F0000}"/>
    <cellStyle name="20% - Ênfase6 3 2 4 3" xfId="8190" xr:uid="{00000000-0005-0000-0000-0000661F0000}"/>
    <cellStyle name="20% - Ênfase6 3 2 4 3 2" xfId="8191" xr:uid="{00000000-0005-0000-0000-0000671F0000}"/>
    <cellStyle name="20% - Ênfase6 3 2 4 4" xfId="8192" xr:uid="{00000000-0005-0000-0000-0000681F0000}"/>
    <cellStyle name="20% - Ênfase6 3 2 5" xfId="8193" xr:uid="{00000000-0005-0000-0000-0000691F0000}"/>
    <cellStyle name="20% - Ênfase6 3 2 5 2" xfId="8194" xr:uid="{00000000-0005-0000-0000-00006A1F0000}"/>
    <cellStyle name="20% - Ênfase6 3 2 5 2 2" xfId="8195" xr:uid="{00000000-0005-0000-0000-00006B1F0000}"/>
    <cellStyle name="20% - Ênfase6 3 2 5 3" xfId="8196" xr:uid="{00000000-0005-0000-0000-00006C1F0000}"/>
    <cellStyle name="20% - Ênfase6 3 2 6" xfId="8197" xr:uid="{00000000-0005-0000-0000-00006D1F0000}"/>
    <cellStyle name="20% - Ênfase6 3 2 6 2" xfId="8198" xr:uid="{00000000-0005-0000-0000-00006E1F0000}"/>
    <cellStyle name="20% - Ênfase6 3 2 6 2 2" xfId="8199" xr:uid="{00000000-0005-0000-0000-00006F1F0000}"/>
    <cellStyle name="20% - Ênfase6 3 2 6 3" xfId="8200" xr:uid="{00000000-0005-0000-0000-0000701F0000}"/>
    <cellStyle name="20% - Ênfase6 3 2 7" xfId="8201" xr:uid="{00000000-0005-0000-0000-0000711F0000}"/>
    <cellStyle name="20% - Ênfase6 3 2 7 2" xfId="8202" xr:uid="{00000000-0005-0000-0000-0000721F0000}"/>
    <cellStyle name="20% - Ênfase6 3 2 7 2 2" xfId="8203" xr:uid="{00000000-0005-0000-0000-0000731F0000}"/>
    <cellStyle name="20% - Ênfase6 3 2 7 3" xfId="8204" xr:uid="{00000000-0005-0000-0000-0000741F0000}"/>
    <cellStyle name="20% - Ênfase6 3 2 8" xfId="8205" xr:uid="{00000000-0005-0000-0000-0000751F0000}"/>
    <cellStyle name="20% - Ênfase6 3 2 8 2" xfId="8206" xr:uid="{00000000-0005-0000-0000-0000761F0000}"/>
    <cellStyle name="20% - Ênfase6 3 2 8 2 2" xfId="8207" xr:uid="{00000000-0005-0000-0000-0000771F0000}"/>
    <cellStyle name="20% - Ênfase6 3 2 8 3" xfId="8208" xr:uid="{00000000-0005-0000-0000-0000781F0000}"/>
    <cellStyle name="20% - Ênfase6 3 2 9" xfId="8209" xr:uid="{00000000-0005-0000-0000-0000791F0000}"/>
    <cellStyle name="20% - Ênfase6 3 2 9 2" xfId="8210" xr:uid="{00000000-0005-0000-0000-00007A1F0000}"/>
    <cellStyle name="20% - Ênfase6 3 3" xfId="8211" xr:uid="{00000000-0005-0000-0000-00007B1F0000}"/>
    <cellStyle name="20% - Ênfase6 3 3 2" xfId="8212" xr:uid="{00000000-0005-0000-0000-00007C1F0000}"/>
    <cellStyle name="20% - Ênfase6 3 3 2 2" xfId="8213" xr:uid="{00000000-0005-0000-0000-00007D1F0000}"/>
    <cellStyle name="20% - Ênfase6 3 3 2 2 2" xfId="8214" xr:uid="{00000000-0005-0000-0000-00007E1F0000}"/>
    <cellStyle name="20% - Ênfase6 3 3 2 2 2 2" xfId="8215" xr:uid="{00000000-0005-0000-0000-00007F1F0000}"/>
    <cellStyle name="20% - Ênfase6 3 3 2 2 3" xfId="8216" xr:uid="{00000000-0005-0000-0000-0000801F0000}"/>
    <cellStyle name="20% - Ênfase6 3 3 2 2 3 2" xfId="8217" xr:uid="{00000000-0005-0000-0000-0000811F0000}"/>
    <cellStyle name="20% - Ênfase6 3 3 2 2 4" xfId="8218" xr:uid="{00000000-0005-0000-0000-0000821F0000}"/>
    <cellStyle name="20% - Ênfase6 3 3 2 3" xfId="8219" xr:uid="{00000000-0005-0000-0000-0000831F0000}"/>
    <cellStyle name="20% - Ênfase6 3 3 2 3 2" xfId="8220" xr:uid="{00000000-0005-0000-0000-0000841F0000}"/>
    <cellStyle name="20% - Ênfase6 3 3 2 4" xfId="8221" xr:uid="{00000000-0005-0000-0000-0000851F0000}"/>
    <cellStyle name="20% - Ênfase6 3 3 2 4 2" xfId="8222" xr:uid="{00000000-0005-0000-0000-0000861F0000}"/>
    <cellStyle name="20% - Ênfase6 3 3 2 5" xfId="8223" xr:uid="{00000000-0005-0000-0000-0000871F0000}"/>
    <cellStyle name="20% - Ênfase6 3 3 3" xfId="8224" xr:uid="{00000000-0005-0000-0000-0000881F0000}"/>
    <cellStyle name="20% - Ênfase6 3 3 3 2" xfId="8225" xr:uid="{00000000-0005-0000-0000-0000891F0000}"/>
    <cellStyle name="20% - Ênfase6 3 3 3 2 2" xfId="8226" xr:uid="{00000000-0005-0000-0000-00008A1F0000}"/>
    <cellStyle name="20% - Ênfase6 3 3 3 3" xfId="8227" xr:uid="{00000000-0005-0000-0000-00008B1F0000}"/>
    <cellStyle name="20% - Ênfase6 3 3 3 3 2" xfId="8228" xr:uid="{00000000-0005-0000-0000-00008C1F0000}"/>
    <cellStyle name="20% - Ênfase6 3 3 3 4" xfId="8229" xr:uid="{00000000-0005-0000-0000-00008D1F0000}"/>
    <cellStyle name="20% - Ênfase6 3 3 4" xfId="8230" xr:uid="{00000000-0005-0000-0000-00008E1F0000}"/>
    <cellStyle name="20% - Ênfase6 3 3 4 2" xfId="8231" xr:uid="{00000000-0005-0000-0000-00008F1F0000}"/>
    <cellStyle name="20% - Ênfase6 3 3 4 2 2" xfId="8232" xr:uid="{00000000-0005-0000-0000-0000901F0000}"/>
    <cellStyle name="20% - Ênfase6 3 3 4 3" xfId="8233" xr:uid="{00000000-0005-0000-0000-0000911F0000}"/>
    <cellStyle name="20% - Ênfase6 3 3 5" xfId="8234" xr:uid="{00000000-0005-0000-0000-0000921F0000}"/>
    <cellStyle name="20% - Ênfase6 3 3 5 2" xfId="8235" xr:uid="{00000000-0005-0000-0000-0000931F0000}"/>
    <cellStyle name="20% - Ênfase6 3 3 6" xfId="8236" xr:uid="{00000000-0005-0000-0000-0000941F0000}"/>
    <cellStyle name="20% - Ênfase6 3 4" xfId="8237" xr:uid="{00000000-0005-0000-0000-0000951F0000}"/>
    <cellStyle name="20% - Ênfase6 3 4 2" xfId="8238" xr:uid="{00000000-0005-0000-0000-0000961F0000}"/>
    <cellStyle name="20% - Ênfase6 3 4 2 2" xfId="8239" xr:uid="{00000000-0005-0000-0000-0000971F0000}"/>
    <cellStyle name="20% - Ênfase6 3 4 2 2 2" xfId="8240" xr:uid="{00000000-0005-0000-0000-0000981F0000}"/>
    <cellStyle name="20% - Ênfase6 3 4 2 3" xfId="8241" xr:uid="{00000000-0005-0000-0000-0000991F0000}"/>
    <cellStyle name="20% - Ênfase6 3 4 2 3 2" xfId="8242" xr:uid="{00000000-0005-0000-0000-00009A1F0000}"/>
    <cellStyle name="20% - Ênfase6 3 4 2 4" xfId="8243" xr:uid="{00000000-0005-0000-0000-00009B1F0000}"/>
    <cellStyle name="20% - Ênfase6 3 4 3" xfId="8244" xr:uid="{00000000-0005-0000-0000-00009C1F0000}"/>
    <cellStyle name="20% - Ênfase6 3 4 3 2" xfId="8245" xr:uid="{00000000-0005-0000-0000-00009D1F0000}"/>
    <cellStyle name="20% - Ênfase6 3 4 3 2 2" xfId="8246" xr:uid="{00000000-0005-0000-0000-00009E1F0000}"/>
    <cellStyle name="20% - Ênfase6 3 4 3 3" xfId="8247" xr:uid="{00000000-0005-0000-0000-00009F1F0000}"/>
    <cellStyle name="20% - Ênfase6 3 4 3 3 2" xfId="8248" xr:uid="{00000000-0005-0000-0000-0000A01F0000}"/>
    <cellStyle name="20% - Ênfase6 3 4 3 4" xfId="8249" xr:uid="{00000000-0005-0000-0000-0000A11F0000}"/>
    <cellStyle name="20% - Ênfase6 3 4 4" xfId="8250" xr:uid="{00000000-0005-0000-0000-0000A21F0000}"/>
    <cellStyle name="20% - Ênfase6 3 4 4 2" xfId="8251" xr:uid="{00000000-0005-0000-0000-0000A31F0000}"/>
    <cellStyle name="20% - Ênfase6 3 4 5" xfId="8252" xr:uid="{00000000-0005-0000-0000-0000A41F0000}"/>
    <cellStyle name="20% - Ênfase6 3 4 5 2" xfId="8253" xr:uid="{00000000-0005-0000-0000-0000A51F0000}"/>
    <cellStyle name="20% - Ênfase6 3 4 6" xfId="8254" xr:uid="{00000000-0005-0000-0000-0000A61F0000}"/>
    <cellStyle name="20% - Ênfase6 3 5" xfId="8255" xr:uid="{00000000-0005-0000-0000-0000A71F0000}"/>
    <cellStyle name="20% - Ênfase6 3 5 2" xfId="8256" xr:uid="{00000000-0005-0000-0000-0000A81F0000}"/>
    <cellStyle name="20% - Ênfase6 3 5 2 2" xfId="8257" xr:uid="{00000000-0005-0000-0000-0000A91F0000}"/>
    <cellStyle name="20% - Ênfase6 3 5 2 2 2" xfId="8258" xr:uid="{00000000-0005-0000-0000-0000AA1F0000}"/>
    <cellStyle name="20% - Ênfase6 3 5 2 3" xfId="8259" xr:uid="{00000000-0005-0000-0000-0000AB1F0000}"/>
    <cellStyle name="20% - Ênfase6 3 5 2 3 2" xfId="8260" xr:uid="{00000000-0005-0000-0000-0000AC1F0000}"/>
    <cellStyle name="20% - Ênfase6 3 5 2 4" xfId="8261" xr:uid="{00000000-0005-0000-0000-0000AD1F0000}"/>
    <cellStyle name="20% - Ênfase6 3 5 3" xfId="8262" xr:uid="{00000000-0005-0000-0000-0000AE1F0000}"/>
    <cellStyle name="20% - Ênfase6 3 5 3 2" xfId="8263" xr:uid="{00000000-0005-0000-0000-0000AF1F0000}"/>
    <cellStyle name="20% - Ênfase6 3 5 3 2 2" xfId="8264" xr:uid="{00000000-0005-0000-0000-0000B01F0000}"/>
    <cellStyle name="20% - Ênfase6 3 5 3 3" xfId="8265" xr:uid="{00000000-0005-0000-0000-0000B11F0000}"/>
    <cellStyle name="20% - Ênfase6 3 5 3 3 2" xfId="8266" xr:uid="{00000000-0005-0000-0000-0000B21F0000}"/>
    <cellStyle name="20% - Ênfase6 3 5 3 4" xfId="8267" xr:uid="{00000000-0005-0000-0000-0000B31F0000}"/>
    <cellStyle name="20% - Ênfase6 3 5 4" xfId="8268" xr:uid="{00000000-0005-0000-0000-0000B41F0000}"/>
    <cellStyle name="20% - Ênfase6 3 5 4 2" xfId="8269" xr:uid="{00000000-0005-0000-0000-0000B51F0000}"/>
    <cellStyle name="20% - Ênfase6 3 5 5" xfId="8270" xr:uid="{00000000-0005-0000-0000-0000B61F0000}"/>
    <cellStyle name="20% - Ênfase6 3 5 5 2" xfId="8271" xr:uid="{00000000-0005-0000-0000-0000B71F0000}"/>
    <cellStyle name="20% - Ênfase6 3 5 6" xfId="8272" xr:uid="{00000000-0005-0000-0000-0000B81F0000}"/>
    <cellStyle name="20% - Ênfase6 3 6" xfId="8273" xr:uid="{00000000-0005-0000-0000-0000B91F0000}"/>
    <cellStyle name="20% - Ênfase6 3 6 2" xfId="8274" xr:uid="{00000000-0005-0000-0000-0000BA1F0000}"/>
    <cellStyle name="20% - Ênfase6 3 6 2 2" xfId="8275" xr:uid="{00000000-0005-0000-0000-0000BB1F0000}"/>
    <cellStyle name="20% - Ênfase6 3 6 3" xfId="8276" xr:uid="{00000000-0005-0000-0000-0000BC1F0000}"/>
    <cellStyle name="20% - Ênfase6 3 6 3 2" xfId="8277" xr:uid="{00000000-0005-0000-0000-0000BD1F0000}"/>
    <cellStyle name="20% - Ênfase6 3 6 4" xfId="8278" xr:uid="{00000000-0005-0000-0000-0000BE1F0000}"/>
    <cellStyle name="20% - Ênfase6 3 7" xfId="8279" xr:uid="{00000000-0005-0000-0000-0000BF1F0000}"/>
    <cellStyle name="20% - Ênfase6 3 7 2" xfId="8280" xr:uid="{00000000-0005-0000-0000-0000C01F0000}"/>
    <cellStyle name="20% - Ênfase6 3 7 2 2" xfId="8281" xr:uid="{00000000-0005-0000-0000-0000C11F0000}"/>
    <cellStyle name="20% - Ênfase6 3 7 3" xfId="8282" xr:uid="{00000000-0005-0000-0000-0000C21F0000}"/>
    <cellStyle name="20% - Ênfase6 3 8" xfId="8283" xr:uid="{00000000-0005-0000-0000-0000C31F0000}"/>
    <cellStyle name="20% - Ênfase6 3 8 2" xfId="8284" xr:uid="{00000000-0005-0000-0000-0000C41F0000}"/>
    <cellStyle name="20% - Ênfase6 3 8 2 2" xfId="8285" xr:uid="{00000000-0005-0000-0000-0000C51F0000}"/>
    <cellStyle name="20% - Ênfase6 3 8 3" xfId="8286" xr:uid="{00000000-0005-0000-0000-0000C61F0000}"/>
    <cellStyle name="20% - Ênfase6 3 9" xfId="8287" xr:uid="{00000000-0005-0000-0000-0000C71F0000}"/>
    <cellStyle name="20% - Ênfase6 3 9 2" xfId="8288" xr:uid="{00000000-0005-0000-0000-0000C81F0000}"/>
    <cellStyle name="20% - Ênfase6 3 9 2 2" xfId="8289" xr:uid="{00000000-0005-0000-0000-0000C91F0000}"/>
    <cellStyle name="20% - Ênfase6 3 9 3" xfId="8290" xr:uid="{00000000-0005-0000-0000-0000CA1F0000}"/>
    <cellStyle name="20% - Ênfase6 30" xfId="8291" xr:uid="{00000000-0005-0000-0000-0000CB1F0000}"/>
    <cellStyle name="20% - Ênfase6 31" xfId="8292" xr:uid="{00000000-0005-0000-0000-0000CC1F0000}"/>
    <cellStyle name="20% - Ênfase6 32" xfId="8293" xr:uid="{00000000-0005-0000-0000-0000CD1F0000}"/>
    <cellStyle name="20% - Ênfase6 33" xfId="8294" xr:uid="{00000000-0005-0000-0000-0000CE1F0000}"/>
    <cellStyle name="20% - Ênfase6 4" xfId="8295" xr:uid="{00000000-0005-0000-0000-0000CF1F0000}"/>
    <cellStyle name="20% - Ênfase6 4 10" xfId="8296" xr:uid="{00000000-0005-0000-0000-0000D01F0000}"/>
    <cellStyle name="20% - Ênfase6 4 10 2" xfId="8297" xr:uid="{00000000-0005-0000-0000-0000D11F0000}"/>
    <cellStyle name="20% - Ênfase6 4 11" xfId="8298" xr:uid="{00000000-0005-0000-0000-0000D21F0000}"/>
    <cellStyle name="20% - Ênfase6 4 2" xfId="8299" xr:uid="{00000000-0005-0000-0000-0000D31F0000}"/>
    <cellStyle name="20% - Ênfase6 4 2 2" xfId="8300" xr:uid="{00000000-0005-0000-0000-0000D41F0000}"/>
    <cellStyle name="20% - Ênfase6 4 2 2 2" xfId="8301" xr:uid="{00000000-0005-0000-0000-0000D51F0000}"/>
    <cellStyle name="20% - Ênfase6 4 2 2 2 2" xfId="8302" xr:uid="{00000000-0005-0000-0000-0000D61F0000}"/>
    <cellStyle name="20% - Ênfase6 4 2 2 2 2 2" xfId="8303" xr:uid="{00000000-0005-0000-0000-0000D71F0000}"/>
    <cellStyle name="20% - Ênfase6 4 2 2 2 3" xfId="8304" xr:uid="{00000000-0005-0000-0000-0000D81F0000}"/>
    <cellStyle name="20% - Ênfase6 4 2 2 2 3 2" xfId="8305" xr:uid="{00000000-0005-0000-0000-0000D91F0000}"/>
    <cellStyle name="20% - Ênfase6 4 2 2 2 4" xfId="8306" xr:uid="{00000000-0005-0000-0000-0000DA1F0000}"/>
    <cellStyle name="20% - Ênfase6 4 2 2 3" xfId="8307" xr:uid="{00000000-0005-0000-0000-0000DB1F0000}"/>
    <cellStyle name="20% - Ênfase6 4 2 2 3 2" xfId="8308" xr:uid="{00000000-0005-0000-0000-0000DC1F0000}"/>
    <cellStyle name="20% - Ênfase6 4 2 2 3 2 2" xfId="8309" xr:uid="{00000000-0005-0000-0000-0000DD1F0000}"/>
    <cellStyle name="20% - Ênfase6 4 2 2 3 3" xfId="8310" xr:uid="{00000000-0005-0000-0000-0000DE1F0000}"/>
    <cellStyle name="20% - Ênfase6 4 2 2 3 3 2" xfId="8311" xr:uid="{00000000-0005-0000-0000-0000DF1F0000}"/>
    <cellStyle name="20% - Ênfase6 4 2 2 3 4" xfId="8312" xr:uid="{00000000-0005-0000-0000-0000E01F0000}"/>
    <cellStyle name="20% - Ênfase6 4 2 2 4" xfId="8313" xr:uid="{00000000-0005-0000-0000-0000E11F0000}"/>
    <cellStyle name="20% - Ênfase6 4 2 2 4 2" xfId="8314" xr:uid="{00000000-0005-0000-0000-0000E21F0000}"/>
    <cellStyle name="20% - Ênfase6 4 2 2 5" xfId="8315" xr:uid="{00000000-0005-0000-0000-0000E31F0000}"/>
    <cellStyle name="20% - Ênfase6 4 2 2 5 2" xfId="8316" xr:uid="{00000000-0005-0000-0000-0000E41F0000}"/>
    <cellStyle name="20% - Ênfase6 4 2 2 6" xfId="8317" xr:uid="{00000000-0005-0000-0000-0000E51F0000}"/>
    <cellStyle name="20% - Ênfase6 4 2 3" xfId="8318" xr:uid="{00000000-0005-0000-0000-0000E61F0000}"/>
    <cellStyle name="20% - Ênfase6 4 2 3 2" xfId="8319" xr:uid="{00000000-0005-0000-0000-0000E71F0000}"/>
    <cellStyle name="20% - Ênfase6 4 2 3 2 2" xfId="8320" xr:uid="{00000000-0005-0000-0000-0000E81F0000}"/>
    <cellStyle name="20% - Ênfase6 4 2 3 3" xfId="8321" xr:uid="{00000000-0005-0000-0000-0000E91F0000}"/>
    <cellStyle name="20% - Ênfase6 4 2 3 3 2" xfId="8322" xr:uid="{00000000-0005-0000-0000-0000EA1F0000}"/>
    <cellStyle name="20% - Ênfase6 4 2 3 4" xfId="8323" xr:uid="{00000000-0005-0000-0000-0000EB1F0000}"/>
    <cellStyle name="20% - Ênfase6 4 2 4" xfId="8324" xr:uid="{00000000-0005-0000-0000-0000EC1F0000}"/>
    <cellStyle name="20% - Ênfase6 4 2 4 2" xfId="8325" xr:uid="{00000000-0005-0000-0000-0000ED1F0000}"/>
    <cellStyle name="20% - Ênfase6 4 2 4 2 2" xfId="8326" xr:uid="{00000000-0005-0000-0000-0000EE1F0000}"/>
    <cellStyle name="20% - Ênfase6 4 2 4 3" xfId="8327" xr:uid="{00000000-0005-0000-0000-0000EF1F0000}"/>
    <cellStyle name="20% - Ênfase6 4 2 5" xfId="8328" xr:uid="{00000000-0005-0000-0000-0000F01F0000}"/>
    <cellStyle name="20% - Ênfase6 4 2 5 2" xfId="8329" xr:uid="{00000000-0005-0000-0000-0000F11F0000}"/>
    <cellStyle name="20% - Ênfase6 4 2 5 2 2" xfId="8330" xr:uid="{00000000-0005-0000-0000-0000F21F0000}"/>
    <cellStyle name="20% - Ênfase6 4 2 5 3" xfId="8331" xr:uid="{00000000-0005-0000-0000-0000F31F0000}"/>
    <cellStyle name="20% - Ênfase6 4 2 6" xfId="8332" xr:uid="{00000000-0005-0000-0000-0000F41F0000}"/>
    <cellStyle name="20% - Ênfase6 4 2 6 2" xfId="8333" xr:uid="{00000000-0005-0000-0000-0000F51F0000}"/>
    <cellStyle name="20% - Ênfase6 4 2 6 2 2" xfId="8334" xr:uid="{00000000-0005-0000-0000-0000F61F0000}"/>
    <cellStyle name="20% - Ênfase6 4 2 6 3" xfId="8335" xr:uid="{00000000-0005-0000-0000-0000F71F0000}"/>
    <cellStyle name="20% - Ênfase6 4 2 7" xfId="8336" xr:uid="{00000000-0005-0000-0000-0000F81F0000}"/>
    <cellStyle name="20% - Ênfase6 4 2 7 2" xfId="8337" xr:uid="{00000000-0005-0000-0000-0000F91F0000}"/>
    <cellStyle name="20% - Ênfase6 4 2 7 2 2" xfId="8338" xr:uid="{00000000-0005-0000-0000-0000FA1F0000}"/>
    <cellStyle name="20% - Ênfase6 4 2 7 3" xfId="8339" xr:uid="{00000000-0005-0000-0000-0000FB1F0000}"/>
    <cellStyle name="20% - Ênfase6 4 2 8" xfId="8340" xr:uid="{00000000-0005-0000-0000-0000FC1F0000}"/>
    <cellStyle name="20% - Ênfase6 4 2 8 2" xfId="8341" xr:uid="{00000000-0005-0000-0000-0000FD1F0000}"/>
    <cellStyle name="20% - Ênfase6 4 2 9" xfId="8342" xr:uid="{00000000-0005-0000-0000-0000FE1F0000}"/>
    <cellStyle name="20% - Ênfase6 4 3" xfId="8343" xr:uid="{00000000-0005-0000-0000-0000FF1F0000}"/>
    <cellStyle name="20% - Ênfase6 4 3 2" xfId="8344" xr:uid="{00000000-0005-0000-0000-000000200000}"/>
    <cellStyle name="20% - Ênfase6 4 3 2 2" xfId="8345" xr:uid="{00000000-0005-0000-0000-000001200000}"/>
    <cellStyle name="20% - Ênfase6 4 3 2 2 2" xfId="8346" xr:uid="{00000000-0005-0000-0000-000002200000}"/>
    <cellStyle name="20% - Ênfase6 4 3 2 3" xfId="8347" xr:uid="{00000000-0005-0000-0000-000003200000}"/>
    <cellStyle name="20% - Ênfase6 4 3 2 3 2" xfId="8348" xr:uid="{00000000-0005-0000-0000-000004200000}"/>
    <cellStyle name="20% - Ênfase6 4 3 2 4" xfId="8349" xr:uid="{00000000-0005-0000-0000-000005200000}"/>
    <cellStyle name="20% - Ênfase6 4 3 3" xfId="8350" xr:uid="{00000000-0005-0000-0000-000006200000}"/>
    <cellStyle name="20% - Ênfase6 4 3 3 2" xfId="8351" xr:uid="{00000000-0005-0000-0000-000007200000}"/>
    <cellStyle name="20% - Ênfase6 4 3 3 2 2" xfId="8352" xr:uid="{00000000-0005-0000-0000-000008200000}"/>
    <cellStyle name="20% - Ênfase6 4 3 3 3" xfId="8353" xr:uid="{00000000-0005-0000-0000-000009200000}"/>
    <cellStyle name="20% - Ênfase6 4 3 3 3 2" xfId="8354" xr:uid="{00000000-0005-0000-0000-00000A200000}"/>
    <cellStyle name="20% - Ênfase6 4 3 3 4" xfId="8355" xr:uid="{00000000-0005-0000-0000-00000B200000}"/>
    <cellStyle name="20% - Ênfase6 4 3 4" xfId="8356" xr:uid="{00000000-0005-0000-0000-00000C200000}"/>
    <cellStyle name="20% - Ênfase6 4 3 4 2" xfId="8357" xr:uid="{00000000-0005-0000-0000-00000D200000}"/>
    <cellStyle name="20% - Ênfase6 4 3 5" xfId="8358" xr:uid="{00000000-0005-0000-0000-00000E200000}"/>
    <cellStyle name="20% - Ênfase6 4 3 5 2" xfId="8359" xr:uid="{00000000-0005-0000-0000-00000F200000}"/>
    <cellStyle name="20% - Ênfase6 4 3 6" xfId="8360" xr:uid="{00000000-0005-0000-0000-000010200000}"/>
    <cellStyle name="20% - Ênfase6 4 4" xfId="8361" xr:uid="{00000000-0005-0000-0000-000011200000}"/>
    <cellStyle name="20% - Ênfase6 4 4 2" xfId="8362" xr:uid="{00000000-0005-0000-0000-000012200000}"/>
    <cellStyle name="20% - Ênfase6 4 4 2 2" xfId="8363" xr:uid="{00000000-0005-0000-0000-000013200000}"/>
    <cellStyle name="20% - Ênfase6 4 4 2 2 2" xfId="8364" xr:uid="{00000000-0005-0000-0000-000014200000}"/>
    <cellStyle name="20% - Ênfase6 4 4 2 3" xfId="8365" xr:uid="{00000000-0005-0000-0000-000015200000}"/>
    <cellStyle name="20% - Ênfase6 4 4 2 3 2" xfId="8366" xr:uid="{00000000-0005-0000-0000-000016200000}"/>
    <cellStyle name="20% - Ênfase6 4 4 2 4" xfId="8367" xr:uid="{00000000-0005-0000-0000-000017200000}"/>
    <cellStyle name="20% - Ênfase6 4 4 3" xfId="8368" xr:uid="{00000000-0005-0000-0000-000018200000}"/>
    <cellStyle name="20% - Ênfase6 4 4 3 2" xfId="8369" xr:uid="{00000000-0005-0000-0000-000019200000}"/>
    <cellStyle name="20% - Ênfase6 4 4 3 2 2" xfId="8370" xr:uid="{00000000-0005-0000-0000-00001A200000}"/>
    <cellStyle name="20% - Ênfase6 4 4 3 3" xfId="8371" xr:uid="{00000000-0005-0000-0000-00001B200000}"/>
    <cellStyle name="20% - Ênfase6 4 4 3 3 2" xfId="8372" xr:uid="{00000000-0005-0000-0000-00001C200000}"/>
    <cellStyle name="20% - Ênfase6 4 4 3 4" xfId="8373" xr:uid="{00000000-0005-0000-0000-00001D200000}"/>
    <cellStyle name="20% - Ênfase6 4 4 4" xfId="8374" xr:uid="{00000000-0005-0000-0000-00001E200000}"/>
    <cellStyle name="20% - Ênfase6 4 4 4 2" xfId="8375" xr:uid="{00000000-0005-0000-0000-00001F200000}"/>
    <cellStyle name="20% - Ênfase6 4 4 5" xfId="8376" xr:uid="{00000000-0005-0000-0000-000020200000}"/>
    <cellStyle name="20% - Ênfase6 4 4 5 2" xfId="8377" xr:uid="{00000000-0005-0000-0000-000021200000}"/>
    <cellStyle name="20% - Ênfase6 4 4 6" xfId="8378" xr:uid="{00000000-0005-0000-0000-000022200000}"/>
    <cellStyle name="20% - Ênfase6 4 5" xfId="8379" xr:uid="{00000000-0005-0000-0000-000023200000}"/>
    <cellStyle name="20% - Ênfase6 4 5 2" xfId="8380" xr:uid="{00000000-0005-0000-0000-000024200000}"/>
    <cellStyle name="20% - Ênfase6 4 5 2 2" xfId="8381" xr:uid="{00000000-0005-0000-0000-000025200000}"/>
    <cellStyle name="20% - Ênfase6 4 5 3" xfId="8382" xr:uid="{00000000-0005-0000-0000-000026200000}"/>
    <cellStyle name="20% - Ênfase6 4 5 3 2" xfId="8383" xr:uid="{00000000-0005-0000-0000-000027200000}"/>
    <cellStyle name="20% - Ênfase6 4 5 4" xfId="8384" xr:uid="{00000000-0005-0000-0000-000028200000}"/>
    <cellStyle name="20% - Ênfase6 4 6" xfId="8385" xr:uid="{00000000-0005-0000-0000-000029200000}"/>
    <cellStyle name="20% - Ênfase6 4 6 2" xfId="8386" xr:uid="{00000000-0005-0000-0000-00002A200000}"/>
    <cellStyle name="20% - Ênfase6 4 6 2 2" xfId="8387" xr:uid="{00000000-0005-0000-0000-00002B200000}"/>
    <cellStyle name="20% - Ênfase6 4 6 3" xfId="8388" xr:uid="{00000000-0005-0000-0000-00002C200000}"/>
    <cellStyle name="20% - Ênfase6 4 7" xfId="8389" xr:uid="{00000000-0005-0000-0000-00002D200000}"/>
    <cellStyle name="20% - Ênfase6 4 7 2" xfId="8390" xr:uid="{00000000-0005-0000-0000-00002E200000}"/>
    <cellStyle name="20% - Ênfase6 4 7 2 2" xfId="8391" xr:uid="{00000000-0005-0000-0000-00002F200000}"/>
    <cellStyle name="20% - Ênfase6 4 7 3" xfId="8392" xr:uid="{00000000-0005-0000-0000-000030200000}"/>
    <cellStyle name="20% - Ênfase6 4 8" xfId="8393" xr:uid="{00000000-0005-0000-0000-000031200000}"/>
    <cellStyle name="20% - Ênfase6 4 8 2" xfId="8394" xr:uid="{00000000-0005-0000-0000-000032200000}"/>
    <cellStyle name="20% - Ênfase6 4 8 2 2" xfId="8395" xr:uid="{00000000-0005-0000-0000-000033200000}"/>
    <cellStyle name="20% - Ênfase6 4 8 3" xfId="8396" xr:uid="{00000000-0005-0000-0000-000034200000}"/>
    <cellStyle name="20% - Ênfase6 4 9" xfId="8397" xr:uid="{00000000-0005-0000-0000-000035200000}"/>
    <cellStyle name="20% - Ênfase6 4 9 2" xfId="8398" xr:uid="{00000000-0005-0000-0000-000036200000}"/>
    <cellStyle name="20% - Ênfase6 4 9 2 2" xfId="8399" xr:uid="{00000000-0005-0000-0000-000037200000}"/>
    <cellStyle name="20% - Ênfase6 4 9 3" xfId="8400" xr:uid="{00000000-0005-0000-0000-000038200000}"/>
    <cellStyle name="20% - Ênfase6 5" xfId="8401" xr:uid="{00000000-0005-0000-0000-000039200000}"/>
    <cellStyle name="20% - Ênfase6 5 10" xfId="8402" xr:uid="{00000000-0005-0000-0000-00003A200000}"/>
    <cellStyle name="20% - Ênfase6 5 2" xfId="8403" xr:uid="{00000000-0005-0000-0000-00003B200000}"/>
    <cellStyle name="20% - Ênfase6 5 2 2" xfId="8404" xr:uid="{00000000-0005-0000-0000-00003C200000}"/>
    <cellStyle name="20% - Ênfase6 5 2 2 2" xfId="8405" xr:uid="{00000000-0005-0000-0000-00003D200000}"/>
    <cellStyle name="20% - Ênfase6 5 2 2 2 2" xfId="8406" xr:uid="{00000000-0005-0000-0000-00003E200000}"/>
    <cellStyle name="20% - Ênfase6 5 2 2 2 2 2" xfId="8407" xr:uid="{00000000-0005-0000-0000-00003F200000}"/>
    <cellStyle name="20% - Ênfase6 5 2 2 2 3" xfId="8408" xr:uid="{00000000-0005-0000-0000-000040200000}"/>
    <cellStyle name="20% - Ênfase6 5 2 2 2 3 2" xfId="8409" xr:uid="{00000000-0005-0000-0000-000041200000}"/>
    <cellStyle name="20% - Ênfase6 5 2 2 2 4" xfId="8410" xr:uid="{00000000-0005-0000-0000-000042200000}"/>
    <cellStyle name="20% - Ênfase6 5 2 2 3" xfId="8411" xr:uid="{00000000-0005-0000-0000-000043200000}"/>
    <cellStyle name="20% - Ênfase6 5 2 2 3 2" xfId="8412" xr:uid="{00000000-0005-0000-0000-000044200000}"/>
    <cellStyle name="20% - Ênfase6 5 2 2 4" xfId="8413" xr:uid="{00000000-0005-0000-0000-000045200000}"/>
    <cellStyle name="20% - Ênfase6 5 2 2 4 2" xfId="8414" xr:uid="{00000000-0005-0000-0000-000046200000}"/>
    <cellStyle name="20% - Ênfase6 5 2 2 5" xfId="8415" xr:uid="{00000000-0005-0000-0000-000047200000}"/>
    <cellStyle name="20% - Ênfase6 5 2 3" xfId="8416" xr:uid="{00000000-0005-0000-0000-000048200000}"/>
    <cellStyle name="20% - Ênfase6 5 2 3 2" xfId="8417" xr:uid="{00000000-0005-0000-0000-000049200000}"/>
    <cellStyle name="20% - Ênfase6 5 2 3 2 2" xfId="8418" xr:uid="{00000000-0005-0000-0000-00004A200000}"/>
    <cellStyle name="20% - Ênfase6 5 2 3 3" xfId="8419" xr:uid="{00000000-0005-0000-0000-00004B200000}"/>
    <cellStyle name="20% - Ênfase6 5 2 3 3 2" xfId="8420" xr:uid="{00000000-0005-0000-0000-00004C200000}"/>
    <cellStyle name="20% - Ênfase6 5 2 3 4" xfId="8421" xr:uid="{00000000-0005-0000-0000-00004D200000}"/>
    <cellStyle name="20% - Ênfase6 5 2 4" xfId="8422" xr:uid="{00000000-0005-0000-0000-00004E200000}"/>
    <cellStyle name="20% - Ênfase6 5 2 4 2" xfId="8423" xr:uid="{00000000-0005-0000-0000-00004F200000}"/>
    <cellStyle name="20% - Ênfase6 5 2 4 2 2" xfId="8424" xr:uid="{00000000-0005-0000-0000-000050200000}"/>
    <cellStyle name="20% - Ênfase6 5 2 4 3" xfId="8425" xr:uid="{00000000-0005-0000-0000-000051200000}"/>
    <cellStyle name="20% - Ênfase6 5 2 5" xfId="8426" xr:uid="{00000000-0005-0000-0000-000052200000}"/>
    <cellStyle name="20% - Ênfase6 5 2 5 2" xfId="8427" xr:uid="{00000000-0005-0000-0000-000053200000}"/>
    <cellStyle name="20% - Ênfase6 5 2 6" xfId="8428" xr:uid="{00000000-0005-0000-0000-000054200000}"/>
    <cellStyle name="20% - Ênfase6 5 3" xfId="8429" xr:uid="{00000000-0005-0000-0000-000055200000}"/>
    <cellStyle name="20% - Ênfase6 5 3 2" xfId="8430" xr:uid="{00000000-0005-0000-0000-000056200000}"/>
    <cellStyle name="20% - Ênfase6 5 3 2 2" xfId="8431" xr:uid="{00000000-0005-0000-0000-000057200000}"/>
    <cellStyle name="20% - Ênfase6 5 3 2 2 2" xfId="8432" xr:uid="{00000000-0005-0000-0000-000058200000}"/>
    <cellStyle name="20% - Ênfase6 5 3 2 3" xfId="8433" xr:uid="{00000000-0005-0000-0000-000059200000}"/>
    <cellStyle name="20% - Ênfase6 5 3 2 3 2" xfId="8434" xr:uid="{00000000-0005-0000-0000-00005A200000}"/>
    <cellStyle name="20% - Ênfase6 5 3 2 4" xfId="8435" xr:uid="{00000000-0005-0000-0000-00005B200000}"/>
    <cellStyle name="20% - Ênfase6 5 3 3" xfId="8436" xr:uid="{00000000-0005-0000-0000-00005C200000}"/>
    <cellStyle name="20% - Ênfase6 5 3 3 2" xfId="8437" xr:uid="{00000000-0005-0000-0000-00005D200000}"/>
    <cellStyle name="20% - Ênfase6 5 3 3 2 2" xfId="8438" xr:uid="{00000000-0005-0000-0000-00005E200000}"/>
    <cellStyle name="20% - Ênfase6 5 3 3 3" xfId="8439" xr:uid="{00000000-0005-0000-0000-00005F200000}"/>
    <cellStyle name="20% - Ênfase6 5 3 3 3 2" xfId="8440" xr:uid="{00000000-0005-0000-0000-000060200000}"/>
    <cellStyle name="20% - Ênfase6 5 3 3 4" xfId="8441" xr:uid="{00000000-0005-0000-0000-000061200000}"/>
    <cellStyle name="20% - Ênfase6 5 3 4" xfId="8442" xr:uid="{00000000-0005-0000-0000-000062200000}"/>
    <cellStyle name="20% - Ênfase6 5 3 4 2" xfId="8443" xr:uid="{00000000-0005-0000-0000-000063200000}"/>
    <cellStyle name="20% - Ênfase6 5 3 5" xfId="8444" xr:uid="{00000000-0005-0000-0000-000064200000}"/>
    <cellStyle name="20% - Ênfase6 5 3 5 2" xfId="8445" xr:uid="{00000000-0005-0000-0000-000065200000}"/>
    <cellStyle name="20% - Ênfase6 5 3 6" xfId="8446" xr:uid="{00000000-0005-0000-0000-000066200000}"/>
    <cellStyle name="20% - Ênfase6 5 4" xfId="8447" xr:uid="{00000000-0005-0000-0000-000067200000}"/>
    <cellStyle name="20% - Ênfase6 5 4 2" xfId="8448" xr:uid="{00000000-0005-0000-0000-000068200000}"/>
    <cellStyle name="20% - Ênfase6 5 4 2 2" xfId="8449" xr:uid="{00000000-0005-0000-0000-000069200000}"/>
    <cellStyle name="20% - Ênfase6 5 4 3" xfId="8450" xr:uid="{00000000-0005-0000-0000-00006A200000}"/>
    <cellStyle name="20% - Ênfase6 5 4 3 2" xfId="8451" xr:uid="{00000000-0005-0000-0000-00006B200000}"/>
    <cellStyle name="20% - Ênfase6 5 4 4" xfId="8452" xr:uid="{00000000-0005-0000-0000-00006C200000}"/>
    <cellStyle name="20% - Ênfase6 5 5" xfId="8453" xr:uid="{00000000-0005-0000-0000-00006D200000}"/>
    <cellStyle name="20% - Ênfase6 5 5 2" xfId="8454" xr:uid="{00000000-0005-0000-0000-00006E200000}"/>
    <cellStyle name="20% - Ênfase6 5 5 2 2" xfId="8455" xr:uid="{00000000-0005-0000-0000-00006F200000}"/>
    <cellStyle name="20% - Ênfase6 5 5 3" xfId="8456" xr:uid="{00000000-0005-0000-0000-000070200000}"/>
    <cellStyle name="20% - Ênfase6 5 6" xfId="8457" xr:uid="{00000000-0005-0000-0000-000071200000}"/>
    <cellStyle name="20% - Ênfase6 5 6 2" xfId="8458" xr:uid="{00000000-0005-0000-0000-000072200000}"/>
    <cellStyle name="20% - Ênfase6 5 6 2 2" xfId="8459" xr:uid="{00000000-0005-0000-0000-000073200000}"/>
    <cellStyle name="20% - Ênfase6 5 6 3" xfId="8460" xr:uid="{00000000-0005-0000-0000-000074200000}"/>
    <cellStyle name="20% - Ênfase6 5 7" xfId="8461" xr:uid="{00000000-0005-0000-0000-000075200000}"/>
    <cellStyle name="20% - Ênfase6 5 7 2" xfId="8462" xr:uid="{00000000-0005-0000-0000-000076200000}"/>
    <cellStyle name="20% - Ênfase6 5 7 2 2" xfId="8463" xr:uid="{00000000-0005-0000-0000-000077200000}"/>
    <cellStyle name="20% - Ênfase6 5 7 3" xfId="8464" xr:uid="{00000000-0005-0000-0000-000078200000}"/>
    <cellStyle name="20% - Ênfase6 5 8" xfId="8465" xr:uid="{00000000-0005-0000-0000-000079200000}"/>
    <cellStyle name="20% - Ênfase6 5 8 2" xfId="8466" xr:uid="{00000000-0005-0000-0000-00007A200000}"/>
    <cellStyle name="20% - Ênfase6 5 8 2 2" xfId="8467" xr:uid="{00000000-0005-0000-0000-00007B200000}"/>
    <cellStyle name="20% - Ênfase6 5 8 3" xfId="8468" xr:uid="{00000000-0005-0000-0000-00007C200000}"/>
    <cellStyle name="20% - Ênfase6 5 9" xfId="8469" xr:uid="{00000000-0005-0000-0000-00007D200000}"/>
    <cellStyle name="20% - Ênfase6 5 9 2" xfId="8470" xr:uid="{00000000-0005-0000-0000-00007E200000}"/>
    <cellStyle name="20% - Ênfase6 6" xfId="8471" xr:uid="{00000000-0005-0000-0000-00007F200000}"/>
    <cellStyle name="20% - Ênfase6 6 2" xfId="8472" xr:uid="{00000000-0005-0000-0000-000080200000}"/>
    <cellStyle name="20% - Ênfase6 6 2 2" xfId="8473" xr:uid="{00000000-0005-0000-0000-000081200000}"/>
    <cellStyle name="20% - Ênfase6 6 2 2 2" xfId="8474" xr:uid="{00000000-0005-0000-0000-000082200000}"/>
    <cellStyle name="20% - Ênfase6 6 2 2 2 2" xfId="8475" xr:uid="{00000000-0005-0000-0000-000083200000}"/>
    <cellStyle name="20% - Ênfase6 6 2 2 2 2 2" xfId="8476" xr:uid="{00000000-0005-0000-0000-000084200000}"/>
    <cellStyle name="20% - Ênfase6 6 2 2 2 3" xfId="8477" xr:uid="{00000000-0005-0000-0000-000085200000}"/>
    <cellStyle name="20% - Ênfase6 6 2 2 2 3 2" xfId="8478" xr:uid="{00000000-0005-0000-0000-000086200000}"/>
    <cellStyle name="20% - Ênfase6 6 2 2 2 4" xfId="8479" xr:uid="{00000000-0005-0000-0000-000087200000}"/>
    <cellStyle name="20% - Ênfase6 6 2 2 3" xfId="8480" xr:uid="{00000000-0005-0000-0000-000088200000}"/>
    <cellStyle name="20% - Ênfase6 6 2 2 3 2" xfId="8481" xr:uid="{00000000-0005-0000-0000-000089200000}"/>
    <cellStyle name="20% - Ênfase6 6 2 2 4" xfId="8482" xr:uid="{00000000-0005-0000-0000-00008A200000}"/>
    <cellStyle name="20% - Ênfase6 6 2 2 4 2" xfId="8483" xr:uid="{00000000-0005-0000-0000-00008B200000}"/>
    <cellStyle name="20% - Ênfase6 6 2 2 5" xfId="8484" xr:uid="{00000000-0005-0000-0000-00008C200000}"/>
    <cellStyle name="20% - Ênfase6 6 2 3" xfId="8485" xr:uid="{00000000-0005-0000-0000-00008D200000}"/>
    <cellStyle name="20% - Ênfase6 6 2 3 2" xfId="8486" xr:uid="{00000000-0005-0000-0000-00008E200000}"/>
    <cellStyle name="20% - Ênfase6 6 2 3 2 2" xfId="8487" xr:uid="{00000000-0005-0000-0000-00008F200000}"/>
    <cellStyle name="20% - Ênfase6 6 2 3 3" xfId="8488" xr:uid="{00000000-0005-0000-0000-000090200000}"/>
    <cellStyle name="20% - Ênfase6 6 2 3 3 2" xfId="8489" xr:uid="{00000000-0005-0000-0000-000091200000}"/>
    <cellStyle name="20% - Ênfase6 6 2 3 4" xfId="8490" xr:uid="{00000000-0005-0000-0000-000092200000}"/>
    <cellStyle name="20% - Ênfase6 6 2 4" xfId="8491" xr:uid="{00000000-0005-0000-0000-000093200000}"/>
    <cellStyle name="20% - Ênfase6 6 2 4 2" xfId="8492" xr:uid="{00000000-0005-0000-0000-000094200000}"/>
    <cellStyle name="20% - Ênfase6 6 2 4 2 2" xfId="8493" xr:uid="{00000000-0005-0000-0000-000095200000}"/>
    <cellStyle name="20% - Ênfase6 6 2 4 3" xfId="8494" xr:uid="{00000000-0005-0000-0000-000096200000}"/>
    <cellStyle name="20% - Ênfase6 6 2 5" xfId="8495" xr:uid="{00000000-0005-0000-0000-000097200000}"/>
    <cellStyle name="20% - Ênfase6 6 2 5 2" xfId="8496" xr:uid="{00000000-0005-0000-0000-000098200000}"/>
    <cellStyle name="20% - Ênfase6 6 2 6" xfId="8497" xr:uid="{00000000-0005-0000-0000-000099200000}"/>
    <cellStyle name="20% - Ênfase6 6 3" xfId="8498" xr:uid="{00000000-0005-0000-0000-00009A200000}"/>
    <cellStyle name="20% - Ênfase6 6 3 2" xfId="8499" xr:uid="{00000000-0005-0000-0000-00009B200000}"/>
    <cellStyle name="20% - Ênfase6 6 3 2 2" xfId="8500" xr:uid="{00000000-0005-0000-0000-00009C200000}"/>
    <cellStyle name="20% - Ênfase6 6 3 2 2 2" xfId="8501" xr:uid="{00000000-0005-0000-0000-00009D200000}"/>
    <cellStyle name="20% - Ênfase6 6 3 2 3" xfId="8502" xr:uid="{00000000-0005-0000-0000-00009E200000}"/>
    <cellStyle name="20% - Ênfase6 6 3 2 3 2" xfId="8503" xr:uid="{00000000-0005-0000-0000-00009F200000}"/>
    <cellStyle name="20% - Ênfase6 6 3 2 4" xfId="8504" xr:uid="{00000000-0005-0000-0000-0000A0200000}"/>
    <cellStyle name="20% - Ênfase6 6 3 3" xfId="8505" xr:uid="{00000000-0005-0000-0000-0000A1200000}"/>
    <cellStyle name="20% - Ênfase6 6 3 3 2" xfId="8506" xr:uid="{00000000-0005-0000-0000-0000A2200000}"/>
    <cellStyle name="20% - Ênfase6 6 3 4" xfId="8507" xr:uid="{00000000-0005-0000-0000-0000A3200000}"/>
    <cellStyle name="20% - Ênfase6 6 3 4 2" xfId="8508" xr:uid="{00000000-0005-0000-0000-0000A4200000}"/>
    <cellStyle name="20% - Ênfase6 6 3 5" xfId="8509" xr:uid="{00000000-0005-0000-0000-0000A5200000}"/>
    <cellStyle name="20% - Ênfase6 6 4" xfId="8510" xr:uid="{00000000-0005-0000-0000-0000A6200000}"/>
    <cellStyle name="20% - Ênfase6 6 4 2" xfId="8511" xr:uid="{00000000-0005-0000-0000-0000A7200000}"/>
    <cellStyle name="20% - Ênfase6 6 4 2 2" xfId="8512" xr:uid="{00000000-0005-0000-0000-0000A8200000}"/>
    <cellStyle name="20% - Ênfase6 6 4 3" xfId="8513" xr:uid="{00000000-0005-0000-0000-0000A9200000}"/>
    <cellStyle name="20% - Ênfase6 6 4 3 2" xfId="8514" xr:uid="{00000000-0005-0000-0000-0000AA200000}"/>
    <cellStyle name="20% - Ênfase6 6 4 4" xfId="8515" xr:uid="{00000000-0005-0000-0000-0000AB200000}"/>
    <cellStyle name="20% - Ênfase6 6 5" xfId="8516" xr:uid="{00000000-0005-0000-0000-0000AC200000}"/>
    <cellStyle name="20% - Ênfase6 6 5 2" xfId="8517" xr:uid="{00000000-0005-0000-0000-0000AD200000}"/>
    <cellStyle name="20% - Ênfase6 6 5 2 2" xfId="8518" xr:uid="{00000000-0005-0000-0000-0000AE200000}"/>
    <cellStyle name="20% - Ênfase6 6 5 3" xfId="8519" xr:uid="{00000000-0005-0000-0000-0000AF200000}"/>
    <cellStyle name="20% - Ênfase6 6 6" xfId="8520" xr:uid="{00000000-0005-0000-0000-0000B0200000}"/>
    <cellStyle name="20% - Ênfase6 6 6 2" xfId="8521" xr:uid="{00000000-0005-0000-0000-0000B1200000}"/>
    <cellStyle name="20% - Ênfase6 6 7" xfId="8522" xr:uid="{00000000-0005-0000-0000-0000B2200000}"/>
    <cellStyle name="20% - Ênfase6 7" xfId="8523" xr:uid="{00000000-0005-0000-0000-0000B3200000}"/>
    <cellStyle name="20% - Ênfase6 7 2" xfId="8524" xr:uid="{00000000-0005-0000-0000-0000B4200000}"/>
    <cellStyle name="20% - Ênfase6 7 2 2" xfId="8525" xr:uid="{00000000-0005-0000-0000-0000B5200000}"/>
    <cellStyle name="20% - Ênfase6 7 2 2 2" xfId="8526" xr:uid="{00000000-0005-0000-0000-0000B6200000}"/>
    <cellStyle name="20% - Ênfase6 7 2 2 2 2" xfId="8527" xr:uid="{00000000-0005-0000-0000-0000B7200000}"/>
    <cellStyle name="20% - Ênfase6 7 2 2 2 2 2" xfId="8528" xr:uid="{00000000-0005-0000-0000-0000B8200000}"/>
    <cellStyle name="20% - Ênfase6 7 2 2 2 3" xfId="8529" xr:uid="{00000000-0005-0000-0000-0000B9200000}"/>
    <cellStyle name="20% - Ênfase6 7 2 2 2 3 2" xfId="8530" xr:uid="{00000000-0005-0000-0000-0000BA200000}"/>
    <cellStyle name="20% - Ênfase6 7 2 2 2 4" xfId="8531" xr:uid="{00000000-0005-0000-0000-0000BB200000}"/>
    <cellStyle name="20% - Ênfase6 7 2 2 3" xfId="8532" xr:uid="{00000000-0005-0000-0000-0000BC200000}"/>
    <cellStyle name="20% - Ênfase6 7 2 2 3 2" xfId="8533" xr:uid="{00000000-0005-0000-0000-0000BD200000}"/>
    <cellStyle name="20% - Ênfase6 7 2 2 4" xfId="8534" xr:uid="{00000000-0005-0000-0000-0000BE200000}"/>
    <cellStyle name="20% - Ênfase6 7 2 2 4 2" xfId="8535" xr:uid="{00000000-0005-0000-0000-0000BF200000}"/>
    <cellStyle name="20% - Ênfase6 7 2 2 5" xfId="8536" xr:uid="{00000000-0005-0000-0000-0000C0200000}"/>
    <cellStyle name="20% - Ênfase6 7 2 3" xfId="8537" xr:uid="{00000000-0005-0000-0000-0000C1200000}"/>
    <cellStyle name="20% - Ênfase6 7 2 3 2" xfId="8538" xr:uid="{00000000-0005-0000-0000-0000C2200000}"/>
    <cellStyle name="20% - Ênfase6 7 2 3 2 2" xfId="8539" xr:uid="{00000000-0005-0000-0000-0000C3200000}"/>
    <cellStyle name="20% - Ênfase6 7 2 3 3" xfId="8540" xr:uid="{00000000-0005-0000-0000-0000C4200000}"/>
    <cellStyle name="20% - Ênfase6 7 2 3 3 2" xfId="8541" xr:uid="{00000000-0005-0000-0000-0000C5200000}"/>
    <cellStyle name="20% - Ênfase6 7 2 3 4" xfId="8542" xr:uid="{00000000-0005-0000-0000-0000C6200000}"/>
    <cellStyle name="20% - Ênfase6 7 2 4" xfId="8543" xr:uid="{00000000-0005-0000-0000-0000C7200000}"/>
    <cellStyle name="20% - Ênfase6 7 2 4 2" xfId="8544" xr:uid="{00000000-0005-0000-0000-0000C8200000}"/>
    <cellStyle name="20% - Ênfase6 7 2 4 2 2" xfId="8545" xr:uid="{00000000-0005-0000-0000-0000C9200000}"/>
    <cellStyle name="20% - Ênfase6 7 2 4 3" xfId="8546" xr:uid="{00000000-0005-0000-0000-0000CA200000}"/>
    <cellStyle name="20% - Ênfase6 7 2 5" xfId="8547" xr:uid="{00000000-0005-0000-0000-0000CB200000}"/>
    <cellStyle name="20% - Ênfase6 7 2 5 2" xfId="8548" xr:uid="{00000000-0005-0000-0000-0000CC200000}"/>
    <cellStyle name="20% - Ênfase6 7 2 6" xfId="8549" xr:uid="{00000000-0005-0000-0000-0000CD200000}"/>
    <cellStyle name="20% - Ênfase6 7 3" xfId="8550" xr:uid="{00000000-0005-0000-0000-0000CE200000}"/>
    <cellStyle name="20% - Ênfase6 7 3 2" xfId="8551" xr:uid="{00000000-0005-0000-0000-0000CF200000}"/>
    <cellStyle name="20% - Ênfase6 7 3 2 2" xfId="8552" xr:uid="{00000000-0005-0000-0000-0000D0200000}"/>
    <cellStyle name="20% - Ênfase6 7 3 2 2 2" xfId="8553" xr:uid="{00000000-0005-0000-0000-0000D1200000}"/>
    <cellStyle name="20% - Ênfase6 7 3 2 3" xfId="8554" xr:uid="{00000000-0005-0000-0000-0000D2200000}"/>
    <cellStyle name="20% - Ênfase6 7 3 2 3 2" xfId="8555" xr:uid="{00000000-0005-0000-0000-0000D3200000}"/>
    <cellStyle name="20% - Ênfase6 7 3 2 4" xfId="8556" xr:uid="{00000000-0005-0000-0000-0000D4200000}"/>
    <cellStyle name="20% - Ênfase6 7 3 3" xfId="8557" xr:uid="{00000000-0005-0000-0000-0000D5200000}"/>
    <cellStyle name="20% - Ênfase6 7 3 3 2" xfId="8558" xr:uid="{00000000-0005-0000-0000-0000D6200000}"/>
    <cellStyle name="20% - Ênfase6 7 3 4" xfId="8559" xr:uid="{00000000-0005-0000-0000-0000D7200000}"/>
    <cellStyle name="20% - Ênfase6 7 3 4 2" xfId="8560" xr:uid="{00000000-0005-0000-0000-0000D8200000}"/>
    <cellStyle name="20% - Ênfase6 7 3 5" xfId="8561" xr:uid="{00000000-0005-0000-0000-0000D9200000}"/>
    <cellStyle name="20% - Ênfase6 7 4" xfId="8562" xr:uid="{00000000-0005-0000-0000-0000DA200000}"/>
    <cellStyle name="20% - Ênfase6 7 4 2" xfId="8563" xr:uid="{00000000-0005-0000-0000-0000DB200000}"/>
    <cellStyle name="20% - Ênfase6 7 4 2 2" xfId="8564" xr:uid="{00000000-0005-0000-0000-0000DC200000}"/>
    <cellStyle name="20% - Ênfase6 7 4 3" xfId="8565" xr:uid="{00000000-0005-0000-0000-0000DD200000}"/>
    <cellStyle name="20% - Ênfase6 7 4 3 2" xfId="8566" xr:uid="{00000000-0005-0000-0000-0000DE200000}"/>
    <cellStyle name="20% - Ênfase6 7 4 4" xfId="8567" xr:uid="{00000000-0005-0000-0000-0000DF200000}"/>
    <cellStyle name="20% - Ênfase6 7 5" xfId="8568" xr:uid="{00000000-0005-0000-0000-0000E0200000}"/>
    <cellStyle name="20% - Ênfase6 7 5 2" xfId="8569" xr:uid="{00000000-0005-0000-0000-0000E1200000}"/>
    <cellStyle name="20% - Ênfase6 7 5 2 2" xfId="8570" xr:uid="{00000000-0005-0000-0000-0000E2200000}"/>
    <cellStyle name="20% - Ênfase6 7 5 3" xfId="8571" xr:uid="{00000000-0005-0000-0000-0000E3200000}"/>
    <cellStyle name="20% - Ênfase6 7 6" xfId="8572" xr:uid="{00000000-0005-0000-0000-0000E4200000}"/>
    <cellStyle name="20% - Ênfase6 7 6 2" xfId="8573" xr:uid="{00000000-0005-0000-0000-0000E5200000}"/>
    <cellStyle name="20% - Ênfase6 7 7" xfId="8574" xr:uid="{00000000-0005-0000-0000-0000E6200000}"/>
    <cellStyle name="20% - Ênfase6 8" xfId="8575" xr:uid="{00000000-0005-0000-0000-0000E7200000}"/>
    <cellStyle name="20% - Ênfase6 8 2" xfId="8576" xr:uid="{00000000-0005-0000-0000-0000E8200000}"/>
    <cellStyle name="20% - Ênfase6 8 2 2" xfId="8577" xr:uid="{00000000-0005-0000-0000-0000E9200000}"/>
    <cellStyle name="20% - Ênfase6 8 2 2 2" xfId="8578" xr:uid="{00000000-0005-0000-0000-0000EA200000}"/>
    <cellStyle name="20% - Ênfase6 8 2 2 2 2" xfId="8579" xr:uid="{00000000-0005-0000-0000-0000EB200000}"/>
    <cellStyle name="20% - Ênfase6 8 2 2 2 2 2" xfId="8580" xr:uid="{00000000-0005-0000-0000-0000EC200000}"/>
    <cellStyle name="20% - Ênfase6 8 2 2 2 3" xfId="8581" xr:uid="{00000000-0005-0000-0000-0000ED200000}"/>
    <cellStyle name="20% - Ênfase6 8 2 2 2 3 2" xfId="8582" xr:uid="{00000000-0005-0000-0000-0000EE200000}"/>
    <cellStyle name="20% - Ênfase6 8 2 2 2 4" xfId="8583" xr:uid="{00000000-0005-0000-0000-0000EF200000}"/>
    <cellStyle name="20% - Ênfase6 8 2 2 3" xfId="8584" xr:uid="{00000000-0005-0000-0000-0000F0200000}"/>
    <cellStyle name="20% - Ênfase6 8 2 2 3 2" xfId="8585" xr:uid="{00000000-0005-0000-0000-0000F1200000}"/>
    <cellStyle name="20% - Ênfase6 8 2 2 4" xfId="8586" xr:uid="{00000000-0005-0000-0000-0000F2200000}"/>
    <cellStyle name="20% - Ênfase6 8 2 2 4 2" xfId="8587" xr:uid="{00000000-0005-0000-0000-0000F3200000}"/>
    <cellStyle name="20% - Ênfase6 8 2 2 5" xfId="8588" xr:uid="{00000000-0005-0000-0000-0000F4200000}"/>
    <cellStyle name="20% - Ênfase6 8 2 3" xfId="8589" xr:uid="{00000000-0005-0000-0000-0000F5200000}"/>
    <cellStyle name="20% - Ênfase6 8 2 3 2" xfId="8590" xr:uid="{00000000-0005-0000-0000-0000F6200000}"/>
    <cellStyle name="20% - Ênfase6 8 2 3 2 2" xfId="8591" xr:uid="{00000000-0005-0000-0000-0000F7200000}"/>
    <cellStyle name="20% - Ênfase6 8 2 3 3" xfId="8592" xr:uid="{00000000-0005-0000-0000-0000F8200000}"/>
    <cellStyle name="20% - Ênfase6 8 2 3 3 2" xfId="8593" xr:uid="{00000000-0005-0000-0000-0000F9200000}"/>
    <cellStyle name="20% - Ênfase6 8 2 3 4" xfId="8594" xr:uid="{00000000-0005-0000-0000-0000FA200000}"/>
    <cellStyle name="20% - Ênfase6 8 2 4" xfId="8595" xr:uid="{00000000-0005-0000-0000-0000FB200000}"/>
    <cellStyle name="20% - Ênfase6 8 2 4 2" xfId="8596" xr:uid="{00000000-0005-0000-0000-0000FC200000}"/>
    <cellStyle name="20% - Ênfase6 8 2 4 2 2" xfId="8597" xr:uid="{00000000-0005-0000-0000-0000FD200000}"/>
    <cellStyle name="20% - Ênfase6 8 2 4 3" xfId="8598" xr:uid="{00000000-0005-0000-0000-0000FE200000}"/>
    <cellStyle name="20% - Ênfase6 8 2 5" xfId="8599" xr:uid="{00000000-0005-0000-0000-0000FF200000}"/>
    <cellStyle name="20% - Ênfase6 8 2 5 2" xfId="8600" xr:uid="{00000000-0005-0000-0000-000000210000}"/>
    <cellStyle name="20% - Ênfase6 8 2 6" xfId="8601" xr:uid="{00000000-0005-0000-0000-000001210000}"/>
    <cellStyle name="20% - Ênfase6 8 3" xfId="8602" xr:uid="{00000000-0005-0000-0000-000002210000}"/>
    <cellStyle name="20% - Ênfase6 8 3 2" xfId="8603" xr:uid="{00000000-0005-0000-0000-000003210000}"/>
    <cellStyle name="20% - Ênfase6 8 3 2 2" xfId="8604" xr:uid="{00000000-0005-0000-0000-000004210000}"/>
    <cellStyle name="20% - Ênfase6 8 3 2 2 2" xfId="8605" xr:uid="{00000000-0005-0000-0000-000005210000}"/>
    <cellStyle name="20% - Ênfase6 8 3 2 3" xfId="8606" xr:uid="{00000000-0005-0000-0000-000006210000}"/>
    <cellStyle name="20% - Ênfase6 8 3 2 3 2" xfId="8607" xr:uid="{00000000-0005-0000-0000-000007210000}"/>
    <cellStyle name="20% - Ênfase6 8 3 2 4" xfId="8608" xr:uid="{00000000-0005-0000-0000-000008210000}"/>
    <cellStyle name="20% - Ênfase6 8 3 3" xfId="8609" xr:uid="{00000000-0005-0000-0000-000009210000}"/>
    <cellStyle name="20% - Ênfase6 8 3 3 2" xfId="8610" xr:uid="{00000000-0005-0000-0000-00000A210000}"/>
    <cellStyle name="20% - Ênfase6 8 3 4" xfId="8611" xr:uid="{00000000-0005-0000-0000-00000B210000}"/>
    <cellStyle name="20% - Ênfase6 8 3 4 2" xfId="8612" xr:uid="{00000000-0005-0000-0000-00000C210000}"/>
    <cellStyle name="20% - Ênfase6 8 3 5" xfId="8613" xr:uid="{00000000-0005-0000-0000-00000D210000}"/>
    <cellStyle name="20% - Ênfase6 8 4" xfId="8614" xr:uid="{00000000-0005-0000-0000-00000E210000}"/>
    <cellStyle name="20% - Ênfase6 8 4 2" xfId="8615" xr:uid="{00000000-0005-0000-0000-00000F210000}"/>
    <cellStyle name="20% - Ênfase6 8 4 2 2" xfId="8616" xr:uid="{00000000-0005-0000-0000-000010210000}"/>
    <cellStyle name="20% - Ênfase6 8 4 3" xfId="8617" xr:uid="{00000000-0005-0000-0000-000011210000}"/>
    <cellStyle name="20% - Ênfase6 8 4 3 2" xfId="8618" xr:uid="{00000000-0005-0000-0000-000012210000}"/>
    <cellStyle name="20% - Ênfase6 8 4 4" xfId="8619" xr:uid="{00000000-0005-0000-0000-000013210000}"/>
    <cellStyle name="20% - Ênfase6 8 5" xfId="8620" xr:uid="{00000000-0005-0000-0000-000014210000}"/>
    <cellStyle name="20% - Ênfase6 8 5 2" xfId="8621" xr:uid="{00000000-0005-0000-0000-000015210000}"/>
    <cellStyle name="20% - Ênfase6 8 5 2 2" xfId="8622" xr:uid="{00000000-0005-0000-0000-000016210000}"/>
    <cellStyle name="20% - Ênfase6 8 5 3" xfId="8623" xr:uid="{00000000-0005-0000-0000-000017210000}"/>
    <cellStyle name="20% - Ênfase6 8 6" xfId="8624" xr:uid="{00000000-0005-0000-0000-000018210000}"/>
    <cellStyle name="20% - Ênfase6 8 6 2" xfId="8625" xr:uid="{00000000-0005-0000-0000-000019210000}"/>
    <cellStyle name="20% - Ênfase6 8 7" xfId="8626" xr:uid="{00000000-0005-0000-0000-00001A210000}"/>
    <cellStyle name="20% - Ênfase6 9" xfId="8627" xr:uid="{00000000-0005-0000-0000-00001B210000}"/>
    <cellStyle name="20% - Ênfase6 9 2" xfId="8628" xr:uid="{00000000-0005-0000-0000-00001C210000}"/>
    <cellStyle name="20% - Ênfase6 9 2 2" xfId="8629" xr:uid="{00000000-0005-0000-0000-00001D210000}"/>
    <cellStyle name="20% - Ênfase6 9 2 2 2" xfId="8630" xr:uid="{00000000-0005-0000-0000-00001E210000}"/>
    <cellStyle name="20% - Ênfase6 9 2 2 2 2" xfId="8631" xr:uid="{00000000-0005-0000-0000-00001F210000}"/>
    <cellStyle name="20% - Ênfase6 9 2 2 2 2 2" xfId="8632" xr:uid="{00000000-0005-0000-0000-000020210000}"/>
    <cellStyle name="20% - Ênfase6 9 2 2 2 3" xfId="8633" xr:uid="{00000000-0005-0000-0000-000021210000}"/>
    <cellStyle name="20% - Ênfase6 9 2 2 2 3 2" xfId="8634" xr:uid="{00000000-0005-0000-0000-000022210000}"/>
    <cellStyle name="20% - Ênfase6 9 2 2 2 4" xfId="8635" xr:uid="{00000000-0005-0000-0000-000023210000}"/>
    <cellStyle name="20% - Ênfase6 9 2 2 3" xfId="8636" xr:uid="{00000000-0005-0000-0000-000024210000}"/>
    <cellStyle name="20% - Ênfase6 9 2 2 3 2" xfId="8637" xr:uid="{00000000-0005-0000-0000-000025210000}"/>
    <cellStyle name="20% - Ênfase6 9 2 2 4" xfId="8638" xr:uid="{00000000-0005-0000-0000-000026210000}"/>
    <cellStyle name="20% - Ênfase6 9 2 2 4 2" xfId="8639" xr:uid="{00000000-0005-0000-0000-000027210000}"/>
    <cellStyle name="20% - Ênfase6 9 2 2 5" xfId="8640" xr:uid="{00000000-0005-0000-0000-000028210000}"/>
    <cellStyle name="20% - Ênfase6 9 2 3" xfId="8641" xr:uid="{00000000-0005-0000-0000-000029210000}"/>
    <cellStyle name="20% - Ênfase6 9 2 3 2" xfId="8642" xr:uid="{00000000-0005-0000-0000-00002A210000}"/>
    <cellStyle name="20% - Ênfase6 9 2 3 2 2" xfId="8643" xr:uid="{00000000-0005-0000-0000-00002B210000}"/>
    <cellStyle name="20% - Ênfase6 9 2 3 3" xfId="8644" xr:uid="{00000000-0005-0000-0000-00002C210000}"/>
    <cellStyle name="20% - Ênfase6 9 2 3 3 2" xfId="8645" xr:uid="{00000000-0005-0000-0000-00002D210000}"/>
    <cellStyle name="20% - Ênfase6 9 2 3 4" xfId="8646" xr:uid="{00000000-0005-0000-0000-00002E210000}"/>
    <cellStyle name="20% - Ênfase6 9 2 4" xfId="8647" xr:uid="{00000000-0005-0000-0000-00002F210000}"/>
    <cellStyle name="20% - Ênfase6 9 2 4 2" xfId="8648" xr:uid="{00000000-0005-0000-0000-000030210000}"/>
    <cellStyle name="20% - Ênfase6 9 2 4 2 2" xfId="8649" xr:uid="{00000000-0005-0000-0000-000031210000}"/>
    <cellStyle name="20% - Ênfase6 9 2 4 3" xfId="8650" xr:uid="{00000000-0005-0000-0000-000032210000}"/>
    <cellStyle name="20% - Ênfase6 9 2 5" xfId="8651" xr:uid="{00000000-0005-0000-0000-000033210000}"/>
    <cellStyle name="20% - Ênfase6 9 2 5 2" xfId="8652" xr:uid="{00000000-0005-0000-0000-000034210000}"/>
    <cellStyle name="20% - Ênfase6 9 2 6" xfId="8653" xr:uid="{00000000-0005-0000-0000-000035210000}"/>
    <cellStyle name="20% - Ênfase6 9 3" xfId="8654" xr:uid="{00000000-0005-0000-0000-000036210000}"/>
    <cellStyle name="20% - Ênfase6 9 3 2" xfId="8655" xr:uid="{00000000-0005-0000-0000-000037210000}"/>
    <cellStyle name="20% - Ênfase6 9 3 2 2" xfId="8656" xr:uid="{00000000-0005-0000-0000-000038210000}"/>
    <cellStyle name="20% - Ênfase6 9 3 2 2 2" xfId="8657" xr:uid="{00000000-0005-0000-0000-000039210000}"/>
    <cellStyle name="20% - Ênfase6 9 3 2 3" xfId="8658" xr:uid="{00000000-0005-0000-0000-00003A210000}"/>
    <cellStyle name="20% - Ênfase6 9 3 2 3 2" xfId="8659" xr:uid="{00000000-0005-0000-0000-00003B210000}"/>
    <cellStyle name="20% - Ênfase6 9 3 2 4" xfId="8660" xr:uid="{00000000-0005-0000-0000-00003C210000}"/>
    <cellStyle name="20% - Ênfase6 9 3 3" xfId="8661" xr:uid="{00000000-0005-0000-0000-00003D210000}"/>
    <cellStyle name="20% - Ênfase6 9 3 3 2" xfId="8662" xr:uid="{00000000-0005-0000-0000-00003E210000}"/>
    <cellStyle name="20% - Ênfase6 9 3 4" xfId="8663" xr:uid="{00000000-0005-0000-0000-00003F210000}"/>
    <cellStyle name="20% - Ênfase6 9 3 4 2" xfId="8664" xr:uid="{00000000-0005-0000-0000-000040210000}"/>
    <cellStyle name="20% - Ênfase6 9 3 5" xfId="8665" xr:uid="{00000000-0005-0000-0000-000041210000}"/>
    <cellStyle name="20% - Ênfase6 9 4" xfId="8666" xr:uid="{00000000-0005-0000-0000-000042210000}"/>
    <cellStyle name="20% - Ênfase6 9 4 2" xfId="8667" xr:uid="{00000000-0005-0000-0000-000043210000}"/>
    <cellStyle name="20% - Ênfase6 9 4 2 2" xfId="8668" xr:uid="{00000000-0005-0000-0000-000044210000}"/>
    <cellStyle name="20% - Ênfase6 9 4 3" xfId="8669" xr:uid="{00000000-0005-0000-0000-000045210000}"/>
    <cellStyle name="20% - Ênfase6 9 4 3 2" xfId="8670" xr:uid="{00000000-0005-0000-0000-000046210000}"/>
    <cellStyle name="20% - Ênfase6 9 4 4" xfId="8671" xr:uid="{00000000-0005-0000-0000-000047210000}"/>
    <cellStyle name="20% - Ênfase6 9 5" xfId="8672" xr:uid="{00000000-0005-0000-0000-000048210000}"/>
    <cellStyle name="20% - Ênfase6 9 5 2" xfId="8673" xr:uid="{00000000-0005-0000-0000-000049210000}"/>
    <cellStyle name="20% - Ênfase6 9 5 2 2" xfId="8674" xr:uid="{00000000-0005-0000-0000-00004A210000}"/>
    <cellStyle name="20% - Ênfase6 9 5 3" xfId="8675" xr:uid="{00000000-0005-0000-0000-00004B210000}"/>
    <cellStyle name="20% - Ênfase6 9 6" xfId="8676" xr:uid="{00000000-0005-0000-0000-00004C210000}"/>
    <cellStyle name="20% - Ênfase6 9 6 2" xfId="8677" xr:uid="{00000000-0005-0000-0000-00004D210000}"/>
    <cellStyle name="20% - Ênfase6 9 7" xfId="8678" xr:uid="{00000000-0005-0000-0000-00004E210000}"/>
    <cellStyle name="20% - Énfasis1 2" xfId="8679" xr:uid="{00000000-0005-0000-0000-00004F210000}"/>
    <cellStyle name="20% - Énfasis1 2 2" xfId="8680" xr:uid="{00000000-0005-0000-0000-000050210000}"/>
    <cellStyle name="20% - Énfasis1 3" xfId="8681" xr:uid="{00000000-0005-0000-0000-000051210000}"/>
    <cellStyle name="20% - Énfasis1 3 2" xfId="8682" xr:uid="{00000000-0005-0000-0000-000052210000}"/>
    <cellStyle name="20% - Énfasis1 4" xfId="8683" xr:uid="{00000000-0005-0000-0000-000053210000}"/>
    <cellStyle name="20% - Énfasis1 4 2" xfId="8684" xr:uid="{00000000-0005-0000-0000-000054210000}"/>
    <cellStyle name="20% - Énfasis1 5" xfId="8685" xr:uid="{00000000-0005-0000-0000-000055210000}"/>
    <cellStyle name="20% - Énfasis1 5 2" xfId="8686" xr:uid="{00000000-0005-0000-0000-000056210000}"/>
    <cellStyle name="20% - Énfasis1 6" xfId="8687" xr:uid="{00000000-0005-0000-0000-000057210000}"/>
    <cellStyle name="20% - Énfasis1 6 2" xfId="8688" xr:uid="{00000000-0005-0000-0000-000058210000}"/>
    <cellStyle name="20% - Énfasis1 7" xfId="8689" xr:uid="{00000000-0005-0000-0000-000059210000}"/>
    <cellStyle name="20% - Énfasis2 2" xfId="8690" xr:uid="{00000000-0005-0000-0000-00005A210000}"/>
    <cellStyle name="20% - Énfasis2 2 2" xfId="8691" xr:uid="{00000000-0005-0000-0000-00005B210000}"/>
    <cellStyle name="20% - Énfasis2 3" xfId="8692" xr:uid="{00000000-0005-0000-0000-00005C210000}"/>
    <cellStyle name="20% - Énfasis2 3 2" xfId="8693" xr:uid="{00000000-0005-0000-0000-00005D210000}"/>
    <cellStyle name="20% - Énfasis2 4" xfId="8694" xr:uid="{00000000-0005-0000-0000-00005E210000}"/>
    <cellStyle name="20% - Énfasis2 4 2" xfId="8695" xr:uid="{00000000-0005-0000-0000-00005F210000}"/>
    <cellStyle name="20% - Énfasis2 5" xfId="8696" xr:uid="{00000000-0005-0000-0000-000060210000}"/>
    <cellStyle name="20% - Énfasis2 5 2" xfId="8697" xr:uid="{00000000-0005-0000-0000-000061210000}"/>
    <cellStyle name="20% - Énfasis2 6" xfId="8698" xr:uid="{00000000-0005-0000-0000-000062210000}"/>
    <cellStyle name="20% - Énfasis2 6 2" xfId="8699" xr:uid="{00000000-0005-0000-0000-000063210000}"/>
    <cellStyle name="20% - Énfasis2 7" xfId="8700" xr:uid="{00000000-0005-0000-0000-000064210000}"/>
    <cellStyle name="20% - Énfasis3 2" xfId="8701" xr:uid="{00000000-0005-0000-0000-000065210000}"/>
    <cellStyle name="20% - Énfasis3 2 2" xfId="8702" xr:uid="{00000000-0005-0000-0000-000066210000}"/>
    <cellStyle name="20% - Énfasis3 3" xfId="8703" xr:uid="{00000000-0005-0000-0000-000067210000}"/>
    <cellStyle name="20% - Énfasis3 3 2" xfId="8704" xr:uid="{00000000-0005-0000-0000-000068210000}"/>
    <cellStyle name="20% - Énfasis3 4" xfId="8705" xr:uid="{00000000-0005-0000-0000-000069210000}"/>
    <cellStyle name="20% - Énfasis3 4 2" xfId="8706" xr:uid="{00000000-0005-0000-0000-00006A210000}"/>
    <cellStyle name="20% - Énfasis3 5" xfId="8707" xr:uid="{00000000-0005-0000-0000-00006B210000}"/>
    <cellStyle name="20% - Énfasis3 5 2" xfId="8708" xr:uid="{00000000-0005-0000-0000-00006C210000}"/>
    <cellStyle name="20% - Énfasis3 6" xfId="8709" xr:uid="{00000000-0005-0000-0000-00006D210000}"/>
    <cellStyle name="20% - Énfasis3 6 2" xfId="8710" xr:uid="{00000000-0005-0000-0000-00006E210000}"/>
    <cellStyle name="20% - Énfasis3 7" xfId="8711" xr:uid="{00000000-0005-0000-0000-00006F210000}"/>
    <cellStyle name="20% - Énfasis4 2" xfId="8712" xr:uid="{00000000-0005-0000-0000-000070210000}"/>
    <cellStyle name="20% - Énfasis4 2 2" xfId="8713" xr:uid="{00000000-0005-0000-0000-000071210000}"/>
    <cellStyle name="20% - Énfasis4 3" xfId="8714" xr:uid="{00000000-0005-0000-0000-000072210000}"/>
    <cellStyle name="20% - Énfasis4 3 2" xfId="8715" xr:uid="{00000000-0005-0000-0000-000073210000}"/>
    <cellStyle name="20% - Énfasis4 4" xfId="8716" xr:uid="{00000000-0005-0000-0000-000074210000}"/>
    <cellStyle name="20% - Énfasis4 4 2" xfId="8717" xr:uid="{00000000-0005-0000-0000-000075210000}"/>
    <cellStyle name="20% - Énfasis4 5" xfId="8718" xr:uid="{00000000-0005-0000-0000-000076210000}"/>
    <cellStyle name="20% - Énfasis4 5 2" xfId="8719" xr:uid="{00000000-0005-0000-0000-000077210000}"/>
    <cellStyle name="20% - Énfasis4 6" xfId="8720" xr:uid="{00000000-0005-0000-0000-000078210000}"/>
    <cellStyle name="20% - Énfasis4 6 2" xfId="8721" xr:uid="{00000000-0005-0000-0000-000079210000}"/>
    <cellStyle name="20% - Énfasis4 7" xfId="8722" xr:uid="{00000000-0005-0000-0000-00007A210000}"/>
    <cellStyle name="20% - Énfasis5 2" xfId="8723" xr:uid="{00000000-0005-0000-0000-00007B210000}"/>
    <cellStyle name="20% - Énfasis5 2 2" xfId="8724" xr:uid="{00000000-0005-0000-0000-00007C210000}"/>
    <cellStyle name="20% - Énfasis5 3" xfId="8725" xr:uid="{00000000-0005-0000-0000-00007D210000}"/>
    <cellStyle name="20% - Énfasis5 3 2" xfId="8726" xr:uid="{00000000-0005-0000-0000-00007E210000}"/>
    <cellStyle name="20% - Énfasis5 4" xfId="8727" xr:uid="{00000000-0005-0000-0000-00007F210000}"/>
    <cellStyle name="20% - Énfasis5 4 2" xfId="8728" xr:uid="{00000000-0005-0000-0000-000080210000}"/>
    <cellStyle name="20% - Énfasis5 5" xfId="8729" xr:uid="{00000000-0005-0000-0000-000081210000}"/>
    <cellStyle name="20% - Énfasis5 5 2" xfId="8730" xr:uid="{00000000-0005-0000-0000-000082210000}"/>
    <cellStyle name="20% - Énfasis5 6" xfId="8731" xr:uid="{00000000-0005-0000-0000-000083210000}"/>
    <cellStyle name="20% - Énfasis5 6 2" xfId="8732" xr:uid="{00000000-0005-0000-0000-000084210000}"/>
    <cellStyle name="20% - Énfasis5 7" xfId="8733" xr:uid="{00000000-0005-0000-0000-000085210000}"/>
    <cellStyle name="20% - Énfasis6 2" xfId="8734" xr:uid="{00000000-0005-0000-0000-000086210000}"/>
    <cellStyle name="20% - Énfasis6 2 2" xfId="8735" xr:uid="{00000000-0005-0000-0000-000087210000}"/>
    <cellStyle name="20% - Énfasis6 3" xfId="8736" xr:uid="{00000000-0005-0000-0000-000088210000}"/>
    <cellStyle name="20% - Énfasis6 3 2" xfId="8737" xr:uid="{00000000-0005-0000-0000-000089210000}"/>
    <cellStyle name="20% - Énfasis6 4" xfId="8738" xr:uid="{00000000-0005-0000-0000-00008A210000}"/>
    <cellStyle name="20% - Énfasis6 4 2" xfId="8739" xr:uid="{00000000-0005-0000-0000-00008B210000}"/>
    <cellStyle name="20% - Énfasis6 5" xfId="8740" xr:uid="{00000000-0005-0000-0000-00008C210000}"/>
    <cellStyle name="20% - Énfasis6 5 2" xfId="8741" xr:uid="{00000000-0005-0000-0000-00008D210000}"/>
    <cellStyle name="20% - Énfasis6 6" xfId="8742" xr:uid="{00000000-0005-0000-0000-00008E210000}"/>
    <cellStyle name="20% - Énfasis6 6 2" xfId="8743" xr:uid="{00000000-0005-0000-0000-00008F210000}"/>
    <cellStyle name="20% - Énfasis6 7" xfId="8744" xr:uid="{00000000-0005-0000-0000-000090210000}"/>
    <cellStyle name="3988,43" xfId="8745" xr:uid="{00000000-0005-0000-0000-000091210000}"/>
    <cellStyle name="4" xfId="8746" xr:uid="{00000000-0005-0000-0000-000092210000}"/>
    <cellStyle name="4_CxControle" xfId="8747" xr:uid="{00000000-0005-0000-0000-000093210000}"/>
    <cellStyle name="4_DryPort (10 ago 2010)" xfId="8748" xr:uid="{00000000-0005-0000-0000-000094210000}"/>
    <cellStyle name="4_Fluxo DryPort 30_08_2010" xfId="8749" xr:uid="{00000000-0005-0000-0000-000095210000}"/>
    <cellStyle name="4_PerdasCOPEcasan" xfId="8750" xr:uid="{00000000-0005-0000-0000-000096210000}"/>
    <cellStyle name="40% - Accent1" xfId="30" xr:uid="{00000000-0005-0000-0000-000097210000}"/>
    <cellStyle name="40% - Accent1 2" xfId="8751" xr:uid="{00000000-0005-0000-0000-000098210000}"/>
    <cellStyle name="40% - Accent1 3" xfId="8752" xr:uid="{00000000-0005-0000-0000-000099210000}"/>
    <cellStyle name="40% - Accent2" xfId="31" xr:uid="{00000000-0005-0000-0000-00009A210000}"/>
    <cellStyle name="40% - Accent2 2" xfId="8753" xr:uid="{00000000-0005-0000-0000-00009B210000}"/>
    <cellStyle name="40% - Accent2 3" xfId="8754" xr:uid="{00000000-0005-0000-0000-00009C210000}"/>
    <cellStyle name="40% - Accent3" xfId="32" xr:uid="{00000000-0005-0000-0000-00009D210000}"/>
    <cellStyle name="40% - Accent3 2" xfId="8755" xr:uid="{00000000-0005-0000-0000-00009E210000}"/>
    <cellStyle name="40% - Accent3 3" xfId="8756" xr:uid="{00000000-0005-0000-0000-00009F210000}"/>
    <cellStyle name="40% - Accent4" xfId="33" xr:uid="{00000000-0005-0000-0000-0000A0210000}"/>
    <cellStyle name="40% - Accent4 2" xfId="8757" xr:uid="{00000000-0005-0000-0000-0000A1210000}"/>
    <cellStyle name="40% - Accent4 3" xfId="8758" xr:uid="{00000000-0005-0000-0000-0000A2210000}"/>
    <cellStyle name="40% - Accent5" xfId="34" xr:uid="{00000000-0005-0000-0000-0000A3210000}"/>
    <cellStyle name="40% - Accent5 2" xfId="8759" xr:uid="{00000000-0005-0000-0000-0000A4210000}"/>
    <cellStyle name="40% - Accent5 3" xfId="8760" xr:uid="{00000000-0005-0000-0000-0000A5210000}"/>
    <cellStyle name="40% - Accent6" xfId="35" xr:uid="{00000000-0005-0000-0000-0000A6210000}"/>
    <cellStyle name="40% - Accent6 2" xfId="8761" xr:uid="{00000000-0005-0000-0000-0000A7210000}"/>
    <cellStyle name="40% - Accent6 3" xfId="8762" xr:uid="{00000000-0005-0000-0000-0000A8210000}"/>
    <cellStyle name="40% - Ênfase1 10" xfId="8763" xr:uid="{00000000-0005-0000-0000-0000A9210000}"/>
    <cellStyle name="40% - Ênfase1 10 2" xfId="8764" xr:uid="{00000000-0005-0000-0000-0000AA210000}"/>
    <cellStyle name="40% - Ênfase1 10 2 2" xfId="8765" xr:uid="{00000000-0005-0000-0000-0000AB210000}"/>
    <cellStyle name="40% - Ênfase1 10 2 2 2" xfId="8766" xr:uid="{00000000-0005-0000-0000-0000AC210000}"/>
    <cellStyle name="40% - Ênfase1 10 2 2 2 2" xfId="8767" xr:uid="{00000000-0005-0000-0000-0000AD210000}"/>
    <cellStyle name="40% - Ênfase1 10 2 2 2 2 2" xfId="8768" xr:uid="{00000000-0005-0000-0000-0000AE210000}"/>
    <cellStyle name="40% - Ênfase1 10 2 2 2 3" xfId="8769" xr:uid="{00000000-0005-0000-0000-0000AF210000}"/>
    <cellStyle name="40% - Ênfase1 10 2 2 2 3 2" xfId="8770" xr:uid="{00000000-0005-0000-0000-0000B0210000}"/>
    <cellStyle name="40% - Ênfase1 10 2 2 2 4" xfId="8771" xr:uid="{00000000-0005-0000-0000-0000B1210000}"/>
    <cellStyle name="40% - Ênfase1 10 2 2 3" xfId="8772" xr:uid="{00000000-0005-0000-0000-0000B2210000}"/>
    <cellStyle name="40% - Ênfase1 10 2 2 3 2" xfId="8773" xr:uid="{00000000-0005-0000-0000-0000B3210000}"/>
    <cellStyle name="40% - Ênfase1 10 2 2 4" xfId="8774" xr:uid="{00000000-0005-0000-0000-0000B4210000}"/>
    <cellStyle name="40% - Ênfase1 10 2 2 4 2" xfId="8775" xr:uid="{00000000-0005-0000-0000-0000B5210000}"/>
    <cellStyle name="40% - Ênfase1 10 2 2 5" xfId="8776" xr:uid="{00000000-0005-0000-0000-0000B6210000}"/>
    <cellStyle name="40% - Ênfase1 10 2 3" xfId="8777" xr:uid="{00000000-0005-0000-0000-0000B7210000}"/>
    <cellStyle name="40% - Ênfase1 10 2 3 2" xfId="8778" xr:uid="{00000000-0005-0000-0000-0000B8210000}"/>
    <cellStyle name="40% - Ênfase1 10 2 3 2 2" xfId="8779" xr:uid="{00000000-0005-0000-0000-0000B9210000}"/>
    <cellStyle name="40% - Ênfase1 10 2 3 3" xfId="8780" xr:uid="{00000000-0005-0000-0000-0000BA210000}"/>
    <cellStyle name="40% - Ênfase1 10 2 3 3 2" xfId="8781" xr:uid="{00000000-0005-0000-0000-0000BB210000}"/>
    <cellStyle name="40% - Ênfase1 10 2 3 4" xfId="8782" xr:uid="{00000000-0005-0000-0000-0000BC210000}"/>
    <cellStyle name="40% - Ênfase1 10 2 4" xfId="8783" xr:uid="{00000000-0005-0000-0000-0000BD210000}"/>
    <cellStyle name="40% - Ênfase1 10 2 4 2" xfId="8784" xr:uid="{00000000-0005-0000-0000-0000BE210000}"/>
    <cellStyle name="40% - Ênfase1 10 2 4 2 2" xfId="8785" xr:uid="{00000000-0005-0000-0000-0000BF210000}"/>
    <cellStyle name="40% - Ênfase1 10 2 4 3" xfId="8786" xr:uid="{00000000-0005-0000-0000-0000C0210000}"/>
    <cellStyle name="40% - Ênfase1 10 2 5" xfId="8787" xr:uid="{00000000-0005-0000-0000-0000C1210000}"/>
    <cellStyle name="40% - Ênfase1 10 2 5 2" xfId="8788" xr:uid="{00000000-0005-0000-0000-0000C2210000}"/>
    <cellStyle name="40% - Ênfase1 10 2 6" xfId="8789" xr:uid="{00000000-0005-0000-0000-0000C3210000}"/>
    <cellStyle name="40% - Ênfase1 10 3" xfId="8790" xr:uid="{00000000-0005-0000-0000-0000C4210000}"/>
    <cellStyle name="40% - Ênfase1 10 3 2" xfId="8791" xr:uid="{00000000-0005-0000-0000-0000C5210000}"/>
    <cellStyle name="40% - Ênfase1 10 3 2 2" xfId="8792" xr:uid="{00000000-0005-0000-0000-0000C6210000}"/>
    <cellStyle name="40% - Ênfase1 10 3 2 2 2" xfId="8793" xr:uid="{00000000-0005-0000-0000-0000C7210000}"/>
    <cellStyle name="40% - Ênfase1 10 3 2 3" xfId="8794" xr:uid="{00000000-0005-0000-0000-0000C8210000}"/>
    <cellStyle name="40% - Ênfase1 10 3 2 3 2" xfId="8795" xr:uid="{00000000-0005-0000-0000-0000C9210000}"/>
    <cellStyle name="40% - Ênfase1 10 3 2 4" xfId="8796" xr:uid="{00000000-0005-0000-0000-0000CA210000}"/>
    <cellStyle name="40% - Ênfase1 10 3 3" xfId="8797" xr:uid="{00000000-0005-0000-0000-0000CB210000}"/>
    <cellStyle name="40% - Ênfase1 10 3 3 2" xfId="8798" xr:uid="{00000000-0005-0000-0000-0000CC210000}"/>
    <cellStyle name="40% - Ênfase1 10 3 4" xfId="8799" xr:uid="{00000000-0005-0000-0000-0000CD210000}"/>
    <cellStyle name="40% - Ênfase1 10 3 4 2" xfId="8800" xr:uid="{00000000-0005-0000-0000-0000CE210000}"/>
    <cellStyle name="40% - Ênfase1 10 3 5" xfId="8801" xr:uid="{00000000-0005-0000-0000-0000CF210000}"/>
    <cellStyle name="40% - Ênfase1 10 4" xfId="8802" xr:uid="{00000000-0005-0000-0000-0000D0210000}"/>
    <cellStyle name="40% - Ênfase1 10 4 2" xfId="8803" xr:uid="{00000000-0005-0000-0000-0000D1210000}"/>
    <cellStyle name="40% - Ênfase1 10 4 2 2" xfId="8804" xr:uid="{00000000-0005-0000-0000-0000D2210000}"/>
    <cellStyle name="40% - Ênfase1 10 4 3" xfId="8805" xr:uid="{00000000-0005-0000-0000-0000D3210000}"/>
    <cellStyle name="40% - Ênfase1 10 4 3 2" xfId="8806" xr:uid="{00000000-0005-0000-0000-0000D4210000}"/>
    <cellStyle name="40% - Ênfase1 10 4 4" xfId="8807" xr:uid="{00000000-0005-0000-0000-0000D5210000}"/>
    <cellStyle name="40% - Ênfase1 10 5" xfId="8808" xr:uid="{00000000-0005-0000-0000-0000D6210000}"/>
    <cellStyle name="40% - Ênfase1 10 5 2" xfId="8809" xr:uid="{00000000-0005-0000-0000-0000D7210000}"/>
    <cellStyle name="40% - Ênfase1 10 5 2 2" xfId="8810" xr:uid="{00000000-0005-0000-0000-0000D8210000}"/>
    <cellStyle name="40% - Ênfase1 10 5 3" xfId="8811" xr:uid="{00000000-0005-0000-0000-0000D9210000}"/>
    <cellStyle name="40% - Ênfase1 10 6" xfId="8812" xr:uid="{00000000-0005-0000-0000-0000DA210000}"/>
    <cellStyle name="40% - Ênfase1 10 6 2" xfId="8813" xr:uid="{00000000-0005-0000-0000-0000DB210000}"/>
    <cellStyle name="40% - Ênfase1 10 7" xfId="8814" xr:uid="{00000000-0005-0000-0000-0000DC210000}"/>
    <cellStyle name="40% - Ênfase1 11" xfId="8815" xr:uid="{00000000-0005-0000-0000-0000DD210000}"/>
    <cellStyle name="40% - Ênfase1 11 2" xfId="8816" xr:uid="{00000000-0005-0000-0000-0000DE210000}"/>
    <cellStyle name="40% - Ênfase1 11 2 2" xfId="8817" xr:uid="{00000000-0005-0000-0000-0000DF210000}"/>
    <cellStyle name="40% - Ênfase1 11 2 2 2" xfId="8818" xr:uid="{00000000-0005-0000-0000-0000E0210000}"/>
    <cellStyle name="40% - Ênfase1 11 2 2 2 2" xfId="8819" xr:uid="{00000000-0005-0000-0000-0000E1210000}"/>
    <cellStyle name="40% - Ênfase1 11 2 2 2 2 2" xfId="8820" xr:uid="{00000000-0005-0000-0000-0000E2210000}"/>
    <cellStyle name="40% - Ênfase1 11 2 2 2 3" xfId="8821" xr:uid="{00000000-0005-0000-0000-0000E3210000}"/>
    <cellStyle name="40% - Ênfase1 11 2 2 2 3 2" xfId="8822" xr:uid="{00000000-0005-0000-0000-0000E4210000}"/>
    <cellStyle name="40% - Ênfase1 11 2 2 2 4" xfId="8823" xr:uid="{00000000-0005-0000-0000-0000E5210000}"/>
    <cellStyle name="40% - Ênfase1 11 2 2 3" xfId="8824" xr:uid="{00000000-0005-0000-0000-0000E6210000}"/>
    <cellStyle name="40% - Ênfase1 11 2 2 3 2" xfId="8825" xr:uid="{00000000-0005-0000-0000-0000E7210000}"/>
    <cellStyle name="40% - Ênfase1 11 2 2 4" xfId="8826" xr:uid="{00000000-0005-0000-0000-0000E8210000}"/>
    <cellStyle name="40% - Ênfase1 11 2 2 4 2" xfId="8827" xr:uid="{00000000-0005-0000-0000-0000E9210000}"/>
    <cellStyle name="40% - Ênfase1 11 2 2 5" xfId="8828" xr:uid="{00000000-0005-0000-0000-0000EA210000}"/>
    <cellStyle name="40% - Ênfase1 11 2 3" xfId="8829" xr:uid="{00000000-0005-0000-0000-0000EB210000}"/>
    <cellStyle name="40% - Ênfase1 11 2 3 2" xfId="8830" xr:uid="{00000000-0005-0000-0000-0000EC210000}"/>
    <cellStyle name="40% - Ênfase1 11 2 3 2 2" xfId="8831" xr:uid="{00000000-0005-0000-0000-0000ED210000}"/>
    <cellStyle name="40% - Ênfase1 11 2 3 3" xfId="8832" xr:uid="{00000000-0005-0000-0000-0000EE210000}"/>
    <cellStyle name="40% - Ênfase1 11 2 3 3 2" xfId="8833" xr:uid="{00000000-0005-0000-0000-0000EF210000}"/>
    <cellStyle name="40% - Ênfase1 11 2 3 4" xfId="8834" xr:uid="{00000000-0005-0000-0000-0000F0210000}"/>
    <cellStyle name="40% - Ênfase1 11 2 4" xfId="8835" xr:uid="{00000000-0005-0000-0000-0000F1210000}"/>
    <cellStyle name="40% - Ênfase1 11 2 4 2" xfId="8836" xr:uid="{00000000-0005-0000-0000-0000F2210000}"/>
    <cellStyle name="40% - Ênfase1 11 2 4 2 2" xfId="8837" xr:uid="{00000000-0005-0000-0000-0000F3210000}"/>
    <cellStyle name="40% - Ênfase1 11 2 4 3" xfId="8838" xr:uid="{00000000-0005-0000-0000-0000F4210000}"/>
    <cellStyle name="40% - Ênfase1 11 2 5" xfId="8839" xr:uid="{00000000-0005-0000-0000-0000F5210000}"/>
    <cellStyle name="40% - Ênfase1 11 2 5 2" xfId="8840" xr:uid="{00000000-0005-0000-0000-0000F6210000}"/>
    <cellStyle name="40% - Ênfase1 11 2 6" xfId="8841" xr:uid="{00000000-0005-0000-0000-0000F7210000}"/>
    <cellStyle name="40% - Ênfase1 11 3" xfId="8842" xr:uid="{00000000-0005-0000-0000-0000F8210000}"/>
    <cellStyle name="40% - Ênfase1 11 3 2" xfId="8843" xr:uid="{00000000-0005-0000-0000-0000F9210000}"/>
    <cellStyle name="40% - Ênfase1 11 3 2 2" xfId="8844" xr:uid="{00000000-0005-0000-0000-0000FA210000}"/>
    <cellStyle name="40% - Ênfase1 11 3 2 2 2" xfId="8845" xr:uid="{00000000-0005-0000-0000-0000FB210000}"/>
    <cellStyle name="40% - Ênfase1 11 3 2 3" xfId="8846" xr:uid="{00000000-0005-0000-0000-0000FC210000}"/>
    <cellStyle name="40% - Ênfase1 11 3 2 3 2" xfId="8847" xr:uid="{00000000-0005-0000-0000-0000FD210000}"/>
    <cellStyle name="40% - Ênfase1 11 3 2 4" xfId="8848" xr:uid="{00000000-0005-0000-0000-0000FE210000}"/>
    <cellStyle name="40% - Ênfase1 11 3 3" xfId="8849" xr:uid="{00000000-0005-0000-0000-0000FF210000}"/>
    <cellStyle name="40% - Ênfase1 11 3 3 2" xfId="8850" xr:uid="{00000000-0005-0000-0000-000000220000}"/>
    <cellStyle name="40% - Ênfase1 11 3 4" xfId="8851" xr:uid="{00000000-0005-0000-0000-000001220000}"/>
    <cellStyle name="40% - Ênfase1 11 3 4 2" xfId="8852" xr:uid="{00000000-0005-0000-0000-000002220000}"/>
    <cellStyle name="40% - Ênfase1 11 3 5" xfId="8853" xr:uid="{00000000-0005-0000-0000-000003220000}"/>
    <cellStyle name="40% - Ênfase1 11 4" xfId="8854" xr:uid="{00000000-0005-0000-0000-000004220000}"/>
    <cellStyle name="40% - Ênfase1 11 4 2" xfId="8855" xr:uid="{00000000-0005-0000-0000-000005220000}"/>
    <cellStyle name="40% - Ênfase1 11 4 2 2" xfId="8856" xr:uid="{00000000-0005-0000-0000-000006220000}"/>
    <cellStyle name="40% - Ênfase1 11 4 3" xfId="8857" xr:uid="{00000000-0005-0000-0000-000007220000}"/>
    <cellStyle name="40% - Ênfase1 11 4 3 2" xfId="8858" xr:uid="{00000000-0005-0000-0000-000008220000}"/>
    <cellStyle name="40% - Ênfase1 11 4 4" xfId="8859" xr:uid="{00000000-0005-0000-0000-000009220000}"/>
    <cellStyle name="40% - Ênfase1 11 5" xfId="8860" xr:uid="{00000000-0005-0000-0000-00000A220000}"/>
    <cellStyle name="40% - Ênfase1 11 5 2" xfId="8861" xr:uid="{00000000-0005-0000-0000-00000B220000}"/>
    <cellStyle name="40% - Ênfase1 11 5 2 2" xfId="8862" xr:uid="{00000000-0005-0000-0000-00000C220000}"/>
    <cellStyle name="40% - Ênfase1 11 5 3" xfId="8863" xr:uid="{00000000-0005-0000-0000-00000D220000}"/>
    <cellStyle name="40% - Ênfase1 11 6" xfId="8864" xr:uid="{00000000-0005-0000-0000-00000E220000}"/>
    <cellStyle name="40% - Ênfase1 11 6 2" xfId="8865" xr:uid="{00000000-0005-0000-0000-00000F220000}"/>
    <cellStyle name="40% - Ênfase1 11 7" xfId="8866" xr:uid="{00000000-0005-0000-0000-000010220000}"/>
    <cellStyle name="40% - Ênfase1 12" xfId="8867" xr:uid="{00000000-0005-0000-0000-000011220000}"/>
    <cellStyle name="40% - Ênfase1 12 2" xfId="8868" xr:uid="{00000000-0005-0000-0000-000012220000}"/>
    <cellStyle name="40% - Ênfase1 12 2 2" xfId="8869" xr:uid="{00000000-0005-0000-0000-000013220000}"/>
    <cellStyle name="40% - Ênfase1 12 2 2 2" xfId="8870" xr:uid="{00000000-0005-0000-0000-000014220000}"/>
    <cellStyle name="40% - Ênfase1 12 2 2 2 2" xfId="8871" xr:uid="{00000000-0005-0000-0000-000015220000}"/>
    <cellStyle name="40% - Ênfase1 12 2 2 2 2 2" xfId="8872" xr:uid="{00000000-0005-0000-0000-000016220000}"/>
    <cellStyle name="40% - Ênfase1 12 2 2 2 3" xfId="8873" xr:uid="{00000000-0005-0000-0000-000017220000}"/>
    <cellStyle name="40% - Ênfase1 12 2 2 2 3 2" xfId="8874" xr:uid="{00000000-0005-0000-0000-000018220000}"/>
    <cellStyle name="40% - Ênfase1 12 2 2 2 4" xfId="8875" xr:uid="{00000000-0005-0000-0000-000019220000}"/>
    <cellStyle name="40% - Ênfase1 12 2 2 3" xfId="8876" xr:uid="{00000000-0005-0000-0000-00001A220000}"/>
    <cellStyle name="40% - Ênfase1 12 2 2 3 2" xfId="8877" xr:uid="{00000000-0005-0000-0000-00001B220000}"/>
    <cellStyle name="40% - Ênfase1 12 2 2 4" xfId="8878" xr:uid="{00000000-0005-0000-0000-00001C220000}"/>
    <cellStyle name="40% - Ênfase1 12 2 2 4 2" xfId="8879" xr:uid="{00000000-0005-0000-0000-00001D220000}"/>
    <cellStyle name="40% - Ênfase1 12 2 2 5" xfId="8880" xr:uid="{00000000-0005-0000-0000-00001E220000}"/>
    <cellStyle name="40% - Ênfase1 12 2 3" xfId="8881" xr:uid="{00000000-0005-0000-0000-00001F220000}"/>
    <cellStyle name="40% - Ênfase1 12 2 3 2" xfId="8882" xr:uid="{00000000-0005-0000-0000-000020220000}"/>
    <cellStyle name="40% - Ênfase1 12 2 3 2 2" xfId="8883" xr:uid="{00000000-0005-0000-0000-000021220000}"/>
    <cellStyle name="40% - Ênfase1 12 2 3 3" xfId="8884" xr:uid="{00000000-0005-0000-0000-000022220000}"/>
    <cellStyle name="40% - Ênfase1 12 2 3 3 2" xfId="8885" xr:uid="{00000000-0005-0000-0000-000023220000}"/>
    <cellStyle name="40% - Ênfase1 12 2 3 4" xfId="8886" xr:uid="{00000000-0005-0000-0000-000024220000}"/>
    <cellStyle name="40% - Ênfase1 12 2 4" xfId="8887" xr:uid="{00000000-0005-0000-0000-000025220000}"/>
    <cellStyle name="40% - Ênfase1 12 2 4 2" xfId="8888" xr:uid="{00000000-0005-0000-0000-000026220000}"/>
    <cellStyle name="40% - Ênfase1 12 2 4 2 2" xfId="8889" xr:uid="{00000000-0005-0000-0000-000027220000}"/>
    <cellStyle name="40% - Ênfase1 12 2 4 3" xfId="8890" xr:uid="{00000000-0005-0000-0000-000028220000}"/>
    <cellStyle name="40% - Ênfase1 12 2 5" xfId="8891" xr:uid="{00000000-0005-0000-0000-000029220000}"/>
    <cellStyle name="40% - Ênfase1 12 2 5 2" xfId="8892" xr:uid="{00000000-0005-0000-0000-00002A220000}"/>
    <cellStyle name="40% - Ênfase1 12 2 6" xfId="8893" xr:uid="{00000000-0005-0000-0000-00002B220000}"/>
    <cellStyle name="40% - Ênfase1 12 3" xfId="8894" xr:uid="{00000000-0005-0000-0000-00002C220000}"/>
    <cellStyle name="40% - Ênfase1 12 3 2" xfId="8895" xr:uid="{00000000-0005-0000-0000-00002D220000}"/>
    <cellStyle name="40% - Ênfase1 12 3 2 2" xfId="8896" xr:uid="{00000000-0005-0000-0000-00002E220000}"/>
    <cellStyle name="40% - Ênfase1 12 3 2 2 2" xfId="8897" xr:uid="{00000000-0005-0000-0000-00002F220000}"/>
    <cellStyle name="40% - Ênfase1 12 3 2 3" xfId="8898" xr:uid="{00000000-0005-0000-0000-000030220000}"/>
    <cellStyle name="40% - Ênfase1 12 3 2 3 2" xfId="8899" xr:uid="{00000000-0005-0000-0000-000031220000}"/>
    <cellStyle name="40% - Ênfase1 12 3 2 4" xfId="8900" xr:uid="{00000000-0005-0000-0000-000032220000}"/>
    <cellStyle name="40% - Ênfase1 12 3 3" xfId="8901" xr:uid="{00000000-0005-0000-0000-000033220000}"/>
    <cellStyle name="40% - Ênfase1 12 3 3 2" xfId="8902" xr:uid="{00000000-0005-0000-0000-000034220000}"/>
    <cellStyle name="40% - Ênfase1 12 3 4" xfId="8903" xr:uid="{00000000-0005-0000-0000-000035220000}"/>
    <cellStyle name="40% - Ênfase1 12 3 4 2" xfId="8904" xr:uid="{00000000-0005-0000-0000-000036220000}"/>
    <cellStyle name="40% - Ênfase1 12 3 5" xfId="8905" xr:uid="{00000000-0005-0000-0000-000037220000}"/>
    <cellStyle name="40% - Ênfase1 12 4" xfId="8906" xr:uid="{00000000-0005-0000-0000-000038220000}"/>
    <cellStyle name="40% - Ênfase1 12 4 2" xfId="8907" xr:uid="{00000000-0005-0000-0000-000039220000}"/>
    <cellStyle name="40% - Ênfase1 12 4 2 2" xfId="8908" xr:uid="{00000000-0005-0000-0000-00003A220000}"/>
    <cellStyle name="40% - Ênfase1 12 4 3" xfId="8909" xr:uid="{00000000-0005-0000-0000-00003B220000}"/>
    <cellStyle name="40% - Ênfase1 12 4 3 2" xfId="8910" xr:uid="{00000000-0005-0000-0000-00003C220000}"/>
    <cellStyle name="40% - Ênfase1 12 4 4" xfId="8911" xr:uid="{00000000-0005-0000-0000-00003D220000}"/>
    <cellStyle name="40% - Ênfase1 12 5" xfId="8912" xr:uid="{00000000-0005-0000-0000-00003E220000}"/>
    <cellStyle name="40% - Ênfase1 12 5 2" xfId="8913" xr:uid="{00000000-0005-0000-0000-00003F220000}"/>
    <cellStyle name="40% - Ênfase1 12 5 2 2" xfId="8914" xr:uid="{00000000-0005-0000-0000-000040220000}"/>
    <cellStyle name="40% - Ênfase1 12 5 3" xfId="8915" xr:uid="{00000000-0005-0000-0000-000041220000}"/>
    <cellStyle name="40% - Ênfase1 12 6" xfId="8916" xr:uid="{00000000-0005-0000-0000-000042220000}"/>
    <cellStyle name="40% - Ênfase1 12 6 2" xfId="8917" xr:uid="{00000000-0005-0000-0000-000043220000}"/>
    <cellStyle name="40% - Ênfase1 12 7" xfId="8918" xr:uid="{00000000-0005-0000-0000-000044220000}"/>
    <cellStyle name="40% - Ênfase1 13" xfId="8919" xr:uid="{00000000-0005-0000-0000-000045220000}"/>
    <cellStyle name="40% - Ênfase1 13 2" xfId="8920" xr:uid="{00000000-0005-0000-0000-000046220000}"/>
    <cellStyle name="40% - Ênfase1 13 2 2" xfId="8921" xr:uid="{00000000-0005-0000-0000-000047220000}"/>
    <cellStyle name="40% - Ênfase1 13 2 2 2" xfId="8922" xr:uid="{00000000-0005-0000-0000-000048220000}"/>
    <cellStyle name="40% - Ênfase1 13 2 2 2 2" xfId="8923" xr:uid="{00000000-0005-0000-0000-000049220000}"/>
    <cellStyle name="40% - Ênfase1 13 2 2 2 2 2" xfId="8924" xr:uid="{00000000-0005-0000-0000-00004A220000}"/>
    <cellStyle name="40% - Ênfase1 13 2 2 2 3" xfId="8925" xr:uid="{00000000-0005-0000-0000-00004B220000}"/>
    <cellStyle name="40% - Ênfase1 13 2 2 2 3 2" xfId="8926" xr:uid="{00000000-0005-0000-0000-00004C220000}"/>
    <cellStyle name="40% - Ênfase1 13 2 2 2 4" xfId="8927" xr:uid="{00000000-0005-0000-0000-00004D220000}"/>
    <cellStyle name="40% - Ênfase1 13 2 2 3" xfId="8928" xr:uid="{00000000-0005-0000-0000-00004E220000}"/>
    <cellStyle name="40% - Ênfase1 13 2 2 3 2" xfId="8929" xr:uid="{00000000-0005-0000-0000-00004F220000}"/>
    <cellStyle name="40% - Ênfase1 13 2 2 4" xfId="8930" xr:uid="{00000000-0005-0000-0000-000050220000}"/>
    <cellStyle name="40% - Ênfase1 13 2 2 4 2" xfId="8931" xr:uid="{00000000-0005-0000-0000-000051220000}"/>
    <cellStyle name="40% - Ênfase1 13 2 2 5" xfId="8932" xr:uid="{00000000-0005-0000-0000-000052220000}"/>
    <cellStyle name="40% - Ênfase1 13 2 3" xfId="8933" xr:uid="{00000000-0005-0000-0000-000053220000}"/>
    <cellStyle name="40% - Ênfase1 13 2 3 2" xfId="8934" xr:uid="{00000000-0005-0000-0000-000054220000}"/>
    <cellStyle name="40% - Ênfase1 13 2 3 2 2" xfId="8935" xr:uid="{00000000-0005-0000-0000-000055220000}"/>
    <cellStyle name="40% - Ênfase1 13 2 3 3" xfId="8936" xr:uid="{00000000-0005-0000-0000-000056220000}"/>
    <cellStyle name="40% - Ênfase1 13 2 3 3 2" xfId="8937" xr:uid="{00000000-0005-0000-0000-000057220000}"/>
    <cellStyle name="40% - Ênfase1 13 2 3 4" xfId="8938" xr:uid="{00000000-0005-0000-0000-000058220000}"/>
    <cellStyle name="40% - Ênfase1 13 2 4" xfId="8939" xr:uid="{00000000-0005-0000-0000-000059220000}"/>
    <cellStyle name="40% - Ênfase1 13 2 4 2" xfId="8940" xr:uid="{00000000-0005-0000-0000-00005A220000}"/>
    <cellStyle name="40% - Ênfase1 13 2 4 2 2" xfId="8941" xr:uid="{00000000-0005-0000-0000-00005B220000}"/>
    <cellStyle name="40% - Ênfase1 13 2 4 3" xfId="8942" xr:uid="{00000000-0005-0000-0000-00005C220000}"/>
    <cellStyle name="40% - Ênfase1 13 2 5" xfId="8943" xr:uid="{00000000-0005-0000-0000-00005D220000}"/>
    <cellStyle name="40% - Ênfase1 13 2 5 2" xfId="8944" xr:uid="{00000000-0005-0000-0000-00005E220000}"/>
    <cellStyle name="40% - Ênfase1 13 2 6" xfId="8945" xr:uid="{00000000-0005-0000-0000-00005F220000}"/>
    <cellStyle name="40% - Ênfase1 13 3" xfId="8946" xr:uid="{00000000-0005-0000-0000-000060220000}"/>
    <cellStyle name="40% - Ênfase1 13 3 2" xfId="8947" xr:uid="{00000000-0005-0000-0000-000061220000}"/>
    <cellStyle name="40% - Ênfase1 13 3 2 2" xfId="8948" xr:uid="{00000000-0005-0000-0000-000062220000}"/>
    <cellStyle name="40% - Ênfase1 13 3 2 2 2" xfId="8949" xr:uid="{00000000-0005-0000-0000-000063220000}"/>
    <cellStyle name="40% - Ênfase1 13 3 2 3" xfId="8950" xr:uid="{00000000-0005-0000-0000-000064220000}"/>
    <cellStyle name="40% - Ênfase1 13 3 2 3 2" xfId="8951" xr:uid="{00000000-0005-0000-0000-000065220000}"/>
    <cellStyle name="40% - Ênfase1 13 3 2 4" xfId="8952" xr:uid="{00000000-0005-0000-0000-000066220000}"/>
    <cellStyle name="40% - Ênfase1 13 3 3" xfId="8953" xr:uid="{00000000-0005-0000-0000-000067220000}"/>
    <cellStyle name="40% - Ênfase1 13 3 3 2" xfId="8954" xr:uid="{00000000-0005-0000-0000-000068220000}"/>
    <cellStyle name="40% - Ênfase1 13 3 4" xfId="8955" xr:uid="{00000000-0005-0000-0000-000069220000}"/>
    <cellStyle name="40% - Ênfase1 13 3 4 2" xfId="8956" xr:uid="{00000000-0005-0000-0000-00006A220000}"/>
    <cellStyle name="40% - Ênfase1 13 3 5" xfId="8957" xr:uid="{00000000-0005-0000-0000-00006B220000}"/>
    <cellStyle name="40% - Ênfase1 13 4" xfId="8958" xr:uid="{00000000-0005-0000-0000-00006C220000}"/>
    <cellStyle name="40% - Ênfase1 13 4 2" xfId="8959" xr:uid="{00000000-0005-0000-0000-00006D220000}"/>
    <cellStyle name="40% - Ênfase1 13 4 2 2" xfId="8960" xr:uid="{00000000-0005-0000-0000-00006E220000}"/>
    <cellStyle name="40% - Ênfase1 13 4 3" xfId="8961" xr:uid="{00000000-0005-0000-0000-00006F220000}"/>
    <cellStyle name="40% - Ênfase1 13 4 3 2" xfId="8962" xr:uid="{00000000-0005-0000-0000-000070220000}"/>
    <cellStyle name="40% - Ênfase1 13 4 4" xfId="8963" xr:uid="{00000000-0005-0000-0000-000071220000}"/>
    <cellStyle name="40% - Ênfase1 13 5" xfId="8964" xr:uid="{00000000-0005-0000-0000-000072220000}"/>
    <cellStyle name="40% - Ênfase1 13 5 2" xfId="8965" xr:uid="{00000000-0005-0000-0000-000073220000}"/>
    <cellStyle name="40% - Ênfase1 13 5 2 2" xfId="8966" xr:uid="{00000000-0005-0000-0000-000074220000}"/>
    <cellStyle name="40% - Ênfase1 13 5 3" xfId="8967" xr:uid="{00000000-0005-0000-0000-000075220000}"/>
    <cellStyle name="40% - Ênfase1 13 6" xfId="8968" xr:uid="{00000000-0005-0000-0000-000076220000}"/>
    <cellStyle name="40% - Ênfase1 13 6 2" xfId="8969" xr:uid="{00000000-0005-0000-0000-000077220000}"/>
    <cellStyle name="40% - Ênfase1 13 7" xfId="8970" xr:uid="{00000000-0005-0000-0000-000078220000}"/>
    <cellStyle name="40% - Ênfase1 14" xfId="8971" xr:uid="{00000000-0005-0000-0000-000079220000}"/>
    <cellStyle name="40% - Ênfase1 14 2" xfId="8972" xr:uid="{00000000-0005-0000-0000-00007A220000}"/>
    <cellStyle name="40% - Ênfase1 14 2 2" xfId="8973" xr:uid="{00000000-0005-0000-0000-00007B220000}"/>
    <cellStyle name="40% - Ênfase1 14 2 2 2" xfId="8974" xr:uid="{00000000-0005-0000-0000-00007C220000}"/>
    <cellStyle name="40% - Ênfase1 14 2 2 2 2" xfId="8975" xr:uid="{00000000-0005-0000-0000-00007D220000}"/>
    <cellStyle name="40% - Ênfase1 14 2 2 2 2 2" xfId="8976" xr:uid="{00000000-0005-0000-0000-00007E220000}"/>
    <cellStyle name="40% - Ênfase1 14 2 2 2 3" xfId="8977" xr:uid="{00000000-0005-0000-0000-00007F220000}"/>
    <cellStyle name="40% - Ênfase1 14 2 2 2 3 2" xfId="8978" xr:uid="{00000000-0005-0000-0000-000080220000}"/>
    <cellStyle name="40% - Ênfase1 14 2 2 2 4" xfId="8979" xr:uid="{00000000-0005-0000-0000-000081220000}"/>
    <cellStyle name="40% - Ênfase1 14 2 2 3" xfId="8980" xr:uid="{00000000-0005-0000-0000-000082220000}"/>
    <cellStyle name="40% - Ênfase1 14 2 2 3 2" xfId="8981" xr:uid="{00000000-0005-0000-0000-000083220000}"/>
    <cellStyle name="40% - Ênfase1 14 2 2 4" xfId="8982" xr:uid="{00000000-0005-0000-0000-000084220000}"/>
    <cellStyle name="40% - Ênfase1 14 2 2 4 2" xfId="8983" xr:uid="{00000000-0005-0000-0000-000085220000}"/>
    <cellStyle name="40% - Ênfase1 14 2 2 5" xfId="8984" xr:uid="{00000000-0005-0000-0000-000086220000}"/>
    <cellStyle name="40% - Ênfase1 14 2 3" xfId="8985" xr:uid="{00000000-0005-0000-0000-000087220000}"/>
    <cellStyle name="40% - Ênfase1 14 2 3 2" xfId="8986" xr:uid="{00000000-0005-0000-0000-000088220000}"/>
    <cellStyle name="40% - Ênfase1 14 2 3 2 2" xfId="8987" xr:uid="{00000000-0005-0000-0000-000089220000}"/>
    <cellStyle name="40% - Ênfase1 14 2 3 3" xfId="8988" xr:uid="{00000000-0005-0000-0000-00008A220000}"/>
    <cellStyle name="40% - Ênfase1 14 2 3 3 2" xfId="8989" xr:uid="{00000000-0005-0000-0000-00008B220000}"/>
    <cellStyle name="40% - Ênfase1 14 2 3 4" xfId="8990" xr:uid="{00000000-0005-0000-0000-00008C220000}"/>
    <cellStyle name="40% - Ênfase1 14 2 4" xfId="8991" xr:uid="{00000000-0005-0000-0000-00008D220000}"/>
    <cellStyle name="40% - Ênfase1 14 2 4 2" xfId="8992" xr:uid="{00000000-0005-0000-0000-00008E220000}"/>
    <cellStyle name="40% - Ênfase1 14 2 4 2 2" xfId="8993" xr:uid="{00000000-0005-0000-0000-00008F220000}"/>
    <cellStyle name="40% - Ênfase1 14 2 4 3" xfId="8994" xr:uid="{00000000-0005-0000-0000-000090220000}"/>
    <cellStyle name="40% - Ênfase1 14 2 5" xfId="8995" xr:uid="{00000000-0005-0000-0000-000091220000}"/>
    <cellStyle name="40% - Ênfase1 14 2 5 2" xfId="8996" xr:uid="{00000000-0005-0000-0000-000092220000}"/>
    <cellStyle name="40% - Ênfase1 14 2 6" xfId="8997" xr:uid="{00000000-0005-0000-0000-000093220000}"/>
    <cellStyle name="40% - Ênfase1 14 3" xfId="8998" xr:uid="{00000000-0005-0000-0000-000094220000}"/>
    <cellStyle name="40% - Ênfase1 14 3 2" xfId="8999" xr:uid="{00000000-0005-0000-0000-000095220000}"/>
    <cellStyle name="40% - Ênfase1 14 3 2 2" xfId="9000" xr:uid="{00000000-0005-0000-0000-000096220000}"/>
    <cellStyle name="40% - Ênfase1 14 3 2 2 2" xfId="9001" xr:uid="{00000000-0005-0000-0000-000097220000}"/>
    <cellStyle name="40% - Ênfase1 14 3 2 3" xfId="9002" xr:uid="{00000000-0005-0000-0000-000098220000}"/>
    <cellStyle name="40% - Ênfase1 14 3 2 3 2" xfId="9003" xr:uid="{00000000-0005-0000-0000-000099220000}"/>
    <cellStyle name="40% - Ênfase1 14 3 2 4" xfId="9004" xr:uid="{00000000-0005-0000-0000-00009A220000}"/>
    <cellStyle name="40% - Ênfase1 14 3 3" xfId="9005" xr:uid="{00000000-0005-0000-0000-00009B220000}"/>
    <cellStyle name="40% - Ênfase1 14 3 3 2" xfId="9006" xr:uid="{00000000-0005-0000-0000-00009C220000}"/>
    <cellStyle name="40% - Ênfase1 14 3 4" xfId="9007" xr:uid="{00000000-0005-0000-0000-00009D220000}"/>
    <cellStyle name="40% - Ênfase1 14 3 4 2" xfId="9008" xr:uid="{00000000-0005-0000-0000-00009E220000}"/>
    <cellStyle name="40% - Ênfase1 14 3 5" xfId="9009" xr:uid="{00000000-0005-0000-0000-00009F220000}"/>
    <cellStyle name="40% - Ênfase1 14 4" xfId="9010" xr:uid="{00000000-0005-0000-0000-0000A0220000}"/>
    <cellStyle name="40% - Ênfase1 14 4 2" xfId="9011" xr:uid="{00000000-0005-0000-0000-0000A1220000}"/>
    <cellStyle name="40% - Ênfase1 14 4 2 2" xfId="9012" xr:uid="{00000000-0005-0000-0000-0000A2220000}"/>
    <cellStyle name="40% - Ênfase1 14 4 3" xfId="9013" xr:uid="{00000000-0005-0000-0000-0000A3220000}"/>
    <cellStyle name="40% - Ênfase1 14 4 3 2" xfId="9014" xr:uid="{00000000-0005-0000-0000-0000A4220000}"/>
    <cellStyle name="40% - Ênfase1 14 4 4" xfId="9015" xr:uid="{00000000-0005-0000-0000-0000A5220000}"/>
    <cellStyle name="40% - Ênfase1 14 5" xfId="9016" xr:uid="{00000000-0005-0000-0000-0000A6220000}"/>
    <cellStyle name="40% - Ênfase1 14 5 2" xfId="9017" xr:uid="{00000000-0005-0000-0000-0000A7220000}"/>
    <cellStyle name="40% - Ênfase1 14 5 2 2" xfId="9018" xr:uid="{00000000-0005-0000-0000-0000A8220000}"/>
    <cellStyle name="40% - Ênfase1 14 5 3" xfId="9019" xr:uid="{00000000-0005-0000-0000-0000A9220000}"/>
    <cellStyle name="40% - Ênfase1 14 6" xfId="9020" xr:uid="{00000000-0005-0000-0000-0000AA220000}"/>
    <cellStyle name="40% - Ênfase1 14 6 2" xfId="9021" xr:uid="{00000000-0005-0000-0000-0000AB220000}"/>
    <cellStyle name="40% - Ênfase1 14 7" xfId="9022" xr:uid="{00000000-0005-0000-0000-0000AC220000}"/>
    <cellStyle name="40% - Ênfase1 15" xfId="9023" xr:uid="{00000000-0005-0000-0000-0000AD220000}"/>
    <cellStyle name="40% - Ênfase1 15 2" xfId="9024" xr:uid="{00000000-0005-0000-0000-0000AE220000}"/>
    <cellStyle name="40% - Ênfase1 15 2 2" xfId="9025" xr:uid="{00000000-0005-0000-0000-0000AF220000}"/>
    <cellStyle name="40% - Ênfase1 15 2 2 2" xfId="9026" xr:uid="{00000000-0005-0000-0000-0000B0220000}"/>
    <cellStyle name="40% - Ênfase1 15 2 2 2 2" xfId="9027" xr:uid="{00000000-0005-0000-0000-0000B1220000}"/>
    <cellStyle name="40% - Ênfase1 15 2 2 3" xfId="9028" xr:uid="{00000000-0005-0000-0000-0000B2220000}"/>
    <cellStyle name="40% - Ênfase1 15 2 2 3 2" xfId="9029" xr:uid="{00000000-0005-0000-0000-0000B3220000}"/>
    <cellStyle name="40% - Ênfase1 15 2 2 4" xfId="9030" xr:uid="{00000000-0005-0000-0000-0000B4220000}"/>
    <cellStyle name="40% - Ênfase1 15 2 3" xfId="9031" xr:uid="{00000000-0005-0000-0000-0000B5220000}"/>
    <cellStyle name="40% - Ênfase1 15 2 3 2" xfId="9032" xr:uid="{00000000-0005-0000-0000-0000B6220000}"/>
    <cellStyle name="40% - Ênfase1 15 2 4" xfId="9033" xr:uid="{00000000-0005-0000-0000-0000B7220000}"/>
    <cellStyle name="40% - Ênfase1 15 2 4 2" xfId="9034" xr:uid="{00000000-0005-0000-0000-0000B8220000}"/>
    <cellStyle name="40% - Ênfase1 15 2 5" xfId="9035" xr:uid="{00000000-0005-0000-0000-0000B9220000}"/>
    <cellStyle name="40% - Ênfase1 15 3" xfId="9036" xr:uid="{00000000-0005-0000-0000-0000BA220000}"/>
    <cellStyle name="40% - Ênfase1 15 3 2" xfId="9037" xr:uid="{00000000-0005-0000-0000-0000BB220000}"/>
    <cellStyle name="40% - Ênfase1 15 3 2 2" xfId="9038" xr:uid="{00000000-0005-0000-0000-0000BC220000}"/>
    <cellStyle name="40% - Ênfase1 15 3 3" xfId="9039" xr:uid="{00000000-0005-0000-0000-0000BD220000}"/>
    <cellStyle name="40% - Ênfase1 15 3 3 2" xfId="9040" xr:uid="{00000000-0005-0000-0000-0000BE220000}"/>
    <cellStyle name="40% - Ênfase1 15 3 4" xfId="9041" xr:uid="{00000000-0005-0000-0000-0000BF220000}"/>
    <cellStyle name="40% - Ênfase1 15 4" xfId="9042" xr:uid="{00000000-0005-0000-0000-0000C0220000}"/>
    <cellStyle name="40% - Ênfase1 15 4 2" xfId="9043" xr:uid="{00000000-0005-0000-0000-0000C1220000}"/>
    <cellStyle name="40% - Ênfase1 15 4 2 2" xfId="9044" xr:uid="{00000000-0005-0000-0000-0000C2220000}"/>
    <cellStyle name="40% - Ênfase1 15 4 3" xfId="9045" xr:uid="{00000000-0005-0000-0000-0000C3220000}"/>
    <cellStyle name="40% - Ênfase1 15 5" xfId="9046" xr:uid="{00000000-0005-0000-0000-0000C4220000}"/>
    <cellStyle name="40% - Ênfase1 15 5 2" xfId="9047" xr:uid="{00000000-0005-0000-0000-0000C5220000}"/>
    <cellStyle name="40% - Ênfase1 15 6" xfId="9048" xr:uid="{00000000-0005-0000-0000-0000C6220000}"/>
    <cellStyle name="40% - Ênfase1 16" xfId="9049" xr:uid="{00000000-0005-0000-0000-0000C7220000}"/>
    <cellStyle name="40% - Ênfase1 16 2" xfId="9050" xr:uid="{00000000-0005-0000-0000-0000C8220000}"/>
    <cellStyle name="40% - Ênfase1 16 2 2" xfId="9051" xr:uid="{00000000-0005-0000-0000-0000C9220000}"/>
    <cellStyle name="40% - Ênfase1 16 2 2 2" xfId="9052" xr:uid="{00000000-0005-0000-0000-0000CA220000}"/>
    <cellStyle name="40% - Ênfase1 16 2 3" xfId="9053" xr:uid="{00000000-0005-0000-0000-0000CB220000}"/>
    <cellStyle name="40% - Ênfase1 16 2 3 2" xfId="9054" xr:uid="{00000000-0005-0000-0000-0000CC220000}"/>
    <cellStyle name="40% - Ênfase1 16 2 4" xfId="9055" xr:uid="{00000000-0005-0000-0000-0000CD220000}"/>
    <cellStyle name="40% - Ênfase1 16 3" xfId="9056" xr:uid="{00000000-0005-0000-0000-0000CE220000}"/>
    <cellStyle name="40% - Ênfase1 16 3 2" xfId="9057" xr:uid="{00000000-0005-0000-0000-0000CF220000}"/>
    <cellStyle name="40% - Ênfase1 16 3 2 2" xfId="9058" xr:uid="{00000000-0005-0000-0000-0000D0220000}"/>
    <cellStyle name="40% - Ênfase1 16 3 3" xfId="9059" xr:uid="{00000000-0005-0000-0000-0000D1220000}"/>
    <cellStyle name="40% - Ênfase1 16 3 3 2" xfId="9060" xr:uid="{00000000-0005-0000-0000-0000D2220000}"/>
    <cellStyle name="40% - Ênfase1 16 3 4" xfId="9061" xr:uid="{00000000-0005-0000-0000-0000D3220000}"/>
    <cellStyle name="40% - Ênfase1 16 4" xfId="9062" xr:uid="{00000000-0005-0000-0000-0000D4220000}"/>
    <cellStyle name="40% - Ênfase1 16 4 2" xfId="9063" xr:uid="{00000000-0005-0000-0000-0000D5220000}"/>
    <cellStyle name="40% - Ênfase1 16 5" xfId="9064" xr:uid="{00000000-0005-0000-0000-0000D6220000}"/>
    <cellStyle name="40% - Ênfase1 16 5 2" xfId="9065" xr:uid="{00000000-0005-0000-0000-0000D7220000}"/>
    <cellStyle name="40% - Ênfase1 16 6" xfId="9066" xr:uid="{00000000-0005-0000-0000-0000D8220000}"/>
    <cellStyle name="40% - Ênfase1 17" xfId="9067" xr:uid="{00000000-0005-0000-0000-0000D9220000}"/>
    <cellStyle name="40% - Ênfase1 17 2" xfId="9068" xr:uid="{00000000-0005-0000-0000-0000DA220000}"/>
    <cellStyle name="40% - Ênfase1 17 2 2" xfId="9069" xr:uid="{00000000-0005-0000-0000-0000DB220000}"/>
    <cellStyle name="40% - Ênfase1 17 2 2 2" xfId="9070" xr:uid="{00000000-0005-0000-0000-0000DC220000}"/>
    <cellStyle name="40% - Ênfase1 17 2 3" xfId="9071" xr:uid="{00000000-0005-0000-0000-0000DD220000}"/>
    <cellStyle name="40% - Ênfase1 17 2 3 2" xfId="9072" xr:uid="{00000000-0005-0000-0000-0000DE220000}"/>
    <cellStyle name="40% - Ênfase1 17 2 4" xfId="9073" xr:uid="{00000000-0005-0000-0000-0000DF220000}"/>
    <cellStyle name="40% - Ênfase1 17 3" xfId="9074" xr:uid="{00000000-0005-0000-0000-0000E0220000}"/>
    <cellStyle name="40% - Ênfase1 17 3 2" xfId="9075" xr:uid="{00000000-0005-0000-0000-0000E1220000}"/>
    <cellStyle name="40% - Ênfase1 17 3 2 2" xfId="9076" xr:uid="{00000000-0005-0000-0000-0000E2220000}"/>
    <cellStyle name="40% - Ênfase1 17 3 3" xfId="9077" xr:uid="{00000000-0005-0000-0000-0000E3220000}"/>
    <cellStyle name="40% - Ênfase1 17 3 3 2" xfId="9078" xr:uid="{00000000-0005-0000-0000-0000E4220000}"/>
    <cellStyle name="40% - Ênfase1 17 3 4" xfId="9079" xr:uid="{00000000-0005-0000-0000-0000E5220000}"/>
    <cellStyle name="40% - Ênfase1 17 4" xfId="9080" xr:uid="{00000000-0005-0000-0000-0000E6220000}"/>
    <cellStyle name="40% - Ênfase1 17 4 2" xfId="9081" xr:uid="{00000000-0005-0000-0000-0000E7220000}"/>
    <cellStyle name="40% - Ênfase1 17 5" xfId="9082" xr:uid="{00000000-0005-0000-0000-0000E8220000}"/>
    <cellStyle name="40% - Ênfase1 17 5 2" xfId="9083" xr:uid="{00000000-0005-0000-0000-0000E9220000}"/>
    <cellStyle name="40% - Ênfase1 17 6" xfId="9084" xr:uid="{00000000-0005-0000-0000-0000EA220000}"/>
    <cellStyle name="40% - Ênfase1 18" xfId="9085" xr:uid="{00000000-0005-0000-0000-0000EB220000}"/>
    <cellStyle name="40% - Ênfase1 18 2" xfId="9086" xr:uid="{00000000-0005-0000-0000-0000EC220000}"/>
    <cellStyle name="40% - Ênfase1 18 2 2" xfId="9087" xr:uid="{00000000-0005-0000-0000-0000ED220000}"/>
    <cellStyle name="40% - Ênfase1 18 3" xfId="9088" xr:uid="{00000000-0005-0000-0000-0000EE220000}"/>
    <cellStyle name="40% - Ênfase1 18 3 2" xfId="9089" xr:uid="{00000000-0005-0000-0000-0000EF220000}"/>
    <cellStyle name="40% - Ênfase1 18 4" xfId="9090" xr:uid="{00000000-0005-0000-0000-0000F0220000}"/>
    <cellStyle name="40% - Ênfase1 19" xfId="9091" xr:uid="{00000000-0005-0000-0000-0000F1220000}"/>
    <cellStyle name="40% - Ênfase1 19 2" xfId="9092" xr:uid="{00000000-0005-0000-0000-0000F2220000}"/>
    <cellStyle name="40% - Ênfase1 19 2 2" xfId="9093" xr:uid="{00000000-0005-0000-0000-0000F3220000}"/>
    <cellStyle name="40% - Ênfase1 19 3" xfId="9094" xr:uid="{00000000-0005-0000-0000-0000F4220000}"/>
    <cellStyle name="40% - Ênfase1 2" xfId="9095" xr:uid="{00000000-0005-0000-0000-0000F5220000}"/>
    <cellStyle name="40% - Ênfase1 2 10" xfId="9096" xr:uid="{00000000-0005-0000-0000-0000F6220000}"/>
    <cellStyle name="40% - Ênfase1 2 10 2" xfId="9097" xr:uid="{00000000-0005-0000-0000-0000F7220000}"/>
    <cellStyle name="40% - Ênfase1 2 10 2 2" xfId="9098" xr:uid="{00000000-0005-0000-0000-0000F8220000}"/>
    <cellStyle name="40% - Ênfase1 2 10 3" xfId="9099" xr:uid="{00000000-0005-0000-0000-0000F9220000}"/>
    <cellStyle name="40% - Ênfase1 2 10 3 2" xfId="9100" xr:uid="{00000000-0005-0000-0000-0000FA220000}"/>
    <cellStyle name="40% - Ênfase1 2 10 4" xfId="9101" xr:uid="{00000000-0005-0000-0000-0000FB220000}"/>
    <cellStyle name="40% - Ênfase1 2 11" xfId="9102" xr:uid="{00000000-0005-0000-0000-0000FC220000}"/>
    <cellStyle name="40% - Ênfase1 2 11 2" xfId="9103" xr:uid="{00000000-0005-0000-0000-0000FD220000}"/>
    <cellStyle name="40% - Ênfase1 2 11 2 2" xfId="9104" xr:uid="{00000000-0005-0000-0000-0000FE220000}"/>
    <cellStyle name="40% - Ênfase1 2 11 3" xfId="9105" xr:uid="{00000000-0005-0000-0000-0000FF220000}"/>
    <cellStyle name="40% - Ênfase1 2 12" xfId="9106" xr:uid="{00000000-0005-0000-0000-000000230000}"/>
    <cellStyle name="40% - Ênfase1 2 12 2" xfId="9107" xr:uid="{00000000-0005-0000-0000-000001230000}"/>
    <cellStyle name="40% - Ênfase1 2 12 2 2" xfId="9108" xr:uid="{00000000-0005-0000-0000-000002230000}"/>
    <cellStyle name="40% - Ênfase1 2 12 3" xfId="9109" xr:uid="{00000000-0005-0000-0000-000003230000}"/>
    <cellStyle name="40% - Ênfase1 2 13" xfId="9110" xr:uid="{00000000-0005-0000-0000-000004230000}"/>
    <cellStyle name="40% - Ênfase1 2 13 2" xfId="9111" xr:uid="{00000000-0005-0000-0000-000005230000}"/>
    <cellStyle name="40% - Ênfase1 2 13 2 2" xfId="9112" xr:uid="{00000000-0005-0000-0000-000006230000}"/>
    <cellStyle name="40% - Ênfase1 2 13 3" xfId="9113" xr:uid="{00000000-0005-0000-0000-000007230000}"/>
    <cellStyle name="40% - Ênfase1 2 14" xfId="9114" xr:uid="{00000000-0005-0000-0000-000008230000}"/>
    <cellStyle name="40% - Ênfase1 2 14 2" xfId="9115" xr:uid="{00000000-0005-0000-0000-000009230000}"/>
    <cellStyle name="40% - Ênfase1 2 14 2 2" xfId="9116" xr:uid="{00000000-0005-0000-0000-00000A230000}"/>
    <cellStyle name="40% - Ênfase1 2 14 3" xfId="9117" xr:uid="{00000000-0005-0000-0000-00000B230000}"/>
    <cellStyle name="40% - Ênfase1 2 15" xfId="9118" xr:uid="{00000000-0005-0000-0000-00000C230000}"/>
    <cellStyle name="40% - Ênfase1 2 15 2" xfId="9119" xr:uid="{00000000-0005-0000-0000-00000D230000}"/>
    <cellStyle name="40% - Ênfase1 2 16" xfId="9120" xr:uid="{00000000-0005-0000-0000-00000E230000}"/>
    <cellStyle name="40% - Ênfase1 2 2" xfId="9121" xr:uid="{00000000-0005-0000-0000-00000F230000}"/>
    <cellStyle name="40% - Ênfase1 2 2 10" xfId="9122" xr:uid="{00000000-0005-0000-0000-000010230000}"/>
    <cellStyle name="40% - Ênfase1 2 2 10 2" xfId="9123" xr:uid="{00000000-0005-0000-0000-000011230000}"/>
    <cellStyle name="40% - Ênfase1 2 2 11" xfId="9124" xr:uid="{00000000-0005-0000-0000-000012230000}"/>
    <cellStyle name="40% - Ênfase1 2 2 2" xfId="9125" xr:uid="{00000000-0005-0000-0000-000013230000}"/>
    <cellStyle name="40% - Ênfase1 2 2 2 2" xfId="9126" xr:uid="{00000000-0005-0000-0000-000014230000}"/>
    <cellStyle name="40% - Ênfase1 2 2 2 2 2" xfId="9127" xr:uid="{00000000-0005-0000-0000-000015230000}"/>
    <cellStyle name="40% - Ênfase1 2 2 2 2 2 2" xfId="9128" xr:uid="{00000000-0005-0000-0000-000016230000}"/>
    <cellStyle name="40% - Ênfase1 2 2 2 2 2 2 2" xfId="9129" xr:uid="{00000000-0005-0000-0000-000017230000}"/>
    <cellStyle name="40% - Ênfase1 2 2 2 2 2 3" xfId="9130" xr:uid="{00000000-0005-0000-0000-000018230000}"/>
    <cellStyle name="40% - Ênfase1 2 2 2 2 2 3 2" xfId="9131" xr:uid="{00000000-0005-0000-0000-000019230000}"/>
    <cellStyle name="40% - Ênfase1 2 2 2 2 2 4" xfId="9132" xr:uid="{00000000-0005-0000-0000-00001A230000}"/>
    <cellStyle name="40% - Ênfase1 2 2 2 2 3" xfId="9133" xr:uid="{00000000-0005-0000-0000-00001B230000}"/>
    <cellStyle name="40% - Ênfase1 2 2 2 2 3 2" xfId="9134" xr:uid="{00000000-0005-0000-0000-00001C230000}"/>
    <cellStyle name="40% - Ênfase1 2 2 2 2 3 2 2" xfId="9135" xr:uid="{00000000-0005-0000-0000-00001D230000}"/>
    <cellStyle name="40% - Ênfase1 2 2 2 2 3 3" xfId="9136" xr:uid="{00000000-0005-0000-0000-00001E230000}"/>
    <cellStyle name="40% - Ênfase1 2 2 2 2 3 3 2" xfId="9137" xr:uid="{00000000-0005-0000-0000-00001F230000}"/>
    <cellStyle name="40% - Ênfase1 2 2 2 2 3 4" xfId="9138" xr:uid="{00000000-0005-0000-0000-000020230000}"/>
    <cellStyle name="40% - Ênfase1 2 2 2 2 4" xfId="9139" xr:uid="{00000000-0005-0000-0000-000021230000}"/>
    <cellStyle name="40% - Ênfase1 2 2 2 2 4 2" xfId="9140" xr:uid="{00000000-0005-0000-0000-000022230000}"/>
    <cellStyle name="40% - Ênfase1 2 2 2 2 5" xfId="9141" xr:uid="{00000000-0005-0000-0000-000023230000}"/>
    <cellStyle name="40% - Ênfase1 2 2 2 2 5 2" xfId="9142" xr:uid="{00000000-0005-0000-0000-000024230000}"/>
    <cellStyle name="40% - Ênfase1 2 2 2 2 6" xfId="9143" xr:uid="{00000000-0005-0000-0000-000025230000}"/>
    <cellStyle name="40% - Ênfase1 2 2 2 3" xfId="9144" xr:uid="{00000000-0005-0000-0000-000026230000}"/>
    <cellStyle name="40% - Ênfase1 2 2 2 3 2" xfId="9145" xr:uid="{00000000-0005-0000-0000-000027230000}"/>
    <cellStyle name="40% - Ênfase1 2 2 2 3 2 2" xfId="9146" xr:uid="{00000000-0005-0000-0000-000028230000}"/>
    <cellStyle name="40% - Ênfase1 2 2 2 3 3" xfId="9147" xr:uid="{00000000-0005-0000-0000-000029230000}"/>
    <cellStyle name="40% - Ênfase1 2 2 2 3 3 2" xfId="9148" xr:uid="{00000000-0005-0000-0000-00002A230000}"/>
    <cellStyle name="40% - Ênfase1 2 2 2 3 4" xfId="9149" xr:uid="{00000000-0005-0000-0000-00002B230000}"/>
    <cellStyle name="40% - Ênfase1 2 2 2 4" xfId="9150" xr:uid="{00000000-0005-0000-0000-00002C230000}"/>
    <cellStyle name="40% - Ênfase1 2 2 2 4 2" xfId="9151" xr:uid="{00000000-0005-0000-0000-00002D230000}"/>
    <cellStyle name="40% - Ênfase1 2 2 2 4 2 2" xfId="9152" xr:uid="{00000000-0005-0000-0000-00002E230000}"/>
    <cellStyle name="40% - Ênfase1 2 2 2 4 3" xfId="9153" xr:uid="{00000000-0005-0000-0000-00002F230000}"/>
    <cellStyle name="40% - Ênfase1 2 2 2 5" xfId="9154" xr:uid="{00000000-0005-0000-0000-000030230000}"/>
    <cellStyle name="40% - Ênfase1 2 2 2 5 2" xfId="9155" xr:uid="{00000000-0005-0000-0000-000031230000}"/>
    <cellStyle name="40% - Ênfase1 2 2 2 5 2 2" xfId="9156" xr:uid="{00000000-0005-0000-0000-000032230000}"/>
    <cellStyle name="40% - Ênfase1 2 2 2 5 3" xfId="9157" xr:uid="{00000000-0005-0000-0000-000033230000}"/>
    <cellStyle name="40% - Ênfase1 2 2 2 6" xfId="9158" xr:uid="{00000000-0005-0000-0000-000034230000}"/>
    <cellStyle name="40% - Ênfase1 2 2 2 6 2" xfId="9159" xr:uid="{00000000-0005-0000-0000-000035230000}"/>
    <cellStyle name="40% - Ênfase1 2 2 2 6 2 2" xfId="9160" xr:uid="{00000000-0005-0000-0000-000036230000}"/>
    <cellStyle name="40% - Ênfase1 2 2 2 6 3" xfId="9161" xr:uid="{00000000-0005-0000-0000-000037230000}"/>
    <cellStyle name="40% - Ênfase1 2 2 2 7" xfId="9162" xr:uid="{00000000-0005-0000-0000-000038230000}"/>
    <cellStyle name="40% - Ênfase1 2 2 2 7 2" xfId="9163" xr:uid="{00000000-0005-0000-0000-000039230000}"/>
    <cellStyle name="40% - Ênfase1 2 2 2 7 2 2" xfId="9164" xr:uid="{00000000-0005-0000-0000-00003A230000}"/>
    <cellStyle name="40% - Ênfase1 2 2 2 7 3" xfId="9165" xr:uid="{00000000-0005-0000-0000-00003B230000}"/>
    <cellStyle name="40% - Ênfase1 2 2 2 8" xfId="9166" xr:uid="{00000000-0005-0000-0000-00003C230000}"/>
    <cellStyle name="40% - Ênfase1 2 2 2 8 2" xfId="9167" xr:uid="{00000000-0005-0000-0000-00003D230000}"/>
    <cellStyle name="40% - Ênfase1 2 2 2 9" xfId="9168" xr:uid="{00000000-0005-0000-0000-00003E230000}"/>
    <cellStyle name="40% - Ênfase1 2 2 3" xfId="9169" xr:uid="{00000000-0005-0000-0000-00003F230000}"/>
    <cellStyle name="40% - Ênfase1 2 2 3 2" xfId="9170" xr:uid="{00000000-0005-0000-0000-000040230000}"/>
    <cellStyle name="40% - Ênfase1 2 2 3 2 2" xfId="9171" xr:uid="{00000000-0005-0000-0000-000041230000}"/>
    <cellStyle name="40% - Ênfase1 2 2 3 2 2 2" xfId="9172" xr:uid="{00000000-0005-0000-0000-000042230000}"/>
    <cellStyle name="40% - Ênfase1 2 2 3 2 3" xfId="9173" xr:uid="{00000000-0005-0000-0000-000043230000}"/>
    <cellStyle name="40% - Ênfase1 2 2 3 2 3 2" xfId="9174" xr:uid="{00000000-0005-0000-0000-000044230000}"/>
    <cellStyle name="40% - Ênfase1 2 2 3 2 4" xfId="9175" xr:uid="{00000000-0005-0000-0000-000045230000}"/>
    <cellStyle name="40% - Ênfase1 2 2 3 3" xfId="9176" xr:uid="{00000000-0005-0000-0000-000046230000}"/>
    <cellStyle name="40% - Ênfase1 2 2 3 3 2" xfId="9177" xr:uid="{00000000-0005-0000-0000-000047230000}"/>
    <cellStyle name="40% - Ênfase1 2 2 3 3 2 2" xfId="9178" xr:uid="{00000000-0005-0000-0000-000048230000}"/>
    <cellStyle name="40% - Ênfase1 2 2 3 3 3" xfId="9179" xr:uid="{00000000-0005-0000-0000-000049230000}"/>
    <cellStyle name="40% - Ênfase1 2 2 3 3 3 2" xfId="9180" xr:uid="{00000000-0005-0000-0000-00004A230000}"/>
    <cellStyle name="40% - Ênfase1 2 2 3 3 4" xfId="9181" xr:uid="{00000000-0005-0000-0000-00004B230000}"/>
    <cellStyle name="40% - Ênfase1 2 2 3 4" xfId="9182" xr:uid="{00000000-0005-0000-0000-00004C230000}"/>
    <cellStyle name="40% - Ênfase1 2 2 3 4 2" xfId="9183" xr:uid="{00000000-0005-0000-0000-00004D230000}"/>
    <cellStyle name="40% - Ênfase1 2 2 3 5" xfId="9184" xr:uid="{00000000-0005-0000-0000-00004E230000}"/>
    <cellStyle name="40% - Ênfase1 2 2 3 5 2" xfId="9185" xr:uid="{00000000-0005-0000-0000-00004F230000}"/>
    <cellStyle name="40% - Ênfase1 2 2 3 6" xfId="9186" xr:uid="{00000000-0005-0000-0000-000050230000}"/>
    <cellStyle name="40% - Ênfase1 2 2 4" xfId="9187" xr:uid="{00000000-0005-0000-0000-000051230000}"/>
    <cellStyle name="40% - Ênfase1 2 2 4 2" xfId="9188" xr:uid="{00000000-0005-0000-0000-000052230000}"/>
    <cellStyle name="40% - Ênfase1 2 2 4 2 2" xfId="9189" xr:uid="{00000000-0005-0000-0000-000053230000}"/>
    <cellStyle name="40% - Ênfase1 2 2 4 2 2 2" xfId="9190" xr:uid="{00000000-0005-0000-0000-000054230000}"/>
    <cellStyle name="40% - Ênfase1 2 2 4 2 3" xfId="9191" xr:uid="{00000000-0005-0000-0000-000055230000}"/>
    <cellStyle name="40% - Ênfase1 2 2 4 2 3 2" xfId="9192" xr:uid="{00000000-0005-0000-0000-000056230000}"/>
    <cellStyle name="40% - Ênfase1 2 2 4 2 4" xfId="9193" xr:uid="{00000000-0005-0000-0000-000057230000}"/>
    <cellStyle name="40% - Ênfase1 2 2 4 3" xfId="9194" xr:uid="{00000000-0005-0000-0000-000058230000}"/>
    <cellStyle name="40% - Ênfase1 2 2 4 3 2" xfId="9195" xr:uid="{00000000-0005-0000-0000-000059230000}"/>
    <cellStyle name="40% - Ênfase1 2 2 4 3 2 2" xfId="9196" xr:uid="{00000000-0005-0000-0000-00005A230000}"/>
    <cellStyle name="40% - Ênfase1 2 2 4 3 3" xfId="9197" xr:uid="{00000000-0005-0000-0000-00005B230000}"/>
    <cellStyle name="40% - Ênfase1 2 2 4 3 3 2" xfId="9198" xr:uid="{00000000-0005-0000-0000-00005C230000}"/>
    <cellStyle name="40% - Ênfase1 2 2 4 3 4" xfId="9199" xr:uid="{00000000-0005-0000-0000-00005D230000}"/>
    <cellStyle name="40% - Ênfase1 2 2 4 4" xfId="9200" xr:uid="{00000000-0005-0000-0000-00005E230000}"/>
    <cellStyle name="40% - Ênfase1 2 2 4 4 2" xfId="9201" xr:uid="{00000000-0005-0000-0000-00005F230000}"/>
    <cellStyle name="40% - Ênfase1 2 2 4 5" xfId="9202" xr:uid="{00000000-0005-0000-0000-000060230000}"/>
    <cellStyle name="40% - Ênfase1 2 2 4 5 2" xfId="9203" xr:uid="{00000000-0005-0000-0000-000061230000}"/>
    <cellStyle name="40% - Ênfase1 2 2 4 6" xfId="9204" xr:uid="{00000000-0005-0000-0000-000062230000}"/>
    <cellStyle name="40% - Ênfase1 2 2 5" xfId="9205" xr:uid="{00000000-0005-0000-0000-000063230000}"/>
    <cellStyle name="40% - Ênfase1 2 2 5 2" xfId="9206" xr:uid="{00000000-0005-0000-0000-000064230000}"/>
    <cellStyle name="40% - Ênfase1 2 2 5 2 2" xfId="9207" xr:uid="{00000000-0005-0000-0000-000065230000}"/>
    <cellStyle name="40% - Ênfase1 2 2 5 3" xfId="9208" xr:uid="{00000000-0005-0000-0000-000066230000}"/>
    <cellStyle name="40% - Ênfase1 2 2 5 3 2" xfId="9209" xr:uid="{00000000-0005-0000-0000-000067230000}"/>
    <cellStyle name="40% - Ênfase1 2 2 5 4" xfId="9210" xr:uid="{00000000-0005-0000-0000-000068230000}"/>
    <cellStyle name="40% - Ênfase1 2 2 6" xfId="9211" xr:uid="{00000000-0005-0000-0000-000069230000}"/>
    <cellStyle name="40% - Ênfase1 2 2 6 2" xfId="9212" xr:uid="{00000000-0005-0000-0000-00006A230000}"/>
    <cellStyle name="40% - Ênfase1 2 2 6 2 2" xfId="9213" xr:uid="{00000000-0005-0000-0000-00006B230000}"/>
    <cellStyle name="40% - Ênfase1 2 2 6 3" xfId="9214" xr:uid="{00000000-0005-0000-0000-00006C230000}"/>
    <cellStyle name="40% - Ênfase1 2 2 7" xfId="9215" xr:uid="{00000000-0005-0000-0000-00006D230000}"/>
    <cellStyle name="40% - Ênfase1 2 2 7 2" xfId="9216" xr:uid="{00000000-0005-0000-0000-00006E230000}"/>
    <cellStyle name="40% - Ênfase1 2 2 7 2 2" xfId="9217" xr:uid="{00000000-0005-0000-0000-00006F230000}"/>
    <cellStyle name="40% - Ênfase1 2 2 7 3" xfId="9218" xr:uid="{00000000-0005-0000-0000-000070230000}"/>
    <cellStyle name="40% - Ênfase1 2 2 8" xfId="9219" xr:uid="{00000000-0005-0000-0000-000071230000}"/>
    <cellStyle name="40% - Ênfase1 2 2 8 2" xfId="9220" xr:uid="{00000000-0005-0000-0000-000072230000}"/>
    <cellStyle name="40% - Ênfase1 2 2 8 2 2" xfId="9221" xr:uid="{00000000-0005-0000-0000-000073230000}"/>
    <cellStyle name="40% - Ênfase1 2 2 8 3" xfId="9222" xr:uid="{00000000-0005-0000-0000-000074230000}"/>
    <cellStyle name="40% - Ênfase1 2 2 9" xfId="9223" xr:uid="{00000000-0005-0000-0000-000075230000}"/>
    <cellStyle name="40% - Ênfase1 2 2 9 2" xfId="9224" xr:uid="{00000000-0005-0000-0000-000076230000}"/>
    <cellStyle name="40% - Ênfase1 2 2 9 2 2" xfId="9225" xr:uid="{00000000-0005-0000-0000-000077230000}"/>
    <cellStyle name="40% - Ênfase1 2 2 9 3" xfId="9226" xr:uid="{00000000-0005-0000-0000-000078230000}"/>
    <cellStyle name="40% - Ênfase1 2 3" xfId="9227" xr:uid="{00000000-0005-0000-0000-000079230000}"/>
    <cellStyle name="40% - Ênfase1 2 3 10" xfId="9228" xr:uid="{00000000-0005-0000-0000-00007A230000}"/>
    <cellStyle name="40% - Ênfase1 2 3 10 2" xfId="9229" xr:uid="{00000000-0005-0000-0000-00007B230000}"/>
    <cellStyle name="40% - Ênfase1 2 3 11" xfId="9230" xr:uid="{00000000-0005-0000-0000-00007C230000}"/>
    <cellStyle name="40% - Ênfase1 2 3 2" xfId="9231" xr:uid="{00000000-0005-0000-0000-00007D230000}"/>
    <cellStyle name="40% - Ênfase1 2 3 2 2" xfId="9232" xr:uid="{00000000-0005-0000-0000-00007E230000}"/>
    <cellStyle name="40% - Ênfase1 2 3 2 2 2" xfId="9233" xr:uid="{00000000-0005-0000-0000-00007F230000}"/>
    <cellStyle name="40% - Ênfase1 2 3 2 2 2 2" xfId="9234" xr:uid="{00000000-0005-0000-0000-000080230000}"/>
    <cellStyle name="40% - Ênfase1 2 3 2 2 2 2 2" xfId="9235" xr:uid="{00000000-0005-0000-0000-000081230000}"/>
    <cellStyle name="40% - Ênfase1 2 3 2 2 2 3" xfId="9236" xr:uid="{00000000-0005-0000-0000-000082230000}"/>
    <cellStyle name="40% - Ênfase1 2 3 2 2 2 3 2" xfId="9237" xr:uid="{00000000-0005-0000-0000-000083230000}"/>
    <cellStyle name="40% - Ênfase1 2 3 2 2 2 4" xfId="9238" xr:uid="{00000000-0005-0000-0000-000084230000}"/>
    <cellStyle name="40% - Ênfase1 2 3 2 2 3" xfId="9239" xr:uid="{00000000-0005-0000-0000-000085230000}"/>
    <cellStyle name="40% - Ênfase1 2 3 2 2 3 2" xfId="9240" xr:uid="{00000000-0005-0000-0000-000086230000}"/>
    <cellStyle name="40% - Ênfase1 2 3 2 2 3 2 2" xfId="9241" xr:uid="{00000000-0005-0000-0000-000087230000}"/>
    <cellStyle name="40% - Ênfase1 2 3 2 2 3 3" xfId="9242" xr:uid="{00000000-0005-0000-0000-000088230000}"/>
    <cellStyle name="40% - Ênfase1 2 3 2 2 3 3 2" xfId="9243" xr:uid="{00000000-0005-0000-0000-000089230000}"/>
    <cellStyle name="40% - Ênfase1 2 3 2 2 3 4" xfId="9244" xr:uid="{00000000-0005-0000-0000-00008A230000}"/>
    <cellStyle name="40% - Ênfase1 2 3 2 2 4" xfId="9245" xr:uid="{00000000-0005-0000-0000-00008B230000}"/>
    <cellStyle name="40% - Ênfase1 2 3 2 2 4 2" xfId="9246" xr:uid="{00000000-0005-0000-0000-00008C230000}"/>
    <cellStyle name="40% - Ênfase1 2 3 2 2 5" xfId="9247" xr:uid="{00000000-0005-0000-0000-00008D230000}"/>
    <cellStyle name="40% - Ênfase1 2 3 2 2 5 2" xfId="9248" xr:uid="{00000000-0005-0000-0000-00008E230000}"/>
    <cellStyle name="40% - Ênfase1 2 3 2 2 6" xfId="9249" xr:uid="{00000000-0005-0000-0000-00008F230000}"/>
    <cellStyle name="40% - Ênfase1 2 3 2 3" xfId="9250" xr:uid="{00000000-0005-0000-0000-000090230000}"/>
    <cellStyle name="40% - Ênfase1 2 3 2 3 2" xfId="9251" xr:uid="{00000000-0005-0000-0000-000091230000}"/>
    <cellStyle name="40% - Ênfase1 2 3 2 3 2 2" xfId="9252" xr:uid="{00000000-0005-0000-0000-000092230000}"/>
    <cellStyle name="40% - Ênfase1 2 3 2 3 3" xfId="9253" xr:uid="{00000000-0005-0000-0000-000093230000}"/>
    <cellStyle name="40% - Ênfase1 2 3 2 3 3 2" xfId="9254" xr:uid="{00000000-0005-0000-0000-000094230000}"/>
    <cellStyle name="40% - Ênfase1 2 3 2 3 4" xfId="9255" xr:uid="{00000000-0005-0000-0000-000095230000}"/>
    <cellStyle name="40% - Ênfase1 2 3 2 4" xfId="9256" xr:uid="{00000000-0005-0000-0000-000096230000}"/>
    <cellStyle name="40% - Ênfase1 2 3 2 4 2" xfId="9257" xr:uid="{00000000-0005-0000-0000-000097230000}"/>
    <cellStyle name="40% - Ênfase1 2 3 2 4 2 2" xfId="9258" xr:uid="{00000000-0005-0000-0000-000098230000}"/>
    <cellStyle name="40% - Ênfase1 2 3 2 4 3" xfId="9259" xr:uid="{00000000-0005-0000-0000-000099230000}"/>
    <cellStyle name="40% - Ênfase1 2 3 2 5" xfId="9260" xr:uid="{00000000-0005-0000-0000-00009A230000}"/>
    <cellStyle name="40% - Ênfase1 2 3 2 5 2" xfId="9261" xr:uid="{00000000-0005-0000-0000-00009B230000}"/>
    <cellStyle name="40% - Ênfase1 2 3 2 5 2 2" xfId="9262" xr:uid="{00000000-0005-0000-0000-00009C230000}"/>
    <cellStyle name="40% - Ênfase1 2 3 2 5 3" xfId="9263" xr:uid="{00000000-0005-0000-0000-00009D230000}"/>
    <cellStyle name="40% - Ênfase1 2 3 2 6" xfId="9264" xr:uid="{00000000-0005-0000-0000-00009E230000}"/>
    <cellStyle name="40% - Ênfase1 2 3 2 6 2" xfId="9265" xr:uid="{00000000-0005-0000-0000-00009F230000}"/>
    <cellStyle name="40% - Ênfase1 2 3 2 6 2 2" xfId="9266" xr:uid="{00000000-0005-0000-0000-0000A0230000}"/>
    <cellStyle name="40% - Ênfase1 2 3 2 6 3" xfId="9267" xr:uid="{00000000-0005-0000-0000-0000A1230000}"/>
    <cellStyle name="40% - Ênfase1 2 3 2 7" xfId="9268" xr:uid="{00000000-0005-0000-0000-0000A2230000}"/>
    <cellStyle name="40% - Ênfase1 2 3 2 7 2" xfId="9269" xr:uid="{00000000-0005-0000-0000-0000A3230000}"/>
    <cellStyle name="40% - Ênfase1 2 3 2 7 2 2" xfId="9270" xr:uid="{00000000-0005-0000-0000-0000A4230000}"/>
    <cellStyle name="40% - Ênfase1 2 3 2 7 3" xfId="9271" xr:uid="{00000000-0005-0000-0000-0000A5230000}"/>
    <cellStyle name="40% - Ênfase1 2 3 2 8" xfId="9272" xr:uid="{00000000-0005-0000-0000-0000A6230000}"/>
    <cellStyle name="40% - Ênfase1 2 3 2 8 2" xfId="9273" xr:uid="{00000000-0005-0000-0000-0000A7230000}"/>
    <cellStyle name="40% - Ênfase1 2 3 2 9" xfId="9274" xr:uid="{00000000-0005-0000-0000-0000A8230000}"/>
    <cellStyle name="40% - Ênfase1 2 3 3" xfId="9275" xr:uid="{00000000-0005-0000-0000-0000A9230000}"/>
    <cellStyle name="40% - Ênfase1 2 3 3 2" xfId="9276" xr:uid="{00000000-0005-0000-0000-0000AA230000}"/>
    <cellStyle name="40% - Ênfase1 2 3 3 2 2" xfId="9277" xr:uid="{00000000-0005-0000-0000-0000AB230000}"/>
    <cellStyle name="40% - Ênfase1 2 3 3 2 2 2" xfId="9278" xr:uid="{00000000-0005-0000-0000-0000AC230000}"/>
    <cellStyle name="40% - Ênfase1 2 3 3 2 3" xfId="9279" xr:uid="{00000000-0005-0000-0000-0000AD230000}"/>
    <cellStyle name="40% - Ênfase1 2 3 3 2 3 2" xfId="9280" xr:uid="{00000000-0005-0000-0000-0000AE230000}"/>
    <cellStyle name="40% - Ênfase1 2 3 3 2 4" xfId="9281" xr:uid="{00000000-0005-0000-0000-0000AF230000}"/>
    <cellStyle name="40% - Ênfase1 2 3 3 3" xfId="9282" xr:uid="{00000000-0005-0000-0000-0000B0230000}"/>
    <cellStyle name="40% - Ênfase1 2 3 3 3 2" xfId="9283" xr:uid="{00000000-0005-0000-0000-0000B1230000}"/>
    <cellStyle name="40% - Ênfase1 2 3 3 3 2 2" xfId="9284" xr:uid="{00000000-0005-0000-0000-0000B2230000}"/>
    <cellStyle name="40% - Ênfase1 2 3 3 3 3" xfId="9285" xr:uid="{00000000-0005-0000-0000-0000B3230000}"/>
    <cellStyle name="40% - Ênfase1 2 3 3 3 3 2" xfId="9286" xr:uid="{00000000-0005-0000-0000-0000B4230000}"/>
    <cellStyle name="40% - Ênfase1 2 3 3 3 4" xfId="9287" xr:uid="{00000000-0005-0000-0000-0000B5230000}"/>
    <cellStyle name="40% - Ênfase1 2 3 3 4" xfId="9288" xr:uid="{00000000-0005-0000-0000-0000B6230000}"/>
    <cellStyle name="40% - Ênfase1 2 3 3 4 2" xfId="9289" xr:uid="{00000000-0005-0000-0000-0000B7230000}"/>
    <cellStyle name="40% - Ênfase1 2 3 3 5" xfId="9290" xr:uid="{00000000-0005-0000-0000-0000B8230000}"/>
    <cellStyle name="40% - Ênfase1 2 3 3 5 2" xfId="9291" xr:uid="{00000000-0005-0000-0000-0000B9230000}"/>
    <cellStyle name="40% - Ênfase1 2 3 3 6" xfId="9292" xr:uid="{00000000-0005-0000-0000-0000BA230000}"/>
    <cellStyle name="40% - Ênfase1 2 3 4" xfId="9293" xr:uid="{00000000-0005-0000-0000-0000BB230000}"/>
    <cellStyle name="40% - Ênfase1 2 3 4 2" xfId="9294" xr:uid="{00000000-0005-0000-0000-0000BC230000}"/>
    <cellStyle name="40% - Ênfase1 2 3 4 2 2" xfId="9295" xr:uid="{00000000-0005-0000-0000-0000BD230000}"/>
    <cellStyle name="40% - Ênfase1 2 3 4 2 2 2" xfId="9296" xr:uid="{00000000-0005-0000-0000-0000BE230000}"/>
    <cellStyle name="40% - Ênfase1 2 3 4 2 3" xfId="9297" xr:uid="{00000000-0005-0000-0000-0000BF230000}"/>
    <cellStyle name="40% - Ênfase1 2 3 4 2 3 2" xfId="9298" xr:uid="{00000000-0005-0000-0000-0000C0230000}"/>
    <cellStyle name="40% - Ênfase1 2 3 4 2 4" xfId="9299" xr:uid="{00000000-0005-0000-0000-0000C1230000}"/>
    <cellStyle name="40% - Ênfase1 2 3 4 3" xfId="9300" xr:uid="{00000000-0005-0000-0000-0000C2230000}"/>
    <cellStyle name="40% - Ênfase1 2 3 4 3 2" xfId="9301" xr:uid="{00000000-0005-0000-0000-0000C3230000}"/>
    <cellStyle name="40% - Ênfase1 2 3 4 3 2 2" xfId="9302" xr:uid="{00000000-0005-0000-0000-0000C4230000}"/>
    <cellStyle name="40% - Ênfase1 2 3 4 3 3" xfId="9303" xr:uid="{00000000-0005-0000-0000-0000C5230000}"/>
    <cellStyle name="40% - Ênfase1 2 3 4 3 3 2" xfId="9304" xr:uid="{00000000-0005-0000-0000-0000C6230000}"/>
    <cellStyle name="40% - Ênfase1 2 3 4 3 4" xfId="9305" xr:uid="{00000000-0005-0000-0000-0000C7230000}"/>
    <cellStyle name="40% - Ênfase1 2 3 4 4" xfId="9306" xr:uid="{00000000-0005-0000-0000-0000C8230000}"/>
    <cellStyle name="40% - Ênfase1 2 3 4 4 2" xfId="9307" xr:uid="{00000000-0005-0000-0000-0000C9230000}"/>
    <cellStyle name="40% - Ênfase1 2 3 4 5" xfId="9308" xr:uid="{00000000-0005-0000-0000-0000CA230000}"/>
    <cellStyle name="40% - Ênfase1 2 3 4 5 2" xfId="9309" xr:uid="{00000000-0005-0000-0000-0000CB230000}"/>
    <cellStyle name="40% - Ênfase1 2 3 4 6" xfId="9310" xr:uid="{00000000-0005-0000-0000-0000CC230000}"/>
    <cellStyle name="40% - Ênfase1 2 3 5" xfId="9311" xr:uid="{00000000-0005-0000-0000-0000CD230000}"/>
    <cellStyle name="40% - Ênfase1 2 3 5 2" xfId="9312" xr:uid="{00000000-0005-0000-0000-0000CE230000}"/>
    <cellStyle name="40% - Ênfase1 2 3 5 2 2" xfId="9313" xr:uid="{00000000-0005-0000-0000-0000CF230000}"/>
    <cellStyle name="40% - Ênfase1 2 3 5 3" xfId="9314" xr:uid="{00000000-0005-0000-0000-0000D0230000}"/>
    <cellStyle name="40% - Ênfase1 2 3 5 3 2" xfId="9315" xr:uid="{00000000-0005-0000-0000-0000D1230000}"/>
    <cellStyle name="40% - Ênfase1 2 3 5 4" xfId="9316" xr:uid="{00000000-0005-0000-0000-0000D2230000}"/>
    <cellStyle name="40% - Ênfase1 2 3 6" xfId="9317" xr:uid="{00000000-0005-0000-0000-0000D3230000}"/>
    <cellStyle name="40% - Ênfase1 2 3 6 2" xfId="9318" xr:uid="{00000000-0005-0000-0000-0000D4230000}"/>
    <cellStyle name="40% - Ênfase1 2 3 6 2 2" xfId="9319" xr:uid="{00000000-0005-0000-0000-0000D5230000}"/>
    <cellStyle name="40% - Ênfase1 2 3 6 3" xfId="9320" xr:uid="{00000000-0005-0000-0000-0000D6230000}"/>
    <cellStyle name="40% - Ênfase1 2 3 7" xfId="9321" xr:uid="{00000000-0005-0000-0000-0000D7230000}"/>
    <cellStyle name="40% - Ênfase1 2 3 7 2" xfId="9322" xr:uid="{00000000-0005-0000-0000-0000D8230000}"/>
    <cellStyle name="40% - Ênfase1 2 3 7 2 2" xfId="9323" xr:uid="{00000000-0005-0000-0000-0000D9230000}"/>
    <cellStyle name="40% - Ênfase1 2 3 7 3" xfId="9324" xr:uid="{00000000-0005-0000-0000-0000DA230000}"/>
    <cellStyle name="40% - Ênfase1 2 3 8" xfId="9325" xr:uid="{00000000-0005-0000-0000-0000DB230000}"/>
    <cellStyle name="40% - Ênfase1 2 3 8 2" xfId="9326" xr:uid="{00000000-0005-0000-0000-0000DC230000}"/>
    <cellStyle name="40% - Ênfase1 2 3 8 2 2" xfId="9327" xr:uid="{00000000-0005-0000-0000-0000DD230000}"/>
    <cellStyle name="40% - Ênfase1 2 3 8 3" xfId="9328" xr:uid="{00000000-0005-0000-0000-0000DE230000}"/>
    <cellStyle name="40% - Ênfase1 2 3 9" xfId="9329" xr:uid="{00000000-0005-0000-0000-0000DF230000}"/>
    <cellStyle name="40% - Ênfase1 2 3 9 2" xfId="9330" xr:uid="{00000000-0005-0000-0000-0000E0230000}"/>
    <cellStyle name="40% - Ênfase1 2 3 9 2 2" xfId="9331" xr:uid="{00000000-0005-0000-0000-0000E1230000}"/>
    <cellStyle name="40% - Ênfase1 2 3 9 3" xfId="9332" xr:uid="{00000000-0005-0000-0000-0000E2230000}"/>
    <cellStyle name="40% - Ênfase1 2 4" xfId="9333" xr:uid="{00000000-0005-0000-0000-0000E3230000}"/>
    <cellStyle name="40% - Ênfase1 2 4 10" xfId="9334" xr:uid="{00000000-0005-0000-0000-0000E4230000}"/>
    <cellStyle name="40% - Ênfase1 2 4 2" xfId="9335" xr:uid="{00000000-0005-0000-0000-0000E5230000}"/>
    <cellStyle name="40% - Ênfase1 2 4 2 2" xfId="9336" xr:uid="{00000000-0005-0000-0000-0000E6230000}"/>
    <cellStyle name="40% - Ênfase1 2 4 2 2 2" xfId="9337" xr:uid="{00000000-0005-0000-0000-0000E7230000}"/>
    <cellStyle name="40% - Ênfase1 2 4 2 2 2 2" xfId="9338" xr:uid="{00000000-0005-0000-0000-0000E8230000}"/>
    <cellStyle name="40% - Ênfase1 2 4 2 2 2 2 2" xfId="9339" xr:uid="{00000000-0005-0000-0000-0000E9230000}"/>
    <cellStyle name="40% - Ênfase1 2 4 2 2 2 3" xfId="9340" xr:uid="{00000000-0005-0000-0000-0000EA230000}"/>
    <cellStyle name="40% - Ênfase1 2 4 2 2 2 3 2" xfId="9341" xr:uid="{00000000-0005-0000-0000-0000EB230000}"/>
    <cellStyle name="40% - Ênfase1 2 4 2 2 2 4" xfId="9342" xr:uid="{00000000-0005-0000-0000-0000EC230000}"/>
    <cellStyle name="40% - Ênfase1 2 4 2 2 3" xfId="9343" xr:uid="{00000000-0005-0000-0000-0000ED230000}"/>
    <cellStyle name="40% - Ênfase1 2 4 2 2 3 2" xfId="9344" xr:uid="{00000000-0005-0000-0000-0000EE230000}"/>
    <cellStyle name="40% - Ênfase1 2 4 2 2 4" xfId="9345" xr:uid="{00000000-0005-0000-0000-0000EF230000}"/>
    <cellStyle name="40% - Ênfase1 2 4 2 2 4 2" xfId="9346" xr:uid="{00000000-0005-0000-0000-0000F0230000}"/>
    <cellStyle name="40% - Ênfase1 2 4 2 2 5" xfId="9347" xr:uid="{00000000-0005-0000-0000-0000F1230000}"/>
    <cellStyle name="40% - Ênfase1 2 4 2 3" xfId="9348" xr:uid="{00000000-0005-0000-0000-0000F2230000}"/>
    <cellStyle name="40% - Ênfase1 2 4 2 3 2" xfId="9349" xr:uid="{00000000-0005-0000-0000-0000F3230000}"/>
    <cellStyle name="40% - Ênfase1 2 4 2 3 2 2" xfId="9350" xr:uid="{00000000-0005-0000-0000-0000F4230000}"/>
    <cellStyle name="40% - Ênfase1 2 4 2 3 3" xfId="9351" xr:uid="{00000000-0005-0000-0000-0000F5230000}"/>
    <cellStyle name="40% - Ênfase1 2 4 2 3 3 2" xfId="9352" xr:uid="{00000000-0005-0000-0000-0000F6230000}"/>
    <cellStyle name="40% - Ênfase1 2 4 2 3 4" xfId="9353" xr:uid="{00000000-0005-0000-0000-0000F7230000}"/>
    <cellStyle name="40% - Ênfase1 2 4 2 4" xfId="9354" xr:uid="{00000000-0005-0000-0000-0000F8230000}"/>
    <cellStyle name="40% - Ênfase1 2 4 2 4 2" xfId="9355" xr:uid="{00000000-0005-0000-0000-0000F9230000}"/>
    <cellStyle name="40% - Ênfase1 2 4 2 4 2 2" xfId="9356" xr:uid="{00000000-0005-0000-0000-0000FA230000}"/>
    <cellStyle name="40% - Ênfase1 2 4 2 4 3" xfId="9357" xr:uid="{00000000-0005-0000-0000-0000FB230000}"/>
    <cellStyle name="40% - Ênfase1 2 4 2 5" xfId="9358" xr:uid="{00000000-0005-0000-0000-0000FC230000}"/>
    <cellStyle name="40% - Ênfase1 2 4 2 5 2" xfId="9359" xr:uid="{00000000-0005-0000-0000-0000FD230000}"/>
    <cellStyle name="40% - Ênfase1 2 4 2 6" xfId="9360" xr:uid="{00000000-0005-0000-0000-0000FE230000}"/>
    <cellStyle name="40% - Ênfase1 2 4 3" xfId="9361" xr:uid="{00000000-0005-0000-0000-0000FF230000}"/>
    <cellStyle name="40% - Ênfase1 2 4 3 2" xfId="9362" xr:uid="{00000000-0005-0000-0000-000000240000}"/>
    <cellStyle name="40% - Ênfase1 2 4 3 2 2" xfId="9363" xr:uid="{00000000-0005-0000-0000-000001240000}"/>
    <cellStyle name="40% - Ênfase1 2 4 3 2 2 2" xfId="9364" xr:uid="{00000000-0005-0000-0000-000002240000}"/>
    <cellStyle name="40% - Ênfase1 2 4 3 2 3" xfId="9365" xr:uid="{00000000-0005-0000-0000-000003240000}"/>
    <cellStyle name="40% - Ênfase1 2 4 3 2 3 2" xfId="9366" xr:uid="{00000000-0005-0000-0000-000004240000}"/>
    <cellStyle name="40% - Ênfase1 2 4 3 2 4" xfId="9367" xr:uid="{00000000-0005-0000-0000-000005240000}"/>
    <cellStyle name="40% - Ênfase1 2 4 3 3" xfId="9368" xr:uid="{00000000-0005-0000-0000-000006240000}"/>
    <cellStyle name="40% - Ênfase1 2 4 3 3 2" xfId="9369" xr:uid="{00000000-0005-0000-0000-000007240000}"/>
    <cellStyle name="40% - Ênfase1 2 4 3 3 2 2" xfId="9370" xr:uid="{00000000-0005-0000-0000-000008240000}"/>
    <cellStyle name="40% - Ênfase1 2 4 3 3 3" xfId="9371" xr:uid="{00000000-0005-0000-0000-000009240000}"/>
    <cellStyle name="40% - Ênfase1 2 4 3 3 3 2" xfId="9372" xr:uid="{00000000-0005-0000-0000-00000A240000}"/>
    <cellStyle name="40% - Ênfase1 2 4 3 3 4" xfId="9373" xr:uid="{00000000-0005-0000-0000-00000B240000}"/>
    <cellStyle name="40% - Ênfase1 2 4 3 4" xfId="9374" xr:uid="{00000000-0005-0000-0000-00000C240000}"/>
    <cellStyle name="40% - Ênfase1 2 4 3 4 2" xfId="9375" xr:uid="{00000000-0005-0000-0000-00000D240000}"/>
    <cellStyle name="40% - Ênfase1 2 4 3 5" xfId="9376" xr:uid="{00000000-0005-0000-0000-00000E240000}"/>
    <cellStyle name="40% - Ênfase1 2 4 3 5 2" xfId="9377" xr:uid="{00000000-0005-0000-0000-00000F240000}"/>
    <cellStyle name="40% - Ênfase1 2 4 3 6" xfId="9378" xr:uid="{00000000-0005-0000-0000-000010240000}"/>
    <cellStyle name="40% - Ênfase1 2 4 4" xfId="9379" xr:uid="{00000000-0005-0000-0000-000011240000}"/>
    <cellStyle name="40% - Ênfase1 2 4 4 2" xfId="9380" xr:uid="{00000000-0005-0000-0000-000012240000}"/>
    <cellStyle name="40% - Ênfase1 2 4 4 2 2" xfId="9381" xr:uid="{00000000-0005-0000-0000-000013240000}"/>
    <cellStyle name="40% - Ênfase1 2 4 4 3" xfId="9382" xr:uid="{00000000-0005-0000-0000-000014240000}"/>
    <cellStyle name="40% - Ênfase1 2 4 4 3 2" xfId="9383" xr:uid="{00000000-0005-0000-0000-000015240000}"/>
    <cellStyle name="40% - Ênfase1 2 4 4 4" xfId="9384" xr:uid="{00000000-0005-0000-0000-000016240000}"/>
    <cellStyle name="40% - Ênfase1 2 4 5" xfId="9385" xr:uid="{00000000-0005-0000-0000-000017240000}"/>
    <cellStyle name="40% - Ênfase1 2 4 5 2" xfId="9386" xr:uid="{00000000-0005-0000-0000-000018240000}"/>
    <cellStyle name="40% - Ênfase1 2 4 5 2 2" xfId="9387" xr:uid="{00000000-0005-0000-0000-000019240000}"/>
    <cellStyle name="40% - Ênfase1 2 4 5 3" xfId="9388" xr:uid="{00000000-0005-0000-0000-00001A240000}"/>
    <cellStyle name="40% - Ênfase1 2 4 6" xfId="9389" xr:uid="{00000000-0005-0000-0000-00001B240000}"/>
    <cellStyle name="40% - Ênfase1 2 4 6 2" xfId="9390" xr:uid="{00000000-0005-0000-0000-00001C240000}"/>
    <cellStyle name="40% - Ênfase1 2 4 6 2 2" xfId="9391" xr:uid="{00000000-0005-0000-0000-00001D240000}"/>
    <cellStyle name="40% - Ênfase1 2 4 6 3" xfId="9392" xr:uid="{00000000-0005-0000-0000-00001E240000}"/>
    <cellStyle name="40% - Ênfase1 2 4 7" xfId="9393" xr:uid="{00000000-0005-0000-0000-00001F240000}"/>
    <cellStyle name="40% - Ênfase1 2 4 7 2" xfId="9394" xr:uid="{00000000-0005-0000-0000-000020240000}"/>
    <cellStyle name="40% - Ênfase1 2 4 7 2 2" xfId="9395" xr:uid="{00000000-0005-0000-0000-000021240000}"/>
    <cellStyle name="40% - Ênfase1 2 4 7 3" xfId="9396" xr:uid="{00000000-0005-0000-0000-000022240000}"/>
    <cellStyle name="40% - Ênfase1 2 4 8" xfId="9397" xr:uid="{00000000-0005-0000-0000-000023240000}"/>
    <cellStyle name="40% - Ênfase1 2 4 8 2" xfId="9398" xr:uid="{00000000-0005-0000-0000-000024240000}"/>
    <cellStyle name="40% - Ênfase1 2 4 8 2 2" xfId="9399" xr:uid="{00000000-0005-0000-0000-000025240000}"/>
    <cellStyle name="40% - Ênfase1 2 4 8 3" xfId="9400" xr:uid="{00000000-0005-0000-0000-000026240000}"/>
    <cellStyle name="40% - Ênfase1 2 4 9" xfId="9401" xr:uid="{00000000-0005-0000-0000-000027240000}"/>
    <cellStyle name="40% - Ênfase1 2 4 9 2" xfId="9402" xr:uid="{00000000-0005-0000-0000-000028240000}"/>
    <cellStyle name="40% - Ênfase1 2 5" xfId="9403" xr:uid="{00000000-0005-0000-0000-000029240000}"/>
    <cellStyle name="40% - Ênfase1 2 5 2" xfId="9404" xr:uid="{00000000-0005-0000-0000-00002A240000}"/>
    <cellStyle name="40% - Ênfase1 2 5 2 2" xfId="9405" xr:uid="{00000000-0005-0000-0000-00002B240000}"/>
    <cellStyle name="40% - Ênfase1 2 5 2 2 2" xfId="9406" xr:uid="{00000000-0005-0000-0000-00002C240000}"/>
    <cellStyle name="40% - Ênfase1 2 5 2 2 2 2" xfId="9407" xr:uid="{00000000-0005-0000-0000-00002D240000}"/>
    <cellStyle name="40% - Ênfase1 2 5 2 2 2 2 2" xfId="9408" xr:uid="{00000000-0005-0000-0000-00002E240000}"/>
    <cellStyle name="40% - Ênfase1 2 5 2 2 2 3" xfId="9409" xr:uid="{00000000-0005-0000-0000-00002F240000}"/>
    <cellStyle name="40% - Ênfase1 2 5 2 2 2 3 2" xfId="9410" xr:uid="{00000000-0005-0000-0000-000030240000}"/>
    <cellStyle name="40% - Ênfase1 2 5 2 2 2 4" xfId="9411" xr:uid="{00000000-0005-0000-0000-000031240000}"/>
    <cellStyle name="40% - Ênfase1 2 5 2 2 3" xfId="9412" xr:uid="{00000000-0005-0000-0000-000032240000}"/>
    <cellStyle name="40% - Ênfase1 2 5 2 2 3 2" xfId="9413" xr:uid="{00000000-0005-0000-0000-000033240000}"/>
    <cellStyle name="40% - Ênfase1 2 5 2 2 4" xfId="9414" xr:uid="{00000000-0005-0000-0000-000034240000}"/>
    <cellStyle name="40% - Ênfase1 2 5 2 2 4 2" xfId="9415" xr:uid="{00000000-0005-0000-0000-000035240000}"/>
    <cellStyle name="40% - Ênfase1 2 5 2 2 5" xfId="9416" xr:uid="{00000000-0005-0000-0000-000036240000}"/>
    <cellStyle name="40% - Ênfase1 2 5 2 3" xfId="9417" xr:uid="{00000000-0005-0000-0000-000037240000}"/>
    <cellStyle name="40% - Ênfase1 2 5 2 3 2" xfId="9418" xr:uid="{00000000-0005-0000-0000-000038240000}"/>
    <cellStyle name="40% - Ênfase1 2 5 2 3 2 2" xfId="9419" xr:uid="{00000000-0005-0000-0000-000039240000}"/>
    <cellStyle name="40% - Ênfase1 2 5 2 3 3" xfId="9420" xr:uid="{00000000-0005-0000-0000-00003A240000}"/>
    <cellStyle name="40% - Ênfase1 2 5 2 3 3 2" xfId="9421" xr:uid="{00000000-0005-0000-0000-00003B240000}"/>
    <cellStyle name="40% - Ênfase1 2 5 2 3 4" xfId="9422" xr:uid="{00000000-0005-0000-0000-00003C240000}"/>
    <cellStyle name="40% - Ênfase1 2 5 2 4" xfId="9423" xr:uid="{00000000-0005-0000-0000-00003D240000}"/>
    <cellStyle name="40% - Ênfase1 2 5 2 4 2" xfId="9424" xr:uid="{00000000-0005-0000-0000-00003E240000}"/>
    <cellStyle name="40% - Ênfase1 2 5 2 4 2 2" xfId="9425" xr:uid="{00000000-0005-0000-0000-00003F240000}"/>
    <cellStyle name="40% - Ênfase1 2 5 2 4 3" xfId="9426" xr:uid="{00000000-0005-0000-0000-000040240000}"/>
    <cellStyle name="40% - Ênfase1 2 5 2 5" xfId="9427" xr:uid="{00000000-0005-0000-0000-000041240000}"/>
    <cellStyle name="40% - Ênfase1 2 5 2 5 2" xfId="9428" xr:uid="{00000000-0005-0000-0000-000042240000}"/>
    <cellStyle name="40% - Ênfase1 2 5 2 6" xfId="9429" xr:uid="{00000000-0005-0000-0000-000043240000}"/>
    <cellStyle name="40% - Ênfase1 2 5 3" xfId="9430" xr:uid="{00000000-0005-0000-0000-000044240000}"/>
    <cellStyle name="40% - Ênfase1 2 5 3 2" xfId="9431" xr:uid="{00000000-0005-0000-0000-000045240000}"/>
    <cellStyle name="40% - Ênfase1 2 5 3 2 2" xfId="9432" xr:uid="{00000000-0005-0000-0000-000046240000}"/>
    <cellStyle name="40% - Ênfase1 2 5 3 2 2 2" xfId="9433" xr:uid="{00000000-0005-0000-0000-000047240000}"/>
    <cellStyle name="40% - Ênfase1 2 5 3 2 3" xfId="9434" xr:uid="{00000000-0005-0000-0000-000048240000}"/>
    <cellStyle name="40% - Ênfase1 2 5 3 2 3 2" xfId="9435" xr:uid="{00000000-0005-0000-0000-000049240000}"/>
    <cellStyle name="40% - Ênfase1 2 5 3 2 4" xfId="9436" xr:uid="{00000000-0005-0000-0000-00004A240000}"/>
    <cellStyle name="40% - Ênfase1 2 5 3 3" xfId="9437" xr:uid="{00000000-0005-0000-0000-00004B240000}"/>
    <cellStyle name="40% - Ênfase1 2 5 3 3 2" xfId="9438" xr:uid="{00000000-0005-0000-0000-00004C240000}"/>
    <cellStyle name="40% - Ênfase1 2 5 3 4" xfId="9439" xr:uid="{00000000-0005-0000-0000-00004D240000}"/>
    <cellStyle name="40% - Ênfase1 2 5 3 4 2" xfId="9440" xr:uid="{00000000-0005-0000-0000-00004E240000}"/>
    <cellStyle name="40% - Ênfase1 2 5 3 5" xfId="9441" xr:uid="{00000000-0005-0000-0000-00004F240000}"/>
    <cellStyle name="40% - Ênfase1 2 5 4" xfId="9442" xr:uid="{00000000-0005-0000-0000-000050240000}"/>
    <cellStyle name="40% - Ênfase1 2 5 4 2" xfId="9443" xr:uid="{00000000-0005-0000-0000-000051240000}"/>
    <cellStyle name="40% - Ênfase1 2 5 4 2 2" xfId="9444" xr:uid="{00000000-0005-0000-0000-000052240000}"/>
    <cellStyle name="40% - Ênfase1 2 5 4 3" xfId="9445" xr:uid="{00000000-0005-0000-0000-000053240000}"/>
    <cellStyle name="40% - Ênfase1 2 5 4 3 2" xfId="9446" xr:uid="{00000000-0005-0000-0000-000054240000}"/>
    <cellStyle name="40% - Ênfase1 2 5 4 4" xfId="9447" xr:uid="{00000000-0005-0000-0000-000055240000}"/>
    <cellStyle name="40% - Ênfase1 2 5 5" xfId="9448" xr:uid="{00000000-0005-0000-0000-000056240000}"/>
    <cellStyle name="40% - Ênfase1 2 5 5 2" xfId="9449" xr:uid="{00000000-0005-0000-0000-000057240000}"/>
    <cellStyle name="40% - Ênfase1 2 5 5 2 2" xfId="9450" xr:uid="{00000000-0005-0000-0000-000058240000}"/>
    <cellStyle name="40% - Ênfase1 2 5 5 3" xfId="9451" xr:uid="{00000000-0005-0000-0000-000059240000}"/>
    <cellStyle name="40% - Ênfase1 2 5 6" xfId="9452" xr:uid="{00000000-0005-0000-0000-00005A240000}"/>
    <cellStyle name="40% - Ênfase1 2 5 6 2" xfId="9453" xr:uid="{00000000-0005-0000-0000-00005B240000}"/>
    <cellStyle name="40% - Ênfase1 2 5 7" xfId="9454" xr:uid="{00000000-0005-0000-0000-00005C240000}"/>
    <cellStyle name="40% - Ênfase1 2 6" xfId="9455" xr:uid="{00000000-0005-0000-0000-00005D240000}"/>
    <cellStyle name="40% - Ênfase1 2 6 2" xfId="9456" xr:uid="{00000000-0005-0000-0000-00005E240000}"/>
    <cellStyle name="40% - Ênfase1 2 6 2 2" xfId="9457" xr:uid="{00000000-0005-0000-0000-00005F240000}"/>
    <cellStyle name="40% - Ênfase1 2 6 2 2 2" xfId="9458" xr:uid="{00000000-0005-0000-0000-000060240000}"/>
    <cellStyle name="40% - Ênfase1 2 6 2 2 2 2" xfId="9459" xr:uid="{00000000-0005-0000-0000-000061240000}"/>
    <cellStyle name="40% - Ênfase1 2 6 2 2 2 2 2" xfId="9460" xr:uid="{00000000-0005-0000-0000-000062240000}"/>
    <cellStyle name="40% - Ênfase1 2 6 2 2 2 3" xfId="9461" xr:uid="{00000000-0005-0000-0000-000063240000}"/>
    <cellStyle name="40% - Ênfase1 2 6 2 2 2 3 2" xfId="9462" xr:uid="{00000000-0005-0000-0000-000064240000}"/>
    <cellStyle name="40% - Ênfase1 2 6 2 2 2 4" xfId="9463" xr:uid="{00000000-0005-0000-0000-000065240000}"/>
    <cellStyle name="40% - Ênfase1 2 6 2 2 3" xfId="9464" xr:uid="{00000000-0005-0000-0000-000066240000}"/>
    <cellStyle name="40% - Ênfase1 2 6 2 2 3 2" xfId="9465" xr:uid="{00000000-0005-0000-0000-000067240000}"/>
    <cellStyle name="40% - Ênfase1 2 6 2 2 4" xfId="9466" xr:uid="{00000000-0005-0000-0000-000068240000}"/>
    <cellStyle name="40% - Ênfase1 2 6 2 2 4 2" xfId="9467" xr:uid="{00000000-0005-0000-0000-000069240000}"/>
    <cellStyle name="40% - Ênfase1 2 6 2 2 5" xfId="9468" xr:uid="{00000000-0005-0000-0000-00006A240000}"/>
    <cellStyle name="40% - Ênfase1 2 6 2 3" xfId="9469" xr:uid="{00000000-0005-0000-0000-00006B240000}"/>
    <cellStyle name="40% - Ênfase1 2 6 2 3 2" xfId="9470" xr:uid="{00000000-0005-0000-0000-00006C240000}"/>
    <cellStyle name="40% - Ênfase1 2 6 2 3 2 2" xfId="9471" xr:uid="{00000000-0005-0000-0000-00006D240000}"/>
    <cellStyle name="40% - Ênfase1 2 6 2 3 3" xfId="9472" xr:uid="{00000000-0005-0000-0000-00006E240000}"/>
    <cellStyle name="40% - Ênfase1 2 6 2 3 3 2" xfId="9473" xr:uid="{00000000-0005-0000-0000-00006F240000}"/>
    <cellStyle name="40% - Ênfase1 2 6 2 3 4" xfId="9474" xr:uid="{00000000-0005-0000-0000-000070240000}"/>
    <cellStyle name="40% - Ênfase1 2 6 2 4" xfId="9475" xr:uid="{00000000-0005-0000-0000-000071240000}"/>
    <cellStyle name="40% - Ênfase1 2 6 2 4 2" xfId="9476" xr:uid="{00000000-0005-0000-0000-000072240000}"/>
    <cellStyle name="40% - Ênfase1 2 6 2 4 2 2" xfId="9477" xr:uid="{00000000-0005-0000-0000-000073240000}"/>
    <cellStyle name="40% - Ênfase1 2 6 2 4 3" xfId="9478" xr:uid="{00000000-0005-0000-0000-000074240000}"/>
    <cellStyle name="40% - Ênfase1 2 6 2 5" xfId="9479" xr:uid="{00000000-0005-0000-0000-000075240000}"/>
    <cellStyle name="40% - Ênfase1 2 6 2 5 2" xfId="9480" xr:uid="{00000000-0005-0000-0000-000076240000}"/>
    <cellStyle name="40% - Ênfase1 2 6 2 6" xfId="9481" xr:uid="{00000000-0005-0000-0000-000077240000}"/>
    <cellStyle name="40% - Ênfase1 2 6 3" xfId="9482" xr:uid="{00000000-0005-0000-0000-000078240000}"/>
    <cellStyle name="40% - Ênfase1 2 6 3 2" xfId="9483" xr:uid="{00000000-0005-0000-0000-000079240000}"/>
    <cellStyle name="40% - Ênfase1 2 6 3 2 2" xfId="9484" xr:uid="{00000000-0005-0000-0000-00007A240000}"/>
    <cellStyle name="40% - Ênfase1 2 6 3 2 2 2" xfId="9485" xr:uid="{00000000-0005-0000-0000-00007B240000}"/>
    <cellStyle name="40% - Ênfase1 2 6 3 2 3" xfId="9486" xr:uid="{00000000-0005-0000-0000-00007C240000}"/>
    <cellStyle name="40% - Ênfase1 2 6 3 2 3 2" xfId="9487" xr:uid="{00000000-0005-0000-0000-00007D240000}"/>
    <cellStyle name="40% - Ênfase1 2 6 3 2 4" xfId="9488" xr:uid="{00000000-0005-0000-0000-00007E240000}"/>
    <cellStyle name="40% - Ênfase1 2 6 3 3" xfId="9489" xr:uid="{00000000-0005-0000-0000-00007F240000}"/>
    <cellStyle name="40% - Ênfase1 2 6 3 3 2" xfId="9490" xr:uid="{00000000-0005-0000-0000-000080240000}"/>
    <cellStyle name="40% - Ênfase1 2 6 3 4" xfId="9491" xr:uid="{00000000-0005-0000-0000-000081240000}"/>
    <cellStyle name="40% - Ênfase1 2 6 3 4 2" xfId="9492" xr:uid="{00000000-0005-0000-0000-000082240000}"/>
    <cellStyle name="40% - Ênfase1 2 6 3 5" xfId="9493" xr:uid="{00000000-0005-0000-0000-000083240000}"/>
    <cellStyle name="40% - Ênfase1 2 6 4" xfId="9494" xr:uid="{00000000-0005-0000-0000-000084240000}"/>
    <cellStyle name="40% - Ênfase1 2 6 4 2" xfId="9495" xr:uid="{00000000-0005-0000-0000-000085240000}"/>
    <cellStyle name="40% - Ênfase1 2 6 4 2 2" xfId="9496" xr:uid="{00000000-0005-0000-0000-000086240000}"/>
    <cellStyle name="40% - Ênfase1 2 6 4 3" xfId="9497" xr:uid="{00000000-0005-0000-0000-000087240000}"/>
    <cellStyle name="40% - Ênfase1 2 6 4 3 2" xfId="9498" xr:uid="{00000000-0005-0000-0000-000088240000}"/>
    <cellStyle name="40% - Ênfase1 2 6 4 4" xfId="9499" xr:uid="{00000000-0005-0000-0000-000089240000}"/>
    <cellStyle name="40% - Ênfase1 2 6 5" xfId="9500" xr:uid="{00000000-0005-0000-0000-00008A240000}"/>
    <cellStyle name="40% - Ênfase1 2 6 5 2" xfId="9501" xr:uid="{00000000-0005-0000-0000-00008B240000}"/>
    <cellStyle name="40% - Ênfase1 2 6 5 2 2" xfId="9502" xr:uid="{00000000-0005-0000-0000-00008C240000}"/>
    <cellStyle name="40% - Ênfase1 2 6 5 3" xfId="9503" xr:uid="{00000000-0005-0000-0000-00008D240000}"/>
    <cellStyle name="40% - Ênfase1 2 6 6" xfId="9504" xr:uid="{00000000-0005-0000-0000-00008E240000}"/>
    <cellStyle name="40% - Ênfase1 2 6 6 2" xfId="9505" xr:uid="{00000000-0005-0000-0000-00008F240000}"/>
    <cellStyle name="40% - Ênfase1 2 6 7" xfId="9506" xr:uid="{00000000-0005-0000-0000-000090240000}"/>
    <cellStyle name="40% - Ênfase1 2 7" xfId="9507" xr:uid="{00000000-0005-0000-0000-000091240000}"/>
    <cellStyle name="40% - Ênfase1 2 7 2" xfId="9508" xr:uid="{00000000-0005-0000-0000-000092240000}"/>
    <cellStyle name="40% - Ênfase1 2 7 2 2" xfId="9509" xr:uid="{00000000-0005-0000-0000-000093240000}"/>
    <cellStyle name="40% - Ênfase1 2 7 2 2 2" xfId="9510" xr:uid="{00000000-0005-0000-0000-000094240000}"/>
    <cellStyle name="40% - Ênfase1 2 7 2 2 2 2" xfId="9511" xr:uid="{00000000-0005-0000-0000-000095240000}"/>
    <cellStyle name="40% - Ênfase1 2 7 2 2 3" xfId="9512" xr:uid="{00000000-0005-0000-0000-000096240000}"/>
    <cellStyle name="40% - Ênfase1 2 7 2 2 3 2" xfId="9513" xr:uid="{00000000-0005-0000-0000-000097240000}"/>
    <cellStyle name="40% - Ênfase1 2 7 2 2 4" xfId="9514" xr:uid="{00000000-0005-0000-0000-000098240000}"/>
    <cellStyle name="40% - Ênfase1 2 7 2 3" xfId="9515" xr:uid="{00000000-0005-0000-0000-000099240000}"/>
    <cellStyle name="40% - Ênfase1 2 7 2 3 2" xfId="9516" xr:uid="{00000000-0005-0000-0000-00009A240000}"/>
    <cellStyle name="40% - Ênfase1 2 7 2 4" xfId="9517" xr:uid="{00000000-0005-0000-0000-00009B240000}"/>
    <cellStyle name="40% - Ênfase1 2 7 2 4 2" xfId="9518" xr:uid="{00000000-0005-0000-0000-00009C240000}"/>
    <cellStyle name="40% - Ênfase1 2 7 2 5" xfId="9519" xr:uid="{00000000-0005-0000-0000-00009D240000}"/>
    <cellStyle name="40% - Ênfase1 2 7 3" xfId="9520" xr:uid="{00000000-0005-0000-0000-00009E240000}"/>
    <cellStyle name="40% - Ênfase1 2 7 3 2" xfId="9521" xr:uid="{00000000-0005-0000-0000-00009F240000}"/>
    <cellStyle name="40% - Ênfase1 2 7 3 2 2" xfId="9522" xr:uid="{00000000-0005-0000-0000-0000A0240000}"/>
    <cellStyle name="40% - Ênfase1 2 7 3 3" xfId="9523" xr:uid="{00000000-0005-0000-0000-0000A1240000}"/>
    <cellStyle name="40% - Ênfase1 2 7 3 3 2" xfId="9524" xr:uid="{00000000-0005-0000-0000-0000A2240000}"/>
    <cellStyle name="40% - Ênfase1 2 7 3 4" xfId="9525" xr:uid="{00000000-0005-0000-0000-0000A3240000}"/>
    <cellStyle name="40% - Ênfase1 2 7 4" xfId="9526" xr:uid="{00000000-0005-0000-0000-0000A4240000}"/>
    <cellStyle name="40% - Ênfase1 2 7 4 2" xfId="9527" xr:uid="{00000000-0005-0000-0000-0000A5240000}"/>
    <cellStyle name="40% - Ênfase1 2 7 4 2 2" xfId="9528" xr:uid="{00000000-0005-0000-0000-0000A6240000}"/>
    <cellStyle name="40% - Ênfase1 2 7 4 3" xfId="9529" xr:uid="{00000000-0005-0000-0000-0000A7240000}"/>
    <cellStyle name="40% - Ênfase1 2 7 5" xfId="9530" xr:uid="{00000000-0005-0000-0000-0000A8240000}"/>
    <cellStyle name="40% - Ênfase1 2 7 5 2" xfId="9531" xr:uid="{00000000-0005-0000-0000-0000A9240000}"/>
    <cellStyle name="40% - Ênfase1 2 7 6" xfId="9532" xr:uid="{00000000-0005-0000-0000-0000AA240000}"/>
    <cellStyle name="40% - Ênfase1 2 8" xfId="9533" xr:uid="{00000000-0005-0000-0000-0000AB240000}"/>
    <cellStyle name="40% - Ênfase1 2 8 2" xfId="9534" xr:uid="{00000000-0005-0000-0000-0000AC240000}"/>
    <cellStyle name="40% - Ênfase1 2 8 2 2" xfId="9535" xr:uid="{00000000-0005-0000-0000-0000AD240000}"/>
    <cellStyle name="40% - Ênfase1 2 8 2 2 2" xfId="9536" xr:uid="{00000000-0005-0000-0000-0000AE240000}"/>
    <cellStyle name="40% - Ênfase1 2 8 2 3" xfId="9537" xr:uid="{00000000-0005-0000-0000-0000AF240000}"/>
    <cellStyle name="40% - Ênfase1 2 8 2 3 2" xfId="9538" xr:uid="{00000000-0005-0000-0000-0000B0240000}"/>
    <cellStyle name="40% - Ênfase1 2 8 2 4" xfId="9539" xr:uid="{00000000-0005-0000-0000-0000B1240000}"/>
    <cellStyle name="40% - Ênfase1 2 8 3" xfId="9540" xr:uid="{00000000-0005-0000-0000-0000B2240000}"/>
    <cellStyle name="40% - Ênfase1 2 8 3 2" xfId="9541" xr:uid="{00000000-0005-0000-0000-0000B3240000}"/>
    <cellStyle name="40% - Ênfase1 2 8 3 2 2" xfId="9542" xr:uid="{00000000-0005-0000-0000-0000B4240000}"/>
    <cellStyle name="40% - Ênfase1 2 8 3 3" xfId="9543" xr:uid="{00000000-0005-0000-0000-0000B5240000}"/>
    <cellStyle name="40% - Ênfase1 2 8 3 3 2" xfId="9544" xr:uid="{00000000-0005-0000-0000-0000B6240000}"/>
    <cellStyle name="40% - Ênfase1 2 8 3 4" xfId="9545" xr:uid="{00000000-0005-0000-0000-0000B7240000}"/>
    <cellStyle name="40% - Ênfase1 2 8 4" xfId="9546" xr:uid="{00000000-0005-0000-0000-0000B8240000}"/>
    <cellStyle name="40% - Ênfase1 2 8 4 2" xfId="9547" xr:uid="{00000000-0005-0000-0000-0000B9240000}"/>
    <cellStyle name="40% - Ênfase1 2 8 5" xfId="9548" xr:uid="{00000000-0005-0000-0000-0000BA240000}"/>
    <cellStyle name="40% - Ênfase1 2 8 5 2" xfId="9549" xr:uid="{00000000-0005-0000-0000-0000BB240000}"/>
    <cellStyle name="40% - Ênfase1 2 8 6" xfId="9550" xr:uid="{00000000-0005-0000-0000-0000BC240000}"/>
    <cellStyle name="40% - Ênfase1 2 9" xfId="9551" xr:uid="{00000000-0005-0000-0000-0000BD240000}"/>
    <cellStyle name="40% - Ênfase1 2 9 2" xfId="9552" xr:uid="{00000000-0005-0000-0000-0000BE240000}"/>
    <cellStyle name="40% - Ênfase1 2 9 2 2" xfId="9553" xr:uid="{00000000-0005-0000-0000-0000BF240000}"/>
    <cellStyle name="40% - Ênfase1 2 9 2 2 2" xfId="9554" xr:uid="{00000000-0005-0000-0000-0000C0240000}"/>
    <cellStyle name="40% - Ênfase1 2 9 2 3" xfId="9555" xr:uid="{00000000-0005-0000-0000-0000C1240000}"/>
    <cellStyle name="40% - Ênfase1 2 9 2 3 2" xfId="9556" xr:uid="{00000000-0005-0000-0000-0000C2240000}"/>
    <cellStyle name="40% - Ênfase1 2 9 2 4" xfId="9557" xr:uid="{00000000-0005-0000-0000-0000C3240000}"/>
    <cellStyle name="40% - Ênfase1 2 9 3" xfId="9558" xr:uid="{00000000-0005-0000-0000-0000C4240000}"/>
    <cellStyle name="40% - Ênfase1 2 9 3 2" xfId="9559" xr:uid="{00000000-0005-0000-0000-0000C5240000}"/>
    <cellStyle name="40% - Ênfase1 2 9 3 2 2" xfId="9560" xr:uid="{00000000-0005-0000-0000-0000C6240000}"/>
    <cellStyle name="40% - Ênfase1 2 9 3 3" xfId="9561" xr:uid="{00000000-0005-0000-0000-0000C7240000}"/>
    <cellStyle name="40% - Ênfase1 2 9 3 3 2" xfId="9562" xr:uid="{00000000-0005-0000-0000-0000C8240000}"/>
    <cellStyle name="40% - Ênfase1 2 9 3 4" xfId="9563" xr:uid="{00000000-0005-0000-0000-0000C9240000}"/>
    <cellStyle name="40% - Ênfase1 2 9 4" xfId="9564" xr:uid="{00000000-0005-0000-0000-0000CA240000}"/>
    <cellStyle name="40% - Ênfase1 2 9 4 2" xfId="9565" xr:uid="{00000000-0005-0000-0000-0000CB240000}"/>
    <cellStyle name="40% - Ênfase1 2 9 5" xfId="9566" xr:uid="{00000000-0005-0000-0000-0000CC240000}"/>
    <cellStyle name="40% - Ênfase1 2 9 5 2" xfId="9567" xr:uid="{00000000-0005-0000-0000-0000CD240000}"/>
    <cellStyle name="40% - Ênfase1 2 9 6" xfId="9568" xr:uid="{00000000-0005-0000-0000-0000CE240000}"/>
    <cellStyle name="40% - Ênfase1 20" xfId="9569" xr:uid="{00000000-0005-0000-0000-0000CF240000}"/>
    <cellStyle name="40% - Ênfase1 20 2" xfId="9570" xr:uid="{00000000-0005-0000-0000-0000D0240000}"/>
    <cellStyle name="40% - Ênfase1 20 2 2" xfId="9571" xr:uid="{00000000-0005-0000-0000-0000D1240000}"/>
    <cellStyle name="40% - Ênfase1 20 3" xfId="9572" xr:uid="{00000000-0005-0000-0000-0000D2240000}"/>
    <cellStyle name="40% - Ênfase1 21" xfId="9573" xr:uid="{00000000-0005-0000-0000-0000D3240000}"/>
    <cellStyle name="40% - Ênfase1 21 2" xfId="9574" xr:uid="{00000000-0005-0000-0000-0000D4240000}"/>
    <cellStyle name="40% - Ênfase1 21 2 2" xfId="9575" xr:uid="{00000000-0005-0000-0000-0000D5240000}"/>
    <cellStyle name="40% - Ênfase1 21 3" xfId="9576" xr:uid="{00000000-0005-0000-0000-0000D6240000}"/>
    <cellStyle name="40% - Ênfase1 22" xfId="9577" xr:uid="{00000000-0005-0000-0000-0000D7240000}"/>
    <cellStyle name="40% - Ênfase1 22 2" xfId="9578" xr:uid="{00000000-0005-0000-0000-0000D8240000}"/>
    <cellStyle name="40% - Ênfase1 22 2 2" xfId="9579" xr:uid="{00000000-0005-0000-0000-0000D9240000}"/>
    <cellStyle name="40% - Ênfase1 22 3" xfId="9580" xr:uid="{00000000-0005-0000-0000-0000DA240000}"/>
    <cellStyle name="40% - Ênfase1 23" xfId="9581" xr:uid="{00000000-0005-0000-0000-0000DB240000}"/>
    <cellStyle name="40% - Ênfase1 23 2" xfId="9582" xr:uid="{00000000-0005-0000-0000-0000DC240000}"/>
    <cellStyle name="40% - Ênfase1 23 2 2" xfId="9583" xr:uid="{00000000-0005-0000-0000-0000DD240000}"/>
    <cellStyle name="40% - Ênfase1 23 3" xfId="9584" xr:uid="{00000000-0005-0000-0000-0000DE240000}"/>
    <cellStyle name="40% - Ênfase1 24" xfId="9585" xr:uid="{00000000-0005-0000-0000-0000DF240000}"/>
    <cellStyle name="40% - Ênfase1 24 2" xfId="9586" xr:uid="{00000000-0005-0000-0000-0000E0240000}"/>
    <cellStyle name="40% - Ênfase1 24 2 2" xfId="9587" xr:uid="{00000000-0005-0000-0000-0000E1240000}"/>
    <cellStyle name="40% - Ênfase1 24 3" xfId="9588" xr:uid="{00000000-0005-0000-0000-0000E2240000}"/>
    <cellStyle name="40% - Ênfase1 25" xfId="9589" xr:uid="{00000000-0005-0000-0000-0000E3240000}"/>
    <cellStyle name="40% - Ênfase1 25 2" xfId="9590" xr:uid="{00000000-0005-0000-0000-0000E4240000}"/>
    <cellStyle name="40% - Ênfase1 25 2 2" xfId="9591" xr:uid="{00000000-0005-0000-0000-0000E5240000}"/>
    <cellStyle name="40% - Ênfase1 25 3" xfId="9592" xr:uid="{00000000-0005-0000-0000-0000E6240000}"/>
    <cellStyle name="40% - Ênfase1 26" xfId="9593" xr:uid="{00000000-0005-0000-0000-0000E7240000}"/>
    <cellStyle name="40% - Ênfase1 26 2" xfId="9594" xr:uid="{00000000-0005-0000-0000-0000E8240000}"/>
    <cellStyle name="40% - Ênfase1 26 2 2" xfId="9595" xr:uid="{00000000-0005-0000-0000-0000E9240000}"/>
    <cellStyle name="40% - Ênfase1 26 3" xfId="9596" xr:uid="{00000000-0005-0000-0000-0000EA240000}"/>
    <cellStyle name="40% - Ênfase1 27" xfId="9597" xr:uid="{00000000-0005-0000-0000-0000EB240000}"/>
    <cellStyle name="40% - Ênfase1 27 2" xfId="9598" xr:uid="{00000000-0005-0000-0000-0000EC240000}"/>
    <cellStyle name="40% - Ênfase1 27 2 2" xfId="9599" xr:uid="{00000000-0005-0000-0000-0000ED240000}"/>
    <cellStyle name="40% - Ênfase1 27 3" xfId="9600" xr:uid="{00000000-0005-0000-0000-0000EE240000}"/>
    <cellStyle name="40% - Ênfase1 28" xfId="9601" xr:uid="{00000000-0005-0000-0000-0000EF240000}"/>
    <cellStyle name="40% - Ênfase1 28 2" xfId="9602" xr:uid="{00000000-0005-0000-0000-0000F0240000}"/>
    <cellStyle name="40% - Ênfase1 28 2 2" xfId="9603" xr:uid="{00000000-0005-0000-0000-0000F1240000}"/>
    <cellStyle name="40% - Ênfase1 28 3" xfId="9604" xr:uid="{00000000-0005-0000-0000-0000F2240000}"/>
    <cellStyle name="40% - Ênfase1 29" xfId="9605" xr:uid="{00000000-0005-0000-0000-0000F3240000}"/>
    <cellStyle name="40% - Ênfase1 3" xfId="9606" xr:uid="{00000000-0005-0000-0000-0000F4240000}"/>
    <cellStyle name="40% - Ênfase1 3 10" xfId="9607" xr:uid="{00000000-0005-0000-0000-0000F5240000}"/>
    <cellStyle name="40% - Ênfase1 3 10 2" xfId="9608" xr:uid="{00000000-0005-0000-0000-0000F6240000}"/>
    <cellStyle name="40% - Ênfase1 3 10 2 2" xfId="9609" xr:uid="{00000000-0005-0000-0000-0000F7240000}"/>
    <cellStyle name="40% - Ênfase1 3 10 3" xfId="9610" xr:uid="{00000000-0005-0000-0000-0000F8240000}"/>
    <cellStyle name="40% - Ênfase1 3 11" xfId="9611" xr:uid="{00000000-0005-0000-0000-0000F9240000}"/>
    <cellStyle name="40% - Ênfase1 3 11 2" xfId="9612" xr:uid="{00000000-0005-0000-0000-0000FA240000}"/>
    <cellStyle name="40% - Ênfase1 3 12" xfId="9613" xr:uid="{00000000-0005-0000-0000-0000FB240000}"/>
    <cellStyle name="40% - Ênfase1 3 2" xfId="9614" xr:uid="{00000000-0005-0000-0000-0000FC240000}"/>
    <cellStyle name="40% - Ênfase1 3 2 10" xfId="9615" xr:uid="{00000000-0005-0000-0000-0000FD240000}"/>
    <cellStyle name="40% - Ênfase1 3 2 2" xfId="9616" xr:uid="{00000000-0005-0000-0000-0000FE240000}"/>
    <cellStyle name="40% - Ênfase1 3 2 2 2" xfId="9617" xr:uid="{00000000-0005-0000-0000-0000FF240000}"/>
    <cellStyle name="40% - Ênfase1 3 2 2 2 2" xfId="9618" xr:uid="{00000000-0005-0000-0000-000000250000}"/>
    <cellStyle name="40% - Ênfase1 3 2 2 2 2 2" xfId="9619" xr:uid="{00000000-0005-0000-0000-000001250000}"/>
    <cellStyle name="40% - Ênfase1 3 2 2 2 2 2 2" xfId="9620" xr:uid="{00000000-0005-0000-0000-000002250000}"/>
    <cellStyle name="40% - Ênfase1 3 2 2 2 2 3" xfId="9621" xr:uid="{00000000-0005-0000-0000-000003250000}"/>
    <cellStyle name="40% - Ênfase1 3 2 2 2 2 3 2" xfId="9622" xr:uid="{00000000-0005-0000-0000-000004250000}"/>
    <cellStyle name="40% - Ênfase1 3 2 2 2 2 4" xfId="9623" xr:uid="{00000000-0005-0000-0000-000005250000}"/>
    <cellStyle name="40% - Ênfase1 3 2 2 2 3" xfId="9624" xr:uid="{00000000-0005-0000-0000-000006250000}"/>
    <cellStyle name="40% - Ênfase1 3 2 2 2 3 2" xfId="9625" xr:uid="{00000000-0005-0000-0000-000007250000}"/>
    <cellStyle name="40% - Ênfase1 3 2 2 2 4" xfId="9626" xr:uid="{00000000-0005-0000-0000-000008250000}"/>
    <cellStyle name="40% - Ênfase1 3 2 2 2 4 2" xfId="9627" xr:uid="{00000000-0005-0000-0000-000009250000}"/>
    <cellStyle name="40% - Ênfase1 3 2 2 2 5" xfId="9628" xr:uid="{00000000-0005-0000-0000-00000A250000}"/>
    <cellStyle name="40% - Ênfase1 3 2 2 3" xfId="9629" xr:uid="{00000000-0005-0000-0000-00000B250000}"/>
    <cellStyle name="40% - Ênfase1 3 2 2 3 2" xfId="9630" xr:uid="{00000000-0005-0000-0000-00000C250000}"/>
    <cellStyle name="40% - Ênfase1 3 2 2 3 2 2" xfId="9631" xr:uid="{00000000-0005-0000-0000-00000D250000}"/>
    <cellStyle name="40% - Ênfase1 3 2 2 3 3" xfId="9632" xr:uid="{00000000-0005-0000-0000-00000E250000}"/>
    <cellStyle name="40% - Ênfase1 3 2 2 3 3 2" xfId="9633" xr:uid="{00000000-0005-0000-0000-00000F250000}"/>
    <cellStyle name="40% - Ênfase1 3 2 2 3 4" xfId="9634" xr:uid="{00000000-0005-0000-0000-000010250000}"/>
    <cellStyle name="40% - Ênfase1 3 2 2 4" xfId="9635" xr:uid="{00000000-0005-0000-0000-000011250000}"/>
    <cellStyle name="40% - Ênfase1 3 2 2 4 2" xfId="9636" xr:uid="{00000000-0005-0000-0000-000012250000}"/>
    <cellStyle name="40% - Ênfase1 3 2 2 4 2 2" xfId="9637" xr:uid="{00000000-0005-0000-0000-000013250000}"/>
    <cellStyle name="40% - Ênfase1 3 2 2 4 3" xfId="9638" xr:uid="{00000000-0005-0000-0000-000014250000}"/>
    <cellStyle name="40% - Ênfase1 3 2 2 5" xfId="9639" xr:uid="{00000000-0005-0000-0000-000015250000}"/>
    <cellStyle name="40% - Ênfase1 3 2 2 5 2" xfId="9640" xr:uid="{00000000-0005-0000-0000-000016250000}"/>
    <cellStyle name="40% - Ênfase1 3 2 2 6" xfId="9641" xr:uid="{00000000-0005-0000-0000-000017250000}"/>
    <cellStyle name="40% - Ênfase1 3 2 3" xfId="9642" xr:uid="{00000000-0005-0000-0000-000018250000}"/>
    <cellStyle name="40% - Ênfase1 3 2 3 2" xfId="9643" xr:uid="{00000000-0005-0000-0000-000019250000}"/>
    <cellStyle name="40% - Ênfase1 3 2 3 2 2" xfId="9644" xr:uid="{00000000-0005-0000-0000-00001A250000}"/>
    <cellStyle name="40% - Ênfase1 3 2 3 2 2 2" xfId="9645" xr:uid="{00000000-0005-0000-0000-00001B250000}"/>
    <cellStyle name="40% - Ênfase1 3 2 3 2 3" xfId="9646" xr:uid="{00000000-0005-0000-0000-00001C250000}"/>
    <cellStyle name="40% - Ênfase1 3 2 3 2 3 2" xfId="9647" xr:uid="{00000000-0005-0000-0000-00001D250000}"/>
    <cellStyle name="40% - Ênfase1 3 2 3 2 4" xfId="9648" xr:uid="{00000000-0005-0000-0000-00001E250000}"/>
    <cellStyle name="40% - Ênfase1 3 2 3 3" xfId="9649" xr:uid="{00000000-0005-0000-0000-00001F250000}"/>
    <cellStyle name="40% - Ênfase1 3 2 3 3 2" xfId="9650" xr:uid="{00000000-0005-0000-0000-000020250000}"/>
    <cellStyle name="40% - Ênfase1 3 2 3 3 2 2" xfId="9651" xr:uid="{00000000-0005-0000-0000-000021250000}"/>
    <cellStyle name="40% - Ênfase1 3 2 3 3 3" xfId="9652" xr:uid="{00000000-0005-0000-0000-000022250000}"/>
    <cellStyle name="40% - Ênfase1 3 2 3 3 3 2" xfId="9653" xr:uid="{00000000-0005-0000-0000-000023250000}"/>
    <cellStyle name="40% - Ênfase1 3 2 3 3 4" xfId="9654" xr:uid="{00000000-0005-0000-0000-000024250000}"/>
    <cellStyle name="40% - Ênfase1 3 2 3 4" xfId="9655" xr:uid="{00000000-0005-0000-0000-000025250000}"/>
    <cellStyle name="40% - Ênfase1 3 2 3 4 2" xfId="9656" xr:uid="{00000000-0005-0000-0000-000026250000}"/>
    <cellStyle name="40% - Ênfase1 3 2 3 5" xfId="9657" xr:uid="{00000000-0005-0000-0000-000027250000}"/>
    <cellStyle name="40% - Ênfase1 3 2 3 5 2" xfId="9658" xr:uid="{00000000-0005-0000-0000-000028250000}"/>
    <cellStyle name="40% - Ênfase1 3 2 3 6" xfId="9659" xr:uid="{00000000-0005-0000-0000-000029250000}"/>
    <cellStyle name="40% - Ênfase1 3 2 4" xfId="9660" xr:uid="{00000000-0005-0000-0000-00002A250000}"/>
    <cellStyle name="40% - Ênfase1 3 2 4 2" xfId="9661" xr:uid="{00000000-0005-0000-0000-00002B250000}"/>
    <cellStyle name="40% - Ênfase1 3 2 4 2 2" xfId="9662" xr:uid="{00000000-0005-0000-0000-00002C250000}"/>
    <cellStyle name="40% - Ênfase1 3 2 4 3" xfId="9663" xr:uid="{00000000-0005-0000-0000-00002D250000}"/>
    <cellStyle name="40% - Ênfase1 3 2 4 3 2" xfId="9664" xr:uid="{00000000-0005-0000-0000-00002E250000}"/>
    <cellStyle name="40% - Ênfase1 3 2 4 4" xfId="9665" xr:uid="{00000000-0005-0000-0000-00002F250000}"/>
    <cellStyle name="40% - Ênfase1 3 2 5" xfId="9666" xr:uid="{00000000-0005-0000-0000-000030250000}"/>
    <cellStyle name="40% - Ênfase1 3 2 5 2" xfId="9667" xr:uid="{00000000-0005-0000-0000-000031250000}"/>
    <cellStyle name="40% - Ênfase1 3 2 5 2 2" xfId="9668" xr:uid="{00000000-0005-0000-0000-000032250000}"/>
    <cellStyle name="40% - Ênfase1 3 2 5 3" xfId="9669" xr:uid="{00000000-0005-0000-0000-000033250000}"/>
    <cellStyle name="40% - Ênfase1 3 2 6" xfId="9670" xr:uid="{00000000-0005-0000-0000-000034250000}"/>
    <cellStyle name="40% - Ênfase1 3 2 6 2" xfId="9671" xr:uid="{00000000-0005-0000-0000-000035250000}"/>
    <cellStyle name="40% - Ênfase1 3 2 6 2 2" xfId="9672" xr:uid="{00000000-0005-0000-0000-000036250000}"/>
    <cellStyle name="40% - Ênfase1 3 2 6 3" xfId="9673" xr:uid="{00000000-0005-0000-0000-000037250000}"/>
    <cellStyle name="40% - Ênfase1 3 2 7" xfId="9674" xr:uid="{00000000-0005-0000-0000-000038250000}"/>
    <cellStyle name="40% - Ênfase1 3 2 7 2" xfId="9675" xr:uid="{00000000-0005-0000-0000-000039250000}"/>
    <cellStyle name="40% - Ênfase1 3 2 7 2 2" xfId="9676" xr:uid="{00000000-0005-0000-0000-00003A250000}"/>
    <cellStyle name="40% - Ênfase1 3 2 7 3" xfId="9677" xr:uid="{00000000-0005-0000-0000-00003B250000}"/>
    <cellStyle name="40% - Ênfase1 3 2 8" xfId="9678" xr:uid="{00000000-0005-0000-0000-00003C250000}"/>
    <cellStyle name="40% - Ênfase1 3 2 8 2" xfId="9679" xr:uid="{00000000-0005-0000-0000-00003D250000}"/>
    <cellStyle name="40% - Ênfase1 3 2 8 2 2" xfId="9680" xr:uid="{00000000-0005-0000-0000-00003E250000}"/>
    <cellStyle name="40% - Ênfase1 3 2 8 3" xfId="9681" xr:uid="{00000000-0005-0000-0000-00003F250000}"/>
    <cellStyle name="40% - Ênfase1 3 2 9" xfId="9682" xr:uid="{00000000-0005-0000-0000-000040250000}"/>
    <cellStyle name="40% - Ênfase1 3 2 9 2" xfId="9683" xr:uid="{00000000-0005-0000-0000-000041250000}"/>
    <cellStyle name="40% - Ênfase1 3 3" xfId="9684" xr:uid="{00000000-0005-0000-0000-000042250000}"/>
    <cellStyle name="40% - Ênfase1 3 3 2" xfId="9685" xr:uid="{00000000-0005-0000-0000-000043250000}"/>
    <cellStyle name="40% - Ênfase1 3 3 2 2" xfId="9686" xr:uid="{00000000-0005-0000-0000-000044250000}"/>
    <cellStyle name="40% - Ênfase1 3 3 2 2 2" xfId="9687" xr:uid="{00000000-0005-0000-0000-000045250000}"/>
    <cellStyle name="40% - Ênfase1 3 3 2 2 2 2" xfId="9688" xr:uid="{00000000-0005-0000-0000-000046250000}"/>
    <cellStyle name="40% - Ênfase1 3 3 2 2 3" xfId="9689" xr:uid="{00000000-0005-0000-0000-000047250000}"/>
    <cellStyle name="40% - Ênfase1 3 3 2 2 3 2" xfId="9690" xr:uid="{00000000-0005-0000-0000-000048250000}"/>
    <cellStyle name="40% - Ênfase1 3 3 2 2 4" xfId="9691" xr:uid="{00000000-0005-0000-0000-000049250000}"/>
    <cellStyle name="40% - Ênfase1 3 3 2 3" xfId="9692" xr:uid="{00000000-0005-0000-0000-00004A250000}"/>
    <cellStyle name="40% - Ênfase1 3 3 2 3 2" xfId="9693" xr:uid="{00000000-0005-0000-0000-00004B250000}"/>
    <cellStyle name="40% - Ênfase1 3 3 2 4" xfId="9694" xr:uid="{00000000-0005-0000-0000-00004C250000}"/>
    <cellStyle name="40% - Ênfase1 3 3 2 4 2" xfId="9695" xr:uid="{00000000-0005-0000-0000-00004D250000}"/>
    <cellStyle name="40% - Ênfase1 3 3 2 5" xfId="9696" xr:uid="{00000000-0005-0000-0000-00004E250000}"/>
    <cellStyle name="40% - Ênfase1 3 3 3" xfId="9697" xr:uid="{00000000-0005-0000-0000-00004F250000}"/>
    <cellStyle name="40% - Ênfase1 3 3 3 2" xfId="9698" xr:uid="{00000000-0005-0000-0000-000050250000}"/>
    <cellStyle name="40% - Ênfase1 3 3 3 2 2" xfId="9699" xr:uid="{00000000-0005-0000-0000-000051250000}"/>
    <cellStyle name="40% - Ênfase1 3 3 3 3" xfId="9700" xr:uid="{00000000-0005-0000-0000-000052250000}"/>
    <cellStyle name="40% - Ênfase1 3 3 3 3 2" xfId="9701" xr:uid="{00000000-0005-0000-0000-000053250000}"/>
    <cellStyle name="40% - Ênfase1 3 3 3 4" xfId="9702" xr:uid="{00000000-0005-0000-0000-000054250000}"/>
    <cellStyle name="40% - Ênfase1 3 3 4" xfId="9703" xr:uid="{00000000-0005-0000-0000-000055250000}"/>
    <cellStyle name="40% - Ênfase1 3 3 4 2" xfId="9704" xr:uid="{00000000-0005-0000-0000-000056250000}"/>
    <cellStyle name="40% - Ênfase1 3 3 4 2 2" xfId="9705" xr:uid="{00000000-0005-0000-0000-000057250000}"/>
    <cellStyle name="40% - Ênfase1 3 3 4 3" xfId="9706" xr:uid="{00000000-0005-0000-0000-000058250000}"/>
    <cellStyle name="40% - Ênfase1 3 3 5" xfId="9707" xr:uid="{00000000-0005-0000-0000-000059250000}"/>
    <cellStyle name="40% - Ênfase1 3 3 5 2" xfId="9708" xr:uid="{00000000-0005-0000-0000-00005A250000}"/>
    <cellStyle name="40% - Ênfase1 3 3 6" xfId="9709" xr:uid="{00000000-0005-0000-0000-00005B250000}"/>
    <cellStyle name="40% - Ênfase1 3 4" xfId="9710" xr:uid="{00000000-0005-0000-0000-00005C250000}"/>
    <cellStyle name="40% - Ênfase1 3 4 2" xfId="9711" xr:uid="{00000000-0005-0000-0000-00005D250000}"/>
    <cellStyle name="40% - Ênfase1 3 4 2 2" xfId="9712" xr:uid="{00000000-0005-0000-0000-00005E250000}"/>
    <cellStyle name="40% - Ênfase1 3 4 2 2 2" xfId="9713" xr:uid="{00000000-0005-0000-0000-00005F250000}"/>
    <cellStyle name="40% - Ênfase1 3 4 2 3" xfId="9714" xr:uid="{00000000-0005-0000-0000-000060250000}"/>
    <cellStyle name="40% - Ênfase1 3 4 2 3 2" xfId="9715" xr:uid="{00000000-0005-0000-0000-000061250000}"/>
    <cellStyle name="40% - Ênfase1 3 4 2 4" xfId="9716" xr:uid="{00000000-0005-0000-0000-000062250000}"/>
    <cellStyle name="40% - Ênfase1 3 4 3" xfId="9717" xr:uid="{00000000-0005-0000-0000-000063250000}"/>
    <cellStyle name="40% - Ênfase1 3 4 3 2" xfId="9718" xr:uid="{00000000-0005-0000-0000-000064250000}"/>
    <cellStyle name="40% - Ênfase1 3 4 3 2 2" xfId="9719" xr:uid="{00000000-0005-0000-0000-000065250000}"/>
    <cellStyle name="40% - Ênfase1 3 4 3 3" xfId="9720" xr:uid="{00000000-0005-0000-0000-000066250000}"/>
    <cellStyle name="40% - Ênfase1 3 4 3 3 2" xfId="9721" xr:uid="{00000000-0005-0000-0000-000067250000}"/>
    <cellStyle name="40% - Ênfase1 3 4 3 4" xfId="9722" xr:uid="{00000000-0005-0000-0000-000068250000}"/>
    <cellStyle name="40% - Ênfase1 3 4 4" xfId="9723" xr:uid="{00000000-0005-0000-0000-000069250000}"/>
    <cellStyle name="40% - Ênfase1 3 4 4 2" xfId="9724" xr:uid="{00000000-0005-0000-0000-00006A250000}"/>
    <cellStyle name="40% - Ênfase1 3 4 5" xfId="9725" xr:uid="{00000000-0005-0000-0000-00006B250000}"/>
    <cellStyle name="40% - Ênfase1 3 4 5 2" xfId="9726" xr:uid="{00000000-0005-0000-0000-00006C250000}"/>
    <cellStyle name="40% - Ênfase1 3 4 6" xfId="9727" xr:uid="{00000000-0005-0000-0000-00006D250000}"/>
    <cellStyle name="40% - Ênfase1 3 5" xfId="9728" xr:uid="{00000000-0005-0000-0000-00006E250000}"/>
    <cellStyle name="40% - Ênfase1 3 5 2" xfId="9729" xr:uid="{00000000-0005-0000-0000-00006F250000}"/>
    <cellStyle name="40% - Ênfase1 3 5 2 2" xfId="9730" xr:uid="{00000000-0005-0000-0000-000070250000}"/>
    <cellStyle name="40% - Ênfase1 3 5 2 2 2" xfId="9731" xr:uid="{00000000-0005-0000-0000-000071250000}"/>
    <cellStyle name="40% - Ênfase1 3 5 2 3" xfId="9732" xr:uid="{00000000-0005-0000-0000-000072250000}"/>
    <cellStyle name="40% - Ênfase1 3 5 2 3 2" xfId="9733" xr:uid="{00000000-0005-0000-0000-000073250000}"/>
    <cellStyle name="40% - Ênfase1 3 5 2 4" xfId="9734" xr:uid="{00000000-0005-0000-0000-000074250000}"/>
    <cellStyle name="40% - Ênfase1 3 5 3" xfId="9735" xr:uid="{00000000-0005-0000-0000-000075250000}"/>
    <cellStyle name="40% - Ênfase1 3 5 3 2" xfId="9736" xr:uid="{00000000-0005-0000-0000-000076250000}"/>
    <cellStyle name="40% - Ênfase1 3 5 3 2 2" xfId="9737" xr:uid="{00000000-0005-0000-0000-000077250000}"/>
    <cellStyle name="40% - Ênfase1 3 5 3 3" xfId="9738" xr:uid="{00000000-0005-0000-0000-000078250000}"/>
    <cellStyle name="40% - Ênfase1 3 5 3 3 2" xfId="9739" xr:uid="{00000000-0005-0000-0000-000079250000}"/>
    <cellStyle name="40% - Ênfase1 3 5 3 4" xfId="9740" xr:uid="{00000000-0005-0000-0000-00007A250000}"/>
    <cellStyle name="40% - Ênfase1 3 5 4" xfId="9741" xr:uid="{00000000-0005-0000-0000-00007B250000}"/>
    <cellStyle name="40% - Ênfase1 3 5 4 2" xfId="9742" xr:uid="{00000000-0005-0000-0000-00007C250000}"/>
    <cellStyle name="40% - Ênfase1 3 5 5" xfId="9743" xr:uid="{00000000-0005-0000-0000-00007D250000}"/>
    <cellStyle name="40% - Ênfase1 3 5 5 2" xfId="9744" xr:uid="{00000000-0005-0000-0000-00007E250000}"/>
    <cellStyle name="40% - Ênfase1 3 5 6" xfId="9745" xr:uid="{00000000-0005-0000-0000-00007F250000}"/>
    <cellStyle name="40% - Ênfase1 3 6" xfId="9746" xr:uid="{00000000-0005-0000-0000-000080250000}"/>
    <cellStyle name="40% - Ênfase1 3 6 2" xfId="9747" xr:uid="{00000000-0005-0000-0000-000081250000}"/>
    <cellStyle name="40% - Ênfase1 3 6 2 2" xfId="9748" xr:uid="{00000000-0005-0000-0000-000082250000}"/>
    <cellStyle name="40% - Ênfase1 3 6 3" xfId="9749" xr:uid="{00000000-0005-0000-0000-000083250000}"/>
    <cellStyle name="40% - Ênfase1 3 6 3 2" xfId="9750" xr:uid="{00000000-0005-0000-0000-000084250000}"/>
    <cellStyle name="40% - Ênfase1 3 6 4" xfId="9751" xr:uid="{00000000-0005-0000-0000-000085250000}"/>
    <cellStyle name="40% - Ênfase1 3 7" xfId="9752" xr:uid="{00000000-0005-0000-0000-000086250000}"/>
    <cellStyle name="40% - Ênfase1 3 7 2" xfId="9753" xr:uid="{00000000-0005-0000-0000-000087250000}"/>
    <cellStyle name="40% - Ênfase1 3 7 2 2" xfId="9754" xr:uid="{00000000-0005-0000-0000-000088250000}"/>
    <cellStyle name="40% - Ênfase1 3 7 3" xfId="9755" xr:uid="{00000000-0005-0000-0000-000089250000}"/>
    <cellStyle name="40% - Ênfase1 3 8" xfId="9756" xr:uid="{00000000-0005-0000-0000-00008A250000}"/>
    <cellStyle name="40% - Ênfase1 3 8 2" xfId="9757" xr:uid="{00000000-0005-0000-0000-00008B250000}"/>
    <cellStyle name="40% - Ênfase1 3 8 2 2" xfId="9758" xr:uid="{00000000-0005-0000-0000-00008C250000}"/>
    <cellStyle name="40% - Ênfase1 3 8 3" xfId="9759" xr:uid="{00000000-0005-0000-0000-00008D250000}"/>
    <cellStyle name="40% - Ênfase1 3 9" xfId="9760" xr:uid="{00000000-0005-0000-0000-00008E250000}"/>
    <cellStyle name="40% - Ênfase1 3 9 2" xfId="9761" xr:uid="{00000000-0005-0000-0000-00008F250000}"/>
    <cellStyle name="40% - Ênfase1 3 9 2 2" xfId="9762" xr:uid="{00000000-0005-0000-0000-000090250000}"/>
    <cellStyle name="40% - Ênfase1 3 9 3" xfId="9763" xr:uid="{00000000-0005-0000-0000-000091250000}"/>
    <cellStyle name="40% - Ênfase1 30" xfId="9764" xr:uid="{00000000-0005-0000-0000-000092250000}"/>
    <cellStyle name="40% - Ênfase1 31" xfId="9765" xr:uid="{00000000-0005-0000-0000-000093250000}"/>
    <cellStyle name="40% - Ênfase1 32" xfId="9766" xr:uid="{00000000-0005-0000-0000-000094250000}"/>
    <cellStyle name="40% - Ênfase1 33" xfId="9767" xr:uid="{00000000-0005-0000-0000-000095250000}"/>
    <cellStyle name="40% - Ênfase1 4" xfId="9768" xr:uid="{00000000-0005-0000-0000-000096250000}"/>
    <cellStyle name="40% - Ênfase1 4 10" xfId="9769" xr:uid="{00000000-0005-0000-0000-000097250000}"/>
    <cellStyle name="40% - Ênfase1 4 10 2" xfId="9770" xr:uid="{00000000-0005-0000-0000-000098250000}"/>
    <cellStyle name="40% - Ênfase1 4 11" xfId="9771" xr:uid="{00000000-0005-0000-0000-000099250000}"/>
    <cellStyle name="40% - Ênfase1 4 2" xfId="9772" xr:uid="{00000000-0005-0000-0000-00009A250000}"/>
    <cellStyle name="40% - Ênfase1 4 2 2" xfId="9773" xr:uid="{00000000-0005-0000-0000-00009B250000}"/>
    <cellStyle name="40% - Ênfase1 4 2 2 2" xfId="9774" xr:uid="{00000000-0005-0000-0000-00009C250000}"/>
    <cellStyle name="40% - Ênfase1 4 2 2 2 2" xfId="9775" xr:uid="{00000000-0005-0000-0000-00009D250000}"/>
    <cellStyle name="40% - Ênfase1 4 2 2 2 2 2" xfId="9776" xr:uid="{00000000-0005-0000-0000-00009E250000}"/>
    <cellStyle name="40% - Ênfase1 4 2 2 2 3" xfId="9777" xr:uid="{00000000-0005-0000-0000-00009F250000}"/>
    <cellStyle name="40% - Ênfase1 4 2 2 2 3 2" xfId="9778" xr:uid="{00000000-0005-0000-0000-0000A0250000}"/>
    <cellStyle name="40% - Ênfase1 4 2 2 2 4" xfId="9779" xr:uid="{00000000-0005-0000-0000-0000A1250000}"/>
    <cellStyle name="40% - Ênfase1 4 2 2 3" xfId="9780" xr:uid="{00000000-0005-0000-0000-0000A2250000}"/>
    <cellStyle name="40% - Ênfase1 4 2 2 3 2" xfId="9781" xr:uid="{00000000-0005-0000-0000-0000A3250000}"/>
    <cellStyle name="40% - Ênfase1 4 2 2 3 2 2" xfId="9782" xr:uid="{00000000-0005-0000-0000-0000A4250000}"/>
    <cellStyle name="40% - Ênfase1 4 2 2 3 3" xfId="9783" xr:uid="{00000000-0005-0000-0000-0000A5250000}"/>
    <cellStyle name="40% - Ênfase1 4 2 2 3 3 2" xfId="9784" xr:uid="{00000000-0005-0000-0000-0000A6250000}"/>
    <cellStyle name="40% - Ênfase1 4 2 2 3 4" xfId="9785" xr:uid="{00000000-0005-0000-0000-0000A7250000}"/>
    <cellStyle name="40% - Ênfase1 4 2 2 4" xfId="9786" xr:uid="{00000000-0005-0000-0000-0000A8250000}"/>
    <cellStyle name="40% - Ênfase1 4 2 2 4 2" xfId="9787" xr:uid="{00000000-0005-0000-0000-0000A9250000}"/>
    <cellStyle name="40% - Ênfase1 4 2 2 5" xfId="9788" xr:uid="{00000000-0005-0000-0000-0000AA250000}"/>
    <cellStyle name="40% - Ênfase1 4 2 2 5 2" xfId="9789" xr:uid="{00000000-0005-0000-0000-0000AB250000}"/>
    <cellStyle name="40% - Ênfase1 4 2 2 6" xfId="9790" xr:uid="{00000000-0005-0000-0000-0000AC250000}"/>
    <cellStyle name="40% - Ênfase1 4 2 3" xfId="9791" xr:uid="{00000000-0005-0000-0000-0000AD250000}"/>
    <cellStyle name="40% - Ênfase1 4 2 3 2" xfId="9792" xr:uid="{00000000-0005-0000-0000-0000AE250000}"/>
    <cellStyle name="40% - Ênfase1 4 2 3 2 2" xfId="9793" xr:uid="{00000000-0005-0000-0000-0000AF250000}"/>
    <cellStyle name="40% - Ênfase1 4 2 3 3" xfId="9794" xr:uid="{00000000-0005-0000-0000-0000B0250000}"/>
    <cellStyle name="40% - Ênfase1 4 2 3 3 2" xfId="9795" xr:uid="{00000000-0005-0000-0000-0000B1250000}"/>
    <cellStyle name="40% - Ênfase1 4 2 3 4" xfId="9796" xr:uid="{00000000-0005-0000-0000-0000B2250000}"/>
    <cellStyle name="40% - Ênfase1 4 2 4" xfId="9797" xr:uid="{00000000-0005-0000-0000-0000B3250000}"/>
    <cellStyle name="40% - Ênfase1 4 2 4 2" xfId="9798" xr:uid="{00000000-0005-0000-0000-0000B4250000}"/>
    <cellStyle name="40% - Ênfase1 4 2 4 2 2" xfId="9799" xr:uid="{00000000-0005-0000-0000-0000B5250000}"/>
    <cellStyle name="40% - Ênfase1 4 2 4 3" xfId="9800" xr:uid="{00000000-0005-0000-0000-0000B6250000}"/>
    <cellStyle name="40% - Ênfase1 4 2 5" xfId="9801" xr:uid="{00000000-0005-0000-0000-0000B7250000}"/>
    <cellStyle name="40% - Ênfase1 4 2 5 2" xfId="9802" xr:uid="{00000000-0005-0000-0000-0000B8250000}"/>
    <cellStyle name="40% - Ênfase1 4 2 5 2 2" xfId="9803" xr:uid="{00000000-0005-0000-0000-0000B9250000}"/>
    <cellStyle name="40% - Ênfase1 4 2 5 3" xfId="9804" xr:uid="{00000000-0005-0000-0000-0000BA250000}"/>
    <cellStyle name="40% - Ênfase1 4 2 6" xfId="9805" xr:uid="{00000000-0005-0000-0000-0000BB250000}"/>
    <cellStyle name="40% - Ênfase1 4 2 6 2" xfId="9806" xr:uid="{00000000-0005-0000-0000-0000BC250000}"/>
    <cellStyle name="40% - Ênfase1 4 2 6 2 2" xfId="9807" xr:uid="{00000000-0005-0000-0000-0000BD250000}"/>
    <cellStyle name="40% - Ênfase1 4 2 6 3" xfId="9808" xr:uid="{00000000-0005-0000-0000-0000BE250000}"/>
    <cellStyle name="40% - Ênfase1 4 2 7" xfId="9809" xr:uid="{00000000-0005-0000-0000-0000BF250000}"/>
    <cellStyle name="40% - Ênfase1 4 2 7 2" xfId="9810" xr:uid="{00000000-0005-0000-0000-0000C0250000}"/>
    <cellStyle name="40% - Ênfase1 4 2 7 2 2" xfId="9811" xr:uid="{00000000-0005-0000-0000-0000C1250000}"/>
    <cellStyle name="40% - Ênfase1 4 2 7 3" xfId="9812" xr:uid="{00000000-0005-0000-0000-0000C2250000}"/>
    <cellStyle name="40% - Ênfase1 4 2 8" xfId="9813" xr:uid="{00000000-0005-0000-0000-0000C3250000}"/>
    <cellStyle name="40% - Ênfase1 4 2 8 2" xfId="9814" xr:uid="{00000000-0005-0000-0000-0000C4250000}"/>
    <cellStyle name="40% - Ênfase1 4 2 9" xfId="9815" xr:uid="{00000000-0005-0000-0000-0000C5250000}"/>
    <cellStyle name="40% - Ênfase1 4 3" xfId="9816" xr:uid="{00000000-0005-0000-0000-0000C6250000}"/>
    <cellStyle name="40% - Ênfase1 4 3 2" xfId="9817" xr:uid="{00000000-0005-0000-0000-0000C7250000}"/>
    <cellStyle name="40% - Ênfase1 4 3 2 2" xfId="9818" xr:uid="{00000000-0005-0000-0000-0000C8250000}"/>
    <cellStyle name="40% - Ênfase1 4 3 2 2 2" xfId="9819" xr:uid="{00000000-0005-0000-0000-0000C9250000}"/>
    <cellStyle name="40% - Ênfase1 4 3 2 3" xfId="9820" xr:uid="{00000000-0005-0000-0000-0000CA250000}"/>
    <cellStyle name="40% - Ênfase1 4 3 2 3 2" xfId="9821" xr:uid="{00000000-0005-0000-0000-0000CB250000}"/>
    <cellStyle name="40% - Ênfase1 4 3 2 4" xfId="9822" xr:uid="{00000000-0005-0000-0000-0000CC250000}"/>
    <cellStyle name="40% - Ênfase1 4 3 3" xfId="9823" xr:uid="{00000000-0005-0000-0000-0000CD250000}"/>
    <cellStyle name="40% - Ênfase1 4 3 3 2" xfId="9824" xr:uid="{00000000-0005-0000-0000-0000CE250000}"/>
    <cellStyle name="40% - Ênfase1 4 3 3 2 2" xfId="9825" xr:uid="{00000000-0005-0000-0000-0000CF250000}"/>
    <cellStyle name="40% - Ênfase1 4 3 3 3" xfId="9826" xr:uid="{00000000-0005-0000-0000-0000D0250000}"/>
    <cellStyle name="40% - Ênfase1 4 3 3 3 2" xfId="9827" xr:uid="{00000000-0005-0000-0000-0000D1250000}"/>
    <cellStyle name="40% - Ênfase1 4 3 3 4" xfId="9828" xr:uid="{00000000-0005-0000-0000-0000D2250000}"/>
    <cellStyle name="40% - Ênfase1 4 3 4" xfId="9829" xr:uid="{00000000-0005-0000-0000-0000D3250000}"/>
    <cellStyle name="40% - Ênfase1 4 3 4 2" xfId="9830" xr:uid="{00000000-0005-0000-0000-0000D4250000}"/>
    <cellStyle name="40% - Ênfase1 4 3 5" xfId="9831" xr:uid="{00000000-0005-0000-0000-0000D5250000}"/>
    <cellStyle name="40% - Ênfase1 4 3 5 2" xfId="9832" xr:uid="{00000000-0005-0000-0000-0000D6250000}"/>
    <cellStyle name="40% - Ênfase1 4 3 6" xfId="9833" xr:uid="{00000000-0005-0000-0000-0000D7250000}"/>
    <cellStyle name="40% - Ênfase1 4 4" xfId="9834" xr:uid="{00000000-0005-0000-0000-0000D8250000}"/>
    <cellStyle name="40% - Ênfase1 4 4 2" xfId="9835" xr:uid="{00000000-0005-0000-0000-0000D9250000}"/>
    <cellStyle name="40% - Ênfase1 4 4 2 2" xfId="9836" xr:uid="{00000000-0005-0000-0000-0000DA250000}"/>
    <cellStyle name="40% - Ênfase1 4 4 2 2 2" xfId="9837" xr:uid="{00000000-0005-0000-0000-0000DB250000}"/>
    <cellStyle name="40% - Ênfase1 4 4 2 3" xfId="9838" xr:uid="{00000000-0005-0000-0000-0000DC250000}"/>
    <cellStyle name="40% - Ênfase1 4 4 2 3 2" xfId="9839" xr:uid="{00000000-0005-0000-0000-0000DD250000}"/>
    <cellStyle name="40% - Ênfase1 4 4 2 4" xfId="9840" xr:uid="{00000000-0005-0000-0000-0000DE250000}"/>
    <cellStyle name="40% - Ênfase1 4 4 3" xfId="9841" xr:uid="{00000000-0005-0000-0000-0000DF250000}"/>
    <cellStyle name="40% - Ênfase1 4 4 3 2" xfId="9842" xr:uid="{00000000-0005-0000-0000-0000E0250000}"/>
    <cellStyle name="40% - Ênfase1 4 4 3 2 2" xfId="9843" xr:uid="{00000000-0005-0000-0000-0000E1250000}"/>
    <cellStyle name="40% - Ênfase1 4 4 3 3" xfId="9844" xr:uid="{00000000-0005-0000-0000-0000E2250000}"/>
    <cellStyle name="40% - Ênfase1 4 4 3 3 2" xfId="9845" xr:uid="{00000000-0005-0000-0000-0000E3250000}"/>
    <cellStyle name="40% - Ênfase1 4 4 3 4" xfId="9846" xr:uid="{00000000-0005-0000-0000-0000E4250000}"/>
    <cellStyle name="40% - Ênfase1 4 4 4" xfId="9847" xr:uid="{00000000-0005-0000-0000-0000E5250000}"/>
    <cellStyle name="40% - Ênfase1 4 4 4 2" xfId="9848" xr:uid="{00000000-0005-0000-0000-0000E6250000}"/>
    <cellStyle name="40% - Ênfase1 4 4 5" xfId="9849" xr:uid="{00000000-0005-0000-0000-0000E7250000}"/>
    <cellStyle name="40% - Ênfase1 4 4 5 2" xfId="9850" xr:uid="{00000000-0005-0000-0000-0000E8250000}"/>
    <cellStyle name="40% - Ênfase1 4 4 6" xfId="9851" xr:uid="{00000000-0005-0000-0000-0000E9250000}"/>
    <cellStyle name="40% - Ênfase1 4 5" xfId="9852" xr:uid="{00000000-0005-0000-0000-0000EA250000}"/>
    <cellStyle name="40% - Ênfase1 4 5 2" xfId="9853" xr:uid="{00000000-0005-0000-0000-0000EB250000}"/>
    <cellStyle name="40% - Ênfase1 4 5 2 2" xfId="9854" xr:uid="{00000000-0005-0000-0000-0000EC250000}"/>
    <cellStyle name="40% - Ênfase1 4 5 3" xfId="9855" xr:uid="{00000000-0005-0000-0000-0000ED250000}"/>
    <cellStyle name="40% - Ênfase1 4 5 3 2" xfId="9856" xr:uid="{00000000-0005-0000-0000-0000EE250000}"/>
    <cellStyle name="40% - Ênfase1 4 5 4" xfId="9857" xr:uid="{00000000-0005-0000-0000-0000EF250000}"/>
    <cellStyle name="40% - Ênfase1 4 6" xfId="9858" xr:uid="{00000000-0005-0000-0000-0000F0250000}"/>
    <cellStyle name="40% - Ênfase1 4 6 2" xfId="9859" xr:uid="{00000000-0005-0000-0000-0000F1250000}"/>
    <cellStyle name="40% - Ênfase1 4 6 2 2" xfId="9860" xr:uid="{00000000-0005-0000-0000-0000F2250000}"/>
    <cellStyle name="40% - Ênfase1 4 6 3" xfId="9861" xr:uid="{00000000-0005-0000-0000-0000F3250000}"/>
    <cellStyle name="40% - Ênfase1 4 7" xfId="9862" xr:uid="{00000000-0005-0000-0000-0000F4250000}"/>
    <cellStyle name="40% - Ênfase1 4 7 2" xfId="9863" xr:uid="{00000000-0005-0000-0000-0000F5250000}"/>
    <cellStyle name="40% - Ênfase1 4 7 2 2" xfId="9864" xr:uid="{00000000-0005-0000-0000-0000F6250000}"/>
    <cellStyle name="40% - Ênfase1 4 7 3" xfId="9865" xr:uid="{00000000-0005-0000-0000-0000F7250000}"/>
    <cellStyle name="40% - Ênfase1 4 8" xfId="9866" xr:uid="{00000000-0005-0000-0000-0000F8250000}"/>
    <cellStyle name="40% - Ênfase1 4 8 2" xfId="9867" xr:uid="{00000000-0005-0000-0000-0000F9250000}"/>
    <cellStyle name="40% - Ênfase1 4 8 2 2" xfId="9868" xr:uid="{00000000-0005-0000-0000-0000FA250000}"/>
    <cellStyle name="40% - Ênfase1 4 8 3" xfId="9869" xr:uid="{00000000-0005-0000-0000-0000FB250000}"/>
    <cellStyle name="40% - Ênfase1 4 9" xfId="9870" xr:uid="{00000000-0005-0000-0000-0000FC250000}"/>
    <cellStyle name="40% - Ênfase1 4 9 2" xfId="9871" xr:uid="{00000000-0005-0000-0000-0000FD250000}"/>
    <cellStyle name="40% - Ênfase1 4 9 2 2" xfId="9872" xr:uid="{00000000-0005-0000-0000-0000FE250000}"/>
    <cellStyle name="40% - Ênfase1 4 9 3" xfId="9873" xr:uid="{00000000-0005-0000-0000-0000FF250000}"/>
    <cellStyle name="40% - Ênfase1 5" xfId="9874" xr:uid="{00000000-0005-0000-0000-000000260000}"/>
    <cellStyle name="40% - Ênfase1 5 10" xfId="9875" xr:uid="{00000000-0005-0000-0000-000001260000}"/>
    <cellStyle name="40% - Ênfase1 5 2" xfId="9876" xr:uid="{00000000-0005-0000-0000-000002260000}"/>
    <cellStyle name="40% - Ênfase1 5 2 2" xfId="9877" xr:uid="{00000000-0005-0000-0000-000003260000}"/>
    <cellStyle name="40% - Ênfase1 5 2 2 2" xfId="9878" xr:uid="{00000000-0005-0000-0000-000004260000}"/>
    <cellStyle name="40% - Ênfase1 5 2 2 2 2" xfId="9879" xr:uid="{00000000-0005-0000-0000-000005260000}"/>
    <cellStyle name="40% - Ênfase1 5 2 2 2 2 2" xfId="9880" xr:uid="{00000000-0005-0000-0000-000006260000}"/>
    <cellStyle name="40% - Ênfase1 5 2 2 2 3" xfId="9881" xr:uid="{00000000-0005-0000-0000-000007260000}"/>
    <cellStyle name="40% - Ênfase1 5 2 2 2 3 2" xfId="9882" xr:uid="{00000000-0005-0000-0000-000008260000}"/>
    <cellStyle name="40% - Ênfase1 5 2 2 2 4" xfId="9883" xr:uid="{00000000-0005-0000-0000-000009260000}"/>
    <cellStyle name="40% - Ênfase1 5 2 2 3" xfId="9884" xr:uid="{00000000-0005-0000-0000-00000A260000}"/>
    <cellStyle name="40% - Ênfase1 5 2 2 3 2" xfId="9885" xr:uid="{00000000-0005-0000-0000-00000B260000}"/>
    <cellStyle name="40% - Ênfase1 5 2 2 4" xfId="9886" xr:uid="{00000000-0005-0000-0000-00000C260000}"/>
    <cellStyle name="40% - Ênfase1 5 2 2 4 2" xfId="9887" xr:uid="{00000000-0005-0000-0000-00000D260000}"/>
    <cellStyle name="40% - Ênfase1 5 2 2 5" xfId="9888" xr:uid="{00000000-0005-0000-0000-00000E260000}"/>
    <cellStyle name="40% - Ênfase1 5 2 3" xfId="9889" xr:uid="{00000000-0005-0000-0000-00000F260000}"/>
    <cellStyle name="40% - Ênfase1 5 2 3 2" xfId="9890" xr:uid="{00000000-0005-0000-0000-000010260000}"/>
    <cellStyle name="40% - Ênfase1 5 2 3 2 2" xfId="9891" xr:uid="{00000000-0005-0000-0000-000011260000}"/>
    <cellStyle name="40% - Ênfase1 5 2 3 3" xfId="9892" xr:uid="{00000000-0005-0000-0000-000012260000}"/>
    <cellStyle name="40% - Ênfase1 5 2 3 3 2" xfId="9893" xr:uid="{00000000-0005-0000-0000-000013260000}"/>
    <cellStyle name="40% - Ênfase1 5 2 3 4" xfId="9894" xr:uid="{00000000-0005-0000-0000-000014260000}"/>
    <cellStyle name="40% - Ênfase1 5 2 4" xfId="9895" xr:uid="{00000000-0005-0000-0000-000015260000}"/>
    <cellStyle name="40% - Ênfase1 5 2 4 2" xfId="9896" xr:uid="{00000000-0005-0000-0000-000016260000}"/>
    <cellStyle name="40% - Ênfase1 5 2 4 2 2" xfId="9897" xr:uid="{00000000-0005-0000-0000-000017260000}"/>
    <cellStyle name="40% - Ênfase1 5 2 4 3" xfId="9898" xr:uid="{00000000-0005-0000-0000-000018260000}"/>
    <cellStyle name="40% - Ênfase1 5 2 5" xfId="9899" xr:uid="{00000000-0005-0000-0000-000019260000}"/>
    <cellStyle name="40% - Ênfase1 5 2 5 2" xfId="9900" xr:uid="{00000000-0005-0000-0000-00001A260000}"/>
    <cellStyle name="40% - Ênfase1 5 2 6" xfId="9901" xr:uid="{00000000-0005-0000-0000-00001B260000}"/>
    <cellStyle name="40% - Ênfase1 5 3" xfId="9902" xr:uid="{00000000-0005-0000-0000-00001C260000}"/>
    <cellStyle name="40% - Ênfase1 5 3 2" xfId="9903" xr:uid="{00000000-0005-0000-0000-00001D260000}"/>
    <cellStyle name="40% - Ênfase1 5 3 2 2" xfId="9904" xr:uid="{00000000-0005-0000-0000-00001E260000}"/>
    <cellStyle name="40% - Ênfase1 5 3 2 2 2" xfId="9905" xr:uid="{00000000-0005-0000-0000-00001F260000}"/>
    <cellStyle name="40% - Ênfase1 5 3 2 3" xfId="9906" xr:uid="{00000000-0005-0000-0000-000020260000}"/>
    <cellStyle name="40% - Ênfase1 5 3 2 3 2" xfId="9907" xr:uid="{00000000-0005-0000-0000-000021260000}"/>
    <cellStyle name="40% - Ênfase1 5 3 2 4" xfId="9908" xr:uid="{00000000-0005-0000-0000-000022260000}"/>
    <cellStyle name="40% - Ênfase1 5 3 3" xfId="9909" xr:uid="{00000000-0005-0000-0000-000023260000}"/>
    <cellStyle name="40% - Ênfase1 5 3 3 2" xfId="9910" xr:uid="{00000000-0005-0000-0000-000024260000}"/>
    <cellStyle name="40% - Ênfase1 5 3 3 2 2" xfId="9911" xr:uid="{00000000-0005-0000-0000-000025260000}"/>
    <cellStyle name="40% - Ênfase1 5 3 3 3" xfId="9912" xr:uid="{00000000-0005-0000-0000-000026260000}"/>
    <cellStyle name="40% - Ênfase1 5 3 3 3 2" xfId="9913" xr:uid="{00000000-0005-0000-0000-000027260000}"/>
    <cellStyle name="40% - Ênfase1 5 3 3 4" xfId="9914" xr:uid="{00000000-0005-0000-0000-000028260000}"/>
    <cellStyle name="40% - Ênfase1 5 3 4" xfId="9915" xr:uid="{00000000-0005-0000-0000-000029260000}"/>
    <cellStyle name="40% - Ênfase1 5 3 4 2" xfId="9916" xr:uid="{00000000-0005-0000-0000-00002A260000}"/>
    <cellStyle name="40% - Ênfase1 5 3 5" xfId="9917" xr:uid="{00000000-0005-0000-0000-00002B260000}"/>
    <cellStyle name="40% - Ênfase1 5 3 5 2" xfId="9918" xr:uid="{00000000-0005-0000-0000-00002C260000}"/>
    <cellStyle name="40% - Ênfase1 5 3 6" xfId="9919" xr:uid="{00000000-0005-0000-0000-00002D260000}"/>
    <cellStyle name="40% - Ênfase1 5 4" xfId="9920" xr:uid="{00000000-0005-0000-0000-00002E260000}"/>
    <cellStyle name="40% - Ênfase1 5 4 2" xfId="9921" xr:uid="{00000000-0005-0000-0000-00002F260000}"/>
    <cellStyle name="40% - Ênfase1 5 4 2 2" xfId="9922" xr:uid="{00000000-0005-0000-0000-000030260000}"/>
    <cellStyle name="40% - Ênfase1 5 4 3" xfId="9923" xr:uid="{00000000-0005-0000-0000-000031260000}"/>
    <cellStyle name="40% - Ênfase1 5 4 3 2" xfId="9924" xr:uid="{00000000-0005-0000-0000-000032260000}"/>
    <cellStyle name="40% - Ênfase1 5 4 4" xfId="9925" xr:uid="{00000000-0005-0000-0000-000033260000}"/>
    <cellStyle name="40% - Ênfase1 5 5" xfId="9926" xr:uid="{00000000-0005-0000-0000-000034260000}"/>
    <cellStyle name="40% - Ênfase1 5 5 2" xfId="9927" xr:uid="{00000000-0005-0000-0000-000035260000}"/>
    <cellStyle name="40% - Ênfase1 5 5 2 2" xfId="9928" xr:uid="{00000000-0005-0000-0000-000036260000}"/>
    <cellStyle name="40% - Ênfase1 5 5 3" xfId="9929" xr:uid="{00000000-0005-0000-0000-000037260000}"/>
    <cellStyle name="40% - Ênfase1 5 6" xfId="9930" xr:uid="{00000000-0005-0000-0000-000038260000}"/>
    <cellStyle name="40% - Ênfase1 5 6 2" xfId="9931" xr:uid="{00000000-0005-0000-0000-000039260000}"/>
    <cellStyle name="40% - Ênfase1 5 6 2 2" xfId="9932" xr:uid="{00000000-0005-0000-0000-00003A260000}"/>
    <cellStyle name="40% - Ênfase1 5 6 3" xfId="9933" xr:uid="{00000000-0005-0000-0000-00003B260000}"/>
    <cellStyle name="40% - Ênfase1 5 7" xfId="9934" xr:uid="{00000000-0005-0000-0000-00003C260000}"/>
    <cellStyle name="40% - Ênfase1 5 7 2" xfId="9935" xr:uid="{00000000-0005-0000-0000-00003D260000}"/>
    <cellStyle name="40% - Ênfase1 5 7 2 2" xfId="9936" xr:uid="{00000000-0005-0000-0000-00003E260000}"/>
    <cellStyle name="40% - Ênfase1 5 7 3" xfId="9937" xr:uid="{00000000-0005-0000-0000-00003F260000}"/>
    <cellStyle name="40% - Ênfase1 5 8" xfId="9938" xr:uid="{00000000-0005-0000-0000-000040260000}"/>
    <cellStyle name="40% - Ênfase1 5 8 2" xfId="9939" xr:uid="{00000000-0005-0000-0000-000041260000}"/>
    <cellStyle name="40% - Ênfase1 5 8 2 2" xfId="9940" xr:uid="{00000000-0005-0000-0000-000042260000}"/>
    <cellStyle name="40% - Ênfase1 5 8 3" xfId="9941" xr:uid="{00000000-0005-0000-0000-000043260000}"/>
    <cellStyle name="40% - Ênfase1 5 9" xfId="9942" xr:uid="{00000000-0005-0000-0000-000044260000}"/>
    <cellStyle name="40% - Ênfase1 5 9 2" xfId="9943" xr:uid="{00000000-0005-0000-0000-000045260000}"/>
    <cellStyle name="40% - Ênfase1 6" xfId="9944" xr:uid="{00000000-0005-0000-0000-000046260000}"/>
    <cellStyle name="40% - Ênfase1 6 2" xfId="9945" xr:uid="{00000000-0005-0000-0000-000047260000}"/>
    <cellStyle name="40% - Ênfase1 6 2 2" xfId="9946" xr:uid="{00000000-0005-0000-0000-000048260000}"/>
    <cellStyle name="40% - Ênfase1 6 2 2 2" xfId="9947" xr:uid="{00000000-0005-0000-0000-000049260000}"/>
    <cellStyle name="40% - Ênfase1 6 2 2 2 2" xfId="9948" xr:uid="{00000000-0005-0000-0000-00004A260000}"/>
    <cellStyle name="40% - Ênfase1 6 2 2 2 2 2" xfId="9949" xr:uid="{00000000-0005-0000-0000-00004B260000}"/>
    <cellStyle name="40% - Ênfase1 6 2 2 2 3" xfId="9950" xr:uid="{00000000-0005-0000-0000-00004C260000}"/>
    <cellStyle name="40% - Ênfase1 6 2 2 2 3 2" xfId="9951" xr:uid="{00000000-0005-0000-0000-00004D260000}"/>
    <cellStyle name="40% - Ênfase1 6 2 2 2 4" xfId="9952" xr:uid="{00000000-0005-0000-0000-00004E260000}"/>
    <cellStyle name="40% - Ênfase1 6 2 2 3" xfId="9953" xr:uid="{00000000-0005-0000-0000-00004F260000}"/>
    <cellStyle name="40% - Ênfase1 6 2 2 3 2" xfId="9954" xr:uid="{00000000-0005-0000-0000-000050260000}"/>
    <cellStyle name="40% - Ênfase1 6 2 2 4" xfId="9955" xr:uid="{00000000-0005-0000-0000-000051260000}"/>
    <cellStyle name="40% - Ênfase1 6 2 2 4 2" xfId="9956" xr:uid="{00000000-0005-0000-0000-000052260000}"/>
    <cellStyle name="40% - Ênfase1 6 2 2 5" xfId="9957" xr:uid="{00000000-0005-0000-0000-000053260000}"/>
    <cellStyle name="40% - Ênfase1 6 2 3" xfId="9958" xr:uid="{00000000-0005-0000-0000-000054260000}"/>
    <cellStyle name="40% - Ênfase1 6 2 3 2" xfId="9959" xr:uid="{00000000-0005-0000-0000-000055260000}"/>
    <cellStyle name="40% - Ênfase1 6 2 3 2 2" xfId="9960" xr:uid="{00000000-0005-0000-0000-000056260000}"/>
    <cellStyle name="40% - Ênfase1 6 2 3 3" xfId="9961" xr:uid="{00000000-0005-0000-0000-000057260000}"/>
    <cellStyle name="40% - Ênfase1 6 2 3 3 2" xfId="9962" xr:uid="{00000000-0005-0000-0000-000058260000}"/>
    <cellStyle name="40% - Ênfase1 6 2 3 4" xfId="9963" xr:uid="{00000000-0005-0000-0000-000059260000}"/>
    <cellStyle name="40% - Ênfase1 6 2 4" xfId="9964" xr:uid="{00000000-0005-0000-0000-00005A260000}"/>
    <cellStyle name="40% - Ênfase1 6 2 4 2" xfId="9965" xr:uid="{00000000-0005-0000-0000-00005B260000}"/>
    <cellStyle name="40% - Ênfase1 6 2 4 2 2" xfId="9966" xr:uid="{00000000-0005-0000-0000-00005C260000}"/>
    <cellStyle name="40% - Ênfase1 6 2 4 3" xfId="9967" xr:uid="{00000000-0005-0000-0000-00005D260000}"/>
    <cellStyle name="40% - Ênfase1 6 2 5" xfId="9968" xr:uid="{00000000-0005-0000-0000-00005E260000}"/>
    <cellStyle name="40% - Ênfase1 6 2 5 2" xfId="9969" xr:uid="{00000000-0005-0000-0000-00005F260000}"/>
    <cellStyle name="40% - Ênfase1 6 2 6" xfId="9970" xr:uid="{00000000-0005-0000-0000-000060260000}"/>
    <cellStyle name="40% - Ênfase1 6 3" xfId="9971" xr:uid="{00000000-0005-0000-0000-000061260000}"/>
    <cellStyle name="40% - Ênfase1 6 3 2" xfId="9972" xr:uid="{00000000-0005-0000-0000-000062260000}"/>
    <cellStyle name="40% - Ênfase1 6 3 2 2" xfId="9973" xr:uid="{00000000-0005-0000-0000-000063260000}"/>
    <cellStyle name="40% - Ênfase1 6 3 2 2 2" xfId="9974" xr:uid="{00000000-0005-0000-0000-000064260000}"/>
    <cellStyle name="40% - Ênfase1 6 3 2 3" xfId="9975" xr:uid="{00000000-0005-0000-0000-000065260000}"/>
    <cellStyle name="40% - Ênfase1 6 3 2 3 2" xfId="9976" xr:uid="{00000000-0005-0000-0000-000066260000}"/>
    <cellStyle name="40% - Ênfase1 6 3 2 4" xfId="9977" xr:uid="{00000000-0005-0000-0000-000067260000}"/>
    <cellStyle name="40% - Ênfase1 6 3 3" xfId="9978" xr:uid="{00000000-0005-0000-0000-000068260000}"/>
    <cellStyle name="40% - Ênfase1 6 3 3 2" xfId="9979" xr:uid="{00000000-0005-0000-0000-000069260000}"/>
    <cellStyle name="40% - Ênfase1 6 3 4" xfId="9980" xr:uid="{00000000-0005-0000-0000-00006A260000}"/>
    <cellStyle name="40% - Ênfase1 6 3 4 2" xfId="9981" xr:uid="{00000000-0005-0000-0000-00006B260000}"/>
    <cellStyle name="40% - Ênfase1 6 3 5" xfId="9982" xr:uid="{00000000-0005-0000-0000-00006C260000}"/>
    <cellStyle name="40% - Ênfase1 6 4" xfId="9983" xr:uid="{00000000-0005-0000-0000-00006D260000}"/>
    <cellStyle name="40% - Ênfase1 6 4 2" xfId="9984" xr:uid="{00000000-0005-0000-0000-00006E260000}"/>
    <cellStyle name="40% - Ênfase1 6 4 2 2" xfId="9985" xr:uid="{00000000-0005-0000-0000-00006F260000}"/>
    <cellStyle name="40% - Ênfase1 6 4 3" xfId="9986" xr:uid="{00000000-0005-0000-0000-000070260000}"/>
    <cellStyle name="40% - Ênfase1 6 4 3 2" xfId="9987" xr:uid="{00000000-0005-0000-0000-000071260000}"/>
    <cellStyle name="40% - Ênfase1 6 4 4" xfId="9988" xr:uid="{00000000-0005-0000-0000-000072260000}"/>
    <cellStyle name="40% - Ênfase1 6 5" xfId="9989" xr:uid="{00000000-0005-0000-0000-000073260000}"/>
    <cellStyle name="40% - Ênfase1 6 5 2" xfId="9990" xr:uid="{00000000-0005-0000-0000-000074260000}"/>
    <cellStyle name="40% - Ênfase1 6 5 2 2" xfId="9991" xr:uid="{00000000-0005-0000-0000-000075260000}"/>
    <cellStyle name="40% - Ênfase1 6 5 3" xfId="9992" xr:uid="{00000000-0005-0000-0000-000076260000}"/>
    <cellStyle name="40% - Ênfase1 6 6" xfId="9993" xr:uid="{00000000-0005-0000-0000-000077260000}"/>
    <cellStyle name="40% - Ênfase1 6 6 2" xfId="9994" xr:uid="{00000000-0005-0000-0000-000078260000}"/>
    <cellStyle name="40% - Ênfase1 6 7" xfId="9995" xr:uid="{00000000-0005-0000-0000-000079260000}"/>
    <cellStyle name="40% - Ênfase1 7" xfId="9996" xr:uid="{00000000-0005-0000-0000-00007A260000}"/>
    <cellStyle name="40% - Ênfase1 7 2" xfId="9997" xr:uid="{00000000-0005-0000-0000-00007B260000}"/>
    <cellStyle name="40% - Ênfase1 7 2 2" xfId="9998" xr:uid="{00000000-0005-0000-0000-00007C260000}"/>
    <cellStyle name="40% - Ênfase1 7 2 2 2" xfId="9999" xr:uid="{00000000-0005-0000-0000-00007D260000}"/>
    <cellStyle name="40% - Ênfase1 7 2 2 2 2" xfId="10000" xr:uid="{00000000-0005-0000-0000-00007E260000}"/>
    <cellStyle name="40% - Ênfase1 7 2 2 2 2 2" xfId="10001" xr:uid="{00000000-0005-0000-0000-00007F260000}"/>
    <cellStyle name="40% - Ênfase1 7 2 2 2 3" xfId="10002" xr:uid="{00000000-0005-0000-0000-000080260000}"/>
    <cellStyle name="40% - Ênfase1 7 2 2 2 3 2" xfId="10003" xr:uid="{00000000-0005-0000-0000-000081260000}"/>
    <cellStyle name="40% - Ênfase1 7 2 2 2 4" xfId="10004" xr:uid="{00000000-0005-0000-0000-000082260000}"/>
    <cellStyle name="40% - Ênfase1 7 2 2 3" xfId="10005" xr:uid="{00000000-0005-0000-0000-000083260000}"/>
    <cellStyle name="40% - Ênfase1 7 2 2 3 2" xfId="10006" xr:uid="{00000000-0005-0000-0000-000084260000}"/>
    <cellStyle name="40% - Ênfase1 7 2 2 4" xfId="10007" xr:uid="{00000000-0005-0000-0000-000085260000}"/>
    <cellStyle name="40% - Ênfase1 7 2 2 4 2" xfId="10008" xr:uid="{00000000-0005-0000-0000-000086260000}"/>
    <cellStyle name="40% - Ênfase1 7 2 2 5" xfId="10009" xr:uid="{00000000-0005-0000-0000-000087260000}"/>
    <cellStyle name="40% - Ênfase1 7 2 3" xfId="10010" xr:uid="{00000000-0005-0000-0000-000088260000}"/>
    <cellStyle name="40% - Ênfase1 7 2 3 2" xfId="10011" xr:uid="{00000000-0005-0000-0000-000089260000}"/>
    <cellStyle name="40% - Ênfase1 7 2 3 2 2" xfId="10012" xr:uid="{00000000-0005-0000-0000-00008A260000}"/>
    <cellStyle name="40% - Ênfase1 7 2 3 3" xfId="10013" xr:uid="{00000000-0005-0000-0000-00008B260000}"/>
    <cellStyle name="40% - Ênfase1 7 2 3 3 2" xfId="10014" xr:uid="{00000000-0005-0000-0000-00008C260000}"/>
    <cellStyle name="40% - Ênfase1 7 2 3 4" xfId="10015" xr:uid="{00000000-0005-0000-0000-00008D260000}"/>
    <cellStyle name="40% - Ênfase1 7 2 4" xfId="10016" xr:uid="{00000000-0005-0000-0000-00008E260000}"/>
    <cellStyle name="40% - Ênfase1 7 2 4 2" xfId="10017" xr:uid="{00000000-0005-0000-0000-00008F260000}"/>
    <cellStyle name="40% - Ênfase1 7 2 4 2 2" xfId="10018" xr:uid="{00000000-0005-0000-0000-000090260000}"/>
    <cellStyle name="40% - Ênfase1 7 2 4 3" xfId="10019" xr:uid="{00000000-0005-0000-0000-000091260000}"/>
    <cellStyle name="40% - Ênfase1 7 2 5" xfId="10020" xr:uid="{00000000-0005-0000-0000-000092260000}"/>
    <cellStyle name="40% - Ênfase1 7 2 5 2" xfId="10021" xr:uid="{00000000-0005-0000-0000-000093260000}"/>
    <cellStyle name="40% - Ênfase1 7 2 6" xfId="10022" xr:uid="{00000000-0005-0000-0000-000094260000}"/>
    <cellStyle name="40% - Ênfase1 7 3" xfId="10023" xr:uid="{00000000-0005-0000-0000-000095260000}"/>
    <cellStyle name="40% - Ênfase1 7 3 2" xfId="10024" xr:uid="{00000000-0005-0000-0000-000096260000}"/>
    <cellStyle name="40% - Ênfase1 7 3 2 2" xfId="10025" xr:uid="{00000000-0005-0000-0000-000097260000}"/>
    <cellStyle name="40% - Ênfase1 7 3 2 2 2" xfId="10026" xr:uid="{00000000-0005-0000-0000-000098260000}"/>
    <cellStyle name="40% - Ênfase1 7 3 2 3" xfId="10027" xr:uid="{00000000-0005-0000-0000-000099260000}"/>
    <cellStyle name="40% - Ênfase1 7 3 2 3 2" xfId="10028" xr:uid="{00000000-0005-0000-0000-00009A260000}"/>
    <cellStyle name="40% - Ênfase1 7 3 2 4" xfId="10029" xr:uid="{00000000-0005-0000-0000-00009B260000}"/>
    <cellStyle name="40% - Ênfase1 7 3 3" xfId="10030" xr:uid="{00000000-0005-0000-0000-00009C260000}"/>
    <cellStyle name="40% - Ênfase1 7 3 3 2" xfId="10031" xr:uid="{00000000-0005-0000-0000-00009D260000}"/>
    <cellStyle name="40% - Ênfase1 7 3 4" xfId="10032" xr:uid="{00000000-0005-0000-0000-00009E260000}"/>
    <cellStyle name="40% - Ênfase1 7 3 4 2" xfId="10033" xr:uid="{00000000-0005-0000-0000-00009F260000}"/>
    <cellStyle name="40% - Ênfase1 7 3 5" xfId="10034" xr:uid="{00000000-0005-0000-0000-0000A0260000}"/>
    <cellStyle name="40% - Ênfase1 7 4" xfId="10035" xr:uid="{00000000-0005-0000-0000-0000A1260000}"/>
    <cellStyle name="40% - Ênfase1 7 4 2" xfId="10036" xr:uid="{00000000-0005-0000-0000-0000A2260000}"/>
    <cellStyle name="40% - Ênfase1 7 4 2 2" xfId="10037" xr:uid="{00000000-0005-0000-0000-0000A3260000}"/>
    <cellStyle name="40% - Ênfase1 7 4 3" xfId="10038" xr:uid="{00000000-0005-0000-0000-0000A4260000}"/>
    <cellStyle name="40% - Ênfase1 7 4 3 2" xfId="10039" xr:uid="{00000000-0005-0000-0000-0000A5260000}"/>
    <cellStyle name="40% - Ênfase1 7 4 4" xfId="10040" xr:uid="{00000000-0005-0000-0000-0000A6260000}"/>
    <cellStyle name="40% - Ênfase1 7 5" xfId="10041" xr:uid="{00000000-0005-0000-0000-0000A7260000}"/>
    <cellStyle name="40% - Ênfase1 7 5 2" xfId="10042" xr:uid="{00000000-0005-0000-0000-0000A8260000}"/>
    <cellStyle name="40% - Ênfase1 7 5 2 2" xfId="10043" xr:uid="{00000000-0005-0000-0000-0000A9260000}"/>
    <cellStyle name="40% - Ênfase1 7 5 3" xfId="10044" xr:uid="{00000000-0005-0000-0000-0000AA260000}"/>
    <cellStyle name="40% - Ênfase1 7 6" xfId="10045" xr:uid="{00000000-0005-0000-0000-0000AB260000}"/>
    <cellStyle name="40% - Ênfase1 7 6 2" xfId="10046" xr:uid="{00000000-0005-0000-0000-0000AC260000}"/>
    <cellStyle name="40% - Ênfase1 7 7" xfId="10047" xr:uid="{00000000-0005-0000-0000-0000AD260000}"/>
    <cellStyle name="40% - Ênfase1 8" xfId="10048" xr:uid="{00000000-0005-0000-0000-0000AE260000}"/>
    <cellStyle name="40% - Ênfase1 8 2" xfId="10049" xr:uid="{00000000-0005-0000-0000-0000AF260000}"/>
    <cellStyle name="40% - Ênfase1 8 2 2" xfId="10050" xr:uid="{00000000-0005-0000-0000-0000B0260000}"/>
    <cellStyle name="40% - Ênfase1 8 2 2 2" xfId="10051" xr:uid="{00000000-0005-0000-0000-0000B1260000}"/>
    <cellStyle name="40% - Ênfase1 8 2 2 2 2" xfId="10052" xr:uid="{00000000-0005-0000-0000-0000B2260000}"/>
    <cellStyle name="40% - Ênfase1 8 2 2 2 2 2" xfId="10053" xr:uid="{00000000-0005-0000-0000-0000B3260000}"/>
    <cellStyle name="40% - Ênfase1 8 2 2 2 3" xfId="10054" xr:uid="{00000000-0005-0000-0000-0000B4260000}"/>
    <cellStyle name="40% - Ênfase1 8 2 2 2 3 2" xfId="10055" xr:uid="{00000000-0005-0000-0000-0000B5260000}"/>
    <cellStyle name="40% - Ênfase1 8 2 2 2 4" xfId="10056" xr:uid="{00000000-0005-0000-0000-0000B6260000}"/>
    <cellStyle name="40% - Ênfase1 8 2 2 3" xfId="10057" xr:uid="{00000000-0005-0000-0000-0000B7260000}"/>
    <cellStyle name="40% - Ênfase1 8 2 2 3 2" xfId="10058" xr:uid="{00000000-0005-0000-0000-0000B8260000}"/>
    <cellStyle name="40% - Ênfase1 8 2 2 4" xfId="10059" xr:uid="{00000000-0005-0000-0000-0000B9260000}"/>
    <cellStyle name="40% - Ênfase1 8 2 2 4 2" xfId="10060" xr:uid="{00000000-0005-0000-0000-0000BA260000}"/>
    <cellStyle name="40% - Ênfase1 8 2 2 5" xfId="10061" xr:uid="{00000000-0005-0000-0000-0000BB260000}"/>
    <cellStyle name="40% - Ênfase1 8 2 3" xfId="10062" xr:uid="{00000000-0005-0000-0000-0000BC260000}"/>
    <cellStyle name="40% - Ênfase1 8 2 3 2" xfId="10063" xr:uid="{00000000-0005-0000-0000-0000BD260000}"/>
    <cellStyle name="40% - Ênfase1 8 2 3 2 2" xfId="10064" xr:uid="{00000000-0005-0000-0000-0000BE260000}"/>
    <cellStyle name="40% - Ênfase1 8 2 3 3" xfId="10065" xr:uid="{00000000-0005-0000-0000-0000BF260000}"/>
    <cellStyle name="40% - Ênfase1 8 2 3 3 2" xfId="10066" xr:uid="{00000000-0005-0000-0000-0000C0260000}"/>
    <cellStyle name="40% - Ênfase1 8 2 3 4" xfId="10067" xr:uid="{00000000-0005-0000-0000-0000C1260000}"/>
    <cellStyle name="40% - Ênfase1 8 2 4" xfId="10068" xr:uid="{00000000-0005-0000-0000-0000C2260000}"/>
    <cellStyle name="40% - Ênfase1 8 2 4 2" xfId="10069" xr:uid="{00000000-0005-0000-0000-0000C3260000}"/>
    <cellStyle name="40% - Ênfase1 8 2 4 2 2" xfId="10070" xr:uid="{00000000-0005-0000-0000-0000C4260000}"/>
    <cellStyle name="40% - Ênfase1 8 2 4 3" xfId="10071" xr:uid="{00000000-0005-0000-0000-0000C5260000}"/>
    <cellStyle name="40% - Ênfase1 8 2 5" xfId="10072" xr:uid="{00000000-0005-0000-0000-0000C6260000}"/>
    <cellStyle name="40% - Ênfase1 8 2 5 2" xfId="10073" xr:uid="{00000000-0005-0000-0000-0000C7260000}"/>
    <cellStyle name="40% - Ênfase1 8 2 6" xfId="10074" xr:uid="{00000000-0005-0000-0000-0000C8260000}"/>
    <cellStyle name="40% - Ênfase1 8 3" xfId="10075" xr:uid="{00000000-0005-0000-0000-0000C9260000}"/>
    <cellStyle name="40% - Ênfase1 8 3 2" xfId="10076" xr:uid="{00000000-0005-0000-0000-0000CA260000}"/>
    <cellStyle name="40% - Ênfase1 8 3 2 2" xfId="10077" xr:uid="{00000000-0005-0000-0000-0000CB260000}"/>
    <cellStyle name="40% - Ênfase1 8 3 2 2 2" xfId="10078" xr:uid="{00000000-0005-0000-0000-0000CC260000}"/>
    <cellStyle name="40% - Ênfase1 8 3 2 3" xfId="10079" xr:uid="{00000000-0005-0000-0000-0000CD260000}"/>
    <cellStyle name="40% - Ênfase1 8 3 2 3 2" xfId="10080" xr:uid="{00000000-0005-0000-0000-0000CE260000}"/>
    <cellStyle name="40% - Ênfase1 8 3 2 4" xfId="10081" xr:uid="{00000000-0005-0000-0000-0000CF260000}"/>
    <cellStyle name="40% - Ênfase1 8 3 3" xfId="10082" xr:uid="{00000000-0005-0000-0000-0000D0260000}"/>
    <cellStyle name="40% - Ênfase1 8 3 3 2" xfId="10083" xr:uid="{00000000-0005-0000-0000-0000D1260000}"/>
    <cellStyle name="40% - Ênfase1 8 3 4" xfId="10084" xr:uid="{00000000-0005-0000-0000-0000D2260000}"/>
    <cellStyle name="40% - Ênfase1 8 3 4 2" xfId="10085" xr:uid="{00000000-0005-0000-0000-0000D3260000}"/>
    <cellStyle name="40% - Ênfase1 8 3 5" xfId="10086" xr:uid="{00000000-0005-0000-0000-0000D4260000}"/>
    <cellStyle name="40% - Ênfase1 8 4" xfId="10087" xr:uid="{00000000-0005-0000-0000-0000D5260000}"/>
    <cellStyle name="40% - Ênfase1 8 4 2" xfId="10088" xr:uid="{00000000-0005-0000-0000-0000D6260000}"/>
    <cellStyle name="40% - Ênfase1 8 4 2 2" xfId="10089" xr:uid="{00000000-0005-0000-0000-0000D7260000}"/>
    <cellStyle name="40% - Ênfase1 8 4 3" xfId="10090" xr:uid="{00000000-0005-0000-0000-0000D8260000}"/>
    <cellStyle name="40% - Ênfase1 8 4 3 2" xfId="10091" xr:uid="{00000000-0005-0000-0000-0000D9260000}"/>
    <cellStyle name="40% - Ênfase1 8 4 4" xfId="10092" xr:uid="{00000000-0005-0000-0000-0000DA260000}"/>
    <cellStyle name="40% - Ênfase1 8 5" xfId="10093" xr:uid="{00000000-0005-0000-0000-0000DB260000}"/>
    <cellStyle name="40% - Ênfase1 8 5 2" xfId="10094" xr:uid="{00000000-0005-0000-0000-0000DC260000}"/>
    <cellStyle name="40% - Ênfase1 8 5 2 2" xfId="10095" xr:uid="{00000000-0005-0000-0000-0000DD260000}"/>
    <cellStyle name="40% - Ênfase1 8 5 3" xfId="10096" xr:uid="{00000000-0005-0000-0000-0000DE260000}"/>
    <cellStyle name="40% - Ênfase1 8 6" xfId="10097" xr:uid="{00000000-0005-0000-0000-0000DF260000}"/>
    <cellStyle name="40% - Ênfase1 8 6 2" xfId="10098" xr:uid="{00000000-0005-0000-0000-0000E0260000}"/>
    <cellStyle name="40% - Ênfase1 8 7" xfId="10099" xr:uid="{00000000-0005-0000-0000-0000E1260000}"/>
    <cellStyle name="40% - Ênfase1 9" xfId="10100" xr:uid="{00000000-0005-0000-0000-0000E2260000}"/>
    <cellStyle name="40% - Ênfase1 9 2" xfId="10101" xr:uid="{00000000-0005-0000-0000-0000E3260000}"/>
    <cellStyle name="40% - Ênfase1 9 2 2" xfId="10102" xr:uid="{00000000-0005-0000-0000-0000E4260000}"/>
    <cellStyle name="40% - Ênfase1 9 2 2 2" xfId="10103" xr:uid="{00000000-0005-0000-0000-0000E5260000}"/>
    <cellStyle name="40% - Ênfase1 9 2 2 2 2" xfId="10104" xr:uid="{00000000-0005-0000-0000-0000E6260000}"/>
    <cellStyle name="40% - Ênfase1 9 2 2 2 2 2" xfId="10105" xr:uid="{00000000-0005-0000-0000-0000E7260000}"/>
    <cellStyle name="40% - Ênfase1 9 2 2 2 3" xfId="10106" xr:uid="{00000000-0005-0000-0000-0000E8260000}"/>
    <cellStyle name="40% - Ênfase1 9 2 2 2 3 2" xfId="10107" xr:uid="{00000000-0005-0000-0000-0000E9260000}"/>
    <cellStyle name="40% - Ênfase1 9 2 2 2 4" xfId="10108" xr:uid="{00000000-0005-0000-0000-0000EA260000}"/>
    <cellStyle name="40% - Ênfase1 9 2 2 3" xfId="10109" xr:uid="{00000000-0005-0000-0000-0000EB260000}"/>
    <cellStyle name="40% - Ênfase1 9 2 2 3 2" xfId="10110" xr:uid="{00000000-0005-0000-0000-0000EC260000}"/>
    <cellStyle name="40% - Ênfase1 9 2 2 4" xfId="10111" xr:uid="{00000000-0005-0000-0000-0000ED260000}"/>
    <cellStyle name="40% - Ênfase1 9 2 2 4 2" xfId="10112" xr:uid="{00000000-0005-0000-0000-0000EE260000}"/>
    <cellStyle name="40% - Ênfase1 9 2 2 5" xfId="10113" xr:uid="{00000000-0005-0000-0000-0000EF260000}"/>
    <cellStyle name="40% - Ênfase1 9 2 3" xfId="10114" xr:uid="{00000000-0005-0000-0000-0000F0260000}"/>
    <cellStyle name="40% - Ênfase1 9 2 3 2" xfId="10115" xr:uid="{00000000-0005-0000-0000-0000F1260000}"/>
    <cellStyle name="40% - Ênfase1 9 2 3 2 2" xfId="10116" xr:uid="{00000000-0005-0000-0000-0000F2260000}"/>
    <cellStyle name="40% - Ênfase1 9 2 3 3" xfId="10117" xr:uid="{00000000-0005-0000-0000-0000F3260000}"/>
    <cellStyle name="40% - Ênfase1 9 2 3 3 2" xfId="10118" xr:uid="{00000000-0005-0000-0000-0000F4260000}"/>
    <cellStyle name="40% - Ênfase1 9 2 3 4" xfId="10119" xr:uid="{00000000-0005-0000-0000-0000F5260000}"/>
    <cellStyle name="40% - Ênfase1 9 2 4" xfId="10120" xr:uid="{00000000-0005-0000-0000-0000F6260000}"/>
    <cellStyle name="40% - Ênfase1 9 2 4 2" xfId="10121" xr:uid="{00000000-0005-0000-0000-0000F7260000}"/>
    <cellStyle name="40% - Ênfase1 9 2 4 2 2" xfId="10122" xr:uid="{00000000-0005-0000-0000-0000F8260000}"/>
    <cellStyle name="40% - Ênfase1 9 2 4 3" xfId="10123" xr:uid="{00000000-0005-0000-0000-0000F9260000}"/>
    <cellStyle name="40% - Ênfase1 9 2 5" xfId="10124" xr:uid="{00000000-0005-0000-0000-0000FA260000}"/>
    <cellStyle name="40% - Ênfase1 9 2 5 2" xfId="10125" xr:uid="{00000000-0005-0000-0000-0000FB260000}"/>
    <cellStyle name="40% - Ênfase1 9 2 6" xfId="10126" xr:uid="{00000000-0005-0000-0000-0000FC260000}"/>
    <cellStyle name="40% - Ênfase1 9 3" xfId="10127" xr:uid="{00000000-0005-0000-0000-0000FD260000}"/>
    <cellStyle name="40% - Ênfase1 9 3 2" xfId="10128" xr:uid="{00000000-0005-0000-0000-0000FE260000}"/>
    <cellStyle name="40% - Ênfase1 9 3 2 2" xfId="10129" xr:uid="{00000000-0005-0000-0000-0000FF260000}"/>
    <cellStyle name="40% - Ênfase1 9 3 2 2 2" xfId="10130" xr:uid="{00000000-0005-0000-0000-000000270000}"/>
    <cellStyle name="40% - Ênfase1 9 3 2 3" xfId="10131" xr:uid="{00000000-0005-0000-0000-000001270000}"/>
    <cellStyle name="40% - Ênfase1 9 3 2 3 2" xfId="10132" xr:uid="{00000000-0005-0000-0000-000002270000}"/>
    <cellStyle name="40% - Ênfase1 9 3 2 4" xfId="10133" xr:uid="{00000000-0005-0000-0000-000003270000}"/>
    <cellStyle name="40% - Ênfase1 9 3 3" xfId="10134" xr:uid="{00000000-0005-0000-0000-000004270000}"/>
    <cellStyle name="40% - Ênfase1 9 3 3 2" xfId="10135" xr:uid="{00000000-0005-0000-0000-000005270000}"/>
    <cellStyle name="40% - Ênfase1 9 3 4" xfId="10136" xr:uid="{00000000-0005-0000-0000-000006270000}"/>
    <cellStyle name="40% - Ênfase1 9 3 4 2" xfId="10137" xr:uid="{00000000-0005-0000-0000-000007270000}"/>
    <cellStyle name="40% - Ênfase1 9 3 5" xfId="10138" xr:uid="{00000000-0005-0000-0000-000008270000}"/>
    <cellStyle name="40% - Ênfase1 9 4" xfId="10139" xr:uid="{00000000-0005-0000-0000-000009270000}"/>
    <cellStyle name="40% - Ênfase1 9 4 2" xfId="10140" xr:uid="{00000000-0005-0000-0000-00000A270000}"/>
    <cellStyle name="40% - Ênfase1 9 4 2 2" xfId="10141" xr:uid="{00000000-0005-0000-0000-00000B270000}"/>
    <cellStyle name="40% - Ênfase1 9 4 3" xfId="10142" xr:uid="{00000000-0005-0000-0000-00000C270000}"/>
    <cellStyle name="40% - Ênfase1 9 4 3 2" xfId="10143" xr:uid="{00000000-0005-0000-0000-00000D270000}"/>
    <cellStyle name="40% - Ênfase1 9 4 4" xfId="10144" xr:uid="{00000000-0005-0000-0000-00000E270000}"/>
    <cellStyle name="40% - Ênfase1 9 5" xfId="10145" xr:uid="{00000000-0005-0000-0000-00000F270000}"/>
    <cellStyle name="40% - Ênfase1 9 5 2" xfId="10146" xr:uid="{00000000-0005-0000-0000-000010270000}"/>
    <cellStyle name="40% - Ênfase1 9 5 2 2" xfId="10147" xr:uid="{00000000-0005-0000-0000-000011270000}"/>
    <cellStyle name="40% - Ênfase1 9 5 3" xfId="10148" xr:uid="{00000000-0005-0000-0000-000012270000}"/>
    <cellStyle name="40% - Ênfase1 9 6" xfId="10149" xr:uid="{00000000-0005-0000-0000-000013270000}"/>
    <cellStyle name="40% - Ênfase1 9 6 2" xfId="10150" xr:uid="{00000000-0005-0000-0000-000014270000}"/>
    <cellStyle name="40% - Ênfase1 9 7" xfId="10151" xr:uid="{00000000-0005-0000-0000-000015270000}"/>
    <cellStyle name="40% - Ênfase2 10" xfId="10152" xr:uid="{00000000-0005-0000-0000-000016270000}"/>
    <cellStyle name="40% - Ênfase2 10 2" xfId="10153" xr:uid="{00000000-0005-0000-0000-000017270000}"/>
    <cellStyle name="40% - Ênfase2 10 2 2" xfId="10154" xr:uid="{00000000-0005-0000-0000-000018270000}"/>
    <cellStyle name="40% - Ênfase2 10 2 2 2" xfId="10155" xr:uid="{00000000-0005-0000-0000-000019270000}"/>
    <cellStyle name="40% - Ênfase2 10 2 2 2 2" xfId="10156" xr:uid="{00000000-0005-0000-0000-00001A270000}"/>
    <cellStyle name="40% - Ênfase2 10 2 2 2 2 2" xfId="10157" xr:uid="{00000000-0005-0000-0000-00001B270000}"/>
    <cellStyle name="40% - Ênfase2 10 2 2 2 3" xfId="10158" xr:uid="{00000000-0005-0000-0000-00001C270000}"/>
    <cellStyle name="40% - Ênfase2 10 2 2 2 3 2" xfId="10159" xr:uid="{00000000-0005-0000-0000-00001D270000}"/>
    <cellStyle name="40% - Ênfase2 10 2 2 2 4" xfId="10160" xr:uid="{00000000-0005-0000-0000-00001E270000}"/>
    <cellStyle name="40% - Ênfase2 10 2 2 3" xfId="10161" xr:uid="{00000000-0005-0000-0000-00001F270000}"/>
    <cellStyle name="40% - Ênfase2 10 2 2 3 2" xfId="10162" xr:uid="{00000000-0005-0000-0000-000020270000}"/>
    <cellStyle name="40% - Ênfase2 10 2 2 4" xfId="10163" xr:uid="{00000000-0005-0000-0000-000021270000}"/>
    <cellStyle name="40% - Ênfase2 10 2 2 4 2" xfId="10164" xr:uid="{00000000-0005-0000-0000-000022270000}"/>
    <cellStyle name="40% - Ênfase2 10 2 2 5" xfId="10165" xr:uid="{00000000-0005-0000-0000-000023270000}"/>
    <cellStyle name="40% - Ênfase2 10 2 3" xfId="10166" xr:uid="{00000000-0005-0000-0000-000024270000}"/>
    <cellStyle name="40% - Ênfase2 10 2 3 2" xfId="10167" xr:uid="{00000000-0005-0000-0000-000025270000}"/>
    <cellStyle name="40% - Ênfase2 10 2 3 2 2" xfId="10168" xr:uid="{00000000-0005-0000-0000-000026270000}"/>
    <cellStyle name="40% - Ênfase2 10 2 3 3" xfId="10169" xr:uid="{00000000-0005-0000-0000-000027270000}"/>
    <cellStyle name="40% - Ênfase2 10 2 3 3 2" xfId="10170" xr:uid="{00000000-0005-0000-0000-000028270000}"/>
    <cellStyle name="40% - Ênfase2 10 2 3 4" xfId="10171" xr:uid="{00000000-0005-0000-0000-000029270000}"/>
    <cellStyle name="40% - Ênfase2 10 2 4" xfId="10172" xr:uid="{00000000-0005-0000-0000-00002A270000}"/>
    <cellStyle name="40% - Ênfase2 10 2 4 2" xfId="10173" xr:uid="{00000000-0005-0000-0000-00002B270000}"/>
    <cellStyle name="40% - Ênfase2 10 2 4 2 2" xfId="10174" xr:uid="{00000000-0005-0000-0000-00002C270000}"/>
    <cellStyle name="40% - Ênfase2 10 2 4 3" xfId="10175" xr:uid="{00000000-0005-0000-0000-00002D270000}"/>
    <cellStyle name="40% - Ênfase2 10 2 5" xfId="10176" xr:uid="{00000000-0005-0000-0000-00002E270000}"/>
    <cellStyle name="40% - Ênfase2 10 2 5 2" xfId="10177" xr:uid="{00000000-0005-0000-0000-00002F270000}"/>
    <cellStyle name="40% - Ênfase2 10 2 6" xfId="10178" xr:uid="{00000000-0005-0000-0000-000030270000}"/>
    <cellStyle name="40% - Ênfase2 10 3" xfId="10179" xr:uid="{00000000-0005-0000-0000-000031270000}"/>
    <cellStyle name="40% - Ênfase2 10 3 2" xfId="10180" xr:uid="{00000000-0005-0000-0000-000032270000}"/>
    <cellStyle name="40% - Ênfase2 10 3 2 2" xfId="10181" xr:uid="{00000000-0005-0000-0000-000033270000}"/>
    <cellStyle name="40% - Ênfase2 10 3 2 2 2" xfId="10182" xr:uid="{00000000-0005-0000-0000-000034270000}"/>
    <cellStyle name="40% - Ênfase2 10 3 2 3" xfId="10183" xr:uid="{00000000-0005-0000-0000-000035270000}"/>
    <cellStyle name="40% - Ênfase2 10 3 2 3 2" xfId="10184" xr:uid="{00000000-0005-0000-0000-000036270000}"/>
    <cellStyle name="40% - Ênfase2 10 3 2 4" xfId="10185" xr:uid="{00000000-0005-0000-0000-000037270000}"/>
    <cellStyle name="40% - Ênfase2 10 3 3" xfId="10186" xr:uid="{00000000-0005-0000-0000-000038270000}"/>
    <cellStyle name="40% - Ênfase2 10 3 3 2" xfId="10187" xr:uid="{00000000-0005-0000-0000-000039270000}"/>
    <cellStyle name="40% - Ênfase2 10 3 4" xfId="10188" xr:uid="{00000000-0005-0000-0000-00003A270000}"/>
    <cellStyle name="40% - Ênfase2 10 3 4 2" xfId="10189" xr:uid="{00000000-0005-0000-0000-00003B270000}"/>
    <cellStyle name="40% - Ênfase2 10 3 5" xfId="10190" xr:uid="{00000000-0005-0000-0000-00003C270000}"/>
    <cellStyle name="40% - Ênfase2 10 4" xfId="10191" xr:uid="{00000000-0005-0000-0000-00003D270000}"/>
    <cellStyle name="40% - Ênfase2 10 4 2" xfId="10192" xr:uid="{00000000-0005-0000-0000-00003E270000}"/>
    <cellStyle name="40% - Ênfase2 10 4 2 2" xfId="10193" xr:uid="{00000000-0005-0000-0000-00003F270000}"/>
    <cellStyle name="40% - Ênfase2 10 4 3" xfId="10194" xr:uid="{00000000-0005-0000-0000-000040270000}"/>
    <cellStyle name="40% - Ênfase2 10 4 3 2" xfId="10195" xr:uid="{00000000-0005-0000-0000-000041270000}"/>
    <cellStyle name="40% - Ênfase2 10 4 4" xfId="10196" xr:uid="{00000000-0005-0000-0000-000042270000}"/>
    <cellStyle name="40% - Ênfase2 10 5" xfId="10197" xr:uid="{00000000-0005-0000-0000-000043270000}"/>
    <cellStyle name="40% - Ênfase2 10 5 2" xfId="10198" xr:uid="{00000000-0005-0000-0000-000044270000}"/>
    <cellStyle name="40% - Ênfase2 10 5 2 2" xfId="10199" xr:uid="{00000000-0005-0000-0000-000045270000}"/>
    <cellStyle name="40% - Ênfase2 10 5 3" xfId="10200" xr:uid="{00000000-0005-0000-0000-000046270000}"/>
    <cellStyle name="40% - Ênfase2 10 6" xfId="10201" xr:uid="{00000000-0005-0000-0000-000047270000}"/>
    <cellStyle name="40% - Ênfase2 10 6 2" xfId="10202" xr:uid="{00000000-0005-0000-0000-000048270000}"/>
    <cellStyle name="40% - Ênfase2 10 7" xfId="10203" xr:uid="{00000000-0005-0000-0000-000049270000}"/>
    <cellStyle name="40% - Ênfase2 11" xfId="10204" xr:uid="{00000000-0005-0000-0000-00004A270000}"/>
    <cellStyle name="40% - Ênfase2 11 2" xfId="10205" xr:uid="{00000000-0005-0000-0000-00004B270000}"/>
    <cellStyle name="40% - Ênfase2 11 2 2" xfId="10206" xr:uid="{00000000-0005-0000-0000-00004C270000}"/>
    <cellStyle name="40% - Ênfase2 11 2 2 2" xfId="10207" xr:uid="{00000000-0005-0000-0000-00004D270000}"/>
    <cellStyle name="40% - Ênfase2 11 2 2 2 2" xfId="10208" xr:uid="{00000000-0005-0000-0000-00004E270000}"/>
    <cellStyle name="40% - Ênfase2 11 2 2 2 2 2" xfId="10209" xr:uid="{00000000-0005-0000-0000-00004F270000}"/>
    <cellStyle name="40% - Ênfase2 11 2 2 2 3" xfId="10210" xr:uid="{00000000-0005-0000-0000-000050270000}"/>
    <cellStyle name="40% - Ênfase2 11 2 2 2 3 2" xfId="10211" xr:uid="{00000000-0005-0000-0000-000051270000}"/>
    <cellStyle name="40% - Ênfase2 11 2 2 2 4" xfId="10212" xr:uid="{00000000-0005-0000-0000-000052270000}"/>
    <cellStyle name="40% - Ênfase2 11 2 2 3" xfId="10213" xr:uid="{00000000-0005-0000-0000-000053270000}"/>
    <cellStyle name="40% - Ênfase2 11 2 2 3 2" xfId="10214" xr:uid="{00000000-0005-0000-0000-000054270000}"/>
    <cellStyle name="40% - Ênfase2 11 2 2 4" xfId="10215" xr:uid="{00000000-0005-0000-0000-000055270000}"/>
    <cellStyle name="40% - Ênfase2 11 2 2 4 2" xfId="10216" xr:uid="{00000000-0005-0000-0000-000056270000}"/>
    <cellStyle name="40% - Ênfase2 11 2 2 5" xfId="10217" xr:uid="{00000000-0005-0000-0000-000057270000}"/>
    <cellStyle name="40% - Ênfase2 11 2 3" xfId="10218" xr:uid="{00000000-0005-0000-0000-000058270000}"/>
    <cellStyle name="40% - Ênfase2 11 2 3 2" xfId="10219" xr:uid="{00000000-0005-0000-0000-000059270000}"/>
    <cellStyle name="40% - Ênfase2 11 2 3 2 2" xfId="10220" xr:uid="{00000000-0005-0000-0000-00005A270000}"/>
    <cellStyle name="40% - Ênfase2 11 2 3 3" xfId="10221" xr:uid="{00000000-0005-0000-0000-00005B270000}"/>
    <cellStyle name="40% - Ênfase2 11 2 3 3 2" xfId="10222" xr:uid="{00000000-0005-0000-0000-00005C270000}"/>
    <cellStyle name="40% - Ênfase2 11 2 3 4" xfId="10223" xr:uid="{00000000-0005-0000-0000-00005D270000}"/>
    <cellStyle name="40% - Ênfase2 11 2 4" xfId="10224" xr:uid="{00000000-0005-0000-0000-00005E270000}"/>
    <cellStyle name="40% - Ênfase2 11 2 4 2" xfId="10225" xr:uid="{00000000-0005-0000-0000-00005F270000}"/>
    <cellStyle name="40% - Ênfase2 11 2 4 2 2" xfId="10226" xr:uid="{00000000-0005-0000-0000-000060270000}"/>
    <cellStyle name="40% - Ênfase2 11 2 4 3" xfId="10227" xr:uid="{00000000-0005-0000-0000-000061270000}"/>
    <cellStyle name="40% - Ênfase2 11 2 5" xfId="10228" xr:uid="{00000000-0005-0000-0000-000062270000}"/>
    <cellStyle name="40% - Ênfase2 11 2 5 2" xfId="10229" xr:uid="{00000000-0005-0000-0000-000063270000}"/>
    <cellStyle name="40% - Ênfase2 11 2 6" xfId="10230" xr:uid="{00000000-0005-0000-0000-000064270000}"/>
    <cellStyle name="40% - Ênfase2 11 3" xfId="10231" xr:uid="{00000000-0005-0000-0000-000065270000}"/>
    <cellStyle name="40% - Ênfase2 11 3 2" xfId="10232" xr:uid="{00000000-0005-0000-0000-000066270000}"/>
    <cellStyle name="40% - Ênfase2 11 3 2 2" xfId="10233" xr:uid="{00000000-0005-0000-0000-000067270000}"/>
    <cellStyle name="40% - Ênfase2 11 3 2 2 2" xfId="10234" xr:uid="{00000000-0005-0000-0000-000068270000}"/>
    <cellStyle name="40% - Ênfase2 11 3 2 3" xfId="10235" xr:uid="{00000000-0005-0000-0000-000069270000}"/>
    <cellStyle name="40% - Ênfase2 11 3 2 3 2" xfId="10236" xr:uid="{00000000-0005-0000-0000-00006A270000}"/>
    <cellStyle name="40% - Ênfase2 11 3 2 4" xfId="10237" xr:uid="{00000000-0005-0000-0000-00006B270000}"/>
    <cellStyle name="40% - Ênfase2 11 3 3" xfId="10238" xr:uid="{00000000-0005-0000-0000-00006C270000}"/>
    <cellStyle name="40% - Ênfase2 11 3 3 2" xfId="10239" xr:uid="{00000000-0005-0000-0000-00006D270000}"/>
    <cellStyle name="40% - Ênfase2 11 3 4" xfId="10240" xr:uid="{00000000-0005-0000-0000-00006E270000}"/>
    <cellStyle name="40% - Ênfase2 11 3 4 2" xfId="10241" xr:uid="{00000000-0005-0000-0000-00006F270000}"/>
    <cellStyle name="40% - Ênfase2 11 3 5" xfId="10242" xr:uid="{00000000-0005-0000-0000-000070270000}"/>
    <cellStyle name="40% - Ênfase2 11 4" xfId="10243" xr:uid="{00000000-0005-0000-0000-000071270000}"/>
    <cellStyle name="40% - Ênfase2 11 4 2" xfId="10244" xr:uid="{00000000-0005-0000-0000-000072270000}"/>
    <cellStyle name="40% - Ênfase2 11 4 2 2" xfId="10245" xr:uid="{00000000-0005-0000-0000-000073270000}"/>
    <cellStyle name="40% - Ênfase2 11 4 3" xfId="10246" xr:uid="{00000000-0005-0000-0000-000074270000}"/>
    <cellStyle name="40% - Ênfase2 11 4 3 2" xfId="10247" xr:uid="{00000000-0005-0000-0000-000075270000}"/>
    <cellStyle name="40% - Ênfase2 11 4 4" xfId="10248" xr:uid="{00000000-0005-0000-0000-000076270000}"/>
    <cellStyle name="40% - Ênfase2 11 5" xfId="10249" xr:uid="{00000000-0005-0000-0000-000077270000}"/>
    <cellStyle name="40% - Ênfase2 11 5 2" xfId="10250" xr:uid="{00000000-0005-0000-0000-000078270000}"/>
    <cellStyle name="40% - Ênfase2 11 5 2 2" xfId="10251" xr:uid="{00000000-0005-0000-0000-000079270000}"/>
    <cellStyle name="40% - Ênfase2 11 5 3" xfId="10252" xr:uid="{00000000-0005-0000-0000-00007A270000}"/>
    <cellStyle name="40% - Ênfase2 11 6" xfId="10253" xr:uid="{00000000-0005-0000-0000-00007B270000}"/>
    <cellStyle name="40% - Ênfase2 11 6 2" xfId="10254" xr:uid="{00000000-0005-0000-0000-00007C270000}"/>
    <cellStyle name="40% - Ênfase2 11 7" xfId="10255" xr:uid="{00000000-0005-0000-0000-00007D270000}"/>
    <cellStyle name="40% - Ênfase2 12" xfId="10256" xr:uid="{00000000-0005-0000-0000-00007E270000}"/>
    <cellStyle name="40% - Ênfase2 12 2" xfId="10257" xr:uid="{00000000-0005-0000-0000-00007F270000}"/>
    <cellStyle name="40% - Ênfase2 12 2 2" xfId="10258" xr:uid="{00000000-0005-0000-0000-000080270000}"/>
    <cellStyle name="40% - Ênfase2 12 2 2 2" xfId="10259" xr:uid="{00000000-0005-0000-0000-000081270000}"/>
    <cellStyle name="40% - Ênfase2 12 2 2 2 2" xfId="10260" xr:uid="{00000000-0005-0000-0000-000082270000}"/>
    <cellStyle name="40% - Ênfase2 12 2 2 2 2 2" xfId="10261" xr:uid="{00000000-0005-0000-0000-000083270000}"/>
    <cellStyle name="40% - Ênfase2 12 2 2 2 3" xfId="10262" xr:uid="{00000000-0005-0000-0000-000084270000}"/>
    <cellStyle name="40% - Ênfase2 12 2 2 2 3 2" xfId="10263" xr:uid="{00000000-0005-0000-0000-000085270000}"/>
    <cellStyle name="40% - Ênfase2 12 2 2 2 4" xfId="10264" xr:uid="{00000000-0005-0000-0000-000086270000}"/>
    <cellStyle name="40% - Ênfase2 12 2 2 3" xfId="10265" xr:uid="{00000000-0005-0000-0000-000087270000}"/>
    <cellStyle name="40% - Ênfase2 12 2 2 3 2" xfId="10266" xr:uid="{00000000-0005-0000-0000-000088270000}"/>
    <cellStyle name="40% - Ênfase2 12 2 2 4" xfId="10267" xr:uid="{00000000-0005-0000-0000-000089270000}"/>
    <cellStyle name="40% - Ênfase2 12 2 2 4 2" xfId="10268" xr:uid="{00000000-0005-0000-0000-00008A270000}"/>
    <cellStyle name="40% - Ênfase2 12 2 2 5" xfId="10269" xr:uid="{00000000-0005-0000-0000-00008B270000}"/>
    <cellStyle name="40% - Ênfase2 12 2 3" xfId="10270" xr:uid="{00000000-0005-0000-0000-00008C270000}"/>
    <cellStyle name="40% - Ênfase2 12 2 3 2" xfId="10271" xr:uid="{00000000-0005-0000-0000-00008D270000}"/>
    <cellStyle name="40% - Ênfase2 12 2 3 2 2" xfId="10272" xr:uid="{00000000-0005-0000-0000-00008E270000}"/>
    <cellStyle name="40% - Ênfase2 12 2 3 3" xfId="10273" xr:uid="{00000000-0005-0000-0000-00008F270000}"/>
    <cellStyle name="40% - Ênfase2 12 2 3 3 2" xfId="10274" xr:uid="{00000000-0005-0000-0000-000090270000}"/>
    <cellStyle name="40% - Ênfase2 12 2 3 4" xfId="10275" xr:uid="{00000000-0005-0000-0000-000091270000}"/>
    <cellStyle name="40% - Ênfase2 12 2 4" xfId="10276" xr:uid="{00000000-0005-0000-0000-000092270000}"/>
    <cellStyle name="40% - Ênfase2 12 2 4 2" xfId="10277" xr:uid="{00000000-0005-0000-0000-000093270000}"/>
    <cellStyle name="40% - Ênfase2 12 2 4 2 2" xfId="10278" xr:uid="{00000000-0005-0000-0000-000094270000}"/>
    <cellStyle name="40% - Ênfase2 12 2 4 3" xfId="10279" xr:uid="{00000000-0005-0000-0000-000095270000}"/>
    <cellStyle name="40% - Ênfase2 12 2 5" xfId="10280" xr:uid="{00000000-0005-0000-0000-000096270000}"/>
    <cellStyle name="40% - Ênfase2 12 2 5 2" xfId="10281" xr:uid="{00000000-0005-0000-0000-000097270000}"/>
    <cellStyle name="40% - Ênfase2 12 2 6" xfId="10282" xr:uid="{00000000-0005-0000-0000-000098270000}"/>
    <cellStyle name="40% - Ênfase2 12 3" xfId="10283" xr:uid="{00000000-0005-0000-0000-000099270000}"/>
    <cellStyle name="40% - Ênfase2 12 3 2" xfId="10284" xr:uid="{00000000-0005-0000-0000-00009A270000}"/>
    <cellStyle name="40% - Ênfase2 12 3 2 2" xfId="10285" xr:uid="{00000000-0005-0000-0000-00009B270000}"/>
    <cellStyle name="40% - Ênfase2 12 3 2 2 2" xfId="10286" xr:uid="{00000000-0005-0000-0000-00009C270000}"/>
    <cellStyle name="40% - Ênfase2 12 3 2 3" xfId="10287" xr:uid="{00000000-0005-0000-0000-00009D270000}"/>
    <cellStyle name="40% - Ênfase2 12 3 2 3 2" xfId="10288" xr:uid="{00000000-0005-0000-0000-00009E270000}"/>
    <cellStyle name="40% - Ênfase2 12 3 2 4" xfId="10289" xr:uid="{00000000-0005-0000-0000-00009F270000}"/>
    <cellStyle name="40% - Ênfase2 12 3 3" xfId="10290" xr:uid="{00000000-0005-0000-0000-0000A0270000}"/>
    <cellStyle name="40% - Ênfase2 12 3 3 2" xfId="10291" xr:uid="{00000000-0005-0000-0000-0000A1270000}"/>
    <cellStyle name="40% - Ênfase2 12 3 4" xfId="10292" xr:uid="{00000000-0005-0000-0000-0000A2270000}"/>
    <cellStyle name="40% - Ênfase2 12 3 4 2" xfId="10293" xr:uid="{00000000-0005-0000-0000-0000A3270000}"/>
    <cellStyle name="40% - Ênfase2 12 3 5" xfId="10294" xr:uid="{00000000-0005-0000-0000-0000A4270000}"/>
    <cellStyle name="40% - Ênfase2 12 4" xfId="10295" xr:uid="{00000000-0005-0000-0000-0000A5270000}"/>
    <cellStyle name="40% - Ênfase2 12 4 2" xfId="10296" xr:uid="{00000000-0005-0000-0000-0000A6270000}"/>
    <cellStyle name="40% - Ênfase2 12 4 2 2" xfId="10297" xr:uid="{00000000-0005-0000-0000-0000A7270000}"/>
    <cellStyle name="40% - Ênfase2 12 4 3" xfId="10298" xr:uid="{00000000-0005-0000-0000-0000A8270000}"/>
    <cellStyle name="40% - Ênfase2 12 4 3 2" xfId="10299" xr:uid="{00000000-0005-0000-0000-0000A9270000}"/>
    <cellStyle name="40% - Ênfase2 12 4 4" xfId="10300" xr:uid="{00000000-0005-0000-0000-0000AA270000}"/>
    <cellStyle name="40% - Ênfase2 12 5" xfId="10301" xr:uid="{00000000-0005-0000-0000-0000AB270000}"/>
    <cellStyle name="40% - Ênfase2 12 5 2" xfId="10302" xr:uid="{00000000-0005-0000-0000-0000AC270000}"/>
    <cellStyle name="40% - Ênfase2 12 5 2 2" xfId="10303" xr:uid="{00000000-0005-0000-0000-0000AD270000}"/>
    <cellStyle name="40% - Ênfase2 12 5 3" xfId="10304" xr:uid="{00000000-0005-0000-0000-0000AE270000}"/>
    <cellStyle name="40% - Ênfase2 12 6" xfId="10305" xr:uid="{00000000-0005-0000-0000-0000AF270000}"/>
    <cellStyle name="40% - Ênfase2 12 6 2" xfId="10306" xr:uid="{00000000-0005-0000-0000-0000B0270000}"/>
    <cellStyle name="40% - Ênfase2 12 7" xfId="10307" xr:uid="{00000000-0005-0000-0000-0000B1270000}"/>
    <cellStyle name="40% - Ênfase2 13" xfId="10308" xr:uid="{00000000-0005-0000-0000-0000B2270000}"/>
    <cellStyle name="40% - Ênfase2 13 2" xfId="10309" xr:uid="{00000000-0005-0000-0000-0000B3270000}"/>
    <cellStyle name="40% - Ênfase2 13 2 2" xfId="10310" xr:uid="{00000000-0005-0000-0000-0000B4270000}"/>
    <cellStyle name="40% - Ênfase2 13 2 2 2" xfId="10311" xr:uid="{00000000-0005-0000-0000-0000B5270000}"/>
    <cellStyle name="40% - Ênfase2 13 2 2 2 2" xfId="10312" xr:uid="{00000000-0005-0000-0000-0000B6270000}"/>
    <cellStyle name="40% - Ênfase2 13 2 2 2 2 2" xfId="10313" xr:uid="{00000000-0005-0000-0000-0000B7270000}"/>
    <cellStyle name="40% - Ênfase2 13 2 2 2 3" xfId="10314" xr:uid="{00000000-0005-0000-0000-0000B8270000}"/>
    <cellStyle name="40% - Ênfase2 13 2 2 2 3 2" xfId="10315" xr:uid="{00000000-0005-0000-0000-0000B9270000}"/>
    <cellStyle name="40% - Ênfase2 13 2 2 2 4" xfId="10316" xr:uid="{00000000-0005-0000-0000-0000BA270000}"/>
    <cellStyle name="40% - Ênfase2 13 2 2 3" xfId="10317" xr:uid="{00000000-0005-0000-0000-0000BB270000}"/>
    <cellStyle name="40% - Ênfase2 13 2 2 3 2" xfId="10318" xr:uid="{00000000-0005-0000-0000-0000BC270000}"/>
    <cellStyle name="40% - Ênfase2 13 2 2 4" xfId="10319" xr:uid="{00000000-0005-0000-0000-0000BD270000}"/>
    <cellStyle name="40% - Ênfase2 13 2 2 4 2" xfId="10320" xr:uid="{00000000-0005-0000-0000-0000BE270000}"/>
    <cellStyle name="40% - Ênfase2 13 2 2 5" xfId="10321" xr:uid="{00000000-0005-0000-0000-0000BF270000}"/>
    <cellStyle name="40% - Ênfase2 13 2 3" xfId="10322" xr:uid="{00000000-0005-0000-0000-0000C0270000}"/>
    <cellStyle name="40% - Ênfase2 13 2 3 2" xfId="10323" xr:uid="{00000000-0005-0000-0000-0000C1270000}"/>
    <cellStyle name="40% - Ênfase2 13 2 3 2 2" xfId="10324" xr:uid="{00000000-0005-0000-0000-0000C2270000}"/>
    <cellStyle name="40% - Ênfase2 13 2 3 3" xfId="10325" xr:uid="{00000000-0005-0000-0000-0000C3270000}"/>
    <cellStyle name="40% - Ênfase2 13 2 3 3 2" xfId="10326" xr:uid="{00000000-0005-0000-0000-0000C4270000}"/>
    <cellStyle name="40% - Ênfase2 13 2 3 4" xfId="10327" xr:uid="{00000000-0005-0000-0000-0000C5270000}"/>
    <cellStyle name="40% - Ênfase2 13 2 4" xfId="10328" xr:uid="{00000000-0005-0000-0000-0000C6270000}"/>
    <cellStyle name="40% - Ênfase2 13 2 4 2" xfId="10329" xr:uid="{00000000-0005-0000-0000-0000C7270000}"/>
    <cellStyle name="40% - Ênfase2 13 2 4 2 2" xfId="10330" xr:uid="{00000000-0005-0000-0000-0000C8270000}"/>
    <cellStyle name="40% - Ênfase2 13 2 4 3" xfId="10331" xr:uid="{00000000-0005-0000-0000-0000C9270000}"/>
    <cellStyle name="40% - Ênfase2 13 2 5" xfId="10332" xr:uid="{00000000-0005-0000-0000-0000CA270000}"/>
    <cellStyle name="40% - Ênfase2 13 2 5 2" xfId="10333" xr:uid="{00000000-0005-0000-0000-0000CB270000}"/>
    <cellStyle name="40% - Ênfase2 13 2 6" xfId="10334" xr:uid="{00000000-0005-0000-0000-0000CC270000}"/>
    <cellStyle name="40% - Ênfase2 13 3" xfId="10335" xr:uid="{00000000-0005-0000-0000-0000CD270000}"/>
    <cellStyle name="40% - Ênfase2 13 3 2" xfId="10336" xr:uid="{00000000-0005-0000-0000-0000CE270000}"/>
    <cellStyle name="40% - Ênfase2 13 3 2 2" xfId="10337" xr:uid="{00000000-0005-0000-0000-0000CF270000}"/>
    <cellStyle name="40% - Ênfase2 13 3 2 2 2" xfId="10338" xr:uid="{00000000-0005-0000-0000-0000D0270000}"/>
    <cellStyle name="40% - Ênfase2 13 3 2 3" xfId="10339" xr:uid="{00000000-0005-0000-0000-0000D1270000}"/>
    <cellStyle name="40% - Ênfase2 13 3 2 3 2" xfId="10340" xr:uid="{00000000-0005-0000-0000-0000D2270000}"/>
    <cellStyle name="40% - Ênfase2 13 3 2 4" xfId="10341" xr:uid="{00000000-0005-0000-0000-0000D3270000}"/>
    <cellStyle name="40% - Ênfase2 13 3 3" xfId="10342" xr:uid="{00000000-0005-0000-0000-0000D4270000}"/>
    <cellStyle name="40% - Ênfase2 13 3 3 2" xfId="10343" xr:uid="{00000000-0005-0000-0000-0000D5270000}"/>
    <cellStyle name="40% - Ênfase2 13 3 4" xfId="10344" xr:uid="{00000000-0005-0000-0000-0000D6270000}"/>
    <cellStyle name="40% - Ênfase2 13 3 4 2" xfId="10345" xr:uid="{00000000-0005-0000-0000-0000D7270000}"/>
    <cellStyle name="40% - Ênfase2 13 3 5" xfId="10346" xr:uid="{00000000-0005-0000-0000-0000D8270000}"/>
    <cellStyle name="40% - Ênfase2 13 4" xfId="10347" xr:uid="{00000000-0005-0000-0000-0000D9270000}"/>
    <cellStyle name="40% - Ênfase2 13 4 2" xfId="10348" xr:uid="{00000000-0005-0000-0000-0000DA270000}"/>
    <cellStyle name="40% - Ênfase2 13 4 2 2" xfId="10349" xr:uid="{00000000-0005-0000-0000-0000DB270000}"/>
    <cellStyle name="40% - Ênfase2 13 4 3" xfId="10350" xr:uid="{00000000-0005-0000-0000-0000DC270000}"/>
    <cellStyle name="40% - Ênfase2 13 4 3 2" xfId="10351" xr:uid="{00000000-0005-0000-0000-0000DD270000}"/>
    <cellStyle name="40% - Ênfase2 13 4 4" xfId="10352" xr:uid="{00000000-0005-0000-0000-0000DE270000}"/>
    <cellStyle name="40% - Ênfase2 13 5" xfId="10353" xr:uid="{00000000-0005-0000-0000-0000DF270000}"/>
    <cellStyle name="40% - Ênfase2 13 5 2" xfId="10354" xr:uid="{00000000-0005-0000-0000-0000E0270000}"/>
    <cellStyle name="40% - Ênfase2 13 5 2 2" xfId="10355" xr:uid="{00000000-0005-0000-0000-0000E1270000}"/>
    <cellStyle name="40% - Ênfase2 13 5 3" xfId="10356" xr:uid="{00000000-0005-0000-0000-0000E2270000}"/>
    <cellStyle name="40% - Ênfase2 13 6" xfId="10357" xr:uid="{00000000-0005-0000-0000-0000E3270000}"/>
    <cellStyle name="40% - Ênfase2 13 6 2" xfId="10358" xr:uid="{00000000-0005-0000-0000-0000E4270000}"/>
    <cellStyle name="40% - Ênfase2 13 7" xfId="10359" xr:uid="{00000000-0005-0000-0000-0000E5270000}"/>
    <cellStyle name="40% - Ênfase2 14" xfId="10360" xr:uid="{00000000-0005-0000-0000-0000E6270000}"/>
    <cellStyle name="40% - Ênfase2 14 2" xfId="10361" xr:uid="{00000000-0005-0000-0000-0000E7270000}"/>
    <cellStyle name="40% - Ênfase2 14 2 2" xfId="10362" xr:uid="{00000000-0005-0000-0000-0000E8270000}"/>
    <cellStyle name="40% - Ênfase2 14 2 2 2" xfId="10363" xr:uid="{00000000-0005-0000-0000-0000E9270000}"/>
    <cellStyle name="40% - Ênfase2 14 2 2 2 2" xfId="10364" xr:uid="{00000000-0005-0000-0000-0000EA270000}"/>
    <cellStyle name="40% - Ênfase2 14 2 2 2 2 2" xfId="10365" xr:uid="{00000000-0005-0000-0000-0000EB270000}"/>
    <cellStyle name="40% - Ênfase2 14 2 2 2 3" xfId="10366" xr:uid="{00000000-0005-0000-0000-0000EC270000}"/>
    <cellStyle name="40% - Ênfase2 14 2 2 2 3 2" xfId="10367" xr:uid="{00000000-0005-0000-0000-0000ED270000}"/>
    <cellStyle name="40% - Ênfase2 14 2 2 2 4" xfId="10368" xr:uid="{00000000-0005-0000-0000-0000EE270000}"/>
    <cellStyle name="40% - Ênfase2 14 2 2 3" xfId="10369" xr:uid="{00000000-0005-0000-0000-0000EF270000}"/>
    <cellStyle name="40% - Ênfase2 14 2 2 3 2" xfId="10370" xr:uid="{00000000-0005-0000-0000-0000F0270000}"/>
    <cellStyle name="40% - Ênfase2 14 2 2 4" xfId="10371" xr:uid="{00000000-0005-0000-0000-0000F1270000}"/>
    <cellStyle name="40% - Ênfase2 14 2 2 4 2" xfId="10372" xr:uid="{00000000-0005-0000-0000-0000F2270000}"/>
    <cellStyle name="40% - Ênfase2 14 2 2 5" xfId="10373" xr:uid="{00000000-0005-0000-0000-0000F3270000}"/>
    <cellStyle name="40% - Ênfase2 14 2 3" xfId="10374" xr:uid="{00000000-0005-0000-0000-0000F4270000}"/>
    <cellStyle name="40% - Ênfase2 14 2 3 2" xfId="10375" xr:uid="{00000000-0005-0000-0000-0000F5270000}"/>
    <cellStyle name="40% - Ênfase2 14 2 3 2 2" xfId="10376" xr:uid="{00000000-0005-0000-0000-0000F6270000}"/>
    <cellStyle name="40% - Ênfase2 14 2 3 3" xfId="10377" xr:uid="{00000000-0005-0000-0000-0000F7270000}"/>
    <cellStyle name="40% - Ênfase2 14 2 3 3 2" xfId="10378" xr:uid="{00000000-0005-0000-0000-0000F8270000}"/>
    <cellStyle name="40% - Ênfase2 14 2 3 4" xfId="10379" xr:uid="{00000000-0005-0000-0000-0000F9270000}"/>
    <cellStyle name="40% - Ênfase2 14 2 4" xfId="10380" xr:uid="{00000000-0005-0000-0000-0000FA270000}"/>
    <cellStyle name="40% - Ênfase2 14 2 4 2" xfId="10381" xr:uid="{00000000-0005-0000-0000-0000FB270000}"/>
    <cellStyle name="40% - Ênfase2 14 2 4 2 2" xfId="10382" xr:uid="{00000000-0005-0000-0000-0000FC270000}"/>
    <cellStyle name="40% - Ênfase2 14 2 4 3" xfId="10383" xr:uid="{00000000-0005-0000-0000-0000FD270000}"/>
    <cellStyle name="40% - Ênfase2 14 2 5" xfId="10384" xr:uid="{00000000-0005-0000-0000-0000FE270000}"/>
    <cellStyle name="40% - Ênfase2 14 2 5 2" xfId="10385" xr:uid="{00000000-0005-0000-0000-0000FF270000}"/>
    <cellStyle name="40% - Ênfase2 14 2 6" xfId="10386" xr:uid="{00000000-0005-0000-0000-000000280000}"/>
    <cellStyle name="40% - Ênfase2 14 3" xfId="10387" xr:uid="{00000000-0005-0000-0000-000001280000}"/>
    <cellStyle name="40% - Ênfase2 14 3 2" xfId="10388" xr:uid="{00000000-0005-0000-0000-000002280000}"/>
    <cellStyle name="40% - Ênfase2 14 3 2 2" xfId="10389" xr:uid="{00000000-0005-0000-0000-000003280000}"/>
    <cellStyle name="40% - Ênfase2 14 3 2 2 2" xfId="10390" xr:uid="{00000000-0005-0000-0000-000004280000}"/>
    <cellStyle name="40% - Ênfase2 14 3 2 3" xfId="10391" xr:uid="{00000000-0005-0000-0000-000005280000}"/>
    <cellStyle name="40% - Ênfase2 14 3 2 3 2" xfId="10392" xr:uid="{00000000-0005-0000-0000-000006280000}"/>
    <cellStyle name="40% - Ênfase2 14 3 2 4" xfId="10393" xr:uid="{00000000-0005-0000-0000-000007280000}"/>
    <cellStyle name="40% - Ênfase2 14 3 3" xfId="10394" xr:uid="{00000000-0005-0000-0000-000008280000}"/>
    <cellStyle name="40% - Ênfase2 14 3 3 2" xfId="10395" xr:uid="{00000000-0005-0000-0000-000009280000}"/>
    <cellStyle name="40% - Ênfase2 14 3 4" xfId="10396" xr:uid="{00000000-0005-0000-0000-00000A280000}"/>
    <cellStyle name="40% - Ênfase2 14 3 4 2" xfId="10397" xr:uid="{00000000-0005-0000-0000-00000B280000}"/>
    <cellStyle name="40% - Ênfase2 14 3 5" xfId="10398" xr:uid="{00000000-0005-0000-0000-00000C280000}"/>
    <cellStyle name="40% - Ênfase2 14 4" xfId="10399" xr:uid="{00000000-0005-0000-0000-00000D280000}"/>
    <cellStyle name="40% - Ênfase2 14 4 2" xfId="10400" xr:uid="{00000000-0005-0000-0000-00000E280000}"/>
    <cellStyle name="40% - Ênfase2 14 4 2 2" xfId="10401" xr:uid="{00000000-0005-0000-0000-00000F280000}"/>
    <cellStyle name="40% - Ênfase2 14 4 3" xfId="10402" xr:uid="{00000000-0005-0000-0000-000010280000}"/>
    <cellStyle name="40% - Ênfase2 14 4 3 2" xfId="10403" xr:uid="{00000000-0005-0000-0000-000011280000}"/>
    <cellStyle name="40% - Ênfase2 14 4 4" xfId="10404" xr:uid="{00000000-0005-0000-0000-000012280000}"/>
    <cellStyle name="40% - Ênfase2 14 5" xfId="10405" xr:uid="{00000000-0005-0000-0000-000013280000}"/>
    <cellStyle name="40% - Ênfase2 14 5 2" xfId="10406" xr:uid="{00000000-0005-0000-0000-000014280000}"/>
    <cellStyle name="40% - Ênfase2 14 5 2 2" xfId="10407" xr:uid="{00000000-0005-0000-0000-000015280000}"/>
    <cellStyle name="40% - Ênfase2 14 5 3" xfId="10408" xr:uid="{00000000-0005-0000-0000-000016280000}"/>
    <cellStyle name="40% - Ênfase2 14 6" xfId="10409" xr:uid="{00000000-0005-0000-0000-000017280000}"/>
    <cellStyle name="40% - Ênfase2 14 6 2" xfId="10410" xr:uid="{00000000-0005-0000-0000-000018280000}"/>
    <cellStyle name="40% - Ênfase2 14 7" xfId="10411" xr:uid="{00000000-0005-0000-0000-000019280000}"/>
    <cellStyle name="40% - Ênfase2 15" xfId="10412" xr:uid="{00000000-0005-0000-0000-00001A280000}"/>
    <cellStyle name="40% - Ênfase2 15 2" xfId="10413" xr:uid="{00000000-0005-0000-0000-00001B280000}"/>
    <cellStyle name="40% - Ênfase2 15 2 2" xfId="10414" xr:uid="{00000000-0005-0000-0000-00001C280000}"/>
    <cellStyle name="40% - Ênfase2 15 2 2 2" xfId="10415" xr:uid="{00000000-0005-0000-0000-00001D280000}"/>
    <cellStyle name="40% - Ênfase2 15 2 2 2 2" xfId="10416" xr:uid="{00000000-0005-0000-0000-00001E280000}"/>
    <cellStyle name="40% - Ênfase2 15 2 2 3" xfId="10417" xr:uid="{00000000-0005-0000-0000-00001F280000}"/>
    <cellStyle name="40% - Ênfase2 15 2 2 3 2" xfId="10418" xr:uid="{00000000-0005-0000-0000-000020280000}"/>
    <cellStyle name="40% - Ênfase2 15 2 2 4" xfId="10419" xr:uid="{00000000-0005-0000-0000-000021280000}"/>
    <cellStyle name="40% - Ênfase2 15 2 3" xfId="10420" xr:uid="{00000000-0005-0000-0000-000022280000}"/>
    <cellStyle name="40% - Ênfase2 15 2 3 2" xfId="10421" xr:uid="{00000000-0005-0000-0000-000023280000}"/>
    <cellStyle name="40% - Ênfase2 15 2 4" xfId="10422" xr:uid="{00000000-0005-0000-0000-000024280000}"/>
    <cellStyle name="40% - Ênfase2 15 2 4 2" xfId="10423" xr:uid="{00000000-0005-0000-0000-000025280000}"/>
    <cellStyle name="40% - Ênfase2 15 2 5" xfId="10424" xr:uid="{00000000-0005-0000-0000-000026280000}"/>
    <cellStyle name="40% - Ênfase2 15 3" xfId="10425" xr:uid="{00000000-0005-0000-0000-000027280000}"/>
    <cellStyle name="40% - Ênfase2 15 3 2" xfId="10426" xr:uid="{00000000-0005-0000-0000-000028280000}"/>
    <cellStyle name="40% - Ênfase2 15 3 2 2" xfId="10427" xr:uid="{00000000-0005-0000-0000-000029280000}"/>
    <cellStyle name="40% - Ênfase2 15 3 3" xfId="10428" xr:uid="{00000000-0005-0000-0000-00002A280000}"/>
    <cellStyle name="40% - Ênfase2 15 3 3 2" xfId="10429" xr:uid="{00000000-0005-0000-0000-00002B280000}"/>
    <cellStyle name="40% - Ênfase2 15 3 4" xfId="10430" xr:uid="{00000000-0005-0000-0000-00002C280000}"/>
    <cellStyle name="40% - Ênfase2 15 4" xfId="10431" xr:uid="{00000000-0005-0000-0000-00002D280000}"/>
    <cellStyle name="40% - Ênfase2 15 4 2" xfId="10432" xr:uid="{00000000-0005-0000-0000-00002E280000}"/>
    <cellStyle name="40% - Ênfase2 15 4 2 2" xfId="10433" xr:uid="{00000000-0005-0000-0000-00002F280000}"/>
    <cellStyle name="40% - Ênfase2 15 4 3" xfId="10434" xr:uid="{00000000-0005-0000-0000-000030280000}"/>
    <cellStyle name="40% - Ênfase2 15 5" xfId="10435" xr:uid="{00000000-0005-0000-0000-000031280000}"/>
    <cellStyle name="40% - Ênfase2 15 5 2" xfId="10436" xr:uid="{00000000-0005-0000-0000-000032280000}"/>
    <cellStyle name="40% - Ênfase2 15 6" xfId="10437" xr:uid="{00000000-0005-0000-0000-000033280000}"/>
    <cellStyle name="40% - Ênfase2 16" xfId="10438" xr:uid="{00000000-0005-0000-0000-000034280000}"/>
    <cellStyle name="40% - Ênfase2 16 2" xfId="10439" xr:uid="{00000000-0005-0000-0000-000035280000}"/>
    <cellStyle name="40% - Ênfase2 16 2 2" xfId="10440" xr:uid="{00000000-0005-0000-0000-000036280000}"/>
    <cellStyle name="40% - Ênfase2 16 2 2 2" xfId="10441" xr:uid="{00000000-0005-0000-0000-000037280000}"/>
    <cellStyle name="40% - Ênfase2 16 2 3" xfId="10442" xr:uid="{00000000-0005-0000-0000-000038280000}"/>
    <cellStyle name="40% - Ênfase2 16 2 3 2" xfId="10443" xr:uid="{00000000-0005-0000-0000-000039280000}"/>
    <cellStyle name="40% - Ênfase2 16 2 4" xfId="10444" xr:uid="{00000000-0005-0000-0000-00003A280000}"/>
    <cellStyle name="40% - Ênfase2 16 3" xfId="10445" xr:uid="{00000000-0005-0000-0000-00003B280000}"/>
    <cellStyle name="40% - Ênfase2 16 3 2" xfId="10446" xr:uid="{00000000-0005-0000-0000-00003C280000}"/>
    <cellStyle name="40% - Ênfase2 16 3 2 2" xfId="10447" xr:uid="{00000000-0005-0000-0000-00003D280000}"/>
    <cellStyle name="40% - Ênfase2 16 3 3" xfId="10448" xr:uid="{00000000-0005-0000-0000-00003E280000}"/>
    <cellStyle name="40% - Ênfase2 16 3 3 2" xfId="10449" xr:uid="{00000000-0005-0000-0000-00003F280000}"/>
    <cellStyle name="40% - Ênfase2 16 3 4" xfId="10450" xr:uid="{00000000-0005-0000-0000-000040280000}"/>
    <cellStyle name="40% - Ênfase2 16 4" xfId="10451" xr:uid="{00000000-0005-0000-0000-000041280000}"/>
    <cellStyle name="40% - Ênfase2 16 4 2" xfId="10452" xr:uid="{00000000-0005-0000-0000-000042280000}"/>
    <cellStyle name="40% - Ênfase2 16 5" xfId="10453" xr:uid="{00000000-0005-0000-0000-000043280000}"/>
    <cellStyle name="40% - Ênfase2 16 5 2" xfId="10454" xr:uid="{00000000-0005-0000-0000-000044280000}"/>
    <cellStyle name="40% - Ênfase2 16 6" xfId="10455" xr:uid="{00000000-0005-0000-0000-000045280000}"/>
    <cellStyle name="40% - Ênfase2 17" xfId="10456" xr:uid="{00000000-0005-0000-0000-000046280000}"/>
    <cellStyle name="40% - Ênfase2 17 2" xfId="10457" xr:uid="{00000000-0005-0000-0000-000047280000}"/>
    <cellStyle name="40% - Ênfase2 17 2 2" xfId="10458" xr:uid="{00000000-0005-0000-0000-000048280000}"/>
    <cellStyle name="40% - Ênfase2 17 2 2 2" xfId="10459" xr:uid="{00000000-0005-0000-0000-000049280000}"/>
    <cellStyle name="40% - Ênfase2 17 2 3" xfId="10460" xr:uid="{00000000-0005-0000-0000-00004A280000}"/>
    <cellStyle name="40% - Ênfase2 17 2 3 2" xfId="10461" xr:uid="{00000000-0005-0000-0000-00004B280000}"/>
    <cellStyle name="40% - Ênfase2 17 2 4" xfId="10462" xr:uid="{00000000-0005-0000-0000-00004C280000}"/>
    <cellStyle name="40% - Ênfase2 17 3" xfId="10463" xr:uid="{00000000-0005-0000-0000-00004D280000}"/>
    <cellStyle name="40% - Ênfase2 17 3 2" xfId="10464" xr:uid="{00000000-0005-0000-0000-00004E280000}"/>
    <cellStyle name="40% - Ênfase2 17 3 2 2" xfId="10465" xr:uid="{00000000-0005-0000-0000-00004F280000}"/>
    <cellStyle name="40% - Ênfase2 17 3 3" xfId="10466" xr:uid="{00000000-0005-0000-0000-000050280000}"/>
    <cellStyle name="40% - Ênfase2 17 3 3 2" xfId="10467" xr:uid="{00000000-0005-0000-0000-000051280000}"/>
    <cellStyle name="40% - Ênfase2 17 3 4" xfId="10468" xr:uid="{00000000-0005-0000-0000-000052280000}"/>
    <cellStyle name="40% - Ênfase2 17 4" xfId="10469" xr:uid="{00000000-0005-0000-0000-000053280000}"/>
    <cellStyle name="40% - Ênfase2 17 4 2" xfId="10470" xr:uid="{00000000-0005-0000-0000-000054280000}"/>
    <cellStyle name="40% - Ênfase2 17 5" xfId="10471" xr:uid="{00000000-0005-0000-0000-000055280000}"/>
    <cellStyle name="40% - Ênfase2 17 5 2" xfId="10472" xr:uid="{00000000-0005-0000-0000-000056280000}"/>
    <cellStyle name="40% - Ênfase2 17 6" xfId="10473" xr:uid="{00000000-0005-0000-0000-000057280000}"/>
    <cellStyle name="40% - Ênfase2 18" xfId="10474" xr:uid="{00000000-0005-0000-0000-000058280000}"/>
    <cellStyle name="40% - Ênfase2 18 2" xfId="10475" xr:uid="{00000000-0005-0000-0000-000059280000}"/>
    <cellStyle name="40% - Ênfase2 18 2 2" xfId="10476" xr:uid="{00000000-0005-0000-0000-00005A280000}"/>
    <cellStyle name="40% - Ênfase2 18 3" xfId="10477" xr:uid="{00000000-0005-0000-0000-00005B280000}"/>
    <cellStyle name="40% - Ênfase2 18 3 2" xfId="10478" xr:uid="{00000000-0005-0000-0000-00005C280000}"/>
    <cellStyle name="40% - Ênfase2 18 4" xfId="10479" xr:uid="{00000000-0005-0000-0000-00005D280000}"/>
    <cellStyle name="40% - Ênfase2 19" xfId="10480" xr:uid="{00000000-0005-0000-0000-00005E280000}"/>
    <cellStyle name="40% - Ênfase2 19 2" xfId="10481" xr:uid="{00000000-0005-0000-0000-00005F280000}"/>
    <cellStyle name="40% - Ênfase2 19 2 2" xfId="10482" xr:uid="{00000000-0005-0000-0000-000060280000}"/>
    <cellStyle name="40% - Ênfase2 19 3" xfId="10483" xr:uid="{00000000-0005-0000-0000-000061280000}"/>
    <cellStyle name="40% - Ênfase2 2" xfId="10484" xr:uid="{00000000-0005-0000-0000-000062280000}"/>
    <cellStyle name="40% - Ênfase2 2 10" xfId="10485" xr:uid="{00000000-0005-0000-0000-000063280000}"/>
    <cellStyle name="40% - Ênfase2 2 10 2" xfId="10486" xr:uid="{00000000-0005-0000-0000-000064280000}"/>
    <cellStyle name="40% - Ênfase2 2 10 2 2" xfId="10487" xr:uid="{00000000-0005-0000-0000-000065280000}"/>
    <cellStyle name="40% - Ênfase2 2 10 3" xfId="10488" xr:uid="{00000000-0005-0000-0000-000066280000}"/>
    <cellStyle name="40% - Ênfase2 2 10 3 2" xfId="10489" xr:uid="{00000000-0005-0000-0000-000067280000}"/>
    <cellStyle name="40% - Ênfase2 2 10 4" xfId="10490" xr:uid="{00000000-0005-0000-0000-000068280000}"/>
    <cellStyle name="40% - Ênfase2 2 11" xfId="10491" xr:uid="{00000000-0005-0000-0000-000069280000}"/>
    <cellStyle name="40% - Ênfase2 2 11 2" xfId="10492" xr:uid="{00000000-0005-0000-0000-00006A280000}"/>
    <cellStyle name="40% - Ênfase2 2 11 2 2" xfId="10493" xr:uid="{00000000-0005-0000-0000-00006B280000}"/>
    <cellStyle name="40% - Ênfase2 2 11 3" xfId="10494" xr:uid="{00000000-0005-0000-0000-00006C280000}"/>
    <cellStyle name="40% - Ênfase2 2 12" xfId="10495" xr:uid="{00000000-0005-0000-0000-00006D280000}"/>
    <cellStyle name="40% - Ênfase2 2 12 2" xfId="10496" xr:uid="{00000000-0005-0000-0000-00006E280000}"/>
    <cellStyle name="40% - Ênfase2 2 12 2 2" xfId="10497" xr:uid="{00000000-0005-0000-0000-00006F280000}"/>
    <cellStyle name="40% - Ênfase2 2 12 3" xfId="10498" xr:uid="{00000000-0005-0000-0000-000070280000}"/>
    <cellStyle name="40% - Ênfase2 2 13" xfId="10499" xr:uid="{00000000-0005-0000-0000-000071280000}"/>
    <cellStyle name="40% - Ênfase2 2 13 2" xfId="10500" xr:uid="{00000000-0005-0000-0000-000072280000}"/>
    <cellStyle name="40% - Ênfase2 2 13 2 2" xfId="10501" xr:uid="{00000000-0005-0000-0000-000073280000}"/>
    <cellStyle name="40% - Ênfase2 2 13 3" xfId="10502" xr:uid="{00000000-0005-0000-0000-000074280000}"/>
    <cellStyle name="40% - Ênfase2 2 14" xfId="10503" xr:uid="{00000000-0005-0000-0000-000075280000}"/>
    <cellStyle name="40% - Ênfase2 2 14 2" xfId="10504" xr:uid="{00000000-0005-0000-0000-000076280000}"/>
    <cellStyle name="40% - Ênfase2 2 14 2 2" xfId="10505" xr:uid="{00000000-0005-0000-0000-000077280000}"/>
    <cellStyle name="40% - Ênfase2 2 14 3" xfId="10506" xr:uid="{00000000-0005-0000-0000-000078280000}"/>
    <cellStyle name="40% - Ênfase2 2 15" xfId="10507" xr:uid="{00000000-0005-0000-0000-000079280000}"/>
    <cellStyle name="40% - Ênfase2 2 15 2" xfId="10508" xr:uid="{00000000-0005-0000-0000-00007A280000}"/>
    <cellStyle name="40% - Ênfase2 2 16" xfId="10509" xr:uid="{00000000-0005-0000-0000-00007B280000}"/>
    <cellStyle name="40% - Ênfase2 2 2" xfId="10510" xr:uid="{00000000-0005-0000-0000-00007C280000}"/>
    <cellStyle name="40% - Ênfase2 2 2 10" xfId="10511" xr:uid="{00000000-0005-0000-0000-00007D280000}"/>
    <cellStyle name="40% - Ênfase2 2 2 10 2" xfId="10512" xr:uid="{00000000-0005-0000-0000-00007E280000}"/>
    <cellStyle name="40% - Ênfase2 2 2 11" xfId="10513" xr:uid="{00000000-0005-0000-0000-00007F280000}"/>
    <cellStyle name="40% - Ênfase2 2 2 2" xfId="10514" xr:uid="{00000000-0005-0000-0000-000080280000}"/>
    <cellStyle name="40% - Ênfase2 2 2 2 2" xfId="10515" xr:uid="{00000000-0005-0000-0000-000081280000}"/>
    <cellStyle name="40% - Ênfase2 2 2 2 2 2" xfId="10516" xr:uid="{00000000-0005-0000-0000-000082280000}"/>
    <cellStyle name="40% - Ênfase2 2 2 2 2 2 2" xfId="10517" xr:uid="{00000000-0005-0000-0000-000083280000}"/>
    <cellStyle name="40% - Ênfase2 2 2 2 2 2 2 2" xfId="10518" xr:uid="{00000000-0005-0000-0000-000084280000}"/>
    <cellStyle name="40% - Ênfase2 2 2 2 2 2 3" xfId="10519" xr:uid="{00000000-0005-0000-0000-000085280000}"/>
    <cellStyle name="40% - Ênfase2 2 2 2 2 2 3 2" xfId="10520" xr:uid="{00000000-0005-0000-0000-000086280000}"/>
    <cellStyle name="40% - Ênfase2 2 2 2 2 2 4" xfId="10521" xr:uid="{00000000-0005-0000-0000-000087280000}"/>
    <cellStyle name="40% - Ênfase2 2 2 2 2 3" xfId="10522" xr:uid="{00000000-0005-0000-0000-000088280000}"/>
    <cellStyle name="40% - Ênfase2 2 2 2 2 3 2" xfId="10523" xr:uid="{00000000-0005-0000-0000-000089280000}"/>
    <cellStyle name="40% - Ênfase2 2 2 2 2 3 2 2" xfId="10524" xr:uid="{00000000-0005-0000-0000-00008A280000}"/>
    <cellStyle name="40% - Ênfase2 2 2 2 2 3 3" xfId="10525" xr:uid="{00000000-0005-0000-0000-00008B280000}"/>
    <cellStyle name="40% - Ênfase2 2 2 2 2 3 3 2" xfId="10526" xr:uid="{00000000-0005-0000-0000-00008C280000}"/>
    <cellStyle name="40% - Ênfase2 2 2 2 2 3 4" xfId="10527" xr:uid="{00000000-0005-0000-0000-00008D280000}"/>
    <cellStyle name="40% - Ênfase2 2 2 2 2 4" xfId="10528" xr:uid="{00000000-0005-0000-0000-00008E280000}"/>
    <cellStyle name="40% - Ênfase2 2 2 2 2 4 2" xfId="10529" xr:uid="{00000000-0005-0000-0000-00008F280000}"/>
    <cellStyle name="40% - Ênfase2 2 2 2 2 5" xfId="10530" xr:uid="{00000000-0005-0000-0000-000090280000}"/>
    <cellStyle name="40% - Ênfase2 2 2 2 2 5 2" xfId="10531" xr:uid="{00000000-0005-0000-0000-000091280000}"/>
    <cellStyle name="40% - Ênfase2 2 2 2 2 6" xfId="10532" xr:uid="{00000000-0005-0000-0000-000092280000}"/>
    <cellStyle name="40% - Ênfase2 2 2 2 3" xfId="10533" xr:uid="{00000000-0005-0000-0000-000093280000}"/>
    <cellStyle name="40% - Ênfase2 2 2 2 3 2" xfId="10534" xr:uid="{00000000-0005-0000-0000-000094280000}"/>
    <cellStyle name="40% - Ênfase2 2 2 2 3 2 2" xfId="10535" xr:uid="{00000000-0005-0000-0000-000095280000}"/>
    <cellStyle name="40% - Ênfase2 2 2 2 3 3" xfId="10536" xr:uid="{00000000-0005-0000-0000-000096280000}"/>
    <cellStyle name="40% - Ênfase2 2 2 2 3 3 2" xfId="10537" xr:uid="{00000000-0005-0000-0000-000097280000}"/>
    <cellStyle name="40% - Ênfase2 2 2 2 3 4" xfId="10538" xr:uid="{00000000-0005-0000-0000-000098280000}"/>
    <cellStyle name="40% - Ênfase2 2 2 2 4" xfId="10539" xr:uid="{00000000-0005-0000-0000-000099280000}"/>
    <cellStyle name="40% - Ênfase2 2 2 2 4 2" xfId="10540" xr:uid="{00000000-0005-0000-0000-00009A280000}"/>
    <cellStyle name="40% - Ênfase2 2 2 2 4 2 2" xfId="10541" xr:uid="{00000000-0005-0000-0000-00009B280000}"/>
    <cellStyle name="40% - Ênfase2 2 2 2 4 3" xfId="10542" xr:uid="{00000000-0005-0000-0000-00009C280000}"/>
    <cellStyle name="40% - Ênfase2 2 2 2 5" xfId="10543" xr:uid="{00000000-0005-0000-0000-00009D280000}"/>
    <cellStyle name="40% - Ênfase2 2 2 2 5 2" xfId="10544" xr:uid="{00000000-0005-0000-0000-00009E280000}"/>
    <cellStyle name="40% - Ênfase2 2 2 2 5 2 2" xfId="10545" xr:uid="{00000000-0005-0000-0000-00009F280000}"/>
    <cellStyle name="40% - Ênfase2 2 2 2 5 3" xfId="10546" xr:uid="{00000000-0005-0000-0000-0000A0280000}"/>
    <cellStyle name="40% - Ênfase2 2 2 2 6" xfId="10547" xr:uid="{00000000-0005-0000-0000-0000A1280000}"/>
    <cellStyle name="40% - Ênfase2 2 2 2 6 2" xfId="10548" xr:uid="{00000000-0005-0000-0000-0000A2280000}"/>
    <cellStyle name="40% - Ênfase2 2 2 2 6 2 2" xfId="10549" xr:uid="{00000000-0005-0000-0000-0000A3280000}"/>
    <cellStyle name="40% - Ênfase2 2 2 2 6 3" xfId="10550" xr:uid="{00000000-0005-0000-0000-0000A4280000}"/>
    <cellStyle name="40% - Ênfase2 2 2 2 7" xfId="10551" xr:uid="{00000000-0005-0000-0000-0000A5280000}"/>
    <cellStyle name="40% - Ênfase2 2 2 2 7 2" xfId="10552" xr:uid="{00000000-0005-0000-0000-0000A6280000}"/>
    <cellStyle name="40% - Ênfase2 2 2 2 7 2 2" xfId="10553" xr:uid="{00000000-0005-0000-0000-0000A7280000}"/>
    <cellStyle name="40% - Ênfase2 2 2 2 7 3" xfId="10554" xr:uid="{00000000-0005-0000-0000-0000A8280000}"/>
    <cellStyle name="40% - Ênfase2 2 2 2 8" xfId="10555" xr:uid="{00000000-0005-0000-0000-0000A9280000}"/>
    <cellStyle name="40% - Ênfase2 2 2 2 8 2" xfId="10556" xr:uid="{00000000-0005-0000-0000-0000AA280000}"/>
    <cellStyle name="40% - Ênfase2 2 2 2 9" xfId="10557" xr:uid="{00000000-0005-0000-0000-0000AB280000}"/>
    <cellStyle name="40% - Ênfase2 2 2 3" xfId="10558" xr:uid="{00000000-0005-0000-0000-0000AC280000}"/>
    <cellStyle name="40% - Ênfase2 2 2 3 2" xfId="10559" xr:uid="{00000000-0005-0000-0000-0000AD280000}"/>
    <cellStyle name="40% - Ênfase2 2 2 3 2 2" xfId="10560" xr:uid="{00000000-0005-0000-0000-0000AE280000}"/>
    <cellStyle name="40% - Ênfase2 2 2 3 2 2 2" xfId="10561" xr:uid="{00000000-0005-0000-0000-0000AF280000}"/>
    <cellStyle name="40% - Ênfase2 2 2 3 2 3" xfId="10562" xr:uid="{00000000-0005-0000-0000-0000B0280000}"/>
    <cellStyle name="40% - Ênfase2 2 2 3 2 3 2" xfId="10563" xr:uid="{00000000-0005-0000-0000-0000B1280000}"/>
    <cellStyle name="40% - Ênfase2 2 2 3 2 4" xfId="10564" xr:uid="{00000000-0005-0000-0000-0000B2280000}"/>
    <cellStyle name="40% - Ênfase2 2 2 3 3" xfId="10565" xr:uid="{00000000-0005-0000-0000-0000B3280000}"/>
    <cellStyle name="40% - Ênfase2 2 2 3 3 2" xfId="10566" xr:uid="{00000000-0005-0000-0000-0000B4280000}"/>
    <cellStyle name="40% - Ênfase2 2 2 3 3 2 2" xfId="10567" xr:uid="{00000000-0005-0000-0000-0000B5280000}"/>
    <cellStyle name="40% - Ênfase2 2 2 3 3 3" xfId="10568" xr:uid="{00000000-0005-0000-0000-0000B6280000}"/>
    <cellStyle name="40% - Ênfase2 2 2 3 3 3 2" xfId="10569" xr:uid="{00000000-0005-0000-0000-0000B7280000}"/>
    <cellStyle name="40% - Ênfase2 2 2 3 3 4" xfId="10570" xr:uid="{00000000-0005-0000-0000-0000B8280000}"/>
    <cellStyle name="40% - Ênfase2 2 2 3 4" xfId="10571" xr:uid="{00000000-0005-0000-0000-0000B9280000}"/>
    <cellStyle name="40% - Ênfase2 2 2 3 4 2" xfId="10572" xr:uid="{00000000-0005-0000-0000-0000BA280000}"/>
    <cellStyle name="40% - Ênfase2 2 2 3 5" xfId="10573" xr:uid="{00000000-0005-0000-0000-0000BB280000}"/>
    <cellStyle name="40% - Ênfase2 2 2 3 5 2" xfId="10574" xr:uid="{00000000-0005-0000-0000-0000BC280000}"/>
    <cellStyle name="40% - Ênfase2 2 2 3 6" xfId="10575" xr:uid="{00000000-0005-0000-0000-0000BD280000}"/>
    <cellStyle name="40% - Ênfase2 2 2 4" xfId="10576" xr:uid="{00000000-0005-0000-0000-0000BE280000}"/>
    <cellStyle name="40% - Ênfase2 2 2 4 2" xfId="10577" xr:uid="{00000000-0005-0000-0000-0000BF280000}"/>
    <cellStyle name="40% - Ênfase2 2 2 4 2 2" xfId="10578" xr:uid="{00000000-0005-0000-0000-0000C0280000}"/>
    <cellStyle name="40% - Ênfase2 2 2 4 2 2 2" xfId="10579" xr:uid="{00000000-0005-0000-0000-0000C1280000}"/>
    <cellStyle name="40% - Ênfase2 2 2 4 2 3" xfId="10580" xr:uid="{00000000-0005-0000-0000-0000C2280000}"/>
    <cellStyle name="40% - Ênfase2 2 2 4 2 3 2" xfId="10581" xr:uid="{00000000-0005-0000-0000-0000C3280000}"/>
    <cellStyle name="40% - Ênfase2 2 2 4 2 4" xfId="10582" xr:uid="{00000000-0005-0000-0000-0000C4280000}"/>
    <cellStyle name="40% - Ênfase2 2 2 4 3" xfId="10583" xr:uid="{00000000-0005-0000-0000-0000C5280000}"/>
    <cellStyle name="40% - Ênfase2 2 2 4 3 2" xfId="10584" xr:uid="{00000000-0005-0000-0000-0000C6280000}"/>
    <cellStyle name="40% - Ênfase2 2 2 4 3 2 2" xfId="10585" xr:uid="{00000000-0005-0000-0000-0000C7280000}"/>
    <cellStyle name="40% - Ênfase2 2 2 4 3 3" xfId="10586" xr:uid="{00000000-0005-0000-0000-0000C8280000}"/>
    <cellStyle name="40% - Ênfase2 2 2 4 3 3 2" xfId="10587" xr:uid="{00000000-0005-0000-0000-0000C9280000}"/>
    <cellStyle name="40% - Ênfase2 2 2 4 3 4" xfId="10588" xr:uid="{00000000-0005-0000-0000-0000CA280000}"/>
    <cellStyle name="40% - Ênfase2 2 2 4 4" xfId="10589" xr:uid="{00000000-0005-0000-0000-0000CB280000}"/>
    <cellStyle name="40% - Ênfase2 2 2 4 4 2" xfId="10590" xr:uid="{00000000-0005-0000-0000-0000CC280000}"/>
    <cellStyle name="40% - Ênfase2 2 2 4 5" xfId="10591" xr:uid="{00000000-0005-0000-0000-0000CD280000}"/>
    <cellStyle name="40% - Ênfase2 2 2 4 5 2" xfId="10592" xr:uid="{00000000-0005-0000-0000-0000CE280000}"/>
    <cellStyle name="40% - Ênfase2 2 2 4 6" xfId="10593" xr:uid="{00000000-0005-0000-0000-0000CF280000}"/>
    <cellStyle name="40% - Ênfase2 2 2 5" xfId="10594" xr:uid="{00000000-0005-0000-0000-0000D0280000}"/>
    <cellStyle name="40% - Ênfase2 2 2 5 2" xfId="10595" xr:uid="{00000000-0005-0000-0000-0000D1280000}"/>
    <cellStyle name="40% - Ênfase2 2 2 5 2 2" xfId="10596" xr:uid="{00000000-0005-0000-0000-0000D2280000}"/>
    <cellStyle name="40% - Ênfase2 2 2 5 3" xfId="10597" xr:uid="{00000000-0005-0000-0000-0000D3280000}"/>
    <cellStyle name="40% - Ênfase2 2 2 5 3 2" xfId="10598" xr:uid="{00000000-0005-0000-0000-0000D4280000}"/>
    <cellStyle name="40% - Ênfase2 2 2 5 4" xfId="10599" xr:uid="{00000000-0005-0000-0000-0000D5280000}"/>
    <cellStyle name="40% - Ênfase2 2 2 6" xfId="10600" xr:uid="{00000000-0005-0000-0000-0000D6280000}"/>
    <cellStyle name="40% - Ênfase2 2 2 6 2" xfId="10601" xr:uid="{00000000-0005-0000-0000-0000D7280000}"/>
    <cellStyle name="40% - Ênfase2 2 2 6 2 2" xfId="10602" xr:uid="{00000000-0005-0000-0000-0000D8280000}"/>
    <cellStyle name="40% - Ênfase2 2 2 6 3" xfId="10603" xr:uid="{00000000-0005-0000-0000-0000D9280000}"/>
    <cellStyle name="40% - Ênfase2 2 2 7" xfId="10604" xr:uid="{00000000-0005-0000-0000-0000DA280000}"/>
    <cellStyle name="40% - Ênfase2 2 2 7 2" xfId="10605" xr:uid="{00000000-0005-0000-0000-0000DB280000}"/>
    <cellStyle name="40% - Ênfase2 2 2 7 2 2" xfId="10606" xr:uid="{00000000-0005-0000-0000-0000DC280000}"/>
    <cellStyle name="40% - Ênfase2 2 2 7 3" xfId="10607" xr:uid="{00000000-0005-0000-0000-0000DD280000}"/>
    <cellStyle name="40% - Ênfase2 2 2 8" xfId="10608" xr:uid="{00000000-0005-0000-0000-0000DE280000}"/>
    <cellStyle name="40% - Ênfase2 2 2 8 2" xfId="10609" xr:uid="{00000000-0005-0000-0000-0000DF280000}"/>
    <cellStyle name="40% - Ênfase2 2 2 8 2 2" xfId="10610" xr:uid="{00000000-0005-0000-0000-0000E0280000}"/>
    <cellStyle name="40% - Ênfase2 2 2 8 3" xfId="10611" xr:uid="{00000000-0005-0000-0000-0000E1280000}"/>
    <cellStyle name="40% - Ênfase2 2 2 9" xfId="10612" xr:uid="{00000000-0005-0000-0000-0000E2280000}"/>
    <cellStyle name="40% - Ênfase2 2 2 9 2" xfId="10613" xr:uid="{00000000-0005-0000-0000-0000E3280000}"/>
    <cellStyle name="40% - Ênfase2 2 2 9 2 2" xfId="10614" xr:uid="{00000000-0005-0000-0000-0000E4280000}"/>
    <cellStyle name="40% - Ênfase2 2 2 9 3" xfId="10615" xr:uid="{00000000-0005-0000-0000-0000E5280000}"/>
    <cellStyle name="40% - Ênfase2 2 3" xfId="10616" xr:uid="{00000000-0005-0000-0000-0000E6280000}"/>
    <cellStyle name="40% - Ênfase2 2 3 10" xfId="10617" xr:uid="{00000000-0005-0000-0000-0000E7280000}"/>
    <cellStyle name="40% - Ênfase2 2 3 10 2" xfId="10618" xr:uid="{00000000-0005-0000-0000-0000E8280000}"/>
    <cellStyle name="40% - Ênfase2 2 3 11" xfId="10619" xr:uid="{00000000-0005-0000-0000-0000E9280000}"/>
    <cellStyle name="40% - Ênfase2 2 3 2" xfId="10620" xr:uid="{00000000-0005-0000-0000-0000EA280000}"/>
    <cellStyle name="40% - Ênfase2 2 3 2 2" xfId="10621" xr:uid="{00000000-0005-0000-0000-0000EB280000}"/>
    <cellStyle name="40% - Ênfase2 2 3 2 2 2" xfId="10622" xr:uid="{00000000-0005-0000-0000-0000EC280000}"/>
    <cellStyle name="40% - Ênfase2 2 3 2 2 2 2" xfId="10623" xr:uid="{00000000-0005-0000-0000-0000ED280000}"/>
    <cellStyle name="40% - Ênfase2 2 3 2 2 2 2 2" xfId="10624" xr:uid="{00000000-0005-0000-0000-0000EE280000}"/>
    <cellStyle name="40% - Ênfase2 2 3 2 2 2 3" xfId="10625" xr:uid="{00000000-0005-0000-0000-0000EF280000}"/>
    <cellStyle name="40% - Ênfase2 2 3 2 2 2 3 2" xfId="10626" xr:uid="{00000000-0005-0000-0000-0000F0280000}"/>
    <cellStyle name="40% - Ênfase2 2 3 2 2 2 4" xfId="10627" xr:uid="{00000000-0005-0000-0000-0000F1280000}"/>
    <cellStyle name="40% - Ênfase2 2 3 2 2 3" xfId="10628" xr:uid="{00000000-0005-0000-0000-0000F2280000}"/>
    <cellStyle name="40% - Ênfase2 2 3 2 2 3 2" xfId="10629" xr:uid="{00000000-0005-0000-0000-0000F3280000}"/>
    <cellStyle name="40% - Ênfase2 2 3 2 2 3 2 2" xfId="10630" xr:uid="{00000000-0005-0000-0000-0000F4280000}"/>
    <cellStyle name="40% - Ênfase2 2 3 2 2 3 3" xfId="10631" xr:uid="{00000000-0005-0000-0000-0000F5280000}"/>
    <cellStyle name="40% - Ênfase2 2 3 2 2 3 3 2" xfId="10632" xr:uid="{00000000-0005-0000-0000-0000F6280000}"/>
    <cellStyle name="40% - Ênfase2 2 3 2 2 3 4" xfId="10633" xr:uid="{00000000-0005-0000-0000-0000F7280000}"/>
    <cellStyle name="40% - Ênfase2 2 3 2 2 4" xfId="10634" xr:uid="{00000000-0005-0000-0000-0000F8280000}"/>
    <cellStyle name="40% - Ênfase2 2 3 2 2 4 2" xfId="10635" xr:uid="{00000000-0005-0000-0000-0000F9280000}"/>
    <cellStyle name="40% - Ênfase2 2 3 2 2 5" xfId="10636" xr:uid="{00000000-0005-0000-0000-0000FA280000}"/>
    <cellStyle name="40% - Ênfase2 2 3 2 2 5 2" xfId="10637" xr:uid="{00000000-0005-0000-0000-0000FB280000}"/>
    <cellStyle name="40% - Ênfase2 2 3 2 2 6" xfId="10638" xr:uid="{00000000-0005-0000-0000-0000FC280000}"/>
    <cellStyle name="40% - Ênfase2 2 3 2 3" xfId="10639" xr:uid="{00000000-0005-0000-0000-0000FD280000}"/>
    <cellStyle name="40% - Ênfase2 2 3 2 3 2" xfId="10640" xr:uid="{00000000-0005-0000-0000-0000FE280000}"/>
    <cellStyle name="40% - Ênfase2 2 3 2 3 2 2" xfId="10641" xr:uid="{00000000-0005-0000-0000-0000FF280000}"/>
    <cellStyle name="40% - Ênfase2 2 3 2 3 3" xfId="10642" xr:uid="{00000000-0005-0000-0000-000000290000}"/>
    <cellStyle name="40% - Ênfase2 2 3 2 3 3 2" xfId="10643" xr:uid="{00000000-0005-0000-0000-000001290000}"/>
    <cellStyle name="40% - Ênfase2 2 3 2 3 4" xfId="10644" xr:uid="{00000000-0005-0000-0000-000002290000}"/>
    <cellStyle name="40% - Ênfase2 2 3 2 4" xfId="10645" xr:uid="{00000000-0005-0000-0000-000003290000}"/>
    <cellStyle name="40% - Ênfase2 2 3 2 4 2" xfId="10646" xr:uid="{00000000-0005-0000-0000-000004290000}"/>
    <cellStyle name="40% - Ênfase2 2 3 2 4 2 2" xfId="10647" xr:uid="{00000000-0005-0000-0000-000005290000}"/>
    <cellStyle name="40% - Ênfase2 2 3 2 4 3" xfId="10648" xr:uid="{00000000-0005-0000-0000-000006290000}"/>
    <cellStyle name="40% - Ênfase2 2 3 2 5" xfId="10649" xr:uid="{00000000-0005-0000-0000-000007290000}"/>
    <cellStyle name="40% - Ênfase2 2 3 2 5 2" xfId="10650" xr:uid="{00000000-0005-0000-0000-000008290000}"/>
    <cellStyle name="40% - Ênfase2 2 3 2 5 2 2" xfId="10651" xr:uid="{00000000-0005-0000-0000-000009290000}"/>
    <cellStyle name="40% - Ênfase2 2 3 2 5 3" xfId="10652" xr:uid="{00000000-0005-0000-0000-00000A290000}"/>
    <cellStyle name="40% - Ênfase2 2 3 2 6" xfId="10653" xr:uid="{00000000-0005-0000-0000-00000B290000}"/>
    <cellStyle name="40% - Ênfase2 2 3 2 6 2" xfId="10654" xr:uid="{00000000-0005-0000-0000-00000C290000}"/>
    <cellStyle name="40% - Ênfase2 2 3 2 6 2 2" xfId="10655" xr:uid="{00000000-0005-0000-0000-00000D290000}"/>
    <cellStyle name="40% - Ênfase2 2 3 2 6 3" xfId="10656" xr:uid="{00000000-0005-0000-0000-00000E290000}"/>
    <cellStyle name="40% - Ênfase2 2 3 2 7" xfId="10657" xr:uid="{00000000-0005-0000-0000-00000F290000}"/>
    <cellStyle name="40% - Ênfase2 2 3 2 7 2" xfId="10658" xr:uid="{00000000-0005-0000-0000-000010290000}"/>
    <cellStyle name="40% - Ênfase2 2 3 2 7 2 2" xfId="10659" xr:uid="{00000000-0005-0000-0000-000011290000}"/>
    <cellStyle name="40% - Ênfase2 2 3 2 7 3" xfId="10660" xr:uid="{00000000-0005-0000-0000-000012290000}"/>
    <cellStyle name="40% - Ênfase2 2 3 2 8" xfId="10661" xr:uid="{00000000-0005-0000-0000-000013290000}"/>
    <cellStyle name="40% - Ênfase2 2 3 2 8 2" xfId="10662" xr:uid="{00000000-0005-0000-0000-000014290000}"/>
    <cellStyle name="40% - Ênfase2 2 3 2 9" xfId="10663" xr:uid="{00000000-0005-0000-0000-000015290000}"/>
    <cellStyle name="40% - Ênfase2 2 3 3" xfId="10664" xr:uid="{00000000-0005-0000-0000-000016290000}"/>
    <cellStyle name="40% - Ênfase2 2 3 3 2" xfId="10665" xr:uid="{00000000-0005-0000-0000-000017290000}"/>
    <cellStyle name="40% - Ênfase2 2 3 3 2 2" xfId="10666" xr:uid="{00000000-0005-0000-0000-000018290000}"/>
    <cellStyle name="40% - Ênfase2 2 3 3 2 2 2" xfId="10667" xr:uid="{00000000-0005-0000-0000-000019290000}"/>
    <cellStyle name="40% - Ênfase2 2 3 3 2 3" xfId="10668" xr:uid="{00000000-0005-0000-0000-00001A290000}"/>
    <cellStyle name="40% - Ênfase2 2 3 3 2 3 2" xfId="10669" xr:uid="{00000000-0005-0000-0000-00001B290000}"/>
    <cellStyle name="40% - Ênfase2 2 3 3 2 4" xfId="10670" xr:uid="{00000000-0005-0000-0000-00001C290000}"/>
    <cellStyle name="40% - Ênfase2 2 3 3 3" xfId="10671" xr:uid="{00000000-0005-0000-0000-00001D290000}"/>
    <cellStyle name="40% - Ênfase2 2 3 3 3 2" xfId="10672" xr:uid="{00000000-0005-0000-0000-00001E290000}"/>
    <cellStyle name="40% - Ênfase2 2 3 3 3 2 2" xfId="10673" xr:uid="{00000000-0005-0000-0000-00001F290000}"/>
    <cellStyle name="40% - Ênfase2 2 3 3 3 3" xfId="10674" xr:uid="{00000000-0005-0000-0000-000020290000}"/>
    <cellStyle name="40% - Ênfase2 2 3 3 3 3 2" xfId="10675" xr:uid="{00000000-0005-0000-0000-000021290000}"/>
    <cellStyle name="40% - Ênfase2 2 3 3 3 4" xfId="10676" xr:uid="{00000000-0005-0000-0000-000022290000}"/>
    <cellStyle name="40% - Ênfase2 2 3 3 4" xfId="10677" xr:uid="{00000000-0005-0000-0000-000023290000}"/>
    <cellStyle name="40% - Ênfase2 2 3 3 4 2" xfId="10678" xr:uid="{00000000-0005-0000-0000-000024290000}"/>
    <cellStyle name="40% - Ênfase2 2 3 3 5" xfId="10679" xr:uid="{00000000-0005-0000-0000-000025290000}"/>
    <cellStyle name="40% - Ênfase2 2 3 3 5 2" xfId="10680" xr:uid="{00000000-0005-0000-0000-000026290000}"/>
    <cellStyle name="40% - Ênfase2 2 3 3 6" xfId="10681" xr:uid="{00000000-0005-0000-0000-000027290000}"/>
    <cellStyle name="40% - Ênfase2 2 3 4" xfId="10682" xr:uid="{00000000-0005-0000-0000-000028290000}"/>
    <cellStyle name="40% - Ênfase2 2 3 4 2" xfId="10683" xr:uid="{00000000-0005-0000-0000-000029290000}"/>
    <cellStyle name="40% - Ênfase2 2 3 4 2 2" xfId="10684" xr:uid="{00000000-0005-0000-0000-00002A290000}"/>
    <cellStyle name="40% - Ênfase2 2 3 4 2 2 2" xfId="10685" xr:uid="{00000000-0005-0000-0000-00002B290000}"/>
    <cellStyle name="40% - Ênfase2 2 3 4 2 3" xfId="10686" xr:uid="{00000000-0005-0000-0000-00002C290000}"/>
    <cellStyle name="40% - Ênfase2 2 3 4 2 3 2" xfId="10687" xr:uid="{00000000-0005-0000-0000-00002D290000}"/>
    <cellStyle name="40% - Ênfase2 2 3 4 2 4" xfId="10688" xr:uid="{00000000-0005-0000-0000-00002E290000}"/>
    <cellStyle name="40% - Ênfase2 2 3 4 3" xfId="10689" xr:uid="{00000000-0005-0000-0000-00002F290000}"/>
    <cellStyle name="40% - Ênfase2 2 3 4 3 2" xfId="10690" xr:uid="{00000000-0005-0000-0000-000030290000}"/>
    <cellStyle name="40% - Ênfase2 2 3 4 3 2 2" xfId="10691" xr:uid="{00000000-0005-0000-0000-000031290000}"/>
    <cellStyle name="40% - Ênfase2 2 3 4 3 3" xfId="10692" xr:uid="{00000000-0005-0000-0000-000032290000}"/>
    <cellStyle name="40% - Ênfase2 2 3 4 3 3 2" xfId="10693" xr:uid="{00000000-0005-0000-0000-000033290000}"/>
    <cellStyle name="40% - Ênfase2 2 3 4 3 4" xfId="10694" xr:uid="{00000000-0005-0000-0000-000034290000}"/>
    <cellStyle name="40% - Ênfase2 2 3 4 4" xfId="10695" xr:uid="{00000000-0005-0000-0000-000035290000}"/>
    <cellStyle name="40% - Ênfase2 2 3 4 4 2" xfId="10696" xr:uid="{00000000-0005-0000-0000-000036290000}"/>
    <cellStyle name="40% - Ênfase2 2 3 4 5" xfId="10697" xr:uid="{00000000-0005-0000-0000-000037290000}"/>
    <cellStyle name="40% - Ênfase2 2 3 4 5 2" xfId="10698" xr:uid="{00000000-0005-0000-0000-000038290000}"/>
    <cellStyle name="40% - Ênfase2 2 3 4 6" xfId="10699" xr:uid="{00000000-0005-0000-0000-000039290000}"/>
    <cellStyle name="40% - Ênfase2 2 3 5" xfId="10700" xr:uid="{00000000-0005-0000-0000-00003A290000}"/>
    <cellStyle name="40% - Ênfase2 2 3 5 2" xfId="10701" xr:uid="{00000000-0005-0000-0000-00003B290000}"/>
    <cellStyle name="40% - Ênfase2 2 3 5 2 2" xfId="10702" xr:uid="{00000000-0005-0000-0000-00003C290000}"/>
    <cellStyle name="40% - Ênfase2 2 3 5 3" xfId="10703" xr:uid="{00000000-0005-0000-0000-00003D290000}"/>
    <cellStyle name="40% - Ênfase2 2 3 5 3 2" xfId="10704" xr:uid="{00000000-0005-0000-0000-00003E290000}"/>
    <cellStyle name="40% - Ênfase2 2 3 5 4" xfId="10705" xr:uid="{00000000-0005-0000-0000-00003F290000}"/>
    <cellStyle name="40% - Ênfase2 2 3 6" xfId="10706" xr:uid="{00000000-0005-0000-0000-000040290000}"/>
    <cellStyle name="40% - Ênfase2 2 3 6 2" xfId="10707" xr:uid="{00000000-0005-0000-0000-000041290000}"/>
    <cellStyle name="40% - Ênfase2 2 3 6 2 2" xfId="10708" xr:uid="{00000000-0005-0000-0000-000042290000}"/>
    <cellStyle name="40% - Ênfase2 2 3 6 3" xfId="10709" xr:uid="{00000000-0005-0000-0000-000043290000}"/>
    <cellStyle name="40% - Ênfase2 2 3 7" xfId="10710" xr:uid="{00000000-0005-0000-0000-000044290000}"/>
    <cellStyle name="40% - Ênfase2 2 3 7 2" xfId="10711" xr:uid="{00000000-0005-0000-0000-000045290000}"/>
    <cellStyle name="40% - Ênfase2 2 3 7 2 2" xfId="10712" xr:uid="{00000000-0005-0000-0000-000046290000}"/>
    <cellStyle name="40% - Ênfase2 2 3 7 3" xfId="10713" xr:uid="{00000000-0005-0000-0000-000047290000}"/>
    <cellStyle name="40% - Ênfase2 2 3 8" xfId="10714" xr:uid="{00000000-0005-0000-0000-000048290000}"/>
    <cellStyle name="40% - Ênfase2 2 3 8 2" xfId="10715" xr:uid="{00000000-0005-0000-0000-000049290000}"/>
    <cellStyle name="40% - Ênfase2 2 3 8 2 2" xfId="10716" xr:uid="{00000000-0005-0000-0000-00004A290000}"/>
    <cellStyle name="40% - Ênfase2 2 3 8 3" xfId="10717" xr:uid="{00000000-0005-0000-0000-00004B290000}"/>
    <cellStyle name="40% - Ênfase2 2 3 9" xfId="10718" xr:uid="{00000000-0005-0000-0000-00004C290000}"/>
    <cellStyle name="40% - Ênfase2 2 3 9 2" xfId="10719" xr:uid="{00000000-0005-0000-0000-00004D290000}"/>
    <cellStyle name="40% - Ênfase2 2 3 9 2 2" xfId="10720" xr:uid="{00000000-0005-0000-0000-00004E290000}"/>
    <cellStyle name="40% - Ênfase2 2 3 9 3" xfId="10721" xr:uid="{00000000-0005-0000-0000-00004F290000}"/>
    <cellStyle name="40% - Ênfase2 2 4" xfId="10722" xr:uid="{00000000-0005-0000-0000-000050290000}"/>
    <cellStyle name="40% - Ênfase2 2 4 10" xfId="10723" xr:uid="{00000000-0005-0000-0000-000051290000}"/>
    <cellStyle name="40% - Ênfase2 2 4 2" xfId="10724" xr:uid="{00000000-0005-0000-0000-000052290000}"/>
    <cellStyle name="40% - Ênfase2 2 4 2 2" xfId="10725" xr:uid="{00000000-0005-0000-0000-000053290000}"/>
    <cellStyle name="40% - Ênfase2 2 4 2 2 2" xfId="10726" xr:uid="{00000000-0005-0000-0000-000054290000}"/>
    <cellStyle name="40% - Ênfase2 2 4 2 2 2 2" xfId="10727" xr:uid="{00000000-0005-0000-0000-000055290000}"/>
    <cellStyle name="40% - Ênfase2 2 4 2 2 2 2 2" xfId="10728" xr:uid="{00000000-0005-0000-0000-000056290000}"/>
    <cellStyle name="40% - Ênfase2 2 4 2 2 2 3" xfId="10729" xr:uid="{00000000-0005-0000-0000-000057290000}"/>
    <cellStyle name="40% - Ênfase2 2 4 2 2 2 3 2" xfId="10730" xr:uid="{00000000-0005-0000-0000-000058290000}"/>
    <cellStyle name="40% - Ênfase2 2 4 2 2 2 4" xfId="10731" xr:uid="{00000000-0005-0000-0000-000059290000}"/>
    <cellStyle name="40% - Ênfase2 2 4 2 2 3" xfId="10732" xr:uid="{00000000-0005-0000-0000-00005A290000}"/>
    <cellStyle name="40% - Ênfase2 2 4 2 2 3 2" xfId="10733" xr:uid="{00000000-0005-0000-0000-00005B290000}"/>
    <cellStyle name="40% - Ênfase2 2 4 2 2 4" xfId="10734" xr:uid="{00000000-0005-0000-0000-00005C290000}"/>
    <cellStyle name="40% - Ênfase2 2 4 2 2 4 2" xfId="10735" xr:uid="{00000000-0005-0000-0000-00005D290000}"/>
    <cellStyle name="40% - Ênfase2 2 4 2 2 5" xfId="10736" xr:uid="{00000000-0005-0000-0000-00005E290000}"/>
    <cellStyle name="40% - Ênfase2 2 4 2 3" xfId="10737" xr:uid="{00000000-0005-0000-0000-00005F290000}"/>
    <cellStyle name="40% - Ênfase2 2 4 2 3 2" xfId="10738" xr:uid="{00000000-0005-0000-0000-000060290000}"/>
    <cellStyle name="40% - Ênfase2 2 4 2 3 2 2" xfId="10739" xr:uid="{00000000-0005-0000-0000-000061290000}"/>
    <cellStyle name="40% - Ênfase2 2 4 2 3 3" xfId="10740" xr:uid="{00000000-0005-0000-0000-000062290000}"/>
    <cellStyle name="40% - Ênfase2 2 4 2 3 3 2" xfId="10741" xr:uid="{00000000-0005-0000-0000-000063290000}"/>
    <cellStyle name="40% - Ênfase2 2 4 2 3 4" xfId="10742" xr:uid="{00000000-0005-0000-0000-000064290000}"/>
    <cellStyle name="40% - Ênfase2 2 4 2 4" xfId="10743" xr:uid="{00000000-0005-0000-0000-000065290000}"/>
    <cellStyle name="40% - Ênfase2 2 4 2 4 2" xfId="10744" xr:uid="{00000000-0005-0000-0000-000066290000}"/>
    <cellStyle name="40% - Ênfase2 2 4 2 4 2 2" xfId="10745" xr:uid="{00000000-0005-0000-0000-000067290000}"/>
    <cellStyle name="40% - Ênfase2 2 4 2 4 3" xfId="10746" xr:uid="{00000000-0005-0000-0000-000068290000}"/>
    <cellStyle name="40% - Ênfase2 2 4 2 5" xfId="10747" xr:uid="{00000000-0005-0000-0000-000069290000}"/>
    <cellStyle name="40% - Ênfase2 2 4 2 5 2" xfId="10748" xr:uid="{00000000-0005-0000-0000-00006A290000}"/>
    <cellStyle name="40% - Ênfase2 2 4 2 6" xfId="10749" xr:uid="{00000000-0005-0000-0000-00006B290000}"/>
    <cellStyle name="40% - Ênfase2 2 4 3" xfId="10750" xr:uid="{00000000-0005-0000-0000-00006C290000}"/>
    <cellStyle name="40% - Ênfase2 2 4 3 2" xfId="10751" xr:uid="{00000000-0005-0000-0000-00006D290000}"/>
    <cellStyle name="40% - Ênfase2 2 4 3 2 2" xfId="10752" xr:uid="{00000000-0005-0000-0000-00006E290000}"/>
    <cellStyle name="40% - Ênfase2 2 4 3 2 2 2" xfId="10753" xr:uid="{00000000-0005-0000-0000-00006F290000}"/>
    <cellStyle name="40% - Ênfase2 2 4 3 2 3" xfId="10754" xr:uid="{00000000-0005-0000-0000-000070290000}"/>
    <cellStyle name="40% - Ênfase2 2 4 3 2 3 2" xfId="10755" xr:uid="{00000000-0005-0000-0000-000071290000}"/>
    <cellStyle name="40% - Ênfase2 2 4 3 2 4" xfId="10756" xr:uid="{00000000-0005-0000-0000-000072290000}"/>
    <cellStyle name="40% - Ênfase2 2 4 3 3" xfId="10757" xr:uid="{00000000-0005-0000-0000-000073290000}"/>
    <cellStyle name="40% - Ênfase2 2 4 3 3 2" xfId="10758" xr:uid="{00000000-0005-0000-0000-000074290000}"/>
    <cellStyle name="40% - Ênfase2 2 4 3 3 2 2" xfId="10759" xr:uid="{00000000-0005-0000-0000-000075290000}"/>
    <cellStyle name="40% - Ênfase2 2 4 3 3 3" xfId="10760" xr:uid="{00000000-0005-0000-0000-000076290000}"/>
    <cellStyle name="40% - Ênfase2 2 4 3 3 3 2" xfId="10761" xr:uid="{00000000-0005-0000-0000-000077290000}"/>
    <cellStyle name="40% - Ênfase2 2 4 3 3 4" xfId="10762" xr:uid="{00000000-0005-0000-0000-000078290000}"/>
    <cellStyle name="40% - Ênfase2 2 4 3 4" xfId="10763" xr:uid="{00000000-0005-0000-0000-000079290000}"/>
    <cellStyle name="40% - Ênfase2 2 4 3 4 2" xfId="10764" xr:uid="{00000000-0005-0000-0000-00007A290000}"/>
    <cellStyle name="40% - Ênfase2 2 4 3 5" xfId="10765" xr:uid="{00000000-0005-0000-0000-00007B290000}"/>
    <cellStyle name="40% - Ênfase2 2 4 3 5 2" xfId="10766" xr:uid="{00000000-0005-0000-0000-00007C290000}"/>
    <cellStyle name="40% - Ênfase2 2 4 3 6" xfId="10767" xr:uid="{00000000-0005-0000-0000-00007D290000}"/>
    <cellStyle name="40% - Ênfase2 2 4 4" xfId="10768" xr:uid="{00000000-0005-0000-0000-00007E290000}"/>
    <cellStyle name="40% - Ênfase2 2 4 4 2" xfId="10769" xr:uid="{00000000-0005-0000-0000-00007F290000}"/>
    <cellStyle name="40% - Ênfase2 2 4 4 2 2" xfId="10770" xr:uid="{00000000-0005-0000-0000-000080290000}"/>
    <cellStyle name="40% - Ênfase2 2 4 4 3" xfId="10771" xr:uid="{00000000-0005-0000-0000-000081290000}"/>
    <cellStyle name="40% - Ênfase2 2 4 4 3 2" xfId="10772" xr:uid="{00000000-0005-0000-0000-000082290000}"/>
    <cellStyle name="40% - Ênfase2 2 4 4 4" xfId="10773" xr:uid="{00000000-0005-0000-0000-000083290000}"/>
    <cellStyle name="40% - Ênfase2 2 4 5" xfId="10774" xr:uid="{00000000-0005-0000-0000-000084290000}"/>
    <cellStyle name="40% - Ênfase2 2 4 5 2" xfId="10775" xr:uid="{00000000-0005-0000-0000-000085290000}"/>
    <cellStyle name="40% - Ênfase2 2 4 5 2 2" xfId="10776" xr:uid="{00000000-0005-0000-0000-000086290000}"/>
    <cellStyle name="40% - Ênfase2 2 4 5 3" xfId="10777" xr:uid="{00000000-0005-0000-0000-000087290000}"/>
    <cellStyle name="40% - Ênfase2 2 4 6" xfId="10778" xr:uid="{00000000-0005-0000-0000-000088290000}"/>
    <cellStyle name="40% - Ênfase2 2 4 6 2" xfId="10779" xr:uid="{00000000-0005-0000-0000-000089290000}"/>
    <cellStyle name="40% - Ênfase2 2 4 6 2 2" xfId="10780" xr:uid="{00000000-0005-0000-0000-00008A290000}"/>
    <cellStyle name="40% - Ênfase2 2 4 6 3" xfId="10781" xr:uid="{00000000-0005-0000-0000-00008B290000}"/>
    <cellStyle name="40% - Ênfase2 2 4 7" xfId="10782" xr:uid="{00000000-0005-0000-0000-00008C290000}"/>
    <cellStyle name="40% - Ênfase2 2 4 7 2" xfId="10783" xr:uid="{00000000-0005-0000-0000-00008D290000}"/>
    <cellStyle name="40% - Ênfase2 2 4 7 2 2" xfId="10784" xr:uid="{00000000-0005-0000-0000-00008E290000}"/>
    <cellStyle name="40% - Ênfase2 2 4 7 3" xfId="10785" xr:uid="{00000000-0005-0000-0000-00008F290000}"/>
    <cellStyle name="40% - Ênfase2 2 4 8" xfId="10786" xr:uid="{00000000-0005-0000-0000-000090290000}"/>
    <cellStyle name="40% - Ênfase2 2 4 8 2" xfId="10787" xr:uid="{00000000-0005-0000-0000-000091290000}"/>
    <cellStyle name="40% - Ênfase2 2 4 8 2 2" xfId="10788" xr:uid="{00000000-0005-0000-0000-000092290000}"/>
    <cellStyle name="40% - Ênfase2 2 4 8 3" xfId="10789" xr:uid="{00000000-0005-0000-0000-000093290000}"/>
    <cellStyle name="40% - Ênfase2 2 4 9" xfId="10790" xr:uid="{00000000-0005-0000-0000-000094290000}"/>
    <cellStyle name="40% - Ênfase2 2 4 9 2" xfId="10791" xr:uid="{00000000-0005-0000-0000-000095290000}"/>
    <cellStyle name="40% - Ênfase2 2 5" xfId="10792" xr:uid="{00000000-0005-0000-0000-000096290000}"/>
    <cellStyle name="40% - Ênfase2 2 5 2" xfId="10793" xr:uid="{00000000-0005-0000-0000-000097290000}"/>
    <cellStyle name="40% - Ênfase2 2 5 2 2" xfId="10794" xr:uid="{00000000-0005-0000-0000-000098290000}"/>
    <cellStyle name="40% - Ênfase2 2 5 2 2 2" xfId="10795" xr:uid="{00000000-0005-0000-0000-000099290000}"/>
    <cellStyle name="40% - Ênfase2 2 5 2 2 2 2" xfId="10796" xr:uid="{00000000-0005-0000-0000-00009A290000}"/>
    <cellStyle name="40% - Ênfase2 2 5 2 2 2 2 2" xfId="10797" xr:uid="{00000000-0005-0000-0000-00009B290000}"/>
    <cellStyle name="40% - Ênfase2 2 5 2 2 2 3" xfId="10798" xr:uid="{00000000-0005-0000-0000-00009C290000}"/>
    <cellStyle name="40% - Ênfase2 2 5 2 2 2 3 2" xfId="10799" xr:uid="{00000000-0005-0000-0000-00009D290000}"/>
    <cellStyle name="40% - Ênfase2 2 5 2 2 2 4" xfId="10800" xr:uid="{00000000-0005-0000-0000-00009E290000}"/>
    <cellStyle name="40% - Ênfase2 2 5 2 2 3" xfId="10801" xr:uid="{00000000-0005-0000-0000-00009F290000}"/>
    <cellStyle name="40% - Ênfase2 2 5 2 2 3 2" xfId="10802" xr:uid="{00000000-0005-0000-0000-0000A0290000}"/>
    <cellStyle name="40% - Ênfase2 2 5 2 2 4" xfId="10803" xr:uid="{00000000-0005-0000-0000-0000A1290000}"/>
    <cellStyle name="40% - Ênfase2 2 5 2 2 4 2" xfId="10804" xr:uid="{00000000-0005-0000-0000-0000A2290000}"/>
    <cellStyle name="40% - Ênfase2 2 5 2 2 5" xfId="10805" xr:uid="{00000000-0005-0000-0000-0000A3290000}"/>
    <cellStyle name="40% - Ênfase2 2 5 2 3" xfId="10806" xr:uid="{00000000-0005-0000-0000-0000A4290000}"/>
    <cellStyle name="40% - Ênfase2 2 5 2 3 2" xfId="10807" xr:uid="{00000000-0005-0000-0000-0000A5290000}"/>
    <cellStyle name="40% - Ênfase2 2 5 2 3 2 2" xfId="10808" xr:uid="{00000000-0005-0000-0000-0000A6290000}"/>
    <cellStyle name="40% - Ênfase2 2 5 2 3 3" xfId="10809" xr:uid="{00000000-0005-0000-0000-0000A7290000}"/>
    <cellStyle name="40% - Ênfase2 2 5 2 3 3 2" xfId="10810" xr:uid="{00000000-0005-0000-0000-0000A8290000}"/>
    <cellStyle name="40% - Ênfase2 2 5 2 3 4" xfId="10811" xr:uid="{00000000-0005-0000-0000-0000A9290000}"/>
    <cellStyle name="40% - Ênfase2 2 5 2 4" xfId="10812" xr:uid="{00000000-0005-0000-0000-0000AA290000}"/>
    <cellStyle name="40% - Ênfase2 2 5 2 4 2" xfId="10813" xr:uid="{00000000-0005-0000-0000-0000AB290000}"/>
    <cellStyle name="40% - Ênfase2 2 5 2 4 2 2" xfId="10814" xr:uid="{00000000-0005-0000-0000-0000AC290000}"/>
    <cellStyle name="40% - Ênfase2 2 5 2 4 3" xfId="10815" xr:uid="{00000000-0005-0000-0000-0000AD290000}"/>
    <cellStyle name="40% - Ênfase2 2 5 2 5" xfId="10816" xr:uid="{00000000-0005-0000-0000-0000AE290000}"/>
    <cellStyle name="40% - Ênfase2 2 5 2 5 2" xfId="10817" xr:uid="{00000000-0005-0000-0000-0000AF290000}"/>
    <cellStyle name="40% - Ênfase2 2 5 2 6" xfId="10818" xr:uid="{00000000-0005-0000-0000-0000B0290000}"/>
    <cellStyle name="40% - Ênfase2 2 5 3" xfId="10819" xr:uid="{00000000-0005-0000-0000-0000B1290000}"/>
    <cellStyle name="40% - Ênfase2 2 5 3 2" xfId="10820" xr:uid="{00000000-0005-0000-0000-0000B2290000}"/>
    <cellStyle name="40% - Ênfase2 2 5 3 2 2" xfId="10821" xr:uid="{00000000-0005-0000-0000-0000B3290000}"/>
    <cellStyle name="40% - Ênfase2 2 5 3 2 2 2" xfId="10822" xr:uid="{00000000-0005-0000-0000-0000B4290000}"/>
    <cellStyle name="40% - Ênfase2 2 5 3 2 3" xfId="10823" xr:uid="{00000000-0005-0000-0000-0000B5290000}"/>
    <cellStyle name="40% - Ênfase2 2 5 3 2 3 2" xfId="10824" xr:uid="{00000000-0005-0000-0000-0000B6290000}"/>
    <cellStyle name="40% - Ênfase2 2 5 3 2 4" xfId="10825" xr:uid="{00000000-0005-0000-0000-0000B7290000}"/>
    <cellStyle name="40% - Ênfase2 2 5 3 3" xfId="10826" xr:uid="{00000000-0005-0000-0000-0000B8290000}"/>
    <cellStyle name="40% - Ênfase2 2 5 3 3 2" xfId="10827" xr:uid="{00000000-0005-0000-0000-0000B9290000}"/>
    <cellStyle name="40% - Ênfase2 2 5 3 4" xfId="10828" xr:uid="{00000000-0005-0000-0000-0000BA290000}"/>
    <cellStyle name="40% - Ênfase2 2 5 3 4 2" xfId="10829" xr:uid="{00000000-0005-0000-0000-0000BB290000}"/>
    <cellStyle name="40% - Ênfase2 2 5 3 5" xfId="10830" xr:uid="{00000000-0005-0000-0000-0000BC290000}"/>
    <cellStyle name="40% - Ênfase2 2 5 4" xfId="10831" xr:uid="{00000000-0005-0000-0000-0000BD290000}"/>
    <cellStyle name="40% - Ênfase2 2 5 4 2" xfId="10832" xr:uid="{00000000-0005-0000-0000-0000BE290000}"/>
    <cellStyle name="40% - Ênfase2 2 5 4 2 2" xfId="10833" xr:uid="{00000000-0005-0000-0000-0000BF290000}"/>
    <cellStyle name="40% - Ênfase2 2 5 4 3" xfId="10834" xr:uid="{00000000-0005-0000-0000-0000C0290000}"/>
    <cellStyle name="40% - Ênfase2 2 5 4 3 2" xfId="10835" xr:uid="{00000000-0005-0000-0000-0000C1290000}"/>
    <cellStyle name="40% - Ênfase2 2 5 4 4" xfId="10836" xr:uid="{00000000-0005-0000-0000-0000C2290000}"/>
    <cellStyle name="40% - Ênfase2 2 5 5" xfId="10837" xr:uid="{00000000-0005-0000-0000-0000C3290000}"/>
    <cellStyle name="40% - Ênfase2 2 5 5 2" xfId="10838" xr:uid="{00000000-0005-0000-0000-0000C4290000}"/>
    <cellStyle name="40% - Ênfase2 2 5 5 2 2" xfId="10839" xr:uid="{00000000-0005-0000-0000-0000C5290000}"/>
    <cellStyle name="40% - Ênfase2 2 5 5 3" xfId="10840" xr:uid="{00000000-0005-0000-0000-0000C6290000}"/>
    <cellStyle name="40% - Ênfase2 2 5 6" xfId="10841" xr:uid="{00000000-0005-0000-0000-0000C7290000}"/>
    <cellStyle name="40% - Ênfase2 2 5 6 2" xfId="10842" xr:uid="{00000000-0005-0000-0000-0000C8290000}"/>
    <cellStyle name="40% - Ênfase2 2 5 7" xfId="10843" xr:uid="{00000000-0005-0000-0000-0000C9290000}"/>
    <cellStyle name="40% - Ênfase2 2 6" xfId="10844" xr:uid="{00000000-0005-0000-0000-0000CA290000}"/>
    <cellStyle name="40% - Ênfase2 2 6 2" xfId="10845" xr:uid="{00000000-0005-0000-0000-0000CB290000}"/>
    <cellStyle name="40% - Ênfase2 2 6 2 2" xfId="10846" xr:uid="{00000000-0005-0000-0000-0000CC290000}"/>
    <cellStyle name="40% - Ênfase2 2 6 2 2 2" xfId="10847" xr:uid="{00000000-0005-0000-0000-0000CD290000}"/>
    <cellStyle name="40% - Ênfase2 2 6 2 2 2 2" xfId="10848" xr:uid="{00000000-0005-0000-0000-0000CE290000}"/>
    <cellStyle name="40% - Ênfase2 2 6 2 2 2 2 2" xfId="10849" xr:uid="{00000000-0005-0000-0000-0000CF290000}"/>
    <cellStyle name="40% - Ênfase2 2 6 2 2 2 3" xfId="10850" xr:uid="{00000000-0005-0000-0000-0000D0290000}"/>
    <cellStyle name="40% - Ênfase2 2 6 2 2 2 3 2" xfId="10851" xr:uid="{00000000-0005-0000-0000-0000D1290000}"/>
    <cellStyle name="40% - Ênfase2 2 6 2 2 2 4" xfId="10852" xr:uid="{00000000-0005-0000-0000-0000D2290000}"/>
    <cellStyle name="40% - Ênfase2 2 6 2 2 3" xfId="10853" xr:uid="{00000000-0005-0000-0000-0000D3290000}"/>
    <cellStyle name="40% - Ênfase2 2 6 2 2 3 2" xfId="10854" xr:uid="{00000000-0005-0000-0000-0000D4290000}"/>
    <cellStyle name="40% - Ênfase2 2 6 2 2 4" xfId="10855" xr:uid="{00000000-0005-0000-0000-0000D5290000}"/>
    <cellStyle name="40% - Ênfase2 2 6 2 2 4 2" xfId="10856" xr:uid="{00000000-0005-0000-0000-0000D6290000}"/>
    <cellStyle name="40% - Ênfase2 2 6 2 2 5" xfId="10857" xr:uid="{00000000-0005-0000-0000-0000D7290000}"/>
    <cellStyle name="40% - Ênfase2 2 6 2 3" xfId="10858" xr:uid="{00000000-0005-0000-0000-0000D8290000}"/>
    <cellStyle name="40% - Ênfase2 2 6 2 3 2" xfId="10859" xr:uid="{00000000-0005-0000-0000-0000D9290000}"/>
    <cellStyle name="40% - Ênfase2 2 6 2 3 2 2" xfId="10860" xr:uid="{00000000-0005-0000-0000-0000DA290000}"/>
    <cellStyle name="40% - Ênfase2 2 6 2 3 3" xfId="10861" xr:uid="{00000000-0005-0000-0000-0000DB290000}"/>
    <cellStyle name="40% - Ênfase2 2 6 2 3 3 2" xfId="10862" xr:uid="{00000000-0005-0000-0000-0000DC290000}"/>
    <cellStyle name="40% - Ênfase2 2 6 2 3 4" xfId="10863" xr:uid="{00000000-0005-0000-0000-0000DD290000}"/>
    <cellStyle name="40% - Ênfase2 2 6 2 4" xfId="10864" xr:uid="{00000000-0005-0000-0000-0000DE290000}"/>
    <cellStyle name="40% - Ênfase2 2 6 2 4 2" xfId="10865" xr:uid="{00000000-0005-0000-0000-0000DF290000}"/>
    <cellStyle name="40% - Ênfase2 2 6 2 4 2 2" xfId="10866" xr:uid="{00000000-0005-0000-0000-0000E0290000}"/>
    <cellStyle name="40% - Ênfase2 2 6 2 4 3" xfId="10867" xr:uid="{00000000-0005-0000-0000-0000E1290000}"/>
    <cellStyle name="40% - Ênfase2 2 6 2 5" xfId="10868" xr:uid="{00000000-0005-0000-0000-0000E2290000}"/>
    <cellStyle name="40% - Ênfase2 2 6 2 5 2" xfId="10869" xr:uid="{00000000-0005-0000-0000-0000E3290000}"/>
    <cellStyle name="40% - Ênfase2 2 6 2 6" xfId="10870" xr:uid="{00000000-0005-0000-0000-0000E4290000}"/>
    <cellStyle name="40% - Ênfase2 2 6 3" xfId="10871" xr:uid="{00000000-0005-0000-0000-0000E5290000}"/>
    <cellStyle name="40% - Ênfase2 2 6 3 2" xfId="10872" xr:uid="{00000000-0005-0000-0000-0000E6290000}"/>
    <cellStyle name="40% - Ênfase2 2 6 3 2 2" xfId="10873" xr:uid="{00000000-0005-0000-0000-0000E7290000}"/>
    <cellStyle name="40% - Ênfase2 2 6 3 2 2 2" xfId="10874" xr:uid="{00000000-0005-0000-0000-0000E8290000}"/>
    <cellStyle name="40% - Ênfase2 2 6 3 2 3" xfId="10875" xr:uid="{00000000-0005-0000-0000-0000E9290000}"/>
    <cellStyle name="40% - Ênfase2 2 6 3 2 3 2" xfId="10876" xr:uid="{00000000-0005-0000-0000-0000EA290000}"/>
    <cellStyle name="40% - Ênfase2 2 6 3 2 4" xfId="10877" xr:uid="{00000000-0005-0000-0000-0000EB290000}"/>
    <cellStyle name="40% - Ênfase2 2 6 3 3" xfId="10878" xr:uid="{00000000-0005-0000-0000-0000EC290000}"/>
    <cellStyle name="40% - Ênfase2 2 6 3 3 2" xfId="10879" xr:uid="{00000000-0005-0000-0000-0000ED290000}"/>
    <cellStyle name="40% - Ênfase2 2 6 3 4" xfId="10880" xr:uid="{00000000-0005-0000-0000-0000EE290000}"/>
    <cellStyle name="40% - Ênfase2 2 6 3 4 2" xfId="10881" xr:uid="{00000000-0005-0000-0000-0000EF290000}"/>
    <cellStyle name="40% - Ênfase2 2 6 3 5" xfId="10882" xr:uid="{00000000-0005-0000-0000-0000F0290000}"/>
    <cellStyle name="40% - Ênfase2 2 6 4" xfId="10883" xr:uid="{00000000-0005-0000-0000-0000F1290000}"/>
    <cellStyle name="40% - Ênfase2 2 6 4 2" xfId="10884" xr:uid="{00000000-0005-0000-0000-0000F2290000}"/>
    <cellStyle name="40% - Ênfase2 2 6 4 2 2" xfId="10885" xr:uid="{00000000-0005-0000-0000-0000F3290000}"/>
    <cellStyle name="40% - Ênfase2 2 6 4 3" xfId="10886" xr:uid="{00000000-0005-0000-0000-0000F4290000}"/>
    <cellStyle name="40% - Ênfase2 2 6 4 3 2" xfId="10887" xr:uid="{00000000-0005-0000-0000-0000F5290000}"/>
    <cellStyle name="40% - Ênfase2 2 6 4 4" xfId="10888" xr:uid="{00000000-0005-0000-0000-0000F6290000}"/>
    <cellStyle name="40% - Ênfase2 2 6 5" xfId="10889" xr:uid="{00000000-0005-0000-0000-0000F7290000}"/>
    <cellStyle name="40% - Ênfase2 2 6 5 2" xfId="10890" xr:uid="{00000000-0005-0000-0000-0000F8290000}"/>
    <cellStyle name="40% - Ênfase2 2 6 5 2 2" xfId="10891" xr:uid="{00000000-0005-0000-0000-0000F9290000}"/>
    <cellStyle name="40% - Ênfase2 2 6 5 3" xfId="10892" xr:uid="{00000000-0005-0000-0000-0000FA290000}"/>
    <cellStyle name="40% - Ênfase2 2 6 6" xfId="10893" xr:uid="{00000000-0005-0000-0000-0000FB290000}"/>
    <cellStyle name="40% - Ênfase2 2 6 6 2" xfId="10894" xr:uid="{00000000-0005-0000-0000-0000FC290000}"/>
    <cellStyle name="40% - Ênfase2 2 6 7" xfId="10895" xr:uid="{00000000-0005-0000-0000-0000FD290000}"/>
    <cellStyle name="40% - Ênfase2 2 7" xfId="10896" xr:uid="{00000000-0005-0000-0000-0000FE290000}"/>
    <cellStyle name="40% - Ênfase2 2 7 2" xfId="10897" xr:uid="{00000000-0005-0000-0000-0000FF290000}"/>
    <cellStyle name="40% - Ênfase2 2 7 2 2" xfId="10898" xr:uid="{00000000-0005-0000-0000-0000002A0000}"/>
    <cellStyle name="40% - Ênfase2 2 7 2 2 2" xfId="10899" xr:uid="{00000000-0005-0000-0000-0000012A0000}"/>
    <cellStyle name="40% - Ênfase2 2 7 2 2 2 2" xfId="10900" xr:uid="{00000000-0005-0000-0000-0000022A0000}"/>
    <cellStyle name="40% - Ênfase2 2 7 2 2 3" xfId="10901" xr:uid="{00000000-0005-0000-0000-0000032A0000}"/>
    <cellStyle name="40% - Ênfase2 2 7 2 2 3 2" xfId="10902" xr:uid="{00000000-0005-0000-0000-0000042A0000}"/>
    <cellStyle name="40% - Ênfase2 2 7 2 2 4" xfId="10903" xr:uid="{00000000-0005-0000-0000-0000052A0000}"/>
    <cellStyle name="40% - Ênfase2 2 7 2 3" xfId="10904" xr:uid="{00000000-0005-0000-0000-0000062A0000}"/>
    <cellStyle name="40% - Ênfase2 2 7 2 3 2" xfId="10905" xr:uid="{00000000-0005-0000-0000-0000072A0000}"/>
    <cellStyle name="40% - Ênfase2 2 7 2 4" xfId="10906" xr:uid="{00000000-0005-0000-0000-0000082A0000}"/>
    <cellStyle name="40% - Ênfase2 2 7 2 4 2" xfId="10907" xr:uid="{00000000-0005-0000-0000-0000092A0000}"/>
    <cellStyle name="40% - Ênfase2 2 7 2 5" xfId="10908" xr:uid="{00000000-0005-0000-0000-00000A2A0000}"/>
    <cellStyle name="40% - Ênfase2 2 7 3" xfId="10909" xr:uid="{00000000-0005-0000-0000-00000B2A0000}"/>
    <cellStyle name="40% - Ênfase2 2 7 3 2" xfId="10910" xr:uid="{00000000-0005-0000-0000-00000C2A0000}"/>
    <cellStyle name="40% - Ênfase2 2 7 3 2 2" xfId="10911" xr:uid="{00000000-0005-0000-0000-00000D2A0000}"/>
    <cellStyle name="40% - Ênfase2 2 7 3 3" xfId="10912" xr:uid="{00000000-0005-0000-0000-00000E2A0000}"/>
    <cellStyle name="40% - Ênfase2 2 7 3 3 2" xfId="10913" xr:uid="{00000000-0005-0000-0000-00000F2A0000}"/>
    <cellStyle name="40% - Ênfase2 2 7 3 4" xfId="10914" xr:uid="{00000000-0005-0000-0000-0000102A0000}"/>
    <cellStyle name="40% - Ênfase2 2 7 4" xfId="10915" xr:uid="{00000000-0005-0000-0000-0000112A0000}"/>
    <cellStyle name="40% - Ênfase2 2 7 4 2" xfId="10916" xr:uid="{00000000-0005-0000-0000-0000122A0000}"/>
    <cellStyle name="40% - Ênfase2 2 7 4 2 2" xfId="10917" xr:uid="{00000000-0005-0000-0000-0000132A0000}"/>
    <cellStyle name="40% - Ênfase2 2 7 4 3" xfId="10918" xr:uid="{00000000-0005-0000-0000-0000142A0000}"/>
    <cellStyle name="40% - Ênfase2 2 7 5" xfId="10919" xr:uid="{00000000-0005-0000-0000-0000152A0000}"/>
    <cellStyle name="40% - Ênfase2 2 7 5 2" xfId="10920" xr:uid="{00000000-0005-0000-0000-0000162A0000}"/>
    <cellStyle name="40% - Ênfase2 2 7 6" xfId="10921" xr:uid="{00000000-0005-0000-0000-0000172A0000}"/>
    <cellStyle name="40% - Ênfase2 2 8" xfId="10922" xr:uid="{00000000-0005-0000-0000-0000182A0000}"/>
    <cellStyle name="40% - Ênfase2 2 8 2" xfId="10923" xr:uid="{00000000-0005-0000-0000-0000192A0000}"/>
    <cellStyle name="40% - Ênfase2 2 8 2 2" xfId="10924" xr:uid="{00000000-0005-0000-0000-00001A2A0000}"/>
    <cellStyle name="40% - Ênfase2 2 8 2 2 2" xfId="10925" xr:uid="{00000000-0005-0000-0000-00001B2A0000}"/>
    <cellStyle name="40% - Ênfase2 2 8 2 3" xfId="10926" xr:uid="{00000000-0005-0000-0000-00001C2A0000}"/>
    <cellStyle name="40% - Ênfase2 2 8 2 3 2" xfId="10927" xr:uid="{00000000-0005-0000-0000-00001D2A0000}"/>
    <cellStyle name="40% - Ênfase2 2 8 2 4" xfId="10928" xr:uid="{00000000-0005-0000-0000-00001E2A0000}"/>
    <cellStyle name="40% - Ênfase2 2 8 3" xfId="10929" xr:uid="{00000000-0005-0000-0000-00001F2A0000}"/>
    <cellStyle name="40% - Ênfase2 2 8 3 2" xfId="10930" xr:uid="{00000000-0005-0000-0000-0000202A0000}"/>
    <cellStyle name="40% - Ênfase2 2 8 3 2 2" xfId="10931" xr:uid="{00000000-0005-0000-0000-0000212A0000}"/>
    <cellStyle name="40% - Ênfase2 2 8 3 3" xfId="10932" xr:uid="{00000000-0005-0000-0000-0000222A0000}"/>
    <cellStyle name="40% - Ênfase2 2 8 3 3 2" xfId="10933" xr:uid="{00000000-0005-0000-0000-0000232A0000}"/>
    <cellStyle name="40% - Ênfase2 2 8 3 4" xfId="10934" xr:uid="{00000000-0005-0000-0000-0000242A0000}"/>
    <cellStyle name="40% - Ênfase2 2 8 4" xfId="10935" xr:uid="{00000000-0005-0000-0000-0000252A0000}"/>
    <cellStyle name="40% - Ênfase2 2 8 4 2" xfId="10936" xr:uid="{00000000-0005-0000-0000-0000262A0000}"/>
    <cellStyle name="40% - Ênfase2 2 8 5" xfId="10937" xr:uid="{00000000-0005-0000-0000-0000272A0000}"/>
    <cellStyle name="40% - Ênfase2 2 8 5 2" xfId="10938" xr:uid="{00000000-0005-0000-0000-0000282A0000}"/>
    <cellStyle name="40% - Ênfase2 2 8 6" xfId="10939" xr:uid="{00000000-0005-0000-0000-0000292A0000}"/>
    <cellStyle name="40% - Ênfase2 2 9" xfId="10940" xr:uid="{00000000-0005-0000-0000-00002A2A0000}"/>
    <cellStyle name="40% - Ênfase2 2 9 2" xfId="10941" xr:uid="{00000000-0005-0000-0000-00002B2A0000}"/>
    <cellStyle name="40% - Ênfase2 2 9 2 2" xfId="10942" xr:uid="{00000000-0005-0000-0000-00002C2A0000}"/>
    <cellStyle name="40% - Ênfase2 2 9 2 2 2" xfId="10943" xr:uid="{00000000-0005-0000-0000-00002D2A0000}"/>
    <cellStyle name="40% - Ênfase2 2 9 2 3" xfId="10944" xr:uid="{00000000-0005-0000-0000-00002E2A0000}"/>
    <cellStyle name="40% - Ênfase2 2 9 2 3 2" xfId="10945" xr:uid="{00000000-0005-0000-0000-00002F2A0000}"/>
    <cellStyle name="40% - Ênfase2 2 9 2 4" xfId="10946" xr:uid="{00000000-0005-0000-0000-0000302A0000}"/>
    <cellStyle name="40% - Ênfase2 2 9 3" xfId="10947" xr:uid="{00000000-0005-0000-0000-0000312A0000}"/>
    <cellStyle name="40% - Ênfase2 2 9 3 2" xfId="10948" xr:uid="{00000000-0005-0000-0000-0000322A0000}"/>
    <cellStyle name="40% - Ênfase2 2 9 3 2 2" xfId="10949" xr:uid="{00000000-0005-0000-0000-0000332A0000}"/>
    <cellStyle name="40% - Ênfase2 2 9 3 3" xfId="10950" xr:uid="{00000000-0005-0000-0000-0000342A0000}"/>
    <cellStyle name="40% - Ênfase2 2 9 3 3 2" xfId="10951" xr:uid="{00000000-0005-0000-0000-0000352A0000}"/>
    <cellStyle name="40% - Ênfase2 2 9 3 4" xfId="10952" xr:uid="{00000000-0005-0000-0000-0000362A0000}"/>
    <cellStyle name="40% - Ênfase2 2 9 4" xfId="10953" xr:uid="{00000000-0005-0000-0000-0000372A0000}"/>
    <cellStyle name="40% - Ênfase2 2 9 4 2" xfId="10954" xr:uid="{00000000-0005-0000-0000-0000382A0000}"/>
    <cellStyle name="40% - Ênfase2 2 9 5" xfId="10955" xr:uid="{00000000-0005-0000-0000-0000392A0000}"/>
    <cellStyle name="40% - Ênfase2 2 9 5 2" xfId="10956" xr:uid="{00000000-0005-0000-0000-00003A2A0000}"/>
    <cellStyle name="40% - Ênfase2 2 9 6" xfId="10957" xr:uid="{00000000-0005-0000-0000-00003B2A0000}"/>
    <cellStyle name="40% - Ênfase2 20" xfId="10958" xr:uid="{00000000-0005-0000-0000-00003C2A0000}"/>
    <cellStyle name="40% - Ênfase2 20 2" xfId="10959" xr:uid="{00000000-0005-0000-0000-00003D2A0000}"/>
    <cellStyle name="40% - Ênfase2 20 2 2" xfId="10960" xr:uid="{00000000-0005-0000-0000-00003E2A0000}"/>
    <cellStyle name="40% - Ênfase2 20 3" xfId="10961" xr:uid="{00000000-0005-0000-0000-00003F2A0000}"/>
    <cellStyle name="40% - Ênfase2 21" xfId="10962" xr:uid="{00000000-0005-0000-0000-0000402A0000}"/>
    <cellStyle name="40% - Ênfase2 21 2" xfId="10963" xr:uid="{00000000-0005-0000-0000-0000412A0000}"/>
    <cellStyle name="40% - Ênfase2 21 2 2" xfId="10964" xr:uid="{00000000-0005-0000-0000-0000422A0000}"/>
    <cellStyle name="40% - Ênfase2 21 3" xfId="10965" xr:uid="{00000000-0005-0000-0000-0000432A0000}"/>
    <cellStyle name="40% - Ênfase2 22" xfId="10966" xr:uid="{00000000-0005-0000-0000-0000442A0000}"/>
    <cellStyle name="40% - Ênfase2 22 2" xfId="10967" xr:uid="{00000000-0005-0000-0000-0000452A0000}"/>
    <cellStyle name="40% - Ênfase2 22 2 2" xfId="10968" xr:uid="{00000000-0005-0000-0000-0000462A0000}"/>
    <cellStyle name="40% - Ênfase2 22 3" xfId="10969" xr:uid="{00000000-0005-0000-0000-0000472A0000}"/>
    <cellStyle name="40% - Ênfase2 23" xfId="10970" xr:uid="{00000000-0005-0000-0000-0000482A0000}"/>
    <cellStyle name="40% - Ênfase2 23 2" xfId="10971" xr:uid="{00000000-0005-0000-0000-0000492A0000}"/>
    <cellStyle name="40% - Ênfase2 23 2 2" xfId="10972" xr:uid="{00000000-0005-0000-0000-00004A2A0000}"/>
    <cellStyle name="40% - Ênfase2 23 3" xfId="10973" xr:uid="{00000000-0005-0000-0000-00004B2A0000}"/>
    <cellStyle name="40% - Ênfase2 24" xfId="10974" xr:uid="{00000000-0005-0000-0000-00004C2A0000}"/>
    <cellStyle name="40% - Ênfase2 24 2" xfId="10975" xr:uid="{00000000-0005-0000-0000-00004D2A0000}"/>
    <cellStyle name="40% - Ênfase2 24 2 2" xfId="10976" xr:uid="{00000000-0005-0000-0000-00004E2A0000}"/>
    <cellStyle name="40% - Ênfase2 24 3" xfId="10977" xr:uid="{00000000-0005-0000-0000-00004F2A0000}"/>
    <cellStyle name="40% - Ênfase2 25" xfId="10978" xr:uid="{00000000-0005-0000-0000-0000502A0000}"/>
    <cellStyle name="40% - Ênfase2 25 2" xfId="10979" xr:uid="{00000000-0005-0000-0000-0000512A0000}"/>
    <cellStyle name="40% - Ênfase2 25 2 2" xfId="10980" xr:uid="{00000000-0005-0000-0000-0000522A0000}"/>
    <cellStyle name="40% - Ênfase2 25 3" xfId="10981" xr:uid="{00000000-0005-0000-0000-0000532A0000}"/>
    <cellStyle name="40% - Ênfase2 26" xfId="10982" xr:uid="{00000000-0005-0000-0000-0000542A0000}"/>
    <cellStyle name="40% - Ênfase2 26 2" xfId="10983" xr:uid="{00000000-0005-0000-0000-0000552A0000}"/>
    <cellStyle name="40% - Ênfase2 26 2 2" xfId="10984" xr:uid="{00000000-0005-0000-0000-0000562A0000}"/>
    <cellStyle name="40% - Ênfase2 26 3" xfId="10985" xr:uid="{00000000-0005-0000-0000-0000572A0000}"/>
    <cellStyle name="40% - Ênfase2 27" xfId="10986" xr:uid="{00000000-0005-0000-0000-0000582A0000}"/>
    <cellStyle name="40% - Ênfase2 27 2" xfId="10987" xr:uid="{00000000-0005-0000-0000-0000592A0000}"/>
    <cellStyle name="40% - Ênfase2 27 2 2" xfId="10988" xr:uid="{00000000-0005-0000-0000-00005A2A0000}"/>
    <cellStyle name="40% - Ênfase2 27 3" xfId="10989" xr:uid="{00000000-0005-0000-0000-00005B2A0000}"/>
    <cellStyle name="40% - Ênfase2 28" xfId="10990" xr:uid="{00000000-0005-0000-0000-00005C2A0000}"/>
    <cellStyle name="40% - Ênfase2 28 2" xfId="10991" xr:uid="{00000000-0005-0000-0000-00005D2A0000}"/>
    <cellStyle name="40% - Ênfase2 28 2 2" xfId="10992" xr:uid="{00000000-0005-0000-0000-00005E2A0000}"/>
    <cellStyle name="40% - Ênfase2 28 3" xfId="10993" xr:uid="{00000000-0005-0000-0000-00005F2A0000}"/>
    <cellStyle name="40% - Ênfase2 29" xfId="10994" xr:uid="{00000000-0005-0000-0000-0000602A0000}"/>
    <cellStyle name="40% - Ênfase2 3" xfId="10995" xr:uid="{00000000-0005-0000-0000-0000612A0000}"/>
    <cellStyle name="40% - Ênfase2 3 10" xfId="10996" xr:uid="{00000000-0005-0000-0000-0000622A0000}"/>
    <cellStyle name="40% - Ênfase2 3 10 2" xfId="10997" xr:uid="{00000000-0005-0000-0000-0000632A0000}"/>
    <cellStyle name="40% - Ênfase2 3 10 2 2" xfId="10998" xr:uid="{00000000-0005-0000-0000-0000642A0000}"/>
    <cellStyle name="40% - Ênfase2 3 10 3" xfId="10999" xr:uid="{00000000-0005-0000-0000-0000652A0000}"/>
    <cellStyle name="40% - Ênfase2 3 11" xfId="11000" xr:uid="{00000000-0005-0000-0000-0000662A0000}"/>
    <cellStyle name="40% - Ênfase2 3 11 2" xfId="11001" xr:uid="{00000000-0005-0000-0000-0000672A0000}"/>
    <cellStyle name="40% - Ênfase2 3 12" xfId="11002" xr:uid="{00000000-0005-0000-0000-0000682A0000}"/>
    <cellStyle name="40% - Ênfase2 3 2" xfId="11003" xr:uid="{00000000-0005-0000-0000-0000692A0000}"/>
    <cellStyle name="40% - Ênfase2 3 2 10" xfId="11004" xr:uid="{00000000-0005-0000-0000-00006A2A0000}"/>
    <cellStyle name="40% - Ênfase2 3 2 2" xfId="11005" xr:uid="{00000000-0005-0000-0000-00006B2A0000}"/>
    <cellStyle name="40% - Ênfase2 3 2 2 2" xfId="11006" xr:uid="{00000000-0005-0000-0000-00006C2A0000}"/>
    <cellStyle name="40% - Ênfase2 3 2 2 2 2" xfId="11007" xr:uid="{00000000-0005-0000-0000-00006D2A0000}"/>
    <cellStyle name="40% - Ênfase2 3 2 2 2 2 2" xfId="11008" xr:uid="{00000000-0005-0000-0000-00006E2A0000}"/>
    <cellStyle name="40% - Ênfase2 3 2 2 2 2 2 2" xfId="11009" xr:uid="{00000000-0005-0000-0000-00006F2A0000}"/>
    <cellStyle name="40% - Ênfase2 3 2 2 2 2 3" xfId="11010" xr:uid="{00000000-0005-0000-0000-0000702A0000}"/>
    <cellStyle name="40% - Ênfase2 3 2 2 2 2 3 2" xfId="11011" xr:uid="{00000000-0005-0000-0000-0000712A0000}"/>
    <cellStyle name="40% - Ênfase2 3 2 2 2 2 4" xfId="11012" xr:uid="{00000000-0005-0000-0000-0000722A0000}"/>
    <cellStyle name="40% - Ênfase2 3 2 2 2 3" xfId="11013" xr:uid="{00000000-0005-0000-0000-0000732A0000}"/>
    <cellStyle name="40% - Ênfase2 3 2 2 2 3 2" xfId="11014" xr:uid="{00000000-0005-0000-0000-0000742A0000}"/>
    <cellStyle name="40% - Ênfase2 3 2 2 2 4" xfId="11015" xr:uid="{00000000-0005-0000-0000-0000752A0000}"/>
    <cellStyle name="40% - Ênfase2 3 2 2 2 4 2" xfId="11016" xr:uid="{00000000-0005-0000-0000-0000762A0000}"/>
    <cellStyle name="40% - Ênfase2 3 2 2 2 5" xfId="11017" xr:uid="{00000000-0005-0000-0000-0000772A0000}"/>
    <cellStyle name="40% - Ênfase2 3 2 2 3" xfId="11018" xr:uid="{00000000-0005-0000-0000-0000782A0000}"/>
    <cellStyle name="40% - Ênfase2 3 2 2 3 2" xfId="11019" xr:uid="{00000000-0005-0000-0000-0000792A0000}"/>
    <cellStyle name="40% - Ênfase2 3 2 2 3 2 2" xfId="11020" xr:uid="{00000000-0005-0000-0000-00007A2A0000}"/>
    <cellStyle name="40% - Ênfase2 3 2 2 3 3" xfId="11021" xr:uid="{00000000-0005-0000-0000-00007B2A0000}"/>
    <cellStyle name="40% - Ênfase2 3 2 2 3 3 2" xfId="11022" xr:uid="{00000000-0005-0000-0000-00007C2A0000}"/>
    <cellStyle name="40% - Ênfase2 3 2 2 3 4" xfId="11023" xr:uid="{00000000-0005-0000-0000-00007D2A0000}"/>
    <cellStyle name="40% - Ênfase2 3 2 2 4" xfId="11024" xr:uid="{00000000-0005-0000-0000-00007E2A0000}"/>
    <cellStyle name="40% - Ênfase2 3 2 2 4 2" xfId="11025" xr:uid="{00000000-0005-0000-0000-00007F2A0000}"/>
    <cellStyle name="40% - Ênfase2 3 2 2 4 2 2" xfId="11026" xr:uid="{00000000-0005-0000-0000-0000802A0000}"/>
    <cellStyle name="40% - Ênfase2 3 2 2 4 3" xfId="11027" xr:uid="{00000000-0005-0000-0000-0000812A0000}"/>
    <cellStyle name="40% - Ênfase2 3 2 2 5" xfId="11028" xr:uid="{00000000-0005-0000-0000-0000822A0000}"/>
    <cellStyle name="40% - Ênfase2 3 2 2 5 2" xfId="11029" xr:uid="{00000000-0005-0000-0000-0000832A0000}"/>
    <cellStyle name="40% - Ênfase2 3 2 2 6" xfId="11030" xr:uid="{00000000-0005-0000-0000-0000842A0000}"/>
    <cellStyle name="40% - Ênfase2 3 2 3" xfId="11031" xr:uid="{00000000-0005-0000-0000-0000852A0000}"/>
    <cellStyle name="40% - Ênfase2 3 2 3 2" xfId="11032" xr:uid="{00000000-0005-0000-0000-0000862A0000}"/>
    <cellStyle name="40% - Ênfase2 3 2 3 2 2" xfId="11033" xr:uid="{00000000-0005-0000-0000-0000872A0000}"/>
    <cellStyle name="40% - Ênfase2 3 2 3 2 2 2" xfId="11034" xr:uid="{00000000-0005-0000-0000-0000882A0000}"/>
    <cellStyle name="40% - Ênfase2 3 2 3 2 3" xfId="11035" xr:uid="{00000000-0005-0000-0000-0000892A0000}"/>
    <cellStyle name="40% - Ênfase2 3 2 3 2 3 2" xfId="11036" xr:uid="{00000000-0005-0000-0000-00008A2A0000}"/>
    <cellStyle name="40% - Ênfase2 3 2 3 2 4" xfId="11037" xr:uid="{00000000-0005-0000-0000-00008B2A0000}"/>
    <cellStyle name="40% - Ênfase2 3 2 3 3" xfId="11038" xr:uid="{00000000-0005-0000-0000-00008C2A0000}"/>
    <cellStyle name="40% - Ênfase2 3 2 3 3 2" xfId="11039" xr:uid="{00000000-0005-0000-0000-00008D2A0000}"/>
    <cellStyle name="40% - Ênfase2 3 2 3 3 2 2" xfId="11040" xr:uid="{00000000-0005-0000-0000-00008E2A0000}"/>
    <cellStyle name="40% - Ênfase2 3 2 3 3 3" xfId="11041" xr:uid="{00000000-0005-0000-0000-00008F2A0000}"/>
    <cellStyle name="40% - Ênfase2 3 2 3 3 3 2" xfId="11042" xr:uid="{00000000-0005-0000-0000-0000902A0000}"/>
    <cellStyle name="40% - Ênfase2 3 2 3 3 4" xfId="11043" xr:uid="{00000000-0005-0000-0000-0000912A0000}"/>
    <cellStyle name="40% - Ênfase2 3 2 3 4" xfId="11044" xr:uid="{00000000-0005-0000-0000-0000922A0000}"/>
    <cellStyle name="40% - Ênfase2 3 2 3 4 2" xfId="11045" xr:uid="{00000000-0005-0000-0000-0000932A0000}"/>
    <cellStyle name="40% - Ênfase2 3 2 3 5" xfId="11046" xr:uid="{00000000-0005-0000-0000-0000942A0000}"/>
    <cellStyle name="40% - Ênfase2 3 2 3 5 2" xfId="11047" xr:uid="{00000000-0005-0000-0000-0000952A0000}"/>
    <cellStyle name="40% - Ênfase2 3 2 3 6" xfId="11048" xr:uid="{00000000-0005-0000-0000-0000962A0000}"/>
    <cellStyle name="40% - Ênfase2 3 2 4" xfId="11049" xr:uid="{00000000-0005-0000-0000-0000972A0000}"/>
    <cellStyle name="40% - Ênfase2 3 2 4 2" xfId="11050" xr:uid="{00000000-0005-0000-0000-0000982A0000}"/>
    <cellStyle name="40% - Ênfase2 3 2 4 2 2" xfId="11051" xr:uid="{00000000-0005-0000-0000-0000992A0000}"/>
    <cellStyle name="40% - Ênfase2 3 2 4 3" xfId="11052" xr:uid="{00000000-0005-0000-0000-00009A2A0000}"/>
    <cellStyle name="40% - Ênfase2 3 2 4 3 2" xfId="11053" xr:uid="{00000000-0005-0000-0000-00009B2A0000}"/>
    <cellStyle name="40% - Ênfase2 3 2 4 4" xfId="11054" xr:uid="{00000000-0005-0000-0000-00009C2A0000}"/>
    <cellStyle name="40% - Ênfase2 3 2 5" xfId="11055" xr:uid="{00000000-0005-0000-0000-00009D2A0000}"/>
    <cellStyle name="40% - Ênfase2 3 2 5 2" xfId="11056" xr:uid="{00000000-0005-0000-0000-00009E2A0000}"/>
    <cellStyle name="40% - Ênfase2 3 2 5 2 2" xfId="11057" xr:uid="{00000000-0005-0000-0000-00009F2A0000}"/>
    <cellStyle name="40% - Ênfase2 3 2 5 3" xfId="11058" xr:uid="{00000000-0005-0000-0000-0000A02A0000}"/>
    <cellStyle name="40% - Ênfase2 3 2 6" xfId="11059" xr:uid="{00000000-0005-0000-0000-0000A12A0000}"/>
    <cellStyle name="40% - Ênfase2 3 2 6 2" xfId="11060" xr:uid="{00000000-0005-0000-0000-0000A22A0000}"/>
    <cellStyle name="40% - Ênfase2 3 2 6 2 2" xfId="11061" xr:uid="{00000000-0005-0000-0000-0000A32A0000}"/>
    <cellStyle name="40% - Ênfase2 3 2 6 3" xfId="11062" xr:uid="{00000000-0005-0000-0000-0000A42A0000}"/>
    <cellStyle name="40% - Ênfase2 3 2 7" xfId="11063" xr:uid="{00000000-0005-0000-0000-0000A52A0000}"/>
    <cellStyle name="40% - Ênfase2 3 2 7 2" xfId="11064" xr:uid="{00000000-0005-0000-0000-0000A62A0000}"/>
    <cellStyle name="40% - Ênfase2 3 2 7 2 2" xfId="11065" xr:uid="{00000000-0005-0000-0000-0000A72A0000}"/>
    <cellStyle name="40% - Ênfase2 3 2 7 3" xfId="11066" xr:uid="{00000000-0005-0000-0000-0000A82A0000}"/>
    <cellStyle name="40% - Ênfase2 3 2 8" xfId="11067" xr:uid="{00000000-0005-0000-0000-0000A92A0000}"/>
    <cellStyle name="40% - Ênfase2 3 2 8 2" xfId="11068" xr:uid="{00000000-0005-0000-0000-0000AA2A0000}"/>
    <cellStyle name="40% - Ênfase2 3 2 8 2 2" xfId="11069" xr:uid="{00000000-0005-0000-0000-0000AB2A0000}"/>
    <cellStyle name="40% - Ênfase2 3 2 8 3" xfId="11070" xr:uid="{00000000-0005-0000-0000-0000AC2A0000}"/>
    <cellStyle name="40% - Ênfase2 3 2 9" xfId="11071" xr:uid="{00000000-0005-0000-0000-0000AD2A0000}"/>
    <cellStyle name="40% - Ênfase2 3 2 9 2" xfId="11072" xr:uid="{00000000-0005-0000-0000-0000AE2A0000}"/>
    <cellStyle name="40% - Ênfase2 3 3" xfId="11073" xr:uid="{00000000-0005-0000-0000-0000AF2A0000}"/>
    <cellStyle name="40% - Ênfase2 3 3 2" xfId="11074" xr:uid="{00000000-0005-0000-0000-0000B02A0000}"/>
    <cellStyle name="40% - Ênfase2 3 3 2 2" xfId="11075" xr:uid="{00000000-0005-0000-0000-0000B12A0000}"/>
    <cellStyle name="40% - Ênfase2 3 3 2 2 2" xfId="11076" xr:uid="{00000000-0005-0000-0000-0000B22A0000}"/>
    <cellStyle name="40% - Ênfase2 3 3 2 2 2 2" xfId="11077" xr:uid="{00000000-0005-0000-0000-0000B32A0000}"/>
    <cellStyle name="40% - Ênfase2 3 3 2 2 3" xfId="11078" xr:uid="{00000000-0005-0000-0000-0000B42A0000}"/>
    <cellStyle name="40% - Ênfase2 3 3 2 2 3 2" xfId="11079" xr:uid="{00000000-0005-0000-0000-0000B52A0000}"/>
    <cellStyle name="40% - Ênfase2 3 3 2 2 4" xfId="11080" xr:uid="{00000000-0005-0000-0000-0000B62A0000}"/>
    <cellStyle name="40% - Ênfase2 3 3 2 3" xfId="11081" xr:uid="{00000000-0005-0000-0000-0000B72A0000}"/>
    <cellStyle name="40% - Ênfase2 3 3 2 3 2" xfId="11082" xr:uid="{00000000-0005-0000-0000-0000B82A0000}"/>
    <cellStyle name="40% - Ênfase2 3 3 2 4" xfId="11083" xr:uid="{00000000-0005-0000-0000-0000B92A0000}"/>
    <cellStyle name="40% - Ênfase2 3 3 2 4 2" xfId="11084" xr:uid="{00000000-0005-0000-0000-0000BA2A0000}"/>
    <cellStyle name="40% - Ênfase2 3 3 2 5" xfId="11085" xr:uid="{00000000-0005-0000-0000-0000BB2A0000}"/>
    <cellStyle name="40% - Ênfase2 3 3 3" xfId="11086" xr:uid="{00000000-0005-0000-0000-0000BC2A0000}"/>
    <cellStyle name="40% - Ênfase2 3 3 3 2" xfId="11087" xr:uid="{00000000-0005-0000-0000-0000BD2A0000}"/>
    <cellStyle name="40% - Ênfase2 3 3 3 2 2" xfId="11088" xr:uid="{00000000-0005-0000-0000-0000BE2A0000}"/>
    <cellStyle name="40% - Ênfase2 3 3 3 3" xfId="11089" xr:uid="{00000000-0005-0000-0000-0000BF2A0000}"/>
    <cellStyle name="40% - Ênfase2 3 3 3 3 2" xfId="11090" xr:uid="{00000000-0005-0000-0000-0000C02A0000}"/>
    <cellStyle name="40% - Ênfase2 3 3 3 4" xfId="11091" xr:uid="{00000000-0005-0000-0000-0000C12A0000}"/>
    <cellStyle name="40% - Ênfase2 3 3 4" xfId="11092" xr:uid="{00000000-0005-0000-0000-0000C22A0000}"/>
    <cellStyle name="40% - Ênfase2 3 3 4 2" xfId="11093" xr:uid="{00000000-0005-0000-0000-0000C32A0000}"/>
    <cellStyle name="40% - Ênfase2 3 3 4 2 2" xfId="11094" xr:uid="{00000000-0005-0000-0000-0000C42A0000}"/>
    <cellStyle name="40% - Ênfase2 3 3 4 3" xfId="11095" xr:uid="{00000000-0005-0000-0000-0000C52A0000}"/>
    <cellStyle name="40% - Ênfase2 3 3 5" xfId="11096" xr:uid="{00000000-0005-0000-0000-0000C62A0000}"/>
    <cellStyle name="40% - Ênfase2 3 3 5 2" xfId="11097" xr:uid="{00000000-0005-0000-0000-0000C72A0000}"/>
    <cellStyle name="40% - Ênfase2 3 3 6" xfId="11098" xr:uid="{00000000-0005-0000-0000-0000C82A0000}"/>
    <cellStyle name="40% - Ênfase2 3 4" xfId="11099" xr:uid="{00000000-0005-0000-0000-0000C92A0000}"/>
    <cellStyle name="40% - Ênfase2 3 4 2" xfId="11100" xr:uid="{00000000-0005-0000-0000-0000CA2A0000}"/>
    <cellStyle name="40% - Ênfase2 3 4 2 2" xfId="11101" xr:uid="{00000000-0005-0000-0000-0000CB2A0000}"/>
    <cellStyle name="40% - Ênfase2 3 4 2 2 2" xfId="11102" xr:uid="{00000000-0005-0000-0000-0000CC2A0000}"/>
    <cellStyle name="40% - Ênfase2 3 4 2 3" xfId="11103" xr:uid="{00000000-0005-0000-0000-0000CD2A0000}"/>
    <cellStyle name="40% - Ênfase2 3 4 2 3 2" xfId="11104" xr:uid="{00000000-0005-0000-0000-0000CE2A0000}"/>
    <cellStyle name="40% - Ênfase2 3 4 2 4" xfId="11105" xr:uid="{00000000-0005-0000-0000-0000CF2A0000}"/>
    <cellStyle name="40% - Ênfase2 3 4 3" xfId="11106" xr:uid="{00000000-0005-0000-0000-0000D02A0000}"/>
    <cellStyle name="40% - Ênfase2 3 4 3 2" xfId="11107" xr:uid="{00000000-0005-0000-0000-0000D12A0000}"/>
    <cellStyle name="40% - Ênfase2 3 4 3 2 2" xfId="11108" xr:uid="{00000000-0005-0000-0000-0000D22A0000}"/>
    <cellStyle name="40% - Ênfase2 3 4 3 3" xfId="11109" xr:uid="{00000000-0005-0000-0000-0000D32A0000}"/>
    <cellStyle name="40% - Ênfase2 3 4 3 3 2" xfId="11110" xr:uid="{00000000-0005-0000-0000-0000D42A0000}"/>
    <cellStyle name="40% - Ênfase2 3 4 3 4" xfId="11111" xr:uid="{00000000-0005-0000-0000-0000D52A0000}"/>
    <cellStyle name="40% - Ênfase2 3 4 4" xfId="11112" xr:uid="{00000000-0005-0000-0000-0000D62A0000}"/>
    <cellStyle name="40% - Ênfase2 3 4 4 2" xfId="11113" xr:uid="{00000000-0005-0000-0000-0000D72A0000}"/>
    <cellStyle name="40% - Ênfase2 3 4 5" xfId="11114" xr:uid="{00000000-0005-0000-0000-0000D82A0000}"/>
    <cellStyle name="40% - Ênfase2 3 4 5 2" xfId="11115" xr:uid="{00000000-0005-0000-0000-0000D92A0000}"/>
    <cellStyle name="40% - Ênfase2 3 4 6" xfId="11116" xr:uid="{00000000-0005-0000-0000-0000DA2A0000}"/>
    <cellStyle name="40% - Ênfase2 3 5" xfId="11117" xr:uid="{00000000-0005-0000-0000-0000DB2A0000}"/>
    <cellStyle name="40% - Ênfase2 3 5 2" xfId="11118" xr:uid="{00000000-0005-0000-0000-0000DC2A0000}"/>
    <cellStyle name="40% - Ênfase2 3 5 2 2" xfId="11119" xr:uid="{00000000-0005-0000-0000-0000DD2A0000}"/>
    <cellStyle name="40% - Ênfase2 3 5 2 2 2" xfId="11120" xr:uid="{00000000-0005-0000-0000-0000DE2A0000}"/>
    <cellStyle name="40% - Ênfase2 3 5 2 3" xfId="11121" xr:uid="{00000000-0005-0000-0000-0000DF2A0000}"/>
    <cellStyle name="40% - Ênfase2 3 5 2 3 2" xfId="11122" xr:uid="{00000000-0005-0000-0000-0000E02A0000}"/>
    <cellStyle name="40% - Ênfase2 3 5 2 4" xfId="11123" xr:uid="{00000000-0005-0000-0000-0000E12A0000}"/>
    <cellStyle name="40% - Ênfase2 3 5 3" xfId="11124" xr:uid="{00000000-0005-0000-0000-0000E22A0000}"/>
    <cellStyle name="40% - Ênfase2 3 5 3 2" xfId="11125" xr:uid="{00000000-0005-0000-0000-0000E32A0000}"/>
    <cellStyle name="40% - Ênfase2 3 5 3 2 2" xfId="11126" xr:uid="{00000000-0005-0000-0000-0000E42A0000}"/>
    <cellStyle name="40% - Ênfase2 3 5 3 3" xfId="11127" xr:uid="{00000000-0005-0000-0000-0000E52A0000}"/>
    <cellStyle name="40% - Ênfase2 3 5 3 3 2" xfId="11128" xr:uid="{00000000-0005-0000-0000-0000E62A0000}"/>
    <cellStyle name="40% - Ênfase2 3 5 3 4" xfId="11129" xr:uid="{00000000-0005-0000-0000-0000E72A0000}"/>
    <cellStyle name="40% - Ênfase2 3 5 4" xfId="11130" xr:uid="{00000000-0005-0000-0000-0000E82A0000}"/>
    <cellStyle name="40% - Ênfase2 3 5 4 2" xfId="11131" xr:uid="{00000000-0005-0000-0000-0000E92A0000}"/>
    <cellStyle name="40% - Ênfase2 3 5 5" xfId="11132" xr:uid="{00000000-0005-0000-0000-0000EA2A0000}"/>
    <cellStyle name="40% - Ênfase2 3 5 5 2" xfId="11133" xr:uid="{00000000-0005-0000-0000-0000EB2A0000}"/>
    <cellStyle name="40% - Ênfase2 3 5 6" xfId="11134" xr:uid="{00000000-0005-0000-0000-0000EC2A0000}"/>
    <cellStyle name="40% - Ênfase2 3 6" xfId="11135" xr:uid="{00000000-0005-0000-0000-0000ED2A0000}"/>
    <cellStyle name="40% - Ênfase2 3 6 2" xfId="11136" xr:uid="{00000000-0005-0000-0000-0000EE2A0000}"/>
    <cellStyle name="40% - Ênfase2 3 6 2 2" xfId="11137" xr:uid="{00000000-0005-0000-0000-0000EF2A0000}"/>
    <cellStyle name="40% - Ênfase2 3 6 3" xfId="11138" xr:uid="{00000000-0005-0000-0000-0000F02A0000}"/>
    <cellStyle name="40% - Ênfase2 3 6 3 2" xfId="11139" xr:uid="{00000000-0005-0000-0000-0000F12A0000}"/>
    <cellStyle name="40% - Ênfase2 3 6 4" xfId="11140" xr:uid="{00000000-0005-0000-0000-0000F22A0000}"/>
    <cellStyle name="40% - Ênfase2 3 7" xfId="11141" xr:uid="{00000000-0005-0000-0000-0000F32A0000}"/>
    <cellStyle name="40% - Ênfase2 3 7 2" xfId="11142" xr:uid="{00000000-0005-0000-0000-0000F42A0000}"/>
    <cellStyle name="40% - Ênfase2 3 7 2 2" xfId="11143" xr:uid="{00000000-0005-0000-0000-0000F52A0000}"/>
    <cellStyle name="40% - Ênfase2 3 7 3" xfId="11144" xr:uid="{00000000-0005-0000-0000-0000F62A0000}"/>
    <cellStyle name="40% - Ênfase2 3 8" xfId="11145" xr:uid="{00000000-0005-0000-0000-0000F72A0000}"/>
    <cellStyle name="40% - Ênfase2 3 8 2" xfId="11146" xr:uid="{00000000-0005-0000-0000-0000F82A0000}"/>
    <cellStyle name="40% - Ênfase2 3 8 2 2" xfId="11147" xr:uid="{00000000-0005-0000-0000-0000F92A0000}"/>
    <cellStyle name="40% - Ênfase2 3 8 3" xfId="11148" xr:uid="{00000000-0005-0000-0000-0000FA2A0000}"/>
    <cellStyle name="40% - Ênfase2 3 9" xfId="11149" xr:uid="{00000000-0005-0000-0000-0000FB2A0000}"/>
    <cellStyle name="40% - Ênfase2 3 9 2" xfId="11150" xr:uid="{00000000-0005-0000-0000-0000FC2A0000}"/>
    <cellStyle name="40% - Ênfase2 3 9 2 2" xfId="11151" xr:uid="{00000000-0005-0000-0000-0000FD2A0000}"/>
    <cellStyle name="40% - Ênfase2 3 9 3" xfId="11152" xr:uid="{00000000-0005-0000-0000-0000FE2A0000}"/>
    <cellStyle name="40% - Ênfase2 30" xfId="11153" xr:uid="{00000000-0005-0000-0000-0000FF2A0000}"/>
    <cellStyle name="40% - Ênfase2 31" xfId="11154" xr:uid="{00000000-0005-0000-0000-0000002B0000}"/>
    <cellStyle name="40% - Ênfase2 32" xfId="11155" xr:uid="{00000000-0005-0000-0000-0000012B0000}"/>
    <cellStyle name="40% - Ênfase2 33" xfId="11156" xr:uid="{00000000-0005-0000-0000-0000022B0000}"/>
    <cellStyle name="40% - Ênfase2 4" xfId="11157" xr:uid="{00000000-0005-0000-0000-0000032B0000}"/>
    <cellStyle name="40% - Ênfase2 4 10" xfId="11158" xr:uid="{00000000-0005-0000-0000-0000042B0000}"/>
    <cellStyle name="40% - Ênfase2 4 10 2" xfId="11159" xr:uid="{00000000-0005-0000-0000-0000052B0000}"/>
    <cellStyle name="40% - Ênfase2 4 11" xfId="11160" xr:uid="{00000000-0005-0000-0000-0000062B0000}"/>
    <cellStyle name="40% - Ênfase2 4 2" xfId="11161" xr:uid="{00000000-0005-0000-0000-0000072B0000}"/>
    <cellStyle name="40% - Ênfase2 4 2 2" xfId="11162" xr:uid="{00000000-0005-0000-0000-0000082B0000}"/>
    <cellStyle name="40% - Ênfase2 4 2 2 2" xfId="11163" xr:uid="{00000000-0005-0000-0000-0000092B0000}"/>
    <cellStyle name="40% - Ênfase2 4 2 2 2 2" xfId="11164" xr:uid="{00000000-0005-0000-0000-00000A2B0000}"/>
    <cellStyle name="40% - Ênfase2 4 2 2 2 2 2" xfId="11165" xr:uid="{00000000-0005-0000-0000-00000B2B0000}"/>
    <cellStyle name="40% - Ênfase2 4 2 2 2 3" xfId="11166" xr:uid="{00000000-0005-0000-0000-00000C2B0000}"/>
    <cellStyle name="40% - Ênfase2 4 2 2 2 3 2" xfId="11167" xr:uid="{00000000-0005-0000-0000-00000D2B0000}"/>
    <cellStyle name="40% - Ênfase2 4 2 2 2 4" xfId="11168" xr:uid="{00000000-0005-0000-0000-00000E2B0000}"/>
    <cellStyle name="40% - Ênfase2 4 2 2 3" xfId="11169" xr:uid="{00000000-0005-0000-0000-00000F2B0000}"/>
    <cellStyle name="40% - Ênfase2 4 2 2 3 2" xfId="11170" xr:uid="{00000000-0005-0000-0000-0000102B0000}"/>
    <cellStyle name="40% - Ênfase2 4 2 2 3 2 2" xfId="11171" xr:uid="{00000000-0005-0000-0000-0000112B0000}"/>
    <cellStyle name="40% - Ênfase2 4 2 2 3 3" xfId="11172" xr:uid="{00000000-0005-0000-0000-0000122B0000}"/>
    <cellStyle name="40% - Ênfase2 4 2 2 3 3 2" xfId="11173" xr:uid="{00000000-0005-0000-0000-0000132B0000}"/>
    <cellStyle name="40% - Ênfase2 4 2 2 3 4" xfId="11174" xr:uid="{00000000-0005-0000-0000-0000142B0000}"/>
    <cellStyle name="40% - Ênfase2 4 2 2 4" xfId="11175" xr:uid="{00000000-0005-0000-0000-0000152B0000}"/>
    <cellStyle name="40% - Ênfase2 4 2 2 4 2" xfId="11176" xr:uid="{00000000-0005-0000-0000-0000162B0000}"/>
    <cellStyle name="40% - Ênfase2 4 2 2 5" xfId="11177" xr:uid="{00000000-0005-0000-0000-0000172B0000}"/>
    <cellStyle name="40% - Ênfase2 4 2 2 5 2" xfId="11178" xr:uid="{00000000-0005-0000-0000-0000182B0000}"/>
    <cellStyle name="40% - Ênfase2 4 2 2 6" xfId="11179" xr:uid="{00000000-0005-0000-0000-0000192B0000}"/>
    <cellStyle name="40% - Ênfase2 4 2 3" xfId="11180" xr:uid="{00000000-0005-0000-0000-00001A2B0000}"/>
    <cellStyle name="40% - Ênfase2 4 2 3 2" xfId="11181" xr:uid="{00000000-0005-0000-0000-00001B2B0000}"/>
    <cellStyle name="40% - Ênfase2 4 2 3 2 2" xfId="11182" xr:uid="{00000000-0005-0000-0000-00001C2B0000}"/>
    <cellStyle name="40% - Ênfase2 4 2 3 3" xfId="11183" xr:uid="{00000000-0005-0000-0000-00001D2B0000}"/>
    <cellStyle name="40% - Ênfase2 4 2 3 3 2" xfId="11184" xr:uid="{00000000-0005-0000-0000-00001E2B0000}"/>
    <cellStyle name="40% - Ênfase2 4 2 3 4" xfId="11185" xr:uid="{00000000-0005-0000-0000-00001F2B0000}"/>
    <cellStyle name="40% - Ênfase2 4 2 4" xfId="11186" xr:uid="{00000000-0005-0000-0000-0000202B0000}"/>
    <cellStyle name="40% - Ênfase2 4 2 4 2" xfId="11187" xr:uid="{00000000-0005-0000-0000-0000212B0000}"/>
    <cellStyle name="40% - Ênfase2 4 2 4 2 2" xfId="11188" xr:uid="{00000000-0005-0000-0000-0000222B0000}"/>
    <cellStyle name="40% - Ênfase2 4 2 4 3" xfId="11189" xr:uid="{00000000-0005-0000-0000-0000232B0000}"/>
    <cellStyle name="40% - Ênfase2 4 2 5" xfId="11190" xr:uid="{00000000-0005-0000-0000-0000242B0000}"/>
    <cellStyle name="40% - Ênfase2 4 2 5 2" xfId="11191" xr:uid="{00000000-0005-0000-0000-0000252B0000}"/>
    <cellStyle name="40% - Ênfase2 4 2 5 2 2" xfId="11192" xr:uid="{00000000-0005-0000-0000-0000262B0000}"/>
    <cellStyle name="40% - Ênfase2 4 2 5 3" xfId="11193" xr:uid="{00000000-0005-0000-0000-0000272B0000}"/>
    <cellStyle name="40% - Ênfase2 4 2 6" xfId="11194" xr:uid="{00000000-0005-0000-0000-0000282B0000}"/>
    <cellStyle name="40% - Ênfase2 4 2 6 2" xfId="11195" xr:uid="{00000000-0005-0000-0000-0000292B0000}"/>
    <cellStyle name="40% - Ênfase2 4 2 6 2 2" xfId="11196" xr:uid="{00000000-0005-0000-0000-00002A2B0000}"/>
    <cellStyle name="40% - Ênfase2 4 2 6 3" xfId="11197" xr:uid="{00000000-0005-0000-0000-00002B2B0000}"/>
    <cellStyle name="40% - Ênfase2 4 2 7" xfId="11198" xr:uid="{00000000-0005-0000-0000-00002C2B0000}"/>
    <cellStyle name="40% - Ênfase2 4 2 7 2" xfId="11199" xr:uid="{00000000-0005-0000-0000-00002D2B0000}"/>
    <cellStyle name="40% - Ênfase2 4 2 7 2 2" xfId="11200" xr:uid="{00000000-0005-0000-0000-00002E2B0000}"/>
    <cellStyle name="40% - Ênfase2 4 2 7 3" xfId="11201" xr:uid="{00000000-0005-0000-0000-00002F2B0000}"/>
    <cellStyle name="40% - Ênfase2 4 2 8" xfId="11202" xr:uid="{00000000-0005-0000-0000-0000302B0000}"/>
    <cellStyle name="40% - Ênfase2 4 2 8 2" xfId="11203" xr:uid="{00000000-0005-0000-0000-0000312B0000}"/>
    <cellStyle name="40% - Ênfase2 4 2 9" xfId="11204" xr:uid="{00000000-0005-0000-0000-0000322B0000}"/>
    <cellStyle name="40% - Ênfase2 4 3" xfId="11205" xr:uid="{00000000-0005-0000-0000-0000332B0000}"/>
    <cellStyle name="40% - Ênfase2 4 3 2" xfId="11206" xr:uid="{00000000-0005-0000-0000-0000342B0000}"/>
    <cellStyle name="40% - Ênfase2 4 3 2 2" xfId="11207" xr:uid="{00000000-0005-0000-0000-0000352B0000}"/>
    <cellStyle name="40% - Ênfase2 4 3 2 2 2" xfId="11208" xr:uid="{00000000-0005-0000-0000-0000362B0000}"/>
    <cellStyle name="40% - Ênfase2 4 3 2 3" xfId="11209" xr:uid="{00000000-0005-0000-0000-0000372B0000}"/>
    <cellStyle name="40% - Ênfase2 4 3 2 3 2" xfId="11210" xr:uid="{00000000-0005-0000-0000-0000382B0000}"/>
    <cellStyle name="40% - Ênfase2 4 3 2 4" xfId="11211" xr:uid="{00000000-0005-0000-0000-0000392B0000}"/>
    <cellStyle name="40% - Ênfase2 4 3 3" xfId="11212" xr:uid="{00000000-0005-0000-0000-00003A2B0000}"/>
    <cellStyle name="40% - Ênfase2 4 3 3 2" xfId="11213" xr:uid="{00000000-0005-0000-0000-00003B2B0000}"/>
    <cellStyle name="40% - Ênfase2 4 3 3 2 2" xfId="11214" xr:uid="{00000000-0005-0000-0000-00003C2B0000}"/>
    <cellStyle name="40% - Ênfase2 4 3 3 3" xfId="11215" xr:uid="{00000000-0005-0000-0000-00003D2B0000}"/>
    <cellStyle name="40% - Ênfase2 4 3 3 3 2" xfId="11216" xr:uid="{00000000-0005-0000-0000-00003E2B0000}"/>
    <cellStyle name="40% - Ênfase2 4 3 3 4" xfId="11217" xr:uid="{00000000-0005-0000-0000-00003F2B0000}"/>
    <cellStyle name="40% - Ênfase2 4 3 4" xfId="11218" xr:uid="{00000000-0005-0000-0000-0000402B0000}"/>
    <cellStyle name="40% - Ênfase2 4 3 4 2" xfId="11219" xr:uid="{00000000-0005-0000-0000-0000412B0000}"/>
    <cellStyle name="40% - Ênfase2 4 3 5" xfId="11220" xr:uid="{00000000-0005-0000-0000-0000422B0000}"/>
    <cellStyle name="40% - Ênfase2 4 3 5 2" xfId="11221" xr:uid="{00000000-0005-0000-0000-0000432B0000}"/>
    <cellStyle name="40% - Ênfase2 4 3 6" xfId="11222" xr:uid="{00000000-0005-0000-0000-0000442B0000}"/>
    <cellStyle name="40% - Ênfase2 4 4" xfId="11223" xr:uid="{00000000-0005-0000-0000-0000452B0000}"/>
    <cellStyle name="40% - Ênfase2 4 4 2" xfId="11224" xr:uid="{00000000-0005-0000-0000-0000462B0000}"/>
    <cellStyle name="40% - Ênfase2 4 4 2 2" xfId="11225" xr:uid="{00000000-0005-0000-0000-0000472B0000}"/>
    <cellStyle name="40% - Ênfase2 4 4 2 2 2" xfId="11226" xr:uid="{00000000-0005-0000-0000-0000482B0000}"/>
    <cellStyle name="40% - Ênfase2 4 4 2 3" xfId="11227" xr:uid="{00000000-0005-0000-0000-0000492B0000}"/>
    <cellStyle name="40% - Ênfase2 4 4 2 3 2" xfId="11228" xr:uid="{00000000-0005-0000-0000-00004A2B0000}"/>
    <cellStyle name="40% - Ênfase2 4 4 2 4" xfId="11229" xr:uid="{00000000-0005-0000-0000-00004B2B0000}"/>
    <cellStyle name="40% - Ênfase2 4 4 3" xfId="11230" xr:uid="{00000000-0005-0000-0000-00004C2B0000}"/>
    <cellStyle name="40% - Ênfase2 4 4 3 2" xfId="11231" xr:uid="{00000000-0005-0000-0000-00004D2B0000}"/>
    <cellStyle name="40% - Ênfase2 4 4 3 2 2" xfId="11232" xr:uid="{00000000-0005-0000-0000-00004E2B0000}"/>
    <cellStyle name="40% - Ênfase2 4 4 3 3" xfId="11233" xr:uid="{00000000-0005-0000-0000-00004F2B0000}"/>
    <cellStyle name="40% - Ênfase2 4 4 3 3 2" xfId="11234" xr:uid="{00000000-0005-0000-0000-0000502B0000}"/>
    <cellStyle name="40% - Ênfase2 4 4 3 4" xfId="11235" xr:uid="{00000000-0005-0000-0000-0000512B0000}"/>
    <cellStyle name="40% - Ênfase2 4 4 4" xfId="11236" xr:uid="{00000000-0005-0000-0000-0000522B0000}"/>
    <cellStyle name="40% - Ênfase2 4 4 4 2" xfId="11237" xr:uid="{00000000-0005-0000-0000-0000532B0000}"/>
    <cellStyle name="40% - Ênfase2 4 4 5" xfId="11238" xr:uid="{00000000-0005-0000-0000-0000542B0000}"/>
    <cellStyle name="40% - Ênfase2 4 4 5 2" xfId="11239" xr:uid="{00000000-0005-0000-0000-0000552B0000}"/>
    <cellStyle name="40% - Ênfase2 4 4 6" xfId="11240" xr:uid="{00000000-0005-0000-0000-0000562B0000}"/>
    <cellStyle name="40% - Ênfase2 4 5" xfId="11241" xr:uid="{00000000-0005-0000-0000-0000572B0000}"/>
    <cellStyle name="40% - Ênfase2 4 5 2" xfId="11242" xr:uid="{00000000-0005-0000-0000-0000582B0000}"/>
    <cellStyle name="40% - Ênfase2 4 5 2 2" xfId="11243" xr:uid="{00000000-0005-0000-0000-0000592B0000}"/>
    <cellStyle name="40% - Ênfase2 4 5 3" xfId="11244" xr:uid="{00000000-0005-0000-0000-00005A2B0000}"/>
    <cellStyle name="40% - Ênfase2 4 5 3 2" xfId="11245" xr:uid="{00000000-0005-0000-0000-00005B2B0000}"/>
    <cellStyle name="40% - Ênfase2 4 5 4" xfId="11246" xr:uid="{00000000-0005-0000-0000-00005C2B0000}"/>
    <cellStyle name="40% - Ênfase2 4 6" xfId="11247" xr:uid="{00000000-0005-0000-0000-00005D2B0000}"/>
    <cellStyle name="40% - Ênfase2 4 6 2" xfId="11248" xr:uid="{00000000-0005-0000-0000-00005E2B0000}"/>
    <cellStyle name="40% - Ênfase2 4 6 2 2" xfId="11249" xr:uid="{00000000-0005-0000-0000-00005F2B0000}"/>
    <cellStyle name="40% - Ênfase2 4 6 3" xfId="11250" xr:uid="{00000000-0005-0000-0000-0000602B0000}"/>
    <cellStyle name="40% - Ênfase2 4 7" xfId="11251" xr:uid="{00000000-0005-0000-0000-0000612B0000}"/>
    <cellStyle name="40% - Ênfase2 4 7 2" xfId="11252" xr:uid="{00000000-0005-0000-0000-0000622B0000}"/>
    <cellStyle name="40% - Ênfase2 4 7 2 2" xfId="11253" xr:uid="{00000000-0005-0000-0000-0000632B0000}"/>
    <cellStyle name="40% - Ênfase2 4 7 3" xfId="11254" xr:uid="{00000000-0005-0000-0000-0000642B0000}"/>
    <cellStyle name="40% - Ênfase2 4 8" xfId="11255" xr:uid="{00000000-0005-0000-0000-0000652B0000}"/>
    <cellStyle name="40% - Ênfase2 4 8 2" xfId="11256" xr:uid="{00000000-0005-0000-0000-0000662B0000}"/>
    <cellStyle name="40% - Ênfase2 4 8 2 2" xfId="11257" xr:uid="{00000000-0005-0000-0000-0000672B0000}"/>
    <cellStyle name="40% - Ênfase2 4 8 3" xfId="11258" xr:uid="{00000000-0005-0000-0000-0000682B0000}"/>
    <cellStyle name="40% - Ênfase2 4 9" xfId="11259" xr:uid="{00000000-0005-0000-0000-0000692B0000}"/>
    <cellStyle name="40% - Ênfase2 4 9 2" xfId="11260" xr:uid="{00000000-0005-0000-0000-00006A2B0000}"/>
    <cellStyle name="40% - Ênfase2 4 9 2 2" xfId="11261" xr:uid="{00000000-0005-0000-0000-00006B2B0000}"/>
    <cellStyle name="40% - Ênfase2 4 9 3" xfId="11262" xr:uid="{00000000-0005-0000-0000-00006C2B0000}"/>
    <cellStyle name="40% - Ênfase2 5" xfId="11263" xr:uid="{00000000-0005-0000-0000-00006D2B0000}"/>
    <cellStyle name="40% - Ênfase2 5 10" xfId="11264" xr:uid="{00000000-0005-0000-0000-00006E2B0000}"/>
    <cellStyle name="40% - Ênfase2 5 2" xfId="11265" xr:uid="{00000000-0005-0000-0000-00006F2B0000}"/>
    <cellStyle name="40% - Ênfase2 5 2 2" xfId="11266" xr:uid="{00000000-0005-0000-0000-0000702B0000}"/>
    <cellStyle name="40% - Ênfase2 5 2 2 2" xfId="11267" xr:uid="{00000000-0005-0000-0000-0000712B0000}"/>
    <cellStyle name="40% - Ênfase2 5 2 2 2 2" xfId="11268" xr:uid="{00000000-0005-0000-0000-0000722B0000}"/>
    <cellStyle name="40% - Ênfase2 5 2 2 2 2 2" xfId="11269" xr:uid="{00000000-0005-0000-0000-0000732B0000}"/>
    <cellStyle name="40% - Ênfase2 5 2 2 2 3" xfId="11270" xr:uid="{00000000-0005-0000-0000-0000742B0000}"/>
    <cellStyle name="40% - Ênfase2 5 2 2 2 3 2" xfId="11271" xr:uid="{00000000-0005-0000-0000-0000752B0000}"/>
    <cellStyle name="40% - Ênfase2 5 2 2 2 4" xfId="11272" xr:uid="{00000000-0005-0000-0000-0000762B0000}"/>
    <cellStyle name="40% - Ênfase2 5 2 2 3" xfId="11273" xr:uid="{00000000-0005-0000-0000-0000772B0000}"/>
    <cellStyle name="40% - Ênfase2 5 2 2 3 2" xfId="11274" xr:uid="{00000000-0005-0000-0000-0000782B0000}"/>
    <cellStyle name="40% - Ênfase2 5 2 2 4" xfId="11275" xr:uid="{00000000-0005-0000-0000-0000792B0000}"/>
    <cellStyle name="40% - Ênfase2 5 2 2 4 2" xfId="11276" xr:uid="{00000000-0005-0000-0000-00007A2B0000}"/>
    <cellStyle name="40% - Ênfase2 5 2 2 5" xfId="11277" xr:uid="{00000000-0005-0000-0000-00007B2B0000}"/>
    <cellStyle name="40% - Ênfase2 5 2 3" xfId="11278" xr:uid="{00000000-0005-0000-0000-00007C2B0000}"/>
    <cellStyle name="40% - Ênfase2 5 2 3 2" xfId="11279" xr:uid="{00000000-0005-0000-0000-00007D2B0000}"/>
    <cellStyle name="40% - Ênfase2 5 2 3 2 2" xfId="11280" xr:uid="{00000000-0005-0000-0000-00007E2B0000}"/>
    <cellStyle name="40% - Ênfase2 5 2 3 3" xfId="11281" xr:uid="{00000000-0005-0000-0000-00007F2B0000}"/>
    <cellStyle name="40% - Ênfase2 5 2 3 3 2" xfId="11282" xr:uid="{00000000-0005-0000-0000-0000802B0000}"/>
    <cellStyle name="40% - Ênfase2 5 2 3 4" xfId="11283" xr:uid="{00000000-0005-0000-0000-0000812B0000}"/>
    <cellStyle name="40% - Ênfase2 5 2 4" xfId="11284" xr:uid="{00000000-0005-0000-0000-0000822B0000}"/>
    <cellStyle name="40% - Ênfase2 5 2 4 2" xfId="11285" xr:uid="{00000000-0005-0000-0000-0000832B0000}"/>
    <cellStyle name="40% - Ênfase2 5 2 4 2 2" xfId="11286" xr:uid="{00000000-0005-0000-0000-0000842B0000}"/>
    <cellStyle name="40% - Ênfase2 5 2 4 3" xfId="11287" xr:uid="{00000000-0005-0000-0000-0000852B0000}"/>
    <cellStyle name="40% - Ênfase2 5 2 5" xfId="11288" xr:uid="{00000000-0005-0000-0000-0000862B0000}"/>
    <cellStyle name="40% - Ênfase2 5 2 5 2" xfId="11289" xr:uid="{00000000-0005-0000-0000-0000872B0000}"/>
    <cellStyle name="40% - Ênfase2 5 2 6" xfId="11290" xr:uid="{00000000-0005-0000-0000-0000882B0000}"/>
    <cellStyle name="40% - Ênfase2 5 3" xfId="11291" xr:uid="{00000000-0005-0000-0000-0000892B0000}"/>
    <cellStyle name="40% - Ênfase2 5 3 2" xfId="11292" xr:uid="{00000000-0005-0000-0000-00008A2B0000}"/>
    <cellStyle name="40% - Ênfase2 5 3 2 2" xfId="11293" xr:uid="{00000000-0005-0000-0000-00008B2B0000}"/>
    <cellStyle name="40% - Ênfase2 5 3 2 2 2" xfId="11294" xr:uid="{00000000-0005-0000-0000-00008C2B0000}"/>
    <cellStyle name="40% - Ênfase2 5 3 2 3" xfId="11295" xr:uid="{00000000-0005-0000-0000-00008D2B0000}"/>
    <cellStyle name="40% - Ênfase2 5 3 2 3 2" xfId="11296" xr:uid="{00000000-0005-0000-0000-00008E2B0000}"/>
    <cellStyle name="40% - Ênfase2 5 3 2 4" xfId="11297" xr:uid="{00000000-0005-0000-0000-00008F2B0000}"/>
    <cellStyle name="40% - Ênfase2 5 3 3" xfId="11298" xr:uid="{00000000-0005-0000-0000-0000902B0000}"/>
    <cellStyle name="40% - Ênfase2 5 3 3 2" xfId="11299" xr:uid="{00000000-0005-0000-0000-0000912B0000}"/>
    <cellStyle name="40% - Ênfase2 5 3 3 2 2" xfId="11300" xr:uid="{00000000-0005-0000-0000-0000922B0000}"/>
    <cellStyle name="40% - Ênfase2 5 3 3 3" xfId="11301" xr:uid="{00000000-0005-0000-0000-0000932B0000}"/>
    <cellStyle name="40% - Ênfase2 5 3 3 3 2" xfId="11302" xr:uid="{00000000-0005-0000-0000-0000942B0000}"/>
    <cellStyle name="40% - Ênfase2 5 3 3 4" xfId="11303" xr:uid="{00000000-0005-0000-0000-0000952B0000}"/>
    <cellStyle name="40% - Ênfase2 5 3 4" xfId="11304" xr:uid="{00000000-0005-0000-0000-0000962B0000}"/>
    <cellStyle name="40% - Ênfase2 5 3 4 2" xfId="11305" xr:uid="{00000000-0005-0000-0000-0000972B0000}"/>
    <cellStyle name="40% - Ênfase2 5 3 5" xfId="11306" xr:uid="{00000000-0005-0000-0000-0000982B0000}"/>
    <cellStyle name="40% - Ênfase2 5 3 5 2" xfId="11307" xr:uid="{00000000-0005-0000-0000-0000992B0000}"/>
    <cellStyle name="40% - Ênfase2 5 3 6" xfId="11308" xr:uid="{00000000-0005-0000-0000-00009A2B0000}"/>
    <cellStyle name="40% - Ênfase2 5 4" xfId="11309" xr:uid="{00000000-0005-0000-0000-00009B2B0000}"/>
    <cellStyle name="40% - Ênfase2 5 4 2" xfId="11310" xr:uid="{00000000-0005-0000-0000-00009C2B0000}"/>
    <cellStyle name="40% - Ênfase2 5 4 2 2" xfId="11311" xr:uid="{00000000-0005-0000-0000-00009D2B0000}"/>
    <cellStyle name="40% - Ênfase2 5 4 3" xfId="11312" xr:uid="{00000000-0005-0000-0000-00009E2B0000}"/>
    <cellStyle name="40% - Ênfase2 5 4 3 2" xfId="11313" xr:uid="{00000000-0005-0000-0000-00009F2B0000}"/>
    <cellStyle name="40% - Ênfase2 5 4 4" xfId="11314" xr:uid="{00000000-0005-0000-0000-0000A02B0000}"/>
    <cellStyle name="40% - Ênfase2 5 5" xfId="11315" xr:uid="{00000000-0005-0000-0000-0000A12B0000}"/>
    <cellStyle name="40% - Ênfase2 5 5 2" xfId="11316" xr:uid="{00000000-0005-0000-0000-0000A22B0000}"/>
    <cellStyle name="40% - Ênfase2 5 5 2 2" xfId="11317" xr:uid="{00000000-0005-0000-0000-0000A32B0000}"/>
    <cellStyle name="40% - Ênfase2 5 5 3" xfId="11318" xr:uid="{00000000-0005-0000-0000-0000A42B0000}"/>
    <cellStyle name="40% - Ênfase2 5 6" xfId="11319" xr:uid="{00000000-0005-0000-0000-0000A52B0000}"/>
    <cellStyle name="40% - Ênfase2 5 6 2" xfId="11320" xr:uid="{00000000-0005-0000-0000-0000A62B0000}"/>
    <cellStyle name="40% - Ênfase2 5 6 2 2" xfId="11321" xr:uid="{00000000-0005-0000-0000-0000A72B0000}"/>
    <cellStyle name="40% - Ênfase2 5 6 3" xfId="11322" xr:uid="{00000000-0005-0000-0000-0000A82B0000}"/>
    <cellStyle name="40% - Ênfase2 5 7" xfId="11323" xr:uid="{00000000-0005-0000-0000-0000A92B0000}"/>
    <cellStyle name="40% - Ênfase2 5 7 2" xfId="11324" xr:uid="{00000000-0005-0000-0000-0000AA2B0000}"/>
    <cellStyle name="40% - Ênfase2 5 7 2 2" xfId="11325" xr:uid="{00000000-0005-0000-0000-0000AB2B0000}"/>
    <cellStyle name="40% - Ênfase2 5 7 3" xfId="11326" xr:uid="{00000000-0005-0000-0000-0000AC2B0000}"/>
    <cellStyle name="40% - Ênfase2 5 8" xfId="11327" xr:uid="{00000000-0005-0000-0000-0000AD2B0000}"/>
    <cellStyle name="40% - Ênfase2 5 8 2" xfId="11328" xr:uid="{00000000-0005-0000-0000-0000AE2B0000}"/>
    <cellStyle name="40% - Ênfase2 5 8 2 2" xfId="11329" xr:uid="{00000000-0005-0000-0000-0000AF2B0000}"/>
    <cellStyle name="40% - Ênfase2 5 8 3" xfId="11330" xr:uid="{00000000-0005-0000-0000-0000B02B0000}"/>
    <cellStyle name="40% - Ênfase2 5 9" xfId="11331" xr:uid="{00000000-0005-0000-0000-0000B12B0000}"/>
    <cellStyle name="40% - Ênfase2 5 9 2" xfId="11332" xr:uid="{00000000-0005-0000-0000-0000B22B0000}"/>
    <cellStyle name="40% - Ênfase2 6" xfId="11333" xr:uid="{00000000-0005-0000-0000-0000B32B0000}"/>
    <cellStyle name="40% - Ênfase2 6 2" xfId="11334" xr:uid="{00000000-0005-0000-0000-0000B42B0000}"/>
    <cellStyle name="40% - Ênfase2 6 2 2" xfId="11335" xr:uid="{00000000-0005-0000-0000-0000B52B0000}"/>
    <cellStyle name="40% - Ênfase2 6 2 2 2" xfId="11336" xr:uid="{00000000-0005-0000-0000-0000B62B0000}"/>
    <cellStyle name="40% - Ênfase2 6 2 2 2 2" xfId="11337" xr:uid="{00000000-0005-0000-0000-0000B72B0000}"/>
    <cellStyle name="40% - Ênfase2 6 2 2 2 2 2" xfId="11338" xr:uid="{00000000-0005-0000-0000-0000B82B0000}"/>
    <cellStyle name="40% - Ênfase2 6 2 2 2 3" xfId="11339" xr:uid="{00000000-0005-0000-0000-0000B92B0000}"/>
    <cellStyle name="40% - Ênfase2 6 2 2 2 3 2" xfId="11340" xr:uid="{00000000-0005-0000-0000-0000BA2B0000}"/>
    <cellStyle name="40% - Ênfase2 6 2 2 2 4" xfId="11341" xr:uid="{00000000-0005-0000-0000-0000BB2B0000}"/>
    <cellStyle name="40% - Ênfase2 6 2 2 3" xfId="11342" xr:uid="{00000000-0005-0000-0000-0000BC2B0000}"/>
    <cellStyle name="40% - Ênfase2 6 2 2 3 2" xfId="11343" xr:uid="{00000000-0005-0000-0000-0000BD2B0000}"/>
    <cellStyle name="40% - Ênfase2 6 2 2 4" xfId="11344" xr:uid="{00000000-0005-0000-0000-0000BE2B0000}"/>
    <cellStyle name="40% - Ênfase2 6 2 2 4 2" xfId="11345" xr:uid="{00000000-0005-0000-0000-0000BF2B0000}"/>
    <cellStyle name="40% - Ênfase2 6 2 2 5" xfId="11346" xr:uid="{00000000-0005-0000-0000-0000C02B0000}"/>
    <cellStyle name="40% - Ênfase2 6 2 3" xfId="11347" xr:uid="{00000000-0005-0000-0000-0000C12B0000}"/>
    <cellStyle name="40% - Ênfase2 6 2 3 2" xfId="11348" xr:uid="{00000000-0005-0000-0000-0000C22B0000}"/>
    <cellStyle name="40% - Ênfase2 6 2 3 2 2" xfId="11349" xr:uid="{00000000-0005-0000-0000-0000C32B0000}"/>
    <cellStyle name="40% - Ênfase2 6 2 3 3" xfId="11350" xr:uid="{00000000-0005-0000-0000-0000C42B0000}"/>
    <cellStyle name="40% - Ênfase2 6 2 3 3 2" xfId="11351" xr:uid="{00000000-0005-0000-0000-0000C52B0000}"/>
    <cellStyle name="40% - Ênfase2 6 2 3 4" xfId="11352" xr:uid="{00000000-0005-0000-0000-0000C62B0000}"/>
    <cellStyle name="40% - Ênfase2 6 2 4" xfId="11353" xr:uid="{00000000-0005-0000-0000-0000C72B0000}"/>
    <cellStyle name="40% - Ênfase2 6 2 4 2" xfId="11354" xr:uid="{00000000-0005-0000-0000-0000C82B0000}"/>
    <cellStyle name="40% - Ênfase2 6 2 4 2 2" xfId="11355" xr:uid="{00000000-0005-0000-0000-0000C92B0000}"/>
    <cellStyle name="40% - Ênfase2 6 2 4 3" xfId="11356" xr:uid="{00000000-0005-0000-0000-0000CA2B0000}"/>
    <cellStyle name="40% - Ênfase2 6 2 5" xfId="11357" xr:uid="{00000000-0005-0000-0000-0000CB2B0000}"/>
    <cellStyle name="40% - Ênfase2 6 2 5 2" xfId="11358" xr:uid="{00000000-0005-0000-0000-0000CC2B0000}"/>
    <cellStyle name="40% - Ênfase2 6 2 6" xfId="11359" xr:uid="{00000000-0005-0000-0000-0000CD2B0000}"/>
    <cellStyle name="40% - Ênfase2 6 3" xfId="11360" xr:uid="{00000000-0005-0000-0000-0000CE2B0000}"/>
    <cellStyle name="40% - Ênfase2 6 3 2" xfId="11361" xr:uid="{00000000-0005-0000-0000-0000CF2B0000}"/>
    <cellStyle name="40% - Ênfase2 6 3 2 2" xfId="11362" xr:uid="{00000000-0005-0000-0000-0000D02B0000}"/>
    <cellStyle name="40% - Ênfase2 6 3 2 2 2" xfId="11363" xr:uid="{00000000-0005-0000-0000-0000D12B0000}"/>
    <cellStyle name="40% - Ênfase2 6 3 2 3" xfId="11364" xr:uid="{00000000-0005-0000-0000-0000D22B0000}"/>
    <cellStyle name="40% - Ênfase2 6 3 2 3 2" xfId="11365" xr:uid="{00000000-0005-0000-0000-0000D32B0000}"/>
    <cellStyle name="40% - Ênfase2 6 3 2 4" xfId="11366" xr:uid="{00000000-0005-0000-0000-0000D42B0000}"/>
    <cellStyle name="40% - Ênfase2 6 3 3" xfId="11367" xr:uid="{00000000-0005-0000-0000-0000D52B0000}"/>
    <cellStyle name="40% - Ênfase2 6 3 3 2" xfId="11368" xr:uid="{00000000-0005-0000-0000-0000D62B0000}"/>
    <cellStyle name="40% - Ênfase2 6 3 4" xfId="11369" xr:uid="{00000000-0005-0000-0000-0000D72B0000}"/>
    <cellStyle name="40% - Ênfase2 6 3 4 2" xfId="11370" xr:uid="{00000000-0005-0000-0000-0000D82B0000}"/>
    <cellStyle name="40% - Ênfase2 6 3 5" xfId="11371" xr:uid="{00000000-0005-0000-0000-0000D92B0000}"/>
    <cellStyle name="40% - Ênfase2 6 4" xfId="11372" xr:uid="{00000000-0005-0000-0000-0000DA2B0000}"/>
    <cellStyle name="40% - Ênfase2 6 4 2" xfId="11373" xr:uid="{00000000-0005-0000-0000-0000DB2B0000}"/>
    <cellStyle name="40% - Ênfase2 6 4 2 2" xfId="11374" xr:uid="{00000000-0005-0000-0000-0000DC2B0000}"/>
    <cellStyle name="40% - Ênfase2 6 4 3" xfId="11375" xr:uid="{00000000-0005-0000-0000-0000DD2B0000}"/>
    <cellStyle name="40% - Ênfase2 6 4 3 2" xfId="11376" xr:uid="{00000000-0005-0000-0000-0000DE2B0000}"/>
    <cellStyle name="40% - Ênfase2 6 4 4" xfId="11377" xr:uid="{00000000-0005-0000-0000-0000DF2B0000}"/>
    <cellStyle name="40% - Ênfase2 6 5" xfId="11378" xr:uid="{00000000-0005-0000-0000-0000E02B0000}"/>
    <cellStyle name="40% - Ênfase2 6 5 2" xfId="11379" xr:uid="{00000000-0005-0000-0000-0000E12B0000}"/>
    <cellStyle name="40% - Ênfase2 6 5 2 2" xfId="11380" xr:uid="{00000000-0005-0000-0000-0000E22B0000}"/>
    <cellStyle name="40% - Ênfase2 6 5 3" xfId="11381" xr:uid="{00000000-0005-0000-0000-0000E32B0000}"/>
    <cellStyle name="40% - Ênfase2 6 6" xfId="11382" xr:uid="{00000000-0005-0000-0000-0000E42B0000}"/>
    <cellStyle name="40% - Ênfase2 6 6 2" xfId="11383" xr:uid="{00000000-0005-0000-0000-0000E52B0000}"/>
    <cellStyle name="40% - Ênfase2 6 7" xfId="11384" xr:uid="{00000000-0005-0000-0000-0000E62B0000}"/>
    <cellStyle name="40% - Ênfase2 7" xfId="11385" xr:uid="{00000000-0005-0000-0000-0000E72B0000}"/>
    <cellStyle name="40% - Ênfase2 7 2" xfId="11386" xr:uid="{00000000-0005-0000-0000-0000E82B0000}"/>
    <cellStyle name="40% - Ênfase2 7 2 2" xfId="11387" xr:uid="{00000000-0005-0000-0000-0000E92B0000}"/>
    <cellStyle name="40% - Ênfase2 7 2 2 2" xfId="11388" xr:uid="{00000000-0005-0000-0000-0000EA2B0000}"/>
    <cellStyle name="40% - Ênfase2 7 2 2 2 2" xfId="11389" xr:uid="{00000000-0005-0000-0000-0000EB2B0000}"/>
    <cellStyle name="40% - Ênfase2 7 2 2 2 2 2" xfId="11390" xr:uid="{00000000-0005-0000-0000-0000EC2B0000}"/>
    <cellStyle name="40% - Ênfase2 7 2 2 2 3" xfId="11391" xr:uid="{00000000-0005-0000-0000-0000ED2B0000}"/>
    <cellStyle name="40% - Ênfase2 7 2 2 2 3 2" xfId="11392" xr:uid="{00000000-0005-0000-0000-0000EE2B0000}"/>
    <cellStyle name="40% - Ênfase2 7 2 2 2 4" xfId="11393" xr:uid="{00000000-0005-0000-0000-0000EF2B0000}"/>
    <cellStyle name="40% - Ênfase2 7 2 2 3" xfId="11394" xr:uid="{00000000-0005-0000-0000-0000F02B0000}"/>
    <cellStyle name="40% - Ênfase2 7 2 2 3 2" xfId="11395" xr:uid="{00000000-0005-0000-0000-0000F12B0000}"/>
    <cellStyle name="40% - Ênfase2 7 2 2 4" xfId="11396" xr:uid="{00000000-0005-0000-0000-0000F22B0000}"/>
    <cellStyle name="40% - Ênfase2 7 2 2 4 2" xfId="11397" xr:uid="{00000000-0005-0000-0000-0000F32B0000}"/>
    <cellStyle name="40% - Ênfase2 7 2 2 5" xfId="11398" xr:uid="{00000000-0005-0000-0000-0000F42B0000}"/>
    <cellStyle name="40% - Ênfase2 7 2 3" xfId="11399" xr:uid="{00000000-0005-0000-0000-0000F52B0000}"/>
    <cellStyle name="40% - Ênfase2 7 2 3 2" xfId="11400" xr:uid="{00000000-0005-0000-0000-0000F62B0000}"/>
    <cellStyle name="40% - Ênfase2 7 2 3 2 2" xfId="11401" xr:uid="{00000000-0005-0000-0000-0000F72B0000}"/>
    <cellStyle name="40% - Ênfase2 7 2 3 3" xfId="11402" xr:uid="{00000000-0005-0000-0000-0000F82B0000}"/>
    <cellStyle name="40% - Ênfase2 7 2 3 3 2" xfId="11403" xr:uid="{00000000-0005-0000-0000-0000F92B0000}"/>
    <cellStyle name="40% - Ênfase2 7 2 3 4" xfId="11404" xr:uid="{00000000-0005-0000-0000-0000FA2B0000}"/>
    <cellStyle name="40% - Ênfase2 7 2 4" xfId="11405" xr:uid="{00000000-0005-0000-0000-0000FB2B0000}"/>
    <cellStyle name="40% - Ênfase2 7 2 4 2" xfId="11406" xr:uid="{00000000-0005-0000-0000-0000FC2B0000}"/>
    <cellStyle name="40% - Ênfase2 7 2 4 2 2" xfId="11407" xr:uid="{00000000-0005-0000-0000-0000FD2B0000}"/>
    <cellStyle name="40% - Ênfase2 7 2 4 3" xfId="11408" xr:uid="{00000000-0005-0000-0000-0000FE2B0000}"/>
    <cellStyle name="40% - Ênfase2 7 2 5" xfId="11409" xr:uid="{00000000-0005-0000-0000-0000FF2B0000}"/>
    <cellStyle name="40% - Ênfase2 7 2 5 2" xfId="11410" xr:uid="{00000000-0005-0000-0000-0000002C0000}"/>
    <cellStyle name="40% - Ênfase2 7 2 6" xfId="11411" xr:uid="{00000000-0005-0000-0000-0000012C0000}"/>
    <cellStyle name="40% - Ênfase2 7 3" xfId="11412" xr:uid="{00000000-0005-0000-0000-0000022C0000}"/>
    <cellStyle name="40% - Ênfase2 7 3 2" xfId="11413" xr:uid="{00000000-0005-0000-0000-0000032C0000}"/>
    <cellStyle name="40% - Ênfase2 7 3 2 2" xfId="11414" xr:uid="{00000000-0005-0000-0000-0000042C0000}"/>
    <cellStyle name="40% - Ênfase2 7 3 2 2 2" xfId="11415" xr:uid="{00000000-0005-0000-0000-0000052C0000}"/>
    <cellStyle name="40% - Ênfase2 7 3 2 3" xfId="11416" xr:uid="{00000000-0005-0000-0000-0000062C0000}"/>
    <cellStyle name="40% - Ênfase2 7 3 2 3 2" xfId="11417" xr:uid="{00000000-0005-0000-0000-0000072C0000}"/>
    <cellStyle name="40% - Ênfase2 7 3 2 4" xfId="11418" xr:uid="{00000000-0005-0000-0000-0000082C0000}"/>
    <cellStyle name="40% - Ênfase2 7 3 3" xfId="11419" xr:uid="{00000000-0005-0000-0000-0000092C0000}"/>
    <cellStyle name="40% - Ênfase2 7 3 3 2" xfId="11420" xr:uid="{00000000-0005-0000-0000-00000A2C0000}"/>
    <cellStyle name="40% - Ênfase2 7 3 4" xfId="11421" xr:uid="{00000000-0005-0000-0000-00000B2C0000}"/>
    <cellStyle name="40% - Ênfase2 7 3 4 2" xfId="11422" xr:uid="{00000000-0005-0000-0000-00000C2C0000}"/>
    <cellStyle name="40% - Ênfase2 7 3 5" xfId="11423" xr:uid="{00000000-0005-0000-0000-00000D2C0000}"/>
    <cellStyle name="40% - Ênfase2 7 4" xfId="11424" xr:uid="{00000000-0005-0000-0000-00000E2C0000}"/>
    <cellStyle name="40% - Ênfase2 7 4 2" xfId="11425" xr:uid="{00000000-0005-0000-0000-00000F2C0000}"/>
    <cellStyle name="40% - Ênfase2 7 4 2 2" xfId="11426" xr:uid="{00000000-0005-0000-0000-0000102C0000}"/>
    <cellStyle name="40% - Ênfase2 7 4 3" xfId="11427" xr:uid="{00000000-0005-0000-0000-0000112C0000}"/>
    <cellStyle name="40% - Ênfase2 7 4 3 2" xfId="11428" xr:uid="{00000000-0005-0000-0000-0000122C0000}"/>
    <cellStyle name="40% - Ênfase2 7 4 4" xfId="11429" xr:uid="{00000000-0005-0000-0000-0000132C0000}"/>
    <cellStyle name="40% - Ênfase2 7 5" xfId="11430" xr:uid="{00000000-0005-0000-0000-0000142C0000}"/>
    <cellStyle name="40% - Ênfase2 7 5 2" xfId="11431" xr:uid="{00000000-0005-0000-0000-0000152C0000}"/>
    <cellStyle name="40% - Ênfase2 7 5 2 2" xfId="11432" xr:uid="{00000000-0005-0000-0000-0000162C0000}"/>
    <cellStyle name="40% - Ênfase2 7 5 3" xfId="11433" xr:uid="{00000000-0005-0000-0000-0000172C0000}"/>
    <cellStyle name="40% - Ênfase2 7 6" xfId="11434" xr:uid="{00000000-0005-0000-0000-0000182C0000}"/>
    <cellStyle name="40% - Ênfase2 7 6 2" xfId="11435" xr:uid="{00000000-0005-0000-0000-0000192C0000}"/>
    <cellStyle name="40% - Ênfase2 7 7" xfId="11436" xr:uid="{00000000-0005-0000-0000-00001A2C0000}"/>
    <cellStyle name="40% - Ênfase2 8" xfId="11437" xr:uid="{00000000-0005-0000-0000-00001B2C0000}"/>
    <cellStyle name="40% - Ênfase2 8 2" xfId="11438" xr:uid="{00000000-0005-0000-0000-00001C2C0000}"/>
    <cellStyle name="40% - Ênfase2 8 2 2" xfId="11439" xr:uid="{00000000-0005-0000-0000-00001D2C0000}"/>
    <cellStyle name="40% - Ênfase2 8 2 2 2" xfId="11440" xr:uid="{00000000-0005-0000-0000-00001E2C0000}"/>
    <cellStyle name="40% - Ênfase2 8 2 2 2 2" xfId="11441" xr:uid="{00000000-0005-0000-0000-00001F2C0000}"/>
    <cellStyle name="40% - Ênfase2 8 2 2 2 2 2" xfId="11442" xr:uid="{00000000-0005-0000-0000-0000202C0000}"/>
    <cellStyle name="40% - Ênfase2 8 2 2 2 3" xfId="11443" xr:uid="{00000000-0005-0000-0000-0000212C0000}"/>
    <cellStyle name="40% - Ênfase2 8 2 2 2 3 2" xfId="11444" xr:uid="{00000000-0005-0000-0000-0000222C0000}"/>
    <cellStyle name="40% - Ênfase2 8 2 2 2 4" xfId="11445" xr:uid="{00000000-0005-0000-0000-0000232C0000}"/>
    <cellStyle name="40% - Ênfase2 8 2 2 3" xfId="11446" xr:uid="{00000000-0005-0000-0000-0000242C0000}"/>
    <cellStyle name="40% - Ênfase2 8 2 2 3 2" xfId="11447" xr:uid="{00000000-0005-0000-0000-0000252C0000}"/>
    <cellStyle name="40% - Ênfase2 8 2 2 4" xfId="11448" xr:uid="{00000000-0005-0000-0000-0000262C0000}"/>
    <cellStyle name="40% - Ênfase2 8 2 2 4 2" xfId="11449" xr:uid="{00000000-0005-0000-0000-0000272C0000}"/>
    <cellStyle name="40% - Ênfase2 8 2 2 5" xfId="11450" xr:uid="{00000000-0005-0000-0000-0000282C0000}"/>
    <cellStyle name="40% - Ênfase2 8 2 3" xfId="11451" xr:uid="{00000000-0005-0000-0000-0000292C0000}"/>
    <cellStyle name="40% - Ênfase2 8 2 3 2" xfId="11452" xr:uid="{00000000-0005-0000-0000-00002A2C0000}"/>
    <cellStyle name="40% - Ênfase2 8 2 3 2 2" xfId="11453" xr:uid="{00000000-0005-0000-0000-00002B2C0000}"/>
    <cellStyle name="40% - Ênfase2 8 2 3 3" xfId="11454" xr:uid="{00000000-0005-0000-0000-00002C2C0000}"/>
    <cellStyle name="40% - Ênfase2 8 2 3 3 2" xfId="11455" xr:uid="{00000000-0005-0000-0000-00002D2C0000}"/>
    <cellStyle name="40% - Ênfase2 8 2 3 4" xfId="11456" xr:uid="{00000000-0005-0000-0000-00002E2C0000}"/>
    <cellStyle name="40% - Ênfase2 8 2 4" xfId="11457" xr:uid="{00000000-0005-0000-0000-00002F2C0000}"/>
    <cellStyle name="40% - Ênfase2 8 2 4 2" xfId="11458" xr:uid="{00000000-0005-0000-0000-0000302C0000}"/>
    <cellStyle name="40% - Ênfase2 8 2 4 2 2" xfId="11459" xr:uid="{00000000-0005-0000-0000-0000312C0000}"/>
    <cellStyle name="40% - Ênfase2 8 2 4 3" xfId="11460" xr:uid="{00000000-0005-0000-0000-0000322C0000}"/>
    <cellStyle name="40% - Ênfase2 8 2 5" xfId="11461" xr:uid="{00000000-0005-0000-0000-0000332C0000}"/>
    <cellStyle name="40% - Ênfase2 8 2 5 2" xfId="11462" xr:uid="{00000000-0005-0000-0000-0000342C0000}"/>
    <cellStyle name="40% - Ênfase2 8 2 6" xfId="11463" xr:uid="{00000000-0005-0000-0000-0000352C0000}"/>
    <cellStyle name="40% - Ênfase2 8 3" xfId="11464" xr:uid="{00000000-0005-0000-0000-0000362C0000}"/>
    <cellStyle name="40% - Ênfase2 8 3 2" xfId="11465" xr:uid="{00000000-0005-0000-0000-0000372C0000}"/>
    <cellStyle name="40% - Ênfase2 8 3 2 2" xfId="11466" xr:uid="{00000000-0005-0000-0000-0000382C0000}"/>
    <cellStyle name="40% - Ênfase2 8 3 2 2 2" xfId="11467" xr:uid="{00000000-0005-0000-0000-0000392C0000}"/>
    <cellStyle name="40% - Ênfase2 8 3 2 3" xfId="11468" xr:uid="{00000000-0005-0000-0000-00003A2C0000}"/>
    <cellStyle name="40% - Ênfase2 8 3 2 3 2" xfId="11469" xr:uid="{00000000-0005-0000-0000-00003B2C0000}"/>
    <cellStyle name="40% - Ênfase2 8 3 2 4" xfId="11470" xr:uid="{00000000-0005-0000-0000-00003C2C0000}"/>
    <cellStyle name="40% - Ênfase2 8 3 3" xfId="11471" xr:uid="{00000000-0005-0000-0000-00003D2C0000}"/>
    <cellStyle name="40% - Ênfase2 8 3 3 2" xfId="11472" xr:uid="{00000000-0005-0000-0000-00003E2C0000}"/>
    <cellStyle name="40% - Ênfase2 8 3 4" xfId="11473" xr:uid="{00000000-0005-0000-0000-00003F2C0000}"/>
    <cellStyle name="40% - Ênfase2 8 3 4 2" xfId="11474" xr:uid="{00000000-0005-0000-0000-0000402C0000}"/>
    <cellStyle name="40% - Ênfase2 8 3 5" xfId="11475" xr:uid="{00000000-0005-0000-0000-0000412C0000}"/>
    <cellStyle name="40% - Ênfase2 8 4" xfId="11476" xr:uid="{00000000-0005-0000-0000-0000422C0000}"/>
    <cellStyle name="40% - Ênfase2 8 4 2" xfId="11477" xr:uid="{00000000-0005-0000-0000-0000432C0000}"/>
    <cellStyle name="40% - Ênfase2 8 4 2 2" xfId="11478" xr:uid="{00000000-0005-0000-0000-0000442C0000}"/>
    <cellStyle name="40% - Ênfase2 8 4 3" xfId="11479" xr:uid="{00000000-0005-0000-0000-0000452C0000}"/>
    <cellStyle name="40% - Ênfase2 8 4 3 2" xfId="11480" xr:uid="{00000000-0005-0000-0000-0000462C0000}"/>
    <cellStyle name="40% - Ênfase2 8 4 4" xfId="11481" xr:uid="{00000000-0005-0000-0000-0000472C0000}"/>
    <cellStyle name="40% - Ênfase2 8 5" xfId="11482" xr:uid="{00000000-0005-0000-0000-0000482C0000}"/>
    <cellStyle name="40% - Ênfase2 8 5 2" xfId="11483" xr:uid="{00000000-0005-0000-0000-0000492C0000}"/>
    <cellStyle name="40% - Ênfase2 8 5 2 2" xfId="11484" xr:uid="{00000000-0005-0000-0000-00004A2C0000}"/>
    <cellStyle name="40% - Ênfase2 8 5 3" xfId="11485" xr:uid="{00000000-0005-0000-0000-00004B2C0000}"/>
    <cellStyle name="40% - Ênfase2 8 6" xfId="11486" xr:uid="{00000000-0005-0000-0000-00004C2C0000}"/>
    <cellStyle name="40% - Ênfase2 8 6 2" xfId="11487" xr:uid="{00000000-0005-0000-0000-00004D2C0000}"/>
    <cellStyle name="40% - Ênfase2 8 7" xfId="11488" xr:uid="{00000000-0005-0000-0000-00004E2C0000}"/>
    <cellStyle name="40% - Ênfase2 9" xfId="11489" xr:uid="{00000000-0005-0000-0000-00004F2C0000}"/>
    <cellStyle name="40% - Ênfase2 9 2" xfId="11490" xr:uid="{00000000-0005-0000-0000-0000502C0000}"/>
    <cellStyle name="40% - Ênfase2 9 2 2" xfId="11491" xr:uid="{00000000-0005-0000-0000-0000512C0000}"/>
    <cellStyle name="40% - Ênfase2 9 2 2 2" xfId="11492" xr:uid="{00000000-0005-0000-0000-0000522C0000}"/>
    <cellStyle name="40% - Ênfase2 9 2 2 2 2" xfId="11493" xr:uid="{00000000-0005-0000-0000-0000532C0000}"/>
    <cellStyle name="40% - Ênfase2 9 2 2 2 2 2" xfId="11494" xr:uid="{00000000-0005-0000-0000-0000542C0000}"/>
    <cellStyle name="40% - Ênfase2 9 2 2 2 3" xfId="11495" xr:uid="{00000000-0005-0000-0000-0000552C0000}"/>
    <cellStyle name="40% - Ênfase2 9 2 2 2 3 2" xfId="11496" xr:uid="{00000000-0005-0000-0000-0000562C0000}"/>
    <cellStyle name="40% - Ênfase2 9 2 2 2 4" xfId="11497" xr:uid="{00000000-0005-0000-0000-0000572C0000}"/>
    <cellStyle name="40% - Ênfase2 9 2 2 3" xfId="11498" xr:uid="{00000000-0005-0000-0000-0000582C0000}"/>
    <cellStyle name="40% - Ênfase2 9 2 2 3 2" xfId="11499" xr:uid="{00000000-0005-0000-0000-0000592C0000}"/>
    <cellStyle name="40% - Ênfase2 9 2 2 4" xfId="11500" xr:uid="{00000000-0005-0000-0000-00005A2C0000}"/>
    <cellStyle name="40% - Ênfase2 9 2 2 4 2" xfId="11501" xr:uid="{00000000-0005-0000-0000-00005B2C0000}"/>
    <cellStyle name="40% - Ênfase2 9 2 2 5" xfId="11502" xr:uid="{00000000-0005-0000-0000-00005C2C0000}"/>
    <cellStyle name="40% - Ênfase2 9 2 3" xfId="11503" xr:uid="{00000000-0005-0000-0000-00005D2C0000}"/>
    <cellStyle name="40% - Ênfase2 9 2 3 2" xfId="11504" xr:uid="{00000000-0005-0000-0000-00005E2C0000}"/>
    <cellStyle name="40% - Ênfase2 9 2 3 2 2" xfId="11505" xr:uid="{00000000-0005-0000-0000-00005F2C0000}"/>
    <cellStyle name="40% - Ênfase2 9 2 3 3" xfId="11506" xr:uid="{00000000-0005-0000-0000-0000602C0000}"/>
    <cellStyle name="40% - Ênfase2 9 2 3 3 2" xfId="11507" xr:uid="{00000000-0005-0000-0000-0000612C0000}"/>
    <cellStyle name="40% - Ênfase2 9 2 3 4" xfId="11508" xr:uid="{00000000-0005-0000-0000-0000622C0000}"/>
    <cellStyle name="40% - Ênfase2 9 2 4" xfId="11509" xr:uid="{00000000-0005-0000-0000-0000632C0000}"/>
    <cellStyle name="40% - Ênfase2 9 2 4 2" xfId="11510" xr:uid="{00000000-0005-0000-0000-0000642C0000}"/>
    <cellStyle name="40% - Ênfase2 9 2 4 2 2" xfId="11511" xr:uid="{00000000-0005-0000-0000-0000652C0000}"/>
    <cellStyle name="40% - Ênfase2 9 2 4 3" xfId="11512" xr:uid="{00000000-0005-0000-0000-0000662C0000}"/>
    <cellStyle name="40% - Ênfase2 9 2 5" xfId="11513" xr:uid="{00000000-0005-0000-0000-0000672C0000}"/>
    <cellStyle name="40% - Ênfase2 9 2 5 2" xfId="11514" xr:uid="{00000000-0005-0000-0000-0000682C0000}"/>
    <cellStyle name="40% - Ênfase2 9 2 6" xfId="11515" xr:uid="{00000000-0005-0000-0000-0000692C0000}"/>
    <cellStyle name="40% - Ênfase2 9 3" xfId="11516" xr:uid="{00000000-0005-0000-0000-00006A2C0000}"/>
    <cellStyle name="40% - Ênfase2 9 3 2" xfId="11517" xr:uid="{00000000-0005-0000-0000-00006B2C0000}"/>
    <cellStyle name="40% - Ênfase2 9 3 2 2" xfId="11518" xr:uid="{00000000-0005-0000-0000-00006C2C0000}"/>
    <cellStyle name="40% - Ênfase2 9 3 2 2 2" xfId="11519" xr:uid="{00000000-0005-0000-0000-00006D2C0000}"/>
    <cellStyle name="40% - Ênfase2 9 3 2 3" xfId="11520" xr:uid="{00000000-0005-0000-0000-00006E2C0000}"/>
    <cellStyle name="40% - Ênfase2 9 3 2 3 2" xfId="11521" xr:uid="{00000000-0005-0000-0000-00006F2C0000}"/>
    <cellStyle name="40% - Ênfase2 9 3 2 4" xfId="11522" xr:uid="{00000000-0005-0000-0000-0000702C0000}"/>
    <cellStyle name="40% - Ênfase2 9 3 3" xfId="11523" xr:uid="{00000000-0005-0000-0000-0000712C0000}"/>
    <cellStyle name="40% - Ênfase2 9 3 3 2" xfId="11524" xr:uid="{00000000-0005-0000-0000-0000722C0000}"/>
    <cellStyle name="40% - Ênfase2 9 3 4" xfId="11525" xr:uid="{00000000-0005-0000-0000-0000732C0000}"/>
    <cellStyle name="40% - Ênfase2 9 3 4 2" xfId="11526" xr:uid="{00000000-0005-0000-0000-0000742C0000}"/>
    <cellStyle name="40% - Ênfase2 9 3 5" xfId="11527" xr:uid="{00000000-0005-0000-0000-0000752C0000}"/>
    <cellStyle name="40% - Ênfase2 9 4" xfId="11528" xr:uid="{00000000-0005-0000-0000-0000762C0000}"/>
    <cellStyle name="40% - Ênfase2 9 4 2" xfId="11529" xr:uid="{00000000-0005-0000-0000-0000772C0000}"/>
    <cellStyle name="40% - Ênfase2 9 4 2 2" xfId="11530" xr:uid="{00000000-0005-0000-0000-0000782C0000}"/>
    <cellStyle name="40% - Ênfase2 9 4 3" xfId="11531" xr:uid="{00000000-0005-0000-0000-0000792C0000}"/>
    <cellStyle name="40% - Ênfase2 9 4 3 2" xfId="11532" xr:uid="{00000000-0005-0000-0000-00007A2C0000}"/>
    <cellStyle name="40% - Ênfase2 9 4 4" xfId="11533" xr:uid="{00000000-0005-0000-0000-00007B2C0000}"/>
    <cellStyle name="40% - Ênfase2 9 5" xfId="11534" xr:uid="{00000000-0005-0000-0000-00007C2C0000}"/>
    <cellStyle name="40% - Ênfase2 9 5 2" xfId="11535" xr:uid="{00000000-0005-0000-0000-00007D2C0000}"/>
    <cellStyle name="40% - Ênfase2 9 5 2 2" xfId="11536" xr:uid="{00000000-0005-0000-0000-00007E2C0000}"/>
    <cellStyle name="40% - Ênfase2 9 5 3" xfId="11537" xr:uid="{00000000-0005-0000-0000-00007F2C0000}"/>
    <cellStyle name="40% - Ênfase2 9 6" xfId="11538" xr:uid="{00000000-0005-0000-0000-0000802C0000}"/>
    <cellStyle name="40% - Ênfase2 9 6 2" xfId="11539" xr:uid="{00000000-0005-0000-0000-0000812C0000}"/>
    <cellStyle name="40% - Ênfase2 9 7" xfId="11540" xr:uid="{00000000-0005-0000-0000-0000822C0000}"/>
    <cellStyle name="40% - Ênfase3 10" xfId="11541" xr:uid="{00000000-0005-0000-0000-0000832C0000}"/>
    <cellStyle name="40% - Ênfase3 10 2" xfId="11542" xr:uid="{00000000-0005-0000-0000-0000842C0000}"/>
    <cellStyle name="40% - Ênfase3 10 2 2" xfId="11543" xr:uid="{00000000-0005-0000-0000-0000852C0000}"/>
    <cellStyle name="40% - Ênfase3 10 2 2 2" xfId="11544" xr:uid="{00000000-0005-0000-0000-0000862C0000}"/>
    <cellStyle name="40% - Ênfase3 10 2 2 2 2" xfId="11545" xr:uid="{00000000-0005-0000-0000-0000872C0000}"/>
    <cellStyle name="40% - Ênfase3 10 2 2 2 2 2" xfId="11546" xr:uid="{00000000-0005-0000-0000-0000882C0000}"/>
    <cellStyle name="40% - Ênfase3 10 2 2 2 3" xfId="11547" xr:uid="{00000000-0005-0000-0000-0000892C0000}"/>
    <cellStyle name="40% - Ênfase3 10 2 2 2 3 2" xfId="11548" xr:uid="{00000000-0005-0000-0000-00008A2C0000}"/>
    <cellStyle name="40% - Ênfase3 10 2 2 2 4" xfId="11549" xr:uid="{00000000-0005-0000-0000-00008B2C0000}"/>
    <cellStyle name="40% - Ênfase3 10 2 2 3" xfId="11550" xr:uid="{00000000-0005-0000-0000-00008C2C0000}"/>
    <cellStyle name="40% - Ênfase3 10 2 2 3 2" xfId="11551" xr:uid="{00000000-0005-0000-0000-00008D2C0000}"/>
    <cellStyle name="40% - Ênfase3 10 2 2 4" xfId="11552" xr:uid="{00000000-0005-0000-0000-00008E2C0000}"/>
    <cellStyle name="40% - Ênfase3 10 2 2 4 2" xfId="11553" xr:uid="{00000000-0005-0000-0000-00008F2C0000}"/>
    <cellStyle name="40% - Ênfase3 10 2 2 5" xfId="11554" xr:uid="{00000000-0005-0000-0000-0000902C0000}"/>
    <cellStyle name="40% - Ênfase3 10 2 3" xfId="11555" xr:uid="{00000000-0005-0000-0000-0000912C0000}"/>
    <cellStyle name="40% - Ênfase3 10 2 3 2" xfId="11556" xr:uid="{00000000-0005-0000-0000-0000922C0000}"/>
    <cellStyle name="40% - Ênfase3 10 2 3 2 2" xfId="11557" xr:uid="{00000000-0005-0000-0000-0000932C0000}"/>
    <cellStyle name="40% - Ênfase3 10 2 3 3" xfId="11558" xr:uid="{00000000-0005-0000-0000-0000942C0000}"/>
    <cellStyle name="40% - Ênfase3 10 2 3 3 2" xfId="11559" xr:uid="{00000000-0005-0000-0000-0000952C0000}"/>
    <cellStyle name="40% - Ênfase3 10 2 3 4" xfId="11560" xr:uid="{00000000-0005-0000-0000-0000962C0000}"/>
    <cellStyle name="40% - Ênfase3 10 2 4" xfId="11561" xr:uid="{00000000-0005-0000-0000-0000972C0000}"/>
    <cellStyle name="40% - Ênfase3 10 2 4 2" xfId="11562" xr:uid="{00000000-0005-0000-0000-0000982C0000}"/>
    <cellStyle name="40% - Ênfase3 10 2 4 2 2" xfId="11563" xr:uid="{00000000-0005-0000-0000-0000992C0000}"/>
    <cellStyle name="40% - Ênfase3 10 2 4 3" xfId="11564" xr:uid="{00000000-0005-0000-0000-00009A2C0000}"/>
    <cellStyle name="40% - Ênfase3 10 2 5" xfId="11565" xr:uid="{00000000-0005-0000-0000-00009B2C0000}"/>
    <cellStyle name="40% - Ênfase3 10 2 5 2" xfId="11566" xr:uid="{00000000-0005-0000-0000-00009C2C0000}"/>
    <cellStyle name="40% - Ênfase3 10 2 6" xfId="11567" xr:uid="{00000000-0005-0000-0000-00009D2C0000}"/>
    <cellStyle name="40% - Ênfase3 10 3" xfId="11568" xr:uid="{00000000-0005-0000-0000-00009E2C0000}"/>
    <cellStyle name="40% - Ênfase3 10 3 2" xfId="11569" xr:uid="{00000000-0005-0000-0000-00009F2C0000}"/>
    <cellStyle name="40% - Ênfase3 10 3 2 2" xfId="11570" xr:uid="{00000000-0005-0000-0000-0000A02C0000}"/>
    <cellStyle name="40% - Ênfase3 10 3 2 2 2" xfId="11571" xr:uid="{00000000-0005-0000-0000-0000A12C0000}"/>
    <cellStyle name="40% - Ênfase3 10 3 2 3" xfId="11572" xr:uid="{00000000-0005-0000-0000-0000A22C0000}"/>
    <cellStyle name="40% - Ênfase3 10 3 2 3 2" xfId="11573" xr:uid="{00000000-0005-0000-0000-0000A32C0000}"/>
    <cellStyle name="40% - Ênfase3 10 3 2 4" xfId="11574" xr:uid="{00000000-0005-0000-0000-0000A42C0000}"/>
    <cellStyle name="40% - Ênfase3 10 3 3" xfId="11575" xr:uid="{00000000-0005-0000-0000-0000A52C0000}"/>
    <cellStyle name="40% - Ênfase3 10 3 3 2" xfId="11576" xr:uid="{00000000-0005-0000-0000-0000A62C0000}"/>
    <cellStyle name="40% - Ênfase3 10 3 4" xfId="11577" xr:uid="{00000000-0005-0000-0000-0000A72C0000}"/>
    <cellStyle name="40% - Ênfase3 10 3 4 2" xfId="11578" xr:uid="{00000000-0005-0000-0000-0000A82C0000}"/>
    <cellStyle name="40% - Ênfase3 10 3 5" xfId="11579" xr:uid="{00000000-0005-0000-0000-0000A92C0000}"/>
    <cellStyle name="40% - Ênfase3 10 4" xfId="11580" xr:uid="{00000000-0005-0000-0000-0000AA2C0000}"/>
    <cellStyle name="40% - Ênfase3 10 4 2" xfId="11581" xr:uid="{00000000-0005-0000-0000-0000AB2C0000}"/>
    <cellStyle name="40% - Ênfase3 10 4 2 2" xfId="11582" xr:uid="{00000000-0005-0000-0000-0000AC2C0000}"/>
    <cellStyle name="40% - Ênfase3 10 4 3" xfId="11583" xr:uid="{00000000-0005-0000-0000-0000AD2C0000}"/>
    <cellStyle name="40% - Ênfase3 10 4 3 2" xfId="11584" xr:uid="{00000000-0005-0000-0000-0000AE2C0000}"/>
    <cellStyle name="40% - Ênfase3 10 4 4" xfId="11585" xr:uid="{00000000-0005-0000-0000-0000AF2C0000}"/>
    <cellStyle name="40% - Ênfase3 10 5" xfId="11586" xr:uid="{00000000-0005-0000-0000-0000B02C0000}"/>
    <cellStyle name="40% - Ênfase3 10 5 2" xfId="11587" xr:uid="{00000000-0005-0000-0000-0000B12C0000}"/>
    <cellStyle name="40% - Ênfase3 10 5 2 2" xfId="11588" xr:uid="{00000000-0005-0000-0000-0000B22C0000}"/>
    <cellStyle name="40% - Ênfase3 10 5 3" xfId="11589" xr:uid="{00000000-0005-0000-0000-0000B32C0000}"/>
    <cellStyle name="40% - Ênfase3 10 6" xfId="11590" xr:uid="{00000000-0005-0000-0000-0000B42C0000}"/>
    <cellStyle name="40% - Ênfase3 10 6 2" xfId="11591" xr:uid="{00000000-0005-0000-0000-0000B52C0000}"/>
    <cellStyle name="40% - Ênfase3 10 7" xfId="11592" xr:uid="{00000000-0005-0000-0000-0000B62C0000}"/>
    <cellStyle name="40% - Ênfase3 11" xfId="11593" xr:uid="{00000000-0005-0000-0000-0000B72C0000}"/>
    <cellStyle name="40% - Ênfase3 11 2" xfId="11594" xr:uid="{00000000-0005-0000-0000-0000B82C0000}"/>
    <cellStyle name="40% - Ênfase3 11 2 2" xfId="11595" xr:uid="{00000000-0005-0000-0000-0000B92C0000}"/>
    <cellStyle name="40% - Ênfase3 11 2 2 2" xfId="11596" xr:uid="{00000000-0005-0000-0000-0000BA2C0000}"/>
    <cellStyle name="40% - Ênfase3 11 2 2 2 2" xfId="11597" xr:uid="{00000000-0005-0000-0000-0000BB2C0000}"/>
    <cellStyle name="40% - Ênfase3 11 2 2 2 2 2" xfId="11598" xr:uid="{00000000-0005-0000-0000-0000BC2C0000}"/>
    <cellStyle name="40% - Ênfase3 11 2 2 2 3" xfId="11599" xr:uid="{00000000-0005-0000-0000-0000BD2C0000}"/>
    <cellStyle name="40% - Ênfase3 11 2 2 2 3 2" xfId="11600" xr:uid="{00000000-0005-0000-0000-0000BE2C0000}"/>
    <cellStyle name="40% - Ênfase3 11 2 2 2 4" xfId="11601" xr:uid="{00000000-0005-0000-0000-0000BF2C0000}"/>
    <cellStyle name="40% - Ênfase3 11 2 2 3" xfId="11602" xr:uid="{00000000-0005-0000-0000-0000C02C0000}"/>
    <cellStyle name="40% - Ênfase3 11 2 2 3 2" xfId="11603" xr:uid="{00000000-0005-0000-0000-0000C12C0000}"/>
    <cellStyle name="40% - Ênfase3 11 2 2 4" xfId="11604" xr:uid="{00000000-0005-0000-0000-0000C22C0000}"/>
    <cellStyle name="40% - Ênfase3 11 2 2 4 2" xfId="11605" xr:uid="{00000000-0005-0000-0000-0000C32C0000}"/>
    <cellStyle name="40% - Ênfase3 11 2 2 5" xfId="11606" xr:uid="{00000000-0005-0000-0000-0000C42C0000}"/>
    <cellStyle name="40% - Ênfase3 11 2 3" xfId="11607" xr:uid="{00000000-0005-0000-0000-0000C52C0000}"/>
    <cellStyle name="40% - Ênfase3 11 2 3 2" xfId="11608" xr:uid="{00000000-0005-0000-0000-0000C62C0000}"/>
    <cellStyle name="40% - Ênfase3 11 2 3 2 2" xfId="11609" xr:uid="{00000000-0005-0000-0000-0000C72C0000}"/>
    <cellStyle name="40% - Ênfase3 11 2 3 3" xfId="11610" xr:uid="{00000000-0005-0000-0000-0000C82C0000}"/>
    <cellStyle name="40% - Ênfase3 11 2 3 3 2" xfId="11611" xr:uid="{00000000-0005-0000-0000-0000C92C0000}"/>
    <cellStyle name="40% - Ênfase3 11 2 3 4" xfId="11612" xr:uid="{00000000-0005-0000-0000-0000CA2C0000}"/>
    <cellStyle name="40% - Ênfase3 11 2 4" xfId="11613" xr:uid="{00000000-0005-0000-0000-0000CB2C0000}"/>
    <cellStyle name="40% - Ênfase3 11 2 4 2" xfId="11614" xr:uid="{00000000-0005-0000-0000-0000CC2C0000}"/>
    <cellStyle name="40% - Ênfase3 11 2 4 2 2" xfId="11615" xr:uid="{00000000-0005-0000-0000-0000CD2C0000}"/>
    <cellStyle name="40% - Ênfase3 11 2 4 3" xfId="11616" xr:uid="{00000000-0005-0000-0000-0000CE2C0000}"/>
    <cellStyle name="40% - Ênfase3 11 2 5" xfId="11617" xr:uid="{00000000-0005-0000-0000-0000CF2C0000}"/>
    <cellStyle name="40% - Ênfase3 11 2 5 2" xfId="11618" xr:uid="{00000000-0005-0000-0000-0000D02C0000}"/>
    <cellStyle name="40% - Ênfase3 11 2 6" xfId="11619" xr:uid="{00000000-0005-0000-0000-0000D12C0000}"/>
    <cellStyle name="40% - Ênfase3 11 3" xfId="11620" xr:uid="{00000000-0005-0000-0000-0000D22C0000}"/>
    <cellStyle name="40% - Ênfase3 11 3 2" xfId="11621" xr:uid="{00000000-0005-0000-0000-0000D32C0000}"/>
    <cellStyle name="40% - Ênfase3 11 3 2 2" xfId="11622" xr:uid="{00000000-0005-0000-0000-0000D42C0000}"/>
    <cellStyle name="40% - Ênfase3 11 3 2 2 2" xfId="11623" xr:uid="{00000000-0005-0000-0000-0000D52C0000}"/>
    <cellStyle name="40% - Ênfase3 11 3 2 3" xfId="11624" xr:uid="{00000000-0005-0000-0000-0000D62C0000}"/>
    <cellStyle name="40% - Ênfase3 11 3 2 3 2" xfId="11625" xr:uid="{00000000-0005-0000-0000-0000D72C0000}"/>
    <cellStyle name="40% - Ênfase3 11 3 2 4" xfId="11626" xr:uid="{00000000-0005-0000-0000-0000D82C0000}"/>
    <cellStyle name="40% - Ênfase3 11 3 3" xfId="11627" xr:uid="{00000000-0005-0000-0000-0000D92C0000}"/>
    <cellStyle name="40% - Ênfase3 11 3 3 2" xfId="11628" xr:uid="{00000000-0005-0000-0000-0000DA2C0000}"/>
    <cellStyle name="40% - Ênfase3 11 3 4" xfId="11629" xr:uid="{00000000-0005-0000-0000-0000DB2C0000}"/>
    <cellStyle name="40% - Ênfase3 11 3 4 2" xfId="11630" xr:uid="{00000000-0005-0000-0000-0000DC2C0000}"/>
    <cellStyle name="40% - Ênfase3 11 3 5" xfId="11631" xr:uid="{00000000-0005-0000-0000-0000DD2C0000}"/>
    <cellStyle name="40% - Ênfase3 11 4" xfId="11632" xr:uid="{00000000-0005-0000-0000-0000DE2C0000}"/>
    <cellStyle name="40% - Ênfase3 11 4 2" xfId="11633" xr:uid="{00000000-0005-0000-0000-0000DF2C0000}"/>
    <cellStyle name="40% - Ênfase3 11 4 2 2" xfId="11634" xr:uid="{00000000-0005-0000-0000-0000E02C0000}"/>
    <cellStyle name="40% - Ênfase3 11 4 3" xfId="11635" xr:uid="{00000000-0005-0000-0000-0000E12C0000}"/>
    <cellStyle name="40% - Ênfase3 11 4 3 2" xfId="11636" xr:uid="{00000000-0005-0000-0000-0000E22C0000}"/>
    <cellStyle name="40% - Ênfase3 11 4 4" xfId="11637" xr:uid="{00000000-0005-0000-0000-0000E32C0000}"/>
    <cellStyle name="40% - Ênfase3 11 5" xfId="11638" xr:uid="{00000000-0005-0000-0000-0000E42C0000}"/>
    <cellStyle name="40% - Ênfase3 11 5 2" xfId="11639" xr:uid="{00000000-0005-0000-0000-0000E52C0000}"/>
    <cellStyle name="40% - Ênfase3 11 5 2 2" xfId="11640" xr:uid="{00000000-0005-0000-0000-0000E62C0000}"/>
    <cellStyle name="40% - Ênfase3 11 5 3" xfId="11641" xr:uid="{00000000-0005-0000-0000-0000E72C0000}"/>
    <cellStyle name="40% - Ênfase3 11 6" xfId="11642" xr:uid="{00000000-0005-0000-0000-0000E82C0000}"/>
    <cellStyle name="40% - Ênfase3 11 6 2" xfId="11643" xr:uid="{00000000-0005-0000-0000-0000E92C0000}"/>
    <cellStyle name="40% - Ênfase3 11 7" xfId="11644" xr:uid="{00000000-0005-0000-0000-0000EA2C0000}"/>
    <cellStyle name="40% - Ênfase3 12" xfId="11645" xr:uid="{00000000-0005-0000-0000-0000EB2C0000}"/>
    <cellStyle name="40% - Ênfase3 12 2" xfId="11646" xr:uid="{00000000-0005-0000-0000-0000EC2C0000}"/>
    <cellStyle name="40% - Ênfase3 12 2 2" xfId="11647" xr:uid="{00000000-0005-0000-0000-0000ED2C0000}"/>
    <cellStyle name="40% - Ênfase3 12 2 2 2" xfId="11648" xr:uid="{00000000-0005-0000-0000-0000EE2C0000}"/>
    <cellStyle name="40% - Ênfase3 12 2 2 2 2" xfId="11649" xr:uid="{00000000-0005-0000-0000-0000EF2C0000}"/>
    <cellStyle name="40% - Ênfase3 12 2 2 2 2 2" xfId="11650" xr:uid="{00000000-0005-0000-0000-0000F02C0000}"/>
    <cellStyle name="40% - Ênfase3 12 2 2 2 3" xfId="11651" xr:uid="{00000000-0005-0000-0000-0000F12C0000}"/>
    <cellStyle name="40% - Ênfase3 12 2 2 2 3 2" xfId="11652" xr:uid="{00000000-0005-0000-0000-0000F22C0000}"/>
    <cellStyle name="40% - Ênfase3 12 2 2 2 4" xfId="11653" xr:uid="{00000000-0005-0000-0000-0000F32C0000}"/>
    <cellStyle name="40% - Ênfase3 12 2 2 3" xfId="11654" xr:uid="{00000000-0005-0000-0000-0000F42C0000}"/>
    <cellStyle name="40% - Ênfase3 12 2 2 3 2" xfId="11655" xr:uid="{00000000-0005-0000-0000-0000F52C0000}"/>
    <cellStyle name="40% - Ênfase3 12 2 2 4" xfId="11656" xr:uid="{00000000-0005-0000-0000-0000F62C0000}"/>
    <cellStyle name="40% - Ênfase3 12 2 2 4 2" xfId="11657" xr:uid="{00000000-0005-0000-0000-0000F72C0000}"/>
    <cellStyle name="40% - Ênfase3 12 2 2 5" xfId="11658" xr:uid="{00000000-0005-0000-0000-0000F82C0000}"/>
    <cellStyle name="40% - Ênfase3 12 2 3" xfId="11659" xr:uid="{00000000-0005-0000-0000-0000F92C0000}"/>
    <cellStyle name="40% - Ênfase3 12 2 3 2" xfId="11660" xr:uid="{00000000-0005-0000-0000-0000FA2C0000}"/>
    <cellStyle name="40% - Ênfase3 12 2 3 2 2" xfId="11661" xr:uid="{00000000-0005-0000-0000-0000FB2C0000}"/>
    <cellStyle name="40% - Ênfase3 12 2 3 3" xfId="11662" xr:uid="{00000000-0005-0000-0000-0000FC2C0000}"/>
    <cellStyle name="40% - Ênfase3 12 2 3 3 2" xfId="11663" xr:uid="{00000000-0005-0000-0000-0000FD2C0000}"/>
    <cellStyle name="40% - Ênfase3 12 2 3 4" xfId="11664" xr:uid="{00000000-0005-0000-0000-0000FE2C0000}"/>
    <cellStyle name="40% - Ênfase3 12 2 4" xfId="11665" xr:uid="{00000000-0005-0000-0000-0000FF2C0000}"/>
    <cellStyle name="40% - Ênfase3 12 2 4 2" xfId="11666" xr:uid="{00000000-0005-0000-0000-0000002D0000}"/>
    <cellStyle name="40% - Ênfase3 12 2 4 2 2" xfId="11667" xr:uid="{00000000-0005-0000-0000-0000012D0000}"/>
    <cellStyle name="40% - Ênfase3 12 2 4 3" xfId="11668" xr:uid="{00000000-0005-0000-0000-0000022D0000}"/>
    <cellStyle name="40% - Ênfase3 12 2 5" xfId="11669" xr:uid="{00000000-0005-0000-0000-0000032D0000}"/>
    <cellStyle name="40% - Ênfase3 12 2 5 2" xfId="11670" xr:uid="{00000000-0005-0000-0000-0000042D0000}"/>
    <cellStyle name="40% - Ênfase3 12 2 6" xfId="11671" xr:uid="{00000000-0005-0000-0000-0000052D0000}"/>
    <cellStyle name="40% - Ênfase3 12 3" xfId="11672" xr:uid="{00000000-0005-0000-0000-0000062D0000}"/>
    <cellStyle name="40% - Ênfase3 12 3 2" xfId="11673" xr:uid="{00000000-0005-0000-0000-0000072D0000}"/>
    <cellStyle name="40% - Ênfase3 12 3 2 2" xfId="11674" xr:uid="{00000000-0005-0000-0000-0000082D0000}"/>
    <cellStyle name="40% - Ênfase3 12 3 2 2 2" xfId="11675" xr:uid="{00000000-0005-0000-0000-0000092D0000}"/>
    <cellStyle name="40% - Ênfase3 12 3 2 3" xfId="11676" xr:uid="{00000000-0005-0000-0000-00000A2D0000}"/>
    <cellStyle name="40% - Ênfase3 12 3 2 3 2" xfId="11677" xr:uid="{00000000-0005-0000-0000-00000B2D0000}"/>
    <cellStyle name="40% - Ênfase3 12 3 2 4" xfId="11678" xr:uid="{00000000-0005-0000-0000-00000C2D0000}"/>
    <cellStyle name="40% - Ênfase3 12 3 3" xfId="11679" xr:uid="{00000000-0005-0000-0000-00000D2D0000}"/>
    <cellStyle name="40% - Ênfase3 12 3 3 2" xfId="11680" xr:uid="{00000000-0005-0000-0000-00000E2D0000}"/>
    <cellStyle name="40% - Ênfase3 12 3 4" xfId="11681" xr:uid="{00000000-0005-0000-0000-00000F2D0000}"/>
    <cellStyle name="40% - Ênfase3 12 3 4 2" xfId="11682" xr:uid="{00000000-0005-0000-0000-0000102D0000}"/>
    <cellStyle name="40% - Ênfase3 12 3 5" xfId="11683" xr:uid="{00000000-0005-0000-0000-0000112D0000}"/>
    <cellStyle name="40% - Ênfase3 12 4" xfId="11684" xr:uid="{00000000-0005-0000-0000-0000122D0000}"/>
    <cellStyle name="40% - Ênfase3 12 4 2" xfId="11685" xr:uid="{00000000-0005-0000-0000-0000132D0000}"/>
    <cellStyle name="40% - Ênfase3 12 4 2 2" xfId="11686" xr:uid="{00000000-0005-0000-0000-0000142D0000}"/>
    <cellStyle name="40% - Ênfase3 12 4 3" xfId="11687" xr:uid="{00000000-0005-0000-0000-0000152D0000}"/>
    <cellStyle name="40% - Ênfase3 12 4 3 2" xfId="11688" xr:uid="{00000000-0005-0000-0000-0000162D0000}"/>
    <cellStyle name="40% - Ênfase3 12 4 4" xfId="11689" xr:uid="{00000000-0005-0000-0000-0000172D0000}"/>
    <cellStyle name="40% - Ênfase3 12 5" xfId="11690" xr:uid="{00000000-0005-0000-0000-0000182D0000}"/>
    <cellStyle name="40% - Ênfase3 12 5 2" xfId="11691" xr:uid="{00000000-0005-0000-0000-0000192D0000}"/>
    <cellStyle name="40% - Ênfase3 12 5 2 2" xfId="11692" xr:uid="{00000000-0005-0000-0000-00001A2D0000}"/>
    <cellStyle name="40% - Ênfase3 12 5 3" xfId="11693" xr:uid="{00000000-0005-0000-0000-00001B2D0000}"/>
    <cellStyle name="40% - Ênfase3 12 6" xfId="11694" xr:uid="{00000000-0005-0000-0000-00001C2D0000}"/>
    <cellStyle name="40% - Ênfase3 12 6 2" xfId="11695" xr:uid="{00000000-0005-0000-0000-00001D2D0000}"/>
    <cellStyle name="40% - Ênfase3 12 7" xfId="11696" xr:uid="{00000000-0005-0000-0000-00001E2D0000}"/>
    <cellStyle name="40% - Ênfase3 13" xfId="11697" xr:uid="{00000000-0005-0000-0000-00001F2D0000}"/>
    <cellStyle name="40% - Ênfase3 13 2" xfId="11698" xr:uid="{00000000-0005-0000-0000-0000202D0000}"/>
    <cellStyle name="40% - Ênfase3 13 2 2" xfId="11699" xr:uid="{00000000-0005-0000-0000-0000212D0000}"/>
    <cellStyle name="40% - Ênfase3 13 2 2 2" xfId="11700" xr:uid="{00000000-0005-0000-0000-0000222D0000}"/>
    <cellStyle name="40% - Ênfase3 13 2 2 2 2" xfId="11701" xr:uid="{00000000-0005-0000-0000-0000232D0000}"/>
    <cellStyle name="40% - Ênfase3 13 2 2 2 2 2" xfId="11702" xr:uid="{00000000-0005-0000-0000-0000242D0000}"/>
    <cellStyle name="40% - Ênfase3 13 2 2 2 3" xfId="11703" xr:uid="{00000000-0005-0000-0000-0000252D0000}"/>
    <cellStyle name="40% - Ênfase3 13 2 2 2 3 2" xfId="11704" xr:uid="{00000000-0005-0000-0000-0000262D0000}"/>
    <cellStyle name="40% - Ênfase3 13 2 2 2 4" xfId="11705" xr:uid="{00000000-0005-0000-0000-0000272D0000}"/>
    <cellStyle name="40% - Ênfase3 13 2 2 3" xfId="11706" xr:uid="{00000000-0005-0000-0000-0000282D0000}"/>
    <cellStyle name="40% - Ênfase3 13 2 2 3 2" xfId="11707" xr:uid="{00000000-0005-0000-0000-0000292D0000}"/>
    <cellStyle name="40% - Ênfase3 13 2 2 4" xfId="11708" xr:uid="{00000000-0005-0000-0000-00002A2D0000}"/>
    <cellStyle name="40% - Ênfase3 13 2 2 4 2" xfId="11709" xr:uid="{00000000-0005-0000-0000-00002B2D0000}"/>
    <cellStyle name="40% - Ênfase3 13 2 2 5" xfId="11710" xr:uid="{00000000-0005-0000-0000-00002C2D0000}"/>
    <cellStyle name="40% - Ênfase3 13 2 3" xfId="11711" xr:uid="{00000000-0005-0000-0000-00002D2D0000}"/>
    <cellStyle name="40% - Ênfase3 13 2 3 2" xfId="11712" xr:uid="{00000000-0005-0000-0000-00002E2D0000}"/>
    <cellStyle name="40% - Ênfase3 13 2 3 2 2" xfId="11713" xr:uid="{00000000-0005-0000-0000-00002F2D0000}"/>
    <cellStyle name="40% - Ênfase3 13 2 3 3" xfId="11714" xr:uid="{00000000-0005-0000-0000-0000302D0000}"/>
    <cellStyle name="40% - Ênfase3 13 2 3 3 2" xfId="11715" xr:uid="{00000000-0005-0000-0000-0000312D0000}"/>
    <cellStyle name="40% - Ênfase3 13 2 3 4" xfId="11716" xr:uid="{00000000-0005-0000-0000-0000322D0000}"/>
    <cellStyle name="40% - Ênfase3 13 2 4" xfId="11717" xr:uid="{00000000-0005-0000-0000-0000332D0000}"/>
    <cellStyle name="40% - Ênfase3 13 2 4 2" xfId="11718" xr:uid="{00000000-0005-0000-0000-0000342D0000}"/>
    <cellStyle name="40% - Ênfase3 13 2 4 2 2" xfId="11719" xr:uid="{00000000-0005-0000-0000-0000352D0000}"/>
    <cellStyle name="40% - Ênfase3 13 2 4 3" xfId="11720" xr:uid="{00000000-0005-0000-0000-0000362D0000}"/>
    <cellStyle name="40% - Ênfase3 13 2 5" xfId="11721" xr:uid="{00000000-0005-0000-0000-0000372D0000}"/>
    <cellStyle name="40% - Ênfase3 13 2 5 2" xfId="11722" xr:uid="{00000000-0005-0000-0000-0000382D0000}"/>
    <cellStyle name="40% - Ênfase3 13 2 6" xfId="11723" xr:uid="{00000000-0005-0000-0000-0000392D0000}"/>
    <cellStyle name="40% - Ênfase3 13 3" xfId="11724" xr:uid="{00000000-0005-0000-0000-00003A2D0000}"/>
    <cellStyle name="40% - Ênfase3 13 3 2" xfId="11725" xr:uid="{00000000-0005-0000-0000-00003B2D0000}"/>
    <cellStyle name="40% - Ênfase3 13 3 2 2" xfId="11726" xr:uid="{00000000-0005-0000-0000-00003C2D0000}"/>
    <cellStyle name="40% - Ênfase3 13 3 2 2 2" xfId="11727" xr:uid="{00000000-0005-0000-0000-00003D2D0000}"/>
    <cellStyle name="40% - Ênfase3 13 3 2 3" xfId="11728" xr:uid="{00000000-0005-0000-0000-00003E2D0000}"/>
    <cellStyle name="40% - Ênfase3 13 3 2 3 2" xfId="11729" xr:uid="{00000000-0005-0000-0000-00003F2D0000}"/>
    <cellStyle name="40% - Ênfase3 13 3 2 4" xfId="11730" xr:uid="{00000000-0005-0000-0000-0000402D0000}"/>
    <cellStyle name="40% - Ênfase3 13 3 3" xfId="11731" xr:uid="{00000000-0005-0000-0000-0000412D0000}"/>
    <cellStyle name="40% - Ênfase3 13 3 3 2" xfId="11732" xr:uid="{00000000-0005-0000-0000-0000422D0000}"/>
    <cellStyle name="40% - Ênfase3 13 3 4" xfId="11733" xr:uid="{00000000-0005-0000-0000-0000432D0000}"/>
    <cellStyle name="40% - Ênfase3 13 3 4 2" xfId="11734" xr:uid="{00000000-0005-0000-0000-0000442D0000}"/>
    <cellStyle name="40% - Ênfase3 13 3 5" xfId="11735" xr:uid="{00000000-0005-0000-0000-0000452D0000}"/>
    <cellStyle name="40% - Ênfase3 13 4" xfId="11736" xr:uid="{00000000-0005-0000-0000-0000462D0000}"/>
    <cellStyle name="40% - Ênfase3 13 4 2" xfId="11737" xr:uid="{00000000-0005-0000-0000-0000472D0000}"/>
    <cellStyle name="40% - Ênfase3 13 4 2 2" xfId="11738" xr:uid="{00000000-0005-0000-0000-0000482D0000}"/>
    <cellStyle name="40% - Ênfase3 13 4 3" xfId="11739" xr:uid="{00000000-0005-0000-0000-0000492D0000}"/>
    <cellStyle name="40% - Ênfase3 13 4 3 2" xfId="11740" xr:uid="{00000000-0005-0000-0000-00004A2D0000}"/>
    <cellStyle name="40% - Ênfase3 13 4 4" xfId="11741" xr:uid="{00000000-0005-0000-0000-00004B2D0000}"/>
    <cellStyle name="40% - Ênfase3 13 5" xfId="11742" xr:uid="{00000000-0005-0000-0000-00004C2D0000}"/>
    <cellStyle name="40% - Ênfase3 13 5 2" xfId="11743" xr:uid="{00000000-0005-0000-0000-00004D2D0000}"/>
    <cellStyle name="40% - Ênfase3 13 5 2 2" xfId="11744" xr:uid="{00000000-0005-0000-0000-00004E2D0000}"/>
    <cellStyle name="40% - Ênfase3 13 5 3" xfId="11745" xr:uid="{00000000-0005-0000-0000-00004F2D0000}"/>
    <cellStyle name="40% - Ênfase3 13 6" xfId="11746" xr:uid="{00000000-0005-0000-0000-0000502D0000}"/>
    <cellStyle name="40% - Ênfase3 13 6 2" xfId="11747" xr:uid="{00000000-0005-0000-0000-0000512D0000}"/>
    <cellStyle name="40% - Ênfase3 13 7" xfId="11748" xr:uid="{00000000-0005-0000-0000-0000522D0000}"/>
    <cellStyle name="40% - Ênfase3 14" xfId="11749" xr:uid="{00000000-0005-0000-0000-0000532D0000}"/>
    <cellStyle name="40% - Ênfase3 14 2" xfId="11750" xr:uid="{00000000-0005-0000-0000-0000542D0000}"/>
    <cellStyle name="40% - Ênfase3 14 2 2" xfId="11751" xr:uid="{00000000-0005-0000-0000-0000552D0000}"/>
    <cellStyle name="40% - Ênfase3 14 2 2 2" xfId="11752" xr:uid="{00000000-0005-0000-0000-0000562D0000}"/>
    <cellStyle name="40% - Ênfase3 14 2 2 2 2" xfId="11753" xr:uid="{00000000-0005-0000-0000-0000572D0000}"/>
    <cellStyle name="40% - Ênfase3 14 2 2 2 2 2" xfId="11754" xr:uid="{00000000-0005-0000-0000-0000582D0000}"/>
    <cellStyle name="40% - Ênfase3 14 2 2 2 3" xfId="11755" xr:uid="{00000000-0005-0000-0000-0000592D0000}"/>
    <cellStyle name="40% - Ênfase3 14 2 2 2 3 2" xfId="11756" xr:uid="{00000000-0005-0000-0000-00005A2D0000}"/>
    <cellStyle name="40% - Ênfase3 14 2 2 2 4" xfId="11757" xr:uid="{00000000-0005-0000-0000-00005B2D0000}"/>
    <cellStyle name="40% - Ênfase3 14 2 2 3" xfId="11758" xr:uid="{00000000-0005-0000-0000-00005C2D0000}"/>
    <cellStyle name="40% - Ênfase3 14 2 2 3 2" xfId="11759" xr:uid="{00000000-0005-0000-0000-00005D2D0000}"/>
    <cellStyle name="40% - Ênfase3 14 2 2 4" xfId="11760" xr:uid="{00000000-0005-0000-0000-00005E2D0000}"/>
    <cellStyle name="40% - Ênfase3 14 2 2 4 2" xfId="11761" xr:uid="{00000000-0005-0000-0000-00005F2D0000}"/>
    <cellStyle name="40% - Ênfase3 14 2 2 5" xfId="11762" xr:uid="{00000000-0005-0000-0000-0000602D0000}"/>
    <cellStyle name="40% - Ênfase3 14 2 3" xfId="11763" xr:uid="{00000000-0005-0000-0000-0000612D0000}"/>
    <cellStyle name="40% - Ênfase3 14 2 3 2" xfId="11764" xr:uid="{00000000-0005-0000-0000-0000622D0000}"/>
    <cellStyle name="40% - Ênfase3 14 2 3 2 2" xfId="11765" xr:uid="{00000000-0005-0000-0000-0000632D0000}"/>
    <cellStyle name="40% - Ênfase3 14 2 3 3" xfId="11766" xr:uid="{00000000-0005-0000-0000-0000642D0000}"/>
    <cellStyle name="40% - Ênfase3 14 2 3 3 2" xfId="11767" xr:uid="{00000000-0005-0000-0000-0000652D0000}"/>
    <cellStyle name="40% - Ênfase3 14 2 3 4" xfId="11768" xr:uid="{00000000-0005-0000-0000-0000662D0000}"/>
    <cellStyle name="40% - Ênfase3 14 2 4" xfId="11769" xr:uid="{00000000-0005-0000-0000-0000672D0000}"/>
    <cellStyle name="40% - Ênfase3 14 2 4 2" xfId="11770" xr:uid="{00000000-0005-0000-0000-0000682D0000}"/>
    <cellStyle name="40% - Ênfase3 14 2 4 2 2" xfId="11771" xr:uid="{00000000-0005-0000-0000-0000692D0000}"/>
    <cellStyle name="40% - Ênfase3 14 2 4 3" xfId="11772" xr:uid="{00000000-0005-0000-0000-00006A2D0000}"/>
    <cellStyle name="40% - Ênfase3 14 2 5" xfId="11773" xr:uid="{00000000-0005-0000-0000-00006B2D0000}"/>
    <cellStyle name="40% - Ênfase3 14 2 5 2" xfId="11774" xr:uid="{00000000-0005-0000-0000-00006C2D0000}"/>
    <cellStyle name="40% - Ênfase3 14 2 6" xfId="11775" xr:uid="{00000000-0005-0000-0000-00006D2D0000}"/>
    <cellStyle name="40% - Ênfase3 14 3" xfId="11776" xr:uid="{00000000-0005-0000-0000-00006E2D0000}"/>
    <cellStyle name="40% - Ênfase3 14 3 2" xfId="11777" xr:uid="{00000000-0005-0000-0000-00006F2D0000}"/>
    <cellStyle name="40% - Ênfase3 14 3 2 2" xfId="11778" xr:uid="{00000000-0005-0000-0000-0000702D0000}"/>
    <cellStyle name="40% - Ênfase3 14 3 2 2 2" xfId="11779" xr:uid="{00000000-0005-0000-0000-0000712D0000}"/>
    <cellStyle name="40% - Ênfase3 14 3 2 3" xfId="11780" xr:uid="{00000000-0005-0000-0000-0000722D0000}"/>
    <cellStyle name="40% - Ênfase3 14 3 2 3 2" xfId="11781" xr:uid="{00000000-0005-0000-0000-0000732D0000}"/>
    <cellStyle name="40% - Ênfase3 14 3 2 4" xfId="11782" xr:uid="{00000000-0005-0000-0000-0000742D0000}"/>
    <cellStyle name="40% - Ênfase3 14 3 3" xfId="11783" xr:uid="{00000000-0005-0000-0000-0000752D0000}"/>
    <cellStyle name="40% - Ênfase3 14 3 3 2" xfId="11784" xr:uid="{00000000-0005-0000-0000-0000762D0000}"/>
    <cellStyle name="40% - Ênfase3 14 3 4" xfId="11785" xr:uid="{00000000-0005-0000-0000-0000772D0000}"/>
    <cellStyle name="40% - Ênfase3 14 3 4 2" xfId="11786" xr:uid="{00000000-0005-0000-0000-0000782D0000}"/>
    <cellStyle name="40% - Ênfase3 14 3 5" xfId="11787" xr:uid="{00000000-0005-0000-0000-0000792D0000}"/>
    <cellStyle name="40% - Ênfase3 14 4" xfId="11788" xr:uid="{00000000-0005-0000-0000-00007A2D0000}"/>
    <cellStyle name="40% - Ênfase3 14 4 2" xfId="11789" xr:uid="{00000000-0005-0000-0000-00007B2D0000}"/>
    <cellStyle name="40% - Ênfase3 14 4 2 2" xfId="11790" xr:uid="{00000000-0005-0000-0000-00007C2D0000}"/>
    <cellStyle name="40% - Ênfase3 14 4 3" xfId="11791" xr:uid="{00000000-0005-0000-0000-00007D2D0000}"/>
    <cellStyle name="40% - Ênfase3 14 4 3 2" xfId="11792" xr:uid="{00000000-0005-0000-0000-00007E2D0000}"/>
    <cellStyle name="40% - Ênfase3 14 4 4" xfId="11793" xr:uid="{00000000-0005-0000-0000-00007F2D0000}"/>
    <cellStyle name="40% - Ênfase3 14 5" xfId="11794" xr:uid="{00000000-0005-0000-0000-0000802D0000}"/>
    <cellStyle name="40% - Ênfase3 14 5 2" xfId="11795" xr:uid="{00000000-0005-0000-0000-0000812D0000}"/>
    <cellStyle name="40% - Ênfase3 14 5 2 2" xfId="11796" xr:uid="{00000000-0005-0000-0000-0000822D0000}"/>
    <cellStyle name="40% - Ênfase3 14 5 3" xfId="11797" xr:uid="{00000000-0005-0000-0000-0000832D0000}"/>
    <cellStyle name="40% - Ênfase3 14 6" xfId="11798" xr:uid="{00000000-0005-0000-0000-0000842D0000}"/>
    <cellStyle name="40% - Ênfase3 14 6 2" xfId="11799" xr:uid="{00000000-0005-0000-0000-0000852D0000}"/>
    <cellStyle name="40% - Ênfase3 14 7" xfId="11800" xr:uid="{00000000-0005-0000-0000-0000862D0000}"/>
    <cellStyle name="40% - Ênfase3 15" xfId="11801" xr:uid="{00000000-0005-0000-0000-0000872D0000}"/>
    <cellStyle name="40% - Ênfase3 15 2" xfId="11802" xr:uid="{00000000-0005-0000-0000-0000882D0000}"/>
    <cellStyle name="40% - Ênfase3 15 2 2" xfId="11803" xr:uid="{00000000-0005-0000-0000-0000892D0000}"/>
    <cellStyle name="40% - Ênfase3 15 2 2 2" xfId="11804" xr:uid="{00000000-0005-0000-0000-00008A2D0000}"/>
    <cellStyle name="40% - Ênfase3 15 2 2 2 2" xfId="11805" xr:uid="{00000000-0005-0000-0000-00008B2D0000}"/>
    <cellStyle name="40% - Ênfase3 15 2 2 3" xfId="11806" xr:uid="{00000000-0005-0000-0000-00008C2D0000}"/>
    <cellStyle name="40% - Ênfase3 15 2 2 3 2" xfId="11807" xr:uid="{00000000-0005-0000-0000-00008D2D0000}"/>
    <cellStyle name="40% - Ênfase3 15 2 2 4" xfId="11808" xr:uid="{00000000-0005-0000-0000-00008E2D0000}"/>
    <cellStyle name="40% - Ênfase3 15 2 3" xfId="11809" xr:uid="{00000000-0005-0000-0000-00008F2D0000}"/>
    <cellStyle name="40% - Ênfase3 15 2 3 2" xfId="11810" xr:uid="{00000000-0005-0000-0000-0000902D0000}"/>
    <cellStyle name="40% - Ênfase3 15 2 4" xfId="11811" xr:uid="{00000000-0005-0000-0000-0000912D0000}"/>
    <cellStyle name="40% - Ênfase3 15 2 4 2" xfId="11812" xr:uid="{00000000-0005-0000-0000-0000922D0000}"/>
    <cellStyle name="40% - Ênfase3 15 2 5" xfId="11813" xr:uid="{00000000-0005-0000-0000-0000932D0000}"/>
    <cellStyle name="40% - Ênfase3 15 3" xfId="11814" xr:uid="{00000000-0005-0000-0000-0000942D0000}"/>
    <cellStyle name="40% - Ênfase3 15 3 2" xfId="11815" xr:uid="{00000000-0005-0000-0000-0000952D0000}"/>
    <cellStyle name="40% - Ênfase3 15 3 2 2" xfId="11816" xr:uid="{00000000-0005-0000-0000-0000962D0000}"/>
    <cellStyle name="40% - Ênfase3 15 3 3" xfId="11817" xr:uid="{00000000-0005-0000-0000-0000972D0000}"/>
    <cellStyle name="40% - Ênfase3 15 3 3 2" xfId="11818" xr:uid="{00000000-0005-0000-0000-0000982D0000}"/>
    <cellStyle name="40% - Ênfase3 15 3 4" xfId="11819" xr:uid="{00000000-0005-0000-0000-0000992D0000}"/>
    <cellStyle name="40% - Ênfase3 15 4" xfId="11820" xr:uid="{00000000-0005-0000-0000-00009A2D0000}"/>
    <cellStyle name="40% - Ênfase3 15 4 2" xfId="11821" xr:uid="{00000000-0005-0000-0000-00009B2D0000}"/>
    <cellStyle name="40% - Ênfase3 15 4 2 2" xfId="11822" xr:uid="{00000000-0005-0000-0000-00009C2D0000}"/>
    <cellStyle name="40% - Ênfase3 15 4 3" xfId="11823" xr:uid="{00000000-0005-0000-0000-00009D2D0000}"/>
    <cellStyle name="40% - Ênfase3 15 5" xfId="11824" xr:uid="{00000000-0005-0000-0000-00009E2D0000}"/>
    <cellStyle name="40% - Ênfase3 15 5 2" xfId="11825" xr:uid="{00000000-0005-0000-0000-00009F2D0000}"/>
    <cellStyle name="40% - Ênfase3 15 6" xfId="11826" xr:uid="{00000000-0005-0000-0000-0000A02D0000}"/>
    <cellStyle name="40% - Ênfase3 16" xfId="11827" xr:uid="{00000000-0005-0000-0000-0000A12D0000}"/>
    <cellStyle name="40% - Ênfase3 16 2" xfId="11828" xr:uid="{00000000-0005-0000-0000-0000A22D0000}"/>
    <cellStyle name="40% - Ênfase3 16 2 2" xfId="11829" xr:uid="{00000000-0005-0000-0000-0000A32D0000}"/>
    <cellStyle name="40% - Ênfase3 16 2 2 2" xfId="11830" xr:uid="{00000000-0005-0000-0000-0000A42D0000}"/>
    <cellStyle name="40% - Ênfase3 16 2 3" xfId="11831" xr:uid="{00000000-0005-0000-0000-0000A52D0000}"/>
    <cellStyle name="40% - Ênfase3 16 2 3 2" xfId="11832" xr:uid="{00000000-0005-0000-0000-0000A62D0000}"/>
    <cellStyle name="40% - Ênfase3 16 2 4" xfId="11833" xr:uid="{00000000-0005-0000-0000-0000A72D0000}"/>
    <cellStyle name="40% - Ênfase3 16 3" xfId="11834" xr:uid="{00000000-0005-0000-0000-0000A82D0000}"/>
    <cellStyle name="40% - Ênfase3 16 3 2" xfId="11835" xr:uid="{00000000-0005-0000-0000-0000A92D0000}"/>
    <cellStyle name="40% - Ênfase3 16 3 2 2" xfId="11836" xr:uid="{00000000-0005-0000-0000-0000AA2D0000}"/>
    <cellStyle name="40% - Ênfase3 16 3 3" xfId="11837" xr:uid="{00000000-0005-0000-0000-0000AB2D0000}"/>
    <cellStyle name="40% - Ênfase3 16 3 3 2" xfId="11838" xr:uid="{00000000-0005-0000-0000-0000AC2D0000}"/>
    <cellStyle name="40% - Ênfase3 16 3 4" xfId="11839" xr:uid="{00000000-0005-0000-0000-0000AD2D0000}"/>
    <cellStyle name="40% - Ênfase3 16 4" xfId="11840" xr:uid="{00000000-0005-0000-0000-0000AE2D0000}"/>
    <cellStyle name="40% - Ênfase3 16 4 2" xfId="11841" xr:uid="{00000000-0005-0000-0000-0000AF2D0000}"/>
    <cellStyle name="40% - Ênfase3 16 5" xfId="11842" xr:uid="{00000000-0005-0000-0000-0000B02D0000}"/>
    <cellStyle name="40% - Ênfase3 16 5 2" xfId="11843" xr:uid="{00000000-0005-0000-0000-0000B12D0000}"/>
    <cellStyle name="40% - Ênfase3 16 6" xfId="11844" xr:uid="{00000000-0005-0000-0000-0000B22D0000}"/>
    <cellStyle name="40% - Ênfase3 17" xfId="11845" xr:uid="{00000000-0005-0000-0000-0000B32D0000}"/>
    <cellStyle name="40% - Ênfase3 17 2" xfId="11846" xr:uid="{00000000-0005-0000-0000-0000B42D0000}"/>
    <cellStyle name="40% - Ênfase3 17 2 2" xfId="11847" xr:uid="{00000000-0005-0000-0000-0000B52D0000}"/>
    <cellStyle name="40% - Ênfase3 17 2 2 2" xfId="11848" xr:uid="{00000000-0005-0000-0000-0000B62D0000}"/>
    <cellStyle name="40% - Ênfase3 17 2 3" xfId="11849" xr:uid="{00000000-0005-0000-0000-0000B72D0000}"/>
    <cellStyle name="40% - Ênfase3 17 2 3 2" xfId="11850" xr:uid="{00000000-0005-0000-0000-0000B82D0000}"/>
    <cellStyle name="40% - Ênfase3 17 2 4" xfId="11851" xr:uid="{00000000-0005-0000-0000-0000B92D0000}"/>
    <cellStyle name="40% - Ênfase3 17 3" xfId="11852" xr:uid="{00000000-0005-0000-0000-0000BA2D0000}"/>
    <cellStyle name="40% - Ênfase3 17 3 2" xfId="11853" xr:uid="{00000000-0005-0000-0000-0000BB2D0000}"/>
    <cellStyle name="40% - Ênfase3 17 3 2 2" xfId="11854" xr:uid="{00000000-0005-0000-0000-0000BC2D0000}"/>
    <cellStyle name="40% - Ênfase3 17 3 3" xfId="11855" xr:uid="{00000000-0005-0000-0000-0000BD2D0000}"/>
    <cellStyle name="40% - Ênfase3 17 3 3 2" xfId="11856" xr:uid="{00000000-0005-0000-0000-0000BE2D0000}"/>
    <cellStyle name="40% - Ênfase3 17 3 4" xfId="11857" xr:uid="{00000000-0005-0000-0000-0000BF2D0000}"/>
    <cellStyle name="40% - Ênfase3 17 4" xfId="11858" xr:uid="{00000000-0005-0000-0000-0000C02D0000}"/>
    <cellStyle name="40% - Ênfase3 17 4 2" xfId="11859" xr:uid="{00000000-0005-0000-0000-0000C12D0000}"/>
    <cellStyle name="40% - Ênfase3 17 5" xfId="11860" xr:uid="{00000000-0005-0000-0000-0000C22D0000}"/>
    <cellStyle name="40% - Ênfase3 17 5 2" xfId="11861" xr:uid="{00000000-0005-0000-0000-0000C32D0000}"/>
    <cellStyle name="40% - Ênfase3 17 6" xfId="11862" xr:uid="{00000000-0005-0000-0000-0000C42D0000}"/>
    <cellStyle name="40% - Ênfase3 18" xfId="11863" xr:uid="{00000000-0005-0000-0000-0000C52D0000}"/>
    <cellStyle name="40% - Ênfase3 18 2" xfId="11864" xr:uid="{00000000-0005-0000-0000-0000C62D0000}"/>
    <cellStyle name="40% - Ênfase3 18 2 2" xfId="11865" xr:uid="{00000000-0005-0000-0000-0000C72D0000}"/>
    <cellStyle name="40% - Ênfase3 18 3" xfId="11866" xr:uid="{00000000-0005-0000-0000-0000C82D0000}"/>
    <cellStyle name="40% - Ênfase3 18 3 2" xfId="11867" xr:uid="{00000000-0005-0000-0000-0000C92D0000}"/>
    <cellStyle name="40% - Ênfase3 18 4" xfId="11868" xr:uid="{00000000-0005-0000-0000-0000CA2D0000}"/>
    <cellStyle name="40% - Ênfase3 19" xfId="11869" xr:uid="{00000000-0005-0000-0000-0000CB2D0000}"/>
    <cellStyle name="40% - Ênfase3 19 2" xfId="11870" xr:uid="{00000000-0005-0000-0000-0000CC2D0000}"/>
    <cellStyle name="40% - Ênfase3 19 2 2" xfId="11871" xr:uid="{00000000-0005-0000-0000-0000CD2D0000}"/>
    <cellStyle name="40% - Ênfase3 19 3" xfId="11872" xr:uid="{00000000-0005-0000-0000-0000CE2D0000}"/>
    <cellStyle name="40% - Ênfase3 2" xfId="11873" xr:uid="{00000000-0005-0000-0000-0000CF2D0000}"/>
    <cellStyle name="40% - Ênfase3 2 10" xfId="11874" xr:uid="{00000000-0005-0000-0000-0000D02D0000}"/>
    <cellStyle name="40% - Ênfase3 2 10 2" xfId="11875" xr:uid="{00000000-0005-0000-0000-0000D12D0000}"/>
    <cellStyle name="40% - Ênfase3 2 10 2 2" xfId="11876" xr:uid="{00000000-0005-0000-0000-0000D22D0000}"/>
    <cellStyle name="40% - Ênfase3 2 10 3" xfId="11877" xr:uid="{00000000-0005-0000-0000-0000D32D0000}"/>
    <cellStyle name="40% - Ênfase3 2 10 3 2" xfId="11878" xr:uid="{00000000-0005-0000-0000-0000D42D0000}"/>
    <cellStyle name="40% - Ênfase3 2 10 4" xfId="11879" xr:uid="{00000000-0005-0000-0000-0000D52D0000}"/>
    <cellStyle name="40% - Ênfase3 2 11" xfId="11880" xr:uid="{00000000-0005-0000-0000-0000D62D0000}"/>
    <cellStyle name="40% - Ênfase3 2 11 2" xfId="11881" xr:uid="{00000000-0005-0000-0000-0000D72D0000}"/>
    <cellStyle name="40% - Ênfase3 2 11 2 2" xfId="11882" xr:uid="{00000000-0005-0000-0000-0000D82D0000}"/>
    <cellStyle name="40% - Ênfase3 2 11 3" xfId="11883" xr:uid="{00000000-0005-0000-0000-0000D92D0000}"/>
    <cellStyle name="40% - Ênfase3 2 12" xfId="11884" xr:uid="{00000000-0005-0000-0000-0000DA2D0000}"/>
    <cellStyle name="40% - Ênfase3 2 12 2" xfId="11885" xr:uid="{00000000-0005-0000-0000-0000DB2D0000}"/>
    <cellStyle name="40% - Ênfase3 2 12 2 2" xfId="11886" xr:uid="{00000000-0005-0000-0000-0000DC2D0000}"/>
    <cellStyle name="40% - Ênfase3 2 12 3" xfId="11887" xr:uid="{00000000-0005-0000-0000-0000DD2D0000}"/>
    <cellStyle name="40% - Ênfase3 2 13" xfId="11888" xr:uid="{00000000-0005-0000-0000-0000DE2D0000}"/>
    <cellStyle name="40% - Ênfase3 2 13 2" xfId="11889" xr:uid="{00000000-0005-0000-0000-0000DF2D0000}"/>
    <cellStyle name="40% - Ênfase3 2 13 2 2" xfId="11890" xr:uid="{00000000-0005-0000-0000-0000E02D0000}"/>
    <cellStyle name="40% - Ênfase3 2 13 3" xfId="11891" xr:uid="{00000000-0005-0000-0000-0000E12D0000}"/>
    <cellStyle name="40% - Ênfase3 2 14" xfId="11892" xr:uid="{00000000-0005-0000-0000-0000E22D0000}"/>
    <cellStyle name="40% - Ênfase3 2 14 2" xfId="11893" xr:uid="{00000000-0005-0000-0000-0000E32D0000}"/>
    <cellStyle name="40% - Ênfase3 2 14 2 2" xfId="11894" xr:uid="{00000000-0005-0000-0000-0000E42D0000}"/>
    <cellStyle name="40% - Ênfase3 2 14 3" xfId="11895" xr:uid="{00000000-0005-0000-0000-0000E52D0000}"/>
    <cellStyle name="40% - Ênfase3 2 15" xfId="11896" xr:uid="{00000000-0005-0000-0000-0000E62D0000}"/>
    <cellStyle name="40% - Ênfase3 2 15 2" xfId="11897" xr:uid="{00000000-0005-0000-0000-0000E72D0000}"/>
    <cellStyle name="40% - Ênfase3 2 16" xfId="11898" xr:uid="{00000000-0005-0000-0000-0000E82D0000}"/>
    <cellStyle name="40% - Ênfase3 2 2" xfId="11899" xr:uid="{00000000-0005-0000-0000-0000E92D0000}"/>
    <cellStyle name="40% - Ênfase3 2 2 10" xfId="11900" xr:uid="{00000000-0005-0000-0000-0000EA2D0000}"/>
    <cellStyle name="40% - Ênfase3 2 2 10 2" xfId="11901" xr:uid="{00000000-0005-0000-0000-0000EB2D0000}"/>
    <cellStyle name="40% - Ênfase3 2 2 11" xfId="11902" xr:uid="{00000000-0005-0000-0000-0000EC2D0000}"/>
    <cellStyle name="40% - Ênfase3 2 2 2" xfId="11903" xr:uid="{00000000-0005-0000-0000-0000ED2D0000}"/>
    <cellStyle name="40% - Ênfase3 2 2 2 2" xfId="11904" xr:uid="{00000000-0005-0000-0000-0000EE2D0000}"/>
    <cellStyle name="40% - Ênfase3 2 2 2 2 2" xfId="11905" xr:uid="{00000000-0005-0000-0000-0000EF2D0000}"/>
    <cellStyle name="40% - Ênfase3 2 2 2 2 2 2" xfId="11906" xr:uid="{00000000-0005-0000-0000-0000F02D0000}"/>
    <cellStyle name="40% - Ênfase3 2 2 2 2 2 2 2" xfId="11907" xr:uid="{00000000-0005-0000-0000-0000F12D0000}"/>
    <cellStyle name="40% - Ênfase3 2 2 2 2 2 3" xfId="11908" xr:uid="{00000000-0005-0000-0000-0000F22D0000}"/>
    <cellStyle name="40% - Ênfase3 2 2 2 2 2 3 2" xfId="11909" xr:uid="{00000000-0005-0000-0000-0000F32D0000}"/>
    <cellStyle name="40% - Ênfase3 2 2 2 2 2 4" xfId="11910" xr:uid="{00000000-0005-0000-0000-0000F42D0000}"/>
    <cellStyle name="40% - Ênfase3 2 2 2 2 3" xfId="11911" xr:uid="{00000000-0005-0000-0000-0000F52D0000}"/>
    <cellStyle name="40% - Ênfase3 2 2 2 2 3 2" xfId="11912" xr:uid="{00000000-0005-0000-0000-0000F62D0000}"/>
    <cellStyle name="40% - Ênfase3 2 2 2 2 3 2 2" xfId="11913" xr:uid="{00000000-0005-0000-0000-0000F72D0000}"/>
    <cellStyle name="40% - Ênfase3 2 2 2 2 3 3" xfId="11914" xr:uid="{00000000-0005-0000-0000-0000F82D0000}"/>
    <cellStyle name="40% - Ênfase3 2 2 2 2 3 3 2" xfId="11915" xr:uid="{00000000-0005-0000-0000-0000F92D0000}"/>
    <cellStyle name="40% - Ênfase3 2 2 2 2 3 4" xfId="11916" xr:uid="{00000000-0005-0000-0000-0000FA2D0000}"/>
    <cellStyle name="40% - Ênfase3 2 2 2 2 4" xfId="11917" xr:uid="{00000000-0005-0000-0000-0000FB2D0000}"/>
    <cellStyle name="40% - Ênfase3 2 2 2 2 4 2" xfId="11918" xr:uid="{00000000-0005-0000-0000-0000FC2D0000}"/>
    <cellStyle name="40% - Ênfase3 2 2 2 2 5" xfId="11919" xr:uid="{00000000-0005-0000-0000-0000FD2D0000}"/>
    <cellStyle name="40% - Ênfase3 2 2 2 2 5 2" xfId="11920" xr:uid="{00000000-0005-0000-0000-0000FE2D0000}"/>
    <cellStyle name="40% - Ênfase3 2 2 2 2 6" xfId="11921" xr:uid="{00000000-0005-0000-0000-0000FF2D0000}"/>
    <cellStyle name="40% - Ênfase3 2 2 2 3" xfId="11922" xr:uid="{00000000-0005-0000-0000-0000002E0000}"/>
    <cellStyle name="40% - Ênfase3 2 2 2 3 2" xfId="11923" xr:uid="{00000000-0005-0000-0000-0000012E0000}"/>
    <cellStyle name="40% - Ênfase3 2 2 2 3 2 2" xfId="11924" xr:uid="{00000000-0005-0000-0000-0000022E0000}"/>
    <cellStyle name="40% - Ênfase3 2 2 2 3 3" xfId="11925" xr:uid="{00000000-0005-0000-0000-0000032E0000}"/>
    <cellStyle name="40% - Ênfase3 2 2 2 3 3 2" xfId="11926" xr:uid="{00000000-0005-0000-0000-0000042E0000}"/>
    <cellStyle name="40% - Ênfase3 2 2 2 3 4" xfId="11927" xr:uid="{00000000-0005-0000-0000-0000052E0000}"/>
    <cellStyle name="40% - Ênfase3 2 2 2 4" xfId="11928" xr:uid="{00000000-0005-0000-0000-0000062E0000}"/>
    <cellStyle name="40% - Ênfase3 2 2 2 4 2" xfId="11929" xr:uid="{00000000-0005-0000-0000-0000072E0000}"/>
    <cellStyle name="40% - Ênfase3 2 2 2 4 2 2" xfId="11930" xr:uid="{00000000-0005-0000-0000-0000082E0000}"/>
    <cellStyle name="40% - Ênfase3 2 2 2 4 3" xfId="11931" xr:uid="{00000000-0005-0000-0000-0000092E0000}"/>
    <cellStyle name="40% - Ênfase3 2 2 2 5" xfId="11932" xr:uid="{00000000-0005-0000-0000-00000A2E0000}"/>
    <cellStyle name="40% - Ênfase3 2 2 2 5 2" xfId="11933" xr:uid="{00000000-0005-0000-0000-00000B2E0000}"/>
    <cellStyle name="40% - Ênfase3 2 2 2 5 2 2" xfId="11934" xr:uid="{00000000-0005-0000-0000-00000C2E0000}"/>
    <cellStyle name="40% - Ênfase3 2 2 2 5 3" xfId="11935" xr:uid="{00000000-0005-0000-0000-00000D2E0000}"/>
    <cellStyle name="40% - Ênfase3 2 2 2 6" xfId="11936" xr:uid="{00000000-0005-0000-0000-00000E2E0000}"/>
    <cellStyle name="40% - Ênfase3 2 2 2 6 2" xfId="11937" xr:uid="{00000000-0005-0000-0000-00000F2E0000}"/>
    <cellStyle name="40% - Ênfase3 2 2 2 6 2 2" xfId="11938" xr:uid="{00000000-0005-0000-0000-0000102E0000}"/>
    <cellStyle name="40% - Ênfase3 2 2 2 6 3" xfId="11939" xr:uid="{00000000-0005-0000-0000-0000112E0000}"/>
    <cellStyle name="40% - Ênfase3 2 2 2 7" xfId="11940" xr:uid="{00000000-0005-0000-0000-0000122E0000}"/>
    <cellStyle name="40% - Ênfase3 2 2 2 7 2" xfId="11941" xr:uid="{00000000-0005-0000-0000-0000132E0000}"/>
    <cellStyle name="40% - Ênfase3 2 2 2 7 2 2" xfId="11942" xr:uid="{00000000-0005-0000-0000-0000142E0000}"/>
    <cellStyle name="40% - Ênfase3 2 2 2 7 3" xfId="11943" xr:uid="{00000000-0005-0000-0000-0000152E0000}"/>
    <cellStyle name="40% - Ênfase3 2 2 2 8" xfId="11944" xr:uid="{00000000-0005-0000-0000-0000162E0000}"/>
    <cellStyle name="40% - Ênfase3 2 2 2 8 2" xfId="11945" xr:uid="{00000000-0005-0000-0000-0000172E0000}"/>
    <cellStyle name="40% - Ênfase3 2 2 2 9" xfId="11946" xr:uid="{00000000-0005-0000-0000-0000182E0000}"/>
    <cellStyle name="40% - Ênfase3 2 2 3" xfId="11947" xr:uid="{00000000-0005-0000-0000-0000192E0000}"/>
    <cellStyle name="40% - Ênfase3 2 2 3 2" xfId="11948" xr:uid="{00000000-0005-0000-0000-00001A2E0000}"/>
    <cellStyle name="40% - Ênfase3 2 2 3 2 2" xfId="11949" xr:uid="{00000000-0005-0000-0000-00001B2E0000}"/>
    <cellStyle name="40% - Ênfase3 2 2 3 2 2 2" xfId="11950" xr:uid="{00000000-0005-0000-0000-00001C2E0000}"/>
    <cellStyle name="40% - Ênfase3 2 2 3 2 3" xfId="11951" xr:uid="{00000000-0005-0000-0000-00001D2E0000}"/>
    <cellStyle name="40% - Ênfase3 2 2 3 2 3 2" xfId="11952" xr:uid="{00000000-0005-0000-0000-00001E2E0000}"/>
    <cellStyle name="40% - Ênfase3 2 2 3 2 4" xfId="11953" xr:uid="{00000000-0005-0000-0000-00001F2E0000}"/>
    <cellStyle name="40% - Ênfase3 2 2 3 3" xfId="11954" xr:uid="{00000000-0005-0000-0000-0000202E0000}"/>
    <cellStyle name="40% - Ênfase3 2 2 3 3 2" xfId="11955" xr:uid="{00000000-0005-0000-0000-0000212E0000}"/>
    <cellStyle name="40% - Ênfase3 2 2 3 3 2 2" xfId="11956" xr:uid="{00000000-0005-0000-0000-0000222E0000}"/>
    <cellStyle name="40% - Ênfase3 2 2 3 3 3" xfId="11957" xr:uid="{00000000-0005-0000-0000-0000232E0000}"/>
    <cellStyle name="40% - Ênfase3 2 2 3 3 3 2" xfId="11958" xr:uid="{00000000-0005-0000-0000-0000242E0000}"/>
    <cellStyle name="40% - Ênfase3 2 2 3 3 4" xfId="11959" xr:uid="{00000000-0005-0000-0000-0000252E0000}"/>
    <cellStyle name="40% - Ênfase3 2 2 3 4" xfId="11960" xr:uid="{00000000-0005-0000-0000-0000262E0000}"/>
    <cellStyle name="40% - Ênfase3 2 2 3 4 2" xfId="11961" xr:uid="{00000000-0005-0000-0000-0000272E0000}"/>
    <cellStyle name="40% - Ênfase3 2 2 3 5" xfId="11962" xr:uid="{00000000-0005-0000-0000-0000282E0000}"/>
    <cellStyle name="40% - Ênfase3 2 2 3 5 2" xfId="11963" xr:uid="{00000000-0005-0000-0000-0000292E0000}"/>
    <cellStyle name="40% - Ênfase3 2 2 3 6" xfId="11964" xr:uid="{00000000-0005-0000-0000-00002A2E0000}"/>
    <cellStyle name="40% - Ênfase3 2 2 4" xfId="11965" xr:uid="{00000000-0005-0000-0000-00002B2E0000}"/>
    <cellStyle name="40% - Ênfase3 2 2 4 2" xfId="11966" xr:uid="{00000000-0005-0000-0000-00002C2E0000}"/>
    <cellStyle name="40% - Ênfase3 2 2 4 2 2" xfId="11967" xr:uid="{00000000-0005-0000-0000-00002D2E0000}"/>
    <cellStyle name="40% - Ênfase3 2 2 4 2 2 2" xfId="11968" xr:uid="{00000000-0005-0000-0000-00002E2E0000}"/>
    <cellStyle name="40% - Ênfase3 2 2 4 2 3" xfId="11969" xr:uid="{00000000-0005-0000-0000-00002F2E0000}"/>
    <cellStyle name="40% - Ênfase3 2 2 4 2 3 2" xfId="11970" xr:uid="{00000000-0005-0000-0000-0000302E0000}"/>
    <cellStyle name="40% - Ênfase3 2 2 4 2 4" xfId="11971" xr:uid="{00000000-0005-0000-0000-0000312E0000}"/>
    <cellStyle name="40% - Ênfase3 2 2 4 3" xfId="11972" xr:uid="{00000000-0005-0000-0000-0000322E0000}"/>
    <cellStyle name="40% - Ênfase3 2 2 4 3 2" xfId="11973" xr:uid="{00000000-0005-0000-0000-0000332E0000}"/>
    <cellStyle name="40% - Ênfase3 2 2 4 3 2 2" xfId="11974" xr:uid="{00000000-0005-0000-0000-0000342E0000}"/>
    <cellStyle name="40% - Ênfase3 2 2 4 3 3" xfId="11975" xr:uid="{00000000-0005-0000-0000-0000352E0000}"/>
    <cellStyle name="40% - Ênfase3 2 2 4 3 3 2" xfId="11976" xr:uid="{00000000-0005-0000-0000-0000362E0000}"/>
    <cellStyle name="40% - Ênfase3 2 2 4 3 4" xfId="11977" xr:uid="{00000000-0005-0000-0000-0000372E0000}"/>
    <cellStyle name="40% - Ênfase3 2 2 4 4" xfId="11978" xr:uid="{00000000-0005-0000-0000-0000382E0000}"/>
    <cellStyle name="40% - Ênfase3 2 2 4 4 2" xfId="11979" xr:uid="{00000000-0005-0000-0000-0000392E0000}"/>
    <cellStyle name="40% - Ênfase3 2 2 4 5" xfId="11980" xr:uid="{00000000-0005-0000-0000-00003A2E0000}"/>
    <cellStyle name="40% - Ênfase3 2 2 4 5 2" xfId="11981" xr:uid="{00000000-0005-0000-0000-00003B2E0000}"/>
    <cellStyle name="40% - Ênfase3 2 2 4 6" xfId="11982" xr:uid="{00000000-0005-0000-0000-00003C2E0000}"/>
    <cellStyle name="40% - Ênfase3 2 2 5" xfId="11983" xr:uid="{00000000-0005-0000-0000-00003D2E0000}"/>
    <cellStyle name="40% - Ênfase3 2 2 5 2" xfId="11984" xr:uid="{00000000-0005-0000-0000-00003E2E0000}"/>
    <cellStyle name="40% - Ênfase3 2 2 5 2 2" xfId="11985" xr:uid="{00000000-0005-0000-0000-00003F2E0000}"/>
    <cellStyle name="40% - Ênfase3 2 2 5 3" xfId="11986" xr:uid="{00000000-0005-0000-0000-0000402E0000}"/>
    <cellStyle name="40% - Ênfase3 2 2 5 3 2" xfId="11987" xr:uid="{00000000-0005-0000-0000-0000412E0000}"/>
    <cellStyle name="40% - Ênfase3 2 2 5 4" xfId="11988" xr:uid="{00000000-0005-0000-0000-0000422E0000}"/>
    <cellStyle name="40% - Ênfase3 2 2 6" xfId="11989" xr:uid="{00000000-0005-0000-0000-0000432E0000}"/>
    <cellStyle name="40% - Ênfase3 2 2 6 2" xfId="11990" xr:uid="{00000000-0005-0000-0000-0000442E0000}"/>
    <cellStyle name="40% - Ênfase3 2 2 6 2 2" xfId="11991" xr:uid="{00000000-0005-0000-0000-0000452E0000}"/>
    <cellStyle name="40% - Ênfase3 2 2 6 3" xfId="11992" xr:uid="{00000000-0005-0000-0000-0000462E0000}"/>
    <cellStyle name="40% - Ênfase3 2 2 7" xfId="11993" xr:uid="{00000000-0005-0000-0000-0000472E0000}"/>
    <cellStyle name="40% - Ênfase3 2 2 7 2" xfId="11994" xr:uid="{00000000-0005-0000-0000-0000482E0000}"/>
    <cellStyle name="40% - Ênfase3 2 2 7 2 2" xfId="11995" xr:uid="{00000000-0005-0000-0000-0000492E0000}"/>
    <cellStyle name="40% - Ênfase3 2 2 7 3" xfId="11996" xr:uid="{00000000-0005-0000-0000-00004A2E0000}"/>
    <cellStyle name="40% - Ênfase3 2 2 8" xfId="11997" xr:uid="{00000000-0005-0000-0000-00004B2E0000}"/>
    <cellStyle name="40% - Ênfase3 2 2 8 2" xfId="11998" xr:uid="{00000000-0005-0000-0000-00004C2E0000}"/>
    <cellStyle name="40% - Ênfase3 2 2 8 2 2" xfId="11999" xr:uid="{00000000-0005-0000-0000-00004D2E0000}"/>
    <cellStyle name="40% - Ênfase3 2 2 8 3" xfId="12000" xr:uid="{00000000-0005-0000-0000-00004E2E0000}"/>
    <cellStyle name="40% - Ênfase3 2 2 9" xfId="12001" xr:uid="{00000000-0005-0000-0000-00004F2E0000}"/>
    <cellStyle name="40% - Ênfase3 2 2 9 2" xfId="12002" xr:uid="{00000000-0005-0000-0000-0000502E0000}"/>
    <cellStyle name="40% - Ênfase3 2 2 9 2 2" xfId="12003" xr:uid="{00000000-0005-0000-0000-0000512E0000}"/>
    <cellStyle name="40% - Ênfase3 2 2 9 3" xfId="12004" xr:uid="{00000000-0005-0000-0000-0000522E0000}"/>
    <cellStyle name="40% - Ênfase3 2 3" xfId="12005" xr:uid="{00000000-0005-0000-0000-0000532E0000}"/>
    <cellStyle name="40% - Ênfase3 2 3 10" xfId="12006" xr:uid="{00000000-0005-0000-0000-0000542E0000}"/>
    <cellStyle name="40% - Ênfase3 2 3 10 2" xfId="12007" xr:uid="{00000000-0005-0000-0000-0000552E0000}"/>
    <cellStyle name="40% - Ênfase3 2 3 11" xfId="12008" xr:uid="{00000000-0005-0000-0000-0000562E0000}"/>
    <cellStyle name="40% - Ênfase3 2 3 2" xfId="12009" xr:uid="{00000000-0005-0000-0000-0000572E0000}"/>
    <cellStyle name="40% - Ênfase3 2 3 2 2" xfId="12010" xr:uid="{00000000-0005-0000-0000-0000582E0000}"/>
    <cellStyle name="40% - Ênfase3 2 3 2 2 2" xfId="12011" xr:uid="{00000000-0005-0000-0000-0000592E0000}"/>
    <cellStyle name="40% - Ênfase3 2 3 2 2 2 2" xfId="12012" xr:uid="{00000000-0005-0000-0000-00005A2E0000}"/>
    <cellStyle name="40% - Ênfase3 2 3 2 2 2 2 2" xfId="12013" xr:uid="{00000000-0005-0000-0000-00005B2E0000}"/>
    <cellStyle name="40% - Ênfase3 2 3 2 2 2 3" xfId="12014" xr:uid="{00000000-0005-0000-0000-00005C2E0000}"/>
    <cellStyle name="40% - Ênfase3 2 3 2 2 2 3 2" xfId="12015" xr:uid="{00000000-0005-0000-0000-00005D2E0000}"/>
    <cellStyle name="40% - Ênfase3 2 3 2 2 2 4" xfId="12016" xr:uid="{00000000-0005-0000-0000-00005E2E0000}"/>
    <cellStyle name="40% - Ênfase3 2 3 2 2 3" xfId="12017" xr:uid="{00000000-0005-0000-0000-00005F2E0000}"/>
    <cellStyle name="40% - Ênfase3 2 3 2 2 3 2" xfId="12018" xr:uid="{00000000-0005-0000-0000-0000602E0000}"/>
    <cellStyle name="40% - Ênfase3 2 3 2 2 3 2 2" xfId="12019" xr:uid="{00000000-0005-0000-0000-0000612E0000}"/>
    <cellStyle name="40% - Ênfase3 2 3 2 2 3 3" xfId="12020" xr:uid="{00000000-0005-0000-0000-0000622E0000}"/>
    <cellStyle name="40% - Ênfase3 2 3 2 2 3 3 2" xfId="12021" xr:uid="{00000000-0005-0000-0000-0000632E0000}"/>
    <cellStyle name="40% - Ênfase3 2 3 2 2 3 4" xfId="12022" xr:uid="{00000000-0005-0000-0000-0000642E0000}"/>
    <cellStyle name="40% - Ênfase3 2 3 2 2 4" xfId="12023" xr:uid="{00000000-0005-0000-0000-0000652E0000}"/>
    <cellStyle name="40% - Ênfase3 2 3 2 2 4 2" xfId="12024" xr:uid="{00000000-0005-0000-0000-0000662E0000}"/>
    <cellStyle name="40% - Ênfase3 2 3 2 2 5" xfId="12025" xr:uid="{00000000-0005-0000-0000-0000672E0000}"/>
    <cellStyle name="40% - Ênfase3 2 3 2 2 5 2" xfId="12026" xr:uid="{00000000-0005-0000-0000-0000682E0000}"/>
    <cellStyle name="40% - Ênfase3 2 3 2 2 6" xfId="12027" xr:uid="{00000000-0005-0000-0000-0000692E0000}"/>
    <cellStyle name="40% - Ênfase3 2 3 2 3" xfId="12028" xr:uid="{00000000-0005-0000-0000-00006A2E0000}"/>
    <cellStyle name="40% - Ênfase3 2 3 2 3 2" xfId="12029" xr:uid="{00000000-0005-0000-0000-00006B2E0000}"/>
    <cellStyle name="40% - Ênfase3 2 3 2 3 2 2" xfId="12030" xr:uid="{00000000-0005-0000-0000-00006C2E0000}"/>
    <cellStyle name="40% - Ênfase3 2 3 2 3 3" xfId="12031" xr:uid="{00000000-0005-0000-0000-00006D2E0000}"/>
    <cellStyle name="40% - Ênfase3 2 3 2 3 3 2" xfId="12032" xr:uid="{00000000-0005-0000-0000-00006E2E0000}"/>
    <cellStyle name="40% - Ênfase3 2 3 2 3 4" xfId="12033" xr:uid="{00000000-0005-0000-0000-00006F2E0000}"/>
    <cellStyle name="40% - Ênfase3 2 3 2 4" xfId="12034" xr:uid="{00000000-0005-0000-0000-0000702E0000}"/>
    <cellStyle name="40% - Ênfase3 2 3 2 4 2" xfId="12035" xr:uid="{00000000-0005-0000-0000-0000712E0000}"/>
    <cellStyle name="40% - Ênfase3 2 3 2 4 2 2" xfId="12036" xr:uid="{00000000-0005-0000-0000-0000722E0000}"/>
    <cellStyle name="40% - Ênfase3 2 3 2 4 3" xfId="12037" xr:uid="{00000000-0005-0000-0000-0000732E0000}"/>
    <cellStyle name="40% - Ênfase3 2 3 2 5" xfId="12038" xr:uid="{00000000-0005-0000-0000-0000742E0000}"/>
    <cellStyle name="40% - Ênfase3 2 3 2 5 2" xfId="12039" xr:uid="{00000000-0005-0000-0000-0000752E0000}"/>
    <cellStyle name="40% - Ênfase3 2 3 2 5 2 2" xfId="12040" xr:uid="{00000000-0005-0000-0000-0000762E0000}"/>
    <cellStyle name="40% - Ênfase3 2 3 2 5 3" xfId="12041" xr:uid="{00000000-0005-0000-0000-0000772E0000}"/>
    <cellStyle name="40% - Ênfase3 2 3 2 6" xfId="12042" xr:uid="{00000000-0005-0000-0000-0000782E0000}"/>
    <cellStyle name="40% - Ênfase3 2 3 2 6 2" xfId="12043" xr:uid="{00000000-0005-0000-0000-0000792E0000}"/>
    <cellStyle name="40% - Ênfase3 2 3 2 6 2 2" xfId="12044" xr:uid="{00000000-0005-0000-0000-00007A2E0000}"/>
    <cellStyle name="40% - Ênfase3 2 3 2 6 3" xfId="12045" xr:uid="{00000000-0005-0000-0000-00007B2E0000}"/>
    <cellStyle name="40% - Ênfase3 2 3 2 7" xfId="12046" xr:uid="{00000000-0005-0000-0000-00007C2E0000}"/>
    <cellStyle name="40% - Ênfase3 2 3 2 7 2" xfId="12047" xr:uid="{00000000-0005-0000-0000-00007D2E0000}"/>
    <cellStyle name="40% - Ênfase3 2 3 2 7 2 2" xfId="12048" xr:uid="{00000000-0005-0000-0000-00007E2E0000}"/>
    <cellStyle name="40% - Ênfase3 2 3 2 7 3" xfId="12049" xr:uid="{00000000-0005-0000-0000-00007F2E0000}"/>
    <cellStyle name="40% - Ênfase3 2 3 2 8" xfId="12050" xr:uid="{00000000-0005-0000-0000-0000802E0000}"/>
    <cellStyle name="40% - Ênfase3 2 3 2 8 2" xfId="12051" xr:uid="{00000000-0005-0000-0000-0000812E0000}"/>
    <cellStyle name="40% - Ênfase3 2 3 2 9" xfId="12052" xr:uid="{00000000-0005-0000-0000-0000822E0000}"/>
    <cellStyle name="40% - Ênfase3 2 3 3" xfId="12053" xr:uid="{00000000-0005-0000-0000-0000832E0000}"/>
    <cellStyle name="40% - Ênfase3 2 3 3 2" xfId="12054" xr:uid="{00000000-0005-0000-0000-0000842E0000}"/>
    <cellStyle name="40% - Ênfase3 2 3 3 2 2" xfId="12055" xr:uid="{00000000-0005-0000-0000-0000852E0000}"/>
    <cellStyle name="40% - Ênfase3 2 3 3 2 2 2" xfId="12056" xr:uid="{00000000-0005-0000-0000-0000862E0000}"/>
    <cellStyle name="40% - Ênfase3 2 3 3 2 3" xfId="12057" xr:uid="{00000000-0005-0000-0000-0000872E0000}"/>
    <cellStyle name="40% - Ênfase3 2 3 3 2 3 2" xfId="12058" xr:uid="{00000000-0005-0000-0000-0000882E0000}"/>
    <cellStyle name="40% - Ênfase3 2 3 3 2 4" xfId="12059" xr:uid="{00000000-0005-0000-0000-0000892E0000}"/>
    <cellStyle name="40% - Ênfase3 2 3 3 3" xfId="12060" xr:uid="{00000000-0005-0000-0000-00008A2E0000}"/>
    <cellStyle name="40% - Ênfase3 2 3 3 3 2" xfId="12061" xr:uid="{00000000-0005-0000-0000-00008B2E0000}"/>
    <cellStyle name="40% - Ênfase3 2 3 3 3 2 2" xfId="12062" xr:uid="{00000000-0005-0000-0000-00008C2E0000}"/>
    <cellStyle name="40% - Ênfase3 2 3 3 3 3" xfId="12063" xr:uid="{00000000-0005-0000-0000-00008D2E0000}"/>
    <cellStyle name="40% - Ênfase3 2 3 3 3 3 2" xfId="12064" xr:uid="{00000000-0005-0000-0000-00008E2E0000}"/>
    <cellStyle name="40% - Ênfase3 2 3 3 3 4" xfId="12065" xr:uid="{00000000-0005-0000-0000-00008F2E0000}"/>
    <cellStyle name="40% - Ênfase3 2 3 3 4" xfId="12066" xr:uid="{00000000-0005-0000-0000-0000902E0000}"/>
    <cellStyle name="40% - Ênfase3 2 3 3 4 2" xfId="12067" xr:uid="{00000000-0005-0000-0000-0000912E0000}"/>
    <cellStyle name="40% - Ênfase3 2 3 3 5" xfId="12068" xr:uid="{00000000-0005-0000-0000-0000922E0000}"/>
    <cellStyle name="40% - Ênfase3 2 3 3 5 2" xfId="12069" xr:uid="{00000000-0005-0000-0000-0000932E0000}"/>
    <cellStyle name="40% - Ênfase3 2 3 3 6" xfId="12070" xr:uid="{00000000-0005-0000-0000-0000942E0000}"/>
    <cellStyle name="40% - Ênfase3 2 3 4" xfId="12071" xr:uid="{00000000-0005-0000-0000-0000952E0000}"/>
    <cellStyle name="40% - Ênfase3 2 3 4 2" xfId="12072" xr:uid="{00000000-0005-0000-0000-0000962E0000}"/>
    <cellStyle name="40% - Ênfase3 2 3 4 2 2" xfId="12073" xr:uid="{00000000-0005-0000-0000-0000972E0000}"/>
    <cellStyle name="40% - Ênfase3 2 3 4 2 2 2" xfId="12074" xr:uid="{00000000-0005-0000-0000-0000982E0000}"/>
    <cellStyle name="40% - Ênfase3 2 3 4 2 3" xfId="12075" xr:uid="{00000000-0005-0000-0000-0000992E0000}"/>
    <cellStyle name="40% - Ênfase3 2 3 4 2 3 2" xfId="12076" xr:uid="{00000000-0005-0000-0000-00009A2E0000}"/>
    <cellStyle name="40% - Ênfase3 2 3 4 2 4" xfId="12077" xr:uid="{00000000-0005-0000-0000-00009B2E0000}"/>
    <cellStyle name="40% - Ênfase3 2 3 4 3" xfId="12078" xr:uid="{00000000-0005-0000-0000-00009C2E0000}"/>
    <cellStyle name="40% - Ênfase3 2 3 4 3 2" xfId="12079" xr:uid="{00000000-0005-0000-0000-00009D2E0000}"/>
    <cellStyle name="40% - Ênfase3 2 3 4 3 2 2" xfId="12080" xr:uid="{00000000-0005-0000-0000-00009E2E0000}"/>
    <cellStyle name="40% - Ênfase3 2 3 4 3 3" xfId="12081" xr:uid="{00000000-0005-0000-0000-00009F2E0000}"/>
    <cellStyle name="40% - Ênfase3 2 3 4 3 3 2" xfId="12082" xr:uid="{00000000-0005-0000-0000-0000A02E0000}"/>
    <cellStyle name="40% - Ênfase3 2 3 4 3 4" xfId="12083" xr:uid="{00000000-0005-0000-0000-0000A12E0000}"/>
    <cellStyle name="40% - Ênfase3 2 3 4 4" xfId="12084" xr:uid="{00000000-0005-0000-0000-0000A22E0000}"/>
    <cellStyle name="40% - Ênfase3 2 3 4 4 2" xfId="12085" xr:uid="{00000000-0005-0000-0000-0000A32E0000}"/>
    <cellStyle name="40% - Ênfase3 2 3 4 5" xfId="12086" xr:uid="{00000000-0005-0000-0000-0000A42E0000}"/>
    <cellStyle name="40% - Ênfase3 2 3 4 5 2" xfId="12087" xr:uid="{00000000-0005-0000-0000-0000A52E0000}"/>
    <cellStyle name="40% - Ênfase3 2 3 4 6" xfId="12088" xr:uid="{00000000-0005-0000-0000-0000A62E0000}"/>
    <cellStyle name="40% - Ênfase3 2 3 5" xfId="12089" xr:uid="{00000000-0005-0000-0000-0000A72E0000}"/>
    <cellStyle name="40% - Ênfase3 2 3 5 2" xfId="12090" xr:uid="{00000000-0005-0000-0000-0000A82E0000}"/>
    <cellStyle name="40% - Ênfase3 2 3 5 2 2" xfId="12091" xr:uid="{00000000-0005-0000-0000-0000A92E0000}"/>
    <cellStyle name="40% - Ênfase3 2 3 5 3" xfId="12092" xr:uid="{00000000-0005-0000-0000-0000AA2E0000}"/>
    <cellStyle name="40% - Ênfase3 2 3 5 3 2" xfId="12093" xr:uid="{00000000-0005-0000-0000-0000AB2E0000}"/>
    <cellStyle name="40% - Ênfase3 2 3 5 4" xfId="12094" xr:uid="{00000000-0005-0000-0000-0000AC2E0000}"/>
    <cellStyle name="40% - Ênfase3 2 3 6" xfId="12095" xr:uid="{00000000-0005-0000-0000-0000AD2E0000}"/>
    <cellStyle name="40% - Ênfase3 2 3 6 2" xfId="12096" xr:uid="{00000000-0005-0000-0000-0000AE2E0000}"/>
    <cellStyle name="40% - Ênfase3 2 3 6 2 2" xfId="12097" xr:uid="{00000000-0005-0000-0000-0000AF2E0000}"/>
    <cellStyle name="40% - Ênfase3 2 3 6 3" xfId="12098" xr:uid="{00000000-0005-0000-0000-0000B02E0000}"/>
    <cellStyle name="40% - Ênfase3 2 3 7" xfId="12099" xr:uid="{00000000-0005-0000-0000-0000B12E0000}"/>
    <cellStyle name="40% - Ênfase3 2 3 7 2" xfId="12100" xr:uid="{00000000-0005-0000-0000-0000B22E0000}"/>
    <cellStyle name="40% - Ênfase3 2 3 7 2 2" xfId="12101" xr:uid="{00000000-0005-0000-0000-0000B32E0000}"/>
    <cellStyle name="40% - Ênfase3 2 3 7 3" xfId="12102" xr:uid="{00000000-0005-0000-0000-0000B42E0000}"/>
    <cellStyle name="40% - Ênfase3 2 3 8" xfId="12103" xr:uid="{00000000-0005-0000-0000-0000B52E0000}"/>
    <cellStyle name="40% - Ênfase3 2 3 8 2" xfId="12104" xr:uid="{00000000-0005-0000-0000-0000B62E0000}"/>
    <cellStyle name="40% - Ênfase3 2 3 8 2 2" xfId="12105" xr:uid="{00000000-0005-0000-0000-0000B72E0000}"/>
    <cellStyle name="40% - Ênfase3 2 3 8 3" xfId="12106" xr:uid="{00000000-0005-0000-0000-0000B82E0000}"/>
    <cellStyle name="40% - Ênfase3 2 3 9" xfId="12107" xr:uid="{00000000-0005-0000-0000-0000B92E0000}"/>
    <cellStyle name="40% - Ênfase3 2 3 9 2" xfId="12108" xr:uid="{00000000-0005-0000-0000-0000BA2E0000}"/>
    <cellStyle name="40% - Ênfase3 2 3 9 2 2" xfId="12109" xr:uid="{00000000-0005-0000-0000-0000BB2E0000}"/>
    <cellStyle name="40% - Ênfase3 2 3 9 3" xfId="12110" xr:uid="{00000000-0005-0000-0000-0000BC2E0000}"/>
    <cellStyle name="40% - Ênfase3 2 4" xfId="12111" xr:uid="{00000000-0005-0000-0000-0000BD2E0000}"/>
    <cellStyle name="40% - Ênfase3 2 4 10" xfId="12112" xr:uid="{00000000-0005-0000-0000-0000BE2E0000}"/>
    <cellStyle name="40% - Ênfase3 2 4 2" xfId="12113" xr:uid="{00000000-0005-0000-0000-0000BF2E0000}"/>
    <cellStyle name="40% - Ênfase3 2 4 2 2" xfId="12114" xr:uid="{00000000-0005-0000-0000-0000C02E0000}"/>
    <cellStyle name="40% - Ênfase3 2 4 2 2 2" xfId="12115" xr:uid="{00000000-0005-0000-0000-0000C12E0000}"/>
    <cellStyle name="40% - Ênfase3 2 4 2 2 2 2" xfId="12116" xr:uid="{00000000-0005-0000-0000-0000C22E0000}"/>
    <cellStyle name="40% - Ênfase3 2 4 2 2 2 2 2" xfId="12117" xr:uid="{00000000-0005-0000-0000-0000C32E0000}"/>
    <cellStyle name="40% - Ênfase3 2 4 2 2 2 3" xfId="12118" xr:uid="{00000000-0005-0000-0000-0000C42E0000}"/>
    <cellStyle name="40% - Ênfase3 2 4 2 2 2 3 2" xfId="12119" xr:uid="{00000000-0005-0000-0000-0000C52E0000}"/>
    <cellStyle name="40% - Ênfase3 2 4 2 2 2 4" xfId="12120" xr:uid="{00000000-0005-0000-0000-0000C62E0000}"/>
    <cellStyle name="40% - Ênfase3 2 4 2 2 3" xfId="12121" xr:uid="{00000000-0005-0000-0000-0000C72E0000}"/>
    <cellStyle name="40% - Ênfase3 2 4 2 2 3 2" xfId="12122" xr:uid="{00000000-0005-0000-0000-0000C82E0000}"/>
    <cellStyle name="40% - Ênfase3 2 4 2 2 4" xfId="12123" xr:uid="{00000000-0005-0000-0000-0000C92E0000}"/>
    <cellStyle name="40% - Ênfase3 2 4 2 2 4 2" xfId="12124" xr:uid="{00000000-0005-0000-0000-0000CA2E0000}"/>
    <cellStyle name="40% - Ênfase3 2 4 2 2 5" xfId="12125" xr:uid="{00000000-0005-0000-0000-0000CB2E0000}"/>
    <cellStyle name="40% - Ênfase3 2 4 2 3" xfId="12126" xr:uid="{00000000-0005-0000-0000-0000CC2E0000}"/>
    <cellStyle name="40% - Ênfase3 2 4 2 3 2" xfId="12127" xr:uid="{00000000-0005-0000-0000-0000CD2E0000}"/>
    <cellStyle name="40% - Ênfase3 2 4 2 3 2 2" xfId="12128" xr:uid="{00000000-0005-0000-0000-0000CE2E0000}"/>
    <cellStyle name="40% - Ênfase3 2 4 2 3 3" xfId="12129" xr:uid="{00000000-0005-0000-0000-0000CF2E0000}"/>
    <cellStyle name="40% - Ênfase3 2 4 2 3 3 2" xfId="12130" xr:uid="{00000000-0005-0000-0000-0000D02E0000}"/>
    <cellStyle name="40% - Ênfase3 2 4 2 3 4" xfId="12131" xr:uid="{00000000-0005-0000-0000-0000D12E0000}"/>
    <cellStyle name="40% - Ênfase3 2 4 2 4" xfId="12132" xr:uid="{00000000-0005-0000-0000-0000D22E0000}"/>
    <cellStyle name="40% - Ênfase3 2 4 2 4 2" xfId="12133" xr:uid="{00000000-0005-0000-0000-0000D32E0000}"/>
    <cellStyle name="40% - Ênfase3 2 4 2 4 2 2" xfId="12134" xr:uid="{00000000-0005-0000-0000-0000D42E0000}"/>
    <cellStyle name="40% - Ênfase3 2 4 2 4 3" xfId="12135" xr:uid="{00000000-0005-0000-0000-0000D52E0000}"/>
    <cellStyle name="40% - Ênfase3 2 4 2 5" xfId="12136" xr:uid="{00000000-0005-0000-0000-0000D62E0000}"/>
    <cellStyle name="40% - Ênfase3 2 4 2 5 2" xfId="12137" xr:uid="{00000000-0005-0000-0000-0000D72E0000}"/>
    <cellStyle name="40% - Ênfase3 2 4 2 6" xfId="12138" xr:uid="{00000000-0005-0000-0000-0000D82E0000}"/>
    <cellStyle name="40% - Ênfase3 2 4 3" xfId="12139" xr:uid="{00000000-0005-0000-0000-0000D92E0000}"/>
    <cellStyle name="40% - Ênfase3 2 4 3 2" xfId="12140" xr:uid="{00000000-0005-0000-0000-0000DA2E0000}"/>
    <cellStyle name="40% - Ênfase3 2 4 3 2 2" xfId="12141" xr:uid="{00000000-0005-0000-0000-0000DB2E0000}"/>
    <cellStyle name="40% - Ênfase3 2 4 3 2 2 2" xfId="12142" xr:uid="{00000000-0005-0000-0000-0000DC2E0000}"/>
    <cellStyle name="40% - Ênfase3 2 4 3 2 3" xfId="12143" xr:uid="{00000000-0005-0000-0000-0000DD2E0000}"/>
    <cellStyle name="40% - Ênfase3 2 4 3 2 3 2" xfId="12144" xr:uid="{00000000-0005-0000-0000-0000DE2E0000}"/>
    <cellStyle name="40% - Ênfase3 2 4 3 2 4" xfId="12145" xr:uid="{00000000-0005-0000-0000-0000DF2E0000}"/>
    <cellStyle name="40% - Ênfase3 2 4 3 3" xfId="12146" xr:uid="{00000000-0005-0000-0000-0000E02E0000}"/>
    <cellStyle name="40% - Ênfase3 2 4 3 3 2" xfId="12147" xr:uid="{00000000-0005-0000-0000-0000E12E0000}"/>
    <cellStyle name="40% - Ênfase3 2 4 3 3 2 2" xfId="12148" xr:uid="{00000000-0005-0000-0000-0000E22E0000}"/>
    <cellStyle name="40% - Ênfase3 2 4 3 3 3" xfId="12149" xr:uid="{00000000-0005-0000-0000-0000E32E0000}"/>
    <cellStyle name="40% - Ênfase3 2 4 3 3 3 2" xfId="12150" xr:uid="{00000000-0005-0000-0000-0000E42E0000}"/>
    <cellStyle name="40% - Ênfase3 2 4 3 3 4" xfId="12151" xr:uid="{00000000-0005-0000-0000-0000E52E0000}"/>
    <cellStyle name="40% - Ênfase3 2 4 3 4" xfId="12152" xr:uid="{00000000-0005-0000-0000-0000E62E0000}"/>
    <cellStyle name="40% - Ênfase3 2 4 3 4 2" xfId="12153" xr:uid="{00000000-0005-0000-0000-0000E72E0000}"/>
    <cellStyle name="40% - Ênfase3 2 4 3 5" xfId="12154" xr:uid="{00000000-0005-0000-0000-0000E82E0000}"/>
    <cellStyle name="40% - Ênfase3 2 4 3 5 2" xfId="12155" xr:uid="{00000000-0005-0000-0000-0000E92E0000}"/>
    <cellStyle name="40% - Ênfase3 2 4 3 6" xfId="12156" xr:uid="{00000000-0005-0000-0000-0000EA2E0000}"/>
    <cellStyle name="40% - Ênfase3 2 4 4" xfId="12157" xr:uid="{00000000-0005-0000-0000-0000EB2E0000}"/>
    <cellStyle name="40% - Ênfase3 2 4 4 2" xfId="12158" xr:uid="{00000000-0005-0000-0000-0000EC2E0000}"/>
    <cellStyle name="40% - Ênfase3 2 4 4 2 2" xfId="12159" xr:uid="{00000000-0005-0000-0000-0000ED2E0000}"/>
    <cellStyle name="40% - Ênfase3 2 4 4 3" xfId="12160" xr:uid="{00000000-0005-0000-0000-0000EE2E0000}"/>
    <cellStyle name="40% - Ênfase3 2 4 4 3 2" xfId="12161" xr:uid="{00000000-0005-0000-0000-0000EF2E0000}"/>
    <cellStyle name="40% - Ênfase3 2 4 4 4" xfId="12162" xr:uid="{00000000-0005-0000-0000-0000F02E0000}"/>
    <cellStyle name="40% - Ênfase3 2 4 5" xfId="12163" xr:uid="{00000000-0005-0000-0000-0000F12E0000}"/>
    <cellStyle name="40% - Ênfase3 2 4 5 2" xfId="12164" xr:uid="{00000000-0005-0000-0000-0000F22E0000}"/>
    <cellStyle name="40% - Ênfase3 2 4 5 2 2" xfId="12165" xr:uid="{00000000-0005-0000-0000-0000F32E0000}"/>
    <cellStyle name="40% - Ênfase3 2 4 5 3" xfId="12166" xr:uid="{00000000-0005-0000-0000-0000F42E0000}"/>
    <cellStyle name="40% - Ênfase3 2 4 6" xfId="12167" xr:uid="{00000000-0005-0000-0000-0000F52E0000}"/>
    <cellStyle name="40% - Ênfase3 2 4 6 2" xfId="12168" xr:uid="{00000000-0005-0000-0000-0000F62E0000}"/>
    <cellStyle name="40% - Ênfase3 2 4 6 2 2" xfId="12169" xr:uid="{00000000-0005-0000-0000-0000F72E0000}"/>
    <cellStyle name="40% - Ênfase3 2 4 6 3" xfId="12170" xr:uid="{00000000-0005-0000-0000-0000F82E0000}"/>
    <cellStyle name="40% - Ênfase3 2 4 7" xfId="12171" xr:uid="{00000000-0005-0000-0000-0000F92E0000}"/>
    <cellStyle name="40% - Ênfase3 2 4 7 2" xfId="12172" xr:uid="{00000000-0005-0000-0000-0000FA2E0000}"/>
    <cellStyle name="40% - Ênfase3 2 4 7 2 2" xfId="12173" xr:uid="{00000000-0005-0000-0000-0000FB2E0000}"/>
    <cellStyle name="40% - Ênfase3 2 4 7 3" xfId="12174" xr:uid="{00000000-0005-0000-0000-0000FC2E0000}"/>
    <cellStyle name="40% - Ênfase3 2 4 8" xfId="12175" xr:uid="{00000000-0005-0000-0000-0000FD2E0000}"/>
    <cellStyle name="40% - Ênfase3 2 4 8 2" xfId="12176" xr:uid="{00000000-0005-0000-0000-0000FE2E0000}"/>
    <cellStyle name="40% - Ênfase3 2 4 8 2 2" xfId="12177" xr:uid="{00000000-0005-0000-0000-0000FF2E0000}"/>
    <cellStyle name="40% - Ênfase3 2 4 8 3" xfId="12178" xr:uid="{00000000-0005-0000-0000-0000002F0000}"/>
    <cellStyle name="40% - Ênfase3 2 4 9" xfId="12179" xr:uid="{00000000-0005-0000-0000-0000012F0000}"/>
    <cellStyle name="40% - Ênfase3 2 4 9 2" xfId="12180" xr:uid="{00000000-0005-0000-0000-0000022F0000}"/>
    <cellStyle name="40% - Ênfase3 2 5" xfId="12181" xr:uid="{00000000-0005-0000-0000-0000032F0000}"/>
    <cellStyle name="40% - Ênfase3 2 5 2" xfId="12182" xr:uid="{00000000-0005-0000-0000-0000042F0000}"/>
    <cellStyle name="40% - Ênfase3 2 5 2 2" xfId="12183" xr:uid="{00000000-0005-0000-0000-0000052F0000}"/>
    <cellStyle name="40% - Ênfase3 2 5 2 2 2" xfId="12184" xr:uid="{00000000-0005-0000-0000-0000062F0000}"/>
    <cellStyle name="40% - Ênfase3 2 5 2 2 2 2" xfId="12185" xr:uid="{00000000-0005-0000-0000-0000072F0000}"/>
    <cellStyle name="40% - Ênfase3 2 5 2 2 2 2 2" xfId="12186" xr:uid="{00000000-0005-0000-0000-0000082F0000}"/>
    <cellStyle name="40% - Ênfase3 2 5 2 2 2 3" xfId="12187" xr:uid="{00000000-0005-0000-0000-0000092F0000}"/>
    <cellStyle name="40% - Ênfase3 2 5 2 2 2 3 2" xfId="12188" xr:uid="{00000000-0005-0000-0000-00000A2F0000}"/>
    <cellStyle name="40% - Ênfase3 2 5 2 2 2 4" xfId="12189" xr:uid="{00000000-0005-0000-0000-00000B2F0000}"/>
    <cellStyle name="40% - Ênfase3 2 5 2 2 3" xfId="12190" xr:uid="{00000000-0005-0000-0000-00000C2F0000}"/>
    <cellStyle name="40% - Ênfase3 2 5 2 2 3 2" xfId="12191" xr:uid="{00000000-0005-0000-0000-00000D2F0000}"/>
    <cellStyle name="40% - Ênfase3 2 5 2 2 4" xfId="12192" xr:uid="{00000000-0005-0000-0000-00000E2F0000}"/>
    <cellStyle name="40% - Ênfase3 2 5 2 2 4 2" xfId="12193" xr:uid="{00000000-0005-0000-0000-00000F2F0000}"/>
    <cellStyle name="40% - Ênfase3 2 5 2 2 5" xfId="12194" xr:uid="{00000000-0005-0000-0000-0000102F0000}"/>
    <cellStyle name="40% - Ênfase3 2 5 2 3" xfId="12195" xr:uid="{00000000-0005-0000-0000-0000112F0000}"/>
    <cellStyle name="40% - Ênfase3 2 5 2 3 2" xfId="12196" xr:uid="{00000000-0005-0000-0000-0000122F0000}"/>
    <cellStyle name="40% - Ênfase3 2 5 2 3 2 2" xfId="12197" xr:uid="{00000000-0005-0000-0000-0000132F0000}"/>
    <cellStyle name="40% - Ênfase3 2 5 2 3 3" xfId="12198" xr:uid="{00000000-0005-0000-0000-0000142F0000}"/>
    <cellStyle name="40% - Ênfase3 2 5 2 3 3 2" xfId="12199" xr:uid="{00000000-0005-0000-0000-0000152F0000}"/>
    <cellStyle name="40% - Ênfase3 2 5 2 3 4" xfId="12200" xr:uid="{00000000-0005-0000-0000-0000162F0000}"/>
    <cellStyle name="40% - Ênfase3 2 5 2 4" xfId="12201" xr:uid="{00000000-0005-0000-0000-0000172F0000}"/>
    <cellStyle name="40% - Ênfase3 2 5 2 4 2" xfId="12202" xr:uid="{00000000-0005-0000-0000-0000182F0000}"/>
    <cellStyle name="40% - Ênfase3 2 5 2 4 2 2" xfId="12203" xr:uid="{00000000-0005-0000-0000-0000192F0000}"/>
    <cellStyle name="40% - Ênfase3 2 5 2 4 3" xfId="12204" xr:uid="{00000000-0005-0000-0000-00001A2F0000}"/>
    <cellStyle name="40% - Ênfase3 2 5 2 5" xfId="12205" xr:uid="{00000000-0005-0000-0000-00001B2F0000}"/>
    <cellStyle name="40% - Ênfase3 2 5 2 5 2" xfId="12206" xr:uid="{00000000-0005-0000-0000-00001C2F0000}"/>
    <cellStyle name="40% - Ênfase3 2 5 2 6" xfId="12207" xr:uid="{00000000-0005-0000-0000-00001D2F0000}"/>
    <cellStyle name="40% - Ênfase3 2 5 3" xfId="12208" xr:uid="{00000000-0005-0000-0000-00001E2F0000}"/>
    <cellStyle name="40% - Ênfase3 2 5 3 2" xfId="12209" xr:uid="{00000000-0005-0000-0000-00001F2F0000}"/>
    <cellStyle name="40% - Ênfase3 2 5 3 2 2" xfId="12210" xr:uid="{00000000-0005-0000-0000-0000202F0000}"/>
    <cellStyle name="40% - Ênfase3 2 5 3 2 2 2" xfId="12211" xr:uid="{00000000-0005-0000-0000-0000212F0000}"/>
    <cellStyle name="40% - Ênfase3 2 5 3 2 3" xfId="12212" xr:uid="{00000000-0005-0000-0000-0000222F0000}"/>
    <cellStyle name="40% - Ênfase3 2 5 3 2 3 2" xfId="12213" xr:uid="{00000000-0005-0000-0000-0000232F0000}"/>
    <cellStyle name="40% - Ênfase3 2 5 3 2 4" xfId="12214" xr:uid="{00000000-0005-0000-0000-0000242F0000}"/>
    <cellStyle name="40% - Ênfase3 2 5 3 3" xfId="12215" xr:uid="{00000000-0005-0000-0000-0000252F0000}"/>
    <cellStyle name="40% - Ênfase3 2 5 3 3 2" xfId="12216" xr:uid="{00000000-0005-0000-0000-0000262F0000}"/>
    <cellStyle name="40% - Ênfase3 2 5 3 4" xfId="12217" xr:uid="{00000000-0005-0000-0000-0000272F0000}"/>
    <cellStyle name="40% - Ênfase3 2 5 3 4 2" xfId="12218" xr:uid="{00000000-0005-0000-0000-0000282F0000}"/>
    <cellStyle name="40% - Ênfase3 2 5 3 5" xfId="12219" xr:uid="{00000000-0005-0000-0000-0000292F0000}"/>
    <cellStyle name="40% - Ênfase3 2 5 4" xfId="12220" xr:uid="{00000000-0005-0000-0000-00002A2F0000}"/>
    <cellStyle name="40% - Ênfase3 2 5 4 2" xfId="12221" xr:uid="{00000000-0005-0000-0000-00002B2F0000}"/>
    <cellStyle name="40% - Ênfase3 2 5 4 2 2" xfId="12222" xr:uid="{00000000-0005-0000-0000-00002C2F0000}"/>
    <cellStyle name="40% - Ênfase3 2 5 4 3" xfId="12223" xr:uid="{00000000-0005-0000-0000-00002D2F0000}"/>
    <cellStyle name="40% - Ênfase3 2 5 4 3 2" xfId="12224" xr:uid="{00000000-0005-0000-0000-00002E2F0000}"/>
    <cellStyle name="40% - Ênfase3 2 5 4 4" xfId="12225" xr:uid="{00000000-0005-0000-0000-00002F2F0000}"/>
    <cellStyle name="40% - Ênfase3 2 5 5" xfId="12226" xr:uid="{00000000-0005-0000-0000-0000302F0000}"/>
    <cellStyle name="40% - Ênfase3 2 5 5 2" xfId="12227" xr:uid="{00000000-0005-0000-0000-0000312F0000}"/>
    <cellStyle name="40% - Ênfase3 2 5 5 2 2" xfId="12228" xr:uid="{00000000-0005-0000-0000-0000322F0000}"/>
    <cellStyle name="40% - Ênfase3 2 5 5 3" xfId="12229" xr:uid="{00000000-0005-0000-0000-0000332F0000}"/>
    <cellStyle name="40% - Ênfase3 2 5 6" xfId="12230" xr:uid="{00000000-0005-0000-0000-0000342F0000}"/>
    <cellStyle name="40% - Ênfase3 2 5 6 2" xfId="12231" xr:uid="{00000000-0005-0000-0000-0000352F0000}"/>
    <cellStyle name="40% - Ênfase3 2 5 7" xfId="12232" xr:uid="{00000000-0005-0000-0000-0000362F0000}"/>
    <cellStyle name="40% - Ênfase3 2 6" xfId="12233" xr:uid="{00000000-0005-0000-0000-0000372F0000}"/>
    <cellStyle name="40% - Ênfase3 2 6 2" xfId="12234" xr:uid="{00000000-0005-0000-0000-0000382F0000}"/>
    <cellStyle name="40% - Ênfase3 2 6 2 2" xfId="12235" xr:uid="{00000000-0005-0000-0000-0000392F0000}"/>
    <cellStyle name="40% - Ênfase3 2 6 2 2 2" xfId="12236" xr:uid="{00000000-0005-0000-0000-00003A2F0000}"/>
    <cellStyle name="40% - Ênfase3 2 6 2 2 2 2" xfId="12237" xr:uid="{00000000-0005-0000-0000-00003B2F0000}"/>
    <cellStyle name="40% - Ênfase3 2 6 2 2 2 2 2" xfId="12238" xr:uid="{00000000-0005-0000-0000-00003C2F0000}"/>
    <cellStyle name="40% - Ênfase3 2 6 2 2 2 3" xfId="12239" xr:uid="{00000000-0005-0000-0000-00003D2F0000}"/>
    <cellStyle name="40% - Ênfase3 2 6 2 2 2 3 2" xfId="12240" xr:uid="{00000000-0005-0000-0000-00003E2F0000}"/>
    <cellStyle name="40% - Ênfase3 2 6 2 2 2 4" xfId="12241" xr:uid="{00000000-0005-0000-0000-00003F2F0000}"/>
    <cellStyle name="40% - Ênfase3 2 6 2 2 3" xfId="12242" xr:uid="{00000000-0005-0000-0000-0000402F0000}"/>
    <cellStyle name="40% - Ênfase3 2 6 2 2 3 2" xfId="12243" xr:uid="{00000000-0005-0000-0000-0000412F0000}"/>
    <cellStyle name="40% - Ênfase3 2 6 2 2 4" xfId="12244" xr:uid="{00000000-0005-0000-0000-0000422F0000}"/>
    <cellStyle name="40% - Ênfase3 2 6 2 2 4 2" xfId="12245" xr:uid="{00000000-0005-0000-0000-0000432F0000}"/>
    <cellStyle name="40% - Ênfase3 2 6 2 2 5" xfId="12246" xr:uid="{00000000-0005-0000-0000-0000442F0000}"/>
    <cellStyle name="40% - Ênfase3 2 6 2 3" xfId="12247" xr:uid="{00000000-0005-0000-0000-0000452F0000}"/>
    <cellStyle name="40% - Ênfase3 2 6 2 3 2" xfId="12248" xr:uid="{00000000-0005-0000-0000-0000462F0000}"/>
    <cellStyle name="40% - Ênfase3 2 6 2 3 2 2" xfId="12249" xr:uid="{00000000-0005-0000-0000-0000472F0000}"/>
    <cellStyle name="40% - Ênfase3 2 6 2 3 3" xfId="12250" xr:uid="{00000000-0005-0000-0000-0000482F0000}"/>
    <cellStyle name="40% - Ênfase3 2 6 2 3 3 2" xfId="12251" xr:uid="{00000000-0005-0000-0000-0000492F0000}"/>
    <cellStyle name="40% - Ênfase3 2 6 2 3 4" xfId="12252" xr:uid="{00000000-0005-0000-0000-00004A2F0000}"/>
    <cellStyle name="40% - Ênfase3 2 6 2 4" xfId="12253" xr:uid="{00000000-0005-0000-0000-00004B2F0000}"/>
    <cellStyle name="40% - Ênfase3 2 6 2 4 2" xfId="12254" xr:uid="{00000000-0005-0000-0000-00004C2F0000}"/>
    <cellStyle name="40% - Ênfase3 2 6 2 4 2 2" xfId="12255" xr:uid="{00000000-0005-0000-0000-00004D2F0000}"/>
    <cellStyle name="40% - Ênfase3 2 6 2 4 3" xfId="12256" xr:uid="{00000000-0005-0000-0000-00004E2F0000}"/>
    <cellStyle name="40% - Ênfase3 2 6 2 5" xfId="12257" xr:uid="{00000000-0005-0000-0000-00004F2F0000}"/>
    <cellStyle name="40% - Ênfase3 2 6 2 5 2" xfId="12258" xr:uid="{00000000-0005-0000-0000-0000502F0000}"/>
    <cellStyle name="40% - Ênfase3 2 6 2 6" xfId="12259" xr:uid="{00000000-0005-0000-0000-0000512F0000}"/>
    <cellStyle name="40% - Ênfase3 2 6 3" xfId="12260" xr:uid="{00000000-0005-0000-0000-0000522F0000}"/>
    <cellStyle name="40% - Ênfase3 2 6 3 2" xfId="12261" xr:uid="{00000000-0005-0000-0000-0000532F0000}"/>
    <cellStyle name="40% - Ênfase3 2 6 3 2 2" xfId="12262" xr:uid="{00000000-0005-0000-0000-0000542F0000}"/>
    <cellStyle name="40% - Ênfase3 2 6 3 2 2 2" xfId="12263" xr:uid="{00000000-0005-0000-0000-0000552F0000}"/>
    <cellStyle name="40% - Ênfase3 2 6 3 2 3" xfId="12264" xr:uid="{00000000-0005-0000-0000-0000562F0000}"/>
    <cellStyle name="40% - Ênfase3 2 6 3 2 3 2" xfId="12265" xr:uid="{00000000-0005-0000-0000-0000572F0000}"/>
    <cellStyle name="40% - Ênfase3 2 6 3 2 4" xfId="12266" xr:uid="{00000000-0005-0000-0000-0000582F0000}"/>
    <cellStyle name="40% - Ênfase3 2 6 3 3" xfId="12267" xr:uid="{00000000-0005-0000-0000-0000592F0000}"/>
    <cellStyle name="40% - Ênfase3 2 6 3 3 2" xfId="12268" xr:uid="{00000000-0005-0000-0000-00005A2F0000}"/>
    <cellStyle name="40% - Ênfase3 2 6 3 4" xfId="12269" xr:uid="{00000000-0005-0000-0000-00005B2F0000}"/>
    <cellStyle name="40% - Ênfase3 2 6 3 4 2" xfId="12270" xr:uid="{00000000-0005-0000-0000-00005C2F0000}"/>
    <cellStyle name="40% - Ênfase3 2 6 3 5" xfId="12271" xr:uid="{00000000-0005-0000-0000-00005D2F0000}"/>
    <cellStyle name="40% - Ênfase3 2 6 4" xfId="12272" xr:uid="{00000000-0005-0000-0000-00005E2F0000}"/>
    <cellStyle name="40% - Ênfase3 2 6 4 2" xfId="12273" xr:uid="{00000000-0005-0000-0000-00005F2F0000}"/>
    <cellStyle name="40% - Ênfase3 2 6 4 2 2" xfId="12274" xr:uid="{00000000-0005-0000-0000-0000602F0000}"/>
    <cellStyle name="40% - Ênfase3 2 6 4 3" xfId="12275" xr:uid="{00000000-0005-0000-0000-0000612F0000}"/>
    <cellStyle name="40% - Ênfase3 2 6 4 3 2" xfId="12276" xr:uid="{00000000-0005-0000-0000-0000622F0000}"/>
    <cellStyle name="40% - Ênfase3 2 6 4 4" xfId="12277" xr:uid="{00000000-0005-0000-0000-0000632F0000}"/>
    <cellStyle name="40% - Ênfase3 2 6 5" xfId="12278" xr:uid="{00000000-0005-0000-0000-0000642F0000}"/>
    <cellStyle name="40% - Ênfase3 2 6 5 2" xfId="12279" xr:uid="{00000000-0005-0000-0000-0000652F0000}"/>
    <cellStyle name="40% - Ênfase3 2 6 5 2 2" xfId="12280" xr:uid="{00000000-0005-0000-0000-0000662F0000}"/>
    <cellStyle name="40% - Ênfase3 2 6 5 3" xfId="12281" xr:uid="{00000000-0005-0000-0000-0000672F0000}"/>
    <cellStyle name="40% - Ênfase3 2 6 6" xfId="12282" xr:uid="{00000000-0005-0000-0000-0000682F0000}"/>
    <cellStyle name="40% - Ênfase3 2 6 6 2" xfId="12283" xr:uid="{00000000-0005-0000-0000-0000692F0000}"/>
    <cellStyle name="40% - Ênfase3 2 6 7" xfId="12284" xr:uid="{00000000-0005-0000-0000-00006A2F0000}"/>
    <cellStyle name="40% - Ênfase3 2 7" xfId="12285" xr:uid="{00000000-0005-0000-0000-00006B2F0000}"/>
    <cellStyle name="40% - Ênfase3 2 7 2" xfId="12286" xr:uid="{00000000-0005-0000-0000-00006C2F0000}"/>
    <cellStyle name="40% - Ênfase3 2 7 2 2" xfId="12287" xr:uid="{00000000-0005-0000-0000-00006D2F0000}"/>
    <cellStyle name="40% - Ênfase3 2 7 2 2 2" xfId="12288" xr:uid="{00000000-0005-0000-0000-00006E2F0000}"/>
    <cellStyle name="40% - Ênfase3 2 7 2 2 2 2" xfId="12289" xr:uid="{00000000-0005-0000-0000-00006F2F0000}"/>
    <cellStyle name="40% - Ênfase3 2 7 2 2 3" xfId="12290" xr:uid="{00000000-0005-0000-0000-0000702F0000}"/>
    <cellStyle name="40% - Ênfase3 2 7 2 2 3 2" xfId="12291" xr:uid="{00000000-0005-0000-0000-0000712F0000}"/>
    <cellStyle name="40% - Ênfase3 2 7 2 2 4" xfId="12292" xr:uid="{00000000-0005-0000-0000-0000722F0000}"/>
    <cellStyle name="40% - Ênfase3 2 7 2 3" xfId="12293" xr:uid="{00000000-0005-0000-0000-0000732F0000}"/>
    <cellStyle name="40% - Ênfase3 2 7 2 3 2" xfId="12294" xr:uid="{00000000-0005-0000-0000-0000742F0000}"/>
    <cellStyle name="40% - Ênfase3 2 7 2 4" xfId="12295" xr:uid="{00000000-0005-0000-0000-0000752F0000}"/>
    <cellStyle name="40% - Ênfase3 2 7 2 4 2" xfId="12296" xr:uid="{00000000-0005-0000-0000-0000762F0000}"/>
    <cellStyle name="40% - Ênfase3 2 7 2 5" xfId="12297" xr:uid="{00000000-0005-0000-0000-0000772F0000}"/>
    <cellStyle name="40% - Ênfase3 2 7 3" xfId="12298" xr:uid="{00000000-0005-0000-0000-0000782F0000}"/>
    <cellStyle name="40% - Ênfase3 2 7 3 2" xfId="12299" xr:uid="{00000000-0005-0000-0000-0000792F0000}"/>
    <cellStyle name="40% - Ênfase3 2 7 3 2 2" xfId="12300" xr:uid="{00000000-0005-0000-0000-00007A2F0000}"/>
    <cellStyle name="40% - Ênfase3 2 7 3 3" xfId="12301" xr:uid="{00000000-0005-0000-0000-00007B2F0000}"/>
    <cellStyle name="40% - Ênfase3 2 7 3 3 2" xfId="12302" xr:uid="{00000000-0005-0000-0000-00007C2F0000}"/>
    <cellStyle name="40% - Ênfase3 2 7 3 4" xfId="12303" xr:uid="{00000000-0005-0000-0000-00007D2F0000}"/>
    <cellStyle name="40% - Ênfase3 2 7 4" xfId="12304" xr:uid="{00000000-0005-0000-0000-00007E2F0000}"/>
    <cellStyle name="40% - Ênfase3 2 7 4 2" xfId="12305" xr:uid="{00000000-0005-0000-0000-00007F2F0000}"/>
    <cellStyle name="40% - Ênfase3 2 7 4 2 2" xfId="12306" xr:uid="{00000000-0005-0000-0000-0000802F0000}"/>
    <cellStyle name="40% - Ênfase3 2 7 4 3" xfId="12307" xr:uid="{00000000-0005-0000-0000-0000812F0000}"/>
    <cellStyle name="40% - Ênfase3 2 7 5" xfId="12308" xr:uid="{00000000-0005-0000-0000-0000822F0000}"/>
    <cellStyle name="40% - Ênfase3 2 7 5 2" xfId="12309" xr:uid="{00000000-0005-0000-0000-0000832F0000}"/>
    <cellStyle name="40% - Ênfase3 2 7 6" xfId="12310" xr:uid="{00000000-0005-0000-0000-0000842F0000}"/>
    <cellStyle name="40% - Ênfase3 2 8" xfId="12311" xr:uid="{00000000-0005-0000-0000-0000852F0000}"/>
    <cellStyle name="40% - Ênfase3 2 8 2" xfId="12312" xr:uid="{00000000-0005-0000-0000-0000862F0000}"/>
    <cellStyle name="40% - Ênfase3 2 8 2 2" xfId="12313" xr:uid="{00000000-0005-0000-0000-0000872F0000}"/>
    <cellStyle name="40% - Ênfase3 2 8 2 2 2" xfId="12314" xr:uid="{00000000-0005-0000-0000-0000882F0000}"/>
    <cellStyle name="40% - Ênfase3 2 8 2 3" xfId="12315" xr:uid="{00000000-0005-0000-0000-0000892F0000}"/>
    <cellStyle name="40% - Ênfase3 2 8 2 3 2" xfId="12316" xr:uid="{00000000-0005-0000-0000-00008A2F0000}"/>
    <cellStyle name="40% - Ênfase3 2 8 2 4" xfId="12317" xr:uid="{00000000-0005-0000-0000-00008B2F0000}"/>
    <cellStyle name="40% - Ênfase3 2 8 3" xfId="12318" xr:uid="{00000000-0005-0000-0000-00008C2F0000}"/>
    <cellStyle name="40% - Ênfase3 2 8 3 2" xfId="12319" xr:uid="{00000000-0005-0000-0000-00008D2F0000}"/>
    <cellStyle name="40% - Ênfase3 2 8 3 2 2" xfId="12320" xr:uid="{00000000-0005-0000-0000-00008E2F0000}"/>
    <cellStyle name="40% - Ênfase3 2 8 3 3" xfId="12321" xr:uid="{00000000-0005-0000-0000-00008F2F0000}"/>
    <cellStyle name="40% - Ênfase3 2 8 3 3 2" xfId="12322" xr:uid="{00000000-0005-0000-0000-0000902F0000}"/>
    <cellStyle name="40% - Ênfase3 2 8 3 4" xfId="12323" xr:uid="{00000000-0005-0000-0000-0000912F0000}"/>
    <cellStyle name="40% - Ênfase3 2 8 4" xfId="12324" xr:uid="{00000000-0005-0000-0000-0000922F0000}"/>
    <cellStyle name="40% - Ênfase3 2 8 4 2" xfId="12325" xr:uid="{00000000-0005-0000-0000-0000932F0000}"/>
    <cellStyle name="40% - Ênfase3 2 8 5" xfId="12326" xr:uid="{00000000-0005-0000-0000-0000942F0000}"/>
    <cellStyle name="40% - Ênfase3 2 8 5 2" xfId="12327" xr:uid="{00000000-0005-0000-0000-0000952F0000}"/>
    <cellStyle name="40% - Ênfase3 2 8 6" xfId="12328" xr:uid="{00000000-0005-0000-0000-0000962F0000}"/>
    <cellStyle name="40% - Ênfase3 2 9" xfId="12329" xr:uid="{00000000-0005-0000-0000-0000972F0000}"/>
    <cellStyle name="40% - Ênfase3 2 9 2" xfId="12330" xr:uid="{00000000-0005-0000-0000-0000982F0000}"/>
    <cellStyle name="40% - Ênfase3 2 9 2 2" xfId="12331" xr:uid="{00000000-0005-0000-0000-0000992F0000}"/>
    <cellStyle name="40% - Ênfase3 2 9 2 2 2" xfId="12332" xr:uid="{00000000-0005-0000-0000-00009A2F0000}"/>
    <cellStyle name="40% - Ênfase3 2 9 2 3" xfId="12333" xr:uid="{00000000-0005-0000-0000-00009B2F0000}"/>
    <cellStyle name="40% - Ênfase3 2 9 2 3 2" xfId="12334" xr:uid="{00000000-0005-0000-0000-00009C2F0000}"/>
    <cellStyle name="40% - Ênfase3 2 9 2 4" xfId="12335" xr:uid="{00000000-0005-0000-0000-00009D2F0000}"/>
    <cellStyle name="40% - Ênfase3 2 9 3" xfId="12336" xr:uid="{00000000-0005-0000-0000-00009E2F0000}"/>
    <cellStyle name="40% - Ênfase3 2 9 3 2" xfId="12337" xr:uid="{00000000-0005-0000-0000-00009F2F0000}"/>
    <cellStyle name="40% - Ênfase3 2 9 3 2 2" xfId="12338" xr:uid="{00000000-0005-0000-0000-0000A02F0000}"/>
    <cellStyle name="40% - Ênfase3 2 9 3 3" xfId="12339" xr:uid="{00000000-0005-0000-0000-0000A12F0000}"/>
    <cellStyle name="40% - Ênfase3 2 9 3 3 2" xfId="12340" xr:uid="{00000000-0005-0000-0000-0000A22F0000}"/>
    <cellStyle name="40% - Ênfase3 2 9 3 4" xfId="12341" xr:uid="{00000000-0005-0000-0000-0000A32F0000}"/>
    <cellStyle name="40% - Ênfase3 2 9 4" xfId="12342" xr:uid="{00000000-0005-0000-0000-0000A42F0000}"/>
    <cellStyle name="40% - Ênfase3 2 9 4 2" xfId="12343" xr:uid="{00000000-0005-0000-0000-0000A52F0000}"/>
    <cellStyle name="40% - Ênfase3 2 9 5" xfId="12344" xr:uid="{00000000-0005-0000-0000-0000A62F0000}"/>
    <cellStyle name="40% - Ênfase3 2 9 5 2" xfId="12345" xr:uid="{00000000-0005-0000-0000-0000A72F0000}"/>
    <cellStyle name="40% - Ênfase3 2 9 6" xfId="12346" xr:uid="{00000000-0005-0000-0000-0000A82F0000}"/>
    <cellStyle name="40% - Ênfase3 20" xfId="12347" xr:uid="{00000000-0005-0000-0000-0000A92F0000}"/>
    <cellStyle name="40% - Ênfase3 20 2" xfId="12348" xr:uid="{00000000-0005-0000-0000-0000AA2F0000}"/>
    <cellStyle name="40% - Ênfase3 20 2 2" xfId="12349" xr:uid="{00000000-0005-0000-0000-0000AB2F0000}"/>
    <cellStyle name="40% - Ênfase3 20 3" xfId="12350" xr:uid="{00000000-0005-0000-0000-0000AC2F0000}"/>
    <cellStyle name="40% - Ênfase3 21" xfId="12351" xr:uid="{00000000-0005-0000-0000-0000AD2F0000}"/>
    <cellStyle name="40% - Ênfase3 21 2" xfId="12352" xr:uid="{00000000-0005-0000-0000-0000AE2F0000}"/>
    <cellStyle name="40% - Ênfase3 21 2 2" xfId="12353" xr:uid="{00000000-0005-0000-0000-0000AF2F0000}"/>
    <cellStyle name="40% - Ênfase3 21 3" xfId="12354" xr:uid="{00000000-0005-0000-0000-0000B02F0000}"/>
    <cellStyle name="40% - Ênfase3 22" xfId="12355" xr:uid="{00000000-0005-0000-0000-0000B12F0000}"/>
    <cellStyle name="40% - Ênfase3 22 2" xfId="12356" xr:uid="{00000000-0005-0000-0000-0000B22F0000}"/>
    <cellStyle name="40% - Ênfase3 22 2 2" xfId="12357" xr:uid="{00000000-0005-0000-0000-0000B32F0000}"/>
    <cellStyle name="40% - Ênfase3 22 3" xfId="12358" xr:uid="{00000000-0005-0000-0000-0000B42F0000}"/>
    <cellStyle name="40% - Ênfase3 23" xfId="12359" xr:uid="{00000000-0005-0000-0000-0000B52F0000}"/>
    <cellStyle name="40% - Ênfase3 23 2" xfId="12360" xr:uid="{00000000-0005-0000-0000-0000B62F0000}"/>
    <cellStyle name="40% - Ênfase3 23 2 2" xfId="12361" xr:uid="{00000000-0005-0000-0000-0000B72F0000}"/>
    <cellStyle name="40% - Ênfase3 23 3" xfId="12362" xr:uid="{00000000-0005-0000-0000-0000B82F0000}"/>
    <cellStyle name="40% - Ênfase3 24" xfId="12363" xr:uid="{00000000-0005-0000-0000-0000B92F0000}"/>
    <cellStyle name="40% - Ênfase3 24 2" xfId="12364" xr:uid="{00000000-0005-0000-0000-0000BA2F0000}"/>
    <cellStyle name="40% - Ênfase3 24 2 2" xfId="12365" xr:uid="{00000000-0005-0000-0000-0000BB2F0000}"/>
    <cellStyle name="40% - Ênfase3 24 3" xfId="12366" xr:uid="{00000000-0005-0000-0000-0000BC2F0000}"/>
    <cellStyle name="40% - Ênfase3 25" xfId="12367" xr:uid="{00000000-0005-0000-0000-0000BD2F0000}"/>
    <cellStyle name="40% - Ênfase3 25 2" xfId="12368" xr:uid="{00000000-0005-0000-0000-0000BE2F0000}"/>
    <cellStyle name="40% - Ênfase3 25 2 2" xfId="12369" xr:uid="{00000000-0005-0000-0000-0000BF2F0000}"/>
    <cellStyle name="40% - Ênfase3 25 3" xfId="12370" xr:uid="{00000000-0005-0000-0000-0000C02F0000}"/>
    <cellStyle name="40% - Ênfase3 26" xfId="12371" xr:uid="{00000000-0005-0000-0000-0000C12F0000}"/>
    <cellStyle name="40% - Ênfase3 26 2" xfId="12372" xr:uid="{00000000-0005-0000-0000-0000C22F0000}"/>
    <cellStyle name="40% - Ênfase3 26 2 2" xfId="12373" xr:uid="{00000000-0005-0000-0000-0000C32F0000}"/>
    <cellStyle name="40% - Ênfase3 26 3" xfId="12374" xr:uid="{00000000-0005-0000-0000-0000C42F0000}"/>
    <cellStyle name="40% - Ênfase3 27" xfId="12375" xr:uid="{00000000-0005-0000-0000-0000C52F0000}"/>
    <cellStyle name="40% - Ênfase3 27 2" xfId="12376" xr:uid="{00000000-0005-0000-0000-0000C62F0000}"/>
    <cellStyle name="40% - Ênfase3 27 2 2" xfId="12377" xr:uid="{00000000-0005-0000-0000-0000C72F0000}"/>
    <cellStyle name="40% - Ênfase3 27 3" xfId="12378" xr:uid="{00000000-0005-0000-0000-0000C82F0000}"/>
    <cellStyle name="40% - Ênfase3 28" xfId="12379" xr:uid="{00000000-0005-0000-0000-0000C92F0000}"/>
    <cellStyle name="40% - Ênfase3 28 2" xfId="12380" xr:uid="{00000000-0005-0000-0000-0000CA2F0000}"/>
    <cellStyle name="40% - Ênfase3 28 2 2" xfId="12381" xr:uid="{00000000-0005-0000-0000-0000CB2F0000}"/>
    <cellStyle name="40% - Ênfase3 28 3" xfId="12382" xr:uid="{00000000-0005-0000-0000-0000CC2F0000}"/>
    <cellStyle name="40% - Ênfase3 29" xfId="12383" xr:uid="{00000000-0005-0000-0000-0000CD2F0000}"/>
    <cellStyle name="40% - Ênfase3 3" xfId="12384" xr:uid="{00000000-0005-0000-0000-0000CE2F0000}"/>
    <cellStyle name="40% - Ênfase3 3 10" xfId="12385" xr:uid="{00000000-0005-0000-0000-0000CF2F0000}"/>
    <cellStyle name="40% - Ênfase3 3 10 2" xfId="12386" xr:uid="{00000000-0005-0000-0000-0000D02F0000}"/>
    <cellStyle name="40% - Ênfase3 3 10 2 2" xfId="12387" xr:uid="{00000000-0005-0000-0000-0000D12F0000}"/>
    <cellStyle name="40% - Ênfase3 3 10 3" xfId="12388" xr:uid="{00000000-0005-0000-0000-0000D22F0000}"/>
    <cellStyle name="40% - Ênfase3 3 11" xfId="12389" xr:uid="{00000000-0005-0000-0000-0000D32F0000}"/>
    <cellStyle name="40% - Ênfase3 3 11 2" xfId="12390" xr:uid="{00000000-0005-0000-0000-0000D42F0000}"/>
    <cellStyle name="40% - Ênfase3 3 12" xfId="12391" xr:uid="{00000000-0005-0000-0000-0000D52F0000}"/>
    <cellStyle name="40% - Ênfase3 3 2" xfId="12392" xr:uid="{00000000-0005-0000-0000-0000D62F0000}"/>
    <cellStyle name="40% - Ênfase3 3 2 10" xfId="12393" xr:uid="{00000000-0005-0000-0000-0000D72F0000}"/>
    <cellStyle name="40% - Ênfase3 3 2 2" xfId="12394" xr:uid="{00000000-0005-0000-0000-0000D82F0000}"/>
    <cellStyle name="40% - Ênfase3 3 2 2 2" xfId="12395" xr:uid="{00000000-0005-0000-0000-0000D92F0000}"/>
    <cellStyle name="40% - Ênfase3 3 2 2 2 2" xfId="12396" xr:uid="{00000000-0005-0000-0000-0000DA2F0000}"/>
    <cellStyle name="40% - Ênfase3 3 2 2 2 2 2" xfId="12397" xr:uid="{00000000-0005-0000-0000-0000DB2F0000}"/>
    <cellStyle name="40% - Ênfase3 3 2 2 2 2 2 2" xfId="12398" xr:uid="{00000000-0005-0000-0000-0000DC2F0000}"/>
    <cellStyle name="40% - Ênfase3 3 2 2 2 2 3" xfId="12399" xr:uid="{00000000-0005-0000-0000-0000DD2F0000}"/>
    <cellStyle name="40% - Ênfase3 3 2 2 2 2 3 2" xfId="12400" xr:uid="{00000000-0005-0000-0000-0000DE2F0000}"/>
    <cellStyle name="40% - Ênfase3 3 2 2 2 2 4" xfId="12401" xr:uid="{00000000-0005-0000-0000-0000DF2F0000}"/>
    <cellStyle name="40% - Ênfase3 3 2 2 2 3" xfId="12402" xr:uid="{00000000-0005-0000-0000-0000E02F0000}"/>
    <cellStyle name="40% - Ênfase3 3 2 2 2 3 2" xfId="12403" xr:uid="{00000000-0005-0000-0000-0000E12F0000}"/>
    <cellStyle name="40% - Ênfase3 3 2 2 2 4" xfId="12404" xr:uid="{00000000-0005-0000-0000-0000E22F0000}"/>
    <cellStyle name="40% - Ênfase3 3 2 2 2 4 2" xfId="12405" xr:uid="{00000000-0005-0000-0000-0000E32F0000}"/>
    <cellStyle name="40% - Ênfase3 3 2 2 2 5" xfId="12406" xr:uid="{00000000-0005-0000-0000-0000E42F0000}"/>
    <cellStyle name="40% - Ênfase3 3 2 2 3" xfId="12407" xr:uid="{00000000-0005-0000-0000-0000E52F0000}"/>
    <cellStyle name="40% - Ênfase3 3 2 2 3 2" xfId="12408" xr:uid="{00000000-0005-0000-0000-0000E62F0000}"/>
    <cellStyle name="40% - Ênfase3 3 2 2 3 2 2" xfId="12409" xr:uid="{00000000-0005-0000-0000-0000E72F0000}"/>
    <cellStyle name="40% - Ênfase3 3 2 2 3 3" xfId="12410" xr:uid="{00000000-0005-0000-0000-0000E82F0000}"/>
    <cellStyle name="40% - Ênfase3 3 2 2 3 3 2" xfId="12411" xr:uid="{00000000-0005-0000-0000-0000E92F0000}"/>
    <cellStyle name="40% - Ênfase3 3 2 2 3 4" xfId="12412" xr:uid="{00000000-0005-0000-0000-0000EA2F0000}"/>
    <cellStyle name="40% - Ênfase3 3 2 2 4" xfId="12413" xr:uid="{00000000-0005-0000-0000-0000EB2F0000}"/>
    <cellStyle name="40% - Ênfase3 3 2 2 4 2" xfId="12414" xr:uid="{00000000-0005-0000-0000-0000EC2F0000}"/>
    <cellStyle name="40% - Ênfase3 3 2 2 4 2 2" xfId="12415" xr:uid="{00000000-0005-0000-0000-0000ED2F0000}"/>
    <cellStyle name="40% - Ênfase3 3 2 2 4 3" xfId="12416" xr:uid="{00000000-0005-0000-0000-0000EE2F0000}"/>
    <cellStyle name="40% - Ênfase3 3 2 2 5" xfId="12417" xr:uid="{00000000-0005-0000-0000-0000EF2F0000}"/>
    <cellStyle name="40% - Ênfase3 3 2 2 5 2" xfId="12418" xr:uid="{00000000-0005-0000-0000-0000F02F0000}"/>
    <cellStyle name="40% - Ênfase3 3 2 2 6" xfId="12419" xr:uid="{00000000-0005-0000-0000-0000F12F0000}"/>
    <cellStyle name="40% - Ênfase3 3 2 3" xfId="12420" xr:uid="{00000000-0005-0000-0000-0000F22F0000}"/>
    <cellStyle name="40% - Ênfase3 3 2 3 2" xfId="12421" xr:uid="{00000000-0005-0000-0000-0000F32F0000}"/>
    <cellStyle name="40% - Ênfase3 3 2 3 2 2" xfId="12422" xr:uid="{00000000-0005-0000-0000-0000F42F0000}"/>
    <cellStyle name="40% - Ênfase3 3 2 3 2 2 2" xfId="12423" xr:uid="{00000000-0005-0000-0000-0000F52F0000}"/>
    <cellStyle name="40% - Ênfase3 3 2 3 2 3" xfId="12424" xr:uid="{00000000-0005-0000-0000-0000F62F0000}"/>
    <cellStyle name="40% - Ênfase3 3 2 3 2 3 2" xfId="12425" xr:uid="{00000000-0005-0000-0000-0000F72F0000}"/>
    <cellStyle name="40% - Ênfase3 3 2 3 2 4" xfId="12426" xr:uid="{00000000-0005-0000-0000-0000F82F0000}"/>
    <cellStyle name="40% - Ênfase3 3 2 3 3" xfId="12427" xr:uid="{00000000-0005-0000-0000-0000F92F0000}"/>
    <cellStyle name="40% - Ênfase3 3 2 3 3 2" xfId="12428" xr:uid="{00000000-0005-0000-0000-0000FA2F0000}"/>
    <cellStyle name="40% - Ênfase3 3 2 3 3 2 2" xfId="12429" xr:uid="{00000000-0005-0000-0000-0000FB2F0000}"/>
    <cellStyle name="40% - Ênfase3 3 2 3 3 3" xfId="12430" xr:uid="{00000000-0005-0000-0000-0000FC2F0000}"/>
    <cellStyle name="40% - Ênfase3 3 2 3 3 3 2" xfId="12431" xr:uid="{00000000-0005-0000-0000-0000FD2F0000}"/>
    <cellStyle name="40% - Ênfase3 3 2 3 3 4" xfId="12432" xr:uid="{00000000-0005-0000-0000-0000FE2F0000}"/>
    <cellStyle name="40% - Ênfase3 3 2 3 4" xfId="12433" xr:uid="{00000000-0005-0000-0000-0000FF2F0000}"/>
    <cellStyle name="40% - Ênfase3 3 2 3 4 2" xfId="12434" xr:uid="{00000000-0005-0000-0000-000000300000}"/>
    <cellStyle name="40% - Ênfase3 3 2 3 5" xfId="12435" xr:uid="{00000000-0005-0000-0000-000001300000}"/>
    <cellStyle name="40% - Ênfase3 3 2 3 5 2" xfId="12436" xr:uid="{00000000-0005-0000-0000-000002300000}"/>
    <cellStyle name="40% - Ênfase3 3 2 3 6" xfId="12437" xr:uid="{00000000-0005-0000-0000-000003300000}"/>
    <cellStyle name="40% - Ênfase3 3 2 4" xfId="12438" xr:uid="{00000000-0005-0000-0000-000004300000}"/>
    <cellStyle name="40% - Ênfase3 3 2 4 2" xfId="12439" xr:uid="{00000000-0005-0000-0000-000005300000}"/>
    <cellStyle name="40% - Ênfase3 3 2 4 2 2" xfId="12440" xr:uid="{00000000-0005-0000-0000-000006300000}"/>
    <cellStyle name="40% - Ênfase3 3 2 4 3" xfId="12441" xr:uid="{00000000-0005-0000-0000-000007300000}"/>
    <cellStyle name="40% - Ênfase3 3 2 4 3 2" xfId="12442" xr:uid="{00000000-0005-0000-0000-000008300000}"/>
    <cellStyle name="40% - Ênfase3 3 2 4 4" xfId="12443" xr:uid="{00000000-0005-0000-0000-000009300000}"/>
    <cellStyle name="40% - Ênfase3 3 2 5" xfId="12444" xr:uid="{00000000-0005-0000-0000-00000A300000}"/>
    <cellStyle name="40% - Ênfase3 3 2 5 2" xfId="12445" xr:uid="{00000000-0005-0000-0000-00000B300000}"/>
    <cellStyle name="40% - Ênfase3 3 2 5 2 2" xfId="12446" xr:uid="{00000000-0005-0000-0000-00000C300000}"/>
    <cellStyle name="40% - Ênfase3 3 2 5 3" xfId="12447" xr:uid="{00000000-0005-0000-0000-00000D300000}"/>
    <cellStyle name="40% - Ênfase3 3 2 6" xfId="12448" xr:uid="{00000000-0005-0000-0000-00000E300000}"/>
    <cellStyle name="40% - Ênfase3 3 2 6 2" xfId="12449" xr:uid="{00000000-0005-0000-0000-00000F300000}"/>
    <cellStyle name="40% - Ênfase3 3 2 6 2 2" xfId="12450" xr:uid="{00000000-0005-0000-0000-000010300000}"/>
    <cellStyle name="40% - Ênfase3 3 2 6 3" xfId="12451" xr:uid="{00000000-0005-0000-0000-000011300000}"/>
    <cellStyle name="40% - Ênfase3 3 2 7" xfId="12452" xr:uid="{00000000-0005-0000-0000-000012300000}"/>
    <cellStyle name="40% - Ênfase3 3 2 7 2" xfId="12453" xr:uid="{00000000-0005-0000-0000-000013300000}"/>
    <cellStyle name="40% - Ênfase3 3 2 7 2 2" xfId="12454" xr:uid="{00000000-0005-0000-0000-000014300000}"/>
    <cellStyle name="40% - Ênfase3 3 2 7 3" xfId="12455" xr:uid="{00000000-0005-0000-0000-000015300000}"/>
    <cellStyle name="40% - Ênfase3 3 2 8" xfId="12456" xr:uid="{00000000-0005-0000-0000-000016300000}"/>
    <cellStyle name="40% - Ênfase3 3 2 8 2" xfId="12457" xr:uid="{00000000-0005-0000-0000-000017300000}"/>
    <cellStyle name="40% - Ênfase3 3 2 8 2 2" xfId="12458" xr:uid="{00000000-0005-0000-0000-000018300000}"/>
    <cellStyle name="40% - Ênfase3 3 2 8 3" xfId="12459" xr:uid="{00000000-0005-0000-0000-000019300000}"/>
    <cellStyle name="40% - Ênfase3 3 2 9" xfId="12460" xr:uid="{00000000-0005-0000-0000-00001A300000}"/>
    <cellStyle name="40% - Ênfase3 3 2 9 2" xfId="12461" xr:uid="{00000000-0005-0000-0000-00001B300000}"/>
    <cellStyle name="40% - Ênfase3 3 3" xfId="12462" xr:uid="{00000000-0005-0000-0000-00001C300000}"/>
    <cellStyle name="40% - Ênfase3 3 3 2" xfId="12463" xr:uid="{00000000-0005-0000-0000-00001D300000}"/>
    <cellStyle name="40% - Ênfase3 3 3 2 2" xfId="12464" xr:uid="{00000000-0005-0000-0000-00001E300000}"/>
    <cellStyle name="40% - Ênfase3 3 3 2 2 2" xfId="12465" xr:uid="{00000000-0005-0000-0000-00001F300000}"/>
    <cellStyle name="40% - Ênfase3 3 3 2 2 2 2" xfId="12466" xr:uid="{00000000-0005-0000-0000-000020300000}"/>
    <cellStyle name="40% - Ênfase3 3 3 2 2 3" xfId="12467" xr:uid="{00000000-0005-0000-0000-000021300000}"/>
    <cellStyle name="40% - Ênfase3 3 3 2 2 3 2" xfId="12468" xr:uid="{00000000-0005-0000-0000-000022300000}"/>
    <cellStyle name="40% - Ênfase3 3 3 2 2 4" xfId="12469" xr:uid="{00000000-0005-0000-0000-000023300000}"/>
    <cellStyle name="40% - Ênfase3 3 3 2 3" xfId="12470" xr:uid="{00000000-0005-0000-0000-000024300000}"/>
    <cellStyle name="40% - Ênfase3 3 3 2 3 2" xfId="12471" xr:uid="{00000000-0005-0000-0000-000025300000}"/>
    <cellStyle name="40% - Ênfase3 3 3 2 4" xfId="12472" xr:uid="{00000000-0005-0000-0000-000026300000}"/>
    <cellStyle name="40% - Ênfase3 3 3 2 4 2" xfId="12473" xr:uid="{00000000-0005-0000-0000-000027300000}"/>
    <cellStyle name="40% - Ênfase3 3 3 2 5" xfId="12474" xr:uid="{00000000-0005-0000-0000-000028300000}"/>
    <cellStyle name="40% - Ênfase3 3 3 3" xfId="12475" xr:uid="{00000000-0005-0000-0000-000029300000}"/>
    <cellStyle name="40% - Ênfase3 3 3 3 2" xfId="12476" xr:uid="{00000000-0005-0000-0000-00002A300000}"/>
    <cellStyle name="40% - Ênfase3 3 3 3 2 2" xfId="12477" xr:uid="{00000000-0005-0000-0000-00002B300000}"/>
    <cellStyle name="40% - Ênfase3 3 3 3 3" xfId="12478" xr:uid="{00000000-0005-0000-0000-00002C300000}"/>
    <cellStyle name="40% - Ênfase3 3 3 3 3 2" xfId="12479" xr:uid="{00000000-0005-0000-0000-00002D300000}"/>
    <cellStyle name="40% - Ênfase3 3 3 3 4" xfId="12480" xr:uid="{00000000-0005-0000-0000-00002E300000}"/>
    <cellStyle name="40% - Ênfase3 3 3 4" xfId="12481" xr:uid="{00000000-0005-0000-0000-00002F300000}"/>
    <cellStyle name="40% - Ênfase3 3 3 4 2" xfId="12482" xr:uid="{00000000-0005-0000-0000-000030300000}"/>
    <cellStyle name="40% - Ênfase3 3 3 4 2 2" xfId="12483" xr:uid="{00000000-0005-0000-0000-000031300000}"/>
    <cellStyle name="40% - Ênfase3 3 3 4 3" xfId="12484" xr:uid="{00000000-0005-0000-0000-000032300000}"/>
    <cellStyle name="40% - Ênfase3 3 3 5" xfId="12485" xr:uid="{00000000-0005-0000-0000-000033300000}"/>
    <cellStyle name="40% - Ênfase3 3 3 5 2" xfId="12486" xr:uid="{00000000-0005-0000-0000-000034300000}"/>
    <cellStyle name="40% - Ênfase3 3 3 6" xfId="12487" xr:uid="{00000000-0005-0000-0000-000035300000}"/>
    <cellStyle name="40% - Ênfase3 3 4" xfId="12488" xr:uid="{00000000-0005-0000-0000-000036300000}"/>
    <cellStyle name="40% - Ênfase3 3 4 2" xfId="12489" xr:uid="{00000000-0005-0000-0000-000037300000}"/>
    <cellStyle name="40% - Ênfase3 3 4 2 2" xfId="12490" xr:uid="{00000000-0005-0000-0000-000038300000}"/>
    <cellStyle name="40% - Ênfase3 3 4 2 2 2" xfId="12491" xr:uid="{00000000-0005-0000-0000-000039300000}"/>
    <cellStyle name="40% - Ênfase3 3 4 2 3" xfId="12492" xr:uid="{00000000-0005-0000-0000-00003A300000}"/>
    <cellStyle name="40% - Ênfase3 3 4 2 3 2" xfId="12493" xr:uid="{00000000-0005-0000-0000-00003B300000}"/>
    <cellStyle name="40% - Ênfase3 3 4 2 4" xfId="12494" xr:uid="{00000000-0005-0000-0000-00003C300000}"/>
    <cellStyle name="40% - Ênfase3 3 4 3" xfId="12495" xr:uid="{00000000-0005-0000-0000-00003D300000}"/>
    <cellStyle name="40% - Ênfase3 3 4 3 2" xfId="12496" xr:uid="{00000000-0005-0000-0000-00003E300000}"/>
    <cellStyle name="40% - Ênfase3 3 4 3 2 2" xfId="12497" xr:uid="{00000000-0005-0000-0000-00003F300000}"/>
    <cellStyle name="40% - Ênfase3 3 4 3 3" xfId="12498" xr:uid="{00000000-0005-0000-0000-000040300000}"/>
    <cellStyle name="40% - Ênfase3 3 4 3 3 2" xfId="12499" xr:uid="{00000000-0005-0000-0000-000041300000}"/>
    <cellStyle name="40% - Ênfase3 3 4 3 4" xfId="12500" xr:uid="{00000000-0005-0000-0000-000042300000}"/>
    <cellStyle name="40% - Ênfase3 3 4 4" xfId="12501" xr:uid="{00000000-0005-0000-0000-000043300000}"/>
    <cellStyle name="40% - Ênfase3 3 4 4 2" xfId="12502" xr:uid="{00000000-0005-0000-0000-000044300000}"/>
    <cellStyle name="40% - Ênfase3 3 4 5" xfId="12503" xr:uid="{00000000-0005-0000-0000-000045300000}"/>
    <cellStyle name="40% - Ênfase3 3 4 5 2" xfId="12504" xr:uid="{00000000-0005-0000-0000-000046300000}"/>
    <cellStyle name="40% - Ênfase3 3 4 6" xfId="12505" xr:uid="{00000000-0005-0000-0000-000047300000}"/>
    <cellStyle name="40% - Ênfase3 3 5" xfId="12506" xr:uid="{00000000-0005-0000-0000-000048300000}"/>
    <cellStyle name="40% - Ênfase3 3 5 2" xfId="12507" xr:uid="{00000000-0005-0000-0000-000049300000}"/>
    <cellStyle name="40% - Ênfase3 3 5 2 2" xfId="12508" xr:uid="{00000000-0005-0000-0000-00004A300000}"/>
    <cellStyle name="40% - Ênfase3 3 5 2 2 2" xfId="12509" xr:uid="{00000000-0005-0000-0000-00004B300000}"/>
    <cellStyle name="40% - Ênfase3 3 5 2 3" xfId="12510" xr:uid="{00000000-0005-0000-0000-00004C300000}"/>
    <cellStyle name="40% - Ênfase3 3 5 2 3 2" xfId="12511" xr:uid="{00000000-0005-0000-0000-00004D300000}"/>
    <cellStyle name="40% - Ênfase3 3 5 2 4" xfId="12512" xr:uid="{00000000-0005-0000-0000-00004E300000}"/>
    <cellStyle name="40% - Ênfase3 3 5 3" xfId="12513" xr:uid="{00000000-0005-0000-0000-00004F300000}"/>
    <cellStyle name="40% - Ênfase3 3 5 3 2" xfId="12514" xr:uid="{00000000-0005-0000-0000-000050300000}"/>
    <cellStyle name="40% - Ênfase3 3 5 3 2 2" xfId="12515" xr:uid="{00000000-0005-0000-0000-000051300000}"/>
    <cellStyle name="40% - Ênfase3 3 5 3 3" xfId="12516" xr:uid="{00000000-0005-0000-0000-000052300000}"/>
    <cellStyle name="40% - Ênfase3 3 5 3 3 2" xfId="12517" xr:uid="{00000000-0005-0000-0000-000053300000}"/>
    <cellStyle name="40% - Ênfase3 3 5 3 4" xfId="12518" xr:uid="{00000000-0005-0000-0000-000054300000}"/>
    <cellStyle name="40% - Ênfase3 3 5 4" xfId="12519" xr:uid="{00000000-0005-0000-0000-000055300000}"/>
    <cellStyle name="40% - Ênfase3 3 5 4 2" xfId="12520" xr:uid="{00000000-0005-0000-0000-000056300000}"/>
    <cellStyle name="40% - Ênfase3 3 5 5" xfId="12521" xr:uid="{00000000-0005-0000-0000-000057300000}"/>
    <cellStyle name="40% - Ênfase3 3 5 5 2" xfId="12522" xr:uid="{00000000-0005-0000-0000-000058300000}"/>
    <cellStyle name="40% - Ênfase3 3 5 6" xfId="12523" xr:uid="{00000000-0005-0000-0000-000059300000}"/>
    <cellStyle name="40% - Ênfase3 3 6" xfId="12524" xr:uid="{00000000-0005-0000-0000-00005A300000}"/>
    <cellStyle name="40% - Ênfase3 3 6 2" xfId="12525" xr:uid="{00000000-0005-0000-0000-00005B300000}"/>
    <cellStyle name="40% - Ênfase3 3 6 2 2" xfId="12526" xr:uid="{00000000-0005-0000-0000-00005C300000}"/>
    <cellStyle name="40% - Ênfase3 3 6 3" xfId="12527" xr:uid="{00000000-0005-0000-0000-00005D300000}"/>
    <cellStyle name="40% - Ênfase3 3 6 3 2" xfId="12528" xr:uid="{00000000-0005-0000-0000-00005E300000}"/>
    <cellStyle name="40% - Ênfase3 3 6 4" xfId="12529" xr:uid="{00000000-0005-0000-0000-00005F300000}"/>
    <cellStyle name="40% - Ênfase3 3 7" xfId="12530" xr:uid="{00000000-0005-0000-0000-000060300000}"/>
    <cellStyle name="40% - Ênfase3 3 7 2" xfId="12531" xr:uid="{00000000-0005-0000-0000-000061300000}"/>
    <cellStyle name="40% - Ênfase3 3 7 2 2" xfId="12532" xr:uid="{00000000-0005-0000-0000-000062300000}"/>
    <cellStyle name="40% - Ênfase3 3 7 3" xfId="12533" xr:uid="{00000000-0005-0000-0000-000063300000}"/>
    <cellStyle name="40% - Ênfase3 3 8" xfId="12534" xr:uid="{00000000-0005-0000-0000-000064300000}"/>
    <cellStyle name="40% - Ênfase3 3 8 2" xfId="12535" xr:uid="{00000000-0005-0000-0000-000065300000}"/>
    <cellStyle name="40% - Ênfase3 3 8 2 2" xfId="12536" xr:uid="{00000000-0005-0000-0000-000066300000}"/>
    <cellStyle name="40% - Ênfase3 3 8 3" xfId="12537" xr:uid="{00000000-0005-0000-0000-000067300000}"/>
    <cellStyle name="40% - Ênfase3 3 9" xfId="12538" xr:uid="{00000000-0005-0000-0000-000068300000}"/>
    <cellStyle name="40% - Ênfase3 3 9 2" xfId="12539" xr:uid="{00000000-0005-0000-0000-000069300000}"/>
    <cellStyle name="40% - Ênfase3 3 9 2 2" xfId="12540" xr:uid="{00000000-0005-0000-0000-00006A300000}"/>
    <cellStyle name="40% - Ênfase3 3 9 3" xfId="12541" xr:uid="{00000000-0005-0000-0000-00006B300000}"/>
    <cellStyle name="40% - Ênfase3 30" xfId="12542" xr:uid="{00000000-0005-0000-0000-00006C300000}"/>
    <cellStyle name="40% - Ênfase3 31" xfId="12543" xr:uid="{00000000-0005-0000-0000-00006D300000}"/>
    <cellStyle name="40% - Ênfase3 32" xfId="12544" xr:uid="{00000000-0005-0000-0000-00006E300000}"/>
    <cellStyle name="40% - Ênfase3 33" xfId="12545" xr:uid="{00000000-0005-0000-0000-00006F300000}"/>
    <cellStyle name="40% - Ênfase3 4" xfId="12546" xr:uid="{00000000-0005-0000-0000-000070300000}"/>
    <cellStyle name="40% - Ênfase3 4 10" xfId="12547" xr:uid="{00000000-0005-0000-0000-000071300000}"/>
    <cellStyle name="40% - Ênfase3 4 10 2" xfId="12548" xr:uid="{00000000-0005-0000-0000-000072300000}"/>
    <cellStyle name="40% - Ênfase3 4 11" xfId="12549" xr:uid="{00000000-0005-0000-0000-000073300000}"/>
    <cellStyle name="40% - Ênfase3 4 2" xfId="12550" xr:uid="{00000000-0005-0000-0000-000074300000}"/>
    <cellStyle name="40% - Ênfase3 4 2 2" xfId="12551" xr:uid="{00000000-0005-0000-0000-000075300000}"/>
    <cellStyle name="40% - Ênfase3 4 2 2 2" xfId="12552" xr:uid="{00000000-0005-0000-0000-000076300000}"/>
    <cellStyle name="40% - Ênfase3 4 2 2 2 2" xfId="12553" xr:uid="{00000000-0005-0000-0000-000077300000}"/>
    <cellStyle name="40% - Ênfase3 4 2 2 2 2 2" xfId="12554" xr:uid="{00000000-0005-0000-0000-000078300000}"/>
    <cellStyle name="40% - Ênfase3 4 2 2 2 3" xfId="12555" xr:uid="{00000000-0005-0000-0000-000079300000}"/>
    <cellStyle name="40% - Ênfase3 4 2 2 2 3 2" xfId="12556" xr:uid="{00000000-0005-0000-0000-00007A300000}"/>
    <cellStyle name="40% - Ênfase3 4 2 2 2 4" xfId="12557" xr:uid="{00000000-0005-0000-0000-00007B300000}"/>
    <cellStyle name="40% - Ênfase3 4 2 2 3" xfId="12558" xr:uid="{00000000-0005-0000-0000-00007C300000}"/>
    <cellStyle name="40% - Ênfase3 4 2 2 3 2" xfId="12559" xr:uid="{00000000-0005-0000-0000-00007D300000}"/>
    <cellStyle name="40% - Ênfase3 4 2 2 3 2 2" xfId="12560" xr:uid="{00000000-0005-0000-0000-00007E300000}"/>
    <cellStyle name="40% - Ênfase3 4 2 2 3 3" xfId="12561" xr:uid="{00000000-0005-0000-0000-00007F300000}"/>
    <cellStyle name="40% - Ênfase3 4 2 2 3 3 2" xfId="12562" xr:uid="{00000000-0005-0000-0000-000080300000}"/>
    <cellStyle name="40% - Ênfase3 4 2 2 3 4" xfId="12563" xr:uid="{00000000-0005-0000-0000-000081300000}"/>
    <cellStyle name="40% - Ênfase3 4 2 2 4" xfId="12564" xr:uid="{00000000-0005-0000-0000-000082300000}"/>
    <cellStyle name="40% - Ênfase3 4 2 2 4 2" xfId="12565" xr:uid="{00000000-0005-0000-0000-000083300000}"/>
    <cellStyle name="40% - Ênfase3 4 2 2 5" xfId="12566" xr:uid="{00000000-0005-0000-0000-000084300000}"/>
    <cellStyle name="40% - Ênfase3 4 2 2 5 2" xfId="12567" xr:uid="{00000000-0005-0000-0000-000085300000}"/>
    <cellStyle name="40% - Ênfase3 4 2 2 6" xfId="12568" xr:uid="{00000000-0005-0000-0000-000086300000}"/>
    <cellStyle name="40% - Ênfase3 4 2 3" xfId="12569" xr:uid="{00000000-0005-0000-0000-000087300000}"/>
    <cellStyle name="40% - Ênfase3 4 2 3 2" xfId="12570" xr:uid="{00000000-0005-0000-0000-000088300000}"/>
    <cellStyle name="40% - Ênfase3 4 2 3 2 2" xfId="12571" xr:uid="{00000000-0005-0000-0000-000089300000}"/>
    <cellStyle name="40% - Ênfase3 4 2 3 3" xfId="12572" xr:uid="{00000000-0005-0000-0000-00008A300000}"/>
    <cellStyle name="40% - Ênfase3 4 2 3 3 2" xfId="12573" xr:uid="{00000000-0005-0000-0000-00008B300000}"/>
    <cellStyle name="40% - Ênfase3 4 2 3 4" xfId="12574" xr:uid="{00000000-0005-0000-0000-00008C300000}"/>
    <cellStyle name="40% - Ênfase3 4 2 4" xfId="12575" xr:uid="{00000000-0005-0000-0000-00008D300000}"/>
    <cellStyle name="40% - Ênfase3 4 2 4 2" xfId="12576" xr:uid="{00000000-0005-0000-0000-00008E300000}"/>
    <cellStyle name="40% - Ênfase3 4 2 4 2 2" xfId="12577" xr:uid="{00000000-0005-0000-0000-00008F300000}"/>
    <cellStyle name="40% - Ênfase3 4 2 4 3" xfId="12578" xr:uid="{00000000-0005-0000-0000-000090300000}"/>
    <cellStyle name="40% - Ênfase3 4 2 5" xfId="12579" xr:uid="{00000000-0005-0000-0000-000091300000}"/>
    <cellStyle name="40% - Ênfase3 4 2 5 2" xfId="12580" xr:uid="{00000000-0005-0000-0000-000092300000}"/>
    <cellStyle name="40% - Ênfase3 4 2 5 2 2" xfId="12581" xr:uid="{00000000-0005-0000-0000-000093300000}"/>
    <cellStyle name="40% - Ênfase3 4 2 5 3" xfId="12582" xr:uid="{00000000-0005-0000-0000-000094300000}"/>
    <cellStyle name="40% - Ênfase3 4 2 6" xfId="12583" xr:uid="{00000000-0005-0000-0000-000095300000}"/>
    <cellStyle name="40% - Ênfase3 4 2 6 2" xfId="12584" xr:uid="{00000000-0005-0000-0000-000096300000}"/>
    <cellStyle name="40% - Ênfase3 4 2 6 2 2" xfId="12585" xr:uid="{00000000-0005-0000-0000-000097300000}"/>
    <cellStyle name="40% - Ênfase3 4 2 6 3" xfId="12586" xr:uid="{00000000-0005-0000-0000-000098300000}"/>
    <cellStyle name="40% - Ênfase3 4 2 7" xfId="12587" xr:uid="{00000000-0005-0000-0000-000099300000}"/>
    <cellStyle name="40% - Ênfase3 4 2 7 2" xfId="12588" xr:uid="{00000000-0005-0000-0000-00009A300000}"/>
    <cellStyle name="40% - Ênfase3 4 2 7 2 2" xfId="12589" xr:uid="{00000000-0005-0000-0000-00009B300000}"/>
    <cellStyle name="40% - Ênfase3 4 2 7 3" xfId="12590" xr:uid="{00000000-0005-0000-0000-00009C300000}"/>
    <cellStyle name="40% - Ênfase3 4 2 8" xfId="12591" xr:uid="{00000000-0005-0000-0000-00009D300000}"/>
    <cellStyle name="40% - Ênfase3 4 2 8 2" xfId="12592" xr:uid="{00000000-0005-0000-0000-00009E300000}"/>
    <cellStyle name="40% - Ênfase3 4 2 9" xfId="12593" xr:uid="{00000000-0005-0000-0000-00009F300000}"/>
    <cellStyle name="40% - Ênfase3 4 3" xfId="12594" xr:uid="{00000000-0005-0000-0000-0000A0300000}"/>
    <cellStyle name="40% - Ênfase3 4 3 2" xfId="12595" xr:uid="{00000000-0005-0000-0000-0000A1300000}"/>
    <cellStyle name="40% - Ênfase3 4 3 2 2" xfId="12596" xr:uid="{00000000-0005-0000-0000-0000A2300000}"/>
    <cellStyle name="40% - Ênfase3 4 3 2 2 2" xfId="12597" xr:uid="{00000000-0005-0000-0000-0000A3300000}"/>
    <cellStyle name="40% - Ênfase3 4 3 2 3" xfId="12598" xr:uid="{00000000-0005-0000-0000-0000A4300000}"/>
    <cellStyle name="40% - Ênfase3 4 3 2 3 2" xfId="12599" xr:uid="{00000000-0005-0000-0000-0000A5300000}"/>
    <cellStyle name="40% - Ênfase3 4 3 2 4" xfId="12600" xr:uid="{00000000-0005-0000-0000-0000A6300000}"/>
    <cellStyle name="40% - Ênfase3 4 3 3" xfId="12601" xr:uid="{00000000-0005-0000-0000-0000A7300000}"/>
    <cellStyle name="40% - Ênfase3 4 3 3 2" xfId="12602" xr:uid="{00000000-0005-0000-0000-0000A8300000}"/>
    <cellStyle name="40% - Ênfase3 4 3 3 2 2" xfId="12603" xr:uid="{00000000-0005-0000-0000-0000A9300000}"/>
    <cellStyle name="40% - Ênfase3 4 3 3 3" xfId="12604" xr:uid="{00000000-0005-0000-0000-0000AA300000}"/>
    <cellStyle name="40% - Ênfase3 4 3 3 3 2" xfId="12605" xr:uid="{00000000-0005-0000-0000-0000AB300000}"/>
    <cellStyle name="40% - Ênfase3 4 3 3 4" xfId="12606" xr:uid="{00000000-0005-0000-0000-0000AC300000}"/>
    <cellStyle name="40% - Ênfase3 4 3 4" xfId="12607" xr:uid="{00000000-0005-0000-0000-0000AD300000}"/>
    <cellStyle name="40% - Ênfase3 4 3 4 2" xfId="12608" xr:uid="{00000000-0005-0000-0000-0000AE300000}"/>
    <cellStyle name="40% - Ênfase3 4 3 5" xfId="12609" xr:uid="{00000000-0005-0000-0000-0000AF300000}"/>
    <cellStyle name="40% - Ênfase3 4 3 5 2" xfId="12610" xr:uid="{00000000-0005-0000-0000-0000B0300000}"/>
    <cellStyle name="40% - Ênfase3 4 3 6" xfId="12611" xr:uid="{00000000-0005-0000-0000-0000B1300000}"/>
    <cellStyle name="40% - Ênfase3 4 4" xfId="12612" xr:uid="{00000000-0005-0000-0000-0000B2300000}"/>
    <cellStyle name="40% - Ênfase3 4 4 2" xfId="12613" xr:uid="{00000000-0005-0000-0000-0000B3300000}"/>
    <cellStyle name="40% - Ênfase3 4 4 2 2" xfId="12614" xr:uid="{00000000-0005-0000-0000-0000B4300000}"/>
    <cellStyle name="40% - Ênfase3 4 4 2 2 2" xfId="12615" xr:uid="{00000000-0005-0000-0000-0000B5300000}"/>
    <cellStyle name="40% - Ênfase3 4 4 2 3" xfId="12616" xr:uid="{00000000-0005-0000-0000-0000B6300000}"/>
    <cellStyle name="40% - Ênfase3 4 4 2 3 2" xfId="12617" xr:uid="{00000000-0005-0000-0000-0000B7300000}"/>
    <cellStyle name="40% - Ênfase3 4 4 2 4" xfId="12618" xr:uid="{00000000-0005-0000-0000-0000B8300000}"/>
    <cellStyle name="40% - Ênfase3 4 4 3" xfId="12619" xr:uid="{00000000-0005-0000-0000-0000B9300000}"/>
    <cellStyle name="40% - Ênfase3 4 4 3 2" xfId="12620" xr:uid="{00000000-0005-0000-0000-0000BA300000}"/>
    <cellStyle name="40% - Ênfase3 4 4 3 2 2" xfId="12621" xr:uid="{00000000-0005-0000-0000-0000BB300000}"/>
    <cellStyle name="40% - Ênfase3 4 4 3 3" xfId="12622" xr:uid="{00000000-0005-0000-0000-0000BC300000}"/>
    <cellStyle name="40% - Ênfase3 4 4 3 3 2" xfId="12623" xr:uid="{00000000-0005-0000-0000-0000BD300000}"/>
    <cellStyle name="40% - Ênfase3 4 4 3 4" xfId="12624" xr:uid="{00000000-0005-0000-0000-0000BE300000}"/>
    <cellStyle name="40% - Ênfase3 4 4 4" xfId="12625" xr:uid="{00000000-0005-0000-0000-0000BF300000}"/>
    <cellStyle name="40% - Ênfase3 4 4 4 2" xfId="12626" xr:uid="{00000000-0005-0000-0000-0000C0300000}"/>
    <cellStyle name="40% - Ênfase3 4 4 5" xfId="12627" xr:uid="{00000000-0005-0000-0000-0000C1300000}"/>
    <cellStyle name="40% - Ênfase3 4 4 5 2" xfId="12628" xr:uid="{00000000-0005-0000-0000-0000C2300000}"/>
    <cellStyle name="40% - Ênfase3 4 4 6" xfId="12629" xr:uid="{00000000-0005-0000-0000-0000C3300000}"/>
    <cellStyle name="40% - Ênfase3 4 5" xfId="12630" xr:uid="{00000000-0005-0000-0000-0000C4300000}"/>
    <cellStyle name="40% - Ênfase3 4 5 2" xfId="12631" xr:uid="{00000000-0005-0000-0000-0000C5300000}"/>
    <cellStyle name="40% - Ênfase3 4 5 2 2" xfId="12632" xr:uid="{00000000-0005-0000-0000-0000C6300000}"/>
    <cellStyle name="40% - Ênfase3 4 5 3" xfId="12633" xr:uid="{00000000-0005-0000-0000-0000C7300000}"/>
    <cellStyle name="40% - Ênfase3 4 5 3 2" xfId="12634" xr:uid="{00000000-0005-0000-0000-0000C8300000}"/>
    <cellStyle name="40% - Ênfase3 4 5 4" xfId="12635" xr:uid="{00000000-0005-0000-0000-0000C9300000}"/>
    <cellStyle name="40% - Ênfase3 4 6" xfId="12636" xr:uid="{00000000-0005-0000-0000-0000CA300000}"/>
    <cellStyle name="40% - Ênfase3 4 6 2" xfId="12637" xr:uid="{00000000-0005-0000-0000-0000CB300000}"/>
    <cellStyle name="40% - Ênfase3 4 6 2 2" xfId="12638" xr:uid="{00000000-0005-0000-0000-0000CC300000}"/>
    <cellStyle name="40% - Ênfase3 4 6 3" xfId="12639" xr:uid="{00000000-0005-0000-0000-0000CD300000}"/>
    <cellStyle name="40% - Ênfase3 4 7" xfId="12640" xr:uid="{00000000-0005-0000-0000-0000CE300000}"/>
    <cellStyle name="40% - Ênfase3 4 7 2" xfId="12641" xr:uid="{00000000-0005-0000-0000-0000CF300000}"/>
    <cellStyle name="40% - Ênfase3 4 7 2 2" xfId="12642" xr:uid="{00000000-0005-0000-0000-0000D0300000}"/>
    <cellStyle name="40% - Ênfase3 4 7 3" xfId="12643" xr:uid="{00000000-0005-0000-0000-0000D1300000}"/>
    <cellStyle name="40% - Ênfase3 4 8" xfId="12644" xr:uid="{00000000-0005-0000-0000-0000D2300000}"/>
    <cellStyle name="40% - Ênfase3 4 8 2" xfId="12645" xr:uid="{00000000-0005-0000-0000-0000D3300000}"/>
    <cellStyle name="40% - Ênfase3 4 8 2 2" xfId="12646" xr:uid="{00000000-0005-0000-0000-0000D4300000}"/>
    <cellStyle name="40% - Ênfase3 4 8 3" xfId="12647" xr:uid="{00000000-0005-0000-0000-0000D5300000}"/>
    <cellStyle name="40% - Ênfase3 4 9" xfId="12648" xr:uid="{00000000-0005-0000-0000-0000D6300000}"/>
    <cellStyle name="40% - Ênfase3 4 9 2" xfId="12649" xr:uid="{00000000-0005-0000-0000-0000D7300000}"/>
    <cellStyle name="40% - Ênfase3 4 9 2 2" xfId="12650" xr:uid="{00000000-0005-0000-0000-0000D8300000}"/>
    <cellStyle name="40% - Ênfase3 4 9 3" xfId="12651" xr:uid="{00000000-0005-0000-0000-0000D9300000}"/>
    <cellStyle name="40% - Ênfase3 5" xfId="12652" xr:uid="{00000000-0005-0000-0000-0000DA300000}"/>
    <cellStyle name="40% - Ênfase3 5 10" xfId="12653" xr:uid="{00000000-0005-0000-0000-0000DB300000}"/>
    <cellStyle name="40% - Ênfase3 5 2" xfId="12654" xr:uid="{00000000-0005-0000-0000-0000DC300000}"/>
    <cellStyle name="40% - Ênfase3 5 2 2" xfId="12655" xr:uid="{00000000-0005-0000-0000-0000DD300000}"/>
    <cellStyle name="40% - Ênfase3 5 2 2 2" xfId="12656" xr:uid="{00000000-0005-0000-0000-0000DE300000}"/>
    <cellStyle name="40% - Ênfase3 5 2 2 2 2" xfId="12657" xr:uid="{00000000-0005-0000-0000-0000DF300000}"/>
    <cellStyle name="40% - Ênfase3 5 2 2 2 2 2" xfId="12658" xr:uid="{00000000-0005-0000-0000-0000E0300000}"/>
    <cellStyle name="40% - Ênfase3 5 2 2 2 3" xfId="12659" xr:uid="{00000000-0005-0000-0000-0000E1300000}"/>
    <cellStyle name="40% - Ênfase3 5 2 2 2 3 2" xfId="12660" xr:uid="{00000000-0005-0000-0000-0000E2300000}"/>
    <cellStyle name="40% - Ênfase3 5 2 2 2 4" xfId="12661" xr:uid="{00000000-0005-0000-0000-0000E3300000}"/>
    <cellStyle name="40% - Ênfase3 5 2 2 3" xfId="12662" xr:uid="{00000000-0005-0000-0000-0000E4300000}"/>
    <cellStyle name="40% - Ênfase3 5 2 2 3 2" xfId="12663" xr:uid="{00000000-0005-0000-0000-0000E5300000}"/>
    <cellStyle name="40% - Ênfase3 5 2 2 4" xfId="12664" xr:uid="{00000000-0005-0000-0000-0000E6300000}"/>
    <cellStyle name="40% - Ênfase3 5 2 2 4 2" xfId="12665" xr:uid="{00000000-0005-0000-0000-0000E7300000}"/>
    <cellStyle name="40% - Ênfase3 5 2 2 5" xfId="12666" xr:uid="{00000000-0005-0000-0000-0000E8300000}"/>
    <cellStyle name="40% - Ênfase3 5 2 3" xfId="12667" xr:uid="{00000000-0005-0000-0000-0000E9300000}"/>
    <cellStyle name="40% - Ênfase3 5 2 3 2" xfId="12668" xr:uid="{00000000-0005-0000-0000-0000EA300000}"/>
    <cellStyle name="40% - Ênfase3 5 2 3 2 2" xfId="12669" xr:uid="{00000000-0005-0000-0000-0000EB300000}"/>
    <cellStyle name="40% - Ênfase3 5 2 3 3" xfId="12670" xr:uid="{00000000-0005-0000-0000-0000EC300000}"/>
    <cellStyle name="40% - Ênfase3 5 2 3 3 2" xfId="12671" xr:uid="{00000000-0005-0000-0000-0000ED300000}"/>
    <cellStyle name="40% - Ênfase3 5 2 3 4" xfId="12672" xr:uid="{00000000-0005-0000-0000-0000EE300000}"/>
    <cellStyle name="40% - Ênfase3 5 2 4" xfId="12673" xr:uid="{00000000-0005-0000-0000-0000EF300000}"/>
    <cellStyle name="40% - Ênfase3 5 2 4 2" xfId="12674" xr:uid="{00000000-0005-0000-0000-0000F0300000}"/>
    <cellStyle name="40% - Ênfase3 5 2 4 2 2" xfId="12675" xr:uid="{00000000-0005-0000-0000-0000F1300000}"/>
    <cellStyle name="40% - Ênfase3 5 2 4 3" xfId="12676" xr:uid="{00000000-0005-0000-0000-0000F2300000}"/>
    <cellStyle name="40% - Ênfase3 5 2 5" xfId="12677" xr:uid="{00000000-0005-0000-0000-0000F3300000}"/>
    <cellStyle name="40% - Ênfase3 5 2 5 2" xfId="12678" xr:uid="{00000000-0005-0000-0000-0000F4300000}"/>
    <cellStyle name="40% - Ênfase3 5 2 6" xfId="12679" xr:uid="{00000000-0005-0000-0000-0000F5300000}"/>
    <cellStyle name="40% - Ênfase3 5 3" xfId="12680" xr:uid="{00000000-0005-0000-0000-0000F6300000}"/>
    <cellStyle name="40% - Ênfase3 5 3 2" xfId="12681" xr:uid="{00000000-0005-0000-0000-0000F7300000}"/>
    <cellStyle name="40% - Ênfase3 5 3 2 2" xfId="12682" xr:uid="{00000000-0005-0000-0000-0000F8300000}"/>
    <cellStyle name="40% - Ênfase3 5 3 2 2 2" xfId="12683" xr:uid="{00000000-0005-0000-0000-0000F9300000}"/>
    <cellStyle name="40% - Ênfase3 5 3 2 3" xfId="12684" xr:uid="{00000000-0005-0000-0000-0000FA300000}"/>
    <cellStyle name="40% - Ênfase3 5 3 2 3 2" xfId="12685" xr:uid="{00000000-0005-0000-0000-0000FB300000}"/>
    <cellStyle name="40% - Ênfase3 5 3 2 4" xfId="12686" xr:uid="{00000000-0005-0000-0000-0000FC300000}"/>
    <cellStyle name="40% - Ênfase3 5 3 3" xfId="12687" xr:uid="{00000000-0005-0000-0000-0000FD300000}"/>
    <cellStyle name="40% - Ênfase3 5 3 3 2" xfId="12688" xr:uid="{00000000-0005-0000-0000-0000FE300000}"/>
    <cellStyle name="40% - Ênfase3 5 3 3 2 2" xfId="12689" xr:uid="{00000000-0005-0000-0000-0000FF300000}"/>
    <cellStyle name="40% - Ênfase3 5 3 3 3" xfId="12690" xr:uid="{00000000-0005-0000-0000-000000310000}"/>
    <cellStyle name="40% - Ênfase3 5 3 3 3 2" xfId="12691" xr:uid="{00000000-0005-0000-0000-000001310000}"/>
    <cellStyle name="40% - Ênfase3 5 3 3 4" xfId="12692" xr:uid="{00000000-0005-0000-0000-000002310000}"/>
    <cellStyle name="40% - Ênfase3 5 3 4" xfId="12693" xr:uid="{00000000-0005-0000-0000-000003310000}"/>
    <cellStyle name="40% - Ênfase3 5 3 4 2" xfId="12694" xr:uid="{00000000-0005-0000-0000-000004310000}"/>
    <cellStyle name="40% - Ênfase3 5 3 5" xfId="12695" xr:uid="{00000000-0005-0000-0000-000005310000}"/>
    <cellStyle name="40% - Ênfase3 5 3 5 2" xfId="12696" xr:uid="{00000000-0005-0000-0000-000006310000}"/>
    <cellStyle name="40% - Ênfase3 5 3 6" xfId="12697" xr:uid="{00000000-0005-0000-0000-000007310000}"/>
    <cellStyle name="40% - Ênfase3 5 4" xfId="12698" xr:uid="{00000000-0005-0000-0000-000008310000}"/>
    <cellStyle name="40% - Ênfase3 5 4 2" xfId="12699" xr:uid="{00000000-0005-0000-0000-000009310000}"/>
    <cellStyle name="40% - Ênfase3 5 4 2 2" xfId="12700" xr:uid="{00000000-0005-0000-0000-00000A310000}"/>
    <cellStyle name="40% - Ênfase3 5 4 3" xfId="12701" xr:uid="{00000000-0005-0000-0000-00000B310000}"/>
    <cellStyle name="40% - Ênfase3 5 4 3 2" xfId="12702" xr:uid="{00000000-0005-0000-0000-00000C310000}"/>
    <cellStyle name="40% - Ênfase3 5 4 4" xfId="12703" xr:uid="{00000000-0005-0000-0000-00000D310000}"/>
    <cellStyle name="40% - Ênfase3 5 5" xfId="12704" xr:uid="{00000000-0005-0000-0000-00000E310000}"/>
    <cellStyle name="40% - Ênfase3 5 5 2" xfId="12705" xr:uid="{00000000-0005-0000-0000-00000F310000}"/>
    <cellStyle name="40% - Ênfase3 5 5 2 2" xfId="12706" xr:uid="{00000000-0005-0000-0000-000010310000}"/>
    <cellStyle name="40% - Ênfase3 5 5 3" xfId="12707" xr:uid="{00000000-0005-0000-0000-000011310000}"/>
    <cellStyle name="40% - Ênfase3 5 6" xfId="12708" xr:uid="{00000000-0005-0000-0000-000012310000}"/>
    <cellStyle name="40% - Ênfase3 5 6 2" xfId="12709" xr:uid="{00000000-0005-0000-0000-000013310000}"/>
    <cellStyle name="40% - Ênfase3 5 6 2 2" xfId="12710" xr:uid="{00000000-0005-0000-0000-000014310000}"/>
    <cellStyle name="40% - Ênfase3 5 6 3" xfId="12711" xr:uid="{00000000-0005-0000-0000-000015310000}"/>
    <cellStyle name="40% - Ênfase3 5 7" xfId="12712" xr:uid="{00000000-0005-0000-0000-000016310000}"/>
    <cellStyle name="40% - Ênfase3 5 7 2" xfId="12713" xr:uid="{00000000-0005-0000-0000-000017310000}"/>
    <cellStyle name="40% - Ênfase3 5 7 2 2" xfId="12714" xr:uid="{00000000-0005-0000-0000-000018310000}"/>
    <cellStyle name="40% - Ênfase3 5 7 3" xfId="12715" xr:uid="{00000000-0005-0000-0000-000019310000}"/>
    <cellStyle name="40% - Ênfase3 5 8" xfId="12716" xr:uid="{00000000-0005-0000-0000-00001A310000}"/>
    <cellStyle name="40% - Ênfase3 5 8 2" xfId="12717" xr:uid="{00000000-0005-0000-0000-00001B310000}"/>
    <cellStyle name="40% - Ênfase3 5 8 2 2" xfId="12718" xr:uid="{00000000-0005-0000-0000-00001C310000}"/>
    <cellStyle name="40% - Ênfase3 5 8 3" xfId="12719" xr:uid="{00000000-0005-0000-0000-00001D310000}"/>
    <cellStyle name="40% - Ênfase3 5 9" xfId="12720" xr:uid="{00000000-0005-0000-0000-00001E310000}"/>
    <cellStyle name="40% - Ênfase3 5 9 2" xfId="12721" xr:uid="{00000000-0005-0000-0000-00001F310000}"/>
    <cellStyle name="40% - Ênfase3 6" xfId="12722" xr:uid="{00000000-0005-0000-0000-000020310000}"/>
    <cellStyle name="40% - Ênfase3 6 2" xfId="12723" xr:uid="{00000000-0005-0000-0000-000021310000}"/>
    <cellStyle name="40% - Ênfase3 6 2 2" xfId="12724" xr:uid="{00000000-0005-0000-0000-000022310000}"/>
    <cellStyle name="40% - Ênfase3 6 2 2 2" xfId="12725" xr:uid="{00000000-0005-0000-0000-000023310000}"/>
    <cellStyle name="40% - Ênfase3 6 2 2 2 2" xfId="12726" xr:uid="{00000000-0005-0000-0000-000024310000}"/>
    <cellStyle name="40% - Ênfase3 6 2 2 2 2 2" xfId="12727" xr:uid="{00000000-0005-0000-0000-000025310000}"/>
    <cellStyle name="40% - Ênfase3 6 2 2 2 3" xfId="12728" xr:uid="{00000000-0005-0000-0000-000026310000}"/>
    <cellStyle name="40% - Ênfase3 6 2 2 2 3 2" xfId="12729" xr:uid="{00000000-0005-0000-0000-000027310000}"/>
    <cellStyle name="40% - Ênfase3 6 2 2 2 4" xfId="12730" xr:uid="{00000000-0005-0000-0000-000028310000}"/>
    <cellStyle name="40% - Ênfase3 6 2 2 3" xfId="12731" xr:uid="{00000000-0005-0000-0000-000029310000}"/>
    <cellStyle name="40% - Ênfase3 6 2 2 3 2" xfId="12732" xr:uid="{00000000-0005-0000-0000-00002A310000}"/>
    <cellStyle name="40% - Ênfase3 6 2 2 4" xfId="12733" xr:uid="{00000000-0005-0000-0000-00002B310000}"/>
    <cellStyle name="40% - Ênfase3 6 2 2 4 2" xfId="12734" xr:uid="{00000000-0005-0000-0000-00002C310000}"/>
    <cellStyle name="40% - Ênfase3 6 2 2 5" xfId="12735" xr:uid="{00000000-0005-0000-0000-00002D310000}"/>
    <cellStyle name="40% - Ênfase3 6 2 3" xfId="12736" xr:uid="{00000000-0005-0000-0000-00002E310000}"/>
    <cellStyle name="40% - Ênfase3 6 2 3 2" xfId="12737" xr:uid="{00000000-0005-0000-0000-00002F310000}"/>
    <cellStyle name="40% - Ênfase3 6 2 3 2 2" xfId="12738" xr:uid="{00000000-0005-0000-0000-000030310000}"/>
    <cellStyle name="40% - Ênfase3 6 2 3 3" xfId="12739" xr:uid="{00000000-0005-0000-0000-000031310000}"/>
    <cellStyle name="40% - Ênfase3 6 2 3 3 2" xfId="12740" xr:uid="{00000000-0005-0000-0000-000032310000}"/>
    <cellStyle name="40% - Ênfase3 6 2 3 4" xfId="12741" xr:uid="{00000000-0005-0000-0000-000033310000}"/>
    <cellStyle name="40% - Ênfase3 6 2 4" xfId="12742" xr:uid="{00000000-0005-0000-0000-000034310000}"/>
    <cellStyle name="40% - Ênfase3 6 2 4 2" xfId="12743" xr:uid="{00000000-0005-0000-0000-000035310000}"/>
    <cellStyle name="40% - Ênfase3 6 2 4 2 2" xfId="12744" xr:uid="{00000000-0005-0000-0000-000036310000}"/>
    <cellStyle name="40% - Ênfase3 6 2 4 3" xfId="12745" xr:uid="{00000000-0005-0000-0000-000037310000}"/>
    <cellStyle name="40% - Ênfase3 6 2 5" xfId="12746" xr:uid="{00000000-0005-0000-0000-000038310000}"/>
    <cellStyle name="40% - Ênfase3 6 2 5 2" xfId="12747" xr:uid="{00000000-0005-0000-0000-000039310000}"/>
    <cellStyle name="40% - Ênfase3 6 2 6" xfId="12748" xr:uid="{00000000-0005-0000-0000-00003A310000}"/>
    <cellStyle name="40% - Ênfase3 6 3" xfId="12749" xr:uid="{00000000-0005-0000-0000-00003B310000}"/>
    <cellStyle name="40% - Ênfase3 6 3 2" xfId="12750" xr:uid="{00000000-0005-0000-0000-00003C310000}"/>
    <cellStyle name="40% - Ênfase3 6 3 2 2" xfId="12751" xr:uid="{00000000-0005-0000-0000-00003D310000}"/>
    <cellStyle name="40% - Ênfase3 6 3 2 2 2" xfId="12752" xr:uid="{00000000-0005-0000-0000-00003E310000}"/>
    <cellStyle name="40% - Ênfase3 6 3 2 3" xfId="12753" xr:uid="{00000000-0005-0000-0000-00003F310000}"/>
    <cellStyle name="40% - Ênfase3 6 3 2 3 2" xfId="12754" xr:uid="{00000000-0005-0000-0000-000040310000}"/>
    <cellStyle name="40% - Ênfase3 6 3 2 4" xfId="12755" xr:uid="{00000000-0005-0000-0000-000041310000}"/>
    <cellStyle name="40% - Ênfase3 6 3 3" xfId="12756" xr:uid="{00000000-0005-0000-0000-000042310000}"/>
    <cellStyle name="40% - Ênfase3 6 3 3 2" xfId="12757" xr:uid="{00000000-0005-0000-0000-000043310000}"/>
    <cellStyle name="40% - Ênfase3 6 3 4" xfId="12758" xr:uid="{00000000-0005-0000-0000-000044310000}"/>
    <cellStyle name="40% - Ênfase3 6 3 4 2" xfId="12759" xr:uid="{00000000-0005-0000-0000-000045310000}"/>
    <cellStyle name="40% - Ênfase3 6 3 5" xfId="12760" xr:uid="{00000000-0005-0000-0000-000046310000}"/>
    <cellStyle name="40% - Ênfase3 6 4" xfId="12761" xr:uid="{00000000-0005-0000-0000-000047310000}"/>
    <cellStyle name="40% - Ênfase3 6 4 2" xfId="12762" xr:uid="{00000000-0005-0000-0000-000048310000}"/>
    <cellStyle name="40% - Ênfase3 6 4 2 2" xfId="12763" xr:uid="{00000000-0005-0000-0000-000049310000}"/>
    <cellStyle name="40% - Ênfase3 6 4 3" xfId="12764" xr:uid="{00000000-0005-0000-0000-00004A310000}"/>
    <cellStyle name="40% - Ênfase3 6 4 3 2" xfId="12765" xr:uid="{00000000-0005-0000-0000-00004B310000}"/>
    <cellStyle name="40% - Ênfase3 6 4 4" xfId="12766" xr:uid="{00000000-0005-0000-0000-00004C310000}"/>
    <cellStyle name="40% - Ênfase3 6 5" xfId="12767" xr:uid="{00000000-0005-0000-0000-00004D310000}"/>
    <cellStyle name="40% - Ênfase3 6 5 2" xfId="12768" xr:uid="{00000000-0005-0000-0000-00004E310000}"/>
    <cellStyle name="40% - Ênfase3 6 5 2 2" xfId="12769" xr:uid="{00000000-0005-0000-0000-00004F310000}"/>
    <cellStyle name="40% - Ênfase3 6 5 3" xfId="12770" xr:uid="{00000000-0005-0000-0000-000050310000}"/>
    <cellStyle name="40% - Ênfase3 6 6" xfId="12771" xr:uid="{00000000-0005-0000-0000-000051310000}"/>
    <cellStyle name="40% - Ênfase3 6 6 2" xfId="12772" xr:uid="{00000000-0005-0000-0000-000052310000}"/>
    <cellStyle name="40% - Ênfase3 6 7" xfId="12773" xr:uid="{00000000-0005-0000-0000-000053310000}"/>
    <cellStyle name="40% - Ênfase3 7" xfId="12774" xr:uid="{00000000-0005-0000-0000-000054310000}"/>
    <cellStyle name="40% - Ênfase3 7 2" xfId="12775" xr:uid="{00000000-0005-0000-0000-000055310000}"/>
    <cellStyle name="40% - Ênfase3 7 2 2" xfId="12776" xr:uid="{00000000-0005-0000-0000-000056310000}"/>
    <cellStyle name="40% - Ênfase3 7 2 2 2" xfId="12777" xr:uid="{00000000-0005-0000-0000-000057310000}"/>
    <cellStyle name="40% - Ênfase3 7 2 2 2 2" xfId="12778" xr:uid="{00000000-0005-0000-0000-000058310000}"/>
    <cellStyle name="40% - Ênfase3 7 2 2 2 2 2" xfId="12779" xr:uid="{00000000-0005-0000-0000-000059310000}"/>
    <cellStyle name="40% - Ênfase3 7 2 2 2 3" xfId="12780" xr:uid="{00000000-0005-0000-0000-00005A310000}"/>
    <cellStyle name="40% - Ênfase3 7 2 2 2 3 2" xfId="12781" xr:uid="{00000000-0005-0000-0000-00005B310000}"/>
    <cellStyle name="40% - Ênfase3 7 2 2 2 4" xfId="12782" xr:uid="{00000000-0005-0000-0000-00005C310000}"/>
    <cellStyle name="40% - Ênfase3 7 2 2 3" xfId="12783" xr:uid="{00000000-0005-0000-0000-00005D310000}"/>
    <cellStyle name="40% - Ênfase3 7 2 2 3 2" xfId="12784" xr:uid="{00000000-0005-0000-0000-00005E310000}"/>
    <cellStyle name="40% - Ênfase3 7 2 2 4" xfId="12785" xr:uid="{00000000-0005-0000-0000-00005F310000}"/>
    <cellStyle name="40% - Ênfase3 7 2 2 4 2" xfId="12786" xr:uid="{00000000-0005-0000-0000-000060310000}"/>
    <cellStyle name="40% - Ênfase3 7 2 2 5" xfId="12787" xr:uid="{00000000-0005-0000-0000-000061310000}"/>
    <cellStyle name="40% - Ênfase3 7 2 3" xfId="12788" xr:uid="{00000000-0005-0000-0000-000062310000}"/>
    <cellStyle name="40% - Ênfase3 7 2 3 2" xfId="12789" xr:uid="{00000000-0005-0000-0000-000063310000}"/>
    <cellStyle name="40% - Ênfase3 7 2 3 2 2" xfId="12790" xr:uid="{00000000-0005-0000-0000-000064310000}"/>
    <cellStyle name="40% - Ênfase3 7 2 3 3" xfId="12791" xr:uid="{00000000-0005-0000-0000-000065310000}"/>
    <cellStyle name="40% - Ênfase3 7 2 3 3 2" xfId="12792" xr:uid="{00000000-0005-0000-0000-000066310000}"/>
    <cellStyle name="40% - Ênfase3 7 2 3 4" xfId="12793" xr:uid="{00000000-0005-0000-0000-000067310000}"/>
    <cellStyle name="40% - Ênfase3 7 2 4" xfId="12794" xr:uid="{00000000-0005-0000-0000-000068310000}"/>
    <cellStyle name="40% - Ênfase3 7 2 4 2" xfId="12795" xr:uid="{00000000-0005-0000-0000-000069310000}"/>
    <cellStyle name="40% - Ênfase3 7 2 4 2 2" xfId="12796" xr:uid="{00000000-0005-0000-0000-00006A310000}"/>
    <cellStyle name="40% - Ênfase3 7 2 4 3" xfId="12797" xr:uid="{00000000-0005-0000-0000-00006B310000}"/>
    <cellStyle name="40% - Ênfase3 7 2 5" xfId="12798" xr:uid="{00000000-0005-0000-0000-00006C310000}"/>
    <cellStyle name="40% - Ênfase3 7 2 5 2" xfId="12799" xr:uid="{00000000-0005-0000-0000-00006D310000}"/>
    <cellStyle name="40% - Ênfase3 7 2 6" xfId="12800" xr:uid="{00000000-0005-0000-0000-00006E310000}"/>
    <cellStyle name="40% - Ênfase3 7 3" xfId="12801" xr:uid="{00000000-0005-0000-0000-00006F310000}"/>
    <cellStyle name="40% - Ênfase3 7 3 2" xfId="12802" xr:uid="{00000000-0005-0000-0000-000070310000}"/>
    <cellStyle name="40% - Ênfase3 7 3 2 2" xfId="12803" xr:uid="{00000000-0005-0000-0000-000071310000}"/>
    <cellStyle name="40% - Ênfase3 7 3 2 2 2" xfId="12804" xr:uid="{00000000-0005-0000-0000-000072310000}"/>
    <cellStyle name="40% - Ênfase3 7 3 2 3" xfId="12805" xr:uid="{00000000-0005-0000-0000-000073310000}"/>
    <cellStyle name="40% - Ênfase3 7 3 2 3 2" xfId="12806" xr:uid="{00000000-0005-0000-0000-000074310000}"/>
    <cellStyle name="40% - Ênfase3 7 3 2 4" xfId="12807" xr:uid="{00000000-0005-0000-0000-000075310000}"/>
    <cellStyle name="40% - Ênfase3 7 3 3" xfId="12808" xr:uid="{00000000-0005-0000-0000-000076310000}"/>
    <cellStyle name="40% - Ênfase3 7 3 3 2" xfId="12809" xr:uid="{00000000-0005-0000-0000-000077310000}"/>
    <cellStyle name="40% - Ênfase3 7 3 4" xfId="12810" xr:uid="{00000000-0005-0000-0000-000078310000}"/>
    <cellStyle name="40% - Ênfase3 7 3 4 2" xfId="12811" xr:uid="{00000000-0005-0000-0000-000079310000}"/>
    <cellStyle name="40% - Ênfase3 7 3 5" xfId="12812" xr:uid="{00000000-0005-0000-0000-00007A310000}"/>
    <cellStyle name="40% - Ênfase3 7 4" xfId="12813" xr:uid="{00000000-0005-0000-0000-00007B310000}"/>
    <cellStyle name="40% - Ênfase3 7 4 2" xfId="12814" xr:uid="{00000000-0005-0000-0000-00007C310000}"/>
    <cellStyle name="40% - Ênfase3 7 4 2 2" xfId="12815" xr:uid="{00000000-0005-0000-0000-00007D310000}"/>
    <cellStyle name="40% - Ênfase3 7 4 3" xfId="12816" xr:uid="{00000000-0005-0000-0000-00007E310000}"/>
    <cellStyle name="40% - Ênfase3 7 4 3 2" xfId="12817" xr:uid="{00000000-0005-0000-0000-00007F310000}"/>
    <cellStyle name="40% - Ênfase3 7 4 4" xfId="12818" xr:uid="{00000000-0005-0000-0000-000080310000}"/>
    <cellStyle name="40% - Ênfase3 7 5" xfId="12819" xr:uid="{00000000-0005-0000-0000-000081310000}"/>
    <cellStyle name="40% - Ênfase3 7 5 2" xfId="12820" xr:uid="{00000000-0005-0000-0000-000082310000}"/>
    <cellStyle name="40% - Ênfase3 7 5 2 2" xfId="12821" xr:uid="{00000000-0005-0000-0000-000083310000}"/>
    <cellStyle name="40% - Ênfase3 7 5 3" xfId="12822" xr:uid="{00000000-0005-0000-0000-000084310000}"/>
    <cellStyle name="40% - Ênfase3 7 6" xfId="12823" xr:uid="{00000000-0005-0000-0000-000085310000}"/>
    <cellStyle name="40% - Ênfase3 7 6 2" xfId="12824" xr:uid="{00000000-0005-0000-0000-000086310000}"/>
    <cellStyle name="40% - Ênfase3 7 7" xfId="12825" xr:uid="{00000000-0005-0000-0000-000087310000}"/>
    <cellStyle name="40% - Ênfase3 8" xfId="12826" xr:uid="{00000000-0005-0000-0000-000088310000}"/>
    <cellStyle name="40% - Ênfase3 8 2" xfId="12827" xr:uid="{00000000-0005-0000-0000-000089310000}"/>
    <cellStyle name="40% - Ênfase3 8 2 2" xfId="12828" xr:uid="{00000000-0005-0000-0000-00008A310000}"/>
    <cellStyle name="40% - Ênfase3 8 2 2 2" xfId="12829" xr:uid="{00000000-0005-0000-0000-00008B310000}"/>
    <cellStyle name="40% - Ênfase3 8 2 2 2 2" xfId="12830" xr:uid="{00000000-0005-0000-0000-00008C310000}"/>
    <cellStyle name="40% - Ênfase3 8 2 2 2 2 2" xfId="12831" xr:uid="{00000000-0005-0000-0000-00008D310000}"/>
    <cellStyle name="40% - Ênfase3 8 2 2 2 3" xfId="12832" xr:uid="{00000000-0005-0000-0000-00008E310000}"/>
    <cellStyle name="40% - Ênfase3 8 2 2 2 3 2" xfId="12833" xr:uid="{00000000-0005-0000-0000-00008F310000}"/>
    <cellStyle name="40% - Ênfase3 8 2 2 2 4" xfId="12834" xr:uid="{00000000-0005-0000-0000-000090310000}"/>
    <cellStyle name="40% - Ênfase3 8 2 2 3" xfId="12835" xr:uid="{00000000-0005-0000-0000-000091310000}"/>
    <cellStyle name="40% - Ênfase3 8 2 2 3 2" xfId="12836" xr:uid="{00000000-0005-0000-0000-000092310000}"/>
    <cellStyle name="40% - Ênfase3 8 2 2 4" xfId="12837" xr:uid="{00000000-0005-0000-0000-000093310000}"/>
    <cellStyle name="40% - Ênfase3 8 2 2 4 2" xfId="12838" xr:uid="{00000000-0005-0000-0000-000094310000}"/>
    <cellStyle name="40% - Ênfase3 8 2 2 5" xfId="12839" xr:uid="{00000000-0005-0000-0000-000095310000}"/>
    <cellStyle name="40% - Ênfase3 8 2 3" xfId="12840" xr:uid="{00000000-0005-0000-0000-000096310000}"/>
    <cellStyle name="40% - Ênfase3 8 2 3 2" xfId="12841" xr:uid="{00000000-0005-0000-0000-000097310000}"/>
    <cellStyle name="40% - Ênfase3 8 2 3 2 2" xfId="12842" xr:uid="{00000000-0005-0000-0000-000098310000}"/>
    <cellStyle name="40% - Ênfase3 8 2 3 3" xfId="12843" xr:uid="{00000000-0005-0000-0000-000099310000}"/>
    <cellStyle name="40% - Ênfase3 8 2 3 3 2" xfId="12844" xr:uid="{00000000-0005-0000-0000-00009A310000}"/>
    <cellStyle name="40% - Ênfase3 8 2 3 4" xfId="12845" xr:uid="{00000000-0005-0000-0000-00009B310000}"/>
    <cellStyle name="40% - Ênfase3 8 2 4" xfId="12846" xr:uid="{00000000-0005-0000-0000-00009C310000}"/>
    <cellStyle name="40% - Ênfase3 8 2 4 2" xfId="12847" xr:uid="{00000000-0005-0000-0000-00009D310000}"/>
    <cellStyle name="40% - Ênfase3 8 2 4 2 2" xfId="12848" xr:uid="{00000000-0005-0000-0000-00009E310000}"/>
    <cellStyle name="40% - Ênfase3 8 2 4 3" xfId="12849" xr:uid="{00000000-0005-0000-0000-00009F310000}"/>
    <cellStyle name="40% - Ênfase3 8 2 5" xfId="12850" xr:uid="{00000000-0005-0000-0000-0000A0310000}"/>
    <cellStyle name="40% - Ênfase3 8 2 5 2" xfId="12851" xr:uid="{00000000-0005-0000-0000-0000A1310000}"/>
    <cellStyle name="40% - Ênfase3 8 2 6" xfId="12852" xr:uid="{00000000-0005-0000-0000-0000A2310000}"/>
    <cellStyle name="40% - Ênfase3 8 3" xfId="12853" xr:uid="{00000000-0005-0000-0000-0000A3310000}"/>
    <cellStyle name="40% - Ênfase3 8 3 2" xfId="12854" xr:uid="{00000000-0005-0000-0000-0000A4310000}"/>
    <cellStyle name="40% - Ênfase3 8 3 2 2" xfId="12855" xr:uid="{00000000-0005-0000-0000-0000A5310000}"/>
    <cellStyle name="40% - Ênfase3 8 3 2 2 2" xfId="12856" xr:uid="{00000000-0005-0000-0000-0000A6310000}"/>
    <cellStyle name="40% - Ênfase3 8 3 2 3" xfId="12857" xr:uid="{00000000-0005-0000-0000-0000A7310000}"/>
    <cellStyle name="40% - Ênfase3 8 3 2 3 2" xfId="12858" xr:uid="{00000000-0005-0000-0000-0000A8310000}"/>
    <cellStyle name="40% - Ênfase3 8 3 2 4" xfId="12859" xr:uid="{00000000-0005-0000-0000-0000A9310000}"/>
    <cellStyle name="40% - Ênfase3 8 3 3" xfId="12860" xr:uid="{00000000-0005-0000-0000-0000AA310000}"/>
    <cellStyle name="40% - Ênfase3 8 3 3 2" xfId="12861" xr:uid="{00000000-0005-0000-0000-0000AB310000}"/>
    <cellStyle name="40% - Ênfase3 8 3 4" xfId="12862" xr:uid="{00000000-0005-0000-0000-0000AC310000}"/>
    <cellStyle name="40% - Ênfase3 8 3 4 2" xfId="12863" xr:uid="{00000000-0005-0000-0000-0000AD310000}"/>
    <cellStyle name="40% - Ênfase3 8 3 5" xfId="12864" xr:uid="{00000000-0005-0000-0000-0000AE310000}"/>
    <cellStyle name="40% - Ênfase3 8 4" xfId="12865" xr:uid="{00000000-0005-0000-0000-0000AF310000}"/>
    <cellStyle name="40% - Ênfase3 8 4 2" xfId="12866" xr:uid="{00000000-0005-0000-0000-0000B0310000}"/>
    <cellStyle name="40% - Ênfase3 8 4 2 2" xfId="12867" xr:uid="{00000000-0005-0000-0000-0000B1310000}"/>
    <cellStyle name="40% - Ênfase3 8 4 3" xfId="12868" xr:uid="{00000000-0005-0000-0000-0000B2310000}"/>
    <cellStyle name="40% - Ênfase3 8 4 3 2" xfId="12869" xr:uid="{00000000-0005-0000-0000-0000B3310000}"/>
    <cellStyle name="40% - Ênfase3 8 4 4" xfId="12870" xr:uid="{00000000-0005-0000-0000-0000B4310000}"/>
    <cellStyle name="40% - Ênfase3 8 5" xfId="12871" xr:uid="{00000000-0005-0000-0000-0000B5310000}"/>
    <cellStyle name="40% - Ênfase3 8 5 2" xfId="12872" xr:uid="{00000000-0005-0000-0000-0000B6310000}"/>
    <cellStyle name="40% - Ênfase3 8 5 2 2" xfId="12873" xr:uid="{00000000-0005-0000-0000-0000B7310000}"/>
    <cellStyle name="40% - Ênfase3 8 5 3" xfId="12874" xr:uid="{00000000-0005-0000-0000-0000B8310000}"/>
    <cellStyle name="40% - Ênfase3 8 6" xfId="12875" xr:uid="{00000000-0005-0000-0000-0000B9310000}"/>
    <cellStyle name="40% - Ênfase3 8 6 2" xfId="12876" xr:uid="{00000000-0005-0000-0000-0000BA310000}"/>
    <cellStyle name="40% - Ênfase3 8 7" xfId="12877" xr:uid="{00000000-0005-0000-0000-0000BB310000}"/>
    <cellStyle name="40% - Ênfase3 9" xfId="12878" xr:uid="{00000000-0005-0000-0000-0000BC310000}"/>
    <cellStyle name="40% - Ênfase3 9 2" xfId="12879" xr:uid="{00000000-0005-0000-0000-0000BD310000}"/>
    <cellStyle name="40% - Ênfase3 9 2 2" xfId="12880" xr:uid="{00000000-0005-0000-0000-0000BE310000}"/>
    <cellStyle name="40% - Ênfase3 9 2 2 2" xfId="12881" xr:uid="{00000000-0005-0000-0000-0000BF310000}"/>
    <cellStyle name="40% - Ênfase3 9 2 2 2 2" xfId="12882" xr:uid="{00000000-0005-0000-0000-0000C0310000}"/>
    <cellStyle name="40% - Ênfase3 9 2 2 2 2 2" xfId="12883" xr:uid="{00000000-0005-0000-0000-0000C1310000}"/>
    <cellStyle name="40% - Ênfase3 9 2 2 2 3" xfId="12884" xr:uid="{00000000-0005-0000-0000-0000C2310000}"/>
    <cellStyle name="40% - Ênfase3 9 2 2 2 3 2" xfId="12885" xr:uid="{00000000-0005-0000-0000-0000C3310000}"/>
    <cellStyle name="40% - Ênfase3 9 2 2 2 4" xfId="12886" xr:uid="{00000000-0005-0000-0000-0000C4310000}"/>
    <cellStyle name="40% - Ênfase3 9 2 2 3" xfId="12887" xr:uid="{00000000-0005-0000-0000-0000C5310000}"/>
    <cellStyle name="40% - Ênfase3 9 2 2 3 2" xfId="12888" xr:uid="{00000000-0005-0000-0000-0000C6310000}"/>
    <cellStyle name="40% - Ênfase3 9 2 2 4" xfId="12889" xr:uid="{00000000-0005-0000-0000-0000C7310000}"/>
    <cellStyle name="40% - Ênfase3 9 2 2 4 2" xfId="12890" xr:uid="{00000000-0005-0000-0000-0000C8310000}"/>
    <cellStyle name="40% - Ênfase3 9 2 2 5" xfId="12891" xr:uid="{00000000-0005-0000-0000-0000C9310000}"/>
    <cellStyle name="40% - Ênfase3 9 2 3" xfId="12892" xr:uid="{00000000-0005-0000-0000-0000CA310000}"/>
    <cellStyle name="40% - Ênfase3 9 2 3 2" xfId="12893" xr:uid="{00000000-0005-0000-0000-0000CB310000}"/>
    <cellStyle name="40% - Ênfase3 9 2 3 2 2" xfId="12894" xr:uid="{00000000-0005-0000-0000-0000CC310000}"/>
    <cellStyle name="40% - Ênfase3 9 2 3 3" xfId="12895" xr:uid="{00000000-0005-0000-0000-0000CD310000}"/>
    <cellStyle name="40% - Ênfase3 9 2 3 3 2" xfId="12896" xr:uid="{00000000-0005-0000-0000-0000CE310000}"/>
    <cellStyle name="40% - Ênfase3 9 2 3 4" xfId="12897" xr:uid="{00000000-0005-0000-0000-0000CF310000}"/>
    <cellStyle name="40% - Ênfase3 9 2 4" xfId="12898" xr:uid="{00000000-0005-0000-0000-0000D0310000}"/>
    <cellStyle name="40% - Ênfase3 9 2 4 2" xfId="12899" xr:uid="{00000000-0005-0000-0000-0000D1310000}"/>
    <cellStyle name="40% - Ênfase3 9 2 4 2 2" xfId="12900" xr:uid="{00000000-0005-0000-0000-0000D2310000}"/>
    <cellStyle name="40% - Ênfase3 9 2 4 3" xfId="12901" xr:uid="{00000000-0005-0000-0000-0000D3310000}"/>
    <cellStyle name="40% - Ênfase3 9 2 5" xfId="12902" xr:uid="{00000000-0005-0000-0000-0000D4310000}"/>
    <cellStyle name="40% - Ênfase3 9 2 5 2" xfId="12903" xr:uid="{00000000-0005-0000-0000-0000D5310000}"/>
    <cellStyle name="40% - Ênfase3 9 2 6" xfId="12904" xr:uid="{00000000-0005-0000-0000-0000D6310000}"/>
    <cellStyle name="40% - Ênfase3 9 3" xfId="12905" xr:uid="{00000000-0005-0000-0000-0000D7310000}"/>
    <cellStyle name="40% - Ênfase3 9 3 2" xfId="12906" xr:uid="{00000000-0005-0000-0000-0000D8310000}"/>
    <cellStyle name="40% - Ênfase3 9 3 2 2" xfId="12907" xr:uid="{00000000-0005-0000-0000-0000D9310000}"/>
    <cellStyle name="40% - Ênfase3 9 3 2 2 2" xfId="12908" xr:uid="{00000000-0005-0000-0000-0000DA310000}"/>
    <cellStyle name="40% - Ênfase3 9 3 2 3" xfId="12909" xr:uid="{00000000-0005-0000-0000-0000DB310000}"/>
    <cellStyle name="40% - Ênfase3 9 3 2 3 2" xfId="12910" xr:uid="{00000000-0005-0000-0000-0000DC310000}"/>
    <cellStyle name="40% - Ênfase3 9 3 2 4" xfId="12911" xr:uid="{00000000-0005-0000-0000-0000DD310000}"/>
    <cellStyle name="40% - Ênfase3 9 3 3" xfId="12912" xr:uid="{00000000-0005-0000-0000-0000DE310000}"/>
    <cellStyle name="40% - Ênfase3 9 3 3 2" xfId="12913" xr:uid="{00000000-0005-0000-0000-0000DF310000}"/>
    <cellStyle name="40% - Ênfase3 9 3 4" xfId="12914" xr:uid="{00000000-0005-0000-0000-0000E0310000}"/>
    <cellStyle name="40% - Ênfase3 9 3 4 2" xfId="12915" xr:uid="{00000000-0005-0000-0000-0000E1310000}"/>
    <cellStyle name="40% - Ênfase3 9 3 5" xfId="12916" xr:uid="{00000000-0005-0000-0000-0000E2310000}"/>
    <cellStyle name="40% - Ênfase3 9 4" xfId="12917" xr:uid="{00000000-0005-0000-0000-0000E3310000}"/>
    <cellStyle name="40% - Ênfase3 9 4 2" xfId="12918" xr:uid="{00000000-0005-0000-0000-0000E4310000}"/>
    <cellStyle name="40% - Ênfase3 9 4 2 2" xfId="12919" xr:uid="{00000000-0005-0000-0000-0000E5310000}"/>
    <cellStyle name="40% - Ênfase3 9 4 3" xfId="12920" xr:uid="{00000000-0005-0000-0000-0000E6310000}"/>
    <cellStyle name="40% - Ênfase3 9 4 3 2" xfId="12921" xr:uid="{00000000-0005-0000-0000-0000E7310000}"/>
    <cellStyle name="40% - Ênfase3 9 4 4" xfId="12922" xr:uid="{00000000-0005-0000-0000-0000E8310000}"/>
    <cellStyle name="40% - Ênfase3 9 5" xfId="12923" xr:uid="{00000000-0005-0000-0000-0000E9310000}"/>
    <cellStyle name="40% - Ênfase3 9 5 2" xfId="12924" xr:uid="{00000000-0005-0000-0000-0000EA310000}"/>
    <cellStyle name="40% - Ênfase3 9 5 2 2" xfId="12925" xr:uid="{00000000-0005-0000-0000-0000EB310000}"/>
    <cellStyle name="40% - Ênfase3 9 5 3" xfId="12926" xr:uid="{00000000-0005-0000-0000-0000EC310000}"/>
    <cellStyle name="40% - Ênfase3 9 6" xfId="12927" xr:uid="{00000000-0005-0000-0000-0000ED310000}"/>
    <cellStyle name="40% - Ênfase3 9 6 2" xfId="12928" xr:uid="{00000000-0005-0000-0000-0000EE310000}"/>
    <cellStyle name="40% - Ênfase3 9 7" xfId="12929" xr:uid="{00000000-0005-0000-0000-0000EF310000}"/>
    <cellStyle name="40% - Ênfase4 10" xfId="12930" xr:uid="{00000000-0005-0000-0000-0000F0310000}"/>
    <cellStyle name="40% - Ênfase4 10 2" xfId="12931" xr:uid="{00000000-0005-0000-0000-0000F1310000}"/>
    <cellStyle name="40% - Ênfase4 10 2 2" xfId="12932" xr:uid="{00000000-0005-0000-0000-0000F2310000}"/>
    <cellStyle name="40% - Ênfase4 10 2 2 2" xfId="12933" xr:uid="{00000000-0005-0000-0000-0000F3310000}"/>
    <cellStyle name="40% - Ênfase4 10 2 2 2 2" xfId="12934" xr:uid="{00000000-0005-0000-0000-0000F4310000}"/>
    <cellStyle name="40% - Ênfase4 10 2 2 2 2 2" xfId="12935" xr:uid="{00000000-0005-0000-0000-0000F5310000}"/>
    <cellStyle name="40% - Ênfase4 10 2 2 2 3" xfId="12936" xr:uid="{00000000-0005-0000-0000-0000F6310000}"/>
    <cellStyle name="40% - Ênfase4 10 2 2 2 3 2" xfId="12937" xr:uid="{00000000-0005-0000-0000-0000F7310000}"/>
    <cellStyle name="40% - Ênfase4 10 2 2 2 4" xfId="12938" xr:uid="{00000000-0005-0000-0000-0000F8310000}"/>
    <cellStyle name="40% - Ênfase4 10 2 2 3" xfId="12939" xr:uid="{00000000-0005-0000-0000-0000F9310000}"/>
    <cellStyle name="40% - Ênfase4 10 2 2 3 2" xfId="12940" xr:uid="{00000000-0005-0000-0000-0000FA310000}"/>
    <cellStyle name="40% - Ênfase4 10 2 2 4" xfId="12941" xr:uid="{00000000-0005-0000-0000-0000FB310000}"/>
    <cellStyle name="40% - Ênfase4 10 2 2 4 2" xfId="12942" xr:uid="{00000000-0005-0000-0000-0000FC310000}"/>
    <cellStyle name="40% - Ênfase4 10 2 2 5" xfId="12943" xr:uid="{00000000-0005-0000-0000-0000FD310000}"/>
    <cellStyle name="40% - Ênfase4 10 2 3" xfId="12944" xr:uid="{00000000-0005-0000-0000-0000FE310000}"/>
    <cellStyle name="40% - Ênfase4 10 2 3 2" xfId="12945" xr:uid="{00000000-0005-0000-0000-0000FF310000}"/>
    <cellStyle name="40% - Ênfase4 10 2 3 2 2" xfId="12946" xr:uid="{00000000-0005-0000-0000-000000320000}"/>
    <cellStyle name="40% - Ênfase4 10 2 3 3" xfId="12947" xr:uid="{00000000-0005-0000-0000-000001320000}"/>
    <cellStyle name="40% - Ênfase4 10 2 3 3 2" xfId="12948" xr:uid="{00000000-0005-0000-0000-000002320000}"/>
    <cellStyle name="40% - Ênfase4 10 2 3 4" xfId="12949" xr:uid="{00000000-0005-0000-0000-000003320000}"/>
    <cellStyle name="40% - Ênfase4 10 2 4" xfId="12950" xr:uid="{00000000-0005-0000-0000-000004320000}"/>
    <cellStyle name="40% - Ênfase4 10 2 4 2" xfId="12951" xr:uid="{00000000-0005-0000-0000-000005320000}"/>
    <cellStyle name="40% - Ênfase4 10 2 4 2 2" xfId="12952" xr:uid="{00000000-0005-0000-0000-000006320000}"/>
    <cellStyle name="40% - Ênfase4 10 2 4 3" xfId="12953" xr:uid="{00000000-0005-0000-0000-000007320000}"/>
    <cellStyle name="40% - Ênfase4 10 2 5" xfId="12954" xr:uid="{00000000-0005-0000-0000-000008320000}"/>
    <cellStyle name="40% - Ênfase4 10 2 5 2" xfId="12955" xr:uid="{00000000-0005-0000-0000-000009320000}"/>
    <cellStyle name="40% - Ênfase4 10 2 6" xfId="12956" xr:uid="{00000000-0005-0000-0000-00000A320000}"/>
    <cellStyle name="40% - Ênfase4 10 3" xfId="12957" xr:uid="{00000000-0005-0000-0000-00000B320000}"/>
    <cellStyle name="40% - Ênfase4 10 3 2" xfId="12958" xr:uid="{00000000-0005-0000-0000-00000C320000}"/>
    <cellStyle name="40% - Ênfase4 10 3 2 2" xfId="12959" xr:uid="{00000000-0005-0000-0000-00000D320000}"/>
    <cellStyle name="40% - Ênfase4 10 3 2 2 2" xfId="12960" xr:uid="{00000000-0005-0000-0000-00000E320000}"/>
    <cellStyle name="40% - Ênfase4 10 3 2 3" xfId="12961" xr:uid="{00000000-0005-0000-0000-00000F320000}"/>
    <cellStyle name="40% - Ênfase4 10 3 2 3 2" xfId="12962" xr:uid="{00000000-0005-0000-0000-000010320000}"/>
    <cellStyle name="40% - Ênfase4 10 3 2 4" xfId="12963" xr:uid="{00000000-0005-0000-0000-000011320000}"/>
    <cellStyle name="40% - Ênfase4 10 3 3" xfId="12964" xr:uid="{00000000-0005-0000-0000-000012320000}"/>
    <cellStyle name="40% - Ênfase4 10 3 3 2" xfId="12965" xr:uid="{00000000-0005-0000-0000-000013320000}"/>
    <cellStyle name="40% - Ênfase4 10 3 4" xfId="12966" xr:uid="{00000000-0005-0000-0000-000014320000}"/>
    <cellStyle name="40% - Ênfase4 10 3 4 2" xfId="12967" xr:uid="{00000000-0005-0000-0000-000015320000}"/>
    <cellStyle name="40% - Ênfase4 10 3 5" xfId="12968" xr:uid="{00000000-0005-0000-0000-000016320000}"/>
    <cellStyle name="40% - Ênfase4 10 4" xfId="12969" xr:uid="{00000000-0005-0000-0000-000017320000}"/>
    <cellStyle name="40% - Ênfase4 10 4 2" xfId="12970" xr:uid="{00000000-0005-0000-0000-000018320000}"/>
    <cellStyle name="40% - Ênfase4 10 4 2 2" xfId="12971" xr:uid="{00000000-0005-0000-0000-000019320000}"/>
    <cellStyle name="40% - Ênfase4 10 4 3" xfId="12972" xr:uid="{00000000-0005-0000-0000-00001A320000}"/>
    <cellStyle name="40% - Ênfase4 10 4 3 2" xfId="12973" xr:uid="{00000000-0005-0000-0000-00001B320000}"/>
    <cellStyle name="40% - Ênfase4 10 4 4" xfId="12974" xr:uid="{00000000-0005-0000-0000-00001C320000}"/>
    <cellStyle name="40% - Ênfase4 10 5" xfId="12975" xr:uid="{00000000-0005-0000-0000-00001D320000}"/>
    <cellStyle name="40% - Ênfase4 10 5 2" xfId="12976" xr:uid="{00000000-0005-0000-0000-00001E320000}"/>
    <cellStyle name="40% - Ênfase4 10 5 2 2" xfId="12977" xr:uid="{00000000-0005-0000-0000-00001F320000}"/>
    <cellStyle name="40% - Ênfase4 10 5 3" xfId="12978" xr:uid="{00000000-0005-0000-0000-000020320000}"/>
    <cellStyle name="40% - Ênfase4 10 6" xfId="12979" xr:uid="{00000000-0005-0000-0000-000021320000}"/>
    <cellStyle name="40% - Ênfase4 10 6 2" xfId="12980" xr:uid="{00000000-0005-0000-0000-000022320000}"/>
    <cellStyle name="40% - Ênfase4 10 7" xfId="12981" xr:uid="{00000000-0005-0000-0000-000023320000}"/>
    <cellStyle name="40% - Ênfase4 11" xfId="12982" xr:uid="{00000000-0005-0000-0000-000024320000}"/>
    <cellStyle name="40% - Ênfase4 11 2" xfId="12983" xr:uid="{00000000-0005-0000-0000-000025320000}"/>
    <cellStyle name="40% - Ênfase4 11 2 2" xfId="12984" xr:uid="{00000000-0005-0000-0000-000026320000}"/>
    <cellStyle name="40% - Ênfase4 11 2 2 2" xfId="12985" xr:uid="{00000000-0005-0000-0000-000027320000}"/>
    <cellStyle name="40% - Ênfase4 11 2 2 2 2" xfId="12986" xr:uid="{00000000-0005-0000-0000-000028320000}"/>
    <cellStyle name="40% - Ênfase4 11 2 2 2 2 2" xfId="12987" xr:uid="{00000000-0005-0000-0000-000029320000}"/>
    <cellStyle name="40% - Ênfase4 11 2 2 2 3" xfId="12988" xr:uid="{00000000-0005-0000-0000-00002A320000}"/>
    <cellStyle name="40% - Ênfase4 11 2 2 2 3 2" xfId="12989" xr:uid="{00000000-0005-0000-0000-00002B320000}"/>
    <cellStyle name="40% - Ênfase4 11 2 2 2 4" xfId="12990" xr:uid="{00000000-0005-0000-0000-00002C320000}"/>
    <cellStyle name="40% - Ênfase4 11 2 2 3" xfId="12991" xr:uid="{00000000-0005-0000-0000-00002D320000}"/>
    <cellStyle name="40% - Ênfase4 11 2 2 3 2" xfId="12992" xr:uid="{00000000-0005-0000-0000-00002E320000}"/>
    <cellStyle name="40% - Ênfase4 11 2 2 4" xfId="12993" xr:uid="{00000000-0005-0000-0000-00002F320000}"/>
    <cellStyle name="40% - Ênfase4 11 2 2 4 2" xfId="12994" xr:uid="{00000000-0005-0000-0000-000030320000}"/>
    <cellStyle name="40% - Ênfase4 11 2 2 5" xfId="12995" xr:uid="{00000000-0005-0000-0000-000031320000}"/>
    <cellStyle name="40% - Ênfase4 11 2 3" xfId="12996" xr:uid="{00000000-0005-0000-0000-000032320000}"/>
    <cellStyle name="40% - Ênfase4 11 2 3 2" xfId="12997" xr:uid="{00000000-0005-0000-0000-000033320000}"/>
    <cellStyle name="40% - Ênfase4 11 2 3 2 2" xfId="12998" xr:uid="{00000000-0005-0000-0000-000034320000}"/>
    <cellStyle name="40% - Ênfase4 11 2 3 3" xfId="12999" xr:uid="{00000000-0005-0000-0000-000035320000}"/>
    <cellStyle name="40% - Ênfase4 11 2 3 3 2" xfId="13000" xr:uid="{00000000-0005-0000-0000-000036320000}"/>
    <cellStyle name="40% - Ênfase4 11 2 3 4" xfId="13001" xr:uid="{00000000-0005-0000-0000-000037320000}"/>
    <cellStyle name="40% - Ênfase4 11 2 4" xfId="13002" xr:uid="{00000000-0005-0000-0000-000038320000}"/>
    <cellStyle name="40% - Ênfase4 11 2 4 2" xfId="13003" xr:uid="{00000000-0005-0000-0000-000039320000}"/>
    <cellStyle name="40% - Ênfase4 11 2 4 2 2" xfId="13004" xr:uid="{00000000-0005-0000-0000-00003A320000}"/>
    <cellStyle name="40% - Ênfase4 11 2 4 3" xfId="13005" xr:uid="{00000000-0005-0000-0000-00003B320000}"/>
    <cellStyle name="40% - Ênfase4 11 2 5" xfId="13006" xr:uid="{00000000-0005-0000-0000-00003C320000}"/>
    <cellStyle name="40% - Ênfase4 11 2 5 2" xfId="13007" xr:uid="{00000000-0005-0000-0000-00003D320000}"/>
    <cellStyle name="40% - Ênfase4 11 2 6" xfId="13008" xr:uid="{00000000-0005-0000-0000-00003E320000}"/>
    <cellStyle name="40% - Ênfase4 11 3" xfId="13009" xr:uid="{00000000-0005-0000-0000-00003F320000}"/>
    <cellStyle name="40% - Ênfase4 11 3 2" xfId="13010" xr:uid="{00000000-0005-0000-0000-000040320000}"/>
    <cellStyle name="40% - Ênfase4 11 3 2 2" xfId="13011" xr:uid="{00000000-0005-0000-0000-000041320000}"/>
    <cellStyle name="40% - Ênfase4 11 3 2 2 2" xfId="13012" xr:uid="{00000000-0005-0000-0000-000042320000}"/>
    <cellStyle name="40% - Ênfase4 11 3 2 3" xfId="13013" xr:uid="{00000000-0005-0000-0000-000043320000}"/>
    <cellStyle name="40% - Ênfase4 11 3 2 3 2" xfId="13014" xr:uid="{00000000-0005-0000-0000-000044320000}"/>
    <cellStyle name="40% - Ênfase4 11 3 2 4" xfId="13015" xr:uid="{00000000-0005-0000-0000-000045320000}"/>
    <cellStyle name="40% - Ênfase4 11 3 3" xfId="13016" xr:uid="{00000000-0005-0000-0000-000046320000}"/>
    <cellStyle name="40% - Ênfase4 11 3 3 2" xfId="13017" xr:uid="{00000000-0005-0000-0000-000047320000}"/>
    <cellStyle name="40% - Ênfase4 11 3 4" xfId="13018" xr:uid="{00000000-0005-0000-0000-000048320000}"/>
    <cellStyle name="40% - Ênfase4 11 3 4 2" xfId="13019" xr:uid="{00000000-0005-0000-0000-000049320000}"/>
    <cellStyle name="40% - Ênfase4 11 3 5" xfId="13020" xr:uid="{00000000-0005-0000-0000-00004A320000}"/>
    <cellStyle name="40% - Ênfase4 11 4" xfId="13021" xr:uid="{00000000-0005-0000-0000-00004B320000}"/>
    <cellStyle name="40% - Ênfase4 11 4 2" xfId="13022" xr:uid="{00000000-0005-0000-0000-00004C320000}"/>
    <cellStyle name="40% - Ênfase4 11 4 2 2" xfId="13023" xr:uid="{00000000-0005-0000-0000-00004D320000}"/>
    <cellStyle name="40% - Ênfase4 11 4 3" xfId="13024" xr:uid="{00000000-0005-0000-0000-00004E320000}"/>
    <cellStyle name="40% - Ênfase4 11 4 3 2" xfId="13025" xr:uid="{00000000-0005-0000-0000-00004F320000}"/>
    <cellStyle name="40% - Ênfase4 11 4 4" xfId="13026" xr:uid="{00000000-0005-0000-0000-000050320000}"/>
    <cellStyle name="40% - Ênfase4 11 5" xfId="13027" xr:uid="{00000000-0005-0000-0000-000051320000}"/>
    <cellStyle name="40% - Ênfase4 11 5 2" xfId="13028" xr:uid="{00000000-0005-0000-0000-000052320000}"/>
    <cellStyle name="40% - Ênfase4 11 5 2 2" xfId="13029" xr:uid="{00000000-0005-0000-0000-000053320000}"/>
    <cellStyle name="40% - Ênfase4 11 5 3" xfId="13030" xr:uid="{00000000-0005-0000-0000-000054320000}"/>
    <cellStyle name="40% - Ênfase4 11 6" xfId="13031" xr:uid="{00000000-0005-0000-0000-000055320000}"/>
    <cellStyle name="40% - Ênfase4 11 6 2" xfId="13032" xr:uid="{00000000-0005-0000-0000-000056320000}"/>
    <cellStyle name="40% - Ênfase4 11 7" xfId="13033" xr:uid="{00000000-0005-0000-0000-000057320000}"/>
    <cellStyle name="40% - Ênfase4 12" xfId="13034" xr:uid="{00000000-0005-0000-0000-000058320000}"/>
    <cellStyle name="40% - Ênfase4 12 2" xfId="13035" xr:uid="{00000000-0005-0000-0000-000059320000}"/>
    <cellStyle name="40% - Ênfase4 12 2 2" xfId="13036" xr:uid="{00000000-0005-0000-0000-00005A320000}"/>
    <cellStyle name="40% - Ênfase4 12 2 2 2" xfId="13037" xr:uid="{00000000-0005-0000-0000-00005B320000}"/>
    <cellStyle name="40% - Ênfase4 12 2 2 2 2" xfId="13038" xr:uid="{00000000-0005-0000-0000-00005C320000}"/>
    <cellStyle name="40% - Ênfase4 12 2 2 2 2 2" xfId="13039" xr:uid="{00000000-0005-0000-0000-00005D320000}"/>
    <cellStyle name="40% - Ênfase4 12 2 2 2 3" xfId="13040" xr:uid="{00000000-0005-0000-0000-00005E320000}"/>
    <cellStyle name="40% - Ênfase4 12 2 2 2 3 2" xfId="13041" xr:uid="{00000000-0005-0000-0000-00005F320000}"/>
    <cellStyle name="40% - Ênfase4 12 2 2 2 4" xfId="13042" xr:uid="{00000000-0005-0000-0000-000060320000}"/>
    <cellStyle name="40% - Ênfase4 12 2 2 3" xfId="13043" xr:uid="{00000000-0005-0000-0000-000061320000}"/>
    <cellStyle name="40% - Ênfase4 12 2 2 3 2" xfId="13044" xr:uid="{00000000-0005-0000-0000-000062320000}"/>
    <cellStyle name="40% - Ênfase4 12 2 2 4" xfId="13045" xr:uid="{00000000-0005-0000-0000-000063320000}"/>
    <cellStyle name="40% - Ênfase4 12 2 2 4 2" xfId="13046" xr:uid="{00000000-0005-0000-0000-000064320000}"/>
    <cellStyle name="40% - Ênfase4 12 2 2 5" xfId="13047" xr:uid="{00000000-0005-0000-0000-000065320000}"/>
    <cellStyle name="40% - Ênfase4 12 2 3" xfId="13048" xr:uid="{00000000-0005-0000-0000-000066320000}"/>
    <cellStyle name="40% - Ênfase4 12 2 3 2" xfId="13049" xr:uid="{00000000-0005-0000-0000-000067320000}"/>
    <cellStyle name="40% - Ênfase4 12 2 3 2 2" xfId="13050" xr:uid="{00000000-0005-0000-0000-000068320000}"/>
    <cellStyle name="40% - Ênfase4 12 2 3 3" xfId="13051" xr:uid="{00000000-0005-0000-0000-000069320000}"/>
    <cellStyle name="40% - Ênfase4 12 2 3 3 2" xfId="13052" xr:uid="{00000000-0005-0000-0000-00006A320000}"/>
    <cellStyle name="40% - Ênfase4 12 2 3 4" xfId="13053" xr:uid="{00000000-0005-0000-0000-00006B320000}"/>
    <cellStyle name="40% - Ênfase4 12 2 4" xfId="13054" xr:uid="{00000000-0005-0000-0000-00006C320000}"/>
    <cellStyle name="40% - Ênfase4 12 2 4 2" xfId="13055" xr:uid="{00000000-0005-0000-0000-00006D320000}"/>
    <cellStyle name="40% - Ênfase4 12 2 4 2 2" xfId="13056" xr:uid="{00000000-0005-0000-0000-00006E320000}"/>
    <cellStyle name="40% - Ênfase4 12 2 4 3" xfId="13057" xr:uid="{00000000-0005-0000-0000-00006F320000}"/>
    <cellStyle name="40% - Ênfase4 12 2 5" xfId="13058" xr:uid="{00000000-0005-0000-0000-000070320000}"/>
    <cellStyle name="40% - Ênfase4 12 2 5 2" xfId="13059" xr:uid="{00000000-0005-0000-0000-000071320000}"/>
    <cellStyle name="40% - Ênfase4 12 2 6" xfId="13060" xr:uid="{00000000-0005-0000-0000-000072320000}"/>
    <cellStyle name="40% - Ênfase4 12 3" xfId="13061" xr:uid="{00000000-0005-0000-0000-000073320000}"/>
    <cellStyle name="40% - Ênfase4 12 3 2" xfId="13062" xr:uid="{00000000-0005-0000-0000-000074320000}"/>
    <cellStyle name="40% - Ênfase4 12 3 2 2" xfId="13063" xr:uid="{00000000-0005-0000-0000-000075320000}"/>
    <cellStyle name="40% - Ênfase4 12 3 2 2 2" xfId="13064" xr:uid="{00000000-0005-0000-0000-000076320000}"/>
    <cellStyle name="40% - Ênfase4 12 3 2 3" xfId="13065" xr:uid="{00000000-0005-0000-0000-000077320000}"/>
    <cellStyle name="40% - Ênfase4 12 3 2 3 2" xfId="13066" xr:uid="{00000000-0005-0000-0000-000078320000}"/>
    <cellStyle name="40% - Ênfase4 12 3 2 4" xfId="13067" xr:uid="{00000000-0005-0000-0000-000079320000}"/>
    <cellStyle name="40% - Ênfase4 12 3 3" xfId="13068" xr:uid="{00000000-0005-0000-0000-00007A320000}"/>
    <cellStyle name="40% - Ênfase4 12 3 3 2" xfId="13069" xr:uid="{00000000-0005-0000-0000-00007B320000}"/>
    <cellStyle name="40% - Ênfase4 12 3 4" xfId="13070" xr:uid="{00000000-0005-0000-0000-00007C320000}"/>
    <cellStyle name="40% - Ênfase4 12 3 4 2" xfId="13071" xr:uid="{00000000-0005-0000-0000-00007D320000}"/>
    <cellStyle name="40% - Ênfase4 12 3 5" xfId="13072" xr:uid="{00000000-0005-0000-0000-00007E320000}"/>
    <cellStyle name="40% - Ênfase4 12 4" xfId="13073" xr:uid="{00000000-0005-0000-0000-00007F320000}"/>
    <cellStyle name="40% - Ênfase4 12 4 2" xfId="13074" xr:uid="{00000000-0005-0000-0000-000080320000}"/>
    <cellStyle name="40% - Ênfase4 12 4 2 2" xfId="13075" xr:uid="{00000000-0005-0000-0000-000081320000}"/>
    <cellStyle name="40% - Ênfase4 12 4 3" xfId="13076" xr:uid="{00000000-0005-0000-0000-000082320000}"/>
    <cellStyle name="40% - Ênfase4 12 4 3 2" xfId="13077" xr:uid="{00000000-0005-0000-0000-000083320000}"/>
    <cellStyle name="40% - Ênfase4 12 4 4" xfId="13078" xr:uid="{00000000-0005-0000-0000-000084320000}"/>
    <cellStyle name="40% - Ênfase4 12 5" xfId="13079" xr:uid="{00000000-0005-0000-0000-000085320000}"/>
    <cellStyle name="40% - Ênfase4 12 5 2" xfId="13080" xr:uid="{00000000-0005-0000-0000-000086320000}"/>
    <cellStyle name="40% - Ênfase4 12 5 2 2" xfId="13081" xr:uid="{00000000-0005-0000-0000-000087320000}"/>
    <cellStyle name="40% - Ênfase4 12 5 3" xfId="13082" xr:uid="{00000000-0005-0000-0000-000088320000}"/>
    <cellStyle name="40% - Ênfase4 12 6" xfId="13083" xr:uid="{00000000-0005-0000-0000-000089320000}"/>
    <cellStyle name="40% - Ênfase4 12 6 2" xfId="13084" xr:uid="{00000000-0005-0000-0000-00008A320000}"/>
    <cellStyle name="40% - Ênfase4 12 7" xfId="13085" xr:uid="{00000000-0005-0000-0000-00008B320000}"/>
    <cellStyle name="40% - Ênfase4 13" xfId="13086" xr:uid="{00000000-0005-0000-0000-00008C320000}"/>
    <cellStyle name="40% - Ênfase4 13 2" xfId="13087" xr:uid="{00000000-0005-0000-0000-00008D320000}"/>
    <cellStyle name="40% - Ênfase4 13 2 2" xfId="13088" xr:uid="{00000000-0005-0000-0000-00008E320000}"/>
    <cellStyle name="40% - Ênfase4 13 2 2 2" xfId="13089" xr:uid="{00000000-0005-0000-0000-00008F320000}"/>
    <cellStyle name="40% - Ênfase4 13 2 2 2 2" xfId="13090" xr:uid="{00000000-0005-0000-0000-000090320000}"/>
    <cellStyle name="40% - Ênfase4 13 2 2 2 2 2" xfId="13091" xr:uid="{00000000-0005-0000-0000-000091320000}"/>
    <cellStyle name="40% - Ênfase4 13 2 2 2 3" xfId="13092" xr:uid="{00000000-0005-0000-0000-000092320000}"/>
    <cellStyle name="40% - Ênfase4 13 2 2 2 3 2" xfId="13093" xr:uid="{00000000-0005-0000-0000-000093320000}"/>
    <cellStyle name="40% - Ênfase4 13 2 2 2 4" xfId="13094" xr:uid="{00000000-0005-0000-0000-000094320000}"/>
    <cellStyle name="40% - Ênfase4 13 2 2 3" xfId="13095" xr:uid="{00000000-0005-0000-0000-000095320000}"/>
    <cellStyle name="40% - Ênfase4 13 2 2 3 2" xfId="13096" xr:uid="{00000000-0005-0000-0000-000096320000}"/>
    <cellStyle name="40% - Ênfase4 13 2 2 4" xfId="13097" xr:uid="{00000000-0005-0000-0000-000097320000}"/>
    <cellStyle name="40% - Ênfase4 13 2 2 4 2" xfId="13098" xr:uid="{00000000-0005-0000-0000-000098320000}"/>
    <cellStyle name="40% - Ênfase4 13 2 2 5" xfId="13099" xr:uid="{00000000-0005-0000-0000-000099320000}"/>
    <cellStyle name="40% - Ênfase4 13 2 3" xfId="13100" xr:uid="{00000000-0005-0000-0000-00009A320000}"/>
    <cellStyle name="40% - Ênfase4 13 2 3 2" xfId="13101" xr:uid="{00000000-0005-0000-0000-00009B320000}"/>
    <cellStyle name="40% - Ênfase4 13 2 3 2 2" xfId="13102" xr:uid="{00000000-0005-0000-0000-00009C320000}"/>
    <cellStyle name="40% - Ênfase4 13 2 3 3" xfId="13103" xr:uid="{00000000-0005-0000-0000-00009D320000}"/>
    <cellStyle name="40% - Ênfase4 13 2 3 3 2" xfId="13104" xr:uid="{00000000-0005-0000-0000-00009E320000}"/>
    <cellStyle name="40% - Ênfase4 13 2 3 4" xfId="13105" xr:uid="{00000000-0005-0000-0000-00009F320000}"/>
    <cellStyle name="40% - Ênfase4 13 2 4" xfId="13106" xr:uid="{00000000-0005-0000-0000-0000A0320000}"/>
    <cellStyle name="40% - Ênfase4 13 2 4 2" xfId="13107" xr:uid="{00000000-0005-0000-0000-0000A1320000}"/>
    <cellStyle name="40% - Ênfase4 13 2 4 2 2" xfId="13108" xr:uid="{00000000-0005-0000-0000-0000A2320000}"/>
    <cellStyle name="40% - Ênfase4 13 2 4 3" xfId="13109" xr:uid="{00000000-0005-0000-0000-0000A3320000}"/>
    <cellStyle name="40% - Ênfase4 13 2 5" xfId="13110" xr:uid="{00000000-0005-0000-0000-0000A4320000}"/>
    <cellStyle name="40% - Ênfase4 13 2 5 2" xfId="13111" xr:uid="{00000000-0005-0000-0000-0000A5320000}"/>
    <cellStyle name="40% - Ênfase4 13 2 6" xfId="13112" xr:uid="{00000000-0005-0000-0000-0000A6320000}"/>
    <cellStyle name="40% - Ênfase4 13 3" xfId="13113" xr:uid="{00000000-0005-0000-0000-0000A7320000}"/>
    <cellStyle name="40% - Ênfase4 13 3 2" xfId="13114" xr:uid="{00000000-0005-0000-0000-0000A8320000}"/>
    <cellStyle name="40% - Ênfase4 13 3 2 2" xfId="13115" xr:uid="{00000000-0005-0000-0000-0000A9320000}"/>
    <cellStyle name="40% - Ênfase4 13 3 2 2 2" xfId="13116" xr:uid="{00000000-0005-0000-0000-0000AA320000}"/>
    <cellStyle name="40% - Ênfase4 13 3 2 3" xfId="13117" xr:uid="{00000000-0005-0000-0000-0000AB320000}"/>
    <cellStyle name="40% - Ênfase4 13 3 2 3 2" xfId="13118" xr:uid="{00000000-0005-0000-0000-0000AC320000}"/>
    <cellStyle name="40% - Ênfase4 13 3 2 4" xfId="13119" xr:uid="{00000000-0005-0000-0000-0000AD320000}"/>
    <cellStyle name="40% - Ênfase4 13 3 3" xfId="13120" xr:uid="{00000000-0005-0000-0000-0000AE320000}"/>
    <cellStyle name="40% - Ênfase4 13 3 3 2" xfId="13121" xr:uid="{00000000-0005-0000-0000-0000AF320000}"/>
    <cellStyle name="40% - Ênfase4 13 3 4" xfId="13122" xr:uid="{00000000-0005-0000-0000-0000B0320000}"/>
    <cellStyle name="40% - Ênfase4 13 3 4 2" xfId="13123" xr:uid="{00000000-0005-0000-0000-0000B1320000}"/>
    <cellStyle name="40% - Ênfase4 13 3 5" xfId="13124" xr:uid="{00000000-0005-0000-0000-0000B2320000}"/>
    <cellStyle name="40% - Ênfase4 13 4" xfId="13125" xr:uid="{00000000-0005-0000-0000-0000B3320000}"/>
    <cellStyle name="40% - Ênfase4 13 4 2" xfId="13126" xr:uid="{00000000-0005-0000-0000-0000B4320000}"/>
    <cellStyle name="40% - Ênfase4 13 4 2 2" xfId="13127" xr:uid="{00000000-0005-0000-0000-0000B5320000}"/>
    <cellStyle name="40% - Ênfase4 13 4 3" xfId="13128" xr:uid="{00000000-0005-0000-0000-0000B6320000}"/>
    <cellStyle name="40% - Ênfase4 13 4 3 2" xfId="13129" xr:uid="{00000000-0005-0000-0000-0000B7320000}"/>
    <cellStyle name="40% - Ênfase4 13 4 4" xfId="13130" xr:uid="{00000000-0005-0000-0000-0000B8320000}"/>
    <cellStyle name="40% - Ênfase4 13 5" xfId="13131" xr:uid="{00000000-0005-0000-0000-0000B9320000}"/>
    <cellStyle name="40% - Ênfase4 13 5 2" xfId="13132" xr:uid="{00000000-0005-0000-0000-0000BA320000}"/>
    <cellStyle name="40% - Ênfase4 13 5 2 2" xfId="13133" xr:uid="{00000000-0005-0000-0000-0000BB320000}"/>
    <cellStyle name="40% - Ênfase4 13 5 3" xfId="13134" xr:uid="{00000000-0005-0000-0000-0000BC320000}"/>
    <cellStyle name="40% - Ênfase4 13 6" xfId="13135" xr:uid="{00000000-0005-0000-0000-0000BD320000}"/>
    <cellStyle name="40% - Ênfase4 13 6 2" xfId="13136" xr:uid="{00000000-0005-0000-0000-0000BE320000}"/>
    <cellStyle name="40% - Ênfase4 13 7" xfId="13137" xr:uid="{00000000-0005-0000-0000-0000BF320000}"/>
    <cellStyle name="40% - Ênfase4 14" xfId="13138" xr:uid="{00000000-0005-0000-0000-0000C0320000}"/>
    <cellStyle name="40% - Ênfase4 14 2" xfId="13139" xr:uid="{00000000-0005-0000-0000-0000C1320000}"/>
    <cellStyle name="40% - Ênfase4 14 2 2" xfId="13140" xr:uid="{00000000-0005-0000-0000-0000C2320000}"/>
    <cellStyle name="40% - Ênfase4 14 2 2 2" xfId="13141" xr:uid="{00000000-0005-0000-0000-0000C3320000}"/>
    <cellStyle name="40% - Ênfase4 14 2 2 2 2" xfId="13142" xr:uid="{00000000-0005-0000-0000-0000C4320000}"/>
    <cellStyle name="40% - Ênfase4 14 2 2 2 2 2" xfId="13143" xr:uid="{00000000-0005-0000-0000-0000C5320000}"/>
    <cellStyle name="40% - Ênfase4 14 2 2 2 3" xfId="13144" xr:uid="{00000000-0005-0000-0000-0000C6320000}"/>
    <cellStyle name="40% - Ênfase4 14 2 2 2 3 2" xfId="13145" xr:uid="{00000000-0005-0000-0000-0000C7320000}"/>
    <cellStyle name="40% - Ênfase4 14 2 2 2 4" xfId="13146" xr:uid="{00000000-0005-0000-0000-0000C8320000}"/>
    <cellStyle name="40% - Ênfase4 14 2 2 3" xfId="13147" xr:uid="{00000000-0005-0000-0000-0000C9320000}"/>
    <cellStyle name="40% - Ênfase4 14 2 2 3 2" xfId="13148" xr:uid="{00000000-0005-0000-0000-0000CA320000}"/>
    <cellStyle name="40% - Ênfase4 14 2 2 4" xfId="13149" xr:uid="{00000000-0005-0000-0000-0000CB320000}"/>
    <cellStyle name="40% - Ênfase4 14 2 2 4 2" xfId="13150" xr:uid="{00000000-0005-0000-0000-0000CC320000}"/>
    <cellStyle name="40% - Ênfase4 14 2 2 5" xfId="13151" xr:uid="{00000000-0005-0000-0000-0000CD320000}"/>
    <cellStyle name="40% - Ênfase4 14 2 3" xfId="13152" xr:uid="{00000000-0005-0000-0000-0000CE320000}"/>
    <cellStyle name="40% - Ênfase4 14 2 3 2" xfId="13153" xr:uid="{00000000-0005-0000-0000-0000CF320000}"/>
    <cellStyle name="40% - Ênfase4 14 2 3 2 2" xfId="13154" xr:uid="{00000000-0005-0000-0000-0000D0320000}"/>
    <cellStyle name="40% - Ênfase4 14 2 3 3" xfId="13155" xr:uid="{00000000-0005-0000-0000-0000D1320000}"/>
    <cellStyle name="40% - Ênfase4 14 2 3 3 2" xfId="13156" xr:uid="{00000000-0005-0000-0000-0000D2320000}"/>
    <cellStyle name="40% - Ênfase4 14 2 3 4" xfId="13157" xr:uid="{00000000-0005-0000-0000-0000D3320000}"/>
    <cellStyle name="40% - Ênfase4 14 2 4" xfId="13158" xr:uid="{00000000-0005-0000-0000-0000D4320000}"/>
    <cellStyle name="40% - Ênfase4 14 2 4 2" xfId="13159" xr:uid="{00000000-0005-0000-0000-0000D5320000}"/>
    <cellStyle name="40% - Ênfase4 14 2 4 2 2" xfId="13160" xr:uid="{00000000-0005-0000-0000-0000D6320000}"/>
    <cellStyle name="40% - Ênfase4 14 2 4 3" xfId="13161" xr:uid="{00000000-0005-0000-0000-0000D7320000}"/>
    <cellStyle name="40% - Ênfase4 14 2 5" xfId="13162" xr:uid="{00000000-0005-0000-0000-0000D8320000}"/>
    <cellStyle name="40% - Ênfase4 14 2 5 2" xfId="13163" xr:uid="{00000000-0005-0000-0000-0000D9320000}"/>
    <cellStyle name="40% - Ênfase4 14 2 6" xfId="13164" xr:uid="{00000000-0005-0000-0000-0000DA320000}"/>
    <cellStyle name="40% - Ênfase4 14 3" xfId="13165" xr:uid="{00000000-0005-0000-0000-0000DB320000}"/>
    <cellStyle name="40% - Ênfase4 14 3 2" xfId="13166" xr:uid="{00000000-0005-0000-0000-0000DC320000}"/>
    <cellStyle name="40% - Ênfase4 14 3 2 2" xfId="13167" xr:uid="{00000000-0005-0000-0000-0000DD320000}"/>
    <cellStyle name="40% - Ênfase4 14 3 2 2 2" xfId="13168" xr:uid="{00000000-0005-0000-0000-0000DE320000}"/>
    <cellStyle name="40% - Ênfase4 14 3 2 3" xfId="13169" xr:uid="{00000000-0005-0000-0000-0000DF320000}"/>
    <cellStyle name="40% - Ênfase4 14 3 2 3 2" xfId="13170" xr:uid="{00000000-0005-0000-0000-0000E0320000}"/>
    <cellStyle name="40% - Ênfase4 14 3 2 4" xfId="13171" xr:uid="{00000000-0005-0000-0000-0000E1320000}"/>
    <cellStyle name="40% - Ênfase4 14 3 3" xfId="13172" xr:uid="{00000000-0005-0000-0000-0000E2320000}"/>
    <cellStyle name="40% - Ênfase4 14 3 3 2" xfId="13173" xr:uid="{00000000-0005-0000-0000-0000E3320000}"/>
    <cellStyle name="40% - Ênfase4 14 3 4" xfId="13174" xr:uid="{00000000-0005-0000-0000-0000E4320000}"/>
    <cellStyle name="40% - Ênfase4 14 3 4 2" xfId="13175" xr:uid="{00000000-0005-0000-0000-0000E5320000}"/>
    <cellStyle name="40% - Ênfase4 14 3 5" xfId="13176" xr:uid="{00000000-0005-0000-0000-0000E6320000}"/>
    <cellStyle name="40% - Ênfase4 14 4" xfId="13177" xr:uid="{00000000-0005-0000-0000-0000E7320000}"/>
    <cellStyle name="40% - Ênfase4 14 4 2" xfId="13178" xr:uid="{00000000-0005-0000-0000-0000E8320000}"/>
    <cellStyle name="40% - Ênfase4 14 4 2 2" xfId="13179" xr:uid="{00000000-0005-0000-0000-0000E9320000}"/>
    <cellStyle name="40% - Ênfase4 14 4 3" xfId="13180" xr:uid="{00000000-0005-0000-0000-0000EA320000}"/>
    <cellStyle name="40% - Ênfase4 14 4 3 2" xfId="13181" xr:uid="{00000000-0005-0000-0000-0000EB320000}"/>
    <cellStyle name="40% - Ênfase4 14 4 4" xfId="13182" xr:uid="{00000000-0005-0000-0000-0000EC320000}"/>
    <cellStyle name="40% - Ênfase4 14 5" xfId="13183" xr:uid="{00000000-0005-0000-0000-0000ED320000}"/>
    <cellStyle name="40% - Ênfase4 14 5 2" xfId="13184" xr:uid="{00000000-0005-0000-0000-0000EE320000}"/>
    <cellStyle name="40% - Ênfase4 14 5 2 2" xfId="13185" xr:uid="{00000000-0005-0000-0000-0000EF320000}"/>
    <cellStyle name="40% - Ênfase4 14 5 3" xfId="13186" xr:uid="{00000000-0005-0000-0000-0000F0320000}"/>
    <cellStyle name="40% - Ênfase4 14 6" xfId="13187" xr:uid="{00000000-0005-0000-0000-0000F1320000}"/>
    <cellStyle name="40% - Ênfase4 14 6 2" xfId="13188" xr:uid="{00000000-0005-0000-0000-0000F2320000}"/>
    <cellStyle name="40% - Ênfase4 14 7" xfId="13189" xr:uid="{00000000-0005-0000-0000-0000F3320000}"/>
    <cellStyle name="40% - Ênfase4 15" xfId="13190" xr:uid="{00000000-0005-0000-0000-0000F4320000}"/>
    <cellStyle name="40% - Ênfase4 15 2" xfId="13191" xr:uid="{00000000-0005-0000-0000-0000F5320000}"/>
    <cellStyle name="40% - Ênfase4 15 2 2" xfId="13192" xr:uid="{00000000-0005-0000-0000-0000F6320000}"/>
    <cellStyle name="40% - Ênfase4 15 2 2 2" xfId="13193" xr:uid="{00000000-0005-0000-0000-0000F7320000}"/>
    <cellStyle name="40% - Ênfase4 15 2 2 2 2" xfId="13194" xr:uid="{00000000-0005-0000-0000-0000F8320000}"/>
    <cellStyle name="40% - Ênfase4 15 2 2 3" xfId="13195" xr:uid="{00000000-0005-0000-0000-0000F9320000}"/>
    <cellStyle name="40% - Ênfase4 15 2 2 3 2" xfId="13196" xr:uid="{00000000-0005-0000-0000-0000FA320000}"/>
    <cellStyle name="40% - Ênfase4 15 2 2 4" xfId="13197" xr:uid="{00000000-0005-0000-0000-0000FB320000}"/>
    <cellStyle name="40% - Ênfase4 15 2 3" xfId="13198" xr:uid="{00000000-0005-0000-0000-0000FC320000}"/>
    <cellStyle name="40% - Ênfase4 15 2 3 2" xfId="13199" xr:uid="{00000000-0005-0000-0000-0000FD320000}"/>
    <cellStyle name="40% - Ênfase4 15 2 4" xfId="13200" xr:uid="{00000000-0005-0000-0000-0000FE320000}"/>
    <cellStyle name="40% - Ênfase4 15 2 4 2" xfId="13201" xr:uid="{00000000-0005-0000-0000-0000FF320000}"/>
    <cellStyle name="40% - Ênfase4 15 2 5" xfId="13202" xr:uid="{00000000-0005-0000-0000-000000330000}"/>
    <cellStyle name="40% - Ênfase4 15 3" xfId="13203" xr:uid="{00000000-0005-0000-0000-000001330000}"/>
    <cellStyle name="40% - Ênfase4 15 3 2" xfId="13204" xr:uid="{00000000-0005-0000-0000-000002330000}"/>
    <cellStyle name="40% - Ênfase4 15 3 2 2" xfId="13205" xr:uid="{00000000-0005-0000-0000-000003330000}"/>
    <cellStyle name="40% - Ênfase4 15 3 3" xfId="13206" xr:uid="{00000000-0005-0000-0000-000004330000}"/>
    <cellStyle name="40% - Ênfase4 15 3 3 2" xfId="13207" xr:uid="{00000000-0005-0000-0000-000005330000}"/>
    <cellStyle name="40% - Ênfase4 15 3 4" xfId="13208" xr:uid="{00000000-0005-0000-0000-000006330000}"/>
    <cellStyle name="40% - Ênfase4 15 4" xfId="13209" xr:uid="{00000000-0005-0000-0000-000007330000}"/>
    <cellStyle name="40% - Ênfase4 15 4 2" xfId="13210" xr:uid="{00000000-0005-0000-0000-000008330000}"/>
    <cellStyle name="40% - Ênfase4 15 4 2 2" xfId="13211" xr:uid="{00000000-0005-0000-0000-000009330000}"/>
    <cellStyle name="40% - Ênfase4 15 4 3" xfId="13212" xr:uid="{00000000-0005-0000-0000-00000A330000}"/>
    <cellStyle name="40% - Ênfase4 15 5" xfId="13213" xr:uid="{00000000-0005-0000-0000-00000B330000}"/>
    <cellStyle name="40% - Ênfase4 15 5 2" xfId="13214" xr:uid="{00000000-0005-0000-0000-00000C330000}"/>
    <cellStyle name="40% - Ênfase4 15 6" xfId="13215" xr:uid="{00000000-0005-0000-0000-00000D330000}"/>
    <cellStyle name="40% - Ênfase4 16" xfId="13216" xr:uid="{00000000-0005-0000-0000-00000E330000}"/>
    <cellStyle name="40% - Ênfase4 16 2" xfId="13217" xr:uid="{00000000-0005-0000-0000-00000F330000}"/>
    <cellStyle name="40% - Ênfase4 16 2 2" xfId="13218" xr:uid="{00000000-0005-0000-0000-000010330000}"/>
    <cellStyle name="40% - Ênfase4 16 2 2 2" xfId="13219" xr:uid="{00000000-0005-0000-0000-000011330000}"/>
    <cellStyle name="40% - Ênfase4 16 2 3" xfId="13220" xr:uid="{00000000-0005-0000-0000-000012330000}"/>
    <cellStyle name="40% - Ênfase4 16 2 3 2" xfId="13221" xr:uid="{00000000-0005-0000-0000-000013330000}"/>
    <cellStyle name="40% - Ênfase4 16 2 4" xfId="13222" xr:uid="{00000000-0005-0000-0000-000014330000}"/>
    <cellStyle name="40% - Ênfase4 16 3" xfId="13223" xr:uid="{00000000-0005-0000-0000-000015330000}"/>
    <cellStyle name="40% - Ênfase4 16 3 2" xfId="13224" xr:uid="{00000000-0005-0000-0000-000016330000}"/>
    <cellStyle name="40% - Ênfase4 16 3 2 2" xfId="13225" xr:uid="{00000000-0005-0000-0000-000017330000}"/>
    <cellStyle name="40% - Ênfase4 16 3 3" xfId="13226" xr:uid="{00000000-0005-0000-0000-000018330000}"/>
    <cellStyle name="40% - Ênfase4 16 3 3 2" xfId="13227" xr:uid="{00000000-0005-0000-0000-000019330000}"/>
    <cellStyle name="40% - Ênfase4 16 3 4" xfId="13228" xr:uid="{00000000-0005-0000-0000-00001A330000}"/>
    <cellStyle name="40% - Ênfase4 16 4" xfId="13229" xr:uid="{00000000-0005-0000-0000-00001B330000}"/>
    <cellStyle name="40% - Ênfase4 16 4 2" xfId="13230" xr:uid="{00000000-0005-0000-0000-00001C330000}"/>
    <cellStyle name="40% - Ênfase4 16 5" xfId="13231" xr:uid="{00000000-0005-0000-0000-00001D330000}"/>
    <cellStyle name="40% - Ênfase4 16 5 2" xfId="13232" xr:uid="{00000000-0005-0000-0000-00001E330000}"/>
    <cellStyle name="40% - Ênfase4 16 6" xfId="13233" xr:uid="{00000000-0005-0000-0000-00001F330000}"/>
    <cellStyle name="40% - Ênfase4 17" xfId="13234" xr:uid="{00000000-0005-0000-0000-000020330000}"/>
    <cellStyle name="40% - Ênfase4 17 2" xfId="13235" xr:uid="{00000000-0005-0000-0000-000021330000}"/>
    <cellStyle name="40% - Ênfase4 17 2 2" xfId="13236" xr:uid="{00000000-0005-0000-0000-000022330000}"/>
    <cellStyle name="40% - Ênfase4 17 2 2 2" xfId="13237" xr:uid="{00000000-0005-0000-0000-000023330000}"/>
    <cellStyle name="40% - Ênfase4 17 2 3" xfId="13238" xr:uid="{00000000-0005-0000-0000-000024330000}"/>
    <cellStyle name="40% - Ênfase4 17 2 3 2" xfId="13239" xr:uid="{00000000-0005-0000-0000-000025330000}"/>
    <cellStyle name="40% - Ênfase4 17 2 4" xfId="13240" xr:uid="{00000000-0005-0000-0000-000026330000}"/>
    <cellStyle name="40% - Ênfase4 17 3" xfId="13241" xr:uid="{00000000-0005-0000-0000-000027330000}"/>
    <cellStyle name="40% - Ênfase4 17 3 2" xfId="13242" xr:uid="{00000000-0005-0000-0000-000028330000}"/>
    <cellStyle name="40% - Ênfase4 17 3 2 2" xfId="13243" xr:uid="{00000000-0005-0000-0000-000029330000}"/>
    <cellStyle name="40% - Ênfase4 17 3 3" xfId="13244" xr:uid="{00000000-0005-0000-0000-00002A330000}"/>
    <cellStyle name="40% - Ênfase4 17 3 3 2" xfId="13245" xr:uid="{00000000-0005-0000-0000-00002B330000}"/>
    <cellStyle name="40% - Ênfase4 17 3 4" xfId="13246" xr:uid="{00000000-0005-0000-0000-00002C330000}"/>
    <cellStyle name="40% - Ênfase4 17 4" xfId="13247" xr:uid="{00000000-0005-0000-0000-00002D330000}"/>
    <cellStyle name="40% - Ênfase4 17 4 2" xfId="13248" xr:uid="{00000000-0005-0000-0000-00002E330000}"/>
    <cellStyle name="40% - Ênfase4 17 5" xfId="13249" xr:uid="{00000000-0005-0000-0000-00002F330000}"/>
    <cellStyle name="40% - Ênfase4 17 5 2" xfId="13250" xr:uid="{00000000-0005-0000-0000-000030330000}"/>
    <cellStyle name="40% - Ênfase4 17 6" xfId="13251" xr:uid="{00000000-0005-0000-0000-000031330000}"/>
    <cellStyle name="40% - Ênfase4 18" xfId="13252" xr:uid="{00000000-0005-0000-0000-000032330000}"/>
    <cellStyle name="40% - Ênfase4 18 2" xfId="13253" xr:uid="{00000000-0005-0000-0000-000033330000}"/>
    <cellStyle name="40% - Ênfase4 18 2 2" xfId="13254" xr:uid="{00000000-0005-0000-0000-000034330000}"/>
    <cellStyle name="40% - Ênfase4 18 3" xfId="13255" xr:uid="{00000000-0005-0000-0000-000035330000}"/>
    <cellStyle name="40% - Ênfase4 18 3 2" xfId="13256" xr:uid="{00000000-0005-0000-0000-000036330000}"/>
    <cellStyle name="40% - Ênfase4 18 4" xfId="13257" xr:uid="{00000000-0005-0000-0000-000037330000}"/>
    <cellStyle name="40% - Ênfase4 19" xfId="13258" xr:uid="{00000000-0005-0000-0000-000038330000}"/>
    <cellStyle name="40% - Ênfase4 19 2" xfId="13259" xr:uid="{00000000-0005-0000-0000-000039330000}"/>
    <cellStyle name="40% - Ênfase4 19 2 2" xfId="13260" xr:uid="{00000000-0005-0000-0000-00003A330000}"/>
    <cellStyle name="40% - Ênfase4 19 3" xfId="13261" xr:uid="{00000000-0005-0000-0000-00003B330000}"/>
    <cellStyle name="40% - Ênfase4 2" xfId="13262" xr:uid="{00000000-0005-0000-0000-00003C330000}"/>
    <cellStyle name="40% - Ênfase4 2 10" xfId="13263" xr:uid="{00000000-0005-0000-0000-00003D330000}"/>
    <cellStyle name="40% - Ênfase4 2 10 2" xfId="13264" xr:uid="{00000000-0005-0000-0000-00003E330000}"/>
    <cellStyle name="40% - Ênfase4 2 10 2 2" xfId="13265" xr:uid="{00000000-0005-0000-0000-00003F330000}"/>
    <cellStyle name="40% - Ênfase4 2 10 3" xfId="13266" xr:uid="{00000000-0005-0000-0000-000040330000}"/>
    <cellStyle name="40% - Ênfase4 2 10 3 2" xfId="13267" xr:uid="{00000000-0005-0000-0000-000041330000}"/>
    <cellStyle name="40% - Ênfase4 2 10 4" xfId="13268" xr:uid="{00000000-0005-0000-0000-000042330000}"/>
    <cellStyle name="40% - Ênfase4 2 11" xfId="13269" xr:uid="{00000000-0005-0000-0000-000043330000}"/>
    <cellStyle name="40% - Ênfase4 2 11 2" xfId="13270" xr:uid="{00000000-0005-0000-0000-000044330000}"/>
    <cellStyle name="40% - Ênfase4 2 11 2 2" xfId="13271" xr:uid="{00000000-0005-0000-0000-000045330000}"/>
    <cellStyle name="40% - Ênfase4 2 11 3" xfId="13272" xr:uid="{00000000-0005-0000-0000-000046330000}"/>
    <cellStyle name="40% - Ênfase4 2 12" xfId="13273" xr:uid="{00000000-0005-0000-0000-000047330000}"/>
    <cellStyle name="40% - Ênfase4 2 12 2" xfId="13274" xr:uid="{00000000-0005-0000-0000-000048330000}"/>
    <cellStyle name="40% - Ênfase4 2 12 2 2" xfId="13275" xr:uid="{00000000-0005-0000-0000-000049330000}"/>
    <cellStyle name="40% - Ênfase4 2 12 3" xfId="13276" xr:uid="{00000000-0005-0000-0000-00004A330000}"/>
    <cellStyle name="40% - Ênfase4 2 13" xfId="13277" xr:uid="{00000000-0005-0000-0000-00004B330000}"/>
    <cellStyle name="40% - Ênfase4 2 13 2" xfId="13278" xr:uid="{00000000-0005-0000-0000-00004C330000}"/>
    <cellStyle name="40% - Ênfase4 2 13 2 2" xfId="13279" xr:uid="{00000000-0005-0000-0000-00004D330000}"/>
    <cellStyle name="40% - Ênfase4 2 13 3" xfId="13280" xr:uid="{00000000-0005-0000-0000-00004E330000}"/>
    <cellStyle name="40% - Ênfase4 2 14" xfId="13281" xr:uid="{00000000-0005-0000-0000-00004F330000}"/>
    <cellStyle name="40% - Ênfase4 2 14 2" xfId="13282" xr:uid="{00000000-0005-0000-0000-000050330000}"/>
    <cellStyle name="40% - Ênfase4 2 14 2 2" xfId="13283" xr:uid="{00000000-0005-0000-0000-000051330000}"/>
    <cellStyle name="40% - Ênfase4 2 14 3" xfId="13284" xr:uid="{00000000-0005-0000-0000-000052330000}"/>
    <cellStyle name="40% - Ênfase4 2 15" xfId="13285" xr:uid="{00000000-0005-0000-0000-000053330000}"/>
    <cellStyle name="40% - Ênfase4 2 15 2" xfId="13286" xr:uid="{00000000-0005-0000-0000-000054330000}"/>
    <cellStyle name="40% - Ênfase4 2 16" xfId="13287" xr:uid="{00000000-0005-0000-0000-000055330000}"/>
    <cellStyle name="40% - Ênfase4 2 2" xfId="13288" xr:uid="{00000000-0005-0000-0000-000056330000}"/>
    <cellStyle name="40% - Ênfase4 2 2 10" xfId="13289" xr:uid="{00000000-0005-0000-0000-000057330000}"/>
    <cellStyle name="40% - Ênfase4 2 2 10 2" xfId="13290" xr:uid="{00000000-0005-0000-0000-000058330000}"/>
    <cellStyle name="40% - Ênfase4 2 2 11" xfId="13291" xr:uid="{00000000-0005-0000-0000-000059330000}"/>
    <cellStyle name="40% - Ênfase4 2 2 2" xfId="13292" xr:uid="{00000000-0005-0000-0000-00005A330000}"/>
    <cellStyle name="40% - Ênfase4 2 2 2 2" xfId="13293" xr:uid="{00000000-0005-0000-0000-00005B330000}"/>
    <cellStyle name="40% - Ênfase4 2 2 2 2 2" xfId="13294" xr:uid="{00000000-0005-0000-0000-00005C330000}"/>
    <cellStyle name="40% - Ênfase4 2 2 2 2 2 2" xfId="13295" xr:uid="{00000000-0005-0000-0000-00005D330000}"/>
    <cellStyle name="40% - Ênfase4 2 2 2 2 2 2 2" xfId="13296" xr:uid="{00000000-0005-0000-0000-00005E330000}"/>
    <cellStyle name="40% - Ênfase4 2 2 2 2 2 3" xfId="13297" xr:uid="{00000000-0005-0000-0000-00005F330000}"/>
    <cellStyle name="40% - Ênfase4 2 2 2 2 2 3 2" xfId="13298" xr:uid="{00000000-0005-0000-0000-000060330000}"/>
    <cellStyle name="40% - Ênfase4 2 2 2 2 2 4" xfId="13299" xr:uid="{00000000-0005-0000-0000-000061330000}"/>
    <cellStyle name="40% - Ênfase4 2 2 2 2 3" xfId="13300" xr:uid="{00000000-0005-0000-0000-000062330000}"/>
    <cellStyle name="40% - Ênfase4 2 2 2 2 3 2" xfId="13301" xr:uid="{00000000-0005-0000-0000-000063330000}"/>
    <cellStyle name="40% - Ênfase4 2 2 2 2 3 2 2" xfId="13302" xr:uid="{00000000-0005-0000-0000-000064330000}"/>
    <cellStyle name="40% - Ênfase4 2 2 2 2 3 3" xfId="13303" xr:uid="{00000000-0005-0000-0000-000065330000}"/>
    <cellStyle name="40% - Ênfase4 2 2 2 2 3 3 2" xfId="13304" xr:uid="{00000000-0005-0000-0000-000066330000}"/>
    <cellStyle name="40% - Ênfase4 2 2 2 2 3 4" xfId="13305" xr:uid="{00000000-0005-0000-0000-000067330000}"/>
    <cellStyle name="40% - Ênfase4 2 2 2 2 4" xfId="13306" xr:uid="{00000000-0005-0000-0000-000068330000}"/>
    <cellStyle name="40% - Ênfase4 2 2 2 2 4 2" xfId="13307" xr:uid="{00000000-0005-0000-0000-000069330000}"/>
    <cellStyle name="40% - Ênfase4 2 2 2 2 5" xfId="13308" xr:uid="{00000000-0005-0000-0000-00006A330000}"/>
    <cellStyle name="40% - Ênfase4 2 2 2 2 5 2" xfId="13309" xr:uid="{00000000-0005-0000-0000-00006B330000}"/>
    <cellStyle name="40% - Ênfase4 2 2 2 2 6" xfId="13310" xr:uid="{00000000-0005-0000-0000-00006C330000}"/>
    <cellStyle name="40% - Ênfase4 2 2 2 3" xfId="13311" xr:uid="{00000000-0005-0000-0000-00006D330000}"/>
    <cellStyle name="40% - Ênfase4 2 2 2 3 2" xfId="13312" xr:uid="{00000000-0005-0000-0000-00006E330000}"/>
    <cellStyle name="40% - Ênfase4 2 2 2 3 2 2" xfId="13313" xr:uid="{00000000-0005-0000-0000-00006F330000}"/>
    <cellStyle name="40% - Ênfase4 2 2 2 3 3" xfId="13314" xr:uid="{00000000-0005-0000-0000-000070330000}"/>
    <cellStyle name="40% - Ênfase4 2 2 2 3 3 2" xfId="13315" xr:uid="{00000000-0005-0000-0000-000071330000}"/>
    <cellStyle name="40% - Ênfase4 2 2 2 3 4" xfId="13316" xr:uid="{00000000-0005-0000-0000-000072330000}"/>
    <cellStyle name="40% - Ênfase4 2 2 2 4" xfId="13317" xr:uid="{00000000-0005-0000-0000-000073330000}"/>
    <cellStyle name="40% - Ênfase4 2 2 2 4 2" xfId="13318" xr:uid="{00000000-0005-0000-0000-000074330000}"/>
    <cellStyle name="40% - Ênfase4 2 2 2 4 2 2" xfId="13319" xr:uid="{00000000-0005-0000-0000-000075330000}"/>
    <cellStyle name="40% - Ênfase4 2 2 2 4 3" xfId="13320" xr:uid="{00000000-0005-0000-0000-000076330000}"/>
    <cellStyle name="40% - Ênfase4 2 2 2 5" xfId="13321" xr:uid="{00000000-0005-0000-0000-000077330000}"/>
    <cellStyle name="40% - Ênfase4 2 2 2 5 2" xfId="13322" xr:uid="{00000000-0005-0000-0000-000078330000}"/>
    <cellStyle name="40% - Ênfase4 2 2 2 5 2 2" xfId="13323" xr:uid="{00000000-0005-0000-0000-000079330000}"/>
    <cellStyle name="40% - Ênfase4 2 2 2 5 3" xfId="13324" xr:uid="{00000000-0005-0000-0000-00007A330000}"/>
    <cellStyle name="40% - Ênfase4 2 2 2 6" xfId="13325" xr:uid="{00000000-0005-0000-0000-00007B330000}"/>
    <cellStyle name="40% - Ênfase4 2 2 2 6 2" xfId="13326" xr:uid="{00000000-0005-0000-0000-00007C330000}"/>
    <cellStyle name="40% - Ênfase4 2 2 2 6 2 2" xfId="13327" xr:uid="{00000000-0005-0000-0000-00007D330000}"/>
    <cellStyle name="40% - Ênfase4 2 2 2 6 3" xfId="13328" xr:uid="{00000000-0005-0000-0000-00007E330000}"/>
    <cellStyle name="40% - Ênfase4 2 2 2 7" xfId="13329" xr:uid="{00000000-0005-0000-0000-00007F330000}"/>
    <cellStyle name="40% - Ênfase4 2 2 2 7 2" xfId="13330" xr:uid="{00000000-0005-0000-0000-000080330000}"/>
    <cellStyle name="40% - Ênfase4 2 2 2 7 2 2" xfId="13331" xr:uid="{00000000-0005-0000-0000-000081330000}"/>
    <cellStyle name="40% - Ênfase4 2 2 2 7 3" xfId="13332" xr:uid="{00000000-0005-0000-0000-000082330000}"/>
    <cellStyle name="40% - Ênfase4 2 2 2 8" xfId="13333" xr:uid="{00000000-0005-0000-0000-000083330000}"/>
    <cellStyle name="40% - Ênfase4 2 2 2 8 2" xfId="13334" xr:uid="{00000000-0005-0000-0000-000084330000}"/>
    <cellStyle name="40% - Ênfase4 2 2 2 9" xfId="13335" xr:uid="{00000000-0005-0000-0000-000085330000}"/>
    <cellStyle name="40% - Ênfase4 2 2 3" xfId="13336" xr:uid="{00000000-0005-0000-0000-000086330000}"/>
    <cellStyle name="40% - Ênfase4 2 2 3 2" xfId="13337" xr:uid="{00000000-0005-0000-0000-000087330000}"/>
    <cellStyle name="40% - Ênfase4 2 2 3 2 2" xfId="13338" xr:uid="{00000000-0005-0000-0000-000088330000}"/>
    <cellStyle name="40% - Ênfase4 2 2 3 2 2 2" xfId="13339" xr:uid="{00000000-0005-0000-0000-000089330000}"/>
    <cellStyle name="40% - Ênfase4 2 2 3 2 3" xfId="13340" xr:uid="{00000000-0005-0000-0000-00008A330000}"/>
    <cellStyle name="40% - Ênfase4 2 2 3 2 3 2" xfId="13341" xr:uid="{00000000-0005-0000-0000-00008B330000}"/>
    <cellStyle name="40% - Ênfase4 2 2 3 2 4" xfId="13342" xr:uid="{00000000-0005-0000-0000-00008C330000}"/>
    <cellStyle name="40% - Ênfase4 2 2 3 3" xfId="13343" xr:uid="{00000000-0005-0000-0000-00008D330000}"/>
    <cellStyle name="40% - Ênfase4 2 2 3 3 2" xfId="13344" xr:uid="{00000000-0005-0000-0000-00008E330000}"/>
    <cellStyle name="40% - Ênfase4 2 2 3 3 2 2" xfId="13345" xr:uid="{00000000-0005-0000-0000-00008F330000}"/>
    <cellStyle name="40% - Ênfase4 2 2 3 3 3" xfId="13346" xr:uid="{00000000-0005-0000-0000-000090330000}"/>
    <cellStyle name="40% - Ênfase4 2 2 3 3 3 2" xfId="13347" xr:uid="{00000000-0005-0000-0000-000091330000}"/>
    <cellStyle name="40% - Ênfase4 2 2 3 3 4" xfId="13348" xr:uid="{00000000-0005-0000-0000-000092330000}"/>
    <cellStyle name="40% - Ênfase4 2 2 3 4" xfId="13349" xr:uid="{00000000-0005-0000-0000-000093330000}"/>
    <cellStyle name="40% - Ênfase4 2 2 3 4 2" xfId="13350" xr:uid="{00000000-0005-0000-0000-000094330000}"/>
    <cellStyle name="40% - Ênfase4 2 2 3 5" xfId="13351" xr:uid="{00000000-0005-0000-0000-000095330000}"/>
    <cellStyle name="40% - Ênfase4 2 2 3 5 2" xfId="13352" xr:uid="{00000000-0005-0000-0000-000096330000}"/>
    <cellStyle name="40% - Ênfase4 2 2 3 6" xfId="13353" xr:uid="{00000000-0005-0000-0000-000097330000}"/>
    <cellStyle name="40% - Ênfase4 2 2 4" xfId="13354" xr:uid="{00000000-0005-0000-0000-000098330000}"/>
    <cellStyle name="40% - Ênfase4 2 2 4 2" xfId="13355" xr:uid="{00000000-0005-0000-0000-000099330000}"/>
    <cellStyle name="40% - Ênfase4 2 2 4 2 2" xfId="13356" xr:uid="{00000000-0005-0000-0000-00009A330000}"/>
    <cellStyle name="40% - Ênfase4 2 2 4 2 2 2" xfId="13357" xr:uid="{00000000-0005-0000-0000-00009B330000}"/>
    <cellStyle name="40% - Ênfase4 2 2 4 2 3" xfId="13358" xr:uid="{00000000-0005-0000-0000-00009C330000}"/>
    <cellStyle name="40% - Ênfase4 2 2 4 2 3 2" xfId="13359" xr:uid="{00000000-0005-0000-0000-00009D330000}"/>
    <cellStyle name="40% - Ênfase4 2 2 4 2 4" xfId="13360" xr:uid="{00000000-0005-0000-0000-00009E330000}"/>
    <cellStyle name="40% - Ênfase4 2 2 4 3" xfId="13361" xr:uid="{00000000-0005-0000-0000-00009F330000}"/>
    <cellStyle name="40% - Ênfase4 2 2 4 3 2" xfId="13362" xr:uid="{00000000-0005-0000-0000-0000A0330000}"/>
    <cellStyle name="40% - Ênfase4 2 2 4 3 2 2" xfId="13363" xr:uid="{00000000-0005-0000-0000-0000A1330000}"/>
    <cellStyle name="40% - Ênfase4 2 2 4 3 3" xfId="13364" xr:uid="{00000000-0005-0000-0000-0000A2330000}"/>
    <cellStyle name="40% - Ênfase4 2 2 4 3 3 2" xfId="13365" xr:uid="{00000000-0005-0000-0000-0000A3330000}"/>
    <cellStyle name="40% - Ênfase4 2 2 4 3 4" xfId="13366" xr:uid="{00000000-0005-0000-0000-0000A4330000}"/>
    <cellStyle name="40% - Ênfase4 2 2 4 4" xfId="13367" xr:uid="{00000000-0005-0000-0000-0000A5330000}"/>
    <cellStyle name="40% - Ênfase4 2 2 4 4 2" xfId="13368" xr:uid="{00000000-0005-0000-0000-0000A6330000}"/>
    <cellStyle name="40% - Ênfase4 2 2 4 5" xfId="13369" xr:uid="{00000000-0005-0000-0000-0000A7330000}"/>
    <cellStyle name="40% - Ênfase4 2 2 4 5 2" xfId="13370" xr:uid="{00000000-0005-0000-0000-0000A8330000}"/>
    <cellStyle name="40% - Ênfase4 2 2 4 6" xfId="13371" xr:uid="{00000000-0005-0000-0000-0000A9330000}"/>
    <cellStyle name="40% - Ênfase4 2 2 5" xfId="13372" xr:uid="{00000000-0005-0000-0000-0000AA330000}"/>
    <cellStyle name="40% - Ênfase4 2 2 5 2" xfId="13373" xr:uid="{00000000-0005-0000-0000-0000AB330000}"/>
    <cellStyle name="40% - Ênfase4 2 2 5 2 2" xfId="13374" xr:uid="{00000000-0005-0000-0000-0000AC330000}"/>
    <cellStyle name="40% - Ênfase4 2 2 5 3" xfId="13375" xr:uid="{00000000-0005-0000-0000-0000AD330000}"/>
    <cellStyle name="40% - Ênfase4 2 2 5 3 2" xfId="13376" xr:uid="{00000000-0005-0000-0000-0000AE330000}"/>
    <cellStyle name="40% - Ênfase4 2 2 5 4" xfId="13377" xr:uid="{00000000-0005-0000-0000-0000AF330000}"/>
    <cellStyle name="40% - Ênfase4 2 2 6" xfId="13378" xr:uid="{00000000-0005-0000-0000-0000B0330000}"/>
    <cellStyle name="40% - Ênfase4 2 2 6 2" xfId="13379" xr:uid="{00000000-0005-0000-0000-0000B1330000}"/>
    <cellStyle name="40% - Ênfase4 2 2 6 2 2" xfId="13380" xr:uid="{00000000-0005-0000-0000-0000B2330000}"/>
    <cellStyle name="40% - Ênfase4 2 2 6 3" xfId="13381" xr:uid="{00000000-0005-0000-0000-0000B3330000}"/>
    <cellStyle name="40% - Ênfase4 2 2 7" xfId="13382" xr:uid="{00000000-0005-0000-0000-0000B4330000}"/>
    <cellStyle name="40% - Ênfase4 2 2 7 2" xfId="13383" xr:uid="{00000000-0005-0000-0000-0000B5330000}"/>
    <cellStyle name="40% - Ênfase4 2 2 7 2 2" xfId="13384" xr:uid="{00000000-0005-0000-0000-0000B6330000}"/>
    <cellStyle name="40% - Ênfase4 2 2 7 3" xfId="13385" xr:uid="{00000000-0005-0000-0000-0000B7330000}"/>
    <cellStyle name="40% - Ênfase4 2 2 8" xfId="13386" xr:uid="{00000000-0005-0000-0000-0000B8330000}"/>
    <cellStyle name="40% - Ênfase4 2 2 8 2" xfId="13387" xr:uid="{00000000-0005-0000-0000-0000B9330000}"/>
    <cellStyle name="40% - Ênfase4 2 2 8 2 2" xfId="13388" xr:uid="{00000000-0005-0000-0000-0000BA330000}"/>
    <cellStyle name="40% - Ênfase4 2 2 8 3" xfId="13389" xr:uid="{00000000-0005-0000-0000-0000BB330000}"/>
    <cellStyle name="40% - Ênfase4 2 2 9" xfId="13390" xr:uid="{00000000-0005-0000-0000-0000BC330000}"/>
    <cellStyle name="40% - Ênfase4 2 2 9 2" xfId="13391" xr:uid="{00000000-0005-0000-0000-0000BD330000}"/>
    <cellStyle name="40% - Ênfase4 2 2 9 2 2" xfId="13392" xr:uid="{00000000-0005-0000-0000-0000BE330000}"/>
    <cellStyle name="40% - Ênfase4 2 2 9 3" xfId="13393" xr:uid="{00000000-0005-0000-0000-0000BF330000}"/>
    <cellStyle name="40% - Ênfase4 2 3" xfId="13394" xr:uid="{00000000-0005-0000-0000-0000C0330000}"/>
    <cellStyle name="40% - Ênfase4 2 3 10" xfId="13395" xr:uid="{00000000-0005-0000-0000-0000C1330000}"/>
    <cellStyle name="40% - Ênfase4 2 3 10 2" xfId="13396" xr:uid="{00000000-0005-0000-0000-0000C2330000}"/>
    <cellStyle name="40% - Ênfase4 2 3 11" xfId="13397" xr:uid="{00000000-0005-0000-0000-0000C3330000}"/>
    <cellStyle name="40% - Ênfase4 2 3 2" xfId="13398" xr:uid="{00000000-0005-0000-0000-0000C4330000}"/>
    <cellStyle name="40% - Ênfase4 2 3 2 2" xfId="13399" xr:uid="{00000000-0005-0000-0000-0000C5330000}"/>
    <cellStyle name="40% - Ênfase4 2 3 2 2 2" xfId="13400" xr:uid="{00000000-0005-0000-0000-0000C6330000}"/>
    <cellStyle name="40% - Ênfase4 2 3 2 2 2 2" xfId="13401" xr:uid="{00000000-0005-0000-0000-0000C7330000}"/>
    <cellStyle name="40% - Ênfase4 2 3 2 2 2 2 2" xfId="13402" xr:uid="{00000000-0005-0000-0000-0000C8330000}"/>
    <cellStyle name="40% - Ênfase4 2 3 2 2 2 3" xfId="13403" xr:uid="{00000000-0005-0000-0000-0000C9330000}"/>
    <cellStyle name="40% - Ênfase4 2 3 2 2 2 3 2" xfId="13404" xr:uid="{00000000-0005-0000-0000-0000CA330000}"/>
    <cellStyle name="40% - Ênfase4 2 3 2 2 2 4" xfId="13405" xr:uid="{00000000-0005-0000-0000-0000CB330000}"/>
    <cellStyle name="40% - Ênfase4 2 3 2 2 3" xfId="13406" xr:uid="{00000000-0005-0000-0000-0000CC330000}"/>
    <cellStyle name="40% - Ênfase4 2 3 2 2 3 2" xfId="13407" xr:uid="{00000000-0005-0000-0000-0000CD330000}"/>
    <cellStyle name="40% - Ênfase4 2 3 2 2 3 2 2" xfId="13408" xr:uid="{00000000-0005-0000-0000-0000CE330000}"/>
    <cellStyle name="40% - Ênfase4 2 3 2 2 3 3" xfId="13409" xr:uid="{00000000-0005-0000-0000-0000CF330000}"/>
    <cellStyle name="40% - Ênfase4 2 3 2 2 3 3 2" xfId="13410" xr:uid="{00000000-0005-0000-0000-0000D0330000}"/>
    <cellStyle name="40% - Ênfase4 2 3 2 2 3 4" xfId="13411" xr:uid="{00000000-0005-0000-0000-0000D1330000}"/>
    <cellStyle name="40% - Ênfase4 2 3 2 2 4" xfId="13412" xr:uid="{00000000-0005-0000-0000-0000D2330000}"/>
    <cellStyle name="40% - Ênfase4 2 3 2 2 4 2" xfId="13413" xr:uid="{00000000-0005-0000-0000-0000D3330000}"/>
    <cellStyle name="40% - Ênfase4 2 3 2 2 5" xfId="13414" xr:uid="{00000000-0005-0000-0000-0000D4330000}"/>
    <cellStyle name="40% - Ênfase4 2 3 2 2 5 2" xfId="13415" xr:uid="{00000000-0005-0000-0000-0000D5330000}"/>
    <cellStyle name="40% - Ênfase4 2 3 2 2 6" xfId="13416" xr:uid="{00000000-0005-0000-0000-0000D6330000}"/>
    <cellStyle name="40% - Ênfase4 2 3 2 3" xfId="13417" xr:uid="{00000000-0005-0000-0000-0000D7330000}"/>
    <cellStyle name="40% - Ênfase4 2 3 2 3 2" xfId="13418" xr:uid="{00000000-0005-0000-0000-0000D8330000}"/>
    <cellStyle name="40% - Ênfase4 2 3 2 3 2 2" xfId="13419" xr:uid="{00000000-0005-0000-0000-0000D9330000}"/>
    <cellStyle name="40% - Ênfase4 2 3 2 3 3" xfId="13420" xr:uid="{00000000-0005-0000-0000-0000DA330000}"/>
    <cellStyle name="40% - Ênfase4 2 3 2 3 3 2" xfId="13421" xr:uid="{00000000-0005-0000-0000-0000DB330000}"/>
    <cellStyle name="40% - Ênfase4 2 3 2 3 4" xfId="13422" xr:uid="{00000000-0005-0000-0000-0000DC330000}"/>
    <cellStyle name="40% - Ênfase4 2 3 2 4" xfId="13423" xr:uid="{00000000-0005-0000-0000-0000DD330000}"/>
    <cellStyle name="40% - Ênfase4 2 3 2 4 2" xfId="13424" xr:uid="{00000000-0005-0000-0000-0000DE330000}"/>
    <cellStyle name="40% - Ênfase4 2 3 2 4 2 2" xfId="13425" xr:uid="{00000000-0005-0000-0000-0000DF330000}"/>
    <cellStyle name="40% - Ênfase4 2 3 2 4 3" xfId="13426" xr:uid="{00000000-0005-0000-0000-0000E0330000}"/>
    <cellStyle name="40% - Ênfase4 2 3 2 5" xfId="13427" xr:uid="{00000000-0005-0000-0000-0000E1330000}"/>
    <cellStyle name="40% - Ênfase4 2 3 2 5 2" xfId="13428" xr:uid="{00000000-0005-0000-0000-0000E2330000}"/>
    <cellStyle name="40% - Ênfase4 2 3 2 5 2 2" xfId="13429" xr:uid="{00000000-0005-0000-0000-0000E3330000}"/>
    <cellStyle name="40% - Ênfase4 2 3 2 5 3" xfId="13430" xr:uid="{00000000-0005-0000-0000-0000E4330000}"/>
    <cellStyle name="40% - Ênfase4 2 3 2 6" xfId="13431" xr:uid="{00000000-0005-0000-0000-0000E5330000}"/>
    <cellStyle name="40% - Ênfase4 2 3 2 6 2" xfId="13432" xr:uid="{00000000-0005-0000-0000-0000E6330000}"/>
    <cellStyle name="40% - Ênfase4 2 3 2 6 2 2" xfId="13433" xr:uid="{00000000-0005-0000-0000-0000E7330000}"/>
    <cellStyle name="40% - Ênfase4 2 3 2 6 3" xfId="13434" xr:uid="{00000000-0005-0000-0000-0000E8330000}"/>
    <cellStyle name="40% - Ênfase4 2 3 2 7" xfId="13435" xr:uid="{00000000-0005-0000-0000-0000E9330000}"/>
    <cellStyle name="40% - Ênfase4 2 3 2 7 2" xfId="13436" xr:uid="{00000000-0005-0000-0000-0000EA330000}"/>
    <cellStyle name="40% - Ênfase4 2 3 2 7 2 2" xfId="13437" xr:uid="{00000000-0005-0000-0000-0000EB330000}"/>
    <cellStyle name="40% - Ênfase4 2 3 2 7 3" xfId="13438" xr:uid="{00000000-0005-0000-0000-0000EC330000}"/>
    <cellStyle name="40% - Ênfase4 2 3 2 8" xfId="13439" xr:uid="{00000000-0005-0000-0000-0000ED330000}"/>
    <cellStyle name="40% - Ênfase4 2 3 2 8 2" xfId="13440" xr:uid="{00000000-0005-0000-0000-0000EE330000}"/>
    <cellStyle name="40% - Ênfase4 2 3 2 9" xfId="13441" xr:uid="{00000000-0005-0000-0000-0000EF330000}"/>
    <cellStyle name="40% - Ênfase4 2 3 3" xfId="13442" xr:uid="{00000000-0005-0000-0000-0000F0330000}"/>
    <cellStyle name="40% - Ênfase4 2 3 3 2" xfId="13443" xr:uid="{00000000-0005-0000-0000-0000F1330000}"/>
    <cellStyle name="40% - Ênfase4 2 3 3 2 2" xfId="13444" xr:uid="{00000000-0005-0000-0000-0000F2330000}"/>
    <cellStyle name="40% - Ênfase4 2 3 3 2 2 2" xfId="13445" xr:uid="{00000000-0005-0000-0000-0000F3330000}"/>
    <cellStyle name="40% - Ênfase4 2 3 3 2 3" xfId="13446" xr:uid="{00000000-0005-0000-0000-0000F4330000}"/>
    <cellStyle name="40% - Ênfase4 2 3 3 2 3 2" xfId="13447" xr:uid="{00000000-0005-0000-0000-0000F5330000}"/>
    <cellStyle name="40% - Ênfase4 2 3 3 2 4" xfId="13448" xr:uid="{00000000-0005-0000-0000-0000F6330000}"/>
    <cellStyle name="40% - Ênfase4 2 3 3 3" xfId="13449" xr:uid="{00000000-0005-0000-0000-0000F7330000}"/>
    <cellStyle name="40% - Ênfase4 2 3 3 3 2" xfId="13450" xr:uid="{00000000-0005-0000-0000-0000F8330000}"/>
    <cellStyle name="40% - Ênfase4 2 3 3 3 2 2" xfId="13451" xr:uid="{00000000-0005-0000-0000-0000F9330000}"/>
    <cellStyle name="40% - Ênfase4 2 3 3 3 3" xfId="13452" xr:uid="{00000000-0005-0000-0000-0000FA330000}"/>
    <cellStyle name="40% - Ênfase4 2 3 3 3 3 2" xfId="13453" xr:uid="{00000000-0005-0000-0000-0000FB330000}"/>
    <cellStyle name="40% - Ênfase4 2 3 3 3 4" xfId="13454" xr:uid="{00000000-0005-0000-0000-0000FC330000}"/>
    <cellStyle name="40% - Ênfase4 2 3 3 4" xfId="13455" xr:uid="{00000000-0005-0000-0000-0000FD330000}"/>
    <cellStyle name="40% - Ênfase4 2 3 3 4 2" xfId="13456" xr:uid="{00000000-0005-0000-0000-0000FE330000}"/>
    <cellStyle name="40% - Ênfase4 2 3 3 5" xfId="13457" xr:uid="{00000000-0005-0000-0000-0000FF330000}"/>
    <cellStyle name="40% - Ênfase4 2 3 3 5 2" xfId="13458" xr:uid="{00000000-0005-0000-0000-000000340000}"/>
    <cellStyle name="40% - Ênfase4 2 3 3 6" xfId="13459" xr:uid="{00000000-0005-0000-0000-000001340000}"/>
    <cellStyle name="40% - Ênfase4 2 3 4" xfId="13460" xr:uid="{00000000-0005-0000-0000-000002340000}"/>
    <cellStyle name="40% - Ênfase4 2 3 4 2" xfId="13461" xr:uid="{00000000-0005-0000-0000-000003340000}"/>
    <cellStyle name="40% - Ênfase4 2 3 4 2 2" xfId="13462" xr:uid="{00000000-0005-0000-0000-000004340000}"/>
    <cellStyle name="40% - Ênfase4 2 3 4 2 2 2" xfId="13463" xr:uid="{00000000-0005-0000-0000-000005340000}"/>
    <cellStyle name="40% - Ênfase4 2 3 4 2 3" xfId="13464" xr:uid="{00000000-0005-0000-0000-000006340000}"/>
    <cellStyle name="40% - Ênfase4 2 3 4 2 3 2" xfId="13465" xr:uid="{00000000-0005-0000-0000-000007340000}"/>
    <cellStyle name="40% - Ênfase4 2 3 4 2 4" xfId="13466" xr:uid="{00000000-0005-0000-0000-000008340000}"/>
    <cellStyle name="40% - Ênfase4 2 3 4 3" xfId="13467" xr:uid="{00000000-0005-0000-0000-000009340000}"/>
    <cellStyle name="40% - Ênfase4 2 3 4 3 2" xfId="13468" xr:uid="{00000000-0005-0000-0000-00000A340000}"/>
    <cellStyle name="40% - Ênfase4 2 3 4 3 2 2" xfId="13469" xr:uid="{00000000-0005-0000-0000-00000B340000}"/>
    <cellStyle name="40% - Ênfase4 2 3 4 3 3" xfId="13470" xr:uid="{00000000-0005-0000-0000-00000C340000}"/>
    <cellStyle name="40% - Ênfase4 2 3 4 3 3 2" xfId="13471" xr:uid="{00000000-0005-0000-0000-00000D340000}"/>
    <cellStyle name="40% - Ênfase4 2 3 4 3 4" xfId="13472" xr:uid="{00000000-0005-0000-0000-00000E340000}"/>
    <cellStyle name="40% - Ênfase4 2 3 4 4" xfId="13473" xr:uid="{00000000-0005-0000-0000-00000F340000}"/>
    <cellStyle name="40% - Ênfase4 2 3 4 4 2" xfId="13474" xr:uid="{00000000-0005-0000-0000-000010340000}"/>
    <cellStyle name="40% - Ênfase4 2 3 4 5" xfId="13475" xr:uid="{00000000-0005-0000-0000-000011340000}"/>
    <cellStyle name="40% - Ênfase4 2 3 4 5 2" xfId="13476" xr:uid="{00000000-0005-0000-0000-000012340000}"/>
    <cellStyle name="40% - Ênfase4 2 3 4 6" xfId="13477" xr:uid="{00000000-0005-0000-0000-000013340000}"/>
    <cellStyle name="40% - Ênfase4 2 3 5" xfId="13478" xr:uid="{00000000-0005-0000-0000-000014340000}"/>
    <cellStyle name="40% - Ênfase4 2 3 5 2" xfId="13479" xr:uid="{00000000-0005-0000-0000-000015340000}"/>
    <cellStyle name="40% - Ênfase4 2 3 5 2 2" xfId="13480" xr:uid="{00000000-0005-0000-0000-000016340000}"/>
    <cellStyle name="40% - Ênfase4 2 3 5 3" xfId="13481" xr:uid="{00000000-0005-0000-0000-000017340000}"/>
    <cellStyle name="40% - Ênfase4 2 3 5 3 2" xfId="13482" xr:uid="{00000000-0005-0000-0000-000018340000}"/>
    <cellStyle name="40% - Ênfase4 2 3 5 4" xfId="13483" xr:uid="{00000000-0005-0000-0000-000019340000}"/>
    <cellStyle name="40% - Ênfase4 2 3 6" xfId="13484" xr:uid="{00000000-0005-0000-0000-00001A340000}"/>
    <cellStyle name="40% - Ênfase4 2 3 6 2" xfId="13485" xr:uid="{00000000-0005-0000-0000-00001B340000}"/>
    <cellStyle name="40% - Ênfase4 2 3 6 2 2" xfId="13486" xr:uid="{00000000-0005-0000-0000-00001C340000}"/>
    <cellStyle name="40% - Ênfase4 2 3 6 3" xfId="13487" xr:uid="{00000000-0005-0000-0000-00001D340000}"/>
    <cellStyle name="40% - Ênfase4 2 3 7" xfId="13488" xr:uid="{00000000-0005-0000-0000-00001E340000}"/>
    <cellStyle name="40% - Ênfase4 2 3 7 2" xfId="13489" xr:uid="{00000000-0005-0000-0000-00001F340000}"/>
    <cellStyle name="40% - Ênfase4 2 3 7 2 2" xfId="13490" xr:uid="{00000000-0005-0000-0000-000020340000}"/>
    <cellStyle name="40% - Ênfase4 2 3 7 3" xfId="13491" xr:uid="{00000000-0005-0000-0000-000021340000}"/>
    <cellStyle name="40% - Ênfase4 2 3 8" xfId="13492" xr:uid="{00000000-0005-0000-0000-000022340000}"/>
    <cellStyle name="40% - Ênfase4 2 3 8 2" xfId="13493" xr:uid="{00000000-0005-0000-0000-000023340000}"/>
    <cellStyle name="40% - Ênfase4 2 3 8 2 2" xfId="13494" xr:uid="{00000000-0005-0000-0000-000024340000}"/>
    <cellStyle name="40% - Ênfase4 2 3 8 3" xfId="13495" xr:uid="{00000000-0005-0000-0000-000025340000}"/>
    <cellStyle name="40% - Ênfase4 2 3 9" xfId="13496" xr:uid="{00000000-0005-0000-0000-000026340000}"/>
    <cellStyle name="40% - Ênfase4 2 3 9 2" xfId="13497" xr:uid="{00000000-0005-0000-0000-000027340000}"/>
    <cellStyle name="40% - Ênfase4 2 3 9 2 2" xfId="13498" xr:uid="{00000000-0005-0000-0000-000028340000}"/>
    <cellStyle name="40% - Ênfase4 2 3 9 3" xfId="13499" xr:uid="{00000000-0005-0000-0000-000029340000}"/>
    <cellStyle name="40% - Ênfase4 2 4" xfId="13500" xr:uid="{00000000-0005-0000-0000-00002A340000}"/>
    <cellStyle name="40% - Ênfase4 2 4 10" xfId="13501" xr:uid="{00000000-0005-0000-0000-00002B340000}"/>
    <cellStyle name="40% - Ênfase4 2 4 2" xfId="13502" xr:uid="{00000000-0005-0000-0000-00002C340000}"/>
    <cellStyle name="40% - Ênfase4 2 4 2 2" xfId="13503" xr:uid="{00000000-0005-0000-0000-00002D340000}"/>
    <cellStyle name="40% - Ênfase4 2 4 2 2 2" xfId="13504" xr:uid="{00000000-0005-0000-0000-00002E340000}"/>
    <cellStyle name="40% - Ênfase4 2 4 2 2 2 2" xfId="13505" xr:uid="{00000000-0005-0000-0000-00002F340000}"/>
    <cellStyle name="40% - Ênfase4 2 4 2 2 2 2 2" xfId="13506" xr:uid="{00000000-0005-0000-0000-000030340000}"/>
    <cellStyle name="40% - Ênfase4 2 4 2 2 2 3" xfId="13507" xr:uid="{00000000-0005-0000-0000-000031340000}"/>
    <cellStyle name="40% - Ênfase4 2 4 2 2 2 3 2" xfId="13508" xr:uid="{00000000-0005-0000-0000-000032340000}"/>
    <cellStyle name="40% - Ênfase4 2 4 2 2 2 4" xfId="13509" xr:uid="{00000000-0005-0000-0000-000033340000}"/>
    <cellStyle name="40% - Ênfase4 2 4 2 2 3" xfId="13510" xr:uid="{00000000-0005-0000-0000-000034340000}"/>
    <cellStyle name="40% - Ênfase4 2 4 2 2 3 2" xfId="13511" xr:uid="{00000000-0005-0000-0000-000035340000}"/>
    <cellStyle name="40% - Ênfase4 2 4 2 2 4" xfId="13512" xr:uid="{00000000-0005-0000-0000-000036340000}"/>
    <cellStyle name="40% - Ênfase4 2 4 2 2 4 2" xfId="13513" xr:uid="{00000000-0005-0000-0000-000037340000}"/>
    <cellStyle name="40% - Ênfase4 2 4 2 2 5" xfId="13514" xr:uid="{00000000-0005-0000-0000-000038340000}"/>
    <cellStyle name="40% - Ênfase4 2 4 2 3" xfId="13515" xr:uid="{00000000-0005-0000-0000-000039340000}"/>
    <cellStyle name="40% - Ênfase4 2 4 2 3 2" xfId="13516" xr:uid="{00000000-0005-0000-0000-00003A340000}"/>
    <cellStyle name="40% - Ênfase4 2 4 2 3 2 2" xfId="13517" xr:uid="{00000000-0005-0000-0000-00003B340000}"/>
    <cellStyle name="40% - Ênfase4 2 4 2 3 3" xfId="13518" xr:uid="{00000000-0005-0000-0000-00003C340000}"/>
    <cellStyle name="40% - Ênfase4 2 4 2 3 3 2" xfId="13519" xr:uid="{00000000-0005-0000-0000-00003D340000}"/>
    <cellStyle name="40% - Ênfase4 2 4 2 3 4" xfId="13520" xr:uid="{00000000-0005-0000-0000-00003E340000}"/>
    <cellStyle name="40% - Ênfase4 2 4 2 4" xfId="13521" xr:uid="{00000000-0005-0000-0000-00003F340000}"/>
    <cellStyle name="40% - Ênfase4 2 4 2 4 2" xfId="13522" xr:uid="{00000000-0005-0000-0000-000040340000}"/>
    <cellStyle name="40% - Ênfase4 2 4 2 4 2 2" xfId="13523" xr:uid="{00000000-0005-0000-0000-000041340000}"/>
    <cellStyle name="40% - Ênfase4 2 4 2 4 3" xfId="13524" xr:uid="{00000000-0005-0000-0000-000042340000}"/>
    <cellStyle name="40% - Ênfase4 2 4 2 5" xfId="13525" xr:uid="{00000000-0005-0000-0000-000043340000}"/>
    <cellStyle name="40% - Ênfase4 2 4 2 5 2" xfId="13526" xr:uid="{00000000-0005-0000-0000-000044340000}"/>
    <cellStyle name="40% - Ênfase4 2 4 2 6" xfId="13527" xr:uid="{00000000-0005-0000-0000-000045340000}"/>
    <cellStyle name="40% - Ênfase4 2 4 3" xfId="13528" xr:uid="{00000000-0005-0000-0000-000046340000}"/>
    <cellStyle name="40% - Ênfase4 2 4 3 2" xfId="13529" xr:uid="{00000000-0005-0000-0000-000047340000}"/>
    <cellStyle name="40% - Ênfase4 2 4 3 2 2" xfId="13530" xr:uid="{00000000-0005-0000-0000-000048340000}"/>
    <cellStyle name="40% - Ênfase4 2 4 3 2 2 2" xfId="13531" xr:uid="{00000000-0005-0000-0000-000049340000}"/>
    <cellStyle name="40% - Ênfase4 2 4 3 2 3" xfId="13532" xr:uid="{00000000-0005-0000-0000-00004A340000}"/>
    <cellStyle name="40% - Ênfase4 2 4 3 2 3 2" xfId="13533" xr:uid="{00000000-0005-0000-0000-00004B340000}"/>
    <cellStyle name="40% - Ênfase4 2 4 3 2 4" xfId="13534" xr:uid="{00000000-0005-0000-0000-00004C340000}"/>
    <cellStyle name="40% - Ênfase4 2 4 3 3" xfId="13535" xr:uid="{00000000-0005-0000-0000-00004D340000}"/>
    <cellStyle name="40% - Ênfase4 2 4 3 3 2" xfId="13536" xr:uid="{00000000-0005-0000-0000-00004E340000}"/>
    <cellStyle name="40% - Ênfase4 2 4 3 3 2 2" xfId="13537" xr:uid="{00000000-0005-0000-0000-00004F340000}"/>
    <cellStyle name="40% - Ênfase4 2 4 3 3 3" xfId="13538" xr:uid="{00000000-0005-0000-0000-000050340000}"/>
    <cellStyle name="40% - Ênfase4 2 4 3 3 3 2" xfId="13539" xr:uid="{00000000-0005-0000-0000-000051340000}"/>
    <cellStyle name="40% - Ênfase4 2 4 3 3 4" xfId="13540" xr:uid="{00000000-0005-0000-0000-000052340000}"/>
    <cellStyle name="40% - Ênfase4 2 4 3 4" xfId="13541" xr:uid="{00000000-0005-0000-0000-000053340000}"/>
    <cellStyle name="40% - Ênfase4 2 4 3 4 2" xfId="13542" xr:uid="{00000000-0005-0000-0000-000054340000}"/>
    <cellStyle name="40% - Ênfase4 2 4 3 5" xfId="13543" xr:uid="{00000000-0005-0000-0000-000055340000}"/>
    <cellStyle name="40% - Ênfase4 2 4 3 5 2" xfId="13544" xr:uid="{00000000-0005-0000-0000-000056340000}"/>
    <cellStyle name="40% - Ênfase4 2 4 3 6" xfId="13545" xr:uid="{00000000-0005-0000-0000-000057340000}"/>
    <cellStyle name="40% - Ênfase4 2 4 4" xfId="13546" xr:uid="{00000000-0005-0000-0000-000058340000}"/>
    <cellStyle name="40% - Ênfase4 2 4 4 2" xfId="13547" xr:uid="{00000000-0005-0000-0000-000059340000}"/>
    <cellStyle name="40% - Ênfase4 2 4 4 2 2" xfId="13548" xr:uid="{00000000-0005-0000-0000-00005A340000}"/>
    <cellStyle name="40% - Ênfase4 2 4 4 3" xfId="13549" xr:uid="{00000000-0005-0000-0000-00005B340000}"/>
    <cellStyle name="40% - Ênfase4 2 4 4 3 2" xfId="13550" xr:uid="{00000000-0005-0000-0000-00005C340000}"/>
    <cellStyle name="40% - Ênfase4 2 4 4 4" xfId="13551" xr:uid="{00000000-0005-0000-0000-00005D340000}"/>
    <cellStyle name="40% - Ênfase4 2 4 5" xfId="13552" xr:uid="{00000000-0005-0000-0000-00005E340000}"/>
    <cellStyle name="40% - Ênfase4 2 4 5 2" xfId="13553" xr:uid="{00000000-0005-0000-0000-00005F340000}"/>
    <cellStyle name="40% - Ênfase4 2 4 5 2 2" xfId="13554" xr:uid="{00000000-0005-0000-0000-000060340000}"/>
    <cellStyle name="40% - Ênfase4 2 4 5 3" xfId="13555" xr:uid="{00000000-0005-0000-0000-000061340000}"/>
    <cellStyle name="40% - Ênfase4 2 4 6" xfId="13556" xr:uid="{00000000-0005-0000-0000-000062340000}"/>
    <cellStyle name="40% - Ênfase4 2 4 6 2" xfId="13557" xr:uid="{00000000-0005-0000-0000-000063340000}"/>
    <cellStyle name="40% - Ênfase4 2 4 6 2 2" xfId="13558" xr:uid="{00000000-0005-0000-0000-000064340000}"/>
    <cellStyle name="40% - Ênfase4 2 4 6 3" xfId="13559" xr:uid="{00000000-0005-0000-0000-000065340000}"/>
    <cellStyle name="40% - Ênfase4 2 4 7" xfId="13560" xr:uid="{00000000-0005-0000-0000-000066340000}"/>
    <cellStyle name="40% - Ênfase4 2 4 7 2" xfId="13561" xr:uid="{00000000-0005-0000-0000-000067340000}"/>
    <cellStyle name="40% - Ênfase4 2 4 7 2 2" xfId="13562" xr:uid="{00000000-0005-0000-0000-000068340000}"/>
    <cellStyle name="40% - Ênfase4 2 4 7 3" xfId="13563" xr:uid="{00000000-0005-0000-0000-000069340000}"/>
    <cellStyle name="40% - Ênfase4 2 4 8" xfId="13564" xr:uid="{00000000-0005-0000-0000-00006A340000}"/>
    <cellStyle name="40% - Ênfase4 2 4 8 2" xfId="13565" xr:uid="{00000000-0005-0000-0000-00006B340000}"/>
    <cellStyle name="40% - Ênfase4 2 4 8 2 2" xfId="13566" xr:uid="{00000000-0005-0000-0000-00006C340000}"/>
    <cellStyle name="40% - Ênfase4 2 4 8 3" xfId="13567" xr:uid="{00000000-0005-0000-0000-00006D340000}"/>
    <cellStyle name="40% - Ênfase4 2 4 9" xfId="13568" xr:uid="{00000000-0005-0000-0000-00006E340000}"/>
    <cellStyle name="40% - Ênfase4 2 4 9 2" xfId="13569" xr:uid="{00000000-0005-0000-0000-00006F340000}"/>
    <cellStyle name="40% - Ênfase4 2 5" xfId="13570" xr:uid="{00000000-0005-0000-0000-000070340000}"/>
    <cellStyle name="40% - Ênfase4 2 5 2" xfId="13571" xr:uid="{00000000-0005-0000-0000-000071340000}"/>
    <cellStyle name="40% - Ênfase4 2 5 2 2" xfId="13572" xr:uid="{00000000-0005-0000-0000-000072340000}"/>
    <cellStyle name="40% - Ênfase4 2 5 2 2 2" xfId="13573" xr:uid="{00000000-0005-0000-0000-000073340000}"/>
    <cellStyle name="40% - Ênfase4 2 5 2 2 2 2" xfId="13574" xr:uid="{00000000-0005-0000-0000-000074340000}"/>
    <cellStyle name="40% - Ênfase4 2 5 2 2 2 2 2" xfId="13575" xr:uid="{00000000-0005-0000-0000-000075340000}"/>
    <cellStyle name="40% - Ênfase4 2 5 2 2 2 3" xfId="13576" xr:uid="{00000000-0005-0000-0000-000076340000}"/>
    <cellStyle name="40% - Ênfase4 2 5 2 2 2 3 2" xfId="13577" xr:uid="{00000000-0005-0000-0000-000077340000}"/>
    <cellStyle name="40% - Ênfase4 2 5 2 2 2 4" xfId="13578" xr:uid="{00000000-0005-0000-0000-000078340000}"/>
    <cellStyle name="40% - Ênfase4 2 5 2 2 3" xfId="13579" xr:uid="{00000000-0005-0000-0000-000079340000}"/>
    <cellStyle name="40% - Ênfase4 2 5 2 2 3 2" xfId="13580" xr:uid="{00000000-0005-0000-0000-00007A340000}"/>
    <cellStyle name="40% - Ênfase4 2 5 2 2 4" xfId="13581" xr:uid="{00000000-0005-0000-0000-00007B340000}"/>
    <cellStyle name="40% - Ênfase4 2 5 2 2 4 2" xfId="13582" xr:uid="{00000000-0005-0000-0000-00007C340000}"/>
    <cellStyle name="40% - Ênfase4 2 5 2 2 5" xfId="13583" xr:uid="{00000000-0005-0000-0000-00007D340000}"/>
    <cellStyle name="40% - Ênfase4 2 5 2 3" xfId="13584" xr:uid="{00000000-0005-0000-0000-00007E340000}"/>
    <cellStyle name="40% - Ênfase4 2 5 2 3 2" xfId="13585" xr:uid="{00000000-0005-0000-0000-00007F340000}"/>
    <cellStyle name="40% - Ênfase4 2 5 2 3 2 2" xfId="13586" xr:uid="{00000000-0005-0000-0000-000080340000}"/>
    <cellStyle name="40% - Ênfase4 2 5 2 3 3" xfId="13587" xr:uid="{00000000-0005-0000-0000-000081340000}"/>
    <cellStyle name="40% - Ênfase4 2 5 2 3 3 2" xfId="13588" xr:uid="{00000000-0005-0000-0000-000082340000}"/>
    <cellStyle name="40% - Ênfase4 2 5 2 3 4" xfId="13589" xr:uid="{00000000-0005-0000-0000-000083340000}"/>
    <cellStyle name="40% - Ênfase4 2 5 2 4" xfId="13590" xr:uid="{00000000-0005-0000-0000-000084340000}"/>
    <cellStyle name="40% - Ênfase4 2 5 2 4 2" xfId="13591" xr:uid="{00000000-0005-0000-0000-000085340000}"/>
    <cellStyle name="40% - Ênfase4 2 5 2 4 2 2" xfId="13592" xr:uid="{00000000-0005-0000-0000-000086340000}"/>
    <cellStyle name="40% - Ênfase4 2 5 2 4 3" xfId="13593" xr:uid="{00000000-0005-0000-0000-000087340000}"/>
    <cellStyle name="40% - Ênfase4 2 5 2 5" xfId="13594" xr:uid="{00000000-0005-0000-0000-000088340000}"/>
    <cellStyle name="40% - Ênfase4 2 5 2 5 2" xfId="13595" xr:uid="{00000000-0005-0000-0000-000089340000}"/>
    <cellStyle name="40% - Ênfase4 2 5 2 6" xfId="13596" xr:uid="{00000000-0005-0000-0000-00008A340000}"/>
    <cellStyle name="40% - Ênfase4 2 5 3" xfId="13597" xr:uid="{00000000-0005-0000-0000-00008B340000}"/>
    <cellStyle name="40% - Ênfase4 2 5 3 2" xfId="13598" xr:uid="{00000000-0005-0000-0000-00008C340000}"/>
    <cellStyle name="40% - Ênfase4 2 5 3 2 2" xfId="13599" xr:uid="{00000000-0005-0000-0000-00008D340000}"/>
    <cellStyle name="40% - Ênfase4 2 5 3 2 2 2" xfId="13600" xr:uid="{00000000-0005-0000-0000-00008E340000}"/>
    <cellStyle name="40% - Ênfase4 2 5 3 2 3" xfId="13601" xr:uid="{00000000-0005-0000-0000-00008F340000}"/>
    <cellStyle name="40% - Ênfase4 2 5 3 2 3 2" xfId="13602" xr:uid="{00000000-0005-0000-0000-000090340000}"/>
    <cellStyle name="40% - Ênfase4 2 5 3 2 4" xfId="13603" xr:uid="{00000000-0005-0000-0000-000091340000}"/>
    <cellStyle name="40% - Ênfase4 2 5 3 3" xfId="13604" xr:uid="{00000000-0005-0000-0000-000092340000}"/>
    <cellStyle name="40% - Ênfase4 2 5 3 3 2" xfId="13605" xr:uid="{00000000-0005-0000-0000-000093340000}"/>
    <cellStyle name="40% - Ênfase4 2 5 3 4" xfId="13606" xr:uid="{00000000-0005-0000-0000-000094340000}"/>
    <cellStyle name="40% - Ênfase4 2 5 3 4 2" xfId="13607" xr:uid="{00000000-0005-0000-0000-000095340000}"/>
    <cellStyle name="40% - Ênfase4 2 5 3 5" xfId="13608" xr:uid="{00000000-0005-0000-0000-000096340000}"/>
    <cellStyle name="40% - Ênfase4 2 5 4" xfId="13609" xr:uid="{00000000-0005-0000-0000-000097340000}"/>
    <cellStyle name="40% - Ênfase4 2 5 4 2" xfId="13610" xr:uid="{00000000-0005-0000-0000-000098340000}"/>
    <cellStyle name="40% - Ênfase4 2 5 4 2 2" xfId="13611" xr:uid="{00000000-0005-0000-0000-000099340000}"/>
    <cellStyle name="40% - Ênfase4 2 5 4 3" xfId="13612" xr:uid="{00000000-0005-0000-0000-00009A340000}"/>
    <cellStyle name="40% - Ênfase4 2 5 4 3 2" xfId="13613" xr:uid="{00000000-0005-0000-0000-00009B340000}"/>
    <cellStyle name="40% - Ênfase4 2 5 4 4" xfId="13614" xr:uid="{00000000-0005-0000-0000-00009C340000}"/>
    <cellStyle name="40% - Ênfase4 2 5 5" xfId="13615" xr:uid="{00000000-0005-0000-0000-00009D340000}"/>
    <cellStyle name="40% - Ênfase4 2 5 5 2" xfId="13616" xr:uid="{00000000-0005-0000-0000-00009E340000}"/>
    <cellStyle name="40% - Ênfase4 2 5 5 2 2" xfId="13617" xr:uid="{00000000-0005-0000-0000-00009F340000}"/>
    <cellStyle name="40% - Ênfase4 2 5 5 3" xfId="13618" xr:uid="{00000000-0005-0000-0000-0000A0340000}"/>
    <cellStyle name="40% - Ênfase4 2 5 6" xfId="13619" xr:uid="{00000000-0005-0000-0000-0000A1340000}"/>
    <cellStyle name="40% - Ênfase4 2 5 6 2" xfId="13620" xr:uid="{00000000-0005-0000-0000-0000A2340000}"/>
    <cellStyle name="40% - Ênfase4 2 5 7" xfId="13621" xr:uid="{00000000-0005-0000-0000-0000A3340000}"/>
    <cellStyle name="40% - Ênfase4 2 6" xfId="13622" xr:uid="{00000000-0005-0000-0000-0000A4340000}"/>
    <cellStyle name="40% - Ênfase4 2 6 2" xfId="13623" xr:uid="{00000000-0005-0000-0000-0000A5340000}"/>
    <cellStyle name="40% - Ênfase4 2 6 2 2" xfId="13624" xr:uid="{00000000-0005-0000-0000-0000A6340000}"/>
    <cellStyle name="40% - Ênfase4 2 6 2 2 2" xfId="13625" xr:uid="{00000000-0005-0000-0000-0000A7340000}"/>
    <cellStyle name="40% - Ênfase4 2 6 2 2 2 2" xfId="13626" xr:uid="{00000000-0005-0000-0000-0000A8340000}"/>
    <cellStyle name="40% - Ênfase4 2 6 2 2 2 2 2" xfId="13627" xr:uid="{00000000-0005-0000-0000-0000A9340000}"/>
    <cellStyle name="40% - Ênfase4 2 6 2 2 2 3" xfId="13628" xr:uid="{00000000-0005-0000-0000-0000AA340000}"/>
    <cellStyle name="40% - Ênfase4 2 6 2 2 2 3 2" xfId="13629" xr:uid="{00000000-0005-0000-0000-0000AB340000}"/>
    <cellStyle name="40% - Ênfase4 2 6 2 2 2 4" xfId="13630" xr:uid="{00000000-0005-0000-0000-0000AC340000}"/>
    <cellStyle name="40% - Ênfase4 2 6 2 2 3" xfId="13631" xr:uid="{00000000-0005-0000-0000-0000AD340000}"/>
    <cellStyle name="40% - Ênfase4 2 6 2 2 3 2" xfId="13632" xr:uid="{00000000-0005-0000-0000-0000AE340000}"/>
    <cellStyle name="40% - Ênfase4 2 6 2 2 4" xfId="13633" xr:uid="{00000000-0005-0000-0000-0000AF340000}"/>
    <cellStyle name="40% - Ênfase4 2 6 2 2 4 2" xfId="13634" xr:uid="{00000000-0005-0000-0000-0000B0340000}"/>
    <cellStyle name="40% - Ênfase4 2 6 2 2 5" xfId="13635" xr:uid="{00000000-0005-0000-0000-0000B1340000}"/>
    <cellStyle name="40% - Ênfase4 2 6 2 3" xfId="13636" xr:uid="{00000000-0005-0000-0000-0000B2340000}"/>
    <cellStyle name="40% - Ênfase4 2 6 2 3 2" xfId="13637" xr:uid="{00000000-0005-0000-0000-0000B3340000}"/>
    <cellStyle name="40% - Ênfase4 2 6 2 3 2 2" xfId="13638" xr:uid="{00000000-0005-0000-0000-0000B4340000}"/>
    <cellStyle name="40% - Ênfase4 2 6 2 3 3" xfId="13639" xr:uid="{00000000-0005-0000-0000-0000B5340000}"/>
    <cellStyle name="40% - Ênfase4 2 6 2 3 3 2" xfId="13640" xr:uid="{00000000-0005-0000-0000-0000B6340000}"/>
    <cellStyle name="40% - Ênfase4 2 6 2 3 4" xfId="13641" xr:uid="{00000000-0005-0000-0000-0000B7340000}"/>
    <cellStyle name="40% - Ênfase4 2 6 2 4" xfId="13642" xr:uid="{00000000-0005-0000-0000-0000B8340000}"/>
    <cellStyle name="40% - Ênfase4 2 6 2 4 2" xfId="13643" xr:uid="{00000000-0005-0000-0000-0000B9340000}"/>
    <cellStyle name="40% - Ênfase4 2 6 2 4 2 2" xfId="13644" xr:uid="{00000000-0005-0000-0000-0000BA340000}"/>
    <cellStyle name="40% - Ênfase4 2 6 2 4 3" xfId="13645" xr:uid="{00000000-0005-0000-0000-0000BB340000}"/>
    <cellStyle name="40% - Ênfase4 2 6 2 5" xfId="13646" xr:uid="{00000000-0005-0000-0000-0000BC340000}"/>
    <cellStyle name="40% - Ênfase4 2 6 2 5 2" xfId="13647" xr:uid="{00000000-0005-0000-0000-0000BD340000}"/>
    <cellStyle name="40% - Ênfase4 2 6 2 6" xfId="13648" xr:uid="{00000000-0005-0000-0000-0000BE340000}"/>
    <cellStyle name="40% - Ênfase4 2 6 3" xfId="13649" xr:uid="{00000000-0005-0000-0000-0000BF340000}"/>
    <cellStyle name="40% - Ênfase4 2 6 3 2" xfId="13650" xr:uid="{00000000-0005-0000-0000-0000C0340000}"/>
    <cellStyle name="40% - Ênfase4 2 6 3 2 2" xfId="13651" xr:uid="{00000000-0005-0000-0000-0000C1340000}"/>
    <cellStyle name="40% - Ênfase4 2 6 3 2 2 2" xfId="13652" xr:uid="{00000000-0005-0000-0000-0000C2340000}"/>
    <cellStyle name="40% - Ênfase4 2 6 3 2 3" xfId="13653" xr:uid="{00000000-0005-0000-0000-0000C3340000}"/>
    <cellStyle name="40% - Ênfase4 2 6 3 2 3 2" xfId="13654" xr:uid="{00000000-0005-0000-0000-0000C4340000}"/>
    <cellStyle name="40% - Ênfase4 2 6 3 2 4" xfId="13655" xr:uid="{00000000-0005-0000-0000-0000C5340000}"/>
    <cellStyle name="40% - Ênfase4 2 6 3 3" xfId="13656" xr:uid="{00000000-0005-0000-0000-0000C6340000}"/>
    <cellStyle name="40% - Ênfase4 2 6 3 3 2" xfId="13657" xr:uid="{00000000-0005-0000-0000-0000C7340000}"/>
    <cellStyle name="40% - Ênfase4 2 6 3 4" xfId="13658" xr:uid="{00000000-0005-0000-0000-0000C8340000}"/>
    <cellStyle name="40% - Ênfase4 2 6 3 4 2" xfId="13659" xr:uid="{00000000-0005-0000-0000-0000C9340000}"/>
    <cellStyle name="40% - Ênfase4 2 6 3 5" xfId="13660" xr:uid="{00000000-0005-0000-0000-0000CA340000}"/>
    <cellStyle name="40% - Ênfase4 2 6 4" xfId="13661" xr:uid="{00000000-0005-0000-0000-0000CB340000}"/>
    <cellStyle name="40% - Ênfase4 2 6 4 2" xfId="13662" xr:uid="{00000000-0005-0000-0000-0000CC340000}"/>
    <cellStyle name="40% - Ênfase4 2 6 4 2 2" xfId="13663" xr:uid="{00000000-0005-0000-0000-0000CD340000}"/>
    <cellStyle name="40% - Ênfase4 2 6 4 3" xfId="13664" xr:uid="{00000000-0005-0000-0000-0000CE340000}"/>
    <cellStyle name="40% - Ênfase4 2 6 4 3 2" xfId="13665" xr:uid="{00000000-0005-0000-0000-0000CF340000}"/>
    <cellStyle name="40% - Ênfase4 2 6 4 4" xfId="13666" xr:uid="{00000000-0005-0000-0000-0000D0340000}"/>
    <cellStyle name="40% - Ênfase4 2 6 5" xfId="13667" xr:uid="{00000000-0005-0000-0000-0000D1340000}"/>
    <cellStyle name="40% - Ênfase4 2 6 5 2" xfId="13668" xr:uid="{00000000-0005-0000-0000-0000D2340000}"/>
    <cellStyle name="40% - Ênfase4 2 6 5 2 2" xfId="13669" xr:uid="{00000000-0005-0000-0000-0000D3340000}"/>
    <cellStyle name="40% - Ênfase4 2 6 5 3" xfId="13670" xr:uid="{00000000-0005-0000-0000-0000D4340000}"/>
    <cellStyle name="40% - Ênfase4 2 6 6" xfId="13671" xr:uid="{00000000-0005-0000-0000-0000D5340000}"/>
    <cellStyle name="40% - Ênfase4 2 6 6 2" xfId="13672" xr:uid="{00000000-0005-0000-0000-0000D6340000}"/>
    <cellStyle name="40% - Ênfase4 2 6 7" xfId="13673" xr:uid="{00000000-0005-0000-0000-0000D7340000}"/>
    <cellStyle name="40% - Ênfase4 2 7" xfId="13674" xr:uid="{00000000-0005-0000-0000-0000D8340000}"/>
    <cellStyle name="40% - Ênfase4 2 7 2" xfId="13675" xr:uid="{00000000-0005-0000-0000-0000D9340000}"/>
    <cellStyle name="40% - Ênfase4 2 7 2 2" xfId="13676" xr:uid="{00000000-0005-0000-0000-0000DA340000}"/>
    <cellStyle name="40% - Ênfase4 2 7 2 2 2" xfId="13677" xr:uid="{00000000-0005-0000-0000-0000DB340000}"/>
    <cellStyle name="40% - Ênfase4 2 7 2 2 2 2" xfId="13678" xr:uid="{00000000-0005-0000-0000-0000DC340000}"/>
    <cellStyle name="40% - Ênfase4 2 7 2 2 3" xfId="13679" xr:uid="{00000000-0005-0000-0000-0000DD340000}"/>
    <cellStyle name="40% - Ênfase4 2 7 2 2 3 2" xfId="13680" xr:uid="{00000000-0005-0000-0000-0000DE340000}"/>
    <cellStyle name="40% - Ênfase4 2 7 2 2 4" xfId="13681" xr:uid="{00000000-0005-0000-0000-0000DF340000}"/>
    <cellStyle name="40% - Ênfase4 2 7 2 3" xfId="13682" xr:uid="{00000000-0005-0000-0000-0000E0340000}"/>
    <cellStyle name="40% - Ênfase4 2 7 2 3 2" xfId="13683" xr:uid="{00000000-0005-0000-0000-0000E1340000}"/>
    <cellStyle name="40% - Ênfase4 2 7 2 4" xfId="13684" xr:uid="{00000000-0005-0000-0000-0000E2340000}"/>
    <cellStyle name="40% - Ênfase4 2 7 2 4 2" xfId="13685" xr:uid="{00000000-0005-0000-0000-0000E3340000}"/>
    <cellStyle name="40% - Ênfase4 2 7 2 5" xfId="13686" xr:uid="{00000000-0005-0000-0000-0000E4340000}"/>
    <cellStyle name="40% - Ênfase4 2 7 3" xfId="13687" xr:uid="{00000000-0005-0000-0000-0000E5340000}"/>
    <cellStyle name="40% - Ênfase4 2 7 3 2" xfId="13688" xr:uid="{00000000-0005-0000-0000-0000E6340000}"/>
    <cellStyle name="40% - Ênfase4 2 7 3 2 2" xfId="13689" xr:uid="{00000000-0005-0000-0000-0000E7340000}"/>
    <cellStyle name="40% - Ênfase4 2 7 3 3" xfId="13690" xr:uid="{00000000-0005-0000-0000-0000E8340000}"/>
    <cellStyle name="40% - Ênfase4 2 7 3 3 2" xfId="13691" xr:uid="{00000000-0005-0000-0000-0000E9340000}"/>
    <cellStyle name="40% - Ênfase4 2 7 3 4" xfId="13692" xr:uid="{00000000-0005-0000-0000-0000EA340000}"/>
    <cellStyle name="40% - Ênfase4 2 7 4" xfId="13693" xr:uid="{00000000-0005-0000-0000-0000EB340000}"/>
    <cellStyle name="40% - Ênfase4 2 7 4 2" xfId="13694" xr:uid="{00000000-0005-0000-0000-0000EC340000}"/>
    <cellStyle name="40% - Ênfase4 2 7 4 2 2" xfId="13695" xr:uid="{00000000-0005-0000-0000-0000ED340000}"/>
    <cellStyle name="40% - Ênfase4 2 7 4 3" xfId="13696" xr:uid="{00000000-0005-0000-0000-0000EE340000}"/>
    <cellStyle name="40% - Ênfase4 2 7 5" xfId="13697" xr:uid="{00000000-0005-0000-0000-0000EF340000}"/>
    <cellStyle name="40% - Ênfase4 2 7 5 2" xfId="13698" xr:uid="{00000000-0005-0000-0000-0000F0340000}"/>
    <cellStyle name="40% - Ênfase4 2 7 6" xfId="13699" xr:uid="{00000000-0005-0000-0000-0000F1340000}"/>
    <cellStyle name="40% - Ênfase4 2 8" xfId="13700" xr:uid="{00000000-0005-0000-0000-0000F2340000}"/>
    <cellStyle name="40% - Ênfase4 2 8 2" xfId="13701" xr:uid="{00000000-0005-0000-0000-0000F3340000}"/>
    <cellStyle name="40% - Ênfase4 2 8 2 2" xfId="13702" xr:uid="{00000000-0005-0000-0000-0000F4340000}"/>
    <cellStyle name="40% - Ênfase4 2 8 2 2 2" xfId="13703" xr:uid="{00000000-0005-0000-0000-0000F5340000}"/>
    <cellStyle name="40% - Ênfase4 2 8 2 3" xfId="13704" xr:uid="{00000000-0005-0000-0000-0000F6340000}"/>
    <cellStyle name="40% - Ênfase4 2 8 2 3 2" xfId="13705" xr:uid="{00000000-0005-0000-0000-0000F7340000}"/>
    <cellStyle name="40% - Ênfase4 2 8 2 4" xfId="13706" xr:uid="{00000000-0005-0000-0000-0000F8340000}"/>
    <cellStyle name="40% - Ênfase4 2 8 3" xfId="13707" xr:uid="{00000000-0005-0000-0000-0000F9340000}"/>
    <cellStyle name="40% - Ênfase4 2 8 3 2" xfId="13708" xr:uid="{00000000-0005-0000-0000-0000FA340000}"/>
    <cellStyle name="40% - Ênfase4 2 8 3 2 2" xfId="13709" xr:uid="{00000000-0005-0000-0000-0000FB340000}"/>
    <cellStyle name="40% - Ênfase4 2 8 3 3" xfId="13710" xr:uid="{00000000-0005-0000-0000-0000FC340000}"/>
    <cellStyle name="40% - Ênfase4 2 8 3 3 2" xfId="13711" xr:uid="{00000000-0005-0000-0000-0000FD340000}"/>
    <cellStyle name="40% - Ênfase4 2 8 3 4" xfId="13712" xr:uid="{00000000-0005-0000-0000-0000FE340000}"/>
    <cellStyle name="40% - Ênfase4 2 8 4" xfId="13713" xr:uid="{00000000-0005-0000-0000-0000FF340000}"/>
    <cellStyle name="40% - Ênfase4 2 8 4 2" xfId="13714" xr:uid="{00000000-0005-0000-0000-000000350000}"/>
    <cellStyle name="40% - Ênfase4 2 8 5" xfId="13715" xr:uid="{00000000-0005-0000-0000-000001350000}"/>
    <cellStyle name="40% - Ênfase4 2 8 5 2" xfId="13716" xr:uid="{00000000-0005-0000-0000-000002350000}"/>
    <cellStyle name="40% - Ênfase4 2 8 6" xfId="13717" xr:uid="{00000000-0005-0000-0000-000003350000}"/>
    <cellStyle name="40% - Ênfase4 2 9" xfId="13718" xr:uid="{00000000-0005-0000-0000-000004350000}"/>
    <cellStyle name="40% - Ênfase4 2 9 2" xfId="13719" xr:uid="{00000000-0005-0000-0000-000005350000}"/>
    <cellStyle name="40% - Ênfase4 2 9 2 2" xfId="13720" xr:uid="{00000000-0005-0000-0000-000006350000}"/>
    <cellStyle name="40% - Ênfase4 2 9 2 2 2" xfId="13721" xr:uid="{00000000-0005-0000-0000-000007350000}"/>
    <cellStyle name="40% - Ênfase4 2 9 2 3" xfId="13722" xr:uid="{00000000-0005-0000-0000-000008350000}"/>
    <cellStyle name="40% - Ênfase4 2 9 2 3 2" xfId="13723" xr:uid="{00000000-0005-0000-0000-000009350000}"/>
    <cellStyle name="40% - Ênfase4 2 9 2 4" xfId="13724" xr:uid="{00000000-0005-0000-0000-00000A350000}"/>
    <cellStyle name="40% - Ênfase4 2 9 3" xfId="13725" xr:uid="{00000000-0005-0000-0000-00000B350000}"/>
    <cellStyle name="40% - Ênfase4 2 9 3 2" xfId="13726" xr:uid="{00000000-0005-0000-0000-00000C350000}"/>
    <cellStyle name="40% - Ênfase4 2 9 3 2 2" xfId="13727" xr:uid="{00000000-0005-0000-0000-00000D350000}"/>
    <cellStyle name="40% - Ênfase4 2 9 3 3" xfId="13728" xr:uid="{00000000-0005-0000-0000-00000E350000}"/>
    <cellStyle name="40% - Ênfase4 2 9 3 3 2" xfId="13729" xr:uid="{00000000-0005-0000-0000-00000F350000}"/>
    <cellStyle name="40% - Ênfase4 2 9 3 4" xfId="13730" xr:uid="{00000000-0005-0000-0000-000010350000}"/>
    <cellStyle name="40% - Ênfase4 2 9 4" xfId="13731" xr:uid="{00000000-0005-0000-0000-000011350000}"/>
    <cellStyle name="40% - Ênfase4 2 9 4 2" xfId="13732" xr:uid="{00000000-0005-0000-0000-000012350000}"/>
    <cellStyle name="40% - Ênfase4 2 9 5" xfId="13733" xr:uid="{00000000-0005-0000-0000-000013350000}"/>
    <cellStyle name="40% - Ênfase4 2 9 5 2" xfId="13734" xr:uid="{00000000-0005-0000-0000-000014350000}"/>
    <cellStyle name="40% - Ênfase4 2 9 6" xfId="13735" xr:uid="{00000000-0005-0000-0000-000015350000}"/>
    <cellStyle name="40% - Ênfase4 20" xfId="13736" xr:uid="{00000000-0005-0000-0000-000016350000}"/>
    <cellStyle name="40% - Ênfase4 20 2" xfId="13737" xr:uid="{00000000-0005-0000-0000-000017350000}"/>
    <cellStyle name="40% - Ênfase4 20 2 2" xfId="13738" xr:uid="{00000000-0005-0000-0000-000018350000}"/>
    <cellStyle name="40% - Ênfase4 20 3" xfId="13739" xr:uid="{00000000-0005-0000-0000-000019350000}"/>
    <cellStyle name="40% - Ênfase4 21" xfId="13740" xr:uid="{00000000-0005-0000-0000-00001A350000}"/>
    <cellStyle name="40% - Ênfase4 21 2" xfId="13741" xr:uid="{00000000-0005-0000-0000-00001B350000}"/>
    <cellStyle name="40% - Ênfase4 21 2 2" xfId="13742" xr:uid="{00000000-0005-0000-0000-00001C350000}"/>
    <cellStyle name="40% - Ênfase4 21 3" xfId="13743" xr:uid="{00000000-0005-0000-0000-00001D350000}"/>
    <cellStyle name="40% - Ênfase4 22" xfId="13744" xr:uid="{00000000-0005-0000-0000-00001E350000}"/>
    <cellStyle name="40% - Ênfase4 22 2" xfId="13745" xr:uid="{00000000-0005-0000-0000-00001F350000}"/>
    <cellStyle name="40% - Ênfase4 22 2 2" xfId="13746" xr:uid="{00000000-0005-0000-0000-000020350000}"/>
    <cellStyle name="40% - Ênfase4 22 3" xfId="13747" xr:uid="{00000000-0005-0000-0000-000021350000}"/>
    <cellStyle name="40% - Ênfase4 23" xfId="13748" xr:uid="{00000000-0005-0000-0000-000022350000}"/>
    <cellStyle name="40% - Ênfase4 23 2" xfId="13749" xr:uid="{00000000-0005-0000-0000-000023350000}"/>
    <cellStyle name="40% - Ênfase4 23 2 2" xfId="13750" xr:uid="{00000000-0005-0000-0000-000024350000}"/>
    <cellStyle name="40% - Ênfase4 23 3" xfId="13751" xr:uid="{00000000-0005-0000-0000-000025350000}"/>
    <cellStyle name="40% - Ênfase4 24" xfId="13752" xr:uid="{00000000-0005-0000-0000-000026350000}"/>
    <cellStyle name="40% - Ênfase4 24 2" xfId="13753" xr:uid="{00000000-0005-0000-0000-000027350000}"/>
    <cellStyle name="40% - Ênfase4 24 2 2" xfId="13754" xr:uid="{00000000-0005-0000-0000-000028350000}"/>
    <cellStyle name="40% - Ênfase4 24 3" xfId="13755" xr:uid="{00000000-0005-0000-0000-000029350000}"/>
    <cellStyle name="40% - Ênfase4 25" xfId="13756" xr:uid="{00000000-0005-0000-0000-00002A350000}"/>
    <cellStyle name="40% - Ênfase4 25 2" xfId="13757" xr:uid="{00000000-0005-0000-0000-00002B350000}"/>
    <cellStyle name="40% - Ênfase4 25 2 2" xfId="13758" xr:uid="{00000000-0005-0000-0000-00002C350000}"/>
    <cellStyle name="40% - Ênfase4 25 3" xfId="13759" xr:uid="{00000000-0005-0000-0000-00002D350000}"/>
    <cellStyle name="40% - Ênfase4 26" xfId="13760" xr:uid="{00000000-0005-0000-0000-00002E350000}"/>
    <cellStyle name="40% - Ênfase4 26 2" xfId="13761" xr:uid="{00000000-0005-0000-0000-00002F350000}"/>
    <cellStyle name="40% - Ênfase4 26 2 2" xfId="13762" xr:uid="{00000000-0005-0000-0000-000030350000}"/>
    <cellStyle name="40% - Ênfase4 26 3" xfId="13763" xr:uid="{00000000-0005-0000-0000-000031350000}"/>
    <cellStyle name="40% - Ênfase4 27" xfId="13764" xr:uid="{00000000-0005-0000-0000-000032350000}"/>
    <cellStyle name="40% - Ênfase4 27 2" xfId="13765" xr:uid="{00000000-0005-0000-0000-000033350000}"/>
    <cellStyle name="40% - Ênfase4 27 2 2" xfId="13766" xr:uid="{00000000-0005-0000-0000-000034350000}"/>
    <cellStyle name="40% - Ênfase4 27 3" xfId="13767" xr:uid="{00000000-0005-0000-0000-000035350000}"/>
    <cellStyle name="40% - Ênfase4 28" xfId="13768" xr:uid="{00000000-0005-0000-0000-000036350000}"/>
    <cellStyle name="40% - Ênfase4 28 2" xfId="13769" xr:uid="{00000000-0005-0000-0000-000037350000}"/>
    <cellStyle name="40% - Ênfase4 28 2 2" xfId="13770" xr:uid="{00000000-0005-0000-0000-000038350000}"/>
    <cellStyle name="40% - Ênfase4 28 3" xfId="13771" xr:uid="{00000000-0005-0000-0000-000039350000}"/>
    <cellStyle name="40% - Ênfase4 29" xfId="13772" xr:uid="{00000000-0005-0000-0000-00003A350000}"/>
    <cellStyle name="40% - Ênfase4 3" xfId="13773" xr:uid="{00000000-0005-0000-0000-00003B350000}"/>
    <cellStyle name="40% - Ênfase4 3 10" xfId="13774" xr:uid="{00000000-0005-0000-0000-00003C350000}"/>
    <cellStyle name="40% - Ênfase4 3 10 2" xfId="13775" xr:uid="{00000000-0005-0000-0000-00003D350000}"/>
    <cellStyle name="40% - Ênfase4 3 10 2 2" xfId="13776" xr:uid="{00000000-0005-0000-0000-00003E350000}"/>
    <cellStyle name="40% - Ênfase4 3 10 3" xfId="13777" xr:uid="{00000000-0005-0000-0000-00003F350000}"/>
    <cellStyle name="40% - Ênfase4 3 11" xfId="13778" xr:uid="{00000000-0005-0000-0000-000040350000}"/>
    <cellStyle name="40% - Ênfase4 3 11 2" xfId="13779" xr:uid="{00000000-0005-0000-0000-000041350000}"/>
    <cellStyle name="40% - Ênfase4 3 12" xfId="13780" xr:uid="{00000000-0005-0000-0000-000042350000}"/>
    <cellStyle name="40% - Ênfase4 3 2" xfId="13781" xr:uid="{00000000-0005-0000-0000-000043350000}"/>
    <cellStyle name="40% - Ênfase4 3 2 10" xfId="13782" xr:uid="{00000000-0005-0000-0000-000044350000}"/>
    <cellStyle name="40% - Ênfase4 3 2 2" xfId="13783" xr:uid="{00000000-0005-0000-0000-000045350000}"/>
    <cellStyle name="40% - Ênfase4 3 2 2 2" xfId="13784" xr:uid="{00000000-0005-0000-0000-000046350000}"/>
    <cellStyle name="40% - Ênfase4 3 2 2 2 2" xfId="13785" xr:uid="{00000000-0005-0000-0000-000047350000}"/>
    <cellStyle name="40% - Ênfase4 3 2 2 2 2 2" xfId="13786" xr:uid="{00000000-0005-0000-0000-000048350000}"/>
    <cellStyle name="40% - Ênfase4 3 2 2 2 2 2 2" xfId="13787" xr:uid="{00000000-0005-0000-0000-000049350000}"/>
    <cellStyle name="40% - Ênfase4 3 2 2 2 2 3" xfId="13788" xr:uid="{00000000-0005-0000-0000-00004A350000}"/>
    <cellStyle name="40% - Ênfase4 3 2 2 2 2 3 2" xfId="13789" xr:uid="{00000000-0005-0000-0000-00004B350000}"/>
    <cellStyle name="40% - Ênfase4 3 2 2 2 2 4" xfId="13790" xr:uid="{00000000-0005-0000-0000-00004C350000}"/>
    <cellStyle name="40% - Ênfase4 3 2 2 2 3" xfId="13791" xr:uid="{00000000-0005-0000-0000-00004D350000}"/>
    <cellStyle name="40% - Ênfase4 3 2 2 2 3 2" xfId="13792" xr:uid="{00000000-0005-0000-0000-00004E350000}"/>
    <cellStyle name="40% - Ênfase4 3 2 2 2 4" xfId="13793" xr:uid="{00000000-0005-0000-0000-00004F350000}"/>
    <cellStyle name="40% - Ênfase4 3 2 2 2 4 2" xfId="13794" xr:uid="{00000000-0005-0000-0000-000050350000}"/>
    <cellStyle name="40% - Ênfase4 3 2 2 2 5" xfId="13795" xr:uid="{00000000-0005-0000-0000-000051350000}"/>
    <cellStyle name="40% - Ênfase4 3 2 2 3" xfId="13796" xr:uid="{00000000-0005-0000-0000-000052350000}"/>
    <cellStyle name="40% - Ênfase4 3 2 2 3 2" xfId="13797" xr:uid="{00000000-0005-0000-0000-000053350000}"/>
    <cellStyle name="40% - Ênfase4 3 2 2 3 2 2" xfId="13798" xr:uid="{00000000-0005-0000-0000-000054350000}"/>
    <cellStyle name="40% - Ênfase4 3 2 2 3 3" xfId="13799" xr:uid="{00000000-0005-0000-0000-000055350000}"/>
    <cellStyle name="40% - Ênfase4 3 2 2 3 3 2" xfId="13800" xr:uid="{00000000-0005-0000-0000-000056350000}"/>
    <cellStyle name="40% - Ênfase4 3 2 2 3 4" xfId="13801" xr:uid="{00000000-0005-0000-0000-000057350000}"/>
    <cellStyle name="40% - Ênfase4 3 2 2 4" xfId="13802" xr:uid="{00000000-0005-0000-0000-000058350000}"/>
    <cellStyle name="40% - Ênfase4 3 2 2 4 2" xfId="13803" xr:uid="{00000000-0005-0000-0000-000059350000}"/>
    <cellStyle name="40% - Ênfase4 3 2 2 4 2 2" xfId="13804" xr:uid="{00000000-0005-0000-0000-00005A350000}"/>
    <cellStyle name="40% - Ênfase4 3 2 2 4 3" xfId="13805" xr:uid="{00000000-0005-0000-0000-00005B350000}"/>
    <cellStyle name="40% - Ênfase4 3 2 2 5" xfId="13806" xr:uid="{00000000-0005-0000-0000-00005C350000}"/>
    <cellStyle name="40% - Ênfase4 3 2 2 5 2" xfId="13807" xr:uid="{00000000-0005-0000-0000-00005D350000}"/>
    <cellStyle name="40% - Ênfase4 3 2 2 6" xfId="13808" xr:uid="{00000000-0005-0000-0000-00005E350000}"/>
    <cellStyle name="40% - Ênfase4 3 2 3" xfId="13809" xr:uid="{00000000-0005-0000-0000-00005F350000}"/>
    <cellStyle name="40% - Ênfase4 3 2 3 2" xfId="13810" xr:uid="{00000000-0005-0000-0000-000060350000}"/>
    <cellStyle name="40% - Ênfase4 3 2 3 2 2" xfId="13811" xr:uid="{00000000-0005-0000-0000-000061350000}"/>
    <cellStyle name="40% - Ênfase4 3 2 3 2 2 2" xfId="13812" xr:uid="{00000000-0005-0000-0000-000062350000}"/>
    <cellStyle name="40% - Ênfase4 3 2 3 2 3" xfId="13813" xr:uid="{00000000-0005-0000-0000-000063350000}"/>
    <cellStyle name="40% - Ênfase4 3 2 3 2 3 2" xfId="13814" xr:uid="{00000000-0005-0000-0000-000064350000}"/>
    <cellStyle name="40% - Ênfase4 3 2 3 2 4" xfId="13815" xr:uid="{00000000-0005-0000-0000-000065350000}"/>
    <cellStyle name="40% - Ênfase4 3 2 3 3" xfId="13816" xr:uid="{00000000-0005-0000-0000-000066350000}"/>
    <cellStyle name="40% - Ênfase4 3 2 3 3 2" xfId="13817" xr:uid="{00000000-0005-0000-0000-000067350000}"/>
    <cellStyle name="40% - Ênfase4 3 2 3 3 2 2" xfId="13818" xr:uid="{00000000-0005-0000-0000-000068350000}"/>
    <cellStyle name="40% - Ênfase4 3 2 3 3 3" xfId="13819" xr:uid="{00000000-0005-0000-0000-000069350000}"/>
    <cellStyle name="40% - Ênfase4 3 2 3 3 3 2" xfId="13820" xr:uid="{00000000-0005-0000-0000-00006A350000}"/>
    <cellStyle name="40% - Ênfase4 3 2 3 3 4" xfId="13821" xr:uid="{00000000-0005-0000-0000-00006B350000}"/>
    <cellStyle name="40% - Ênfase4 3 2 3 4" xfId="13822" xr:uid="{00000000-0005-0000-0000-00006C350000}"/>
    <cellStyle name="40% - Ênfase4 3 2 3 4 2" xfId="13823" xr:uid="{00000000-0005-0000-0000-00006D350000}"/>
    <cellStyle name="40% - Ênfase4 3 2 3 5" xfId="13824" xr:uid="{00000000-0005-0000-0000-00006E350000}"/>
    <cellStyle name="40% - Ênfase4 3 2 3 5 2" xfId="13825" xr:uid="{00000000-0005-0000-0000-00006F350000}"/>
    <cellStyle name="40% - Ênfase4 3 2 3 6" xfId="13826" xr:uid="{00000000-0005-0000-0000-000070350000}"/>
    <cellStyle name="40% - Ênfase4 3 2 4" xfId="13827" xr:uid="{00000000-0005-0000-0000-000071350000}"/>
    <cellStyle name="40% - Ênfase4 3 2 4 2" xfId="13828" xr:uid="{00000000-0005-0000-0000-000072350000}"/>
    <cellStyle name="40% - Ênfase4 3 2 4 2 2" xfId="13829" xr:uid="{00000000-0005-0000-0000-000073350000}"/>
    <cellStyle name="40% - Ênfase4 3 2 4 3" xfId="13830" xr:uid="{00000000-0005-0000-0000-000074350000}"/>
    <cellStyle name="40% - Ênfase4 3 2 4 3 2" xfId="13831" xr:uid="{00000000-0005-0000-0000-000075350000}"/>
    <cellStyle name="40% - Ênfase4 3 2 4 4" xfId="13832" xr:uid="{00000000-0005-0000-0000-000076350000}"/>
    <cellStyle name="40% - Ênfase4 3 2 5" xfId="13833" xr:uid="{00000000-0005-0000-0000-000077350000}"/>
    <cellStyle name="40% - Ênfase4 3 2 5 2" xfId="13834" xr:uid="{00000000-0005-0000-0000-000078350000}"/>
    <cellStyle name="40% - Ênfase4 3 2 5 2 2" xfId="13835" xr:uid="{00000000-0005-0000-0000-000079350000}"/>
    <cellStyle name="40% - Ênfase4 3 2 5 3" xfId="13836" xr:uid="{00000000-0005-0000-0000-00007A350000}"/>
    <cellStyle name="40% - Ênfase4 3 2 6" xfId="13837" xr:uid="{00000000-0005-0000-0000-00007B350000}"/>
    <cellStyle name="40% - Ênfase4 3 2 6 2" xfId="13838" xr:uid="{00000000-0005-0000-0000-00007C350000}"/>
    <cellStyle name="40% - Ênfase4 3 2 6 2 2" xfId="13839" xr:uid="{00000000-0005-0000-0000-00007D350000}"/>
    <cellStyle name="40% - Ênfase4 3 2 6 3" xfId="13840" xr:uid="{00000000-0005-0000-0000-00007E350000}"/>
    <cellStyle name="40% - Ênfase4 3 2 7" xfId="13841" xr:uid="{00000000-0005-0000-0000-00007F350000}"/>
    <cellStyle name="40% - Ênfase4 3 2 7 2" xfId="13842" xr:uid="{00000000-0005-0000-0000-000080350000}"/>
    <cellStyle name="40% - Ênfase4 3 2 7 2 2" xfId="13843" xr:uid="{00000000-0005-0000-0000-000081350000}"/>
    <cellStyle name="40% - Ênfase4 3 2 7 3" xfId="13844" xr:uid="{00000000-0005-0000-0000-000082350000}"/>
    <cellStyle name="40% - Ênfase4 3 2 8" xfId="13845" xr:uid="{00000000-0005-0000-0000-000083350000}"/>
    <cellStyle name="40% - Ênfase4 3 2 8 2" xfId="13846" xr:uid="{00000000-0005-0000-0000-000084350000}"/>
    <cellStyle name="40% - Ênfase4 3 2 8 2 2" xfId="13847" xr:uid="{00000000-0005-0000-0000-000085350000}"/>
    <cellStyle name="40% - Ênfase4 3 2 8 3" xfId="13848" xr:uid="{00000000-0005-0000-0000-000086350000}"/>
    <cellStyle name="40% - Ênfase4 3 2 9" xfId="13849" xr:uid="{00000000-0005-0000-0000-000087350000}"/>
    <cellStyle name="40% - Ênfase4 3 2 9 2" xfId="13850" xr:uid="{00000000-0005-0000-0000-000088350000}"/>
    <cellStyle name="40% - Ênfase4 3 3" xfId="13851" xr:uid="{00000000-0005-0000-0000-000089350000}"/>
    <cellStyle name="40% - Ênfase4 3 3 2" xfId="13852" xr:uid="{00000000-0005-0000-0000-00008A350000}"/>
    <cellStyle name="40% - Ênfase4 3 3 2 2" xfId="13853" xr:uid="{00000000-0005-0000-0000-00008B350000}"/>
    <cellStyle name="40% - Ênfase4 3 3 2 2 2" xfId="13854" xr:uid="{00000000-0005-0000-0000-00008C350000}"/>
    <cellStyle name="40% - Ênfase4 3 3 2 2 2 2" xfId="13855" xr:uid="{00000000-0005-0000-0000-00008D350000}"/>
    <cellStyle name="40% - Ênfase4 3 3 2 2 3" xfId="13856" xr:uid="{00000000-0005-0000-0000-00008E350000}"/>
    <cellStyle name="40% - Ênfase4 3 3 2 2 3 2" xfId="13857" xr:uid="{00000000-0005-0000-0000-00008F350000}"/>
    <cellStyle name="40% - Ênfase4 3 3 2 2 4" xfId="13858" xr:uid="{00000000-0005-0000-0000-000090350000}"/>
    <cellStyle name="40% - Ênfase4 3 3 2 3" xfId="13859" xr:uid="{00000000-0005-0000-0000-000091350000}"/>
    <cellStyle name="40% - Ênfase4 3 3 2 3 2" xfId="13860" xr:uid="{00000000-0005-0000-0000-000092350000}"/>
    <cellStyle name="40% - Ênfase4 3 3 2 4" xfId="13861" xr:uid="{00000000-0005-0000-0000-000093350000}"/>
    <cellStyle name="40% - Ênfase4 3 3 2 4 2" xfId="13862" xr:uid="{00000000-0005-0000-0000-000094350000}"/>
    <cellStyle name="40% - Ênfase4 3 3 2 5" xfId="13863" xr:uid="{00000000-0005-0000-0000-000095350000}"/>
    <cellStyle name="40% - Ênfase4 3 3 3" xfId="13864" xr:uid="{00000000-0005-0000-0000-000096350000}"/>
    <cellStyle name="40% - Ênfase4 3 3 3 2" xfId="13865" xr:uid="{00000000-0005-0000-0000-000097350000}"/>
    <cellStyle name="40% - Ênfase4 3 3 3 2 2" xfId="13866" xr:uid="{00000000-0005-0000-0000-000098350000}"/>
    <cellStyle name="40% - Ênfase4 3 3 3 3" xfId="13867" xr:uid="{00000000-0005-0000-0000-000099350000}"/>
    <cellStyle name="40% - Ênfase4 3 3 3 3 2" xfId="13868" xr:uid="{00000000-0005-0000-0000-00009A350000}"/>
    <cellStyle name="40% - Ênfase4 3 3 3 4" xfId="13869" xr:uid="{00000000-0005-0000-0000-00009B350000}"/>
    <cellStyle name="40% - Ênfase4 3 3 4" xfId="13870" xr:uid="{00000000-0005-0000-0000-00009C350000}"/>
    <cellStyle name="40% - Ênfase4 3 3 4 2" xfId="13871" xr:uid="{00000000-0005-0000-0000-00009D350000}"/>
    <cellStyle name="40% - Ênfase4 3 3 4 2 2" xfId="13872" xr:uid="{00000000-0005-0000-0000-00009E350000}"/>
    <cellStyle name="40% - Ênfase4 3 3 4 3" xfId="13873" xr:uid="{00000000-0005-0000-0000-00009F350000}"/>
    <cellStyle name="40% - Ênfase4 3 3 5" xfId="13874" xr:uid="{00000000-0005-0000-0000-0000A0350000}"/>
    <cellStyle name="40% - Ênfase4 3 3 5 2" xfId="13875" xr:uid="{00000000-0005-0000-0000-0000A1350000}"/>
    <cellStyle name="40% - Ênfase4 3 3 6" xfId="13876" xr:uid="{00000000-0005-0000-0000-0000A2350000}"/>
    <cellStyle name="40% - Ênfase4 3 4" xfId="13877" xr:uid="{00000000-0005-0000-0000-0000A3350000}"/>
    <cellStyle name="40% - Ênfase4 3 4 2" xfId="13878" xr:uid="{00000000-0005-0000-0000-0000A4350000}"/>
    <cellStyle name="40% - Ênfase4 3 4 2 2" xfId="13879" xr:uid="{00000000-0005-0000-0000-0000A5350000}"/>
    <cellStyle name="40% - Ênfase4 3 4 2 2 2" xfId="13880" xr:uid="{00000000-0005-0000-0000-0000A6350000}"/>
    <cellStyle name="40% - Ênfase4 3 4 2 3" xfId="13881" xr:uid="{00000000-0005-0000-0000-0000A7350000}"/>
    <cellStyle name="40% - Ênfase4 3 4 2 3 2" xfId="13882" xr:uid="{00000000-0005-0000-0000-0000A8350000}"/>
    <cellStyle name="40% - Ênfase4 3 4 2 4" xfId="13883" xr:uid="{00000000-0005-0000-0000-0000A9350000}"/>
    <cellStyle name="40% - Ênfase4 3 4 3" xfId="13884" xr:uid="{00000000-0005-0000-0000-0000AA350000}"/>
    <cellStyle name="40% - Ênfase4 3 4 3 2" xfId="13885" xr:uid="{00000000-0005-0000-0000-0000AB350000}"/>
    <cellStyle name="40% - Ênfase4 3 4 3 2 2" xfId="13886" xr:uid="{00000000-0005-0000-0000-0000AC350000}"/>
    <cellStyle name="40% - Ênfase4 3 4 3 3" xfId="13887" xr:uid="{00000000-0005-0000-0000-0000AD350000}"/>
    <cellStyle name="40% - Ênfase4 3 4 3 3 2" xfId="13888" xr:uid="{00000000-0005-0000-0000-0000AE350000}"/>
    <cellStyle name="40% - Ênfase4 3 4 3 4" xfId="13889" xr:uid="{00000000-0005-0000-0000-0000AF350000}"/>
    <cellStyle name="40% - Ênfase4 3 4 4" xfId="13890" xr:uid="{00000000-0005-0000-0000-0000B0350000}"/>
    <cellStyle name="40% - Ênfase4 3 4 4 2" xfId="13891" xr:uid="{00000000-0005-0000-0000-0000B1350000}"/>
    <cellStyle name="40% - Ênfase4 3 4 5" xfId="13892" xr:uid="{00000000-0005-0000-0000-0000B2350000}"/>
    <cellStyle name="40% - Ênfase4 3 4 5 2" xfId="13893" xr:uid="{00000000-0005-0000-0000-0000B3350000}"/>
    <cellStyle name="40% - Ênfase4 3 4 6" xfId="13894" xr:uid="{00000000-0005-0000-0000-0000B4350000}"/>
    <cellStyle name="40% - Ênfase4 3 5" xfId="13895" xr:uid="{00000000-0005-0000-0000-0000B5350000}"/>
    <cellStyle name="40% - Ênfase4 3 5 2" xfId="13896" xr:uid="{00000000-0005-0000-0000-0000B6350000}"/>
    <cellStyle name="40% - Ênfase4 3 5 2 2" xfId="13897" xr:uid="{00000000-0005-0000-0000-0000B7350000}"/>
    <cellStyle name="40% - Ênfase4 3 5 2 2 2" xfId="13898" xr:uid="{00000000-0005-0000-0000-0000B8350000}"/>
    <cellStyle name="40% - Ênfase4 3 5 2 3" xfId="13899" xr:uid="{00000000-0005-0000-0000-0000B9350000}"/>
    <cellStyle name="40% - Ênfase4 3 5 2 3 2" xfId="13900" xr:uid="{00000000-0005-0000-0000-0000BA350000}"/>
    <cellStyle name="40% - Ênfase4 3 5 2 4" xfId="13901" xr:uid="{00000000-0005-0000-0000-0000BB350000}"/>
    <cellStyle name="40% - Ênfase4 3 5 3" xfId="13902" xr:uid="{00000000-0005-0000-0000-0000BC350000}"/>
    <cellStyle name="40% - Ênfase4 3 5 3 2" xfId="13903" xr:uid="{00000000-0005-0000-0000-0000BD350000}"/>
    <cellStyle name="40% - Ênfase4 3 5 3 2 2" xfId="13904" xr:uid="{00000000-0005-0000-0000-0000BE350000}"/>
    <cellStyle name="40% - Ênfase4 3 5 3 3" xfId="13905" xr:uid="{00000000-0005-0000-0000-0000BF350000}"/>
    <cellStyle name="40% - Ênfase4 3 5 3 3 2" xfId="13906" xr:uid="{00000000-0005-0000-0000-0000C0350000}"/>
    <cellStyle name="40% - Ênfase4 3 5 3 4" xfId="13907" xr:uid="{00000000-0005-0000-0000-0000C1350000}"/>
    <cellStyle name="40% - Ênfase4 3 5 4" xfId="13908" xr:uid="{00000000-0005-0000-0000-0000C2350000}"/>
    <cellStyle name="40% - Ênfase4 3 5 4 2" xfId="13909" xr:uid="{00000000-0005-0000-0000-0000C3350000}"/>
    <cellStyle name="40% - Ênfase4 3 5 5" xfId="13910" xr:uid="{00000000-0005-0000-0000-0000C4350000}"/>
    <cellStyle name="40% - Ênfase4 3 5 5 2" xfId="13911" xr:uid="{00000000-0005-0000-0000-0000C5350000}"/>
    <cellStyle name="40% - Ênfase4 3 5 6" xfId="13912" xr:uid="{00000000-0005-0000-0000-0000C6350000}"/>
    <cellStyle name="40% - Ênfase4 3 6" xfId="13913" xr:uid="{00000000-0005-0000-0000-0000C7350000}"/>
    <cellStyle name="40% - Ênfase4 3 6 2" xfId="13914" xr:uid="{00000000-0005-0000-0000-0000C8350000}"/>
    <cellStyle name="40% - Ênfase4 3 6 2 2" xfId="13915" xr:uid="{00000000-0005-0000-0000-0000C9350000}"/>
    <cellStyle name="40% - Ênfase4 3 6 3" xfId="13916" xr:uid="{00000000-0005-0000-0000-0000CA350000}"/>
    <cellStyle name="40% - Ênfase4 3 6 3 2" xfId="13917" xr:uid="{00000000-0005-0000-0000-0000CB350000}"/>
    <cellStyle name="40% - Ênfase4 3 6 4" xfId="13918" xr:uid="{00000000-0005-0000-0000-0000CC350000}"/>
    <cellStyle name="40% - Ênfase4 3 7" xfId="13919" xr:uid="{00000000-0005-0000-0000-0000CD350000}"/>
    <cellStyle name="40% - Ênfase4 3 7 2" xfId="13920" xr:uid="{00000000-0005-0000-0000-0000CE350000}"/>
    <cellStyle name="40% - Ênfase4 3 7 2 2" xfId="13921" xr:uid="{00000000-0005-0000-0000-0000CF350000}"/>
    <cellStyle name="40% - Ênfase4 3 7 3" xfId="13922" xr:uid="{00000000-0005-0000-0000-0000D0350000}"/>
    <cellStyle name="40% - Ênfase4 3 8" xfId="13923" xr:uid="{00000000-0005-0000-0000-0000D1350000}"/>
    <cellStyle name="40% - Ênfase4 3 8 2" xfId="13924" xr:uid="{00000000-0005-0000-0000-0000D2350000}"/>
    <cellStyle name="40% - Ênfase4 3 8 2 2" xfId="13925" xr:uid="{00000000-0005-0000-0000-0000D3350000}"/>
    <cellStyle name="40% - Ênfase4 3 8 3" xfId="13926" xr:uid="{00000000-0005-0000-0000-0000D4350000}"/>
    <cellStyle name="40% - Ênfase4 3 9" xfId="13927" xr:uid="{00000000-0005-0000-0000-0000D5350000}"/>
    <cellStyle name="40% - Ênfase4 3 9 2" xfId="13928" xr:uid="{00000000-0005-0000-0000-0000D6350000}"/>
    <cellStyle name="40% - Ênfase4 3 9 2 2" xfId="13929" xr:uid="{00000000-0005-0000-0000-0000D7350000}"/>
    <cellStyle name="40% - Ênfase4 3 9 3" xfId="13930" xr:uid="{00000000-0005-0000-0000-0000D8350000}"/>
    <cellStyle name="40% - Ênfase4 30" xfId="13931" xr:uid="{00000000-0005-0000-0000-0000D9350000}"/>
    <cellStyle name="40% - Ênfase4 31" xfId="13932" xr:uid="{00000000-0005-0000-0000-0000DA350000}"/>
    <cellStyle name="40% - Ênfase4 32" xfId="13933" xr:uid="{00000000-0005-0000-0000-0000DB350000}"/>
    <cellStyle name="40% - Ênfase4 33" xfId="13934" xr:uid="{00000000-0005-0000-0000-0000DC350000}"/>
    <cellStyle name="40% - Ênfase4 4" xfId="13935" xr:uid="{00000000-0005-0000-0000-0000DD350000}"/>
    <cellStyle name="40% - Ênfase4 4 10" xfId="13936" xr:uid="{00000000-0005-0000-0000-0000DE350000}"/>
    <cellStyle name="40% - Ênfase4 4 10 2" xfId="13937" xr:uid="{00000000-0005-0000-0000-0000DF350000}"/>
    <cellStyle name="40% - Ênfase4 4 11" xfId="13938" xr:uid="{00000000-0005-0000-0000-0000E0350000}"/>
    <cellStyle name="40% - Ênfase4 4 2" xfId="13939" xr:uid="{00000000-0005-0000-0000-0000E1350000}"/>
    <cellStyle name="40% - Ênfase4 4 2 2" xfId="13940" xr:uid="{00000000-0005-0000-0000-0000E2350000}"/>
    <cellStyle name="40% - Ênfase4 4 2 2 2" xfId="13941" xr:uid="{00000000-0005-0000-0000-0000E3350000}"/>
    <cellStyle name="40% - Ênfase4 4 2 2 2 2" xfId="13942" xr:uid="{00000000-0005-0000-0000-0000E4350000}"/>
    <cellStyle name="40% - Ênfase4 4 2 2 2 2 2" xfId="13943" xr:uid="{00000000-0005-0000-0000-0000E5350000}"/>
    <cellStyle name="40% - Ênfase4 4 2 2 2 3" xfId="13944" xr:uid="{00000000-0005-0000-0000-0000E6350000}"/>
    <cellStyle name="40% - Ênfase4 4 2 2 2 3 2" xfId="13945" xr:uid="{00000000-0005-0000-0000-0000E7350000}"/>
    <cellStyle name="40% - Ênfase4 4 2 2 2 4" xfId="13946" xr:uid="{00000000-0005-0000-0000-0000E8350000}"/>
    <cellStyle name="40% - Ênfase4 4 2 2 3" xfId="13947" xr:uid="{00000000-0005-0000-0000-0000E9350000}"/>
    <cellStyle name="40% - Ênfase4 4 2 2 3 2" xfId="13948" xr:uid="{00000000-0005-0000-0000-0000EA350000}"/>
    <cellStyle name="40% - Ênfase4 4 2 2 3 2 2" xfId="13949" xr:uid="{00000000-0005-0000-0000-0000EB350000}"/>
    <cellStyle name="40% - Ênfase4 4 2 2 3 3" xfId="13950" xr:uid="{00000000-0005-0000-0000-0000EC350000}"/>
    <cellStyle name="40% - Ênfase4 4 2 2 3 3 2" xfId="13951" xr:uid="{00000000-0005-0000-0000-0000ED350000}"/>
    <cellStyle name="40% - Ênfase4 4 2 2 3 4" xfId="13952" xr:uid="{00000000-0005-0000-0000-0000EE350000}"/>
    <cellStyle name="40% - Ênfase4 4 2 2 4" xfId="13953" xr:uid="{00000000-0005-0000-0000-0000EF350000}"/>
    <cellStyle name="40% - Ênfase4 4 2 2 4 2" xfId="13954" xr:uid="{00000000-0005-0000-0000-0000F0350000}"/>
    <cellStyle name="40% - Ênfase4 4 2 2 5" xfId="13955" xr:uid="{00000000-0005-0000-0000-0000F1350000}"/>
    <cellStyle name="40% - Ênfase4 4 2 2 5 2" xfId="13956" xr:uid="{00000000-0005-0000-0000-0000F2350000}"/>
    <cellStyle name="40% - Ênfase4 4 2 2 6" xfId="13957" xr:uid="{00000000-0005-0000-0000-0000F3350000}"/>
    <cellStyle name="40% - Ênfase4 4 2 3" xfId="13958" xr:uid="{00000000-0005-0000-0000-0000F4350000}"/>
    <cellStyle name="40% - Ênfase4 4 2 3 2" xfId="13959" xr:uid="{00000000-0005-0000-0000-0000F5350000}"/>
    <cellStyle name="40% - Ênfase4 4 2 3 2 2" xfId="13960" xr:uid="{00000000-0005-0000-0000-0000F6350000}"/>
    <cellStyle name="40% - Ênfase4 4 2 3 3" xfId="13961" xr:uid="{00000000-0005-0000-0000-0000F7350000}"/>
    <cellStyle name="40% - Ênfase4 4 2 3 3 2" xfId="13962" xr:uid="{00000000-0005-0000-0000-0000F8350000}"/>
    <cellStyle name="40% - Ênfase4 4 2 3 4" xfId="13963" xr:uid="{00000000-0005-0000-0000-0000F9350000}"/>
    <cellStyle name="40% - Ênfase4 4 2 4" xfId="13964" xr:uid="{00000000-0005-0000-0000-0000FA350000}"/>
    <cellStyle name="40% - Ênfase4 4 2 4 2" xfId="13965" xr:uid="{00000000-0005-0000-0000-0000FB350000}"/>
    <cellStyle name="40% - Ênfase4 4 2 4 2 2" xfId="13966" xr:uid="{00000000-0005-0000-0000-0000FC350000}"/>
    <cellStyle name="40% - Ênfase4 4 2 4 3" xfId="13967" xr:uid="{00000000-0005-0000-0000-0000FD350000}"/>
    <cellStyle name="40% - Ênfase4 4 2 5" xfId="13968" xr:uid="{00000000-0005-0000-0000-0000FE350000}"/>
    <cellStyle name="40% - Ênfase4 4 2 5 2" xfId="13969" xr:uid="{00000000-0005-0000-0000-0000FF350000}"/>
    <cellStyle name="40% - Ênfase4 4 2 5 2 2" xfId="13970" xr:uid="{00000000-0005-0000-0000-000000360000}"/>
    <cellStyle name="40% - Ênfase4 4 2 5 3" xfId="13971" xr:uid="{00000000-0005-0000-0000-000001360000}"/>
    <cellStyle name="40% - Ênfase4 4 2 6" xfId="13972" xr:uid="{00000000-0005-0000-0000-000002360000}"/>
    <cellStyle name="40% - Ênfase4 4 2 6 2" xfId="13973" xr:uid="{00000000-0005-0000-0000-000003360000}"/>
    <cellStyle name="40% - Ênfase4 4 2 6 2 2" xfId="13974" xr:uid="{00000000-0005-0000-0000-000004360000}"/>
    <cellStyle name="40% - Ênfase4 4 2 6 3" xfId="13975" xr:uid="{00000000-0005-0000-0000-000005360000}"/>
    <cellStyle name="40% - Ênfase4 4 2 7" xfId="13976" xr:uid="{00000000-0005-0000-0000-000006360000}"/>
    <cellStyle name="40% - Ênfase4 4 2 7 2" xfId="13977" xr:uid="{00000000-0005-0000-0000-000007360000}"/>
    <cellStyle name="40% - Ênfase4 4 2 7 2 2" xfId="13978" xr:uid="{00000000-0005-0000-0000-000008360000}"/>
    <cellStyle name="40% - Ênfase4 4 2 7 3" xfId="13979" xr:uid="{00000000-0005-0000-0000-000009360000}"/>
    <cellStyle name="40% - Ênfase4 4 2 8" xfId="13980" xr:uid="{00000000-0005-0000-0000-00000A360000}"/>
    <cellStyle name="40% - Ênfase4 4 2 8 2" xfId="13981" xr:uid="{00000000-0005-0000-0000-00000B360000}"/>
    <cellStyle name="40% - Ênfase4 4 2 9" xfId="13982" xr:uid="{00000000-0005-0000-0000-00000C360000}"/>
    <cellStyle name="40% - Ênfase4 4 3" xfId="13983" xr:uid="{00000000-0005-0000-0000-00000D360000}"/>
    <cellStyle name="40% - Ênfase4 4 3 2" xfId="13984" xr:uid="{00000000-0005-0000-0000-00000E360000}"/>
    <cellStyle name="40% - Ênfase4 4 3 2 2" xfId="13985" xr:uid="{00000000-0005-0000-0000-00000F360000}"/>
    <cellStyle name="40% - Ênfase4 4 3 2 2 2" xfId="13986" xr:uid="{00000000-0005-0000-0000-000010360000}"/>
    <cellStyle name="40% - Ênfase4 4 3 2 3" xfId="13987" xr:uid="{00000000-0005-0000-0000-000011360000}"/>
    <cellStyle name="40% - Ênfase4 4 3 2 3 2" xfId="13988" xr:uid="{00000000-0005-0000-0000-000012360000}"/>
    <cellStyle name="40% - Ênfase4 4 3 2 4" xfId="13989" xr:uid="{00000000-0005-0000-0000-000013360000}"/>
    <cellStyle name="40% - Ênfase4 4 3 3" xfId="13990" xr:uid="{00000000-0005-0000-0000-000014360000}"/>
    <cellStyle name="40% - Ênfase4 4 3 3 2" xfId="13991" xr:uid="{00000000-0005-0000-0000-000015360000}"/>
    <cellStyle name="40% - Ênfase4 4 3 3 2 2" xfId="13992" xr:uid="{00000000-0005-0000-0000-000016360000}"/>
    <cellStyle name="40% - Ênfase4 4 3 3 3" xfId="13993" xr:uid="{00000000-0005-0000-0000-000017360000}"/>
    <cellStyle name="40% - Ênfase4 4 3 3 3 2" xfId="13994" xr:uid="{00000000-0005-0000-0000-000018360000}"/>
    <cellStyle name="40% - Ênfase4 4 3 3 4" xfId="13995" xr:uid="{00000000-0005-0000-0000-000019360000}"/>
    <cellStyle name="40% - Ênfase4 4 3 4" xfId="13996" xr:uid="{00000000-0005-0000-0000-00001A360000}"/>
    <cellStyle name="40% - Ênfase4 4 3 4 2" xfId="13997" xr:uid="{00000000-0005-0000-0000-00001B360000}"/>
    <cellStyle name="40% - Ênfase4 4 3 5" xfId="13998" xr:uid="{00000000-0005-0000-0000-00001C360000}"/>
    <cellStyle name="40% - Ênfase4 4 3 5 2" xfId="13999" xr:uid="{00000000-0005-0000-0000-00001D360000}"/>
    <cellStyle name="40% - Ênfase4 4 3 6" xfId="14000" xr:uid="{00000000-0005-0000-0000-00001E360000}"/>
    <cellStyle name="40% - Ênfase4 4 4" xfId="14001" xr:uid="{00000000-0005-0000-0000-00001F360000}"/>
    <cellStyle name="40% - Ênfase4 4 4 2" xfId="14002" xr:uid="{00000000-0005-0000-0000-000020360000}"/>
    <cellStyle name="40% - Ênfase4 4 4 2 2" xfId="14003" xr:uid="{00000000-0005-0000-0000-000021360000}"/>
    <cellStyle name="40% - Ênfase4 4 4 2 2 2" xfId="14004" xr:uid="{00000000-0005-0000-0000-000022360000}"/>
    <cellStyle name="40% - Ênfase4 4 4 2 3" xfId="14005" xr:uid="{00000000-0005-0000-0000-000023360000}"/>
    <cellStyle name="40% - Ênfase4 4 4 2 3 2" xfId="14006" xr:uid="{00000000-0005-0000-0000-000024360000}"/>
    <cellStyle name="40% - Ênfase4 4 4 2 4" xfId="14007" xr:uid="{00000000-0005-0000-0000-000025360000}"/>
    <cellStyle name="40% - Ênfase4 4 4 3" xfId="14008" xr:uid="{00000000-0005-0000-0000-000026360000}"/>
    <cellStyle name="40% - Ênfase4 4 4 3 2" xfId="14009" xr:uid="{00000000-0005-0000-0000-000027360000}"/>
    <cellStyle name="40% - Ênfase4 4 4 3 2 2" xfId="14010" xr:uid="{00000000-0005-0000-0000-000028360000}"/>
    <cellStyle name="40% - Ênfase4 4 4 3 3" xfId="14011" xr:uid="{00000000-0005-0000-0000-000029360000}"/>
    <cellStyle name="40% - Ênfase4 4 4 3 3 2" xfId="14012" xr:uid="{00000000-0005-0000-0000-00002A360000}"/>
    <cellStyle name="40% - Ênfase4 4 4 3 4" xfId="14013" xr:uid="{00000000-0005-0000-0000-00002B360000}"/>
    <cellStyle name="40% - Ênfase4 4 4 4" xfId="14014" xr:uid="{00000000-0005-0000-0000-00002C360000}"/>
    <cellStyle name="40% - Ênfase4 4 4 4 2" xfId="14015" xr:uid="{00000000-0005-0000-0000-00002D360000}"/>
    <cellStyle name="40% - Ênfase4 4 4 5" xfId="14016" xr:uid="{00000000-0005-0000-0000-00002E360000}"/>
    <cellStyle name="40% - Ênfase4 4 4 5 2" xfId="14017" xr:uid="{00000000-0005-0000-0000-00002F360000}"/>
    <cellStyle name="40% - Ênfase4 4 4 6" xfId="14018" xr:uid="{00000000-0005-0000-0000-000030360000}"/>
    <cellStyle name="40% - Ênfase4 4 5" xfId="14019" xr:uid="{00000000-0005-0000-0000-000031360000}"/>
    <cellStyle name="40% - Ênfase4 4 5 2" xfId="14020" xr:uid="{00000000-0005-0000-0000-000032360000}"/>
    <cellStyle name="40% - Ênfase4 4 5 2 2" xfId="14021" xr:uid="{00000000-0005-0000-0000-000033360000}"/>
    <cellStyle name="40% - Ênfase4 4 5 3" xfId="14022" xr:uid="{00000000-0005-0000-0000-000034360000}"/>
    <cellStyle name="40% - Ênfase4 4 5 3 2" xfId="14023" xr:uid="{00000000-0005-0000-0000-000035360000}"/>
    <cellStyle name="40% - Ênfase4 4 5 4" xfId="14024" xr:uid="{00000000-0005-0000-0000-000036360000}"/>
    <cellStyle name="40% - Ênfase4 4 6" xfId="14025" xr:uid="{00000000-0005-0000-0000-000037360000}"/>
    <cellStyle name="40% - Ênfase4 4 6 2" xfId="14026" xr:uid="{00000000-0005-0000-0000-000038360000}"/>
    <cellStyle name="40% - Ênfase4 4 6 2 2" xfId="14027" xr:uid="{00000000-0005-0000-0000-000039360000}"/>
    <cellStyle name="40% - Ênfase4 4 6 3" xfId="14028" xr:uid="{00000000-0005-0000-0000-00003A360000}"/>
    <cellStyle name="40% - Ênfase4 4 7" xfId="14029" xr:uid="{00000000-0005-0000-0000-00003B360000}"/>
    <cellStyle name="40% - Ênfase4 4 7 2" xfId="14030" xr:uid="{00000000-0005-0000-0000-00003C360000}"/>
    <cellStyle name="40% - Ênfase4 4 7 2 2" xfId="14031" xr:uid="{00000000-0005-0000-0000-00003D360000}"/>
    <cellStyle name="40% - Ênfase4 4 7 3" xfId="14032" xr:uid="{00000000-0005-0000-0000-00003E360000}"/>
    <cellStyle name="40% - Ênfase4 4 8" xfId="14033" xr:uid="{00000000-0005-0000-0000-00003F360000}"/>
    <cellStyle name="40% - Ênfase4 4 8 2" xfId="14034" xr:uid="{00000000-0005-0000-0000-000040360000}"/>
    <cellStyle name="40% - Ênfase4 4 8 2 2" xfId="14035" xr:uid="{00000000-0005-0000-0000-000041360000}"/>
    <cellStyle name="40% - Ênfase4 4 8 3" xfId="14036" xr:uid="{00000000-0005-0000-0000-000042360000}"/>
    <cellStyle name="40% - Ênfase4 4 9" xfId="14037" xr:uid="{00000000-0005-0000-0000-000043360000}"/>
    <cellStyle name="40% - Ênfase4 4 9 2" xfId="14038" xr:uid="{00000000-0005-0000-0000-000044360000}"/>
    <cellStyle name="40% - Ênfase4 4 9 2 2" xfId="14039" xr:uid="{00000000-0005-0000-0000-000045360000}"/>
    <cellStyle name="40% - Ênfase4 4 9 3" xfId="14040" xr:uid="{00000000-0005-0000-0000-000046360000}"/>
    <cellStyle name="40% - Ênfase4 5" xfId="14041" xr:uid="{00000000-0005-0000-0000-000047360000}"/>
    <cellStyle name="40% - Ênfase4 5 10" xfId="14042" xr:uid="{00000000-0005-0000-0000-000048360000}"/>
    <cellStyle name="40% - Ênfase4 5 2" xfId="14043" xr:uid="{00000000-0005-0000-0000-000049360000}"/>
    <cellStyle name="40% - Ênfase4 5 2 2" xfId="14044" xr:uid="{00000000-0005-0000-0000-00004A360000}"/>
    <cellStyle name="40% - Ênfase4 5 2 2 2" xfId="14045" xr:uid="{00000000-0005-0000-0000-00004B360000}"/>
    <cellStyle name="40% - Ênfase4 5 2 2 2 2" xfId="14046" xr:uid="{00000000-0005-0000-0000-00004C360000}"/>
    <cellStyle name="40% - Ênfase4 5 2 2 2 2 2" xfId="14047" xr:uid="{00000000-0005-0000-0000-00004D360000}"/>
    <cellStyle name="40% - Ênfase4 5 2 2 2 3" xfId="14048" xr:uid="{00000000-0005-0000-0000-00004E360000}"/>
    <cellStyle name="40% - Ênfase4 5 2 2 2 3 2" xfId="14049" xr:uid="{00000000-0005-0000-0000-00004F360000}"/>
    <cellStyle name="40% - Ênfase4 5 2 2 2 4" xfId="14050" xr:uid="{00000000-0005-0000-0000-000050360000}"/>
    <cellStyle name="40% - Ênfase4 5 2 2 3" xfId="14051" xr:uid="{00000000-0005-0000-0000-000051360000}"/>
    <cellStyle name="40% - Ênfase4 5 2 2 3 2" xfId="14052" xr:uid="{00000000-0005-0000-0000-000052360000}"/>
    <cellStyle name="40% - Ênfase4 5 2 2 4" xfId="14053" xr:uid="{00000000-0005-0000-0000-000053360000}"/>
    <cellStyle name="40% - Ênfase4 5 2 2 4 2" xfId="14054" xr:uid="{00000000-0005-0000-0000-000054360000}"/>
    <cellStyle name="40% - Ênfase4 5 2 2 5" xfId="14055" xr:uid="{00000000-0005-0000-0000-000055360000}"/>
    <cellStyle name="40% - Ênfase4 5 2 3" xfId="14056" xr:uid="{00000000-0005-0000-0000-000056360000}"/>
    <cellStyle name="40% - Ênfase4 5 2 3 2" xfId="14057" xr:uid="{00000000-0005-0000-0000-000057360000}"/>
    <cellStyle name="40% - Ênfase4 5 2 3 2 2" xfId="14058" xr:uid="{00000000-0005-0000-0000-000058360000}"/>
    <cellStyle name="40% - Ênfase4 5 2 3 3" xfId="14059" xr:uid="{00000000-0005-0000-0000-000059360000}"/>
    <cellStyle name="40% - Ênfase4 5 2 3 3 2" xfId="14060" xr:uid="{00000000-0005-0000-0000-00005A360000}"/>
    <cellStyle name="40% - Ênfase4 5 2 3 4" xfId="14061" xr:uid="{00000000-0005-0000-0000-00005B360000}"/>
    <cellStyle name="40% - Ênfase4 5 2 4" xfId="14062" xr:uid="{00000000-0005-0000-0000-00005C360000}"/>
    <cellStyle name="40% - Ênfase4 5 2 4 2" xfId="14063" xr:uid="{00000000-0005-0000-0000-00005D360000}"/>
    <cellStyle name="40% - Ênfase4 5 2 4 2 2" xfId="14064" xr:uid="{00000000-0005-0000-0000-00005E360000}"/>
    <cellStyle name="40% - Ênfase4 5 2 4 3" xfId="14065" xr:uid="{00000000-0005-0000-0000-00005F360000}"/>
    <cellStyle name="40% - Ênfase4 5 2 5" xfId="14066" xr:uid="{00000000-0005-0000-0000-000060360000}"/>
    <cellStyle name="40% - Ênfase4 5 2 5 2" xfId="14067" xr:uid="{00000000-0005-0000-0000-000061360000}"/>
    <cellStyle name="40% - Ênfase4 5 2 6" xfId="14068" xr:uid="{00000000-0005-0000-0000-000062360000}"/>
    <cellStyle name="40% - Ênfase4 5 3" xfId="14069" xr:uid="{00000000-0005-0000-0000-000063360000}"/>
    <cellStyle name="40% - Ênfase4 5 3 2" xfId="14070" xr:uid="{00000000-0005-0000-0000-000064360000}"/>
    <cellStyle name="40% - Ênfase4 5 3 2 2" xfId="14071" xr:uid="{00000000-0005-0000-0000-000065360000}"/>
    <cellStyle name="40% - Ênfase4 5 3 2 2 2" xfId="14072" xr:uid="{00000000-0005-0000-0000-000066360000}"/>
    <cellStyle name="40% - Ênfase4 5 3 2 3" xfId="14073" xr:uid="{00000000-0005-0000-0000-000067360000}"/>
    <cellStyle name="40% - Ênfase4 5 3 2 3 2" xfId="14074" xr:uid="{00000000-0005-0000-0000-000068360000}"/>
    <cellStyle name="40% - Ênfase4 5 3 2 4" xfId="14075" xr:uid="{00000000-0005-0000-0000-000069360000}"/>
    <cellStyle name="40% - Ênfase4 5 3 3" xfId="14076" xr:uid="{00000000-0005-0000-0000-00006A360000}"/>
    <cellStyle name="40% - Ênfase4 5 3 3 2" xfId="14077" xr:uid="{00000000-0005-0000-0000-00006B360000}"/>
    <cellStyle name="40% - Ênfase4 5 3 3 2 2" xfId="14078" xr:uid="{00000000-0005-0000-0000-00006C360000}"/>
    <cellStyle name="40% - Ênfase4 5 3 3 3" xfId="14079" xr:uid="{00000000-0005-0000-0000-00006D360000}"/>
    <cellStyle name="40% - Ênfase4 5 3 3 3 2" xfId="14080" xr:uid="{00000000-0005-0000-0000-00006E360000}"/>
    <cellStyle name="40% - Ênfase4 5 3 3 4" xfId="14081" xr:uid="{00000000-0005-0000-0000-00006F360000}"/>
    <cellStyle name="40% - Ênfase4 5 3 4" xfId="14082" xr:uid="{00000000-0005-0000-0000-000070360000}"/>
    <cellStyle name="40% - Ênfase4 5 3 4 2" xfId="14083" xr:uid="{00000000-0005-0000-0000-000071360000}"/>
    <cellStyle name="40% - Ênfase4 5 3 5" xfId="14084" xr:uid="{00000000-0005-0000-0000-000072360000}"/>
    <cellStyle name="40% - Ênfase4 5 3 5 2" xfId="14085" xr:uid="{00000000-0005-0000-0000-000073360000}"/>
    <cellStyle name="40% - Ênfase4 5 3 6" xfId="14086" xr:uid="{00000000-0005-0000-0000-000074360000}"/>
    <cellStyle name="40% - Ênfase4 5 4" xfId="14087" xr:uid="{00000000-0005-0000-0000-000075360000}"/>
    <cellStyle name="40% - Ênfase4 5 4 2" xfId="14088" xr:uid="{00000000-0005-0000-0000-000076360000}"/>
    <cellStyle name="40% - Ênfase4 5 4 2 2" xfId="14089" xr:uid="{00000000-0005-0000-0000-000077360000}"/>
    <cellStyle name="40% - Ênfase4 5 4 3" xfId="14090" xr:uid="{00000000-0005-0000-0000-000078360000}"/>
    <cellStyle name="40% - Ênfase4 5 4 3 2" xfId="14091" xr:uid="{00000000-0005-0000-0000-000079360000}"/>
    <cellStyle name="40% - Ênfase4 5 4 4" xfId="14092" xr:uid="{00000000-0005-0000-0000-00007A360000}"/>
    <cellStyle name="40% - Ênfase4 5 5" xfId="14093" xr:uid="{00000000-0005-0000-0000-00007B360000}"/>
    <cellStyle name="40% - Ênfase4 5 5 2" xfId="14094" xr:uid="{00000000-0005-0000-0000-00007C360000}"/>
    <cellStyle name="40% - Ênfase4 5 5 2 2" xfId="14095" xr:uid="{00000000-0005-0000-0000-00007D360000}"/>
    <cellStyle name="40% - Ênfase4 5 5 3" xfId="14096" xr:uid="{00000000-0005-0000-0000-00007E360000}"/>
    <cellStyle name="40% - Ênfase4 5 6" xfId="14097" xr:uid="{00000000-0005-0000-0000-00007F360000}"/>
    <cellStyle name="40% - Ênfase4 5 6 2" xfId="14098" xr:uid="{00000000-0005-0000-0000-000080360000}"/>
    <cellStyle name="40% - Ênfase4 5 6 2 2" xfId="14099" xr:uid="{00000000-0005-0000-0000-000081360000}"/>
    <cellStyle name="40% - Ênfase4 5 6 3" xfId="14100" xr:uid="{00000000-0005-0000-0000-000082360000}"/>
    <cellStyle name="40% - Ênfase4 5 7" xfId="14101" xr:uid="{00000000-0005-0000-0000-000083360000}"/>
    <cellStyle name="40% - Ênfase4 5 7 2" xfId="14102" xr:uid="{00000000-0005-0000-0000-000084360000}"/>
    <cellStyle name="40% - Ênfase4 5 7 2 2" xfId="14103" xr:uid="{00000000-0005-0000-0000-000085360000}"/>
    <cellStyle name="40% - Ênfase4 5 7 3" xfId="14104" xr:uid="{00000000-0005-0000-0000-000086360000}"/>
    <cellStyle name="40% - Ênfase4 5 8" xfId="14105" xr:uid="{00000000-0005-0000-0000-000087360000}"/>
    <cellStyle name="40% - Ênfase4 5 8 2" xfId="14106" xr:uid="{00000000-0005-0000-0000-000088360000}"/>
    <cellStyle name="40% - Ênfase4 5 8 2 2" xfId="14107" xr:uid="{00000000-0005-0000-0000-000089360000}"/>
    <cellStyle name="40% - Ênfase4 5 8 3" xfId="14108" xr:uid="{00000000-0005-0000-0000-00008A360000}"/>
    <cellStyle name="40% - Ênfase4 5 9" xfId="14109" xr:uid="{00000000-0005-0000-0000-00008B360000}"/>
    <cellStyle name="40% - Ênfase4 5 9 2" xfId="14110" xr:uid="{00000000-0005-0000-0000-00008C360000}"/>
    <cellStyle name="40% - Ênfase4 6" xfId="14111" xr:uid="{00000000-0005-0000-0000-00008D360000}"/>
    <cellStyle name="40% - Ênfase4 6 2" xfId="14112" xr:uid="{00000000-0005-0000-0000-00008E360000}"/>
    <cellStyle name="40% - Ênfase4 6 2 2" xfId="14113" xr:uid="{00000000-0005-0000-0000-00008F360000}"/>
    <cellStyle name="40% - Ênfase4 6 2 2 2" xfId="14114" xr:uid="{00000000-0005-0000-0000-000090360000}"/>
    <cellStyle name="40% - Ênfase4 6 2 2 2 2" xfId="14115" xr:uid="{00000000-0005-0000-0000-000091360000}"/>
    <cellStyle name="40% - Ênfase4 6 2 2 2 2 2" xfId="14116" xr:uid="{00000000-0005-0000-0000-000092360000}"/>
    <cellStyle name="40% - Ênfase4 6 2 2 2 3" xfId="14117" xr:uid="{00000000-0005-0000-0000-000093360000}"/>
    <cellStyle name="40% - Ênfase4 6 2 2 2 3 2" xfId="14118" xr:uid="{00000000-0005-0000-0000-000094360000}"/>
    <cellStyle name="40% - Ênfase4 6 2 2 2 4" xfId="14119" xr:uid="{00000000-0005-0000-0000-000095360000}"/>
    <cellStyle name="40% - Ênfase4 6 2 2 3" xfId="14120" xr:uid="{00000000-0005-0000-0000-000096360000}"/>
    <cellStyle name="40% - Ênfase4 6 2 2 3 2" xfId="14121" xr:uid="{00000000-0005-0000-0000-000097360000}"/>
    <cellStyle name="40% - Ênfase4 6 2 2 4" xfId="14122" xr:uid="{00000000-0005-0000-0000-000098360000}"/>
    <cellStyle name="40% - Ênfase4 6 2 2 4 2" xfId="14123" xr:uid="{00000000-0005-0000-0000-000099360000}"/>
    <cellStyle name="40% - Ênfase4 6 2 2 5" xfId="14124" xr:uid="{00000000-0005-0000-0000-00009A360000}"/>
    <cellStyle name="40% - Ênfase4 6 2 3" xfId="14125" xr:uid="{00000000-0005-0000-0000-00009B360000}"/>
    <cellStyle name="40% - Ênfase4 6 2 3 2" xfId="14126" xr:uid="{00000000-0005-0000-0000-00009C360000}"/>
    <cellStyle name="40% - Ênfase4 6 2 3 2 2" xfId="14127" xr:uid="{00000000-0005-0000-0000-00009D360000}"/>
    <cellStyle name="40% - Ênfase4 6 2 3 3" xfId="14128" xr:uid="{00000000-0005-0000-0000-00009E360000}"/>
    <cellStyle name="40% - Ênfase4 6 2 3 3 2" xfId="14129" xr:uid="{00000000-0005-0000-0000-00009F360000}"/>
    <cellStyle name="40% - Ênfase4 6 2 3 4" xfId="14130" xr:uid="{00000000-0005-0000-0000-0000A0360000}"/>
    <cellStyle name="40% - Ênfase4 6 2 4" xfId="14131" xr:uid="{00000000-0005-0000-0000-0000A1360000}"/>
    <cellStyle name="40% - Ênfase4 6 2 4 2" xfId="14132" xr:uid="{00000000-0005-0000-0000-0000A2360000}"/>
    <cellStyle name="40% - Ênfase4 6 2 4 2 2" xfId="14133" xr:uid="{00000000-0005-0000-0000-0000A3360000}"/>
    <cellStyle name="40% - Ênfase4 6 2 4 3" xfId="14134" xr:uid="{00000000-0005-0000-0000-0000A4360000}"/>
    <cellStyle name="40% - Ênfase4 6 2 5" xfId="14135" xr:uid="{00000000-0005-0000-0000-0000A5360000}"/>
    <cellStyle name="40% - Ênfase4 6 2 5 2" xfId="14136" xr:uid="{00000000-0005-0000-0000-0000A6360000}"/>
    <cellStyle name="40% - Ênfase4 6 2 6" xfId="14137" xr:uid="{00000000-0005-0000-0000-0000A7360000}"/>
    <cellStyle name="40% - Ênfase4 6 3" xfId="14138" xr:uid="{00000000-0005-0000-0000-0000A8360000}"/>
    <cellStyle name="40% - Ênfase4 6 3 2" xfId="14139" xr:uid="{00000000-0005-0000-0000-0000A9360000}"/>
    <cellStyle name="40% - Ênfase4 6 3 2 2" xfId="14140" xr:uid="{00000000-0005-0000-0000-0000AA360000}"/>
    <cellStyle name="40% - Ênfase4 6 3 2 2 2" xfId="14141" xr:uid="{00000000-0005-0000-0000-0000AB360000}"/>
    <cellStyle name="40% - Ênfase4 6 3 2 3" xfId="14142" xr:uid="{00000000-0005-0000-0000-0000AC360000}"/>
    <cellStyle name="40% - Ênfase4 6 3 2 3 2" xfId="14143" xr:uid="{00000000-0005-0000-0000-0000AD360000}"/>
    <cellStyle name="40% - Ênfase4 6 3 2 4" xfId="14144" xr:uid="{00000000-0005-0000-0000-0000AE360000}"/>
    <cellStyle name="40% - Ênfase4 6 3 3" xfId="14145" xr:uid="{00000000-0005-0000-0000-0000AF360000}"/>
    <cellStyle name="40% - Ênfase4 6 3 3 2" xfId="14146" xr:uid="{00000000-0005-0000-0000-0000B0360000}"/>
    <cellStyle name="40% - Ênfase4 6 3 4" xfId="14147" xr:uid="{00000000-0005-0000-0000-0000B1360000}"/>
    <cellStyle name="40% - Ênfase4 6 3 4 2" xfId="14148" xr:uid="{00000000-0005-0000-0000-0000B2360000}"/>
    <cellStyle name="40% - Ênfase4 6 3 5" xfId="14149" xr:uid="{00000000-0005-0000-0000-0000B3360000}"/>
    <cellStyle name="40% - Ênfase4 6 4" xfId="14150" xr:uid="{00000000-0005-0000-0000-0000B4360000}"/>
    <cellStyle name="40% - Ênfase4 6 4 2" xfId="14151" xr:uid="{00000000-0005-0000-0000-0000B5360000}"/>
    <cellStyle name="40% - Ênfase4 6 4 2 2" xfId="14152" xr:uid="{00000000-0005-0000-0000-0000B6360000}"/>
    <cellStyle name="40% - Ênfase4 6 4 3" xfId="14153" xr:uid="{00000000-0005-0000-0000-0000B7360000}"/>
    <cellStyle name="40% - Ênfase4 6 4 3 2" xfId="14154" xr:uid="{00000000-0005-0000-0000-0000B8360000}"/>
    <cellStyle name="40% - Ênfase4 6 4 4" xfId="14155" xr:uid="{00000000-0005-0000-0000-0000B9360000}"/>
    <cellStyle name="40% - Ênfase4 6 5" xfId="14156" xr:uid="{00000000-0005-0000-0000-0000BA360000}"/>
    <cellStyle name="40% - Ênfase4 6 5 2" xfId="14157" xr:uid="{00000000-0005-0000-0000-0000BB360000}"/>
    <cellStyle name="40% - Ênfase4 6 5 2 2" xfId="14158" xr:uid="{00000000-0005-0000-0000-0000BC360000}"/>
    <cellStyle name="40% - Ênfase4 6 5 3" xfId="14159" xr:uid="{00000000-0005-0000-0000-0000BD360000}"/>
    <cellStyle name="40% - Ênfase4 6 6" xfId="14160" xr:uid="{00000000-0005-0000-0000-0000BE360000}"/>
    <cellStyle name="40% - Ênfase4 6 6 2" xfId="14161" xr:uid="{00000000-0005-0000-0000-0000BF360000}"/>
    <cellStyle name="40% - Ênfase4 6 7" xfId="14162" xr:uid="{00000000-0005-0000-0000-0000C0360000}"/>
    <cellStyle name="40% - Ênfase4 7" xfId="14163" xr:uid="{00000000-0005-0000-0000-0000C1360000}"/>
    <cellStyle name="40% - Ênfase4 7 2" xfId="14164" xr:uid="{00000000-0005-0000-0000-0000C2360000}"/>
    <cellStyle name="40% - Ênfase4 7 2 2" xfId="14165" xr:uid="{00000000-0005-0000-0000-0000C3360000}"/>
    <cellStyle name="40% - Ênfase4 7 2 2 2" xfId="14166" xr:uid="{00000000-0005-0000-0000-0000C4360000}"/>
    <cellStyle name="40% - Ênfase4 7 2 2 2 2" xfId="14167" xr:uid="{00000000-0005-0000-0000-0000C5360000}"/>
    <cellStyle name="40% - Ênfase4 7 2 2 2 2 2" xfId="14168" xr:uid="{00000000-0005-0000-0000-0000C6360000}"/>
    <cellStyle name="40% - Ênfase4 7 2 2 2 3" xfId="14169" xr:uid="{00000000-0005-0000-0000-0000C7360000}"/>
    <cellStyle name="40% - Ênfase4 7 2 2 2 3 2" xfId="14170" xr:uid="{00000000-0005-0000-0000-0000C8360000}"/>
    <cellStyle name="40% - Ênfase4 7 2 2 2 4" xfId="14171" xr:uid="{00000000-0005-0000-0000-0000C9360000}"/>
    <cellStyle name="40% - Ênfase4 7 2 2 3" xfId="14172" xr:uid="{00000000-0005-0000-0000-0000CA360000}"/>
    <cellStyle name="40% - Ênfase4 7 2 2 3 2" xfId="14173" xr:uid="{00000000-0005-0000-0000-0000CB360000}"/>
    <cellStyle name="40% - Ênfase4 7 2 2 4" xfId="14174" xr:uid="{00000000-0005-0000-0000-0000CC360000}"/>
    <cellStyle name="40% - Ênfase4 7 2 2 4 2" xfId="14175" xr:uid="{00000000-0005-0000-0000-0000CD360000}"/>
    <cellStyle name="40% - Ênfase4 7 2 2 5" xfId="14176" xr:uid="{00000000-0005-0000-0000-0000CE360000}"/>
    <cellStyle name="40% - Ênfase4 7 2 3" xfId="14177" xr:uid="{00000000-0005-0000-0000-0000CF360000}"/>
    <cellStyle name="40% - Ênfase4 7 2 3 2" xfId="14178" xr:uid="{00000000-0005-0000-0000-0000D0360000}"/>
    <cellStyle name="40% - Ênfase4 7 2 3 2 2" xfId="14179" xr:uid="{00000000-0005-0000-0000-0000D1360000}"/>
    <cellStyle name="40% - Ênfase4 7 2 3 3" xfId="14180" xr:uid="{00000000-0005-0000-0000-0000D2360000}"/>
    <cellStyle name="40% - Ênfase4 7 2 3 3 2" xfId="14181" xr:uid="{00000000-0005-0000-0000-0000D3360000}"/>
    <cellStyle name="40% - Ênfase4 7 2 3 4" xfId="14182" xr:uid="{00000000-0005-0000-0000-0000D4360000}"/>
    <cellStyle name="40% - Ênfase4 7 2 4" xfId="14183" xr:uid="{00000000-0005-0000-0000-0000D5360000}"/>
    <cellStyle name="40% - Ênfase4 7 2 4 2" xfId="14184" xr:uid="{00000000-0005-0000-0000-0000D6360000}"/>
    <cellStyle name="40% - Ênfase4 7 2 4 2 2" xfId="14185" xr:uid="{00000000-0005-0000-0000-0000D7360000}"/>
    <cellStyle name="40% - Ênfase4 7 2 4 3" xfId="14186" xr:uid="{00000000-0005-0000-0000-0000D8360000}"/>
    <cellStyle name="40% - Ênfase4 7 2 5" xfId="14187" xr:uid="{00000000-0005-0000-0000-0000D9360000}"/>
    <cellStyle name="40% - Ênfase4 7 2 5 2" xfId="14188" xr:uid="{00000000-0005-0000-0000-0000DA360000}"/>
    <cellStyle name="40% - Ênfase4 7 2 6" xfId="14189" xr:uid="{00000000-0005-0000-0000-0000DB360000}"/>
    <cellStyle name="40% - Ênfase4 7 3" xfId="14190" xr:uid="{00000000-0005-0000-0000-0000DC360000}"/>
    <cellStyle name="40% - Ênfase4 7 3 2" xfId="14191" xr:uid="{00000000-0005-0000-0000-0000DD360000}"/>
    <cellStyle name="40% - Ênfase4 7 3 2 2" xfId="14192" xr:uid="{00000000-0005-0000-0000-0000DE360000}"/>
    <cellStyle name="40% - Ênfase4 7 3 2 2 2" xfId="14193" xr:uid="{00000000-0005-0000-0000-0000DF360000}"/>
    <cellStyle name="40% - Ênfase4 7 3 2 3" xfId="14194" xr:uid="{00000000-0005-0000-0000-0000E0360000}"/>
    <cellStyle name="40% - Ênfase4 7 3 2 3 2" xfId="14195" xr:uid="{00000000-0005-0000-0000-0000E1360000}"/>
    <cellStyle name="40% - Ênfase4 7 3 2 4" xfId="14196" xr:uid="{00000000-0005-0000-0000-0000E2360000}"/>
    <cellStyle name="40% - Ênfase4 7 3 3" xfId="14197" xr:uid="{00000000-0005-0000-0000-0000E3360000}"/>
    <cellStyle name="40% - Ênfase4 7 3 3 2" xfId="14198" xr:uid="{00000000-0005-0000-0000-0000E4360000}"/>
    <cellStyle name="40% - Ênfase4 7 3 4" xfId="14199" xr:uid="{00000000-0005-0000-0000-0000E5360000}"/>
    <cellStyle name="40% - Ênfase4 7 3 4 2" xfId="14200" xr:uid="{00000000-0005-0000-0000-0000E6360000}"/>
    <cellStyle name="40% - Ênfase4 7 3 5" xfId="14201" xr:uid="{00000000-0005-0000-0000-0000E7360000}"/>
    <cellStyle name="40% - Ênfase4 7 4" xfId="14202" xr:uid="{00000000-0005-0000-0000-0000E8360000}"/>
    <cellStyle name="40% - Ênfase4 7 4 2" xfId="14203" xr:uid="{00000000-0005-0000-0000-0000E9360000}"/>
    <cellStyle name="40% - Ênfase4 7 4 2 2" xfId="14204" xr:uid="{00000000-0005-0000-0000-0000EA360000}"/>
    <cellStyle name="40% - Ênfase4 7 4 3" xfId="14205" xr:uid="{00000000-0005-0000-0000-0000EB360000}"/>
    <cellStyle name="40% - Ênfase4 7 4 3 2" xfId="14206" xr:uid="{00000000-0005-0000-0000-0000EC360000}"/>
    <cellStyle name="40% - Ênfase4 7 4 4" xfId="14207" xr:uid="{00000000-0005-0000-0000-0000ED360000}"/>
    <cellStyle name="40% - Ênfase4 7 5" xfId="14208" xr:uid="{00000000-0005-0000-0000-0000EE360000}"/>
    <cellStyle name="40% - Ênfase4 7 5 2" xfId="14209" xr:uid="{00000000-0005-0000-0000-0000EF360000}"/>
    <cellStyle name="40% - Ênfase4 7 5 2 2" xfId="14210" xr:uid="{00000000-0005-0000-0000-0000F0360000}"/>
    <cellStyle name="40% - Ênfase4 7 5 3" xfId="14211" xr:uid="{00000000-0005-0000-0000-0000F1360000}"/>
    <cellStyle name="40% - Ênfase4 7 6" xfId="14212" xr:uid="{00000000-0005-0000-0000-0000F2360000}"/>
    <cellStyle name="40% - Ênfase4 7 6 2" xfId="14213" xr:uid="{00000000-0005-0000-0000-0000F3360000}"/>
    <cellStyle name="40% - Ênfase4 7 7" xfId="14214" xr:uid="{00000000-0005-0000-0000-0000F4360000}"/>
    <cellStyle name="40% - Ênfase4 8" xfId="14215" xr:uid="{00000000-0005-0000-0000-0000F5360000}"/>
    <cellStyle name="40% - Ênfase4 8 2" xfId="14216" xr:uid="{00000000-0005-0000-0000-0000F6360000}"/>
    <cellStyle name="40% - Ênfase4 8 2 2" xfId="14217" xr:uid="{00000000-0005-0000-0000-0000F7360000}"/>
    <cellStyle name="40% - Ênfase4 8 2 2 2" xfId="14218" xr:uid="{00000000-0005-0000-0000-0000F8360000}"/>
    <cellStyle name="40% - Ênfase4 8 2 2 2 2" xfId="14219" xr:uid="{00000000-0005-0000-0000-0000F9360000}"/>
    <cellStyle name="40% - Ênfase4 8 2 2 2 2 2" xfId="14220" xr:uid="{00000000-0005-0000-0000-0000FA360000}"/>
    <cellStyle name="40% - Ênfase4 8 2 2 2 3" xfId="14221" xr:uid="{00000000-0005-0000-0000-0000FB360000}"/>
    <cellStyle name="40% - Ênfase4 8 2 2 2 3 2" xfId="14222" xr:uid="{00000000-0005-0000-0000-0000FC360000}"/>
    <cellStyle name="40% - Ênfase4 8 2 2 2 4" xfId="14223" xr:uid="{00000000-0005-0000-0000-0000FD360000}"/>
    <cellStyle name="40% - Ênfase4 8 2 2 3" xfId="14224" xr:uid="{00000000-0005-0000-0000-0000FE360000}"/>
    <cellStyle name="40% - Ênfase4 8 2 2 3 2" xfId="14225" xr:uid="{00000000-0005-0000-0000-0000FF360000}"/>
    <cellStyle name="40% - Ênfase4 8 2 2 4" xfId="14226" xr:uid="{00000000-0005-0000-0000-000000370000}"/>
    <cellStyle name="40% - Ênfase4 8 2 2 4 2" xfId="14227" xr:uid="{00000000-0005-0000-0000-000001370000}"/>
    <cellStyle name="40% - Ênfase4 8 2 2 5" xfId="14228" xr:uid="{00000000-0005-0000-0000-000002370000}"/>
    <cellStyle name="40% - Ênfase4 8 2 3" xfId="14229" xr:uid="{00000000-0005-0000-0000-000003370000}"/>
    <cellStyle name="40% - Ênfase4 8 2 3 2" xfId="14230" xr:uid="{00000000-0005-0000-0000-000004370000}"/>
    <cellStyle name="40% - Ênfase4 8 2 3 2 2" xfId="14231" xr:uid="{00000000-0005-0000-0000-000005370000}"/>
    <cellStyle name="40% - Ênfase4 8 2 3 3" xfId="14232" xr:uid="{00000000-0005-0000-0000-000006370000}"/>
    <cellStyle name="40% - Ênfase4 8 2 3 3 2" xfId="14233" xr:uid="{00000000-0005-0000-0000-000007370000}"/>
    <cellStyle name="40% - Ênfase4 8 2 3 4" xfId="14234" xr:uid="{00000000-0005-0000-0000-000008370000}"/>
    <cellStyle name="40% - Ênfase4 8 2 4" xfId="14235" xr:uid="{00000000-0005-0000-0000-000009370000}"/>
    <cellStyle name="40% - Ênfase4 8 2 4 2" xfId="14236" xr:uid="{00000000-0005-0000-0000-00000A370000}"/>
    <cellStyle name="40% - Ênfase4 8 2 4 2 2" xfId="14237" xr:uid="{00000000-0005-0000-0000-00000B370000}"/>
    <cellStyle name="40% - Ênfase4 8 2 4 3" xfId="14238" xr:uid="{00000000-0005-0000-0000-00000C370000}"/>
    <cellStyle name="40% - Ênfase4 8 2 5" xfId="14239" xr:uid="{00000000-0005-0000-0000-00000D370000}"/>
    <cellStyle name="40% - Ênfase4 8 2 5 2" xfId="14240" xr:uid="{00000000-0005-0000-0000-00000E370000}"/>
    <cellStyle name="40% - Ênfase4 8 2 6" xfId="14241" xr:uid="{00000000-0005-0000-0000-00000F370000}"/>
    <cellStyle name="40% - Ênfase4 8 3" xfId="14242" xr:uid="{00000000-0005-0000-0000-000010370000}"/>
    <cellStyle name="40% - Ênfase4 8 3 2" xfId="14243" xr:uid="{00000000-0005-0000-0000-000011370000}"/>
    <cellStyle name="40% - Ênfase4 8 3 2 2" xfId="14244" xr:uid="{00000000-0005-0000-0000-000012370000}"/>
    <cellStyle name="40% - Ênfase4 8 3 2 2 2" xfId="14245" xr:uid="{00000000-0005-0000-0000-000013370000}"/>
    <cellStyle name="40% - Ênfase4 8 3 2 3" xfId="14246" xr:uid="{00000000-0005-0000-0000-000014370000}"/>
    <cellStyle name="40% - Ênfase4 8 3 2 3 2" xfId="14247" xr:uid="{00000000-0005-0000-0000-000015370000}"/>
    <cellStyle name="40% - Ênfase4 8 3 2 4" xfId="14248" xr:uid="{00000000-0005-0000-0000-000016370000}"/>
    <cellStyle name="40% - Ênfase4 8 3 3" xfId="14249" xr:uid="{00000000-0005-0000-0000-000017370000}"/>
    <cellStyle name="40% - Ênfase4 8 3 3 2" xfId="14250" xr:uid="{00000000-0005-0000-0000-000018370000}"/>
    <cellStyle name="40% - Ênfase4 8 3 4" xfId="14251" xr:uid="{00000000-0005-0000-0000-000019370000}"/>
    <cellStyle name="40% - Ênfase4 8 3 4 2" xfId="14252" xr:uid="{00000000-0005-0000-0000-00001A370000}"/>
    <cellStyle name="40% - Ênfase4 8 3 5" xfId="14253" xr:uid="{00000000-0005-0000-0000-00001B370000}"/>
    <cellStyle name="40% - Ênfase4 8 4" xfId="14254" xr:uid="{00000000-0005-0000-0000-00001C370000}"/>
    <cellStyle name="40% - Ênfase4 8 4 2" xfId="14255" xr:uid="{00000000-0005-0000-0000-00001D370000}"/>
    <cellStyle name="40% - Ênfase4 8 4 2 2" xfId="14256" xr:uid="{00000000-0005-0000-0000-00001E370000}"/>
    <cellStyle name="40% - Ênfase4 8 4 3" xfId="14257" xr:uid="{00000000-0005-0000-0000-00001F370000}"/>
    <cellStyle name="40% - Ênfase4 8 4 3 2" xfId="14258" xr:uid="{00000000-0005-0000-0000-000020370000}"/>
    <cellStyle name="40% - Ênfase4 8 4 4" xfId="14259" xr:uid="{00000000-0005-0000-0000-000021370000}"/>
    <cellStyle name="40% - Ênfase4 8 5" xfId="14260" xr:uid="{00000000-0005-0000-0000-000022370000}"/>
    <cellStyle name="40% - Ênfase4 8 5 2" xfId="14261" xr:uid="{00000000-0005-0000-0000-000023370000}"/>
    <cellStyle name="40% - Ênfase4 8 5 2 2" xfId="14262" xr:uid="{00000000-0005-0000-0000-000024370000}"/>
    <cellStyle name="40% - Ênfase4 8 5 3" xfId="14263" xr:uid="{00000000-0005-0000-0000-000025370000}"/>
    <cellStyle name="40% - Ênfase4 8 6" xfId="14264" xr:uid="{00000000-0005-0000-0000-000026370000}"/>
    <cellStyle name="40% - Ênfase4 8 6 2" xfId="14265" xr:uid="{00000000-0005-0000-0000-000027370000}"/>
    <cellStyle name="40% - Ênfase4 8 7" xfId="14266" xr:uid="{00000000-0005-0000-0000-000028370000}"/>
    <cellStyle name="40% - Ênfase4 9" xfId="14267" xr:uid="{00000000-0005-0000-0000-000029370000}"/>
    <cellStyle name="40% - Ênfase4 9 2" xfId="14268" xr:uid="{00000000-0005-0000-0000-00002A370000}"/>
    <cellStyle name="40% - Ênfase4 9 2 2" xfId="14269" xr:uid="{00000000-0005-0000-0000-00002B370000}"/>
    <cellStyle name="40% - Ênfase4 9 2 2 2" xfId="14270" xr:uid="{00000000-0005-0000-0000-00002C370000}"/>
    <cellStyle name="40% - Ênfase4 9 2 2 2 2" xfId="14271" xr:uid="{00000000-0005-0000-0000-00002D370000}"/>
    <cellStyle name="40% - Ênfase4 9 2 2 2 2 2" xfId="14272" xr:uid="{00000000-0005-0000-0000-00002E370000}"/>
    <cellStyle name="40% - Ênfase4 9 2 2 2 3" xfId="14273" xr:uid="{00000000-0005-0000-0000-00002F370000}"/>
    <cellStyle name="40% - Ênfase4 9 2 2 2 3 2" xfId="14274" xr:uid="{00000000-0005-0000-0000-000030370000}"/>
    <cellStyle name="40% - Ênfase4 9 2 2 2 4" xfId="14275" xr:uid="{00000000-0005-0000-0000-000031370000}"/>
    <cellStyle name="40% - Ênfase4 9 2 2 3" xfId="14276" xr:uid="{00000000-0005-0000-0000-000032370000}"/>
    <cellStyle name="40% - Ênfase4 9 2 2 3 2" xfId="14277" xr:uid="{00000000-0005-0000-0000-000033370000}"/>
    <cellStyle name="40% - Ênfase4 9 2 2 4" xfId="14278" xr:uid="{00000000-0005-0000-0000-000034370000}"/>
    <cellStyle name="40% - Ênfase4 9 2 2 4 2" xfId="14279" xr:uid="{00000000-0005-0000-0000-000035370000}"/>
    <cellStyle name="40% - Ênfase4 9 2 2 5" xfId="14280" xr:uid="{00000000-0005-0000-0000-000036370000}"/>
    <cellStyle name="40% - Ênfase4 9 2 3" xfId="14281" xr:uid="{00000000-0005-0000-0000-000037370000}"/>
    <cellStyle name="40% - Ênfase4 9 2 3 2" xfId="14282" xr:uid="{00000000-0005-0000-0000-000038370000}"/>
    <cellStyle name="40% - Ênfase4 9 2 3 2 2" xfId="14283" xr:uid="{00000000-0005-0000-0000-000039370000}"/>
    <cellStyle name="40% - Ênfase4 9 2 3 3" xfId="14284" xr:uid="{00000000-0005-0000-0000-00003A370000}"/>
    <cellStyle name="40% - Ênfase4 9 2 3 3 2" xfId="14285" xr:uid="{00000000-0005-0000-0000-00003B370000}"/>
    <cellStyle name="40% - Ênfase4 9 2 3 4" xfId="14286" xr:uid="{00000000-0005-0000-0000-00003C370000}"/>
    <cellStyle name="40% - Ênfase4 9 2 4" xfId="14287" xr:uid="{00000000-0005-0000-0000-00003D370000}"/>
    <cellStyle name="40% - Ênfase4 9 2 4 2" xfId="14288" xr:uid="{00000000-0005-0000-0000-00003E370000}"/>
    <cellStyle name="40% - Ênfase4 9 2 4 2 2" xfId="14289" xr:uid="{00000000-0005-0000-0000-00003F370000}"/>
    <cellStyle name="40% - Ênfase4 9 2 4 3" xfId="14290" xr:uid="{00000000-0005-0000-0000-000040370000}"/>
    <cellStyle name="40% - Ênfase4 9 2 5" xfId="14291" xr:uid="{00000000-0005-0000-0000-000041370000}"/>
    <cellStyle name="40% - Ênfase4 9 2 5 2" xfId="14292" xr:uid="{00000000-0005-0000-0000-000042370000}"/>
    <cellStyle name="40% - Ênfase4 9 2 6" xfId="14293" xr:uid="{00000000-0005-0000-0000-000043370000}"/>
    <cellStyle name="40% - Ênfase4 9 3" xfId="14294" xr:uid="{00000000-0005-0000-0000-000044370000}"/>
    <cellStyle name="40% - Ênfase4 9 3 2" xfId="14295" xr:uid="{00000000-0005-0000-0000-000045370000}"/>
    <cellStyle name="40% - Ênfase4 9 3 2 2" xfId="14296" xr:uid="{00000000-0005-0000-0000-000046370000}"/>
    <cellStyle name="40% - Ênfase4 9 3 2 2 2" xfId="14297" xr:uid="{00000000-0005-0000-0000-000047370000}"/>
    <cellStyle name="40% - Ênfase4 9 3 2 3" xfId="14298" xr:uid="{00000000-0005-0000-0000-000048370000}"/>
    <cellStyle name="40% - Ênfase4 9 3 2 3 2" xfId="14299" xr:uid="{00000000-0005-0000-0000-000049370000}"/>
    <cellStyle name="40% - Ênfase4 9 3 2 4" xfId="14300" xr:uid="{00000000-0005-0000-0000-00004A370000}"/>
    <cellStyle name="40% - Ênfase4 9 3 3" xfId="14301" xr:uid="{00000000-0005-0000-0000-00004B370000}"/>
    <cellStyle name="40% - Ênfase4 9 3 3 2" xfId="14302" xr:uid="{00000000-0005-0000-0000-00004C370000}"/>
    <cellStyle name="40% - Ênfase4 9 3 4" xfId="14303" xr:uid="{00000000-0005-0000-0000-00004D370000}"/>
    <cellStyle name="40% - Ênfase4 9 3 4 2" xfId="14304" xr:uid="{00000000-0005-0000-0000-00004E370000}"/>
    <cellStyle name="40% - Ênfase4 9 3 5" xfId="14305" xr:uid="{00000000-0005-0000-0000-00004F370000}"/>
    <cellStyle name="40% - Ênfase4 9 4" xfId="14306" xr:uid="{00000000-0005-0000-0000-000050370000}"/>
    <cellStyle name="40% - Ênfase4 9 4 2" xfId="14307" xr:uid="{00000000-0005-0000-0000-000051370000}"/>
    <cellStyle name="40% - Ênfase4 9 4 2 2" xfId="14308" xr:uid="{00000000-0005-0000-0000-000052370000}"/>
    <cellStyle name="40% - Ênfase4 9 4 3" xfId="14309" xr:uid="{00000000-0005-0000-0000-000053370000}"/>
    <cellStyle name="40% - Ênfase4 9 4 3 2" xfId="14310" xr:uid="{00000000-0005-0000-0000-000054370000}"/>
    <cellStyle name="40% - Ênfase4 9 4 4" xfId="14311" xr:uid="{00000000-0005-0000-0000-000055370000}"/>
    <cellStyle name="40% - Ênfase4 9 5" xfId="14312" xr:uid="{00000000-0005-0000-0000-000056370000}"/>
    <cellStyle name="40% - Ênfase4 9 5 2" xfId="14313" xr:uid="{00000000-0005-0000-0000-000057370000}"/>
    <cellStyle name="40% - Ênfase4 9 5 2 2" xfId="14314" xr:uid="{00000000-0005-0000-0000-000058370000}"/>
    <cellStyle name="40% - Ênfase4 9 5 3" xfId="14315" xr:uid="{00000000-0005-0000-0000-000059370000}"/>
    <cellStyle name="40% - Ênfase4 9 6" xfId="14316" xr:uid="{00000000-0005-0000-0000-00005A370000}"/>
    <cellStyle name="40% - Ênfase4 9 6 2" xfId="14317" xr:uid="{00000000-0005-0000-0000-00005B370000}"/>
    <cellStyle name="40% - Ênfase4 9 7" xfId="14318" xr:uid="{00000000-0005-0000-0000-00005C370000}"/>
    <cellStyle name="40% - Ênfase5 10" xfId="14319" xr:uid="{00000000-0005-0000-0000-00005D370000}"/>
    <cellStyle name="40% - Ênfase5 10 2" xfId="14320" xr:uid="{00000000-0005-0000-0000-00005E370000}"/>
    <cellStyle name="40% - Ênfase5 10 2 2" xfId="14321" xr:uid="{00000000-0005-0000-0000-00005F370000}"/>
    <cellStyle name="40% - Ênfase5 10 2 2 2" xfId="14322" xr:uid="{00000000-0005-0000-0000-000060370000}"/>
    <cellStyle name="40% - Ênfase5 10 2 2 2 2" xfId="14323" xr:uid="{00000000-0005-0000-0000-000061370000}"/>
    <cellStyle name="40% - Ênfase5 10 2 2 2 2 2" xfId="14324" xr:uid="{00000000-0005-0000-0000-000062370000}"/>
    <cellStyle name="40% - Ênfase5 10 2 2 2 3" xfId="14325" xr:uid="{00000000-0005-0000-0000-000063370000}"/>
    <cellStyle name="40% - Ênfase5 10 2 2 2 3 2" xfId="14326" xr:uid="{00000000-0005-0000-0000-000064370000}"/>
    <cellStyle name="40% - Ênfase5 10 2 2 2 4" xfId="14327" xr:uid="{00000000-0005-0000-0000-000065370000}"/>
    <cellStyle name="40% - Ênfase5 10 2 2 3" xfId="14328" xr:uid="{00000000-0005-0000-0000-000066370000}"/>
    <cellStyle name="40% - Ênfase5 10 2 2 3 2" xfId="14329" xr:uid="{00000000-0005-0000-0000-000067370000}"/>
    <cellStyle name="40% - Ênfase5 10 2 2 4" xfId="14330" xr:uid="{00000000-0005-0000-0000-000068370000}"/>
    <cellStyle name="40% - Ênfase5 10 2 2 4 2" xfId="14331" xr:uid="{00000000-0005-0000-0000-000069370000}"/>
    <cellStyle name="40% - Ênfase5 10 2 2 5" xfId="14332" xr:uid="{00000000-0005-0000-0000-00006A370000}"/>
    <cellStyle name="40% - Ênfase5 10 2 3" xfId="14333" xr:uid="{00000000-0005-0000-0000-00006B370000}"/>
    <cellStyle name="40% - Ênfase5 10 2 3 2" xfId="14334" xr:uid="{00000000-0005-0000-0000-00006C370000}"/>
    <cellStyle name="40% - Ênfase5 10 2 3 2 2" xfId="14335" xr:uid="{00000000-0005-0000-0000-00006D370000}"/>
    <cellStyle name="40% - Ênfase5 10 2 3 3" xfId="14336" xr:uid="{00000000-0005-0000-0000-00006E370000}"/>
    <cellStyle name="40% - Ênfase5 10 2 3 3 2" xfId="14337" xr:uid="{00000000-0005-0000-0000-00006F370000}"/>
    <cellStyle name="40% - Ênfase5 10 2 3 4" xfId="14338" xr:uid="{00000000-0005-0000-0000-000070370000}"/>
    <cellStyle name="40% - Ênfase5 10 2 4" xfId="14339" xr:uid="{00000000-0005-0000-0000-000071370000}"/>
    <cellStyle name="40% - Ênfase5 10 2 4 2" xfId="14340" xr:uid="{00000000-0005-0000-0000-000072370000}"/>
    <cellStyle name="40% - Ênfase5 10 2 4 2 2" xfId="14341" xr:uid="{00000000-0005-0000-0000-000073370000}"/>
    <cellStyle name="40% - Ênfase5 10 2 4 3" xfId="14342" xr:uid="{00000000-0005-0000-0000-000074370000}"/>
    <cellStyle name="40% - Ênfase5 10 2 5" xfId="14343" xr:uid="{00000000-0005-0000-0000-000075370000}"/>
    <cellStyle name="40% - Ênfase5 10 2 5 2" xfId="14344" xr:uid="{00000000-0005-0000-0000-000076370000}"/>
    <cellStyle name="40% - Ênfase5 10 2 6" xfId="14345" xr:uid="{00000000-0005-0000-0000-000077370000}"/>
    <cellStyle name="40% - Ênfase5 10 3" xfId="14346" xr:uid="{00000000-0005-0000-0000-000078370000}"/>
    <cellStyle name="40% - Ênfase5 10 3 2" xfId="14347" xr:uid="{00000000-0005-0000-0000-000079370000}"/>
    <cellStyle name="40% - Ênfase5 10 3 2 2" xfId="14348" xr:uid="{00000000-0005-0000-0000-00007A370000}"/>
    <cellStyle name="40% - Ênfase5 10 3 2 2 2" xfId="14349" xr:uid="{00000000-0005-0000-0000-00007B370000}"/>
    <cellStyle name="40% - Ênfase5 10 3 2 3" xfId="14350" xr:uid="{00000000-0005-0000-0000-00007C370000}"/>
    <cellStyle name="40% - Ênfase5 10 3 2 3 2" xfId="14351" xr:uid="{00000000-0005-0000-0000-00007D370000}"/>
    <cellStyle name="40% - Ênfase5 10 3 2 4" xfId="14352" xr:uid="{00000000-0005-0000-0000-00007E370000}"/>
    <cellStyle name="40% - Ênfase5 10 3 3" xfId="14353" xr:uid="{00000000-0005-0000-0000-00007F370000}"/>
    <cellStyle name="40% - Ênfase5 10 3 3 2" xfId="14354" xr:uid="{00000000-0005-0000-0000-000080370000}"/>
    <cellStyle name="40% - Ênfase5 10 3 4" xfId="14355" xr:uid="{00000000-0005-0000-0000-000081370000}"/>
    <cellStyle name="40% - Ênfase5 10 3 4 2" xfId="14356" xr:uid="{00000000-0005-0000-0000-000082370000}"/>
    <cellStyle name="40% - Ênfase5 10 3 5" xfId="14357" xr:uid="{00000000-0005-0000-0000-000083370000}"/>
    <cellStyle name="40% - Ênfase5 10 4" xfId="14358" xr:uid="{00000000-0005-0000-0000-000084370000}"/>
    <cellStyle name="40% - Ênfase5 10 4 2" xfId="14359" xr:uid="{00000000-0005-0000-0000-000085370000}"/>
    <cellStyle name="40% - Ênfase5 10 4 2 2" xfId="14360" xr:uid="{00000000-0005-0000-0000-000086370000}"/>
    <cellStyle name="40% - Ênfase5 10 4 3" xfId="14361" xr:uid="{00000000-0005-0000-0000-000087370000}"/>
    <cellStyle name="40% - Ênfase5 10 4 3 2" xfId="14362" xr:uid="{00000000-0005-0000-0000-000088370000}"/>
    <cellStyle name="40% - Ênfase5 10 4 4" xfId="14363" xr:uid="{00000000-0005-0000-0000-000089370000}"/>
    <cellStyle name="40% - Ênfase5 10 5" xfId="14364" xr:uid="{00000000-0005-0000-0000-00008A370000}"/>
    <cellStyle name="40% - Ênfase5 10 5 2" xfId="14365" xr:uid="{00000000-0005-0000-0000-00008B370000}"/>
    <cellStyle name="40% - Ênfase5 10 5 2 2" xfId="14366" xr:uid="{00000000-0005-0000-0000-00008C370000}"/>
    <cellStyle name="40% - Ênfase5 10 5 3" xfId="14367" xr:uid="{00000000-0005-0000-0000-00008D370000}"/>
    <cellStyle name="40% - Ênfase5 10 6" xfId="14368" xr:uid="{00000000-0005-0000-0000-00008E370000}"/>
    <cellStyle name="40% - Ênfase5 10 6 2" xfId="14369" xr:uid="{00000000-0005-0000-0000-00008F370000}"/>
    <cellStyle name="40% - Ênfase5 10 7" xfId="14370" xr:uid="{00000000-0005-0000-0000-000090370000}"/>
    <cellStyle name="40% - Ênfase5 11" xfId="14371" xr:uid="{00000000-0005-0000-0000-000091370000}"/>
    <cellStyle name="40% - Ênfase5 11 2" xfId="14372" xr:uid="{00000000-0005-0000-0000-000092370000}"/>
    <cellStyle name="40% - Ênfase5 11 2 2" xfId="14373" xr:uid="{00000000-0005-0000-0000-000093370000}"/>
    <cellStyle name="40% - Ênfase5 11 2 2 2" xfId="14374" xr:uid="{00000000-0005-0000-0000-000094370000}"/>
    <cellStyle name="40% - Ênfase5 11 2 2 2 2" xfId="14375" xr:uid="{00000000-0005-0000-0000-000095370000}"/>
    <cellStyle name="40% - Ênfase5 11 2 2 2 2 2" xfId="14376" xr:uid="{00000000-0005-0000-0000-000096370000}"/>
    <cellStyle name="40% - Ênfase5 11 2 2 2 3" xfId="14377" xr:uid="{00000000-0005-0000-0000-000097370000}"/>
    <cellStyle name="40% - Ênfase5 11 2 2 2 3 2" xfId="14378" xr:uid="{00000000-0005-0000-0000-000098370000}"/>
    <cellStyle name="40% - Ênfase5 11 2 2 2 4" xfId="14379" xr:uid="{00000000-0005-0000-0000-000099370000}"/>
    <cellStyle name="40% - Ênfase5 11 2 2 3" xfId="14380" xr:uid="{00000000-0005-0000-0000-00009A370000}"/>
    <cellStyle name="40% - Ênfase5 11 2 2 3 2" xfId="14381" xr:uid="{00000000-0005-0000-0000-00009B370000}"/>
    <cellStyle name="40% - Ênfase5 11 2 2 4" xfId="14382" xr:uid="{00000000-0005-0000-0000-00009C370000}"/>
    <cellStyle name="40% - Ênfase5 11 2 2 4 2" xfId="14383" xr:uid="{00000000-0005-0000-0000-00009D370000}"/>
    <cellStyle name="40% - Ênfase5 11 2 2 5" xfId="14384" xr:uid="{00000000-0005-0000-0000-00009E370000}"/>
    <cellStyle name="40% - Ênfase5 11 2 3" xfId="14385" xr:uid="{00000000-0005-0000-0000-00009F370000}"/>
    <cellStyle name="40% - Ênfase5 11 2 3 2" xfId="14386" xr:uid="{00000000-0005-0000-0000-0000A0370000}"/>
    <cellStyle name="40% - Ênfase5 11 2 3 2 2" xfId="14387" xr:uid="{00000000-0005-0000-0000-0000A1370000}"/>
    <cellStyle name="40% - Ênfase5 11 2 3 3" xfId="14388" xr:uid="{00000000-0005-0000-0000-0000A2370000}"/>
    <cellStyle name="40% - Ênfase5 11 2 3 3 2" xfId="14389" xr:uid="{00000000-0005-0000-0000-0000A3370000}"/>
    <cellStyle name="40% - Ênfase5 11 2 3 4" xfId="14390" xr:uid="{00000000-0005-0000-0000-0000A4370000}"/>
    <cellStyle name="40% - Ênfase5 11 2 4" xfId="14391" xr:uid="{00000000-0005-0000-0000-0000A5370000}"/>
    <cellStyle name="40% - Ênfase5 11 2 4 2" xfId="14392" xr:uid="{00000000-0005-0000-0000-0000A6370000}"/>
    <cellStyle name="40% - Ênfase5 11 2 4 2 2" xfId="14393" xr:uid="{00000000-0005-0000-0000-0000A7370000}"/>
    <cellStyle name="40% - Ênfase5 11 2 4 3" xfId="14394" xr:uid="{00000000-0005-0000-0000-0000A8370000}"/>
    <cellStyle name="40% - Ênfase5 11 2 5" xfId="14395" xr:uid="{00000000-0005-0000-0000-0000A9370000}"/>
    <cellStyle name="40% - Ênfase5 11 2 5 2" xfId="14396" xr:uid="{00000000-0005-0000-0000-0000AA370000}"/>
    <cellStyle name="40% - Ênfase5 11 2 6" xfId="14397" xr:uid="{00000000-0005-0000-0000-0000AB370000}"/>
    <cellStyle name="40% - Ênfase5 11 3" xfId="14398" xr:uid="{00000000-0005-0000-0000-0000AC370000}"/>
    <cellStyle name="40% - Ênfase5 11 3 2" xfId="14399" xr:uid="{00000000-0005-0000-0000-0000AD370000}"/>
    <cellStyle name="40% - Ênfase5 11 3 2 2" xfId="14400" xr:uid="{00000000-0005-0000-0000-0000AE370000}"/>
    <cellStyle name="40% - Ênfase5 11 3 2 2 2" xfId="14401" xr:uid="{00000000-0005-0000-0000-0000AF370000}"/>
    <cellStyle name="40% - Ênfase5 11 3 2 3" xfId="14402" xr:uid="{00000000-0005-0000-0000-0000B0370000}"/>
    <cellStyle name="40% - Ênfase5 11 3 2 3 2" xfId="14403" xr:uid="{00000000-0005-0000-0000-0000B1370000}"/>
    <cellStyle name="40% - Ênfase5 11 3 2 4" xfId="14404" xr:uid="{00000000-0005-0000-0000-0000B2370000}"/>
    <cellStyle name="40% - Ênfase5 11 3 3" xfId="14405" xr:uid="{00000000-0005-0000-0000-0000B3370000}"/>
    <cellStyle name="40% - Ênfase5 11 3 3 2" xfId="14406" xr:uid="{00000000-0005-0000-0000-0000B4370000}"/>
    <cellStyle name="40% - Ênfase5 11 3 4" xfId="14407" xr:uid="{00000000-0005-0000-0000-0000B5370000}"/>
    <cellStyle name="40% - Ênfase5 11 3 4 2" xfId="14408" xr:uid="{00000000-0005-0000-0000-0000B6370000}"/>
    <cellStyle name="40% - Ênfase5 11 3 5" xfId="14409" xr:uid="{00000000-0005-0000-0000-0000B7370000}"/>
    <cellStyle name="40% - Ênfase5 11 4" xfId="14410" xr:uid="{00000000-0005-0000-0000-0000B8370000}"/>
    <cellStyle name="40% - Ênfase5 11 4 2" xfId="14411" xr:uid="{00000000-0005-0000-0000-0000B9370000}"/>
    <cellStyle name="40% - Ênfase5 11 4 2 2" xfId="14412" xr:uid="{00000000-0005-0000-0000-0000BA370000}"/>
    <cellStyle name="40% - Ênfase5 11 4 3" xfId="14413" xr:uid="{00000000-0005-0000-0000-0000BB370000}"/>
    <cellStyle name="40% - Ênfase5 11 4 3 2" xfId="14414" xr:uid="{00000000-0005-0000-0000-0000BC370000}"/>
    <cellStyle name="40% - Ênfase5 11 4 4" xfId="14415" xr:uid="{00000000-0005-0000-0000-0000BD370000}"/>
    <cellStyle name="40% - Ênfase5 11 5" xfId="14416" xr:uid="{00000000-0005-0000-0000-0000BE370000}"/>
    <cellStyle name="40% - Ênfase5 11 5 2" xfId="14417" xr:uid="{00000000-0005-0000-0000-0000BF370000}"/>
    <cellStyle name="40% - Ênfase5 11 5 2 2" xfId="14418" xr:uid="{00000000-0005-0000-0000-0000C0370000}"/>
    <cellStyle name="40% - Ênfase5 11 5 3" xfId="14419" xr:uid="{00000000-0005-0000-0000-0000C1370000}"/>
    <cellStyle name="40% - Ênfase5 11 6" xfId="14420" xr:uid="{00000000-0005-0000-0000-0000C2370000}"/>
    <cellStyle name="40% - Ênfase5 11 6 2" xfId="14421" xr:uid="{00000000-0005-0000-0000-0000C3370000}"/>
    <cellStyle name="40% - Ênfase5 11 7" xfId="14422" xr:uid="{00000000-0005-0000-0000-0000C4370000}"/>
    <cellStyle name="40% - Ênfase5 12" xfId="14423" xr:uid="{00000000-0005-0000-0000-0000C5370000}"/>
    <cellStyle name="40% - Ênfase5 12 2" xfId="14424" xr:uid="{00000000-0005-0000-0000-0000C6370000}"/>
    <cellStyle name="40% - Ênfase5 12 2 2" xfId="14425" xr:uid="{00000000-0005-0000-0000-0000C7370000}"/>
    <cellStyle name="40% - Ênfase5 12 2 2 2" xfId="14426" xr:uid="{00000000-0005-0000-0000-0000C8370000}"/>
    <cellStyle name="40% - Ênfase5 12 2 2 2 2" xfId="14427" xr:uid="{00000000-0005-0000-0000-0000C9370000}"/>
    <cellStyle name="40% - Ênfase5 12 2 2 2 2 2" xfId="14428" xr:uid="{00000000-0005-0000-0000-0000CA370000}"/>
    <cellStyle name="40% - Ênfase5 12 2 2 2 3" xfId="14429" xr:uid="{00000000-0005-0000-0000-0000CB370000}"/>
    <cellStyle name="40% - Ênfase5 12 2 2 2 3 2" xfId="14430" xr:uid="{00000000-0005-0000-0000-0000CC370000}"/>
    <cellStyle name="40% - Ênfase5 12 2 2 2 4" xfId="14431" xr:uid="{00000000-0005-0000-0000-0000CD370000}"/>
    <cellStyle name="40% - Ênfase5 12 2 2 3" xfId="14432" xr:uid="{00000000-0005-0000-0000-0000CE370000}"/>
    <cellStyle name="40% - Ênfase5 12 2 2 3 2" xfId="14433" xr:uid="{00000000-0005-0000-0000-0000CF370000}"/>
    <cellStyle name="40% - Ênfase5 12 2 2 4" xfId="14434" xr:uid="{00000000-0005-0000-0000-0000D0370000}"/>
    <cellStyle name="40% - Ênfase5 12 2 2 4 2" xfId="14435" xr:uid="{00000000-0005-0000-0000-0000D1370000}"/>
    <cellStyle name="40% - Ênfase5 12 2 2 5" xfId="14436" xr:uid="{00000000-0005-0000-0000-0000D2370000}"/>
    <cellStyle name="40% - Ênfase5 12 2 3" xfId="14437" xr:uid="{00000000-0005-0000-0000-0000D3370000}"/>
    <cellStyle name="40% - Ênfase5 12 2 3 2" xfId="14438" xr:uid="{00000000-0005-0000-0000-0000D4370000}"/>
    <cellStyle name="40% - Ênfase5 12 2 3 2 2" xfId="14439" xr:uid="{00000000-0005-0000-0000-0000D5370000}"/>
    <cellStyle name="40% - Ênfase5 12 2 3 3" xfId="14440" xr:uid="{00000000-0005-0000-0000-0000D6370000}"/>
    <cellStyle name="40% - Ênfase5 12 2 3 3 2" xfId="14441" xr:uid="{00000000-0005-0000-0000-0000D7370000}"/>
    <cellStyle name="40% - Ênfase5 12 2 3 4" xfId="14442" xr:uid="{00000000-0005-0000-0000-0000D8370000}"/>
    <cellStyle name="40% - Ênfase5 12 2 4" xfId="14443" xr:uid="{00000000-0005-0000-0000-0000D9370000}"/>
    <cellStyle name="40% - Ênfase5 12 2 4 2" xfId="14444" xr:uid="{00000000-0005-0000-0000-0000DA370000}"/>
    <cellStyle name="40% - Ênfase5 12 2 4 2 2" xfId="14445" xr:uid="{00000000-0005-0000-0000-0000DB370000}"/>
    <cellStyle name="40% - Ênfase5 12 2 4 3" xfId="14446" xr:uid="{00000000-0005-0000-0000-0000DC370000}"/>
    <cellStyle name="40% - Ênfase5 12 2 5" xfId="14447" xr:uid="{00000000-0005-0000-0000-0000DD370000}"/>
    <cellStyle name="40% - Ênfase5 12 2 5 2" xfId="14448" xr:uid="{00000000-0005-0000-0000-0000DE370000}"/>
    <cellStyle name="40% - Ênfase5 12 2 6" xfId="14449" xr:uid="{00000000-0005-0000-0000-0000DF370000}"/>
    <cellStyle name="40% - Ênfase5 12 3" xfId="14450" xr:uid="{00000000-0005-0000-0000-0000E0370000}"/>
    <cellStyle name="40% - Ênfase5 12 3 2" xfId="14451" xr:uid="{00000000-0005-0000-0000-0000E1370000}"/>
    <cellStyle name="40% - Ênfase5 12 3 2 2" xfId="14452" xr:uid="{00000000-0005-0000-0000-0000E2370000}"/>
    <cellStyle name="40% - Ênfase5 12 3 2 2 2" xfId="14453" xr:uid="{00000000-0005-0000-0000-0000E3370000}"/>
    <cellStyle name="40% - Ênfase5 12 3 2 3" xfId="14454" xr:uid="{00000000-0005-0000-0000-0000E4370000}"/>
    <cellStyle name="40% - Ênfase5 12 3 2 3 2" xfId="14455" xr:uid="{00000000-0005-0000-0000-0000E5370000}"/>
    <cellStyle name="40% - Ênfase5 12 3 2 4" xfId="14456" xr:uid="{00000000-0005-0000-0000-0000E6370000}"/>
    <cellStyle name="40% - Ênfase5 12 3 3" xfId="14457" xr:uid="{00000000-0005-0000-0000-0000E7370000}"/>
    <cellStyle name="40% - Ênfase5 12 3 3 2" xfId="14458" xr:uid="{00000000-0005-0000-0000-0000E8370000}"/>
    <cellStyle name="40% - Ênfase5 12 3 4" xfId="14459" xr:uid="{00000000-0005-0000-0000-0000E9370000}"/>
    <cellStyle name="40% - Ênfase5 12 3 4 2" xfId="14460" xr:uid="{00000000-0005-0000-0000-0000EA370000}"/>
    <cellStyle name="40% - Ênfase5 12 3 5" xfId="14461" xr:uid="{00000000-0005-0000-0000-0000EB370000}"/>
    <cellStyle name="40% - Ênfase5 12 4" xfId="14462" xr:uid="{00000000-0005-0000-0000-0000EC370000}"/>
    <cellStyle name="40% - Ênfase5 12 4 2" xfId="14463" xr:uid="{00000000-0005-0000-0000-0000ED370000}"/>
    <cellStyle name="40% - Ênfase5 12 4 2 2" xfId="14464" xr:uid="{00000000-0005-0000-0000-0000EE370000}"/>
    <cellStyle name="40% - Ênfase5 12 4 3" xfId="14465" xr:uid="{00000000-0005-0000-0000-0000EF370000}"/>
    <cellStyle name="40% - Ênfase5 12 4 3 2" xfId="14466" xr:uid="{00000000-0005-0000-0000-0000F0370000}"/>
    <cellStyle name="40% - Ênfase5 12 4 4" xfId="14467" xr:uid="{00000000-0005-0000-0000-0000F1370000}"/>
    <cellStyle name="40% - Ênfase5 12 5" xfId="14468" xr:uid="{00000000-0005-0000-0000-0000F2370000}"/>
    <cellStyle name="40% - Ênfase5 12 5 2" xfId="14469" xr:uid="{00000000-0005-0000-0000-0000F3370000}"/>
    <cellStyle name="40% - Ênfase5 12 5 2 2" xfId="14470" xr:uid="{00000000-0005-0000-0000-0000F4370000}"/>
    <cellStyle name="40% - Ênfase5 12 5 3" xfId="14471" xr:uid="{00000000-0005-0000-0000-0000F5370000}"/>
    <cellStyle name="40% - Ênfase5 12 6" xfId="14472" xr:uid="{00000000-0005-0000-0000-0000F6370000}"/>
    <cellStyle name="40% - Ênfase5 12 6 2" xfId="14473" xr:uid="{00000000-0005-0000-0000-0000F7370000}"/>
    <cellStyle name="40% - Ênfase5 12 7" xfId="14474" xr:uid="{00000000-0005-0000-0000-0000F8370000}"/>
    <cellStyle name="40% - Ênfase5 13" xfId="14475" xr:uid="{00000000-0005-0000-0000-0000F9370000}"/>
    <cellStyle name="40% - Ênfase5 13 2" xfId="14476" xr:uid="{00000000-0005-0000-0000-0000FA370000}"/>
    <cellStyle name="40% - Ênfase5 13 2 2" xfId="14477" xr:uid="{00000000-0005-0000-0000-0000FB370000}"/>
    <cellStyle name="40% - Ênfase5 13 2 2 2" xfId="14478" xr:uid="{00000000-0005-0000-0000-0000FC370000}"/>
    <cellStyle name="40% - Ênfase5 13 2 2 2 2" xfId="14479" xr:uid="{00000000-0005-0000-0000-0000FD370000}"/>
    <cellStyle name="40% - Ênfase5 13 2 2 2 2 2" xfId="14480" xr:uid="{00000000-0005-0000-0000-0000FE370000}"/>
    <cellStyle name="40% - Ênfase5 13 2 2 2 3" xfId="14481" xr:uid="{00000000-0005-0000-0000-0000FF370000}"/>
    <cellStyle name="40% - Ênfase5 13 2 2 2 3 2" xfId="14482" xr:uid="{00000000-0005-0000-0000-000000380000}"/>
    <cellStyle name="40% - Ênfase5 13 2 2 2 4" xfId="14483" xr:uid="{00000000-0005-0000-0000-000001380000}"/>
    <cellStyle name="40% - Ênfase5 13 2 2 3" xfId="14484" xr:uid="{00000000-0005-0000-0000-000002380000}"/>
    <cellStyle name="40% - Ênfase5 13 2 2 3 2" xfId="14485" xr:uid="{00000000-0005-0000-0000-000003380000}"/>
    <cellStyle name="40% - Ênfase5 13 2 2 4" xfId="14486" xr:uid="{00000000-0005-0000-0000-000004380000}"/>
    <cellStyle name="40% - Ênfase5 13 2 2 4 2" xfId="14487" xr:uid="{00000000-0005-0000-0000-000005380000}"/>
    <cellStyle name="40% - Ênfase5 13 2 2 5" xfId="14488" xr:uid="{00000000-0005-0000-0000-000006380000}"/>
    <cellStyle name="40% - Ênfase5 13 2 3" xfId="14489" xr:uid="{00000000-0005-0000-0000-000007380000}"/>
    <cellStyle name="40% - Ênfase5 13 2 3 2" xfId="14490" xr:uid="{00000000-0005-0000-0000-000008380000}"/>
    <cellStyle name="40% - Ênfase5 13 2 3 2 2" xfId="14491" xr:uid="{00000000-0005-0000-0000-000009380000}"/>
    <cellStyle name="40% - Ênfase5 13 2 3 3" xfId="14492" xr:uid="{00000000-0005-0000-0000-00000A380000}"/>
    <cellStyle name="40% - Ênfase5 13 2 3 3 2" xfId="14493" xr:uid="{00000000-0005-0000-0000-00000B380000}"/>
    <cellStyle name="40% - Ênfase5 13 2 3 4" xfId="14494" xr:uid="{00000000-0005-0000-0000-00000C380000}"/>
    <cellStyle name="40% - Ênfase5 13 2 4" xfId="14495" xr:uid="{00000000-0005-0000-0000-00000D380000}"/>
    <cellStyle name="40% - Ênfase5 13 2 4 2" xfId="14496" xr:uid="{00000000-0005-0000-0000-00000E380000}"/>
    <cellStyle name="40% - Ênfase5 13 2 4 2 2" xfId="14497" xr:uid="{00000000-0005-0000-0000-00000F380000}"/>
    <cellStyle name="40% - Ênfase5 13 2 4 3" xfId="14498" xr:uid="{00000000-0005-0000-0000-000010380000}"/>
    <cellStyle name="40% - Ênfase5 13 2 5" xfId="14499" xr:uid="{00000000-0005-0000-0000-000011380000}"/>
    <cellStyle name="40% - Ênfase5 13 2 5 2" xfId="14500" xr:uid="{00000000-0005-0000-0000-000012380000}"/>
    <cellStyle name="40% - Ênfase5 13 2 6" xfId="14501" xr:uid="{00000000-0005-0000-0000-000013380000}"/>
    <cellStyle name="40% - Ênfase5 13 3" xfId="14502" xr:uid="{00000000-0005-0000-0000-000014380000}"/>
    <cellStyle name="40% - Ênfase5 13 3 2" xfId="14503" xr:uid="{00000000-0005-0000-0000-000015380000}"/>
    <cellStyle name="40% - Ênfase5 13 3 2 2" xfId="14504" xr:uid="{00000000-0005-0000-0000-000016380000}"/>
    <cellStyle name="40% - Ênfase5 13 3 2 2 2" xfId="14505" xr:uid="{00000000-0005-0000-0000-000017380000}"/>
    <cellStyle name="40% - Ênfase5 13 3 2 3" xfId="14506" xr:uid="{00000000-0005-0000-0000-000018380000}"/>
    <cellStyle name="40% - Ênfase5 13 3 2 3 2" xfId="14507" xr:uid="{00000000-0005-0000-0000-000019380000}"/>
    <cellStyle name="40% - Ênfase5 13 3 2 4" xfId="14508" xr:uid="{00000000-0005-0000-0000-00001A380000}"/>
    <cellStyle name="40% - Ênfase5 13 3 3" xfId="14509" xr:uid="{00000000-0005-0000-0000-00001B380000}"/>
    <cellStyle name="40% - Ênfase5 13 3 3 2" xfId="14510" xr:uid="{00000000-0005-0000-0000-00001C380000}"/>
    <cellStyle name="40% - Ênfase5 13 3 4" xfId="14511" xr:uid="{00000000-0005-0000-0000-00001D380000}"/>
    <cellStyle name="40% - Ênfase5 13 3 4 2" xfId="14512" xr:uid="{00000000-0005-0000-0000-00001E380000}"/>
    <cellStyle name="40% - Ênfase5 13 3 5" xfId="14513" xr:uid="{00000000-0005-0000-0000-00001F380000}"/>
    <cellStyle name="40% - Ênfase5 13 4" xfId="14514" xr:uid="{00000000-0005-0000-0000-000020380000}"/>
    <cellStyle name="40% - Ênfase5 13 4 2" xfId="14515" xr:uid="{00000000-0005-0000-0000-000021380000}"/>
    <cellStyle name="40% - Ênfase5 13 4 2 2" xfId="14516" xr:uid="{00000000-0005-0000-0000-000022380000}"/>
    <cellStyle name="40% - Ênfase5 13 4 3" xfId="14517" xr:uid="{00000000-0005-0000-0000-000023380000}"/>
    <cellStyle name="40% - Ênfase5 13 4 3 2" xfId="14518" xr:uid="{00000000-0005-0000-0000-000024380000}"/>
    <cellStyle name="40% - Ênfase5 13 4 4" xfId="14519" xr:uid="{00000000-0005-0000-0000-000025380000}"/>
    <cellStyle name="40% - Ênfase5 13 5" xfId="14520" xr:uid="{00000000-0005-0000-0000-000026380000}"/>
    <cellStyle name="40% - Ênfase5 13 5 2" xfId="14521" xr:uid="{00000000-0005-0000-0000-000027380000}"/>
    <cellStyle name="40% - Ênfase5 13 5 2 2" xfId="14522" xr:uid="{00000000-0005-0000-0000-000028380000}"/>
    <cellStyle name="40% - Ênfase5 13 5 3" xfId="14523" xr:uid="{00000000-0005-0000-0000-000029380000}"/>
    <cellStyle name="40% - Ênfase5 13 6" xfId="14524" xr:uid="{00000000-0005-0000-0000-00002A380000}"/>
    <cellStyle name="40% - Ênfase5 13 6 2" xfId="14525" xr:uid="{00000000-0005-0000-0000-00002B380000}"/>
    <cellStyle name="40% - Ênfase5 13 7" xfId="14526" xr:uid="{00000000-0005-0000-0000-00002C380000}"/>
    <cellStyle name="40% - Ênfase5 14" xfId="14527" xr:uid="{00000000-0005-0000-0000-00002D380000}"/>
    <cellStyle name="40% - Ênfase5 14 2" xfId="14528" xr:uid="{00000000-0005-0000-0000-00002E380000}"/>
    <cellStyle name="40% - Ênfase5 14 2 2" xfId="14529" xr:uid="{00000000-0005-0000-0000-00002F380000}"/>
    <cellStyle name="40% - Ênfase5 14 2 2 2" xfId="14530" xr:uid="{00000000-0005-0000-0000-000030380000}"/>
    <cellStyle name="40% - Ênfase5 14 2 2 2 2" xfId="14531" xr:uid="{00000000-0005-0000-0000-000031380000}"/>
    <cellStyle name="40% - Ênfase5 14 2 2 2 2 2" xfId="14532" xr:uid="{00000000-0005-0000-0000-000032380000}"/>
    <cellStyle name="40% - Ênfase5 14 2 2 2 3" xfId="14533" xr:uid="{00000000-0005-0000-0000-000033380000}"/>
    <cellStyle name="40% - Ênfase5 14 2 2 2 3 2" xfId="14534" xr:uid="{00000000-0005-0000-0000-000034380000}"/>
    <cellStyle name="40% - Ênfase5 14 2 2 2 4" xfId="14535" xr:uid="{00000000-0005-0000-0000-000035380000}"/>
    <cellStyle name="40% - Ênfase5 14 2 2 3" xfId="14536" xr:uid="{00000000-0005-0000-0000-000036380000}"/>
    <cellStyle name="40% - Ênfase5 14 2 2 3 2" xfId="14537" xr:uid="{00000000-0005-0000-0000-000037380000}"/>
    <cellStyle name="40% - Ênfase5 14 2 2 4" xfId="14538" xr:uid="{00000000-0005-0000-0000-000038380000}"/>
    <cellStyle name="40% - Ênfase5 14 2 2 4 2" xfId="14539" xr:uid="{00000000-0005-0000-0000-000039380000}"/>
    <cellStyle name="40% - Ênfase5 14 2 2 5" xfId="14540" xr:uid="{00000000-0005-0000-0000-00003A380000}"/>
    <cellStyle name="40% - Ênfase5 14 2 3" xfId="14541" xr:uid="{00000000-0005-0000-0000-00003B380000}"/>
    <cellStyle name="40% - Ênfase5 14 2 3 2" xfId="14542" xr:uid="{00000000-0005-0000-0000-00003C380000}"/>
    <cellStyle name="40% - Ênfase5 14 2 3 2 2" xfId="14543" xr:uid="{00000000-0005-0000-0000-00003D380000}"/>
    <cellStyle name="40% - Ênfase5 14 2 3 3" xfId="14544" xr:uid="{00000000-0005-0000-0000-00003E380000}"/>
    <cellStyle name="40% - Ênfase5 14 2 3 3 2" xfId="14545" xr:uid="{00000000-0005-0000-0000-00003F380000}"/>
    <cellStyle name="40% - Ênfase5 14 2 3 4" xfId="14546" xr:uid="{00000000-0005-0000-0000-000040380000}"/>
    <cellStyle name="40% - Ênfase5 14 2 4" xfId="14547" xr:uid="{00000000-0005-0000-0000-000041380000}"/>
    <cellStyle name="40% - Ênfase5 14 2 4 2" xfId="14548" xr:uid="{00000000-0005-0000-0000-000042380000}"/>
    <cellStyle name="40% - Ênfase5 14 2 4 2 2" xfId="14549" xr:uid="{00000000-0005-0000-0000-000043380000}"/>
    <cellStyle name="40% - Ênfase5 14 2 4 3" xfId="14550" xr:uid="{00000000-0005-0000-0000-000044380000}"/>
    <cellStyle name="40% - Ênfase5 14 2 5" xfId="14551" xr:uid="{00000000-0005-0000-0000-000045380000}"/>
    <cellStyle name="40% - Ênfase5 14 2 5 2" xfId="14552" xr:uid="{00000000-0005-0000-0000-000046380000}"/>
    <cellStyle name="40% - Ênfase5 14 2 6" xfId="14553" xr:uid="{00000000-0005-0000-0000-000047380000}"/>
    <cellStyle name="40% - Ênfase5 14 3" xfId="14554" xr:uid="{00000000-0005-0000-0000-000048380000}"/>
    <cellStyle name="40% - Ênfase5 14 3 2" xfId="14555" xr:uid="{00000000-0005-0000-0000-000049380000}"/>
    <cellStyle name="40% - Ênfase5 14 3 2 2" xfId="14556" xr:uid="{00000000-0005-0000-0000-00004A380000}"/>
    <cellStyle name="40% - Ênfase5 14 3 2 2 2" xfId="14557" xr:uid="{00000000-0005-0000-0000-00004B380000}"/>
    <cellStyle name="40% - Ênfase5 14 3 2 3" xfId="14558" xr:uid="{00000000-0005-0000-0000-00004C380000}"/>
    <cellStyle name="40% - Ênfase5 14 3 2 3 2" xfId="14559" xr:uid="{00000000-0005-0000-0000-00004D380000}"/>
    <cellStyle name="40% - Ênfase5 14 3 2 4" xfId="14560" xr:uid="{00000000-0005-0000-0000-00004E380000}"/>
    <cellStyle name="40% - Ênfase5 14 3 3" xfId="14561" xr:uid="{00000000-0005-0000-0000-00004F380000}"/>
    <cellStyle name="40% - Ênfase5 14 3 3 2" xfId="14562" xr:uid="{00000000-0005-0000-0000-000050380000}"/>
    <cellStyle name="40% - Ênfase5 14 3 4" xfId="14563" xr:uid="{00000000-0005-0000-0000-000051380000}"/>
    <cellStyle name="40% - Ênfase5 14 3 4 2" xfId="14564" xr:uid="{00000000-0005-0000-0000-000052380000}"/>
    <cellStyle name="40% - Ênfase5 14 3 5" xfId="14565" xr:uid="{00000000-0005-0000-0000-000053380000}"/>
    <cellStyle name="40% - Ênfase5 14 4" xfId="14566" xr:uid="{00000000-0005-0000-0000-000054380000}"/>
    <cellStyle name="40% - Ênfase5 14 4 2" xfId="14567" xr:uid="{00000000-0005-0000-0000-000055380000}"/>
    <cellStyle name="40% - Ênfase5 14 4 2 2" xfId="14568" xr:uid="{00000000-0005-0000-0000-000056380000}"/>
    <cellStyle name="40% - Ênfase5 14 4 3" xfId="14569" xr:uid="{00000000-0005-0000-0000-000057380000}"/>
    <cellStyle name="40% - Ênfase5 14 4 3 2" xfId="14570" xr:uid="{00000000-0005-0000-0000-000058380000}"/>
    <cellStyle name="40% - Ênfase5 14 4 4" xfId="14571" xr:uid="{00000000-0005-0000-0000-000059380000}"/>
    <cellStyle name="40% - Ênfase5 14 5" xfId="14572" xr:uid="{00000000-0005-0000-0000-00005A380000}"/>
    <cellStyle name="40% - Ênfase5 14 5 2" xfId="14573" xr:uid="{00000000-0005-0000-0000-00005B380000}"/>
    <cellStyle name="40% - Ênfase5 14 5 2 2" xfId="14574" xr:uid="{00000000-0005-0000-0000-00005C380000}"/>
    <cellStyle name="40% - Ênfase5 14 5 3" xfId="14575" xr:uid="{00000000-0005-0000-0000-00005D380000}"/>
    <cellStyle name="40% - Ênfase5 14 6" xfId="14576" xr:uid="{00000000-0005-0000-0000-00005E380000}"/>
    <cellStyle name="40% - Ênfase5 14 6 2" xfId="14577" xr:uid="{00000000-0005-0000-0000-00005F380000}"/>
    <cellStyle name="40% - Ênfase5 14 7" xfId="14578" xr:uid="{00000000-0005-0000-0000-000060380000}"/>
    <cellStyle name="40% - Ênfase5 15" xfId="14579" xr:uid="{00000000-0005-0000-0000-000061380000}"/>
    <cellStyle name="40% - Ênfase5 15 2" xfId="14580" xr:uid="{00000000-0005-0000-0000-000062380000}"/>
    <cellStyle name="40% - Ênfase5 15 2 2" xfId="14581" xr:uid="{00000000-0005-0000-0000-000063380000}"/>
    <cellStyle name="40% - Ênfase5 15 2 2 2" xfId="14582" xr:uid="{00000000-0005-0000-0000-000064380000}"/>
    <cellStyle name="40% - Ênfase5 15 2 2 2 2" xfId="14583" xr:uid="{00000000-0005-0000-0000-000065380000}"/>
    <cellStyle name="40% - Ênfase5 15 2 2 3" xfId="14584" xr:uid="{00000000-0005-0000-0000-000066380000}"/>
    <cellStyle name="40% - Ênfase5 15 2 2 3 2" xfId="14585" xr:uid="{00000000-0005-0000-0000-000067380000}"/>
    <cellStyle name="40% - Ênfase5 15 2 2 4" xfId="14586" xr:uid="{00000000-0005-0000-0000-000068380000}"/>
    <cellStyle name="40% - Ênfase5 15 2 3" xfId="14587" xr:uid="{00000000-0005-0000-0000-000069380000}"/>
    <cellStyle name="40% - Ênfase5 15 2 3 2" xfId="14588" xr:uid="{00000000-0005-0000-0000-00006A380000}"/>
    <cellStyle name="40% - Ênfase5 15 2 4" xfId="14589" xr:uid="{00000000-0005-0000-0000-00006B380000}"/>
    <cellStyle name="40% - Ênfase5 15 2 4 2" xfId="14590" xr:uid="{00000000-0005-0000-0000-00006C380000}"/>
    <cellStyle name="40% - Ênfase5 15 2 5" xfId="14591" xr:uid="{00000000-0005-0000-0000-00006D380000}"/>
    <cellStyle name="40% - Ênfase5 15 3" xfId="14592" xr:uid="{00000000-0005-0000-0000-00006E380000}"/>
    <cellStyle name="40% - Ênfase5 15 3 2" xfId="14593" xr:uid="{00000000-0005-0000-0000-00006F380000}"/>
    <cellStyle name="40% - Ênfase5 15 3 2 2" xfId="14594" xr:uid="{00000000-0005-0000-0000-000070380000}"/>
    <cellStyle name="40% - Ênfase5 15 3 3" xfId="14595" xr:uid="{00000000-0005-0000-0000-000071380000}"/>
    <cellStyle name="40% - Ênfase5 15 3 3 2" xfId="14596" xr:uid="{00000000-0005-0000-0000-000072380000}"/>
    <cellStyle name="40% - Ênfase5 15 3 4" xfId="14597" xr:uid="{00000000-0005-0000-0000-000073380000}"/>
    <cellStyle name="40% - Ênfase5 15 4" xfId="14598" xr:uid="{00000000-0005-0000-0000-000074380000}"/>
    <cellStyle name="40% - Ênfase5 15 4 2" xfId="14599" xr:uid="{00000000-0005-0000-0000-000075380000}"/>
    <cellStyle name="40% - Ênfase5 15 4 2 2" xfId="14600" xr:uid="{00000000-0005-0000-0000-000076380000}"/>
    <cellStyle name="40% - Ênfase5 15 4 3" xfId="14601" xr:uid="{00000000-0005-0000-0000-000077380000}"/>
    <cellStyle name="40% - Ênfase5 15 5" xfId="14602" xr:uid="{00000000-0005-0000-0000-000078380000}"/>
    <cellStyle name="40% - Ênfase5 15 5 2" xfId="14603" xr:uid="{00000000-0005-0000-0000-000079380000}"/>
    <cellStyle name="40% - Ênfase5 15 6" xfId="14604" xr:uid="{00000000-0005-0000-0000-00007A380000}"/>
    <cellStyle name="40% - Ênfase5 16" xfId="14605" xr:uid="{00000000-0005-0000-0000-00007B380000}"/>
    <cellStyle name="40% - Ênfase5 16 2" xfId="14606" xr:uid="{00000000-0005-0000-0000-00007C380000}"/>
    <cellStyle name="40% - Ênfase5 16 2 2" xfId="14607" xr:uid="{00000000-0005-0000-0000-00007D380000}"/>
    <cellStyle name="40% - Ênfase5 16 2 2 2" xfId="14608" xr:uid="{00000000-0005-0000-0000-00007E380000}"/>
    <cellStyle name="40% - Ênfase5 16 2 3" xfId="14609" xr:uid="{00000000-0005-0000-0000-00007F380000}"/>
    <cellStyle name="40% - Ênfase5 16 2 3 2" xfId="14610" xr:uid="{00000000-0005-0000-0000-000080380000}"/>
    <cellStyle name="40% - Ênfase5 16 2 4" xfId="14611" xr:uid="{00000000-0005-0000-0000-000081380000}"/>
    <cellStyle name="40% - Ênfase5 16 3" xfId="14612" xr:uid="{00000000-0005-0000-0000-000082380000}"/>
    <cellStyle name="40% - Ênfase5 16 3 2" xfId="14613" xr:uid="{00000000-0005-0000-0000-000083380000}"/>
    <cellStyle name="40% - Ênfase5 16 3 2 2" xfId="14614" xr:uid="{00000000-0005-0000-0000-000084380000}"/>
    <cellStyle name="40% - Ênfase5 16 3 3" xfId="14615" xr:uid="{00000000-0005-0000-0000-000085380000}"/>
    <cellStyle name="40% - Ênfase5 16 3 3 2" xfId="14616" xr:uid="{00000000-0005-0000-0000-000086380000}"/>
    <cellStyle name="40% - Ênfase5 16 3 4" xfId="14617" xr:uid="{00000000-0005-0000-0000-000087380000}"/>
    <cellStyle name="40% - Ênfase5 16 4" xfId="14618" xr:uid="{00000000-0005-0000-0000-000088380000}"/>
    <cellStyle name="40% - Ênfase5 16 4 2" xfId="14619" xr:uid="{00000000-0005-0000-0000-000089380000}"/>
    <cellStyle name="40% - Ênfase5 16 5" xfId="14620" xr:uid="{00000000-0005-0000-0000-00008A380000}"/>
    <cellStyle name="40% - Ênfase5 16 5 2" xfId="14621" xr:uid="{00000000-0005-0000-0000-00008B380000}"/>
    <cellStyle name="40% - Ênfase5 16 6" xfId="14622" xr:uid="{00000000-0005-0000-0000-00008C380000}"/>
    <cellStyle name="40% - Ênfase5 17" xfId="14623" xr:uid="{00000000-0005-0000-0000-00008D380000}"/>
    <cellStyle name="40% - Ênfase5 17 2" xfId="14624" xr:uid="{00000000-0005-0000-0000-00008E380000}"/>
    <cellStyle name="40% - Ênfase5 17 2 2" xfId="14625" xr:uid="{00000000-0005-0000-0000-00008F380000}"/>
    <cellStyle name="40% - Ênfase5 17 2 2 2" xfId="14626" xr:uid="{00000000-0005-0000-0000-000090380000}"/>
    <cellStyle name="40% - Ênfase5 17 2 3" xfId="14627" xr:uid="{00000000-0005-0000-0000-000091380000}"/>
    <cellStyle name="40% - Ênfase5 17 2 3 2" xfId="14628" xr:uid="{00000000-0005-0000-0000-000092380000}"/>
    <cellStyle name="40% - Ênfase5 17 2 4" xfId="14629" xr:uid="{00000000-0005-0000-0000-000093380000}"/>
    <cellStyle name="40% - Ênfase5 17 3" xfId="14630" xr:uid="{00000000-0005-0000-0000-000094380000}"/>
    <cellStyle name="40% - Ênfase5 17 3 2" xfId="14631" xr:uid="{00000000-0005-0000-0000-000095380000}"/>
    <cellStyle name="40% - Ênfase5 17 3 2 2" xfId="14632" xr:uid="{00000000-0005-0000-0000-000096380000}"/>
    <cellStyle name="40% - Ênfase5 17 3 3" xfId="14633" xr:uid="{00000000-0005-0000-0000-000097380000}"/>
    <cellStyle name="40% - Ênfase5 17 3 3 2" xfId="14634" xr:uid="{00000000-0005-0000-0000-000098380000}"/>
    <cellStyle name="40% - Ênfase5 17 3 4" xfId="14635" xr:uid="{00000000-0005-0000-0000-000099380000}"/>
    <cellStyle name="40% - Ênfase5 17 4" xfId="14636" xr:uid="{00000000-0005-0000-0000-00009A380000}"/>
    <cellStyle name="40% - Ênfase5 17 4 2" xfId="14637" xr:uid="{00000000-0005-0000-0000-00009B380000}"/>
    <cellStyle name="40% - Ênfase5 17 5" xfId="14638" xr:uid="{00000000-0005-0000-0000-00009C380000}"/>
    <cellStyle name="40% - Ênfase5 17 5 2" xfId="14639" xr:uid="{00000000-0005-0000-0000-00009D380000}"/>
    <cellStyle name="40% - Ênfase5 17 6" xfId="14640" xr:uid="{00000000-0005-0000-0000-00009E380000}"/>
    <cellStyle name="40% - Ênfase5 18" xfId="14641" xr:uid="{00000000-0005-0000-0000-00009F380000}"/>
    <cellStyle name="40% - Ênfase5 18 2" xfId="14642" xr:uid="{00000000-0005-0000-0000-0000A0380000}"/>
    <cellStyle name="40% - Ênfase5 18 2 2" xfId="14643" xr:uid="{00000000-0005-0000-0000-0000A1380000}"/>
    <cellStyle name="40% - Ênfase5 18 3" xfId="14644" xr:uid="{00000000-0005-0000-0000-0000A2380000}"/>
    <cellStyle name="40% - Ênfase5 18 3 2" xfId="14645" xr:uid="{00000000-0005-0000-0000-0000A3380000}"/>
    <cellStyle name="40% - Ênfase5 18 4" xfId="14646" xr:uid="{00000000-0005-0000-0000-0000A4380000}"/>
    <cellStyle name="40% - Ênfase5 19" xfId="14647" xr:uid="{00000000-0005-0000-0000-0000A5380000}"/>
    <cellStyle name="40% - Ênfase5 19 2" xfId="14648" xr:uid="{00000000-0005-0000-0000-0000A6380000}"/>
    <cellStyle name="40% - Ênfase5 19 2 2" xfId="14649" xr:uid="{00000000-0005-0000-0000-0000A7380000}"/>
    <cellStyle name="40% - Ênfase5 19 3" xfId="14650" xr:uid="{00000000-0005-0000-0000-0000A8380000}"/>
    <cellStyle name="40% - Ênfase5 2" xfId="14651" xr:uid="{00000000-0005-0000-0000-0000A9380000}"/>
    <cellStyle name="40% - Ênfase5 2 10" xfId="14652" xr:uid="{00000000-0005-0000-0000-0000AA380000}"/>
    <cellStyle name="40% - Ênfase5 2 10 2" xfId="14653" xr:uid="{00000000-0005-0000-0000-0000AB380000}"/>
    <cellStyle name="40% - Ênfase5 2 10 2 2" xfId="14654" xr:uid="{00000000-0005-0000-0000-0000AC380000}"/>
    <cellStyle name="40% - Ênfase5 2 10 3" xfId="14655" xr:uid="{00000000-0005-0000-0000-0000AD380000}"/>
    <cellStyle name="40% - Ênfase5 2 10 3 2" xfId="14656" xr:uid="{00000000-0005-0000-0000-0000AE380000}"/>
    <cellStyle name="40% - Ênfase5 2 10 4" xfId="14657" xr:uid="{00000000-0005-0000-0000-0000AF380000}"/>
    <cellStyle name="40% - Ênfase5 2 11" xfId="14658" xr:uid="{00000000-0005-0000-0000-0000B0380000}"/>
    <cellStyle name="40% - Ênfase5 2 11 2" xfId="14659" xr:uid="{00000000-0005-0000-0000-0000B1380000}"/>
    <cellStyle name="40% - Ênfase5 2 11 2 2" xfId="14660" xr:uid="{00000000-0005-0000-0000-0000B2380000}"/>
    <cellStyle name="40% - Ênfase5 2 11 3" xfId="14661" xr:uid="{00000000-0005-0000-0000-0000B3380000}"/>
    <cellStyle name="40% - Ênfase5 2 12" xfId="14662" xr:uid="{00000000-0005-0000-0000-0000B4380000}"/>
    <cellStyle name="40% - Ênfase5 2 12 2" xfId="14663" xr:uid="{00000000-0005-0000-0000-0000B5380000}"/>
    <cellStyle name="40% - Ênfase5 2 12 2 2" xfId="14664" xr:uid="{00000000-0005-0000-0000-0000B6380000}"/>
    <cellStyle name="40% - Ênfase5 2 12 3" xfId="14665" xr:uid="{00000000-0005-0000-0000-0000B7380000}"/>
    <cellStyle name="40% - Ênfase5 2 13" xfId="14666" xr:uid="{00000000-0005-0000-0000-0000B8380000}"/>
    <cellStyle name="40% - Ênfase5 2 13 2" xfId="14667" xr:uid="{00000000-0005-0000-0000-0000B9380000}"/>
    <cellStyle name="40% - Ênfase5 2 13 2 2" xfId="14668" xr:uid="{00000000-0005-0000-0000-0000BA380000}"/>
    <cellStyle name="40% - Ênfase5 2 13 3" xfId="14669" xr:uid="{00000000-0005-0000-0000-0000BB380000}"/>
    <cellStyle name="40% - Ênfase5 2 14" xfId="14670" xr:uid="{00000000-0005-0000-0000-0000BC380000}"/>
    <cellStyle name="40% - Ênfase5 2 14 2" xfId="14671" xr:uid="{00000000-0005-0000-0000-0000BD380000}"/>
    <cellStyle name="40% - Ênfase5 2 14 2 2" xfId="14672" xr:uid="{00000000-0005-0000-0000-0000BE380000}"/>
    <cellStyle name="40% - Ênfase5 2 14 3" xfId="14673" xr:uid="{00000000-0005-0000-0000-0000BF380000}"/>
    <cellStyle name="40% - Ênfase5 2 15" xfId="14674" xr:uid="{00000000-0005-0000-0000-0000C0380000}"/>
    <cellStyle name="40% - Ênfase5 2 15 2" xfId="14675" xr:uid="{00000000-0005-0000-0000-0000C1380000}"/>
    <cellStyle name="40% - Ênfase5 2 16" xfId="14676" xr:uid="{00000000-0005-0000-0000-0000C2380000}"/>
    <cellStyle name="40% - Ênfase5 2 2" xfId="14677" xr:uid="{00000000-0005-0000-0000-0000C3380000}"/>
    <cellStyle name="40% - Ênfase5 2 2 10" xfId="14678" xr:uid="{00000000-0005-0000-0000-0000C4380000}"/>
    <cellStyle name="40% - Ênfase5 2 2 10 2" xfId="14679" xr:uid="{00000000-0005-0000-0000-0000C5380000}"/>
    <cellStyle name="40% - Ênfase5 2 2 11" xfId="14680" xr:uid="{00000000-0005-0000-0000-0000C6380000}"/>
    <cellStyle name="40% - Ênfase5 2 2 2" xfId="14681" xr:uid="{00000000-0005-0000-0000-0000C7380000}"/>
    <cellStyle name="40% - Ênfase5 2 2 2 2" xfId="14682" xr:uid="{00000000-0005-0000-0000-0000C8380000}"/>
    <cellStyle name="40% - Ênfase5 2 2 2 2 2" xfId="14683" xr:uid="{00000000-0005-0000-0000-0000C9380000}"/>
    <cellStyle name="40% - Ênfase5 2 2 2 2 2 2" xfId="14684" xr:uid="{00000000-0005-0000-0000-0000CA380000}"/>
    <cellStyle name="40% - Ênfase5 2 2 2 2 2 2 2" xfId="14685" xr:uid="{00000000-0005-0000-0000-0000CB380000}"/>
    <cellStyle name="40% - Ênfase5 2 2 2 2 2 3" xfId="14686" xr:uid="{00000000-0005-0000-0000-0000CC380000}"/>
    <cellStyle name="40% - Ênfase5 2 2 2 2 2 3 2" xfId="14687" xr:uid="{00000000-0005-0000-0000-0000CD380000}"/>
    <cellStyle name="40% - Ênfase5 2 2 2 2 2 4" xfId="14688" xr:uid="{00000000-0005-0000-0000-0000CE380000}"/>
    <cellStyle name="40% - Ênfase5 2 2 2 2 3" xfId="14689" xr:uid="{00000000-0005-0000-0000-0000CF380000}"/>
    <cellStyle name="40% - Ênfase5 2 2 2 2 3 2" xfId="14690" xr:uid="{00000000-0005-0000-0000-0000D0380000}"/>
    <cellStyle name="40% - Ênfase5 2 2 2 2 3 2 2" xfId="14691" xr:uid="{00000000-0005-0000-0000-0000D1380000}"/>
    <cellStyle name="40% - Ênfase5 2 2 2 2 3 3" xfId="14692" xr:uid="{00000000-0005-0000-0000-0000D2380000}"/>
    <cellStyle name="40% - Ênfase5 2 2 2 2 3 3 2" xfId="14693" xr:uid="{00000000-0005-0000-0000-0000D3380000}"/>
    <cellStyle name="40% - Ênfase5 2 2 2 2 3 4" xfId="14694" xr:uid="{00000000-0005-0000-0000-0000D4380000}"/>
    <cellStyle name="40% - Ênfase5 2 2 2 2 4" xfId="14695" xr:uid="{00000000-0005-0000-0000-0000D5380000}"/>
    <cellStyle name="40% - Ênfase5 2 2 2 2 4 2" xfId="14696" xr:uid="{00000000-0005-0000-0000-0000D6380000}"/>
    <cellStyle name="40% - Ênfase5 2 2 2 2 5" xfId="14697" xr:uid="{00000000-0005-0000-0000-0000D7380000}"/>
    <cellStyle name="40% - Ênfase5 2 2 2 2 5 2" xfId="14698" xr:uid="{00000000-0005-0000-0000-0000D8380000}"/>
    <cellStyle name="40% - Ênfase5 2 2 2 2 6" xfId="14699" xr:uid="{00000000-0005-0000-0000-0000D9380000}"/>
    <cellStyle name="40% - Ênfase5 2 2 2 3" xfId="14700" xr:uid="{00000000-0005-0000-0000-0000DA380000}"/>
    <cellStyle name="40% - Ênfase5 2 2 2 3 2" xfId="14701" xr:uid="{00000000-0005-0000-0000-0000DB380000}"/>
    <cellStyle name="40% - Ênfase5 2 2 2 3 2 2" xfId="14702" xr:uid="{00000000-0005-0000-0000-0000DC380000}"/>
    <cellStyle name="40% - Ênfase5 2 2 2 3 3" xfId="14703" xr:uid="{00000000-0005-0000-0000-0000DD380000}"/>
    <cellStyle name="40% - Ênfase5 2 2 2 3 3 2" xfId="14704" xr:uid="{00000000-0005-0000-0000-0000DE380000}"/>
    <cellStyle name="40% - Ênfase5 2 2 2 3 4" xfId="14705" xr:uid="{00000000-0005-0000-0000-0000DF380000}"/>
    <cellStyle name="40% - Ênfase5 2 2 2 4" xfId="14706" xr:uid="{00000000-0005-0000-0000-0000E0380000}"/>
    <cellStyle name="40% - Ênfase5 2 2 2 4 2" xfId="14707" xr:uid="{00000000-0005-0000-0000-0000E1380000}"/>
    <cellStyle name="40% - Ênfase5 2 2 2 4 2 2" xfId="14708" xr:uid="{00000000-0005-0000-0000-0000E2380000}"/>
    <cellStyle name="40% - Ênfase5 2 2 2 4 3" xfId="14709" xr:uid="{00000000-0005-0000-0000-0000E3380000}"/>
    <cellStyle name="40% - Ênfase5 2 2 2 5" xfId="14710" xr:uid="{00000000-0005-0000-0000-0000E4380000}"/>
    <cellStyle name="40% - Ênfase5 2 2 2 5 2" xfId="14711" xr:uid="{00000000-0005-0000-0000-0000E5380000}"/>
    <cellStyle name="40% - Ênfase5 2 2 2 5 2 2" xfId="14712" xr:uid="{00000000-0005-0000-0000-0000E6380000}"/>
    <cellStyle name="40% - Ênfase5 2 2 2 5 3" xfId="14713" xr:uid="{00000000-0005-0000-0000-0000E7380000}"/>
    <cellStyle name="40% - Ênfase5 2 2 2 6" xfId="14714" xr:uid="{00000000-0005-0000-0000-0000E8380000}"/>
    <cellStyle name="40% - Ênfase5 2 2 2 6 2" xfId="14715" xr:uid="{00000000-0005-0000-0000-0000E9380000}"/>
    <cellStyle name="40% - Ênfase5 2 2 2 6 2 2" xfId="14716" xr:uid="{00000000-0005-0000-0000-0000EA380000}"/>
    <cellStyle name="40% - Ênfase5 2 2 2 6 3" xfId="14717" xr:uid="{00000000-0005-0000-0000-0000EB380000}"/>
    <cellStyle name="40% - Ênfase5 2 2 2 7" xfId="14718" xr:uid="{00000000-0005-0000-0000-0000EC380000}"/>
    <cellStyle name="40% - Ênfase5 2 2 2 7 2" xfId="14719" xr:uid="{00000000-0005-0000-0000-0000ED380000}"/>
    <cellStyle name="40% - Ênfase5 2 2 2 7 2 2" xfId="14720" xr:uid="{00000000-0005-0000-0000-0000EE380000}"/>
    <cellStyle name="40% - Ênfase5 2 2 2 7 3" xfId="14721" xr:uid="{00000000-0005-0000-0000-0000EF380000}"/>
    <cellStyle name="40% - Ênfase5 2 2 2 8" xfId="14722" xr:uid="{00000000-0005-0000-0000-0000F0380000}"/>
    <cellStyle name="40% - Ênfase5 2 2 2 8 2" xfId="14723" xr:uid="{00000000-0005-0000-0000-0000F1380000}"/>
    <cellStyle name="40% - Ênfase5 2 2 2 9" xfId="14724" xr:uid="{00000000-0005-0000-0000-0000F2380000}"/>
    <cellStyle name="40% - Ênfase5 2 2 3" xfId="14725" xr:uid="{00000000-0005-0000-0000-0000F3380000}"/>
    <cellStyle name="40% - Ênfase5 2 2 3 2" xfId="14726" xr:uid="{00000000-0005-0000-0000-0000F4380000}"/>
    <cellStyle name="40% - Ênfase5 2 2 3 2 2" xfId="14727" xr:uid="{00000000-0005-0000-0000-0000F5380000}"/>
    <cellStyle name="40% - Ênfase5 2 2 3 2 2 2" xfId="14728" xr:uid="{00000000-0005-0000-0000-0000F6380000}"/>
    <cellStyle name="40% - Ênfase5 2 2 3 2 3" xfId="14729" xr:uid="{00000000-0005-0000-0000-0000F7380000}"/>
    <cellStyle name="40% - Ênfase5 2 2 3 2 3 2" xfId="14730" xr:uid="{00000000-0005-0000-0000-0000F8380000}"/>
    <cellStyle name="40% - Ênfase5 2 2 3 2 4" xfId="14731" xr:uid="{00000000-0005-0000-0000-0000F9380000}"/>
    <cellStyle name="40% - Ênfase5 2 2 3 3" xfId="14732" xr:uid="{00000000-0005-0000-0000-0000FA380000}"/>
    <cellStyle name="40% - Ênfase5 2 2 3 3 2" xfId="14733" xr:uid="{00000000-0005-0000-0000-0000FB380000}"/>
    <cellStyle name="40% - Ênfase5 2 2 3 3 2 2" xfId="14734" xr:uid="{00000000-0005-0000-0000-0000FC380000}"/>
    <cellStyle name="40% - Ênfase5 2 2 3 3 3" xfId="14735" xr:uid="{00000000-0005-0000-0000-0000FD380000}"/>
    <cellStyle name="40% - Ênfase5 2 2 3 3 3 2" xfId="14736" xr:uid="{00000000-0005-0000-0000-0000FE380000}"/>
    <cellStyle name="40% - Ênfase5 2 2 3 3 4" xfId="14737" xr:uid="{00000000-0005-0000-0000-0000FF380000}"/>
    <cellStyle name="40% - Ênfase5 2 2 3 4" xfId="14738" xr:uid="{00000000-0005-0000-0000-000000390000}"/>
    <cellStyle name="40% - Ênfase5 2 2 3 4 2" xfId="14739" xr:uid="{00000000-0005-0000-0000-000001390000}"/>
    <cellStyle name="40% - Ênfase5 2 2 3 5" xfId="14740" xr:uid="{00000000-0005-0000-0000-000002390000}"/>
    <cellStyle name="40% - Ênfase5 2 2 3 5 2" xfId="14741" xr:uid="{00000000-0005-0000-0000-000003390000}"/>
    <cellStyle name="40% - Ênfase5 2 2 3 6" xfId="14742" xr:uid="{00000000-0005-0000-0000-000004390000}"/>
    <cellStyle name="40% - Ênfase5 2 2 4" xfId="14743" xr:uid="{00000000-0005-0000-0000-000005390000}"/>
    <cellStyle name="40% - Ênfase5 2 2 4 2" xfId="14744" xr:uid="{00000000-0005-0000-0000-000006390000}"/>
    <cellStyle name="40% - Ênfase5 2 2 4 2 2" xfId="14745" xr:uid="{00000000-0005-0000-0000-000007390000}"/>
    <cellStyle name="40% - Ênfase5 2 2 4 2 2 2" xfId="14746" xr:uid="{00000000-0005-0000-0000-000008390000}"/>
    <cellStyle name="40% - Ênfase5 2 2 4 2 3" xfId="14747" xr:uid="{00000000-0005-0000-0000-000009390000}"/>
    <cellStyle name="40% - Ênfase5 2 2 4 2 3 2" xfId="14748" xr:uid="{00000000-0005-0000-0000-00000A390000}"/>
    <cellStyle name="40% - Ênfase5 2 2 4 2 4" xfId="14749" xr:uid="{00000000-0005-0000-0000-00000B390000}"/>
    <cellStyle name="40% - Ênfase5 2 2 4 3" xfId="14750" xr:uid="{00000000-0005-0000-0000-00000C390000}"/>
    <cellStyle name="40% - Ênfase5 2 2 4 3 2" xfId="14751" xr:uid="{00000000-0005-0000-0000-00000D390000}"/>
    <cellStyle name="40% - Ênfase5 2 2 4 3 2 2" xfId="14752" xr:uid="{00000000-0005-0000-0000-00000E390000}"/>
    <cellStyle name="40% - Ênfase5 2 2 4 3 3" xfId="14753" xr:uid="{00000000-0005-0000-0000-00000F390000}"/>
    <cellStyle name="40% - Ênfase5 2 2 4 3 3 2" xfId="14754" xr:uid="{00000000-0005-0000-0000-000010390000}"/>
    <cellStyle name="40% - Ênfase5 2 2 4 3 4" xfId="14755" xr:uid="{00000000-0005-0000-0000-000011390000}"/>
    <cellStyle name="40% - Ênfase5 2 2 4 4" xfId="14756" xr:uid="{00000000-0005-0000-0000-000012390000}"/>
    <cellStyle name="40% - Ênfase5 2 2 4 4 2" xfId="14757" xr:uid="{00000000-0005-0000-0000-000013390000}"/>
    <cellStyle name="40% - Ênfase5 2 2 4 5" xfId="14758" xr:uid="{00000000-0005-0000-0000-000014390000}"/>
    <cellStyle name="40% - Ênfase5 2 2 4 5 2" xfId="14759" xr:uid="{00000000-0005-0000-0000-000015390000}"/>
    <cellStyle name="40% - Ênfase5 2 2 4 6" xfId="14760" xr:uid="{00000000-0005-0000-0000-000016390000}"/>
    <cellStyle name="40% - Ênfase5 2 2 5" xfId="14761" xr:uid="{00000000-0005-0000-0000-000017390000}"/>
    <cellStyle name="40% - Ênfase5 2 2 5 2" xfId="14762" xr:uid="{00000000-0005-0000-0000-000018390000}"/>
    <cellStyle name="40% - Ênfase5 2 2 5 2 2" xfId="14763" xr:uid="{00000000-0005-0000-0000-000019390000}"/>
    <cellStyle name="40% - Ênfase5 2 2 5 3" xfId="14764" xr:uid="{00000000-0005-0000-0000-00001A390000}"/>
    <cellStyle name="40% - Ênfase5 2 2 5 3 2" xfId="14765" xr:uid="{00000000-0005-0000-0000-00001B390000}"/>
    <cellStyle name="40% - Ênfase5 2 2 5 4" xfId="14766" xr:uid="{00000000-0005-0000-0000-00001C390000}"/>
    <cellStyle name="40% - Ênfase5 2 2 6" xfId="14767" xr:uid="{00000000-0005-0000-0000-00001D390000}"/>
    <cellStyle name="40% - Ênfase5 2 2 6 2" xfId="14768" xr:uid="{00000000-0005-0000-0000-00001E390000}"/>
    <cellStyle name="40% - Ênfase5 2 2 6 2 2" xfId="14769" xr:uid="{00000000-0005-0000-0000-00001F390000}"/>
    <cellStyle name="40% - Ênfase5 2 2 6 3" xfId="14770" xr:uid="{00000000-0005-0000-0000-000020390000}"/>
    <cellStyle name="40% - Ênfase5 2 2 7" xfId="14771" xr:uid="{00000000-0005-0000-0000-000021390000}"/>
    <cellStyle name="40% - Ênfase5 2 2 7 2" xfId="14772" xr:uid="{00000000-0005-0000-0000-000022390000}"/>
    <cellStyle name="40% - Ênfase5 2 2 7 2 2" xfId="14773" xr:uid="{00000000-0005-0000-0000-000023390000}"/>
    <cellStyle name="40% - Ênfase5 2 2 7 3" xfId="14774" xr:uid="{00000000-0005-0000-0000-000024390000}"/>
    <cellStyle name="40% - Ênfase5 2 2 8" xfId="14775" xr:uid="{00000000-0005-0000-0000-000025390000}"/>
    <cellStyle name="40% - Ênfase5 2 2 8 2" xfId="14776" xr:uid="{00000000-0005-0000-0000-000026390000}"/>
    <cellStyle name="40% - Ênfase5 2 2 8 2 2" xfId="14777" xr:uid="{00000000-0005-0000-0000-000027390000}"/>
    <cellStyle name="40% - Ênfase5 2 2 8 3" xfId="14778" xr:uid="{00000000-0005-0000-0000-000028390000}"/>
    <cellStyle name="40% - Ênfase5 2 2 9" xfId="14779" xr:uid="{00000000-0005-0000-0000-000029390000}"/>
    <cellStyle name="40% - Ênfase5 2 2 9 2" xfId="14780" xr:uid="{00000000-0005-0000-0000-00002A390000}"/>
    <cellStyle name="40% - Ênfase5 2 2 9 2 2" xfId="14781" xr:uid="{00000000-0005-0000-0000-00002B390000}"/>
    <cellStyle name="40% - Ênfase5 2 2 9 3" xfId="14782" xr:uid="{00000000-0005-0000-0000-00002C390000}"/>
    <cellStyle name="40% - Ênfase5 2 3" xfId="14783" xr:uid="{00000000-0005-0000-0000-00002D390000}"/>
    <cellStyle name="40% - Ênfase5 2 3 10" xfId="14784" xr:uid="{00000000-0005-0000-0000-00002E390000}"/>
    <cellStyle name="40% - Ênfase5 2 3 10 2" xfId="14785" xr:uid="{00000000-0005-0000-0000-00002F390000}"/>
    <cellStyle name="40% - Ênfase5 2 3 11" xfId="14786" xr:uid="{00000000-0005-0000-0000-000030390000}"/>
    <cellStyle name="40% - Ênfase5 2 3 2" xfId="14787" xr:uid="{00000000-0005-0000-0000-000031390000}"/>
    <cellStyle name="40% - Ênfase5 2 3 2 2" xfId="14788" xr:uid="{00000000-0005-0000-0000-000032390000}"/>
    <cellStyle name="40% - Ênfase5 2 3 2 2 2" xfId="14789" xr:uid="{00000000-0005-0000-0000-000033390000}"/>
    <cellStyle name="40% - Ênfase5 2 3 2 2 2 2" xfId="14790" xr:uid="{00000000-0005-0000-0000-000034390000}"/>
    <cellStyle name="40% - Ênfase5 2 3 2 2 2 2 2" xfId="14791" xr:uid="{00000000-0005-0000-0000-000035390000}"/>
    <cellStyle name="40% - Ênfase5 2 3 2 2 2 3" xfId="14792" xr:uid="{00000000-0005-0000-0000-000036390000}"/>
    <cellStyle name="40% - Ênfase5 2 3 2 2 2 3 2" xfId="14793" xr:uid="{00000000-0005-0000-0000-000037390000}"/>
    <cellStyle name="40% - Ênfase5 2 3 2 2 2 4" xfId="14794" xr:uid="{00000000-0005-0000-0000-000038390000}"/>
    <cellStyle name="40% - Ênfase5 2 3 2 2 3" xfId="14795" xr:uid="{00000000-0005-0000-0000-000039390000}"/>
    <cellStyle name="40% - Ênfase5 2 3 2 2 3 2" xfId="14796" xr:uid="{00000000-0005-0000-0000-00003A390000}"/>
    <cellStyle name="40% - Ênfase5 2 3 2 2 3 2 2" xfId="14797" xr:uid="{00000000-0005-0000-0000-00003B390000}"/>
    <cellStyle name="40% - Ênfase5 2 3 2 2 3 3" xfId="14798" xr:uid="{00000000-0005-0000-0000-00003C390000}"/>
    <cellStyle name="40% - Ênfase5 2 3 2 2 3 3 2" xfId="14799" xr:uid="{00000000-0005-0000-0000-00003D390000}"/>
    <cellStyle name="40% - Ênfase5 2 3 2 2 3 4" xfId="14800" xr:uid="{00000000-0005-0000-0000-00003E390000}"/>
    <cellStyle name="40% - Ênfase5 2 3 2 2 4" xfId="14801" xr:uid="{00000000-0005-0000-0000-00003F390000}"/>
    <cellStyle name="40% - Ênfase5 2 3 2 2 4 2" xfId="14802" xr:uid="{00000000-0005-0000-0000-000040390000}"/>
    <cellStyle name="40% - Ênfase5 2 3 2 2 5" xfId="14803" xr:uid="{00000000-0005-0000-0000-000041390000}"/>
    <cellStyle name="40% - Ênfase5 2 3 2 2 5 2" xfId="14804" xr:uid="{00000000-0005-0000-0000-000042390000}"/>
    <cellStyle name="40% - Ênfase5 2 3 2 2 6" xfId="14805" xr:uid="{00000000-0005-0000-0000-000043390000}"/>
    <cellStyle name="40% - Ênfase5 2 3 2 3" xfId="14806" xr:uid="{00000000-0005-0000-0000-000044390000}"/>
    <cellStyle name="40% - Ênfase5 2 3 2 3 2" xfId="14807" xr:uid="{00000000-0005-0000-0000-000045390000}"/>
    <cellStyle name="40% - Ênfase5 2 3 2 3 2 2" xfId="14808" xr:uid="{00000000-0005-0000-0000-000046390000}"/>
    <cellStyle name="40% - Ênfase5 2 3 2 3 3" xfId="14809" xr:uid="{00000000-0005-0000-0000-000047390000}"/>
    <cellStyle name="40% - Ênfase5 2 3 2 3 3 2" xfId="14810" xr:uid="{00000000-0005-0000-0000-000048390000}"/>
    <cellStyle name="40% - Ênfase5 2 3 2 3 4" xfId="14811" xr:uid="{00000000-0005-0000-0000-000049390000}"/>
    <cellStyle name="40% - Ênfase5 2 3 2 4" xfId="14812" xr:uid="{00000000-0005-0000-0000-00004A390000}"/>
    <cellStyle name="40% - Ênfase5 2 3 2 4 2" xfId="14813" xr:uid="{00000000-0005-0000-0000-00004B390000}"/>
    <cellStyle name="40% - Ênfase5 2 3 2 4 2 2" xfId="14814" xr:uid="{00000000-0005-0000-0000-00004C390000}"/>
    <cellStyle name="40% - Ênfase5 2 3 2 4 3" xfId="14815" xr:uid="{00000000-0005-0000-0000-00004D390000}"/>
    <cellStyle name="40% - Ênfase5 2 3 2 5" xfId="14816" xr:uid="{00000000-0005-0000-0000-00004E390000}"/>
    <cellStyle name="40% - Ênfase5 2 3 2 5 2" xfId="14817" xr:uid="{00000000-0005-0000-0000-00004F390000}"/>
    <cellStyle name="40% - Ênfase5 2 3 2 5 2 2" xfId="14818" xr:uid="{00000000-0005-0000-0000-000050390000}"/>
    <cellStyle name="40% - Ênfase5 2 3 2 5 3" xfId="14819" xr:uid="{00000000-0005-0000-0000-000051390000}"/>
    <cellStyle name="40% - Ênfase5 2 3 2 6" xfId="14820" xr:uid="{00000000-0005-0000-0000-000052390000}"/>
    <cellStyle name="40% - Ênfase5 2 3 2 6 2" xfId="14821" xr:uid="{00000000-0005-0000-0000-000053390000}"/>
    <cellStyle name="40% - Ênfase5 2 3 2 6 2 2" xfId="14822" xr:uid="{00000000-0005-0000-0000-000054390000}"/>
    <cellStyle name="40% - Ênfase5 2 3 2 6 3" xfId="14823" xr:uid="{00000000-0005-0000-0000-000055390000}"/>
    <cellStyle name="40% - Ênfase5 2 3 2 7" xfId="14824" xr:uid="{00000000-0005-0000-0000-000056390000}"/>
    <cellStyle name="40% - Ênfase5 2 3 2 7 2" xfId="14825" xr:uid="{00000000-0005-0000-0000-000057390000}"/>
    <cellStyle name="40% - Ênfase5 2 3 2 7 2 2" xfId="14826" xr:uid="{00000000-0005-0000-0000-000058390000}"/>
    <cellStyle name="40% - Ênfase5 2 3 2 7 3" xfId="14827" xr:uid="{00000000-0005-0000-0000-000059390000}"/>
    <cellStyle name="40% - Ênfase5 2 3 2 8" xfId="14828" xr:uid="{00000000-0005-0000-0000-00005A390000}"/>
    <cellStyle name="40% - Ênfase5 2 3 2 8 2" xfId="14829" xr:uid="{00000000-0005-0000-0000-00005B390000}"/>
    <cellStyle name="40% - Ênfase5 2 3 2 9" xfId="14830" xr:uid="{00000000-0005-0000-0000-00005C390000}"/>
    <cellStyle name="40% - Ênfase5 2 3 3" xfId="14831" xr:uid="{00000000-0005-0000-0000-00005D390000}"/>
    <cellStyle name="40% - Ênfase5 2 3 3 2" xfId="14832" xr:uid="{00000000-0005-0000-0000-00005E390000}"/>
    <cellStyle name="40% - Ênfase5 2 3 3 2 2" xfId="14833" xr:uid="{00000000-0005-0000-0000-00005F390000}"/>
    <cellStyle name="40% - Ênfase5 2 3 3 2 2 2" xfId="14834" xr:uid="{00000000-0005-0000-0000-000060390000}"/>
    <cellStyle name="40% - Ênfase5 2 3 3 2 3" xfId="14835" xr:uid="{00000000-0005-0000-0000-000061390000}"/>
    <cellStyle name="40% - Ênfase5 2 3 3 2 3 2" xfId="14836" xr:uid="{00000000-0005-0000-0000-000062390000}"/>
    <cellStyle name="40% - Ênfase5 2 3 3 2 4" xfId="14837" xr:uid="{00000000-0005-0000-0000-000063390000}"/>
    <cellStyle name="40% - Ênfase5 2 3 3 3" xfId="14838" xr:uid="{00000000-0005-0000-0000-000064390000}"/>
    <cellStyle name="40% - Ênfase5 2 3 3 3 2" xfId="14839" xr:uid="{00000000-0005-0000-0000-000065390000}"/>
    <cellStyle name="40% - Ênfase5 2 3 3 3 2 2" xfId="14840" xr:uid="{00000000-0005-0000-0000-000066390000}"/>
    <cellStyle name="40% - Ênfase5 2 3 3 3 3" xfId="14841" xr:uid="{00000000-0005-0000-0000-000067390000}"/>
    <cellStyle name="40% - Ênfase5 2 3 3 3 3 2" xfId="14842" xr:uid="{00000000-0005-0000-0000-000068390000}"/>
    <cellStyle name="40% - Ênfase5 2 3 3 3 4" xfId="14843" xr:uid="{00000000-0005-0000-0000-000069390000}"/>
    <cellStyle name="40% - Ênfase5 2 3 3 4" xfId="14844" xr:uid="{00000000-0005-0000-0000-00006A390000}"/>
    <cellStyle name="40% - Ênfase5 2 3 3 4 2" xfId="14845" xr:uid="{00000000-0005-0000-0000-00006B390000}"/>
    <cellStyle name="40% - Ênfase5 2 3 3 5" xfId="14846" xr:uid="{00000000-0005-0000-0000-00006C390000}"/>
    <cellStyle name="40% - Ênfase5 2 3 3 5 2" xfId="14847" xr:uid="{00000000-0005-0000-0000-00006D390000}"/>
    <cellStyle name="40% - Ênfase5 2 3 3 6" xfId="14848" xr:uid="{00000000-0005-0000-0000-00006E390000}"/>
    <cellStyle name="40% - Ênfase5 2 3 4" xfId="14849" xr:uid="{00000000-0005-0000-0000-00006F390000}"/>
    <cellStyle name="40% - Ênfase5 2 3 4 2" xfId="14850" xr:uid="{00000000-0005-0000-0000-000070390000}"/>
    <cellStyle name="40% - Ênfase5 2 3 4 2 2" xfId="14851" xr:uid="{00000000-0005-0000-0000-000071390000}"/>
    <cellStyle name="40% - Ênfase5 2 3 4 2 2 2" xfId="14852" xr:uid="{00000000-0005-0000-0000-000072390000}"/>
    <cellStyle name="40% - Ênfase5 2 3 4 2 3" xfId="14853" xr:uid="{00000000-0005-0000-0000-000073390000}"/>
    <cellStyle name="40% - Ênfase5 2 3 4 2 3 2" xfId="14854" xr:uid="{00000000-0005-0000-0000-000074390000}"/>
    <cellStyle name="40% - Ênfase5 2 3 4 2 4" xfId="14855" xr:uid="{00000000-0005-0000-0000-000075390000}"/>
    <cellStyle name="40% - Ênfase5 2 3 4 3" xfId="14856" xr:uid="{00000000-0005-0000-0000-000076390000}"/>
    <cellStyle name="40% - Ênfase5 2 3 4 3 2" xfId="14857" xr:uid="{00000000-0005-0000-0000-000077390000}"/>
    <cellStyle name="40% - Ênfase5 2 3 4 3 2 2" xfId="14858" xr:uid="{00000000-0005-0000-0000-000078390000}"/>
    <cellStyle name="40% - Ênfase5 2 3 4 3 3" xfId="14859" xr:uid="{00000000-0005-0000-0000-000079390000}"/>
    <cellStyle name="40% - Ênfase5 2 3 4 3 3 2" xfId="14860" xr:uid="{00000000-0005-0000-0000-00007A390000}"/>
    <cellStyle name="40% - Ênfase5 2 3 4 3 4" xfId="14861" xr:uid="{00000000-0005-0000-0000-00007B390000}"/>
    <cellStyle name="40% - Ênfase5 2 3 4 4" xfId="14862" xr:uid="{00000000-0005-0000-0000-00007C390000}"/>
    <cellStyle name="40% - Ênfase5 2 3 4 4 2" xfId="14863" xr:uid="{00000000-0005-0000-0000-00007D390000}"/>
    <cellStyle name="40% - Ênfase5 2 3 4 5" xfId="14864" xr:uid="{00000000-0005-0000-0000-00007E390000}"/>
    <cellStyle name="40% - Ênfase5 2 3 4 5 2" xfId="14865" xr:uid="{00000000-0005-0000-0000-00007F390000}"/>
    <cellStyle name="40% - Ênfase5 2 3 4 6" xfId="14866" xr:uid="{00000000-0005-0000-0000-000080390000}"/>
    <cellStyle name="40% - Ênfase5 2 3 5" xfId="14867" xr:uid="{00000000-0005-0000-0000-000081390000}"/>
    <cellStyle name="40% - Ênfase5 2 3 5 2" xfId="14868" xr:uid="{00000000-0005-0000-0000-000082390000}"/>
    <cellStyle name="40% - Ênfase5 2 3 5 2 2" xfId="14869" xr:uid="{00000000-0005-0000-0000-000083390000}"/>
    <cellStyle name="40% - Ênfase5 2 3 5 3" xfId="14870" xr:uid="{00000000-0005-0000-0000-000084390000}"/>
    <cellStyle name="40% - Ênfase5 2 3 5 3 2" xfId="14871" xr:uid="{00000000-0005-0000-0000-000085390000}"/>
    <cellStyle name="40% - Ênfase5 2 3 5 4" xfId="14872" xr:uid="{00000000-0005-0000-0000-000086390000}"/>
    <cellStyle name="40% - Ênfase5 2 3 6" xfId="14873" xr:uid="{00000000-0005-0000-0000-000087390000}"/>
    <cellStyle name="40% - Ênfase5 2 3 6 2" xfId="14874" xr:uid="{00000000-0005-0000-0000-000088390000}"/>
    <cellStyle name="40% - Ênfase5 2 3 6 2 2" xfId="14875" xr:uid="{00000000-0005-0000-0000-000089390000}"/>
    <cellStyle name="40% - Ênfase5 2 3 6 3" xfId="14876" xr:uid="{00000000-0005-0000-0000-00008A390000}"/>
    <cellStyle name="40% - Ênfase5 2 3 7" xfId="14877" xr:uid="{00000000-0005-0000-0000-00008B390000}"/>
    <cellStyle name="40% - Ênfase5 2 3 7 2" xfId="14878" xr:uid="{00000000-0005-0000-0000-00008C390000}"/>
    <cellStyle name="40% - Ênfase5 2 3 7 2 2" xfId="14879" xr:uid="{00000000-0005-0000-0000-00008D390000}"/>
    <cellStyle name="40% - Ênfase5 2 3 7 3" xfId="14880" xr:uid="{00000000-0005-0000-0000-00008E390000}"/>
    <cellStyle name="40% - Ênfase5 2 3 8" xfId="14881" xr:uid="{00000000-0005-0000-0000-00008F390000}"/>
    <cellStyle name="40% - Ênfase5 2 3 8 2" xfId="14882" xr:uid="{00000000-0005-0000-0000-000090390000}"/>
    <cellStyle name="40% - Ênfase5 2 3 8 2 2" xfId="14883" xr:uid="{00000000-0005-0000-0000-000091390000}"/>
    <cellStyle name="40% - Ênfase5 2 3 8 3" xfId="14884" xr:uid="{00000000-0005-0000-0000-000092390000}"/>
    <cellStyle name="40% - Ênfase5 2 3 9" xfId="14885" xr:uid="{00000000-0005-0000-0000-000093390000}"/>
    <cellStyle name="40% - Ênfase5 2 3 9 2" xfId="14886" xr:uid="{00000000-0005-0000-0000-000094390000}"/>
    <cellStyle name="40% - Ênfase5 2 3 9 2 2" xfId="14887" xr:uid="{00000000-0005-0000-0000-000095390000}"/>
    <cellStyle name="40% - Ênfase5 2 3 9 3" xfId="14888" xr:uid="{00000000-0005-0000-0000-000096390000}"/>
    <cellStyle name="40% - Ênfase5 2 4" xfId="14889" xr:uid="{00000000-0005-0000-0000-000097390000}"/>
    <cellStyle name="40% - Ênfase5 2 4 10" xfId="14890" xr:uid="{00000000-0005-0000-0000-000098390000}"/>
    <cellStyle name="40% - Ênfase5 2 4 2" xfId="14891" xr:uid="{00000000-0005-0000-0000-000099390000}"/>
    <cellStyle name="40% - Ênfase5 2 4 2 2" xfId="14892" xr:uid="{00000000-0005-0000-0000-00009A390000}"/>
    <cellStyle name="40% - Ênfase5 2 4 2 2 2" xfId="14893" xr:uid="{00000000-0005-0000-0000-00009B390000}"/>
    <cellStyle name="40% - Ênfase5 2 4 2 2 2 2" xfId="14894" xr:uid="{00000000-0005-0000-0000-00009C390000}"/>
    <cellStyle name="40% - Ênfase5 2 4 2 2 2 2 2" xfId="14895" xr:uid="{00000000-0005-0000-0000-00009D390000}"/>
    <cellStyle name="40% - Ênfase5 2 4 2 2 2 3" xfId="14896" xr:uid="{00000000-0005-0000-0000-00009E390000}"/>
    <cellStyle name="40% - Ênfase5 2 4 2 2 2 3 2" xfId="14897" xr:uid="{00000000-0005-0000-0000-00009F390000}"/>
    <cellStyle name="40% - Ênfase5 2 4 2 2 2 4" xfId="14898" xr:uid="{00000000-0005-0000-0000-0000A0390000}"/>
    <cellStyle name="40% - Ênfase5 2 4 2 2 3" xfId="14899" xr:uid="{00000000-0005-0000-0000-0000A1390000}"/>
    <cellStyle name="40% - Ênfase5 2 4 2 2 3 2" xfId="14900" xr:uid="{00000000-0005-0000-0000-0000A2390000}"/>
    <cellStyle name="40% - Ênfase5 2 4 2 2 4" xfId="14901" xr:uid="{00000000-0005-0000-0000-0000A3390000}"/>
    <cellStyle name="40% - Ênfase5 2 4 2 2 4 2" xfId="14902" xr:uid="{00000000-0005-0000-0000-0000A4390000}"/>
    <cellStyle name="40% - Ênfase5 2 4 2 2 5" xfId="14903" xr:uid="{00000000-0005-0000-0000-0000A5390000}"/>
    <cellStyle name="40% - Ênfase5 2 4 2 3" xfId="14904" xr:uid="{00000000-0005-0000-0000-0000A6390000}"/>
    <cellStyle name="40% - Ênfase5 2 4 2 3 2" xfId="14905" xr:uid="{00000000-0005-0000-0000-0000A7390000}"/>
    <cellStyle name="40% - Ênfase5 2 4 2 3 2 2" xfId="14906" xr:uid="{00000000-0005-0000-0000-0000A8390000}"/>
    <cellStyle name="40% - Ênfase5 2 4 2 3 3" xfId="14907" xr:uid="{00000000-0005-0000-0000-0000A9390000}"/>
    <cellStyle name="40% - Ênfase5 2 4 2 3 3 2" xfId="14908" xr:uid="{00000000-0005-0000-0000-0000AA390000}"/>
    <cellStyle name="40% - Ênfase5 2 4 2 3 4" xfId="14909" xr:uid="{00000000-0005-0000-0000-0000AB390000}"/>
    <cellStyle name="40% - Ênfase5 2 4 2 4" xfId="14910" xr:uid="{00000000-0005-0000-0000-0000AC390000}"/>
    <cellStyle name="40% - Ênfase5 2 4 2 4 2" xfId="14911" xr:uid="{00000000-0005-0000-0000-0000AD390000}"/>
    <cellStyle name="40% - Ênfase5 2 4 2 4 2 2" xfId="14912" xr:uid="{00000000-0005-0000-0000-0000AE390000}"/>
    <cellStyle name="40% - Ênfase5 2 4 2 4 3" xfId="14913" xr:uid="{00000000-0005-0000-0000-0000AF390000}"/>
    <cellStyle name="40% - Ênfase5 2 4 2 5" xfId="14914" xr:uid="{00000000-0005-0000-0000-0000B0390000}"/>
    <cellStyle name="40% - Ênfase5 2 4 2 5 2" xfId="14915" xr:uid="{00000000-0005-0000-0000-0000B1390000}"/>
    <cellStyle name="40% - Ênfase5 2 4 2 6" xfId="14916" xr:uid="{00000000-0005-0000-0000-0000B2390000}"/>
    <cellStyle name="40% - Ênfase5 2 4 3" xfId="14917" xr:uid="{00000000-0005-0000-0000-0000B3390000}"/>
    <cellStyle name="40% - Ênfase5 2 4 3 2" xfId="14918" xr:uid="{00000000-0005-0000-0000-0000B4390000}"/>
    <cellStyle name="40% - Ênfase5 2 4 3 2 2" xfId="14919" xr:uid="{00000000-0005-0000-0000-0000B5390000}"/>
    <cellStyle name="40% - Ênfase5 2 4 3 2 2 2" xfId="14920" xr:uid="{00000000-0005-0000-0000-0000B6390000}"/>
    <cellStyle name="40% - Ênfase5 2 4 3 2 3" xfId="14921" xr:uid="{00000000-0005-0000-0000-0000B7390000}"/>
    <cellStyle name="40% - Ênfase5 2 4 3 2 3 2" xfId="14922" xr:uid="{00000000-0005-0000-0000-0000B8390000}"/>
    <cellStyle name="40% - Ênfase5 2 4 3 2 4" xfId="14923" xr:uid="{00000000-0005-0000-0000-0000B9390000}"/>
    <cellStyle name="40% - Ênfase5 2 4 3 3" xfId="14924" xr:uid="{00000000-0005-0000-0000-0000BA390000}"/>
    <cellStyle name="40% - Ênfase5 2 4 3 3 2" xfId="14925" xr:uid="{00000000-0005-0000-0000-0000BB390000}"/>
    <cellStyle name="40% - Ênfase5 2 4 3 3 2 2" xfId="14926" xr:uid="{00000000-0005-0000-0000-0000BC390000}"/>
    <cellStyle name="40% - Ênfase5 2 4 3 3 3" xfId="14927" xr:uid="{00000000-0005-0000-0000-0000BD390000}"/>
    <cellStyle name="40% - Ênfase5 2 4 3 3 3 2" xfId="14928" xr:uid="{00000000-0005-0000-0000-0000BE390000}"/>
    <cellStyle name="40% - Ênfase5 2 4 3 3 4" xfId="14929" xr:uid="{00000000-0005-0000-0000-0000BF390000}"/>
    <cellStyle name="40% - Ênfase5 2 4 3 4" xfId="14930" xr:uid="{00000000-0005-0000-0000-0000C0390000}"/>
    <cellStyle name="40% - Ênfase5 2 4 3 4 2" xfId="14931" xr:uid="{00000000-0005-0000-0000-0000C1390000}"/>
    <cellStyle name="40% - Ênfase5 2 4 3 5" xfId="14932" xr:uid="{00000000-0005-0000-0000-0000C2390000}"/>
    <cellStyle name="40% - Ênfase5 2 4 3 5 2" xfId="14933" xr:uid="{00000000-0005-0000-0000-0000C3390000}"/>
    <cellStyle name="40% - Ênfase5 2 4 3 6" xfId="14934" xr:uid="{00000000-0005-0000-0000-0000C4390000}"/>
    <cellStyle name="40% - Ênfase5 2 4 4" xfId="14935" xr:uid="{00000000-0005-0000-0000-0000C5390000}"/>
    <cellStyle name="40% - Ênfase5 2 4 4 2" xfId="14936" xr:uid="{00000000-0005-0000-0000-0000C6390000}"/>
    <cellStyle name="40% - Ênfase5 2 4 4 2 2" xfId="14937" xr:uid="{00000000-0005-0000-0000-0000C7390000}"/>
    <cellStyle name="40% - Ênfase5 2 4 4 3" xfId="14938" xr:uid="{00000000-0005-0000-0000-0000C8390000}"/>
    <cellStyle name="40% - Ênfase5 2 4 4 3 2" xfId="14939" xr:uid="{00000000-0005-0000-0000-0000C9390000}"/>
    <cellStyle name="40% - Ênfase5 2 4 4 4" xfId="14940" xr:uid="{00000000-0005-0000-0000-0000CA390000}"/>
    <cellStyle name="40% - Ênfase5 2 4 5" xfId="14941" xr:uid="{00000000-0005-0000-0000-0000CB390000}"/>
    <cellStyle name="40% - Ênfase5 2 4 5 2" xfId="14942" xr:uid="{00000000-0005-0000-0000-0000CC390000}"/>
    <cellStyle name="40% - Ênfase5 2 4 5 2 2" xfId="14943" xr:uid="{00000000-0005-0000-0000-0000CD390000}"/>
    <cellStyle name="40% - Ênfase5 2 4 5 3" xfId="14944" xr:uid="{00000000-0005-0000-0000-0000CE390000}"/>
    <cellStyle name="40% - Ênfase5 2 4 6" xfId="14945" xr:uid="{00000000-0005-0000-0000-0000CF390000}"/>
    <cellStyle name="40% - Ênfase5 2 4 6 2" xfId="14946" xr:uid="{00000000-0005-0000-0000-0000D0390000}"/>
    <cellStyle name="40% - Ênfase5 2 4 6 2 2" xfId="14947" xr:uid="{00000000-0005-0000-0000-0000D1390000}"/>
    <cellStyle name="40% - Ênfase5 2 4 6 3" xfId="14948" xr:uid="{00000000-0005-0000-0000-0000D2390000}"/>
    <cellStyle name="40% - Ênfase5 2 4 7" xfId="14949" xr:uid="{00000000-0005-0000-0000-0000D3390000}"/>
    <cellStyle name="40% - Ênfase5 2 4 7 2" xfId="14950" xr:uid="{00000000-0005-0000-0000-0000D4390000}"/>
    <cellStyle name="40% - Ênfase5 2 4 7 2 2" xfId="14951" xr:uid="{00000000-0005-0000-0000-0000D5390000}"/>
    <cellStyle name="40% - Ênfase5 2 4 7 3" xfId="14952" xr:uid="{00000000-0005-0000-0000-0000D6390000}"/>
    <cellStyle name="40% - Ênfase5 2 4 8" xfId="14953" xr:uid="{00000000-0005-0000-0000-0000D7390000}"/>
    <cellStyle name="40% - Ênfase5 2 4 8 2" xfId="14954" xr:uid="{00000000-0005-0000-0000-0000D8390000}"/>
    <cellStyle name="40% - Ênfase5 2 4 8 2 2" xfId="14955" xr:uid="{00000000-0005-0000-0000-0000D9390000}"/>
    <cellStyle name="40% - Ênfase5 2 4 8 3" xfId="14956" xr:uid="{00000000-0005-0000-0000-0000DA390000}"/>
    <cellStyle name="40% - Ênfase5 2 4 9" xfId="14957" xr:uid="{00000000-0005-0000-0000-0000DB390000}"/>
    <cellStyle name="40% - Ênfase5 2 4 9 2" xfId="14958" xr:uid="{00000000-0005-0000-0000-0000DC390000}"/>
    <cellStyle name="40% - Ênfase5 2 5" xfId="14959" xr:uid="{00000000-0005-0000-0000-0000DD390000}"/>
    <cellStyle name="40% - Ênfase5 2 5 2" xfId="14960" xr:uid="{00000000-0005-0000-0000-0000DE390000}"/>
    <cellStyle name="40% - Ênfase5 2 5 2 2" xfId="14961" xr:uid="{00000000-0005-0000-0000-0000DF390000}"/>
    <cellStyle name="40% - Ênfase5 2 5 2 2 2" xfId="14962" xr:uid="{00000000-0005-0000-0000-0000E0390000}"/>
    <cellStyle name="40% - Ênfase5 2 5 2 2 2 2" xfId="14963" xr:uid="{00000000-0005-0000-0000-0000E1390000}"/>
    <cellStyle name="40% - Ênfase5 2 5 2 2 2 2 2" xfId="14964" xr:uid="{00000000-0005-0000-0000-0000E2390000}"/>
    <cellStyle name="40% - Ênfase5 2 5 2 2 2 3" xfId="14965" xr:uid="{00000000-0005-0000-0000-0000E3390000}"/>
    <cellStyle name="40% - Ênfase5 2 5 2 2 2 3 2" xfId="14966" xr:uid="{00000000-0005-0000-0000-0000E4390000}"/>
    <cellStyle name="40% - Ênfase5 2 5 2 2 2 4" xfId="14967" xr:uid="{00000000-0005-0000-0000-0000E5390000}"/>
    <cellStyle name="40% - Ênfase5 2 5 2 2 3" xfId="14968" xr:uid="{00000000-0005-0000-0000-0000E6390000}"/>
    <cellStyle name="40% - Ênfase5 2 5 2 2 3 2" xfId="14969" xr:uid="{00000000-0005-0000-0000-0000E7390000}"/>
    <cellStyle name="40% - Ênfase5 2 5 2 2 4" xfId="14970" xr:uid="{00000000-0005-0000-0000-0000E8390000}"/>
    <cellStyle name="40% - Ênfase5 2 5 2 2 4 2" xfId="14971" xr:uid="{00000000-0005-0000-0000-0000E9390000}"/>
    <cellStyle name="40% - Ênfase5 2 5 2 2 5" xfId="14972" xr:uid="{00000000-0005-0000-0000-0000EA390000}"/>
    <cellStyle name="40% - Ênfase5 2 5 2 3" xfId="14973" xr:uid="{00000000-0005-0000-0000-0000EB390000}"/>
    <cellStyle name="40% - Ênfase5 2 5 2 3 2" xfId="14974" xr:uid="{00000000-0005-0000-0000-0000EC390000}"/>
    <cellStyle name="40% - Ênfase5 2 5 2 3 2 2" xfId="14975" xr:uid="{00000000-0005-0000-0000-0000ED390000}"/>
    <cellStyle name="40% - Ênfase5 2 5 2 3 3" xfId="14976" xr:uid="{00000000-0005-0000-0000-0000EE390000}"/>
    <cellStyle name="40% - Ênfase5 2 5 2 3 3 2" xfId="14977" xr:uid="{00000000-0005-0000-0000-0000EF390000}"/>
    <cellStyle name="40% - Ênfase5 2 5 2 3 4" xfId="14978" xr:uid="{00000000-0005-0000-0000-0000F0390000}"/>
    <cellStyle name="40% - Ênfase5 2 5 2 4" xfId="14979" xr:uid="{00000000-0005-0000-0000-0000F1390000}"/>
    <cellStyle name="40% - Ênfase5 2 5 2 4 2" xfId="14980" xr:uid="{00000000-0005-0000-0000-0000F2390000}"/>
    <cellStyle name="40% - Ênfase5 2 5 2 4 2 2" xfId="14981" xr:uid="{00000000-0005-0000-0000-0000F3390000}"/>
    <cellStyle name="40% - Ênfase5 2 5 2 4 3" xfId="14982" xr:uid="{00000000-0005-0000-0000-0000F4390000}"/>
    <cellStyle name="40% - Ênfase5 2 5 2 5" xfId="14983" xr:uid="{00000000-0005-0000-0000-0000F5390000}"/>
    <cellStyle name="40% - Ênfase5 2 5 2 5 2" xfId="14984" xr:uid="{00000000-0005-0000-0000-0000F6390000}"/>
    <cellStyle name="40% - Ênfase5 2 5 2 6" xfId="14985" xr:uid="{00000000-0005-0000-0000-0000F7390000}"/>
    <cellStyle name="40% - Ênfase5 2 5 3" xfId="14986" xr:uid="{00000000-0005-0000-0000-0000F8390000}"/>
    <cellStyle name="40% - Ênfase5 2 5 3 2" xfId="14987" xr:uid="{00000000-0005-0000-0000-0000F9390000}"/>
    <cellStyle name="40% - Ênfase5 2 5 3 2 2" xfId="14988" xr:uid="{00000000-0005-0000-0000-0000FA390000}"/>
    <cellStyle name="40% - Ênfase5 2 5 3 2 2 2" xfId="14989" xr:uid="{00000000-0005-0000-0000-0000FB390000}"/>
    <cellStyle name="40% - Ênfase5 2 5 3 2 3" xfId="14990" xr:uid="{00000000-0005-0000-0000-0000FC390000}"/>
    <cellStyle name="40% - Ênfase5 2 5 3 2 3 2" xfId="14991" xr:uid="{00000000-0005-0000-0000-0000FD390000}"/>
    <cellStyle name="40% - Ênfase5 2 5 3 2 4" xfId="14992" xr:uid="{00000000-0005-0000-0000-0000FE390000}"/>
    <cellStyle name="40% - Ênfase5 2 5 3 3" xfId="14993" xr:uid="{00000000-0005-0000-0000-0000FF390000}"/>
    <cellStyle name="40% - Ênfase5 2 5 3 3 2" xfId="14994" xr:uid="{00000000-0005-0000-0000-0000003A0000}"/>
    <cellStyle name="40% - Ênfase5 2 5 3 4" xfId="14995" xr:uid="{00000000-0005-0000-0000-0000013A0000}"/>
    <cellStyle name="40% - Ênfase5 2 5 3 4 2" xfId="14996" xr:uid="{00000000-0005-0000-0000-0000023A0000}"/>
    <cellStyle name="40% - Ênfase5 2 5 3 5" xfId="14997" xr:uid="{00000000-0005-0000-0000-0000033A0000}"/>
    <cellStyle name="40% - Ênfase5 2 5 4" xfId="14998" xr:uid="{00000000-0005-0000-0000-0000043A0000}"/>
    <cellStyle name="40% - Ênfase5 2 5 4 2" xfId="14999" xr:uid="{00000000-0005-0000-0000-0000053A0000}"/>
    <cellStyle name="40% - Ênfase5 2 5 4 2 2" xfId="15000" xr:uid="{00000000-0005-0000-0000-0000063A0000}"/>
    <cellStyle name="40% - Ênfase5 2 5 4 3" xfId="15001" xr:uid="{00000000-0005-0000-0000-0000073A0000}"/>
    <cellStyle name="40% - Ênfase5 2 5 4 3 2" xfId="15002" xr:uid="{00000000-0005-0000-0000-0000083A0000}"/>
    <cellStyle name="40% - Ênfase5 2 5 4 4" xfId="15003" xr:uid="{00000000-0005-0000-0000-0000093A0000}"/>
    <cellStyle name="40% - Ênfase5 2 5 5" xfId="15004" xr:uid="{00000000-0005-0000-0000-00000A3A0000}"/>
    <cellStyle name="40% - Ênfase5 2 5 5 2" xfId="15005" xr:uid="{00000000-0005-0000-0000-00000B3A0000}"/>
    <cellStyle name="40% - Ênfase5 2 5 5 2 2" xfId="15006" xr:uid="{00000000-0005-0000-0000-00000C3A0000}"/>
    <cellStyle name="40% - Ênfase5 2 5 5 3" xfId="15007" xr:uid="{00000000-0005-0000-0000-00000D3A0000}"/>
    <cellStyle name="40% - Ênfase5 2 5 6" xfId="15008" xr:uid="{00000000-0005-0000-0000-00000E3A0000}"/>
    <cellStyle name="40% - Ênfase5 2 5 6 2" xfId="15009" xr:uid="{00000000-0005-0000-0000-00000F3A0000}"/>
    <cellStyle name="40% - Ênfase5 2 5 7" xfId="15010" xr:uid="{00000000-0005-0000-0000-0000103A0000}"/>
    <cellStyle name="40% - Ênfase5 2 6" xfId="15011" xr:uid="{00000000-0005-0000-0000-0000113A0000}"/>
    <cellStyle name="40% - Ênfase5 2 6 2" xfId="15012" xr:uid="{00000000-0005-0000-0000-0000123A0000}"/>
    <cellStyle name="40% - Ênfase5 2 6 2 2" xfId="15013" xr:uid="{00000000-0005-0000-0000-0000133A0000}"/>
    <cellStyle name="40% - Ênfase5 2 6 2 2 2" xfId="15014" xr:uid="{00000000-0005-0000-0000-0000143A0000}"/>
    <cellStyle name="40% - Ênfase5 2 6 2 2 2 2" xfId="15015" xr:uid="{00000000-0005-0000-0000-0000153A0000}"/>
    <cellStyle name="40% - Ênfase5 2 6 2 2 2 2 2" xfId="15016" xr:uid="{00000000-0005-0000-0000-0000163A0000}"/>
    <cellStyle name="40% - Ênfase5 2 6 2 2 2 3" xfId="15017" xr:uid="{00000000-0005-0000-0000-0000173A0000}"/>
    <cellStyle name="40% - Ênfase5 2 6 2 2 2 3 2" xfId="15018" xr:uid="{00000000-0005-0000-0000-0000183A0000}"/>
    <cellStyle name="40% - Ênfase5 2 6 2 2 2 4" xfId="15019" xr:uid="{00000000-0005-0000-0000-0000193A0000}"/>
    <cellStyle name="40% - Ênfase5 2 6 2 2 3" xfId="15020" xr:uid="{00000000-0005-0000-0000-00001A3A0000}"/>
    <cellStyle name="40% - Ênfase5 2 6 2 2 3 2" xfId="15021" xr:uid="{00000000-0005-0000-0000-00001B3A0000}"/>
    <cellStyle name="40% - Ênfase5 2 6 2 2 4" xfId="15022" xr:uid="{00000000-0005-0000-0000-00001C3A0000}"/>
    <cellStyle name="40% - Ênfase5 2 6 2 2 4 2" xfId="15023" xr:uid="{00000000-0005-0000-0000-00001D3A0000}"/>
    <cellStyle name="40% - Ênfase5 2 6 2 2 5" xfId="15024" xr:uid="{00000000-0005-0000-0000-00001E3A0000}"/>
    <cellStyle name="40% - Ênfase5 2 6 2 3" xfId="15025" xr:uid="{00000000-0005-0000-0000-00001F3A0000}"/>
    <cellStyle name="40% - Ênfase5 2 6 2 3 2" xfId="15026" xr:uid="{00000000-0005-0000-0000-0000203A0000}"/>
    <cellStyle name="40% - Ênfase5 2 6 2 3 2 2" xfId="15027" xr:uid="{00000000-0005-0000-0000-0000213A0000}"/>
    <cellStyle name="40% - Ênfase5 2 6 2 3 3" xfId="15028" xr:uid="{00000000-0005-0000-0000-0000223A0000}"/>
    <cellStyle name="40% - Ênfase5 2 6 2 3 3 2" xfId="15029" xr:uid="{00000000-0005-0000-0000-0000233A0000}"/>
    <cellStyle name="40% - Ênfase5 2 6 2 3 4" xfId="15030" xr:uid="{00000000-0005-0000-0000-0000243A0000}"/>
    <cellStyle name="40% - Ênfase5 2 6 2 4" xfId="15031" xr:uid="{00000000-0005-0000-0000-0000253A0000}"/>
    <cellStyle name="40% - Ênfase5 2 6 2 4 2" xfId="15032" xr:uid="{00000000-0005-0000-0000-0000263A0000}"/>
    <cellStyle name="40% - Ênfase5 2 6 2 4 2 2" xfId="15033" xr:uid="{00000000-0005-0000-0000-0000273A0000}"/>
    <cellStyle name="40% - Ênfase5 2 6 2 4 3" xfId="15034" xr:uid="{00000000-0005-0000-0000-0000283A0000}"/>
    <cellStyle name="40% - Ênfase5 2 6 2 5" xfId="15035" xr:uid="{00000000-0005-0000-0000-0000293A0000}"/>
    <cellStyle name="40% - Ênfase5 2 6 2 5 2" xfId="15036" xr:uid="{00000000-0005-0000-0000-00002A3A0000}"/>
    <cellStyle name="40% - Ênfase5 2 6 2 6" xfId="15037" xr:uid="{00000000-0005-0000-0000-00002B3A0000}"/>
    <cellStyle name="40% - Ênfase5 2 6 3" xfId="15038" xr:uid="{00000000-0005-0000-0000-00002C3A0000}"/>
    <cellStyle name="40% - Ênfase5 2 6 3 2" xfId="15039" xr:uid="{00000000-0005-0000-0000-00002D3A0000}"/>
    <cellStyle name="40% - Ênfase5 2 6 3 2 2" xfId="15040" xr:uid="{00000000-0005-0000-0000-00002E3A0000}"/>
    <cellStyle name="40% - Ênfase5 2 6 3 2 2 2" xfId="15041" xr:uid="{00000000-0005-0000-0000-00002F3A0000}"/>
    <cellStyle name="40% - Ênfase5 2 6 3 2 3" xfId="15042" xr:uid="{00000000-0005-0000-0000-0000303A0000}"/>
    <cellStyle name="40% - Ênfase5 2 6 3 2 3 2" xfId="15043" xr:uid="{00000000-0005-0000-0000-0000313A0000}"/>
    <cellStyle name="40% - Ênfase5 2 6 3 2 4" xfId="15044" xr:uid="{00000000-0005-0000-0000-0000323A0000}"/>
    <cellStyle name="40% - Ênfase5 2 6 3 3" xfId="15045" xr:uid="{00000000-0005-0000-0000-0000333A0000}"/>
    <cellStyle name="40% - Ênfase5 2 6 3 3 2" xfId="15046" xr:uid="{00000000-0005-0000-0000-0000343A0000}"/>
    <cellStyle name="40% - Ênfase5 2 6 3 4" xfId="15047" xr:uid="{00000000-0005-0000-0000-0000353A0000}"/>
    <cellStyle name="40% - Ênfase5 2 6 3 4 2" xfId="15048" xr:uid="{00000000-0005-0000-0000-0000363A0000}"/>
    <cellStyle name="40% - Ênfase5 2 6 3 5" xfId="15049" xr:uid="{00000000-0005-0000-0000-0000373A0000}"/>
    <cellStyle name="40% - Ênfase5 2 6 4" xfId="15050" xr:uid="{00000000-0005-0000-0000-0000383A0000}"/>
    <cellStyle name="40% - Ênfase5 2 6 4 2" xfId="15051" xr:uid="{00000000-0005-0000-0000-0000393A0000}"/>
    <cellStyle name="40% - Ênfase5 2 6 4 2 2" xfId="15052" xr:uid="{00000000-0005-0000-0000-00003A3A0000}"/>
    <cellStyle name="40% - Ênfase5 2 6 4 3" xfId="15053" xr:uid="{00000000-0005-0000-0000-00003B3A0000}"/>
    <cellStyle name="40% - Ênfase5 2 6 4 3 2" xfId="15054" xr:uid="{00000000-0005-0000-0000-00003C3A0000}"/>
    <cellStyle name="40% - Ênfase5 2 6 4 4" xfId="15055" xr:uid="{00000000-0005-0000-0000-00003D3A0000}"/>
    <cellStyle name="40% - Ênfase5 2 6 5" xfId="15056" xr:uid="{00000000-0005-0000-0000-00003E3A0000}"/>
    <cellStyle name="40% - Ênfase5 2 6 5 2" xfId="15057" xr:uid="{00000000-0005-0000-0000-00003F3A0000}"/>
    <cellStyle name="40% - Ênfase5 2 6 5 2 2" xfId="15058" xr:uid="{00000000-0005-0000-0000-0000403A0000}"/>
    <cellStyle name="40% - Ênfase5 2 6 5 3" xfId="15059" xr:uid="{00000000-0005-0000-0000-0000413A0000}"/>
    <cellStyle name="40% - Ênfase5 2 6 6" xfId="15060" xr:uid="{00000000-0005-0000-0000-0000423A0000}"/>
    <cellStyle name="40% - Ênfase5 2 6 6 2" xfId="15061" xr:uid="{00000000-0005-0000-0000-0000433A0000}"/>
    <cellStyle name="40% - Ênfase5 2 6 7" xfId="15062" xr:uid="{00000000-0005-0000-0000-0000443A0000}"/>
    <cellStyle name="40% - Ênfase5 2 7" xfId="15063" xr:uid="{00000000-0005-0000-0000-0000453A0000}"/>
    <cellStyle name="40% - Ênfase5 2 7 2" xfId="15064" xr:uid="{00000000-0005-0000-0000-0000463A0000}"/>
    <cellStyle name="40% - Ênfase5 2 7 2 2" xfId="15065" xr:uid="{00000000-0005-0000-0000-0000473A0000}"/>
    <cellStyle name="40% - Ênfase5 2 7 2 2 2" xfId="15066" xr:uid="{00000000-0005-0000-0000-0000483A0000}"/>
    <cellStyle name="40% - Ênfase5 2 7 2 2 2 2" xfId="15067" xr:uid="{00000000-0005-0000-0000-0000493A0000}"/>
    <cellStyle name="40% - Ênfase5 2 7 2 2 3" xfId="15068" xr:uid="{00000000-0005-0000-0000-00004A3A0000}"/>
    <cellStyle name="40% - Ênfase5 2 7 2 2 3 2" xfId="15069" xr:uid="{00000000-0005-0000-0000-00004B3A0000}"/>
    <cellStyle name="40% - Ênfase5 2 7 2 2 4" xfId="15070" xr:uid="{00000000-0005-0000-0000-00004C3A0000}"/>
    <cellStyle name="40% - Ênfase5 2 7 2 3" xfId="15071" xr:uid="{00000000-0005-0000-0000-00004D3A0000}"/>
    <cellStyle name="40% - Ênfase5 2 7 2 3 2" xfId="15072" xr:uid="{00000000-0005-0000-0000-00004E3A0000}"/>
    <cellStyle name="40% - Ênfase5 2 7 2 4" xfId="15073" xr:uid="{00000000-0005-0000-0000-00004F3A0000}"/>
    <cellStyle name="40% - Ênfase5 2 7 2 4 2" xfId="15074" xr:uid="{00000000-0005-0000-0000-0000503A0000}"/>
    <cellStyle name="40% - Ênfase5 2 7 2 5" xfId="15075" xr:uid="{00000000-0005-0000-0000-0000513A0000}"/>
    <cellStyle name="40% - Ênfase5 2 7 3" xfId="15076" xr:uid="{00000000-0005-0000-0000-0000523A0000}"/>
    <cellStyle name="40% - Ênfase5 2 7 3 2" xfId="15077" xr:uid="{00000000-0005-0000-0000-0000533A0000}"/>
    <cellStyle name="40% - Ênfase5 2 7 3 2 2" xfId="15078" xr:uid="{00000000-0005-0000-0000-0000543A0000}"/>
    <cellStyle name="40% - Ênfase5 2 7 3 3" xfId="15079" xr:uid="{00000000-0005-0000-0000-0000553A0000}"/>
    <cellStyle name="40% - Ênfase5 2 7 3 3 2" xfId="15080" xr:uid="{00000000-0005-0000-0000-0000563A0000}"/>
    <cellStyle name="40% - Ênfase5 2 7 3 4" xfId="15081" xr:uid="{00000000-0005-0000-0000-0000573A0000}"/>
    <cellStyle name="40% - Ênfase5 2 7 4" xfId="15082" xr:uid="{00000000-0005-0000-0000-0000583A0000}"/>
    <cellStyle name="40% - Ênfase5 2 7 4 2" xfId="15083" xr:uid="{00000000-0005-0000-0000-0000593A0000}"/>
    <cellStyle name="40% - Ênfase5 2 7 4 2 2" xfId="15084" xr:uid="{00000000-0005-0000-0000-00005A3A0000}"/>
    <cellStyle name="40% - Ênfase5 2 7 4 3" xfId="15085" xr:uid="{00000000-0005-0000-0000-00005B3A0000}"/>
    <cellStyle name="40% - Ênfase5 2 7 5" xfId="15086" xr:uid="{00000000-0005-0000-0000-00005C3A0000}"/>
    <cellStyle name="40% - Ênfase5 2 7 5 2" xfId="15087" xr:uid="{00000000-0005-0000-0000-00005D3A0000}"/>
    <cellStyle name="40% - Ênfase5 2 7 6" xfId="15088" xr:uid="{00000000-0005-0000-0000-00005E3A0000}"/>
    <cellStyle name="40% - Ênfase5 2 8" xfId="15089" xr:uid="{00000000-0005-0000-0000-00005F3A0000}"/>
    <cellStyle name="40% - Ênfase5 2 8 2" xfId="15090" xr:uid="{00000000-0005-0000-0000-0000603A0000}"/>
    <cellStyle name="40% - Ênfase5 2 8 2 2" xfId="15091" xr:uid="{00000000-0005-0000-0000-0000613A0000}"/>
    <cellStyle name="40% - Ênfase5 2 8 2 2 2" xfId="15092" xr:uid="{00000000-0005-0000-0000-0000623A0000}"/>
    <cellStyle name="40% - Ênfase5 2 8 2 3" xfId="15093" xr:uid="{00000000-0005-0000-0000-0000633A0000}"/>
    <cellStyle name="40% - Ênfase5 2 8 2 3 2" xfId="15094" xr:uid="{00000000-0005-0000-0000-0000643A0000}"/>
    <cellStyle name="40% - Ênfase5 2 8 2 4" xfId="15095" xr:uid="{00000000-0005-0000-0000-0000653A0000}"/>
    <cellStyle name="40% - Ênfase5 2 8 3" xfId="15096" xr:uid="{00000000-0005-0000-0000-0000663A0000}"/>
    <cellStyle name="40% - Ênfase5 2 8 3 2" xfId="15097" xr:uid="{00000000-0005-0000-0000-0000673A0000}"/>
    <cellStyle name="40% - Ênfase5 2 8 3 2 2" xfId="15098" xr:uid="{00000000-0005-0000-0000-0000683A0000}"/>
    <cellStyle name="40% - Ênfase5 2 8 3 3" xfId="15099" xr:uid="{00000000-0005-0000-0000-0000693A0000}"/>
    <cellStyle name="40% - Ênfase5 2 8 3 3 2" xfId="15100" xr:uid="{00000000-0005-0000-0000-00006A3A0000}"/>
    <cellStyle name="40% - Ênfase5 2 8 3 4" xfId="15101" xr:uid="{00000000-0005-0000-0000-00006B3A0000}"/>
    <cellStyle name="40% - Ênfase5 2 8 4" xfId="15102" xr:uid="{00000000-0005-0000-0000-00006C3A0000}"/>
    <cellStyle name="40% - Ênfase5 2 8 4 2" xfId="15103" xr:uid="{00000000-0005-0000-0000-00006D3A0000}"/>
    <cellStyle name="40% - Ênfase5 2 8 5" xfId="15104" xr:uid="{00000000-0005-0000-0000-00006E3A0000}"/>
    <cellStyle name="40% - Ênfase5 2 8 5 2" xfId="15105" xr:uid="{00000000-0005-0000-0000-00006F3A0000}"/>
    <cellStyle name="40% - Ênfase5 2 8 6" xfId="15106" xr:uid="{00000000-0005-0000-0000-0000703A0000}"/>
    <cellStyle name="40% - Ênfase5 2 9" xfId="15107" xr:uid="{00000000-0005-0000-0000-0000713A0000}"/>
    <cellStyle name="40% - Ênfase5 2 9 2" xfId="15108" xr:uid="{00000000-0005-0000-0000-0000723A0000}"/>
    <cellStyle name="40% - Ênfase5 2 9 2 2" xfId="15109" xr:uid="{00000000-0005-0000-0000-0000733A0000}"/>
    <cellStyle name="40% - Ênfase5 2 9 2 2 2" xfId="15110" xr:uid="{00000000-0005-0000-0000-0000743A0000}"/>
    <cellStyle name="40% - Ênfase5 2 9 2 3" xfId="15111" xr:uid="{00000000-0005-0000-0000-0000753A0000}"/>
    <cellStyle name="40% - Ênfase5 2 9 2 3 2" xfId="15112" xr:uid="{00000000-0005-0000-0000-0000763A0000}"/>
    <cellStyle name="40% - Ênfase5 2 9 2 4" xfId="15113" xr:uid="{00000000-0005-0000-0000-0000773A0000}"/>
    <cellStyle name="40% - Ênfase5 2 9 3" xfId="15114" xr:uid="{00000000-0005-0000-0000-0000783A0000}"/>
    <cellStyle name="40% - Ênfase5 2 9 3 2" xfId="15115" xr:uid="{00000000-0005-0000-0000-0000793A0000}"/>
    <cellStyle name="40% - Ênfase5 2 9 3 2 2" xfId="15116" xr:uid="{00000000-0005-0000-0000-00007A3A0000}"/>
    <cellStyle name="40% - Ênfase5 2 9 3 3" xfId="15117" xr:uid="{00000000-0005-0000-0000-00007B3A0000}"/>
    <cellStyle name="40% - Ênfase5 2 9 3 3 2" xfId="15118" xr:uid="{00000000-0005-0000-0000-00007C3A0000}"/>
    <cellStyle name="40% - Ênfase5 2 9 3 4" xfId="15119" xr:uid="{00000000-0005-0000-0000-00007D3A0000}"/>
    <cellStyle name="40% - Ênfase5 2 9 4" xfId="15120" xr:uid="{00000000-0005-0000-0000-00007E3A0000}"/>
    <cellStyle name="40% - Ênfase5 2 9 4 2" xfId="15121" xr:uid="{00000000-0005-0000-0000-00007F3A0000}"/>
    <cellStyle name="40% - Ênfase5 2 9 5" xfId="15122" xr:uid="{00000000-0005-0000-0000-0000803A0000}"/>
    <cellStyle name="40% - Ênfase5 2 9 5 2" xfId="15123" xr:uid="{00000000-0005-0000-0000-0000813A0000}"/>
    <cellStyle name="40% - Ênfase5 2 9 6" xfId="15124" xr:uid="{00000000-0005-0000-0000-0000823A0000}"/>
    <cellStyle name="40% - Ênfase5 20" xfId="15125" xr:uid="{00000000-0005-0000-0000-0000833A0000}"/>
    <cellStyle name="40% - Ênfase5 20 2" xfId="15126" xr:uid="{00000000-0005-0000-0000-0000843A0000}"/>
    <cellStyle name="40% - Ênfase5 20 2 2" xfId="15127" xr:uid="{00000000-0005-0000-0000-0000853A0000}"/>
    <cellStyle name="40% - Ênfase5 20 3" xfId="15128" xr:uid="{00000000-0005-0000-0000-0000863A0000}"/>
    <cellStyle name="40% - Ênfase5 21" xfId="15129" xr:uid="{00000000-0005-0000-0000-0000873A0000}"/>
    <cellStyle name="40% - Ênfase5 21 2" xfId="15130" xr:uid="{00000000-0005-0000-0000-0000883A0000}"/>
    <cellStyle name="40% - Ênfase5 21 2 2" xfId="15131" xr:uid="{00000000-0005-0000-0000-0000893A0000}"/>
    <cellStyle name="40% - Ênfase5 21 3" xfId="15132" xr:uid="{00000000-0005-0000-0000-00008A3A0000}"/>
    <cellStyle name="40% - Ênfase5 22" xfId="15133" xr:uid="{00000000-0005-0000-0000-00008B3A0000}"/>
    <cellStyle name="40% - Ênfase5 22 2" xfId="15134" xr:uid="{00000000-0005-0000-0000-00008C3A0000}"/>
    <cellStyle name="40% - Ênfase5 22 2 2" xfId="15135" xr:uid="{00000000-0005-0000-0000-00008D3A0000}"/>
    <cellStyle name="40% - Ênfase5 22 3" xfId="15136" xr:uid="{00000000-0005-0000-0000-00008E3A0000}"/>
    <cellStyle name="40% - Ênfase5 23" xfId="15137" xr:uid="{00000000-0005-0000-0000-00008F3A0000}"/>
    <cellStyle name="40% - Ênfase5 23 2" xfId="15138" xr:uid="{00000000-0005-0000-0000-0000903A0000}"/>
    <cellStyle name="40% - Ênfase5 23 2 2" xfId="15139" xr:uid="{00000000-0005-0000-0000-0000913A0000}"/>
    <cellStyle name="40% - Ênfase5 23 3" xfId="15140" xr:uid="{00000000-0005-0000-0000-0000923A0000}"/>
    <cellStyle name="40% - Ênfase5 24" xfId="15141" xr:uid="{00000000-0005-0000-0000-0000933A0000}"/>
    <cellStyle name="40% - Ênfase5 24 2" xfId="15142" xr:uid="{00000000-0005-0000-0000-0000943A0000}"/>
    <cellStyle name="40% - Ênfase5 24 2 2" xfId="15143" xr:uid="{00000000-0005-0000-0000-0000953A0000}"/>
    <cellStyle name="40% - Ênfase5 24 3" xfId="15144" xr:uid="{00000000-0005-0000-0000-0000963A0000}"/>
    <cellStyle name="40% - Ênfase5 25" xfId="15145" xr:uid="{00000000-0005-0000-0000-0000973A0000}"/>
    <cellStyle name="40% - Ênfase5 25 2" xfId="15146" xr:uid="{00000000-0005-0000-0000-0000983A0000}"/>
    <cellStyle name="40% - Ênfase5 25 2 2" xfId="15147" xr:uid="{00000000-0005-0000-0000-0000993A0000}"/>
    <cellStyle name="40% - Ênfase5 25 3" xfId="15148" xr:uid="{00000000-0005-0000-0000-00009A3A0000}"/>
    <cellStyle name="40% - Ênfase5 26" xfId="15149" xr:uid="{00000000-0005-0000-0000-00009B3A0000}"/>
    <cellStyle name="40% - Ênfase5 26 2" xfId="15150" xr:uid="{00000000-0005-0000-0000-00009C3A0000}"/>
    <cellStyle name="40% - Ênfase5 26 2 2" xfId="15151" xr:uid="{00000000-0005-0000-0000-00009D3A0000}"/>
    <cellStyle name="40% - Ênfase5 26 3" xfId="15152" xr:uid="{00000000-0005-0000-0000-00009E3A0000}"/>
    <cellStyle name="40% - Ênfase5 27" xfId="15153" xr:uid="{00000000-0005-0000-0000-00009F3A0000}"/>
    <cellStyle name="40% - Ênfase5 27 2" xfId="15154" xr:uid="{00000000-0005-0000-0000-0000A03A0000}"/>
    <cellStyle name="40% - Ênfase5 27 2 2" xfId="15155" xr:uid="{00000000-0005-0000-0000-0000A13A0000}"/>
    <cellStyle name="40% - Ênfase5 27 3" xfId="15156" xr:uid="{00000000-0005-0000-0000-0000A23A0000}"/>
    <cellStyle name="40% - Ênfase5 28" xfId="15157" xr:uid="{00000000-0005-0000-0000-0000A33A0000}"/>
    <cellStyle name="40% - Ênfase5 28 2" xfId="15158" xr:uid="{00000000-0005-0000-0000-0000A43A0000}"/>
    <cellStyle name="40% - Ênfase5 28 2 2" xfId="15159" xr:uid="{00000000-0005-0000-0000-0000A53A0000}"/>
    <cellStyle name="40% - Ênfase5 28 3" xfId="15160" xr:uid="{00000000-0005-0000-0000-0000A63A0000}"/>
    <cellStyle name="40% - Ênfase5 29" xfId="15161" xr:uid="{00000000-0005-0000-0000-0000A73A0000}"/>
    <cellStyle name="40% - Ênfase5 3" xfId="15162" xr:uid="{00000000-0005-0000-0000-0000A83A0000}"/>
    <cellStyle name="40% - Ênfase5 3 10" xfId="15163" xr:uid="{00000000-0005-0000-0000-0000A93A0000}"/>
    <cellStyle name="40% - Ênfase5 3 10 2" xfId="15164" xr:uid="{00000000-0005-0000-0000-0000AA3A0000}"/>
    <cellStyle name="40% - Ênfase5 3 10 2 2" xfId="15165" xr:uid="{00000000-0005-0000-0000-0000AB3A0000}"/>
    <cellStyle name="40% - Ênfase5 3 10 3" xfId="15166" xr:uid="{00000000-0005-0000-0000-0000AC3A0000}"/>
    <cellStyle name="40% - Ênfase5 3 11" xfId="15167" xr:uid="{00000000-0005-0000-0000-0000AD3A0000}"/>
    <cellStyle name="40% - Ênfase5 3 11 2" xfId="15168" xr:uid="{00000000-0005-0000-0000-0000AE3A0000}"/>
    <cellStyle name="40% - Ênfase5 3 12" xfId="15169" xr:uid="{00000000-0005-0000-0000-0000AF3A0000}"/>
    <cellStyle name="40% - Ênfase5 3 2" xfId="15170" xr:uid="{00000000-0005-0000-0000-0000B03A0000}"/>
    <cellStyle name="40% - Ênfase5 3 2 10" xfId="15171" xr:uid="{00000000-0005-0000-0000-0000B13A0000}"/>
    <cellStyle name="40% - Ênfase5 3 2 2" xfId="15172" xr:uid="{00000000-0005-0000-0000-0000B23A0000}"/>
    <cellStyle name="40% - Ênfase5 3 2 2 2" xfId="15173" xr:uid="{00000000-0005-0000-0000-0000B33A0000}"/>
    <cellStyle name="40% - Ênfase5 3 2 2 2 2" xfId="15174" xr:uid="{00000000-0005-0000-0000-0000B43A0000}"/>
    <cellStyle name="40% - Ênfase5 3 2 2 2 2 2" xfId="15175" xr:uid="{00000000-0005-0000-0000-0000B53A0000}"/>
    <cellStyle name="40% - Ênfase5 3 2 2 2 2 2 2" xfId="15176" xr:uid="{00000000-0005-0000-0000-0000B63A0000}"/>
    <cellStyle name="40% - Ênfase5 3 2 2 2 2 3" xfId="15177" xr:uid="{00000000-0005-0000-0000-0000B73A0000}"/>
    <cellStyle name="40% - Ênfase5 3 2 2 2 2 3 2" xfId="15178" xr:uid="{00000000-0005-0000-0000-0000B83A0000}"/>
    <cellStyle name="40% - Ênfase5 3 2 2 2 2 4" xfId="15179" xr:uid="{00000000-0005-0000-0000-0000B93A0000}"/>
    <cellStyle name="40% - Ênfase5 3 2 2 2 3" xfId="15180" xr:uid="{00000000-0005-0000-0000-0000BA3A0000}"/>
    <cellStyle name="40% - Ênfase5 3 2 2 2 3 2" xfId="15181" xr:uid="{00000000-0005-0000-0000-0000BB3A0000}"/>
    <cellStyle name="40% - Ênfase5 3 2 2 2 4" xfId="15182" xr:uid="{00000000-0005-0000-0000-0000BC3A0000}"/>
    <cellStyle name="40% - Ênfase5 3 2 2 2 4 2" xfId="15183" xr:uid="{00000000-0005-0000-0000-0000BD3A0000}"/>
    <cellStyle name="40% - Ênfase5 3 2 2 2 5" xfId="15184" xr:uid="{00000000-0005-0000-0000-0000BE3A0000}"/>
    <cellStyle name="40% - Ênfase5 3 2 2 3" xfId="15185" xr:uid="{00000000-0005-0000-0000-0000BF3A0000}"/>
    <cellStyle name="40% - Ênfase5 3 2 2 3 2" xfId="15186" xr:uid="{00000000-0005-0000-0000-0000C03A0000}"/>
    <cellStyle name="40% - Ênfase5 3 2 2 3 2 2" xfId="15187" xr:uid="{00000000-0005-0000-0000-0000C13A0000}"/>
    <cellStyle name="40% - Ênfase5 3 2 2 3 3" xfId="15188" xr:uid="{00000000-0005-0000-0000-0000C23A0000}"/>
    <cellStyle name="40% - Ênfase5 3 2 2 3 3 2" xfId="15189" xr:uid="{00000000-0005-0000-0000-0000C33A0000}"/>
    <cellStyle name="40% - Ênfase5 3 2 2 3 4" xfId="15190" xr:uid="{00000000-0005-0000-0000-0000C43A0000}"/>
    <cellStyle name="40% - Ênfase5 3 2 2 4" xfId="15191" xr:uid="{00000000-0005-0000-0000-0000C53A0000}"/>
    <cellStyle name="40% - Ênfase5 3 2 2 4 2" xfId="15192" xr:uid="{00000000-0005-0000-0000-0000C63A0000}"/>
    <cellStyle name="40% - Ênfase5 3 2 2 4 2 2" xfId="15193" xr:uid="{00000000-0005-0000-0000-0000C73A0000}"/>
    <cellStyle name="40% - Ênfase5 3 2 2 4 3" xfId="15194" xr:uid="{00000000-0005-0000-0000-0000C83A0000}"/>
    <cellStyle name="40% - Ênfase5 3 2 2 5" xfId="15195" xr:uid="{00000000-0005-0000-0000-0000C93A0000}"/>
    <cellStyle name="40% - Ênfase5 3 2 2 5 2" xfId="15196" xr:uid="{00000000-0005-0000-0000-0000CA3A0000}"/>
    <cellStyle name="40% - Ênfase5 3 2 2 6" xfId="15197" xr:uid="{00000000-0005-0000-0000-0000CB3A0000}"/>
    <cellStyle name="40% - Ênfase5 3 2 3" xfId="15198" xr:uid="{00000000-0005-0000-0000-0000CC3A0000}"/>
    <cellStyle name="40% - Ênfase5 3 2 3 2" xfId="15199" xr:uid="{00000000-0005-0000-0000-0000CD3A0000}"/>
    <cellStyle name="40% - Ênfase5 3 2 3 2 2" xfId="15200" xr:uid="{00000000-0005-0000-0000-0000CE3A0000}"/>
    <cellStyle name="40% - Ênfase5 3 2 3 2 2 2" xfId="15201" xr:uid="{00000000-0005-0000-0000-0000CF3A0000}"/>
    <cellStyle name="40% - Ênfase5 3 2 3 2 3" xfId="15202" xr:uid="{00000000-0005-0000-0000-0000D03A0000}"/>
    <cellStyle name="40% - Ênfase5 3 2 3 2 3 2" xfId="15203" xr:uid="{00000000-0005-0000-0000-0000D13A0000}"/>
    <cellStyle name="40% - Ênfase5 3 2 3 2 4" xfId="15204" xr:uid="{00000000-0005-0000-0000-0000D23A0000}"/>
    <cellStyle name="40% - Ênfase5 3 2 3 3" xfId="15205" xr:uid="{00000000-0005-0000-0000-0000D33A0000}"/>
    <cellStyle name="40% - Ênfase5 3 2 3 3 2" xfId="15206" xr:uid="{00000000-0005-0000-0000-0000D43A0000}"/>
    <cellStyle name="40% - Ênfase5 3 2 3 3 2 2" xfId="15207" xr:uid="{00000000-0005-0000-0000-0000D53A0000}"/>
    <cellStyle name="40% - Ênfase5 3 2 3 3 3" xfId="15208" xr:uid="{00000000-0005-0000-0000-0000D63A0000}"/>
    <cellStyle name="40% - Ênfase5 3 2 3 3 3 2" xfId="15209" xr:uid="{00000000-0005-0000-0000-0000D73A0000}"/>
    <cellStyle name="40% - Ênfase5 3 2 3 3 4" xfId="15210" xr:uid="{00000000-0005-0000-0000-0000D83A0000}"/>
    <cellStyle name="40% - Ênfase5 3 2 3 4" xfId="15211" xr:uid="{00000000-0005-0000-0000-0000D93A0000}"/>
    <cellStyle name="40% - Ênfase5 3 2 3 4 2" xfId="15212" xr:uid="{00000000-0005-0000-0000-0000DA3A0000}"/>
    <cellStyle name="40% - Ênfase5 3 2 3 5" xfId="15213" xr:uid="{00000000-0005-0000-0000-0000DB3A0000}"/>
    <cellStyle name="40% - Ênfase5 3 2 3 5 2" xfId="15214" xr:uid="{00000000-0005-0000-0000-0000DC3A0000}"/>
    <cellStyle name="40% - Ênfase5 3 2 3 6" xfId="15215" xr:uid="{00000000-0005-0000-0000-0000DD3A0000}"/>
    <cellStyle name="40% - Ênfase5 3 2 4" xfId="15216" xr:uid="{00000000-0005-0000-0000-0000DE3A0000}"/>
    <cellStyle name="40% - Ênfase5 3 2 4 2" xfId="15217" xr:uid="{00000000-0005-0000-0000-0000DF3A0000}"/>
    <cellStyle name="40% - Ênfase5 3 2 4 2 2" xfId="15218" xr:uid="{00000000-0005-0000-0000-0000E03A0000}"/>
    <cellStyle name="40% - Ênfase5 3 2 4 3" xfId="15219" xr:uid="{00000000-0005-0000-0000-0000E13A0000}"/>
    <cellStyle name="40% - Ênfase5 3 2 4 3 2" xfId="15220" xr:uid="{00000000-0005-0000-0000-0000E23A0000}"/>
    <cellStyle name="40% - Ênfase5 3 2 4 4" xfId="15221" xr:uid="{00000000-0005-0000-0000-0000E33A0000}"/>
    <cellStyle name="40% - Ênfase5 3 2 5" xfId="15222" xr:uid="{00000000-0005-0000-0000-0000E43A0000}"/>
    <cellStyle name="40% - Ênfase5 3 2 5 2" xfId="15223" xr:uid="{00000000-0005-0000-0000-0000E53A0000}"/>
    <cellStyle name="40% - Ênfase5 3 2 5 2 2" xfId="15224" xr:uid="{00000000-0005-0000-0000-0000E63A0000}"/>
    <cellStyle name="40% - Ênfase5 3 2 5 3" xfId="15225" xr:uid="{00000000-0005-0000-0000-0000E73A0000}"/>
    <cellStyle name="40% - Ênfase5 3 2 6" xfId="15226" xr:uid="{00000000-0005-0000-0000-0000E83A0000}"/>
    <cellStyle name="40% - Ênfase5 3 2 6 2" xfId="15227" xr:uid="{00000000-0005-0000-0000-0000E93A0000}"/>
    <cellStyle name="40% - Ênfase5 3 2 6 2 2" xfId="15228" xr:uid="{00000000-0005-0000-0000-0000EA3A0000}"/>
    <cellStyle name="40% - Ênfase5 3 2 6 3" xfId="15229" xr:uid="{00000000-0005-0000-0000-0000EB3A0000}"/>
    <cellStyle name="40% - Ênfase5 3 2 7" xfId="15230" xr:uid="{00000000-0005-0000-0000-0000EC3A0000}"/>
    <cellStyle name="40% - Ênfase5 3 2 7 2" xfId="15231" xr:uid="{00000000-0005-0000-0000-0000ED3A0000}"/>
    <cellStyle name="40% - Ênfase5 3 2 7 2 2" xfId="15232" xr:uid="{00000000-0005-0000-0000-0000EE3A0000}"/>
    <cellStyle name="40% - Ênfase5 3 2 7 3" xfId="15233" xr:uid="{00000000-0005-0000-0000-0000EF3A0000}"/>
    <cellStyle name="40% - Ênfase5 3 2 8" xfId="15234" xr:uid="{00000000-0005-0000-0000-0000F03A0000}"/>
    <cellStyle name="40% - Ênfase5 3 2 8 2" xfId="15235" xr:uid="{00000000-0005-0000-0000-0000F13A0000}"/>
    <cellStyle name="40% - Ênfase5 3 2 8 2 2" xfId="15236" xr:uid="{00000000-0005-0000-0000-0000F23A0000}"/>
    <cellStyle name="40% - Ênfase5 3 2 8 3" xfId="15237" xr:uid="{00000000-0005-0000-0000-0000F33A0000}"/>
    <cellStyle name="40% - Ênfase5 3 2 9" xfId="15238" xr:uid="{00000000-0005-0000-0000-0000F43A0000}"/>
    <cellStyle name="40% - Ênfase5 3 2 9 2" xfId="15239" xr:uid="{00000000-0005-0000-0000-0000F53A0000}"/>
    <cellStyle name="40% - Ênfase5 3 3" xfId="15240" xr:uid="{00000000-0005-0000-0000-0000F63A0000}"/>
    <cellStyle name="40% - Ênfase5 3 3 2" xfId="15241" xr:uid="{00000000-0005-0000-0000-0000F73A0000}"/>
    <cellStyle name="40% - Ênfase5 3 3 2 2" xfId="15242" xr:uid="{00000000-0005-0000-0000-0000F83A0000}"/>
    <cellStyle name="40% - Ênfase5 3 3 2 2 2" xfId="15243" xr:uid="{00000000-0005-0000-0000-0000F93A0000}"/>
    <cellStyle name="40% - Ênfase5 3 3 2 2 2 2" xfId="15244" xr:uid="{00000000-0005-0000-0000-0000FA3A0000}"/>
    <cellStyle name="40% - Ênfase5 3 3 2 2 3" xfId="15245" xr:uid="{00000000-0005-0000-0000-0000FB3A0000}"/>
    <cellStyle name="40% - Ênfase5 3 3 2 2 3 2" xfId="15246" xr:uid="{00000000-0005-0000-0000-0000FC3A0000}"/>
    <cellStyle name="40% - Ênfase5 3 3 2 2 4" xfId="15247" xr:uid="{00000000-0005-0000-0000-0000FD3A0000}"/>
    <cellStyle name="40% - Ênfase5 3 3 2 3" xfId="15248" xr:uid="{00000000-0005-0000-0000-0000FE3A0000}"/>
    <cellStyle name="40% - Ênfase5 3 3 2 3 2" xfId="15249" xr:uid="{00000000-0005-0000-0000-0000FF3A0000}"/>
    <cellStyle name="40% - Ênfase5 3 3 2 4" xfId="15250" xr:uid="{00000000-0005-0000-0000-0000003B0000}"/>
    <cellStyle name="40% - Ênfase5 3 3 2 4 2" xfId="15251" xr:uid="{00000000-0005-0000-0000-0000013B0000}"/>
    <cellStyle name="40% - Ênfase5 3 3 2 5" xfId="15252" xr:uid="{00000000-0005-0000-0000-0000023B0000}"/>
    <cellStyle name="40% - Ênfase5 3 3 3" xfId="15253" xr:uid="{00000000-0005-0000-0000-0000033B0000}"/>
    <cellStyle name="40% - Ênfase5 3 3 3 2" xfId="15254" xr:uid="{00000000-0005-0000-0000-0000043B0000}"/>
    <cellStyle name="40% - Ênfase5 3 3 3 2 2" xfId="15255" xr:uid="{00000000-0005-0000-0000-0000053B0000}"/>
    <cellStyle name="40% - Ênfase5 3 3 3 3" xfId="15256" xr:uid="{00000000-0005-0000-0000-0000063B0000}"/>
    <cellStyle name="40% - Ênfase5 3 3 3 3 2" xfId="15257" xr:uid="{00000000-0005-0000-0000-0000073B0000}"/>
    <cellStyle name="40% - Ênfase5 3 3 3 4" xfId="15258" xr:uid="{00000000-0005-0000-0000-0000083B0000}"/>
    <cellStyle name="40% - Ênfase5 3 3 4" xfId="15259" xr:uid="{00000000-0005-0000-0000-0000093B0000}"/>
    <cellStyle name="40% - Ênfase5 3 3 4 2" xfId="15260" xr:uid="{00000000-0005-0000-0000-00000A3B0000}"/>
    <cellStyle name="40% - Ênfase5 3 3 4 2 2" xfId="15261" xr:uid="{00000000-0005-0000-0000-00000B3B0000}"/>
    <cellStyle name="40% - Ênfase5 3 3 4 3" xfId="15262" xr:uid="{00000000-0005-0000-0000-00000C3B0000}"/>
    <cellStyle name="40% - Ênfase5 3 3 5" xfId="15263" xr:uid="{00000000-0005-0000-0000-00000D3B0000}"/>
    <cellStyle name="40% - Ênfase5 3 3 5 2" xfId="15264" xr:uid="{00000000-0005-0000-0000-00000E3B0000}"/>
    <cellStyle name="40% - Ênfase5 3 3 6" xfId="15265" xr:uid="{00000000-0005-0000-0000-00000F3B0000}"/>
    <cellStyle name="40% - Ênfase5 3 4" xfId="15266" xr:uid="{00000000-0005-0000-0000-0000103B0000}"/>
    <cellStyle name="40% - Ênfase5 3 4 2" xfId="15267" xr:uid="{00000000-0005-0000-0000-0000113B0000}"/>
    <cellStyle name="40% - Ênfase5 3 4 2 2" xfId="15268" xr:uid="{00000000-0005-0000-0000-0000123B0000}"/>
    <cellStyle name="40% - Ênfase5 3 4 2 2 2" xfId="15269" xr:uid="{00000000-0005-0000-0000-0000133B0000}"/>
    <cellStyle name="40% - Ênfase5 3 4 2 3" xfId="15270" xr:uid="{00000000-0005-0000-0000-0000143B0000}"/>
    <cellStyle name="40% - Ênfase5 3 4 2 3 2" xfId="15271" xr:uid="{00000000-0005-0000-0000-0000153B0000}"/>
    <cellStyle name="40% - Ênfase5 3 4 2 4" xfId="15272" xr:uid="{00000000-0005-0000-0000-0000163B0000}"/>
    <cellStyle name="40% - Ênfase5 3 4 3" xfId="15273" xr:uid="{00000000-0005-0000-0000-0000173B0000}"/>
    <cellStyle name="40% - Ênfase5 3 4 3 2" xfId="15274" xr:uid="{00000000-0005-0000-0000-0000183B0000}"/>
    <cellStyle name="40% - Ênfase5 3 4 3 2 2" xfId="15275" xr:uid="{00000000-0005-0000-0000-0000193B0000}"/>
    <cellStyle name="40% - Ênfase5 3 4 3 3" xfId="15276" xr:uid="{00000000-0005-0000-0000-00001A3B0000}"/>
    <cellStyle name="40% - Ênfase5 3 4 3 3 2" xfId="15277" xr:uid="{00000000-0005-0000-0000-00001B3B0000}"/>
    <cellStyle name="40% - Ênfase5 3 4 3 4" xfId="15278" xr:uid="{00000000-0005-0000-0000-00001C3B0000}"/>
    <cellStyle name="40% - Ênfase5 3 4 4" xfId="15279" xr:uid="{00000000-0005-0000-0000-00001D3B0000}"/>
    <cellStyle name="40% - Ênfase5 3 4 4 2" xfId="15280" xr:uid="{00000000-0005-0000-0000-00001E3B0000}"/>
    <cellStyle name="40% - Ênfase5 3 4 5" xfId="15281" xr:uid="{00000000-0005-0000-0000-00001F3B0000}"/>
    <cellStyle name="40% - Ênfase5 3 4 5 2" xfId="15282" xr:uid="{00000000-0005-0000-0000-0000203B0000}"/>
    <cellStyle name="40% - Ênfase5 3 4 6" xfId="15283" xr:uid="{00000000-0005-0000-0000-0000213B0000}"/>
    <cellStyle name="40% - Ênfase5 3 5" xfId="15284" xr:uid="{00000000-0005-0000-0000-0000223B0000}"/>
    <cellStyle name="40% - Ênfase5 3 5 2" xfId="15285" xr:uid="{00000000-0005-0000-0000-0000233B0000}"/>
    <cellStyle name="40% - Ênfase5 3 5 2 2" xfId="15286" xr:uid="{00000000-0005-0000-0000-0000243B0000}"/>
    <cellStyle name="40% - Ênfase5 3 5 2 2 2" xfId="15287" xr:uid="{00000000-0005-0000-0000-0000253B0000}"/>
    <cellStyle name="40% - Ênfase5 3 5 2 3" xfId="15288" xr:uid="{00000000-0005-0000-0000-0000263B0000}"/>
    <cellStyle name="40% - Ênfase5 3 5 2 3 2" xfId="15289" xr:uid="{00000000-0005-0000-0000-0000273B0000}"/>
    <cellStyle name="40% - Ênfase5 3 5 2 4" xfId="15290" xr:uid="{00000000-0005-0000-0000-0000283B0000}"/>
    <cellStyle name="40% - Ênfase5 3 5 3" xfId="15291" xr:uid="{00000000-0005-0000-0000-0000293B0000}"/>
    <cellStyle name="40% - Ênfase5 3 5 3 2" xfId="15292" xr:uid="{00000000-0005-0000-0000-00002A3B0000}"/>
    <cellStyle name="40% - Ênfase5 3 5 3 2 2" xfId="15293" xr:uid="{00000000-0005-0000-0000-00002B3B0000}"/>
    <cellStyle name="40% - Ênfase5 3 5 3 3" xfId="15294" xr:uid="{00000000-0005-0000-0000-00002C3B0000}"/>
    <cellStyle name="40% - Ênfase5 3 5 3 3 2" xfId="15295" xr:uid="{00000000-0005-0000-0000-00002D3B0000}"/>
    <cellStyle name="40% - Ênfase5 3 5 3 4" xfId="15296" xr:uid="{00000000-0005-0000-0000-00002E3B0000}"/>
    <cellStyle name="40% - Ênfase5 3 5 4" xfId="15297" xr:uid="{00000000-0005-0000-0000-00002F3B0000}"/>
    <cellStyle name="40% - Ênfase5 3 5 4 2" xfId="15298" xr:uid="{00000000-0005-0000-0000-0000303B0000}"/>
    <cellStyle name="40% - Ênfase5 3 5 5" xfId="15299" xr:uid="{00000000-0005-0000-0000-0000313B0000}"/>
    <cellStyle name="40% - Ênfase5 3 5 5 2" xfId="15300" xr:uid="{00000000-0005-0000-0000-0000323B0000}"/>
    <cellStyle name="40% - Ênfase5 3 5 6" xfId="15301" xr:uid="{00000000-0005-0000-0000-0000333B0000}"/>
    <cellStyle name="40% - Ênfase5 3 6" xfId="15302" xr:uid="{00000000-0005-0000-0000-0000343B0000}"/>
    <cellStyle name="40% - Ênfase5 3 6 2" xfId="15303" xr:uid="{00000000-0005-0000-0000-0000353B0000}"/>
    <cellStyle name="40% - Ênfase5 3 6 2 2" xfId="15304" xr:uid="{00000000-0005-0000-0000-0000363B0000}"/>
    <cellStyle name="40% - Ênfase5 3 6 3" xfId="15305" xr:uid="{00000000-0005-0000-0000-0000373B0000}"/>
    <cellStyle name="40% - Ênfase5 3 6 3 2" xfId="15306" xr:uid="{00000000-0005-0000-0000-0000383B0000}"/>
    <cellStyle name="40% - Ênfase5 3 6 4" xfId="15307" xr:uid="{00000000-0005-0000-0000-0000393B0000}"/>
    <cellStyle name="40% - Ênfase5 3 7" xfId="15308" xr:uid="{00000000-0005-0000-0000-00003A3B0000}"/>
    <cellStyle name="40% - Ênfase5 3 7 2" xfId="15309" xr:uid="{00000000-0005-0000-0000-00003B3B0000}"/>
    <cellStyle name="40% - Ênfase5 3 7 2 2" xfId="15310" xr:uid="{00000000-0005-0000-0000-00003C3B0000}"/>
    <cellStyle name="40% - Ênfase5 3 7 3" xfId="15311" xr:uid="{00000000-0005-0000-0000-00003D3B0000}"/>
    <cellStyle name="40% - Ênfase5 3 8" xfId="15312" xr:uid="{00000000-0005-0000-0000-00003E3B0000}"/>
    <cellStyle name="40% - Ênfase5 3 8 2" xfId="15313" xr:uid="{00000000-0005-0000-0000-00003F3B0000}"/>
    <cellStyle name="40% - Ênfase5 3 8 2 2" xfId="15314" xr:uid="{00000000-0005-0000-0000-0000403B0000}"/>
    <cellStyle name="40% - Ênfase5 3 8 3" xfId="15315" xr:uid="{00000000-0005-0000-0000-0000413B0000}"/>
    <cellStyle name="40% - Ênfase5 3 9" xfId="15316" xr:uid="{00000000-0005-0000-0000-0000423B0000}"/>
    <cellStyle name="40% - Ênfase5 3 9 2" xfId="15317" xr:uid="{00000000-0005-0000-0000-0000433B0000}"/>
    <cellStyle name="40% - Ênfase5 3 9 2 2" xfId="15318" xr:uid="{00000000-0005-0000-0000-0000443B0000}"/>
    <cellStyle name="40% - Ênfase5 3 9 3" xfId="15319" xr:uid="{00000000-0005-0000-0000-0000453B0000}"/>
    <cellStyle name="40% - Ênfase5 30" xfId="15320" xr:uid="{00000000-0005-0000-0000-0000463B0000}"/>
    <cellStyle name="40% - Ênfase5 31" xfId="15321" xr:uid="{00000000-0005-0000-0000-0000473B0000}"/>
    <cellStyle name="40% - Ênfase5 32" xfId="15322" xr:uid="{00000000-0005-0000-0000-0000483B0000}"/>
    <cellStyle name="40% - Ênfase5 33" xfId="15323" xr:uid="{00000000-0005-0000-0000-0000493B0000}"/>
    <cellStyle name="40% - Ênfase5 4" xfId="15324" xr:uid="{00000000-0005-0000-0000-00004A3B0000}"/>
    <cellStyle name="40% - Ênfase5 4 10" xfId="15325" xr:uid="{00000000-0005-0000-0000-00004B3B0000}"/>
    <cellStyle name="40% - Ênfase5 4 10 2" xfId="15326" xr:uid="{00000000-0005-0000-0000-00004C3B0000}"/>
    <cellStyle name="40% - Ênfase5 4 11" xfId="15327" xr:uid="{00000000-0005-0000-0000-00004D3B0000}"/>
    <cellStyle name="40% - Ênfase5 4 2" xfId="15328" xr:uid="{00000000-0005-0000-0000-00004E3B0000}"/>
    <cellStyle name="40% - Ênfase5 4 2 2" xfId="15329" xr:uid="{00000000-0005-0000-0000-00004F3B0000}"/>
    <cellStyle name="40% - Ênfase5 4 2 2 2" xfId="15330" xr:uid="{00000000-0005-0000-0000-0000503B0000}"/>
    <cellStyle name="40% - Ênfase5 4 2 2 2 2" xfId="15331" xr:uid="{00000000-0005-0000-0000-0000513B0000}"/>
    <cellStyle name="40% - Ênfase5 4 2 2 2 2 2" xfId="15332" xr:uid="{00000000-0005-0000-0000-0000523B0000}"/>
    <cellStyle name="40% - Ênfase5 4 2 2 2 3" xfId="15333" xr:uid="{00000000-0005-0000-0000-0000533B0000}"/>
    <cellStyle name="40% - Ênfase5 4 2 2 2 3 2" xfId="15334" xr:uid="{00000000-0005-0000-0000-0000543B0000}"/>
    <cellStyle name="40% - Ênfase5 4 2 2 2 4" xfId="15335" xr:uid="{00000000-0005-0000-0000-0000553B0000}"/>
    <cellStyle name="40% - Ênfase5 4 2 2 3" xfId="15336" xr:uid="{00000000-0005-0000-0000-0000563B0000}"/>
    <cellStyle name="40% - Ênfase5 4 2 2 3 2" xfId="15337" xr:uid="{00000000-0005-0000-0000-0000573B0000}"/>
    <cellStyle name="40% - Ênfase5 4 2 2 3 2 2" xfId="15338" xr:uid="{00000000-0005-0000-0000-0000583B0000}"/>
    <cellStyle name="40% - Ênfase5 4 2 2 3 3" xfId="15339" xr:uid="{00000000-0005-0000-0000-0000593B0000}"/>
    <cellStyle name="40% - Ênfase5 4 2 2 3 3 2" xfId="15340" xr:uid="{00000000-0005-0000-0000-00005A3B0000}"/>
    <cellStyle name="40% - Ênfase5 4 2 2 3 4" xfId="15341" xr:uid="{00000000-0005-0000-0000-00005B3B0000}"/>
    <cellStyle name="40% - Ênfase5 4 2 2 4" xfId="15342" xr:uid="{00000000-0005-0000-0000-00005C3B0000}"/>
    <cellStyle name="40% - Ênfase5 4 2 2 4 2" xfId="15343" xr:uid="{00000000-0005-0000-0000-00005D3B0000}"/>
    <cellStyle name="40% - Ênfase5 4 2 2 5" xfId="15344" xr:uid="{00000000-0005-0000-0000-00005E3B0000}"/>
    <cellStyle name="40% - Ênfase5 4 2 2 5 2" xfId="15345" xr:uid="{00000000-0005-0000-0000-00005F3B0000}"/>
    <cellStyle name="40% - Ênfase5 4 2 2 6" xfId="15346" xr:uid="{00000000-0005-0000-0000-0000603B0000}"/>
    <cellStyle name="40% - Ênfase5 4 2 3" xfId="15347" xr:uid="{00000000-0005-0000-0000-0000613B0000}"/>
    <cellStyle name="40% - Ênfase5 4 2 3 2" xfId="15348" xr:uid="{00000000-0005-0000-0000-0000623B0000}"/>
    <cellStyle name="40% - Ênfase5 4 2 3 2 2" xfId="15349" xr:uid="{00000000-0005-0000-0000-0000633B0000}"/>
    <cellStyle name="40% - Ênfase5 4 2 3 3" xfId="15350" xr:uid="{00000000-0005-0000-0000-0000643B0000}"/>
    <cellStyle name="40% - Ênfase5 4 2 3 3 2" xfId="15351" xr:uid="{00000000-0005-0000-0000-0000653B0000}"/>
    <cellStyle name="40% - Ênfase5 4 2 3 4" xfId="15352" xr:uid="{00000000-0005-0000-0000-0000663B0000}"/>
    <cellStyle name="40% - Ênfase5 4 2 4" xfId="15353" xr:uid="{00000000-0005-0000-0000-0000673B0000}"/>
    <cellStyle name="40% - Ênfase5 4 2 4 2" xfId="15354" xr:uid="{00000000-0005-0000-0000-0000683B0000}"/>
    <cellStyle name="40% - Ênfase5 4 2 4 2 2" xfId="15355" xr:uid="{00000000-0005-0000-0000-0000693B0000}"/>
    <cellStyle name="40% - Ênfase5 4 2 4 3" xfId="15356" xr:uid="{00000000-0005-0000-0000-00006A3B0000}"/>
    <cellStyle name="40% - Ênfase5 4 2 5" xfId="15357" xr:uid="{00000000-0005-0000-0000-00006B3B0000}"/>
    <cellStyle name="40% - Ênfase5 4 2 5 2" xfId="15358" xr:uid="{00000000-0005-0000-0000-00006C3B0000}"/>
    <cellStyle name="40% - Ênfase5 4 2 5 2 2" xfId="15359" xr:uid="{00000000-0005-0000-0000-00006D3B0000}"/>
    <cellStyle name="40% - Ênfase5 4 2 5 3" xfId="15360" xr:uid="{00000000-0005-0000-0000-00006E3B0000}"/>
    <cellStyle name="40% - Ênfase5 4 2 6" xfId="15361" xr:uid="{00000000-0005-0000-0000-00006F3B0000}"/>
    <cellStyle name="40% - Ênfase5 4 2 6 2" xfId="15362" xr:uid="{00000000-0005-0000-0000-0000703B0000}"/>
    <cellStyle name="40% - Ênfase5 4 2 6 2 2" xfId="15363" xr:uid="{00000000-0005-0000-0000-0000713B0000}"/>
    <cellStyle name="40% - Ênfase5 4 2 6 3" xfId="15364" xr:uid="{00000000-0005-0000-0000-0000723B0000}"/>
    <cellStyle name="40% - Ênfase5 4 2 7" xfId="15365" xr:uid="{00000000-0005-0000-0000-0000733B0000}"/>
    <cellStyle name="40% - Ênfase5 4 2 7 2" xfId="15366" xr:uid="{00000000-0005-0000-0000-0000743B0000}"/>
    <cellStyle name="40% - Ênfase5 4 2 7 2 2" xfId="15367" xr:uid="{00000000-0005-0000-0000-0000753B0000}"/>
    <cellStyle name="40% - Ênfase5 4 2 7 3" xfId="15368" xr:uid="{00000000-0005-0000-0000-0000763B0000}"/>
    <cellStyle name="40% - Ênfase5 4 2 8" xfId="15369" xr:uid="{00000000-0005-0000-0000-0000773B0000}"/>
    <cellStyle name="40% - Ênfase5 4 2 8 2" xfId="15370" xr:uid="{00000000-0005-0000-0000-0000783B0000}"/>
    <cellStyle name="40% - Ênfase5 4 2 9" xfId="15371" xr:uid="{00000000-0005-0000-0000-0000793B0000}"/>
    <cellStyle name="40% - Ênfase5 4 3" xfId="15372" xr:uid="{00000000-0005-0000-0000-00007A3B0000}"/>
    <cellStyle name="40% - Ênfase5 4 3 2" xfId="15373" xr:uid="{00000000-0005-0000-0000-00007B3B0000}"/>
    <cellStyle name="40% - Ênfase5 4 3 2 2" xfId="15374" xr:uid="{00000000-0005-0000-0000-00007C3B0000}"/>
    <cellStyle name="40% - Ênfase5 4 3 2 2 2" xfId="15375" xr:uid="{00000000-0005-0000-0000-00007D3B0000}"/>
    <cellStyle name="40% - Ênfase5 4 3 2 3" xfId="15376" xr:uid="{00000000-0005-0000-0000-00007E3B0000}"/>
    <cellStyle name="40% - Ênfase5 4 3 2 3 2" xfId="15377" xr:uid="{00000000-0005-0000-0000-00007F3B0000}"/>
    <cellStyle name="40% - Ênfase5 4 3 2 4" xfId="15378" xr:uid="{00000000-0005-0000-0000-0000803B0000}"/>
    <cellStyle name="40% - Ênfase5 4 3 3" xfId="15379" xr:uid="{00000000-0005-0000-0000-0000813B0000}"/>
    <cellStyle name="40% - Ênfase5 4 3 3 2" xfId="15380" xr:uid="{00000000-0005-0000-0000-0000823B0000}"/>
    <cellStyle name="40% - Ênfase5 4 3 3 2 2" xfId="15381" xr:uid="{00000000-0005-0000-0000-0000833B0000}"/>
    <cellStyle name="40% - Ênfase5 4 3 3 3" xfId="15382" xr:uid="{00000000-0005-0000-0000-0000843B0000}"/>
    <cellStyle name="40% - Ênfase5 4 3 3 3 2" xfId="15383" xr:uid="{00000000-0005-0000-0000-0000853B0000}"/>
    <cellStyle name="40% - Ênfase5 4 3 3 4" xfId="15384" xr:uid="{00000000-0005-0000-0000-0000863B0000}"/>
    <cellStyle name="40% - Ênfase5 4 3 4" xfId="15385" xr:uid="{00000000-0005-0000-0000-0000873B0000}"/>
    <cellStyle name="40% - Ênfase5 4 3 4 2" xfId="15386" xr:uid="{00000000-0005-0000-0000-0000883B0000}"/>
    <cellStyle name="40% - Ênfase5 4 3 5" xfId="15387" xr:uid="{00000000-0005-0000-0000-0000893B0000}"/>
    <cellStyle name="40% - Ênfase5 4 3 5 2" xfId="15388" xr:uid="{00000000-0005-0000-0000-00008A3B0000}"/>
    <cellStyle name="40% - Ênfase5 4 3 6" xfId="15389" xr:uid="{00000000-0005-0000-0000-00008B3B0000}"/>
    <cellStyle name="40% - Ênfase5 4 4" xfId="15390" xr:uid="{00000000-0005-0000-0000-00008C3B0000}"/>
    <cellStyle name="40% - Ênfase5 4 4 2" xfId="15391" xr:uid="{00000000-0005-0000-0000-00008D3B0000}"/>
    <cellStyle name="40% - Ênfase5 4 4 2 2" xfId="15392" xr:uid="{00000000-0005-0000-0000-00008E3B0000}"/>
    <cellStyle name="40% - Ênfase5 4 4 2 2 2" xfId="15393" xr:uid="{00000000-0005-0000-0000-00008F3B0000}"/>
    <cellStyle name="40% - Ênfase5 4 4 2 3" xfId="15394" xr:uid="{00000000-0005-0000-0000-0000903B0000}"/>
    <cellStyle name="40% - Ênfase5 4 4 2 3 2" xfId="15395" xr:uid="{00000000-0005-0000-0000-0000913B0000}"/>
    <cellStyle name="40% - Ênfase5 4 4 2 4" xfId="15396" xr:uid="{00000000-0005-0000-0000-0000923B0000}"/>
    <cellStyle name="40% - Ênfase5 4 4 3" xfId="15397" xr:uid="{00000000-0005-0000-0000-0000933B0000}"/>
    <cellStyle name="40% - Ênfase5 4 4 3 2" xfId="15398" xr:uid="{00000000-0005-0000-0000-0000943B0000}"/>
    <cellStyle name="40% - Ênfase5 4 4 3 2 2" xfId="15399" xr:uid="{00000000-0005-0000-0000-0000953B0000}"/>
    <cellStyle name="40% - Ênfase5 4 4 3 3" xfId="15400" xr:uid="{00000000-0005-0000-0000-0000963B0000}"/>
    <cellStyle name="40% - Ênfase5 4 4 3 3 2" xfId="15401" xr:uid="{00000000-0005-0000-0000-0000973B0000}"/>
    <cellStyle name="40% - Ênfase5 4 4 3 4" xfId="15402" xr:uid="{00000000-0005-0000-0000-0000983B0000}"/>
    <cellStyle name="40% - Ênfase5 4 4 4" xfId="15403" xr:uid="{00000000-0005-0000-0000-0000993B0000}"/>
    <cellStyle name="40% - Ênfase5 4 4 4 2" xfId="15404" xr:uid="{00000000-0005-0000-0000-00009A3B0000}"/>
    <cellStyle name="40% - Ênfase5 4 4 5" xfId="15405" xr:uid="{00000000-0005-0000-0000-00009B3B0000}"/>
    <cellStyle name="40% - Ênfase5 4 4 5 2" xfId="15406" xr:uid="{00000000-0005-0000-0000-00009C3B0000}"/>
    <cellStyle name="40% - Ênfase5 4 4 6" xfId="15407" xr:uid="{00000000-0005-0000-0000-00009D3B0000}"/>
    <cellStyle name="40% - Ênfase5 4 5" xfId="15408" xr:uid="{00000000-0005-0000-0000-00009E3B0000}"/>
    <cellStyle name="40% - Ênfase5 4 5 2" xfId="15409" xr:uid="{00000000-0005-0000-0000-00009F3B0000}"/>
    <cellStyle name="40% - Ênfase5 4 5 2 2" xfId="15410" xr:uid="{00000000-0005-0000-0000-0000A03B0000}"/>
    <cellStyle name="40% - Ênfase5 4 5 3" xfId="15411" xr:uid="{00000000-0005-0000-0000-0000A13B0000}"/>
    <cellStyle name="40% - Ênfase5 4 5 3 2" xfId="15412" xr:uid="{00000000-0005-0000-0000-0000A23B0000}"/>
    <cellStyle name="40% - Ênfase5 4 5 4" xfId="15413" xr:uid="{00000000-0005-0000-0000-0000A33B0000}"/>
    <cellStyle name="40% - Ênfase5 4 6" xfId="15414" xr:uid="{00000000-0005-0000-0000-0000A43B0000}"/>
    <cellStyle name="40% - Ênfase5 4 6 2" xfId="15415" xr:uid="{00000000-0005-0000-0000-0000A53B0000}"/>
    <cellStyle name="40% - Ênfase5 4 6 2 2" xfId="15416" xr:uid="{00000000-0005-0000-0000-0000A63B0000}"/>
    <cellStyle name="40% - Ênfase5 4 6 3" xfId="15417" xr:uid="{00000000-0005-0000-0000-0000A73B0000}"/>
    <cellStyle name="40% - Ênfase5 4 7" xfId="15418" xr:uid="{00000000-0005-0000-0000-0000A83B0000}"/>
    <cellStyle name="40% - Ênfase5 4 7 2" xfId="15419" xr:uid="{00000000-0005-0000-0000-0000A93B0000}"/>
    <cellStyle name="40% - Ênfase5 4 7 2 2" xfId="15420" xr:uid="{00000000-0005-0000-0000-0000AA3B0000}"/>
    <cellStyle name="40% - Ênfase5 4 7 3" xfId="15421" xr:uid="{00000000-0005-0000-0000-0000AB3B0000}"/>
    <cellStyle name="40% - Ênfase5 4 8" xfId="15422" xr:uid="{00000000-0005-0000-0000-0000AC3B0000}"/>
    <cellStyle name="40% - Ênfase5 4 8 2" xfId="15423" xr:uid="{00000000-0005-0000-0000-0000AD3B0000}"/>
    <cellStyle name="40% - Ênfase5 4 8 2 2" xfId="15424" xr:uid="{00000000-0005-0000-0000-0000AE3B0000}"/>
    <cellStyle name="40% - Ênfase5 4 8 3" xfId="15425" xr:uid="{00000000-0005-0000-0000-0000AF3B0000}"/>
    <cellStyle name="40% - Ênfase5 4 9" xfId="15426" xr:uid="{00000000-0005-0000-0000-0000B03B0000}"/>
    <cellStyle name="40% - Ênfase5 4 9 2" xfId="15427" xr:uid="{00000000-0005-0000-0000-0000B13B0000}"/>
    <cellStyle name="40% - Ênfase5 4 9 2 2" xfId="15428" xr:uid="{00000000-0005-0000-0000-0000B23B0000}"/>
    <cellStyle name="40% - Ênfase5 4 9 3" xfId="15429" xr:uid="{00000000-0005-0000-0000-0000B33B0000}"/>
    <cellStyle name="40% - Ênfase5 5" xfId="15430" xr:uid="{00000000-0005-0000-0000-0000B43B0000}"/>
    <cellStyle name="40% - Ênfase5 5 10" xfId="15431" xr:uid="{00000000-0005-0000-0000-0000B53B0000}"/>
    <cellStyle name="40% - Ênfase5 5 2" xfId="15432" xr:uid="{00000000-0005-0000-0000-0000B63B0000}"/>
    <cellStyle name="40% - Ênfase5 5 2 2" xfId="15433" xr:uid="{00000000-0005-0000-0000-0000B73B0000}"/>
    <cellStyle name="40% - Ênfase5 5 2 2 2" xfId="15434" xr:uid="{00000000-0005-0000-0000-0000B83B0000}"/>
    <cellStyle name="40% - Ênfase5 5 2 2 2 2" xfId="15435" xr:uid="{00000000-0005-0000-0000-0000B93B0000}"/>
    <cellStyle name="40% - Ênfase5 5 2 2 2 2 2" xfId="15436" xr:uid="{00000000-0005-0000-0000-0000BA3B0000}"/>
    <cellStyle name="40% - Ênfase5 5 2 2 2 3" xfId="15437" xr:uid="{00000000-0005-0000-0000-0000BB3B0000}"/>
    <cellStyle name="40% - Ênfase5 5 2 2 2 3 2" xfId="15438" xr:uid="{00000000-0005-0000-0000-0000BC3B0000}"/>
    <cellStyle name="40% - Ênfase5 5 2 2 2 4" xfId="15439" xr:uid="{00000000-0005-0000-0000-0000BD3B0000}"/>
    <cellStyle name="40% - Ênfase5 5 2 2 3" xfId="15440" xr:uid="{00000000-0005-0000-0000-0000BE3B0000}"/>
    <cellStyle name="40% - Ênfase5 5 2 2 3 2" xfId="15441" xr:uid="{00000000-0005-0000-0000-0000BF3B0000}"/>
    <cellStyle name="40% - Ênfase5 5 2 2 4" xfId="15442" xr:uid="{00000000-0005-0000-0000-0000C03B0000}"/>
    <cellStyle name="40% - Ênfase5 5 2 2 4 2" xfId="15443" xr:uid="{00000000-0005-0000-0000-0000C13B0000}"/>
    <cellStyle name="40% - Ênfase5 5 2 2 5" xfId="15444" xr:uid="{00000000-0005-0000-0000-0000C23B0000}"/>
    <cellStyle name="40% - Ênfase5 5 2 3" xfId="15445" xr:uid="{00000000-0005-0000-0000-0000C33B0000}"/>
    <cellStyle name="40% - Ênfase5 5 2 3 2" xfId="15446" xr:uid="{00000000-0005-0000-0000-0000C43B0000}"/>
    <cellStyle name="40% - Ênfase5 5 2 3 2 2" xfId="15447" xr:uid="{00000000-0005-0000-0000-0000C53B0000}"/>
    <cellStyle name="40% - Ênfase5 5 2 3 3" xfId="15448" xr:uid="{00000000-0005-0000-0000-0000C63B0000}"/>
    <cellStyle name="40% - Ênfase5 5 2 3 3 2" xfId="15449" xr:uid="{00000000-0005-0000-0000-0000C73B0000}"/>
    <cellStyle name="40% - Ênfase5 5 2 3 4" xfId="15450" xr:uid="{00000000-0005-0000-0000-0000C83B0000}"/>
    <cellStyle name="40% - Ênfase5 5 2 4" xfId="15451" xr:uid="{00000000-0005-0000-0000-0000C93B0000}"/>
    <cellStyle name="40% - Ênfase5 5 2 4 2" xfId="15452" xr:uid="{00000000-0005-0000-0000-0000CA3B0000}"/>
    <cellStyle name="40% - Ênfase5 5 2 4 2 2" xfId="15453" xr:uid="{00000000-0005-0000-0000-0000CB3B0000}"/>
    <cellStyle name="40% - Ênfase5 5 2 4 3" xfId="15454" xr:uid="{00000000-0005-0000-0000-0000CC3B0000}"/>
    <cellStyle name="40% - Ênfase5 5 2 5" xfId="15455" xr:uid="{00000000-0005-0000-0000-0000CD3B0000}"/>
    <cellStyle name="40% - Ênfase5 5 2 5 2" xfId="15456" xr:uid="{00000000-0005-0000-0000-0000CE3B0000}"/>
    <cellStyle name="40% - Ênfase5 5 2 6" xfId="15457" xr:uid="{00000000-0005-0000-0000-0000CF3B0000}"/>
    <cellStyle name="40% - Ênfase5 5 3" xfId="15458" xr:uid="{00000000-0005-0000-0000-0000D03B0000}"/>
    <cellStyle name="40% - Ênfase5 5 3 2" xfId="15459" xr:uid="{00000000-0005-0000-0000-0000D13B0000}"/>
    <cellStyle name="40% - Ênfase5 5 3 2 2" xfId="15460" xr:uid="{00000000-0005-0000-0000-0000D23B0000}"/>
    <cellStyle name="40% - Ênfase5 5 3 2 2 2" xfId="15461" xr:uid="{00000000-0005-0000-0000-0000D33B0000}"/>
    <cellStyle name="40% - Ênfase5 5 3 2 3" xfId="15462" xr:uid="{00000000-0005-0000-0000-0000D43B0000}"/>
    <cellStyle name="40% - Ênfase5 5 3 2 3 2" xfId="15463" xr:uid="{00000000-0005-0000-0000-0000D53B0000}"/>
    <cellStyle name="40% - Ênfase5 5 3 2 4" xfId="15464" xr:uid="{00000000-0005-0000-0000-0000D63B0000}"/>
    <cellStyle name="40% - Ênfase5 5 3 3" xfId="15465" xr:uid="{00000000-0005-0000-0000-0000D73B0000}"/>
    <cellStyle name="40% - Ênfase5 5 3 3 2" xfId="15466" xr:uid="{00000000-0005-0000-0000-0000D83B0000}"/>
    <cellStyle name="40% - Ênfase5 5 3 3 2 2" xfId="15467" xr:uid="{00000000-0005-0000-0000-0000D93B0000}"/>
    <cellStyle name="40% - Ênfase5 5 3 3 3" xfId="15468" xr:uid="{00000000-0005-0000-0000-0000DA3B0000}"/>
    <cellStyle name="40% - Ênfase5 5 3 3 3 2" xfId="15469" xr:uid="{00000000-0005-0000-0000-0000DB3B0000}"/>
    <cellStyle name="40% - Ênfase5 5 3 3 4" xfId="15470" xr:uid="{00000000-0005-0000-0000-0000DC3B0000}"/>
    <cellStyle name="40% - Ênfase5 5 3 4" xfId="15471" xr:uid="{00000000-0005-0000-0000-0000DD3B0000}"/>
    <cellStyle name="40% - Ênfase5 5 3 4 2" xfId="15472" xr:uid="{00000000-0005-0000-0000-0000DE3B0000}"/>
    <cellStyle name="40% - Ênfase5 5 3 5" xfId="15473" xr:uid="{00000000-0005-0000-0000-0000DF3B0000}"/>
    <cellStyle name="40% - Ênfase5 5 3 5 2" xfId="15474" xr:uid="{00000000-0005-0000-0000-0000E03B0000}"/>
    <cellStyle name="40% - Ênfase5 5 3 6" xfId="15475" xr:uid="{00000000-0005-0000-0000-0000E13B0000}"/>
    <cellStyle name="40% - Ênfase5 5 4" xfId="15476" xr:uid="{00000000-0005-0000-0000-0000E23B0000}"/>
    <cellStyle name="40% - Ênfase5 5 4 2" xfId="15477" xr:uid="{00000000-0005-0000-0000-0000E33B0000}"/>
    <cellStyle name="40% - Ênfase5 5 4 2 2" xfId="15478" xr:uid="{00000000-0005-0000-0000-0000E43B0000}"/>
    <cellStyle name="40% - Ênfase5 5 4 3" xfId="15479" xr:uid="{00000000-0005-0000-0000-0000E53B0000}"/>
    <cellStyle name="40% - Ênfase5 5 4 3 2" xfId="15480" xr:uid="{00000000-0005-0000-0000-0000E63B0000}"/>
    <cellStyle name="40% - Ênfase5 5 4 4" xfId="15481" xr:uid="{00000000-0005-0000-0000-0000E73B0000}"/>
    <cellStyle name="40% - Ênfase5 5 5" xfId="15482" xr:uid="{00000000-0005-0000-0000-0000E83B0000}"/>
    <cellStyle name="40% - Ênfase5 5 5 2" xfId="15483" xr:uid="{00000000-0005-0000-0000-0000E93B0000}"/>
    <cellStyle name="40% - Ênfase5 5 5 2 2" xfId="15484" xr:uid="{00000000-0005-0000-0000-0000EA3B0000}"/>
    <cellStyle name="40% - Ênfase5 5 5 3" xfId="15485" xr:uid="{00000000-0005-0000-0000-0000EB3B0000}"/>
    <cellStyle name="40% - Ênfase5 5 6" xfId="15486" xr:uid="{00000000-0005-0000-0000-0000EC3B0000}"/>
    <cellStyle name="40% - Ênfase5 5 6 2" xfId="15487" xr:uid="{00000000-0005-0000-0000-0000ED3B0000}"/>
    <cellStyle name="40% - Ênfase5 5 6 2 2" xfId="15488" xr:uid="{00000000-0005-0000-0000-0000EE3B0000}"/>
    <cellStyle name="40% - Ênfase5 5 6 3" xfId="15489" xr:uid="{00000000-0005-0000-0000-0000EF3B0000}"/>
    <cellStyle name="40% - Ênfase5 5 7" xfId="15490" xr:uid="{00000000-0005-0000-0000-0000F03B0000}"/>
    <cellStyle name="40% - Ênfase5 5 7 2" xfId="15491" xr:uid="{00000000-0005-0000-0000-0000F13B0000}"/>
    <cellStyle name="40% - Ênfase5 5 7 2 2" xfId="15492" xr:uid="{00000000-0005-0000-0000-0000F23B0000}"/>
    <cellStyle name="40% - Ênfase5 5 7 3" xfId="15493" xr:uid="{00000000-0005-0000-0000-0000F33B0000}"/>
    <cellStyle name="40% - Ênfase5 5 8" xfId="15494" xr:uid="{00000000-0005-0000-0000-0000F43B0000}"/>
    <cellStyle name="40% - Ênfase5 5 8 2" xfId="15495" xr:uid="{00000000-0005-0000-0000-0000F53B0000}"/>
    <cellStyle name="40% - Ênfase5 5 8 2 2" xfId="15496" xr:uid="{00000000-0005-0000-0000-0000F63B0000}"/>
    <cellStyle name="40% - Ênfase5 5 8 3" xfId="15497" xr:uid="{00000000-0005-0000-0000-0000F73B0000}"/>
    <cellStyle name="40% - Ênfase5 5 9" xfId="15498" xr:uid="{00000000-0005-0000-0000-0000F83B0000}"/>
    <cellStyle name="40% - Ênfase5 5 9 2" xfId="15499" xr:uid="{00000000-0005-0000-0000-0000F93B0000}"/>
    <cellStyle name="40% - Ênfase5 6" xfId="15500" xr:uid="{00000000-0005-0000-0000-0000FA3B0000}"/>
    <cellStyle name="40% - Ênfase5 6 2" xfId="15501" xr:uid="{00000000-0005-0000-0000-0000FB3B0000}"/>
    <cellStyle name="40% - Ênfase5 6 2 2" xfId="15502" xr:uid="{00000000-0005-0000-0000-0000FC3B0000}"/>
    <cellStyle name="40% - Ênfase5 6 2 2 2" xfId="15503" xr:uid="{00000000-0005-0000-0000-0000FD3B0000}"/>
    <cellStyle name="40% - Ênfase5 6 2 2 2 2" xfId="15504" xr:uid="{00000000-0005-0000-0000-0000FE3B0000}"/>
    <cellStyle name="40% - Ênfase5 6 2 2 2 2 2" xfId="15505" xr:uid="{00000000-0005-0000-0000-0000FF3B0000}"/>
    <cellStyle name="40% - Ênfase5 6 2 2 2 3" xfId="15506" xr:uid="{00000000-0005-0000-0000-0000003C0000}"/>
    <cellStyle name="40% - Ênfase5 6 2 2 2 3 2" xfId="15507" xr:uid="{00000000-0005-0000-0000-0000013C0000}"/>
    <cellStyle name="40% - Ênfase5 6 2 2 2 4" xfId="15508" xr:uid="{00000000-0005-0000-0000-0000023C0000}"/>
    <cellStyle name="40% - Ênfase5 6 2 2 3" xfId="15509" xr:uid="{00000000-0005-0000-0000-0000033C0000}"/>
    <cellStyle name="40% - Ênfase5 6 2 2 3 2" xfId="15510" xr:uid="{00000000-0005-0000-0000-0000043C0000}"/>
    <cellStyle name="40% - Ênfase5 6 2 2 4" xfId="15511" xr:uid="{00000000-0005-0000-0000-0000053C0000}"/>
    <cellStyle name="40% - Ênfase5 6 2 2 4 2" xfId="15512" xr:uid="{00000000-0005-0000-0000-0000063C0000}"/>
    <cellStyle name="40% - Ênfase5 6 2 2 5" xfId="15513" xr:uid="{00000000-0005-0000-0000-0000073C0000}"/>
    <cellStyle name="40% - Ênfase5 6 2 3" xfId="15514" xr:uid="{00000000-0005-0000-0000-0000083C0000}"/>
    <cellStyle name="40% - Ênfase5 6 2 3 2" xfId="15515" xr:uid="{00000000-0005-0000-0000-0000093C0000}"/>
    <cellStyle name="40% - Ênfase5 6 2 3 2 2" xfId="15516" xr:uid="{00000000-0005-0000-0000-00000A3C0000}"/>
    <cellStyle name="40% - Ênfase5 6 2 3 3" xfId="15517" xr:uid="{00000000-0005-0000-0000-00000B3C0000}"/>
    <cellStyle name="40% - Ênfase5 6 2 3 3 2" xfId="15518" xr:uid="{00000000-0005-0000-0000-00000C3C0000}"/>
    <cellStyle name="40% - Ênfase5 6 2 3 4" xfId="15519" xr:uid="{00000000-0005-0000-0000-00000D3C0000}"/>
    <cellStyle name="40% - Ênfase5 6 2 4" xfId="15520" xr:uid="{00000000-0005-0000-0000-00000E3C0000}"/>
    <cellStyle name="40% - Ênfase5 6 2 4 2" xfId="15521" xr:uid="{00000000-0005-0000-0000-00000F3C0000}"/>
    <cellStyle name="40% - Ênfase5 6 2 4 2 2" xfId="15522" xr:uid="{00000000-0005-0000-0000-0000103C0000}"/>
    <cellStyle name="40% - Ênfase5 6 2 4 3" xfId="15523" xr:uid="{00000000-0005-0000-0000-0000113C0000}"/>
    <cellStyle name="40% - Ênfase5 6 2 5" xfId="15524" xr:uid="{00000000-0005-0000-0000-0000123C0000}"/>
    <cellStyle name="40% - Ênfase5 6 2 5 2" xfId="15525" xr:uid="{00000000-0005-0000-0000-0000133C0000}"/>
    <cellStyle name="40% - Ênfase5 6 2 6" xfId="15526" xr:uid="{00000000-0005-0000-0000-0000143C0000}"/>
    <cellStyle name="40% - Ênfase5 6 3" xfId="15527" xr:uid="{00000000-0005-0000-0000-0000153C0000}"/>
    <cellStyle name="40% - Ênfase5 6 3 2" xfId="15528" xr:uid="{00000000-0005-0000-0000-0000163C0000}"/>
    <cellStyle name="40% - Ênfase5 6 3 2 2" xfId="15529" xr:uid="{00000000-0005-0000-0000-0000173C0000}"/>
    <cellStyle name="40% - Ênfase5 6 3 2 2 2" xfId="15530" xr:uid="{00000000-0005-0000-0000-0000183C0000}"/>
    <cellStyle name="40% - Ênfase5 6 3 2 3" xfId="15531" xr:uid="{00000000-0005-0000-0000-0000193C0000}"/>
    <cellStyle name="40% - Ênfase5 6 3 2 3 2" xfId="15532" xr:uid="{00000000-0005-0000-0000-00001A3C0000}"/>
    <cellStyle name="40% - Ênfase5 6 3 2 4" xfId="15533" xr:uid="{00000000-0005-0000-0000-00001B3C0000}"/>
    <cellStyle name="40% - Ênfase5 6 3 3" xfId="15534" xr:uid="{00000000-0005-0000-0000-00001C3C0000}"/>
    <cellStyle name="40% - Ênfase5 6 3 3 2" xfId="15535" xr:uid="{00000000-0005-0000-0000-00001D3C0000}"/>
    <cellStyle name="40% - Ênfase5 6 3 4" xfId="15536" xr:uid="{00000000-0005-0000-0000-00001E3C0000}"/>
    <cellStyle name="40% - Ênfase5 6 3 4 2" xfId="15537" xr:uid="{00000000-0005-0000-0000-00001F3C0000}"/>
    <cellStyle name="40% - Ênfase5 6 3 5" xfId="15538" xr:uid="{00000000-0005-0000-0000-0000203C0000}"/>
    <cellStyle name="40% - Ênfase5 6 4" xfId="15539" xr:uid="{00000000-0005-0000-0000-0000213C0000}"/>
    <cellStyle name="40% - Ênfase5 6 4 2" xfId="15540" xr:uid="{00000000-0005-0000-0000-0000223C0000}"/>
    <cellStyle name="40% - Ênfase5 6 4 2 2" xfId="15541" xr:uid="{00000000-0005-0000-0000-0000233C0000}"/>
    <cellStyle name="40% - Ênfase5 6 4 3" xfId="15542" xr:uid="{00000000-0005-0000-0000-0000243C0000}"/>
    <cellStyle name="40% - Ênfase5 6 4 3 2" xfId="15543" xr:uid="{00000000-0005-0000-0000-0000253C0000}"/>
    <cellStyle name="40% - Ênfase5 6 4 4" xfId="15544" xr:uid="{00000000-0005-0000-0000-0000263C0000}"/>
    <cellStyle name="40% - Ênfase5 6 5" xfId="15545" xr:uid="{00000000-0005-0000-0000-0000273C0000}"/>
    <cellStyle name="40% - Ênfase5 6 5 2" xfId="15546" xr:uid="{00000000-0005-0000-0000-0000283C0000}"/>
    <cellStyle name="40% - Ênfase5 6 5 2 2" xfId="15547" xr:uid="{00000000-0005-0000-0000-0000293C0000}"/>
    <cellStyle name="40% - Ênfase5 6 5 3" xfId="15548" xr:uid="{00000000-0005-0000-0000-00002A3C0000}"/>
    <cellStyle name="40% - Ênfase5 6 6" xfId="15549" xr:uid="{00000000-0005-0000-0000-00002B3C0000}"/>
    <cellStyle name="40% - Ênfase5 6 6 2" xfId="15550" xr:uid="{00000000-0005-0000-0000-00002C3C0000}"/>
    <cellStyle name="40% - Ênfase5 6 7" xfId="15551" xr:uid="{00000000-0005-0000-0000-00002D3C0000}"/>
    <cellStyle name="40% - Ênfase5 7" xfId="15552" xr:uid="{00000000-0005-0000-0000-00002E3C0000}"/>
    <cellStyle name="40% - Ênfase5 7 2" xfId="15553" xr:uid="{00000000-0005-0000-0000-00002F3C0000}"/>
    <cellStyle name="40% - Ênfase5 7 2 2" xfId="15554" xr:uid="{00000000-0005-0000-0000-0000303C0000}"/>
    <cellStyle name="40% - Ênfase5 7 2 2 2" xfId="15555" xr:uid="{00000000-0005-0000-0000-0000313C0000}"/>
    <cellStyle name="40% - Ênfase5 7 2 2 2 2" xfId="15556" xr:uid="{00000000-0005-0000-0000-0000323C0000}"/>
    <cellStyle name="40% - Ênfase5 7 2 2 2 2 2" xfId="15557" xr:uid="{00000000-0005-0000-0000-0000333C0000}"/>
    <cellStyle name="40% - Ênfase5 7 2 2 2 3" xfId="15558" xr:uid="{00000000-0005-0000-0000-0000343C0000}"/>
    <cellStyle name="40% - Ênfase5 7 2 2 2 3 2" xfId="15559" xr:uid="{00000000-0005-0000-0000-0000353C0000}"/>
    <cellStyle name="40% - Ênfase5 7 2 2 2 4" xfId="15560" xr:uid="{00000000-0005-0000-0000-0000363C0000}"/>
    <cellStyle name="40% - Ênfase5 7 2 2 3" xfId="15561" xr:uid="{00000000-0005-0000-0000-0000373C0000}"/>
    <cellStyle name="40% - Ênfase5 7 2 2 3 2" xfId="15562" xr:uid="{00000000-0005-0000-0000-0000383C0000}"/>
    <cellStyle name="40% - Ênfase5 7 2 2 4" xfId="15563" xr:uid="{00000000-0005-0000-0000-0000393C0000}"/>
    <cellStyle name="40% - Ênfase5 7 2 2 4 2" xfId="15564" xr:uid="{00000000-0005-0000-0000-00003A3C0000}"/>
    <cellStyle name="40% - Ênfase5 7 2 2 5" xfId="15565" xr:uid="{00000000-0005-0000-0000-00003B3C0000}"/>
    <cellStyle name="40% - Ênfase5 7 2 3" xfId="15566" xr:uid="{00000000-0005-0000-0000-00003C3C0000}"/>
    <cellStyle name="40% - Ênfase5 7 2 3 2" xfId="15567" xr:uid="{00000000-0005-0000-0000-00003D3C0000}"/>
    <cellStyle name="40% - Ênfase5 7 2 3 2 2" xfId="15568" xr:uid="{00000000-0005-0000-0000-00003E3C0000}"/>
    <cellStyle name="40% - Ênfase5 7 2 3 3" xfId="15569" xr:uid="{00000000-0005-0000-0000-00003F3C0000}"/>
    <cellStyle name="40% - Ênfase5 7 2 3 3 2" xfId="15570" xr:uid="{00000000-0005-0000-0000-0000403C0000}"/>
    <cellStyle name="40% - Ênfase5 7 2 3 4" xfId="15571" xr:uid="{00000000-0005-0000-0000-0000413C0000}"/>
    <cellStyle name="40% - Ênfase5 7 2 4" xfId="15572" xr:uid="{00000000-0005-0000-0000-0000423C0000}"/>
    <cellStyle name="40% - Ênfase5 7 2 4 2" xfId="15573" xr:uid="{00000000-0005-0000-0000-0000433C0000}"/>
    <cellStyle name="40% - Ênfase5 7 2 4 2 2" xfId="15574" xr:uid="{00000000-0005-0000-0000-0000443C0000}"/>
    <cellStyle name="40% - Ênfase5 7 2 4 3" xfId="15575" xr:uid="{00000000-0005-0000-0000-0000453C0000}"/>
    <cellStyle name="40% - Ênfase5 7 2 5" xfId="15576" xr:uid="{00000000-0005-0000-0000-0000463C0000}"/>
    <cellStyle name="40% - Ênfase5 7 2 5 2" xfId="15577" xr:uid="{00000000-0005-0000-0000-0000473C0000}"/>
    <cellStyle name="40% - Ênfase5 7 2 6" xfId="15578" xr:uid="{00000000-0005-0000-0000-0000483C0000}"/>
    <cellStyle name="40% - Ênfase5 7 3" xfId="15579" xr:uid="{00000000-0005-0000-0000-0000493C0000}"/>
    <cellStyle name="40% - Ênfase5 7 3 2" xfId="15580" xr:uid="{00000000-0005-0000-0000-00004A3C0000}"/>
    <cellStyle name="40% - Ênfase5 7 3 2 2" xfId="15581" xr:uid="{00000000-0005-0000-0000-00004B3C0000}"/>
    <cellStyle name="40% - Ênfase5 7 3 2 2 2" xfId="15582" xr:uid="{00000000-0005-0000-0000-00004C3C0000}"/>
    <cellStyle name="40% - Ênfase5 7 3 2 3" xfId="15583" xr:uid="{00000000-0005-0000-0000-00004D3C0000}"/>
    <cellStyle name="40% - Ênfase5 7 3 2 3 2" xfId="15584" xr:uid="{00000000-0005-0000-0000-00004E3C0000}"/>
    <cellStyle name="40% - Ênfase5 7 3 2 4" xfId="15585" xr:uid="{00000000-0005-0000-0000-00004F3C0000}"/>
    <cellStyle name="40% - Ênfase5 7 3 3" xfId="15586" xr:uid="{00000000-0005-0000-0000-0000503C0000}"/>
    <cellStyle name="40% - Ênfase5 7 3 3 2" xfId="15587" xr:uid="{00000000-0005-0000-0000-0000513C0000}"/>
    <cellStyle name="40% - Ênfase5 7 3 4" xfId="15588" xr:uid="{00000000-0005-0000-0000-0000523C0000}"/>
    <cellStyle name="40% - Ênfase5 7 3 4 2" xfId="15589" xr:uid="{00000000-0005-0000-0000-0000533C0000}"/>
    <cellStyle name="40% - Ênfase5 7 3 5" xfId="15590" xr:uid="{00000000-0005-0000-0000-0000543C0000}"/>
    <cellStyle name="40% - Ênfase5 7 4" xfId="15591" xr:uid="{00000000-0005-0000-0000-0000553C0000}"/>
    <cellStyle name="40% - Ênfase5 7 4 2" xfId="15592" xr:uid="{00000000-0005-0000-0000-0000563C0000}"/>
    <cellStyle name="40% - Ênfase5 7 4 2 2" xfId="15593" xr:uid="{00000000-0005-0000-0000-0000573C0000}"/>
    <cellStyle name="40% - Ênfase5 7 4 3" xfId="15594" xr:uid="{00000000-0005-0000-0000-0000583C0000}"/>
    <cellStyle name="40% - Ênfase5 7 4 3 2" xfId="15595" xr:uid="{00000000-0005-0000-0000-0000593C0000}"/>
    <cellStyle name="40% - Ênfase5 7 4 4" xfId="15596" xr:uid="{00000000-0005-0000-0000-00005A3C0000}"/>
    <cellStyle name="40% - Ênfase5 7 5" xfId="15597" xr:uid="{00000000-0005-0000-0000-00005B3C0000}"/>
    <cellStyle name="40% - Ênfase5 7 5 2" xfId="15598" xr:uid="{00000000-0005-0000-0000-00005C3C0000}"/>
    <cellStyle name="40% - Ênfase5 7 5 2 2" xfId="15599" xr:uid="{00000000-0005-0000-0000-00005D3C0000}"/>
    <cellStyle name="40% - Ênfase5 7 5 3" xfId="15600" xr:uid="{00000000-0005-0000-0000-00005E3C0000}"/>
    <cellStyle name="40% - Ênfase5 7 6" xfId="15601" xr:uid="{00000000-0005-0000-0000-00005F3C0000}"/>
    <cellStyle name="40% - Ênfase5 7 6 2" xfId="15602" xr:uid="{00000000-0005-0000-0000-0000603C0000}"/>
    <cellStyle name="40% - Ênfase5 7 7" xfId="15603" xr:uid="{00000000-0005-0000-0000-0000613C0000}"/>
    <cellStyle name="40% - Ênfase5 8" xfId="15604" xr:uid="{00000000-0005-0000-0000-0000623C0000}"/>
    <cellStyle name="40% - Ênfase5 8 2" xfId="15605" xr:uid="{00000000-0005-0000-0000-0000633C0000}"/>
    <cellStyle name="40% - Ênfase5 8 2 2" xfId="15606" xr:uid="{00000000-0005-0000-0000-0000643C0000}"/>
    <cellStyle name="40% - Ênfase5 8 2 2 2" xfId="15607" xr:uid="{00000000-0005-0000-0000-0000653C0000}"/>
    <cellStyle name="40% - Ênfase5 8 2 2 2 2" xfId="15608" xr:uid="{00000000-0005-0000-0000-0000663C0000}"/>
    <cellStyle name="40% - Ênfase5 8 2 2 2 2 2" xfId="15609" xr:uid="{00000000-0005-0000-0000-0000673C0000}"/>
    <cellStyle name="40% - Ênfase5 8 2 2 2 3" xfId="15610" xr:uid="{00000000-0005-0000-0000-0000683C0000}"/>
    <cellStyle name="40% - Ênfase5 8 2 2 2 3 2" xfId="15611" xr:uid="{00000000-0005-0000-0000-0000693C0000}"/>
    <cellStyle name="40% - Ênfase5 8 2 2 2 4" xfId="15612" xr:uid="{00000000-0005-0000-0000-00006A3C0000}"/>
    <cellStyle name="40% - Ênfase5 8 2 2 3" xfId="15613" xr:uid="{00000000-0005-0000-0000-00006B3C0000}"/>
    <cellStyle name="40% - Ênfase5 8 2 2 3 2" xfId="15614" xr:uid="{00000000-0005-0000-0000-00006C3C0000}"/>
    <cellStyle name="40% - Ênfase5 8 2 2 4" xfId="15615" xr:uid="{00000000-0005-0000-0000-00006D3C0000}"/>
    <cellStyle name="40% - Ênfase5 8 2 2 4 2" xfId="15616" xr:uid="{00000000-0005-0000-0000-00006E3C0000}"/>
    <cellStyle name="40% - Ênfase5 8 2 2 5" xfId="15617" xr:uid="{00000000-0005-0000-0000-00006F3C0000}"/>
    <cellStyle name="40% - Ênfase5 8 2 3" xfId="15618" xr:uid="{00000000-0005-0000-0000-0000703C0000}"/>
    <cellStyle name="40% - Ênfase5 8 2 3 2" xfId="15619" xr:uid="{00000000-0005-0000-0000-0000713C0000}"/>
    <cellStyle name="40% - Ênfase5 8 2 3 2 2" xfId="15620" xr:uid="{00000000-0005-0000-0000-0000723C0000}"/>
    <cellStyle name="40% - Ênfase5 8 2 3 3" xfId="15621" xr:uid="{00000000-0005-0000-0000-0000733C0000}"/>
    <cellStyle name="40% - Ênfase5 8 2 3 3 2" xfId="15622" xr:uid="{00000000-0005-0000-0000-0000743C0000}"/>
    <cellStyle name="40% - Ênfase5 8 2 3 4" xfId="15623" xr:uid="{00000000-0005-0000-0000-0000753C0000}"/>
    <cellStyle name="40% - Ênfase5 8 2 4" xfId="15624" xr:uid="{00000000-0005-0000-0000-0000763C0000}"/>
    <cellStyle name="40% - Ênfase5 8 2 4 2" xfId="15625" xr:uid="{00000000-0005-0000-0000-0000773C0000}"/>
    <cellStyle name="40% - Ênfase5 8 2 4 2 2" xfId="15626" xr:uid="{00000000-0005-0000-0000-0000783C0000}"/>
    <cellStyle name="40% - Ênfase5 8 2 4 3" xfId="15627" xr:uid="{00000000-0005-0000-0000-0000793C0000}"/>
    <cellStyle name="40% - Ênfase5 8 2 5" xfId="15628" xr:uid="{00000000-0005-0000-0000-00007A3C0000}"/>
    <cellStyle name="40% - Ênfase5 8 2 5 2" xfId="15629" xr:uid="{00000000-0005-0000-0000-00007B3C0000}"/>
    <cellStyle name="40% - Ênfase5 8 2 6" xfId="15630" xr:uid="{00000000-0005-0000-0000-00007C3C0000}"/>
    <cellStyle name="40% - Ênfase5 8 3" xfId="15631" xr:uid="{00000000-0005-0000-0000-00007D3C0000}"/>
    <cellStyle name="40% - Ênfase5 8 3 2" xfId="15632" xr:uid="{00000000-0005-0000-0000-00007E3C0000}"/>
    <cellStyle name="40% - Ênfase5 8 3 2 2" xfId="15633" xr:uid="{00000000-0005-0000-0000-00007F3C0000}"/>
    <cellStyle name="40% - Ênfase5 8 3 2 2 2" xfId="15634" xr:uid="{00000000-0005-0000-0000-0000803C0000}"/>
    <cellStyle name="40% - Ênfase5 8 3 2 3" xfId="15635" xr:uid="{00000000-0005-0000-0000-0000813C0000}"/>
    <cellStyle name="40% - Ênfase5 8 3 2 3 2" xfId="15636" xr:uid="{00000000-0005-0000-0000-0000823C0000}"/>
    <cellStyle name="40% - Ênfase5 8 3 2 4" xfId="15637" xr:uid="{00000000-0005-0000-0000-0000833C0000}"/>
    <cellStyle name="40% - Ênfase5 8 3 3" xfId="15638" xr:uid="{00000000-0005-0000-0000-0000843C0000}"/>
    <cellStyle name="40% - Ênfase5 8 3 3 2" xfId="15639" xr:uid="{00000000-0005-0000-0000-0000853C0000}"/>
    <cellStyle name="40% - Ênfase5 8 3 4" xfId="15640" xr:uid="{00000000-0005-0000-0000-0000863C0000}"/>
    <cellStyle name="40% - Ênfase5 8 3 4 2" xfId="15641" xr:uid="{00000000-0005-0000-0000-0000873C0000}"/>
    <cellStyle name="40% - Ênfase5 8 3 5" xfId="15642" xr:uid="{00000000-0005-0000-0000-0000883C0000}"/>
    <cellStyle name="40% - Ênfase5 8 4" xfId="15643" xr:uid="{00000000-0005-0000-0000-0000893C0000}"/>
    <cellStyle name="40% - Ênfase5 8 4 2" xfId="15644" xr:uid="{00000000-0005-0000-0000-00008A3C0000}"/>
    <cellStyle name="40% - Ênfase5 8 4 2 2" xfId="15645" xr:uid="{00000000-0005-0000-0000-00008B3C0000}"/>
    <cellStyle name="40% - Ênfase5 8 4 3" xfId="15646" xr:uid="{00000000-0005-0000-0000-00008C3C0000}"/>
    <cellStyle name="40% - Ênfase5 8 4 3 2" xfId="15647" xr:uid="{00000000-0005-0000-0000-00008D3C0000}"/>
    <cellStyle name="40% - Ênfase5 8 4 4" xfId="15648" xr:uid="{00000000-0005-0000-0000-00008E3C0000}"/>
    <cellStyle name="40% - Ênfase5 8 5" xfId="15649" xr:uid="{00000000-0005-0000-0000-00008F3C0000}"/>
    <cellStyle name="40% - Ênfase5 8 5 2" xfId="15650" xr:uid="{00000000-0005-0000-0000-0000903C0000}"/>
    <cellStyle name="40% - Ênfase5 8 5 2 2" xfId="15651" xr:uid="{00000000-0005-0000-0000-0000913C0000}"/>
    <cellStyle name="40% - Ênfase5 8 5 3" xfId="15652" xr:uid="{00000000-0005-0000-0000-0000923C0000}"/>
    <cellStyle name="40% - Ênfase5 8 6" xfId="15653" xr:uid="{00000000-0005-0000-0000-0000933C0000}"/>
    <cellStyle name="40% - Ênfase5 8 6 2" xfId="15654" xr:uid="{00000000-0005-0000-0000-0000943C0000}"/>
    <cellStyle name="40% - Ênfase5 8 7" xfId="15655" xr:uid="{00000000-0005-0000-0000-0000953C0000}"/>
    <cellStyle name="40% - Ênfase5 9" xfId="15656" xr:uid="{00000000-0005-0000-0000-0000963C0000}"/>
    <cellStyle name="40% - Ênfase5 9 2" xfId="15657" xr:uid="{00000000-0005-0000-0000-0000973C0000}"/>
    <cellStyle name="40% - Ênfase5 9 2 2" xfId="15658" xr:uid="{00000000-0005-0000-0000-0000983C0000}"/>
    <cellStyle name="40% - Ênfase5 9 2 2 2" xfId="15659" xr:uid="{00000000-0005-0000-0000-0000993C0000}"/>
    <cellStyle name="40% - Ênfase5 9 2 2 2 2" xfId="15660" xr:uid="{00000000-0005-0000-0000-00009A3C0000}"/>
    <cellStyle name="40% - Ênfase5 9 2 2 2 2 2" xfId="15661" xr:uid="{00000000-0005-0000-0000-00009B3C0000}"/>
    <cellStyle name="40% - Ênfase5 9 2 2 2 3" xfId="15662" xr:uid="{00000000-0005-0000-0000-00009C3C0000}"/>
    <cellStyle name="40% - Ênfase5 9 2 2 2 3 2" xfId="15663" xr:uid="{00000000-0005-0000-0000-00009D3C0000}"/>
    <cellStyle name="40% - Ênfase5 9 2 2 2 4" xfId="15664" xr:uid="{00000000-0005-0000-0000-00009E3C0000}"/>
    <cellStyle name="40% - Ênfase5 9 2 2 3" xfId="15665" xr:uid="{00000000-0005-0000-0000-00009F3C0000}"/>
    <cellStyle name="40% - Ênfase5 9 2 2 3 2" xfId="15666" xr:uid="{00000000-0005-0000-0000-0000A03C0000}"/>
    <cellStyle name="40% - Ênfase5 9 2 2 4" xfId="15667" xr:uid="{00000000-0005-0000-0000-0000A13C0000}"/>
    <cellStyle name="40% - Ênfase5 9 2 2 4 2" xfId="15668" xr:uid="{00000000-0005-0000-0000-0000A23C0000}"/>
    <cellStyle name="40% - Ênfase5 9 2 2 5" xfId="15669" xr:uid="{00000000-0005-0000-0000-0000A33C0000}"/>
    <cellStyle name="40% - Ênfase5 9 2 3" xfId="15670" xr:uid="{00000000-0005-0000-0000-0000A43C0000}"/>
    <cellStyle name="40% - Ênfase5 9 2 3 2" xfId="15671" xr:uid="{00000000-0005-0000-0000-0000A53C0000}"/>
    <cellStyle name="40% - Ênfase5 9 2 3 2 2" xfId="15672" xr:uid="{00000000-0005-0000-0000-0000A63C0000}"/>
    <cellStyle name="40% - Ênfase5 9 2 3 3" xfId="15673" xr:uid="{00000000-0005-0000-0000-0000A73C0000}"/>
    <cellStyle name="40% - Ênfase5 9 2 3 3 2" xfId="15674" xr:uid="{00000000-0005-0000-0000-0000A83C0000}"/>
    <cellStyle name="40% - Ênfase5 9 2 3 4" xfId="15675" xr:uid="{00000000-0005-0000-0000-0000A93C0000}"/>
    <cellStyle name="40% - Ênfase5 9 2 4" xfId="15676" xr:uid="{00000000-0005-0000-0000-0000AA3C0000}"/>
    <cellStyle name="40% - Ênfase5 9 2 4 2" xfId="15677" xr:uid="{00000000-0005-0000-0000-0000AB3C0000}"/>
    <cellStyle name="40% - Ênfase5 9 2 4 2 2" xfId="15678" xr:uid="{00000000-0005-0000-0000-0000AC3C0000}"/>
    <cellStyle name="40% - Ênfase5 9 2 4 3" xfId="15679" xr:uid="{00000000-0005-0000-0000-0000AD3C0000}"/>
    <cellStyle name="40% - Ênfase5 9 2 5" xfId="15680" xr:uid="{00000000-0005-0000-0000-0000AE3C0000}"/>
    <cellStyle name="40% - Ênfase5 9 2 5 2" xfId="15681" xr:uid="{00000000-0005-0000-0000-0000AF3C0000}"/>
    <cellStyle name="40% - Ênfase5 9 2 6" xfId="15682" xr:uid="{00000000-0005-0000-0000-0000B03C0000}"/>
    <cellStyle name="40% - Ênfase5 9 3" xfId="15683" xr:uid="{00000000-0005-0000-0000-0000B13C0000}"/>
    <cellStyle name="40% - Ênfase5 9 3 2" xfId="15684" xr:uid="{00000000-0005-0000-0000-0000B23C0000}"/>
    <cellStyle name="40% - Ênfase5 9 3 2 2" xfId="15685" xr:uid="{00000000-0005-0000-0000-0000B33C0000}"/>
    <cellStyle name="40% - Ênfase5 9 3 2 2 2" xfId="15686" xr:uid="{00000000-0005-0000-0000-0000B43C0000}"/>
    <cellStyle name="40% - Ênfase5 9 3 2 3" xfId="15687" xr:uid="{00000000-0005-0000-0000-0000B53C0000}"/>
    <cellStyle name="40% - Ênfase5 9 3 2 3 2" xfId="15688" xr:uid="{00000000-0005-0000-0000-0000B63C0000}"/>
    <cellStyle name="40% - Ênfase5 9 3 2 4" xfId="15689" xr:uid="{00000000-0005-0000-0000-0000B73C0000}"/>
    <cellStyle name="40% - Ênfase5 9 3 3" xfId="15690" xr:uid="{00000000-0005-0000-0000-0000B83C0000}"/>
    <cellStyle name="40% - Ênfase5 9 3 3 2" xfId="15691" xr:uid="{00000000-0005-0000-0000-0000B93C0000}"/>
    <cellStyle name="40% - Ênfase5 9 3 4" xfId="15692" xr:uid="{00000000-0005-0000-0000-0000BA3C0000}"/>
    <cellStyle name="40% - Ênfase5 9 3 4 2" xfId="15693" xr:uid="{00000000-0005-0000-0000-0000BB3C0000}"/>
    <cellStyle name="40% - Ênfase5 9 3 5" xfId="15694" xr:uid="{00000000-0005-0000-0000-0000BC3C0000}"/>
    <cellStyle name="40% - Ênfase5 9 4" xfId="15695" xr:uid="{00000000-0005-0000-0000-0000BD3C0000}"/>
    <cellStyle name="40% - Ênfase5 9 4 2" xfId="15696" xr:uid="{00000000-0005-0000-0000-0000BE3C0000}"/>
    <cellStyle name="40% - Ênfase5 9 4 2 2" xfId="15697" xr:uid="{00000000-0005-0000-0000-0000BF3C0000}"/>
    <cellStyle name="40% - Ênfase5 9 4 3" xfId="15698" xr:uid="{00000000-0005-0000-0000-0000C03C0000}"/>
    <cellStyle name="40% - Ênfase5 9 4 3 2" xfId="15699" xr:uid="{00000000-0005-0000-0000-0000C13C0000}"/>
    <cellStyle name="40% - Ênfase5 9 4 4" xfId="15700" xr:uid="{00000000-0005-0000-0000-0000C23C0000}"/>
    <cellStyle name="40% - Ênfase5 9 5" xfId="15701" xr:uid="{00000000-0005-0000-0000-0000C33C0000}"/>
    <cellStyle name="40% - Ênfase5 9 5 2" xfId="15702" xr:uid="{00000000-0005-0000-0000-0000C43C0000}"/>
    <cellStyle name="40% - Ênfase5 9 5 2 2" xfId="15703" xr:uid="{00000000-0005-0000-0000-0000C53C0000}"/>
    <cellStyle name="40% - Ênfase5 9 5 3" xfId="15704" xr:uid="{00000000-0005-0000-0000-0000C63C0000}"/>
    <cellStyle name="40% - Ênfase5 9 6" xfId="15705" xr:uid="{00000000-0005-0000-0000-0000C73C0000}"/>
    <cellStyle name="40% - Ênfase5 9 6 2" xfId="15706" xr:uid="{00000000-0005-0000-0000-0000C83C0000}"/>
    <cellStyle name="40% - Ênfase5 9 7" xfId="15707" xr:uid="{00000000-0005-0000-0000-0000C93C0000}"/>
    <cellStyle name="40% - Ênfase6 10" xfId="15708" xr:uid="{00000000-0005-0000-0000-0000CA3C0000}"/>
    <cellStyle name="40% - Ênfase6 10 2" xfId="15709" xr:uid="{00000000-0005-0000-0000-0000CB3C0000}"/>
    <cellStyle name="40% - Ênfase6 10 2 2" xfId="15710" xr:uid="{00000000-0005-0000-0000-0000CC3C0000}"/>
    <cellStyle name="40% - Ênfase6 10 2 2 2" xfId="15711" xr:uid="{00000000-0005-0000-0000-0000CD3C0000}"/>
    <cellStyle name="40% - Ênfase6 10 2 2 2 2" xfId="15712" xr:uid="{00000000-0005-0000-0000-0000CE3C0000}"/>
    <cellStyle name="40% - Ênfase6 10 2 2 2 2 2" xfId="15713" xr:uid="{00000000-0005-0000-0000-0000CF3C0000}"/>
    <cellStyle name="40% - Ênfase6 10 2 2 2 3" xfId="15714" xr:uid="{00000000-0005-0000-0000-0000D03C0000}"/>
    <cellStyle name="40% - Ênfase6 10 2 2 2 3 2" xfId="15715" xr:uid="{00000000-0005-0000-0000-0000D13C0000}"/>
    <cellStyle name="40% - Ênfase6 10 2 2 2 4" xfId="15716" xr:uid="{00000000-0005-0000-0000-0000D23C0000}"/>
    <cellStyle name="40% - Ênfase6 10 2 2 3" xfId="15717" xr:uid="{00000000-0005-0000-0000-0000D33C0000}"/>
    <cellStyle name="40% - Ênfase6 10 2 2 3 2" xfId="15718" xr:uid="{00000000-0005-0000-0000-0000D43C0000}"/>
    <cellStyle name="40% - Ênfase6 10 2 2 4" xfId="15719" xr:uid="{00000000-0005-0000-0000-0000D53C0000}"/>
    <cellStyle name="40% - Ênfase6 10 2 2 4 2" xfId="15720" xr:uid="{00000000-0005-0000-0000-0000D63C0000}"/>
    <cellStyle name="40% - Ênfase6 10 2 2 5" xfId="15721" xr:uid="{00000000-0005-0000-0000-0000D73C0000}"/>
    <cellStyle name="40% - Ênfase6 10 2 3" xfId="15722" xr:uid="{00000000-0005-0000-0000-0000D83C0000}"/>
    <cellStyle name="40% - Ênfase6 10 2 3 2" xfId="15723" xr:uid="{00000000-0005-0000-0000-0000D93C0000}"/>
    <cellStyle name="40% - Ênfase6 10 2 3 2 2" xfId="15724" xr:uid="{00000000-0005-0000-0000-0000DA3C0000}"/>
    <cellStyle name="40% - Ênfase6 10 2 3 3" xfId="15725" xr:uid="{00000000-0005-0000-0000-0000DB3C0000}"/>
    <cellStyle name="40% - Ênfase6 10 2 3 3 2" xfId="15726" xr:uid="{00000000-0005-0000-0000-0000DC3C0000}"/>
    <cellStyle name="40% - Ênfase6 10 2 3 4" xfId="15727" xr:uid="{00000000-0005-0000-0000-0000DD3C0000}"/>
    <cellStyle name="40% - Ênfase6 10 2 4" xfId="15728" xr:uid="{00000000-0005-0000-0000-0000DE3C0000}"/>
    <cellStyle name="40% - Ênfase6 10 2 4 2" xfId="15729" xr:uid="{00000000-0005-0000-0000-0000DF3C0000}"/>
    <cellStyle name="40% - Ênfase6 10 2 4 2 2" xfId="15730" xr:uid="{00000000-0005-0000-0000-0000E03C0000}"/>
    <cellStyle name="40% - Ênfase6 10 2 4 3" xfId="15731" xr:uid="{00000000-0005-0000-0000-0000E13C0000}"/>
    <cellStyle name="40% - Ênfase6 10 2 5" xfId="15732" xr:uid="{00000000-0005-0000-0000-0000E23C0000}"/>
    <cellStyle name="40% - Ênfase6 10 2 5 2" xfId="15733" xr:uid="{00000000-0005-0000-0000-0000E33C0000}"/>
    <cellStyle name="40% - Ênfase6 10 2 6" xfId="15734" xr:uid="{00000000-0005-0000-0000-0000E43C0000}"/>
    <cellStyle name="40% - Ênfase6 10 3" xfId="15735" xr:uid="{00000000-0005-0000-0000-0000E53C0000}"/>
    <cellStyle name="40% - Ênfase6 10 3 2" xfId="15736" xr:uid="{00000000-0005-0000-0000-0000E63C0000}"/>
    <cellStyle name="40% - Ênfase6 10 3 2 2" xfId="15737" xr:uid="{00000000-0005-0000-0000-0000E73C0000}"/>
    <cellStyle name="40% - Ênfase6 10 3 2 2 2" xfId="15738" xr:uid="{00000000-0005-0000-0000-0000E83C0000}"/>
    <cellStyle name="40% - Ênfase6 10 3 2 3" xfId="15739" xr:uid="{00000000-0005-0000-0000-0000E93C0000}"/>
    <cellStyle name="40% - Ênfase6 10 3 2 3 2" xfId="15740" xr:uid="{00000000-0005-0000-0000-0000EA3C0000}"/>
    <cellStyle name="40% - Ênfase6 10 3 2 4" xfId="15741" xr:uid="{00000000-0005-0000-0000-0000EB3C0000}"/>
    <cellStyle name="40% - Ênfase6 10 3 3" xfId="15742" xr:uid="{00000000-0005-0000-0000-0000EC3C0000}"/>
    <cellStyle name="40% - Ênfase6 10 3 3 2" xfId="15743" xr:uid="{00000000-0005-0000-0000-0000ED3C0000}"/>
    <cellStyle name="40% - Ênfase6 10 3 4" xfId="15744" xr:uid="{00000000-0005-0000-0000-0000EE3C0000}"/>
    <cellStyle name="40% - Ênfase6 10 3 4 2" xfId="15745" xr:uid="{00000000-0005-0000-0000-0000EF3C0000}"/>
    <cellStyle name="40% - Ênfase6 10 3 5" xfId="15746" xr:uid="{00000000-0005-0000-0000-0000F03C0000}"/>
    <cellStyle name="40% - Ênfase6 10 4" xfId="15747" xr:uid="{00000000-0005-0000-0000-0000F13C0000}"/>
    <cellStyle name="40% - Ênfase6 10 4 2" xfId="15748" xr:uid="{00000000-0005-0000-0000-0000F23C0000}"/>
    <cellStyle name="40% - Ênfase6 10 4 2 2" xfId="15749" xr:uid="{00000000-0005-0000-0000-0000F33C0000}"/>
    <cellStyle name="40% - Ênfase6 10 4 3" xfId="15750" xr:uid="{00000000-0005-0000-0000-0000F43C0000}"/>
    <cellStyle name="40% - Ênfase6 10 4 3 2" xfId="15751" xr:uid="{00000000-0005-0000-0000-0000F53C0000}"/>
    <cellStyle name="40% - Ênfase6 10 4 4" xfId="15752" xr:uid="{00000000-0005-0000-0000-0000F63C0000}"/>
    <cellStyle name="40% - Ênfase6 10 5" xfId="15753" xr:uid="{00000000-0005-0000-0000-0000F73C0000}"/>
    <cellStyle name="40% - Ênfase6 10 5 2" xfId="15754" xr:uid="{00000000-0005-0000-0000-0000F83C0000}"/>
    <cellStyle name="40% - Ênfase6 10 5 2 2" xfId="15755" xr:uid="{00000000-0005-0000-0000-0000F93C0000}"/>
    <cellStyle name="40% - Ênfase6 10 5 3" xfId="15756" xr:uid="{00000000-0005-0000-0000-0000FA3C0000}"/>
    <cellStyle name="40% - Ênfase6 10 6" xfId="15757" xr:uid="{00000000-0005-0000-0000-0000FB3C0000}"/>
    <cellStyle name="40% - Ênfase6 10 6 2" xfId="15758" xr:uid="{00000000-0005-0000-0000-0000FC3C0000}"/>
    <cellStyle name="40% - Ênfase6 10 7" xfId="15759" xr:uid="{00000000-0005-0000-0000-0000FD3C0000}"/>
    <cellStyle name="40% - Ênfase6 11" xfId="15760" xr:uid="{00000000-0005-0000-0000-0000FE3C0000}"/>
    <cellStyle name="40% - Ênfase6 11 2" xfId="15761" xr:uid="{00000000-0005-0000-0000-0000FF3C0000}"/>
    <cellStyle name="40% - Ênfase6 11 2 2" xfId="15762" xr:uid="{00000000-0005-0000-0000-0000003D0000}"/>
    <cellStyle name="40% - Ênfase6 11 2 2 2" xfId="15763" xr:uid="{00000000-0005-0000-0000-0000013D0000}"/>
    <cellStyle name="40% - Ênfase6 11 2 2 2 2" xfId="15764" xr:uid="{00000000-0005-0000-0000-0000023D0000}"/>
    <cellStyle name="40% - Ênfase6 11 2 2 2 2 2" xfId="15765" xr:uid="{00000000-0005-0000-0000-0000033D0000}"/>
    <cellStyle name="40% - Ênfase6 11 2 2 2 3" xfId="15766" xr:uid="{00000000-0005-0000-0000-0000043D0000}"/>
    <cellStyle name="40% - Ênfase6 11 2 2 2 3 2" xfId="15767" xr:uid="{00000000-0005-0000-0000-0000053D0000}"/>
    <cellStyle name="40% - Ênfase6 11 2 2 2 4" xfId="15768" xr:uid="{00000000-0005-0000-0000-0000063D0000}"/>
    <cellStyle name="40% - Ênfase6 11 2 2 3" xfId="15769" xr:uid="{00000000-0005-0000-0000-0000073D0000}"/>
    <cellStyle name="40% - Ênfase6 11 2 2 3 2" xfId="15770" xr:uid="{00000000-0005-0000-0000-0000083D0000}"/>
    <cellStyle name="40% - Ênfase6 11 2 2 4" xfId="15771" xr:uid="{00000000-0005-0000-0000-0000093D0000}"/>
    <cellStyle name="40% - Ênfase6 11 2 2 4 2" xfId="15772" xr:uid="{00000000-0005-0000-0000-00000A3D0000}"/>
    <cellStyle name="40% - Ênfase6 11 2 2 5" xfId="15773" xr:uid="{00000000-0005-0000-0000-00000B3D0000}"/>
    <cellStyle name="40% - Ênfase6 11 2 3" xfId="15774" xr:uid="{00000000-0005-0000-0000-00000C3D0000}"/>
    <cellStyle name="40% - Ênfase6 11 2 3 2" xfId="15775" xr:uid="{00000000-0005-0000-0000-00000D3D0000}"/>
    <cellStyle name="40% - Ênfase6 11 2 3 2 2" xfId="15776" xr:uid="{00000000-0005-0000-0000-00000E3D0000}"/>
    <cellStyle name="40% - Ênfase6 11 2 3 3" xfId="15777" xr:uid="{00000000-0005-0000-0000-00000F3D0000}"/>
    <cellStyle name="40% - Ênfase6 11 2 3 3 2" xfId="15778" xr:uid="{00000000-0005-0000-0000-0000103D0000}"/>
    <cellStyle name="40% - Ênfase6 11 2 3 4" xfId="15779" xr:uid="{00000000-0005-0000-0000-0000113D0000}"/>
    <cellStyle name="40% - Ênfase6 11 2 4" xfId="15780" xr:uid="{00000000-0005-0000-0000-0000123D0000}"/>
    <cellStyle name="40% - Ênfase6 11 2 4 2" xfId="15781" xr:uid="{00000000-0005-0000-0000-0000133D0000}"/>
    <cellStyle name="40% - Ênfase6 11 2 4 2 2" xfId="15782" xr:uid="{00000000-0005-0000-0000-0000143D0000}"/>
    <cellStyle name="40% - Ênfase6 11 2 4 3" xfId="15783" xr:uid="{00000000-0005-0000-0000-0000153D0000}"/>
    <cellStyle name="40% - Ênfase6 11 2 5" xfId="15784" xr:uid="{00000000-0005-0000-0000-0000163D0000}"/>
    <cellStyle name="40% - Ênfase6 11 2 5 2" xfId="15785" xr:uid="{00000000-0005-0000-0000-0000173D0000}"/>
    <cellStyle name="40% - Ênfase6 11 2 6" xfId="15786" xr:uid="{00000000-0005-0000-0000-0000183D0000}"/>
    <cellStyle name="40% - Ênfase6 11 3" xfId="15787" xr:uid="{00000000-0005-0000-0000-0000193D0000}"/>
    <cellStyle name="40% - Ênfase6 11 3 2" xfId="15788" xr:uid="{00000000-0005-0000-0000-00001A3D0000}"/>
    <cellStyle name="40% - Ênfase6 11 3 2 2" xfId="15789" xr:uid="{00000000-0005-0000-0000-00001B3D0000}"/>
    <cellStyle name="40% - Ênfase6 11 3 2 2 2" xfId="15790" xr:uid="{00000000-0005-0000-0000-00001C3D0000}"/>
    <cellStyle name="40% - Ênfase6 11 3 2 3" xfId="15791" xr:uid="{00000000-0005-0000-0000-00001D3D0000}"/>
    <cellStyle name="40% - Ênfase6 11 3 2 3 2" xfId="15792" xr:uid="{00000000-0005-0000-0000-00001E3D0000}"/>
    <cellStyle name="40% - Ênfase6 11 3 2 4" xfId="15793" xr:uid="{00000000-0005-0000-0000-00001F3D0000}"/>
    <cellStyle name="40% - Ênfase6 11 3 3" xfId="15794" xr:uid="{00000000-0005-0000-0000-0000203D0000}"/>
    <cellStyle name="40% - Ênfase6 11 3 3 2" xfId="15795" xr:uid="{00000000-0005-0000-0000-0000213D0000}"/>
    <cellStyle name="40% - Ênfase6 11 3 4" xfId="15796" xr:uid="{00000000-0005-0000-0000-0000223D0000}"/>
    <cellStyle name="40% - Ênfase6 11 3 4 2" xfId="15797" xr:uid="{00000000-0005-0000-0000-0000233D0000}"/>
    <cellStyle name="40% - Ênfase6 11 3 5" xfId="15798" xr:uid="{00000000-0005-0000-0000-0000243D0000}"/>
    <cellStyle name="40% - Ênfase6 11 4" xfId="15799" xr:uid="{00000000-0005-0000-0000-0000253D0000}"/>
    <cellStyle name="40% - Ênfase6 11 4 2" xfId="15800" xr:uid="{00000000-0005-0000-0000-0000263D0000}"/>
    <cellStyle name="40% - Ênfase6 11 4 2 2" xfId="15801" xr:uid="{00000000-0005-0000-0000-0000273D0000}"/>
    <cellStyle name="40% - Ênfase6 11 4 3" xfId="15802" xr:uid="{00000000-0005-0000-0000-0000283D0000}"/>
    <cellStyle name="40% - Ênfase6 11 4 3 2" xfId="15803" xr:uid="{00000000-0005-0000-0000-0000293D0000}"/>
    <cellStyle name="40% - Ênfase6 11 4 4" xfId="15804" xr:uid="{00000000-0005-0000-0000-00002A3D0000}"/>
    <cellStyle name="40% - Ênfase6 11 5" xfId="15805" xr:uid="{00000000-0005-0000-0000-00002B3D0000}"/>
    <cellStyle name="40% - Ênfase6 11 5 2" xfId="15806" xr:uid="{00000000-0005-0000-0000-00002C3D0000}"/>
    <cellStyle name="40% - Ênfase6 11 5 2 2" xfId="15807" xr:uid="{00000000-0005-0000-0000-00002D3D0000}"/>
    <cellStyle name="40% - Ênfase6 11 5 3" xfId="15808" xr:uid="{00000000-0005-0000-0000-00002E3D0000}"/>
    <cellStyle name="40% - Ênfase6 11 6" xfId="15809" xr:uid="{00000000-0005-0000-0000-00002F3D0000}"/>
    <cellStyle name="40% - Ênfase6 11 6 2" xfId="15810" xr:uid="{00000000-0005-0000-0000-0000303D0000}"/>
    <cellStyle name="40% - Ênfase6 11 7" xfId="15811" xr:uid="{00000000-0005-0000-0000-0000313D0000}"/>
    <cellStyle name="40% - Ênfase6 12" xfId="15812" xr:uid="{00000000-0005-0000-0000-0000323D0000}"/>
    <cellStyle name="40% - Ênfase6 12 2" xfId="15813" xr:uid="{00000000-0005-0000-0000-0000333D0000}"/>
    <cellStyle name="40% - Ênfase6 12 2 2" xfId="15814" xr:uid="{00000000-0005-0000-0000-0000343D0000}"/>
    <cellStyle name="40% - Ênfase6 12 2 2 2" xfId="15815" xr:uid="{00000000-0005-0000-0000-0000353D0000}"/>
    <cellStyle name="40% - Ênfase6 12 2 2 2 2" xfId="15816" xr:uid="{00000000-0005-0000-0000-0000363D0000}"/>
    <cellStyle name="40% - Ênfase6 12 2 2 2 2 2" xfId="15817" xr:uid="{00000000-0005-0000-0000-0000373D0000}"/>
    <cellStyle name="40% - Ênfase6 12 2 2 2 3" xfId="15818" xr:uid="{00000000-0005-0000-0000-0000383D0000}"/>
    <cellStyle name="40% - Ênfase6 12 2 2 2 3 2" xfId="15819" xr:uid="{00000000-0005-0000-0000-0000393D0000}"/>
    <cellStyle name="40% - Ênfase6 12 2 2 2 4" xfId="15820" xr:uid="{00000000-0005-0000-0000-00003A3D0000}"/>
    <cellStyle name="40% - Ênfase6 12 2 2 3" xfId="15821" xr:uid="{00000000-0005-0000-0000-00003B3D0000}"/>
    <cellStyle name="40% - Ênfase6 12 2 2 3 2" xfId="15822" xr:uid="{00000000-0005-0000-0000-00003C3D0000}"/>
    <cellStyle name="40% - Ênfase6 12 2 2 4" xfId="15823" xr:uid="{00000000-0005-0000-0000-00003D3D0000}"/>
    <cellStyle name="40% - Ênfase6 12 2 2 4 2" xfId="15824" xr:uid="{00000000-0005-0000-0000-00003E3D0000}"/>
    <cellStyle name="40% - Ênfase6 12 2 2 5" xfId="15825" xr:uid="{00000000-0005-0000-0000-00003F3D0000}"/>
    <cellStyle name="40% - Ênfase6 12 2 3" xfId="15826" xr:uid="{00000000-0005-0000-0000-0000403D0000}"/>
    <cellStyle name="40% - Ênfase6 12 2 3 2" xfId="15827" xr:uid="{00000000-0005-0000-0000-0000413D0000}"/>
    <cellStyle name="40% - Ênfase6 12 2 3 2 2" xfId="15828" xr:uid="{00000000-0005-0000-0000-0000423D0000}"/>
    <cellStyle name="40% - Ênfase6 12 2 3 3" xfId="15829" xr:uid="{00000000-0005-0000-0000-0000433D0000}"/>
    <cellStyle name="40% - Ênfase6 12 2 3 3 2" xfId="15830" xr:uid="{00000000-0005-0000-0000-0000443D0000}"/>
    <cellStyle name="40% - Ênfase6 12 2 3 4" xfId="15831" xr:uid="{00000000-0005-0000-0000-0000453D0000}"/>
    <cellStyle name="40% - Ênfase6 12 2 4" xfId="15832" xr:uid="{00000000-0005-0000-0000-0000463D0000}"/>
    <cellStyle name="40% - Ênfase6 12 2 4 2" xfId="15833" xr:uid="{00000000-0005-0000-0000-0000473D0000}"/>
    <cellStyle name="40% - Ênfase6 12 2 4 2 2" xfId="15834" xr:uid="{00000000-0005-0000-0000-0000483D0000}"/>
    <cellStyle name="40% - Ênfase6 12 2 4 3" xfId="15835" xr:uid="{00000000-0005-0000-0000-0000493D0000}"/>
    <cellStyle name="40% - Ênfase6 12 2 5" xfId="15836" xr:uid="{00000000-0005-0000-0000-00004A3D0000}"/>
    <cellStyle name="40% - Ênfase6 12 2 5 2" xfId="15837" xr:uid="{00000000-0005-0000-0000-00004B3D0000}"/>
    <cellStyle name="40% - Ênfase6 12 2 6" xfId="15838" xr:uid="{00000000-0005-0000-0000-00004C3D0000}"/>
    <cellStyle name="40% - Ênfase6 12 3" xfId="15839" xr:uid="{00000000-0005-0000-0000-00004D3D0000}"/>
    <cellStyle name="40% - Ênfase6 12 3 2" xfId="15840" xr:uid="{00000000-0005-0000-0000-00004E3D0000}"/>
    <cellStyle name="40% - Ênfase6 12 3 2 2" xfId="15841" xr:uid="{00000000-0005-0000-0000-00004F3D0000}"/>
    <cellStyle name="40% - Ênfase6 12 3 2 2 2" xfId="15842" xr:uid="{00000000-0005-0000-0000-0000503D0000}"/>
    <cellStyle name="40% - Ênfase6 12 3 2 3" xfId="15843" xr:uid="{00000000-0005-0000-0000-0000513D0000}"/>
    <cellStyle name="40% - Ênfase6 12 3 2 3 2" xfId="15844" xr:uid="{00000000-0005-0000-0000-0000523D0000}"/>
    <cellStyle name="40% - Ênfase6 12 3 2 4" xfId="15845" xr:uid="{00000000-0005-0000-0000-0000533D0000}"/>
    <cellStyle name="40% - Ênfase6 12 3 3" xfId="15846" xr:uid="{00000000-0005-0000-0000-0000543D0000}"/>
    <cellStyle name="40% - Ênfase6 12 3 3 2" xfId="15847" xr:uid="{00000000-0005-0000-0000-0000553D0000}"/>
    <cellStyle name="40% - Ênfase6 12 3 4" xfId="15848" xr:uid="{00000000-0005-0000-0000-0000563D0000}"/>
    <cellStyle name="40% - Ênfase6 12 3 4 2" xfId="15849" xr:uid="{00000000-0005-0000-0000-0000573D0000}"/>
    <cellStyle name="40% - Ênfase6 12 3 5" xfId="15850" xr:uid="{00000000-0005-0000-0000-0000583D0000}"/>
    <cellStyle name="40% - Ênfase6 12 4" xfId="15851" xr:uid="{00000000-0005-0000-0000-0000593D0000}"/>
    <cellStyle name="40% - Ênfase6 12 4 2" xfId="15852" xr:uid="{00000000-0005-0000-0000-00005A3D0000}"/>
    <cellStyle name="40% - Ênfase6 12 4 2 2" xfId="15853" xr:uid="{00000000-0005-0000-0000-00005B3D0000}"/>
    <cellStyle name="40% - Ênfase6 12 4 3" xfId="15854" xr:uid="{00000000-0005-0000-0000-00005C3D0000}"/>
    <cellStyle name="40% - Ênfase6 12 4 3 2" xfId="15855" xr:uid="{00000000-0005-0000-0000-00005D3D0000}"/>
    <cellStyle name="40% - Ênfase6 12 4 4" xfId="15856" xr:uid="{00000000-0005-0000-0000-00005E3D0000}"/>
    <cellStyle name="40% - Ênfase6 12 5" xfId="15857" xr:uid="{00000000-0005-0000-0000-00005F3D0000}"/>
    <cellStyle name="40% - Ênfase6 12 5 2" xfId="15858" xr:uid="{00000000-0005-0000-0000-0000603D0000}"/>
    <cellStyle name="40% - Ênfase6 12 5 2 2" xfId="15859" xr:uid="{00000000-0005-0000-0000-0000613D0000}"/>
    <cellStyle name="40% - Ênfase6 12 5 3" xfId="15860" xr:uid="{00000000-0005-0000-0000-0000623D0000}"/>
    <cellStyle name="40% - Ênfase6 12 6" xfId="15861" xr:uid="{00000000-0005-0000-0000-0000633D0000}"/>
    <cellStyle name="40% - Ênfase6 12 6 2" xfId="15862" xr:uid="{00000000-0005-0000-0000-0000643D0000}"/>
    <cellStyle name="40% - Ênfase6 12 7" xfId="15863" xr:uid="{00000000-0005-0000-0000-0000653D0000}"/>
    <cellStyle name="40% - Ênfase6 13" xfId="15864" xr:uid="{00000000-0005-0000-0000-0000663D0000}"/>
    <cellStyle name="40% - Ênfase6 13 2" xfId="15865" xr:uid="{00000000-0005-0000-0000-0000673D0000}"/>
    <cellStyle name="40% - Ênfase6 13 2 2" xfId="15866" xr:uid="{00000000-0005-0000-0000-0000683D0000}"/>
    <cellStyle name="40% - Ênfase6 13 2 2 2" xfId="15867" xr:uid="{00000000-0005-0000-0000-0000693D0000}"/>
    <cellStyle name="40% - Ênfase6 13 2 2 2 2" xfId="15868" xr:uid="{00000000-0005-0000-0000-00006A3D0000}"/>
    <cellStyle name="40% - Ênfase6 13 2 2 2 2 2" xfId="15869" xr:uid="{00000000-0005-0000-0000-00006B3D0000}"/>
    <cellStyle name="40% - Ênfase6 13 2 2 2 3" xfId="15870" xr:uid="{00000000-0005-0000-0000-00006C3D0000}"/>
    <cellStyle name="40% - Ênfase6 13 2 2 2 3 2" xfId="15871" xr:uid="{00000000-0005-0000-0000-00006D3D0000}"/>
    <cellStyle name="40% - Ênfase6 13 2 2 2 4" xfId="15872" xr:uid="{00000000-0005-0000-0000-00006E3D0000}"/>
    <cellStyle name="40% - Ênfase6 13 2 2 3" xfId="15873" xr:uid="{00000000-0005-0000-0000-00006F3D0000}"/>
    <cellStyle name="40% - Ênfase6 13 2 2 3 2" xfId="15874" xr:uid="{00000000-0005-0000-0000-0000703D0000}"/>
    <cellStyle name="40% - Ênfase6 13 2 2 4" xfId="15875" xr:uid="{00000000-0005-0000-0000-0000713D0000}"/>
    <cellStyle name="40% - Ênfase6 13 2 2 4 2" xfId="15876" xr:uid="{00000000-0005-0000-0000-0000723D0000}"/>
    <cellStyle name="40% - Ênfase6 13 2 2 5" xfId="15877" xr:uid="{00000000-0005-0000-0000-0000733D0000}"/>
    <cellStyle name="40% - Ênfase6 13 2 3" xfId="15878" xr:uid="{00000000-0005-0000-0000-0000743D0000}"/>
    <cellStyle name="40% - Ênfase6 13 2 3 2" xfId="15879" xr:uid="{00000000-0005-0000-0000-0000753D0000}"/>
    <cellStyle name="40% - Ênfase6 13 2 3 2 2" xfId="15880" xr:uid="{00000000-0005-0000-0000-0000763D0000}"/>
    <cellStyle name="40% - Ênfase6 13 2 3 3" xfId="15881" xr:uid="{00000000-0005-0000-0000-0000773D0000}"/>
    <cellStyle name="40% - Ênfase6 13 2 3 3 2" xfId="15882" xr:uid="{00000000-0005-0000-0000-0000783D0000}"/>
    <cellStyle name="40% - Ênfase6 13 2 3 4" xfId="15883" xr:uid="{00000000-0005-0000-0000-0000793D0000}"/>
    <cellStyle name="40% - Ênfase6 13 2 4" xfId="15884" xr:uid="{00000000-0005-0000-0000-00007A3D0000}"/>
    <cellStyle name="40% - Ênfase6 13 2 4 2" xfId="15885" xr:uid="{00000000-0005-0000-0000-00007B3D0000}"/>
    <cellStyle name="40% - Ênfase6 13 2 4 2 2" xfId="15886" xr:uid="{00000000-0005-0000-0000-00007C3D0000}"/>
    <cellStyle name="40% - Ênfase6 13 2 4 3" xfId="15887" xr:uid="{00000000-0005-0000-0000-00007D3D0000}"/>
    <cellStyle name="40% - Ênfase6 13 2 5" xfId="15888" xr:uid="{00000000-0005-0000-0000-00007E3D0000}"/>
    <cellStyle name="40% - Ênfase6 13 2 5 2" xfId="15889" xr:uid="{00000000-0005-0000-0000-00007F3D0000}"/>
    <cellStyle name="40% - Ênfase6 13 2 6" xfId="15890" xr:uid="{00000000-0005-0000-0000-0000803D0000}"/>
    <cellStyle name="40% - Ênfase6 13 3" xfId="15891" xr:uid="{00000000-0005-0000-0000-0000813D0000}"/>
    <cellStyle name="40% - Ênfase6 13 3 2" xfId="15892" xr:uid="{00000000-0005-0000-0000-0000823D0000}"/>
    <cellStyle name="40% - Ênfase6 13 3 2 2" xfId="15893" xr:uid="{00000000-0005-0000-0000-0000833D0000}"/>
    <cellStyle name="40% - Ênfase6 13 3 2 2 2" xfId="15894" xr:uid="{00000000-0005-0000-0000-0000843D0000}"/>
    <cellStyle name="40% - Ênfase6 13 3 2 3" xfId="15895" xr:uid="{00000000-0005-0000-0000-0000853D0000}"/>
    <cellStyle name="40% - Ênfase6 13 3 2 3 2" xfId="15896" xr:uid="{00000000-0005-0000-0000-0000863D0000}"/>
    <cellStyle name="40% - Ênfase6 13 3 2 4" xfId="15897" xr:uid="{00000000-0005-0000-0000-0000873D0000}"/>
    <cellStyle name="40% - Ênfase6 13 3 3" xfId="15898" xr:uid="{00000000-0005-0000-0000-0000883D0000}"/>
    <cellStyle name="40% - Ênfase6 13 3 3 2" xfId="15899" xr:uid="{00000000-0005-0000-0000-0000893D0000}"/>
    <cellStyle name="40% - Ênfase6 13 3 4" xfId="15900" xr:uid="{00000000-0005-0000-0000-00008A3D0000}"/>
    <cellStyle name="40% - Ênfase6 13 3 4 2" xfId="15901" xr:uid="{00000000-0005-0000-0000-00008B3D0000}"/>
    <cellStyle name="40% - Ênfase6 13 3 5" xfId="15902" xr:uid="{00000000-0005-0000-0000-00008C3D0000}"/>
    <cellStyle name="40% - Ênfase6 13 4" xfId="15903" xr:uid="{00000000-0005-0000-0000-00008D3D0000}"/>
    <cellStyle name="40% - Ênfase6 13 4 2" xfId="15904" xr:uid="{00000000-0005-0000-0000-00008E3D0000}"/>
    <cellStyle name="40% - Ênfase6 13 4 2 2" xfId="15905" xr:uid="{00000000-0005-0000-0000-00008F3D0000}"/>
    <cellStyle name="40% - Ênfase6 13 4 3" xfId="15906" xr:uid="{00000000-0005-0000-0000-0000903D0000}"/>
    <cellStyle name="40% - Ênfase6 13 4 3 2" xfId="15907" xr:uid="{00000000-0005-0000-0000-0000913D0000}"/>
    <cellStyle name="40% - Ênfase6 13 4 4" xfId="15908" xr:uid="{00000000-0005-0000-0000-0000923D0000}"/>
    <cellStyle name="40% - Ênfase6 13 5" xfId="15909" xr:uid="{00000000-0005-0000-0000-0000933D0000}"/>
    <cellStyle name="40% - Ênfase6 13 5 2" xfId="15910" xr:uid="{00000000-0005-0000-0000-0000943D0000}"/>
    <cellStyle name="40% - Ênfase6 13 5 2 2" xfId="15911" xr:uid="{00000000-0005-0000-0000-0000953D0000}"/>
    <cellStyle name="40% - Ênfase6 13 5 3" xfId="15912" xr:uid="{00000000-0005-0000-0000-0000963D0000}"/>
    <cellStyle name="40% - Ênfase6 13 6" xfId="15913" xr:uid="{00000000-0005-0000-0000-0000973D0000}"/>
    <cellStyle name="40% - Ênfase6 13 6 2" xfId="15914" xr:uid="{00000000-0005-0000-0000-0000983D0000}"/>
    <cellStyle name="40% - Ênfase6 13 7" xfId="15915" xr:uid="{00000000-0005-0000-0000-0000993D0000}"/>
    <cellStyle name="40% - Ênfase6 14" xfId="15916" xr:uid="{00000000-0005-0000-0000-00009A3D0000}"/>
    <cellStyle name="40% - Ênfase6 14 2" xfId="15917" xr:uid="{00000000-0005-0000-0000-00009B3D0000}"/>
    <cellStyle name="40% - Ênfase6 14 2 2" xfId="15918" xr:uid="{00000000-0005-0000-0000-00009C3D0000}"/>
    <cellStyle name="40% - Ênfase6 14 2 2 2" xfId="15919" xr:uid="{00000000-0005-0000-0000-00009D3D0000}"/>
    <cellStyle name="40% - Ênfase6 14 2 2 2 2" xfId="15920" xr:uid="{00000000-0005-0000-0000-00009E3D0000}"/>
    <cellStyle name="40% - Ênfase6 14 2 2 2 2 2" xfId="15921" xr:uid="{00000000-0005-0000-0000-00009F3D0000}"/>
    <cellStyle name="40% - Ênfase6 14 2 2 2 3" xfId="15922" xr:uid="{00000000-0005-0000-0000-0000A03D0000}"/>
    <cellStyle name="40% - Ênfase6 14 2 2 2 3 2" xfId="15923" xr:uid="{00000000-0005-0000-0000-0000A13D0000}"/>
    <cellStyle name="40% - Ênfase6 14 2 2 2 4" xfId="15924" xr:uid="{00000000-0005-0000-0000-0000A23D0000}"/>
    <cellStyle name="40% - Ênfase6 14 2 2 3" xfId="15925" xr:uid="{00000000-0005-0000-0000-0000A33D0000}"/>
    <cellStyle name="40% - Ênfase6 14 2 2 3 2" xfId="15926" xr:uid="{00000000-0005-0000-0000-0000A43D0000}"/>
    <cellStyle name="40% - Ênfase6 14 2 2 4" xfId="15927" xr:uid="{00000000-0005-0000-0000-0000A53D0000}"/>
    <cellStyle name="40% - Ênfase6 14 2 2 4 2" xfId="15928" xr:uid="{00000000-0005-0000-0000-0000A63D0000}"/>
    <cellStyle name="40% - Ênfase6 14 2 2 5" xfId="15929" xr:uid="{00000000-0005-0000-0000-0000A73D0000}"/>
    <cellStyle name="40% - Ênfase6 14 2 3" xfId="15930" xr:uid="{00000000-0005-0000-0000-0000A83D0000}"/>
    <cellStyle name="40% - Ênfase6 14 2 3 2" xfId="15931" xr:uid="{00000000-0005-0000-0000-0000A93D0000}"/>
    <cellStyle name="40% - Ênfase6 14 2 3 2 2" xfId="15932" xr:uid="{00000000-0005-0000-0000-0000AA3D0000}"/>
    <cellStyle name="40% - Ênfase6 14 2 3 3" xfId="15933" xr:uid="{00000000-0005-0000-0000-0000AB3D0000}"/>
    <cellStyle name="40% - Ênfase6 14 2 3 3 2" xfId="15934" xr:uid="{00000000-0005-0000-0000-0000AC3D0000}"/>
    <cellStyle name="40% - Ênfase6 14 2 3 4" xfId="15935" xr:uid="{00000000-0005-0000-0000-0000AD3D0000}"/>
    <cellStyle name="40% - Ênfase6 14 2 4" xfId="15936" xr:uid="{00000000-0005-0000-0000-0000AE3D0000}"/>
    <cellStyle name="40% - Ênfase6 14 2 4 2" xfId="15937" xr:uid="{00000000-0005-0000-0000-0000AF3D0000}"/>
    <cellStyle name="40% - Ênfase6 14 2 4 2 2" xfId="15938" xr:uid="{00000000-0005-0000-0000-0000B03D0000}"/>
    <cellStyle name="40% - Ênfase6 14 2 4 3" xfId="15939" xr:uid="{00000000-0005-0000-0000-0000B13D0000}"/>
    <cellStyle name="40% - Ênfase6 14 2 5" xfId="15940" xr:uid="{00000000-0005-0000-0000-0000B23D0000}"/>
    <cellStyle name="40% - Ênfase6 14 2 5 2" xfId="15941" xr:uid="{00000000-0005-0000-0000-0000B33D0000}"/>
    <cellStyle name="40% - Ênfase6 14 2 6" xfId="15942" xr:uid="{00000000-0005-0000-0000-0000B43D0000}"/>
    <cellStyle name="40% - Ênfase6 14 3" xfId="15943" xr:uid="{00000000-0005-0000-0000-0000B53D0000}"/>
    <cellStyle name="40% - Ênfase6 14 3 2" xfId="15944" xr:uid="{00000000-0005-0000-0000-0000B63D0000}"/>
    <cellStyle name="40% - Ênfase6 14 3 2 2" xfId="15945" xr:uid="{00000000-0005-0000-0000-0000B73D0000}"/>
    <cellStyle name="40% - Ênfase6 14 3 2 2 2" xfId="15946" xr:uid="{00000000-0005-0000-0000-0000B83D0000}"/>
    <cellStyle name="40% - Ênfase6 14 3 2 3" xfId="15947" xr:uid="{00000000-0005-0000-0000-0000B93D0000}"/>
    <cellStyle name="40% - Ênfase6 14 3 2 3 2" xfId="15948" xr:uid="{00000000-0005-0000-0000-0000BA3D0000}"/>
    <cellStyle name="40% - Ênfase6 14 3 2 4" xfId="15949" xr:uid="{00000000-0005-0000-0000-0000BB3D0000}"/>
    <cellStyle name="40% - Ênfase6 14 3 3" xfId="15950" xr:uid="{00000000-0005-0000-0000-0000BC3D0000}"/>
    <cellStyle name="40% - Ênfase6 14 3 3 2" xfId="15951" xr:uid="{00000000-0005-0000-0000-0000BD3D0000}"/>
    <cellStyle name="40% - Ênfase6 14 3 4" xfId="15952" xr:uid="{00000000-0005-0000-0000-0000BE3D0000}"/>
    <cellStyle name="40% - Ênfase6 14 3 4 2" xfId="15953" xr:uid="{00000000-0005-0000-0000-0000BF3D0000}"/>
    <cellStyle name="40% - Ênfase6 14 3 5" xfId="15954" xr:uid="{00000000-0005-0000-0000-0000C03D0000}"/>
    <cellStyle name="40% - Ênfase6 14 4" xfId="15955" xr:uid="{00000000-0005-0000-0000-0000C13D0000}"/>
    <cellStyle name="40% - Ênfase6 14 4 2" xfId="15956" xr:uid="{00000000-0005-0000-0000-0000C23D0000}"/>
    <cellStyle name="40% - Ênfase6 14 4 2 2" xfId="15957" xr:uid="{00000000-0005-0000-0000-0000C33D0000}"/>
    <cellStyle name="40% - Ênfase6 14 4 3" xfId="15958" xr:uid="{00000000-0005-0000-0000-0000C43D0000}"/>
    <cellStyle name="40% - Ênfase6 14 4 3 2" xfId="15959" xr:uid="{00000000-0005-0000-0000-0000C53D0000}"/>
    <cellStyle name="40% - Ênfase6 14 4 4" xfId="15960" xr:uid="{00000000-0005-0000-0000-0000C63D0000}"/>
    <cellStyle name="40% - Ênfase6 14 5" xfId="15961" xr:uid="{00000000-0005-0000-0000-0000C73D0000}"/>
    <cellStyle name="40% - Ênfase6 14 5 2" xfId="15962" xr:uid="{00000000-0005-0000-0000-0000C83D0000}"/>
    <cellStyle name="40% - Ênfase6 14 5 2 2" xfId="15963" xr:uid="{00000000-0005-0000-0000-0000C93D0000}"/>
    <cellStyle name="40% - Ênfase6 14 5 3" xfId="15964" xr:uid="{00000000-0005-0000-0000-0000CA3D0000}"/>
    <cellStyle name="40% - Ênfase6 14 6" xfId="15965" xr:uid="{00000000-0005-0000-0000-0000CB3D0000}"/>
    <cellStyle name="40% - Ênfase6 14 6 2" xfId="15966" xr:uid="{00000000-0005-0000-0000-0000CC3D0000}"/>
    <cellStyle name="40% - Ênfase6 14 7" xfId="15967" xr:uid="{00000000-0005-0000-0000-0000CD3D0000}"/>
    <cellStyle name="40% - Ênfase6 15" xfId="15968" xr:uid="{00000000-0005-0000-0000-0000CE3D0000}"/>
    <cellStyle name="40% - Ênfase6 15 2" xfId="15969" xr:uid="{00000000-0005-0000-0000-0000CF3D0000}"/>
    <cellStyle name="40% - Ênfase6 15 2 2" xfId="15970" xr:uid="{00000000-0005-0000-0000-0000D03D0000}"/>
    <cellStyle name="40% - Ênfase6 15 2 2 2" xfId="15971" xr:uid="{00000000-0005-0000-0000-0000D13D0000}"/>
    <cellStyle name="40% - Ênfase6 15 2 2 2 2" xfId="15972" xr:uid="{00000000-0005-0000-0000-0000D23D0000}"/>
    <cellStyle name="40% - Ênfase6 15 2 2 3" xfId="15973" xr:uid="{00000000-0005-0000-0000-0000D33D0000}"/>
    <cellStyle name="40% - Ênfase6 15 2 2 3 2" xfId="15974" xr:uid="{00000000-0005-0000-0000-0000D43D0000}"/>
    <cellStyle name="40% - Ênfase6 15 2 2 4" xfId="15975" xr:uid="{00000000-0005-0000-0000-0000D53D0000}"/>
    <cellStyle name="40% - Ênfase6 15 2 3" xfId="15976" xr:uid="{00000000-0005-0000-0000-0000D63D0000}"/>
    <cellStyle name="40% - Ênfase6 15 2 3 2" xfId="15977" xr:uid="{00000000-0005-0000-0000-0000D73D0000}"/>
    <cellStyle name="40% - Ênfase6 15 2 4" xfId="15978" xr:uid="{00000000-0005-0000-0000-0000D83D0000}"/>
    <cellStyle name="40% - Ênfase6 15 2 4 2" xfId="15979" xr:uid="{00000000-0005-0000-0000-0000D93D0000}"/>
    <cellStyle name="40% - Ênfase6 15 2 5" xfId="15980" xr:uid="{00000000-0005-0000-0000-0000DA3D0000}"/>
    <cellStyle name="40% - Ênfase6 15 3" xfId="15981" xr:uid="{00000000-0005-0000-0000-0000DB3D0000}"/>
    <cellStyle name="40% - Ênfase6 15 3 2" xfId="15982" xr:uid="{00000000-0005-0000-0000-0000DC3D0000}"/>
    <cellStyle name="40% - Ênfase6 15 3 2 2" xfId="15983" xr:uid="{00000000-0005-0000-0000-0000DD3D0000}"/>
    <cellStyle name="40% - Ênfase6 15 3 3" xfId="15984" xr:uid="{00000000-0005-0000-0000-0000DE3D0000}"/>
    <cellStyle name="40% - Ênfase6 15 3 3 2" xfId="15985" xr:uid="{00000000-0005-0000-0000-0000DF3D0000}"/>
    <cellStyle name="40% - Ênfase6 15 3 4" xfId="15986" xr:uid="{00000000-0005-0000-0000-0000E03D0000}"/>
    <cellStyle name="40% - Ênfase6 15 4" xfId="15987" xr:uid="{00000000-0005-0000-0000-0000E13D0000}"/>
    <cellStyle name="40% - Ênfase6 15 4 2" xfId="15988" xr:uid="{00000000-0005-0000-0000-0000E23D0000}"/>
    <cellStyle name="40% - Ênfase6 15 4 2 2" xfId="15989" xr:uid="{00000000-0005-0000-0000-0000E33D0000}"/>
    <cellStyle name="40% - Ênfase6 15 4 3" xfId="15990" xr:uid="{00000000-0005-0000-0000-0000E43D0000}"/>
    <cellStyle name="40% - Ênfase6 15 5" xfId="15991" xr:uid="{00000000-0005-0000-0000-0000E53D0000}"/>
    <cellStyle name="40% - Ênfase6 15 5 2" xfId="15992" xr:uid="{00000000-0005-0000-0000-0000E63D0000}"/>
    <cellStyle name="40% - Ênfase6 15 6" xfId="15993" xr:uid="{00000000-0005-0000-0000-0000E73D0000}"/>
    <cellStyle name="40% - Ênfase6 16" xfId="15994" xr:uid="{00000000-0005-0000-0000-0000E83D0000}"/>
    <cellStyle name="40% - Ênfase6 16 2" xfId="15995" xr:uid="{00000000-0005-0000-0000-0000E93D0000}"/>
    <cellStyle name="40% - Ênfase6 16 2 2" xfId="15996" xr:uid="{00000000-0005-0000-0000-0000EA3D0000}"/>
    <cellStyle name="40% - Ênfase6 16 2 2 2" xfId="15997" xr:uid="{00000000-0005-0000-0000-0000EB3D0000}"/>
    <cellStyle name="40% - Ênfase6 16 2 3" xfId="15998" xr:uid="{00000000-0005-0000-0000-0000EC3D0000}"/>
    <cellStyle name="40% - Ênfase6 16 2 3 2" xfId="15999" xr:uid="{00000000-0005-0000-0000-0000ED3D0000}"/>
    <cellStyle name="40% - Ênfase6 16 2 4" xfId="16000" xr:uid="{00000000-0005-0000-0000-0000EE3D0000}"/>
    <cellStyle name="40% - Ênfase6 16 3" xfId="16001" xr:uid="{00000000-0005-0000-0000-0000EF3D0000}"/>
    <cellStyle name="40% - Ênfase6 16 3 2" xfId="16002" xr:uid="{00000000-0005-0000-0000-0000F03D0000}"/>
    <cellStyle name="40% - Ênfase6 16 3 2 2" xfId="16003" xr:uid="{00000000-0005-0000-0000-0000F13D0000}"/>
    <cellStyle name="40% - Ênfase6 16 3 3" xfId="16004" xr:uid="{00000000-0005-0000-0000-0000F23D0000}"/>
    <cellStyle name="40% - Ênfase6 16 3 3 2" xfId="16005" xr:uid="{00000000-0005-0000-0000-0000F33D0000}"/>
    <cellStyle name="40% - Ênfase6 16 3 4" xfId="16006" xr:uid="{00000000-0005-0000-0000-0000F43D0000}"/>
    <cellStyle name="40% - Ênfase6 16 4" xfId="16007" xr:uid="{00000000-0005-0000-0000-0000F53D0000}"/>
    <cellStyle name="40% - Ênfase6 16 4 2" xfId="16008" xr:uid="{00000000-0005-0000-0000-0000F63D0000}"/>
    <cellStyle name="40% - Ênfase6 16 5" xfId="16009" xr:uid="{00000000-0005-0000-0000-0000F73D0000}"/>
    <cellStyle name="40% - Ênfase6 16 5 2" xfId="16010" xr:uid="{00000000-0005-0000-0000-0000F83D0000}"/>
    <cellStyle name="40% - Ênfase6 16 6" xfId="16011" xr:uid="{00000000-0005-0000-0000-0000F93D0000}"/>
    <cellStyle name="40% - Ênfase6 17" xfId="16012" xr:uid="{00000000-0005-0000-0000-0000FA3D0000}"/>
    <cellStyle name="40% - Ênfase6 17 2" xfId="16013" xr:uid="{00000000-0005-0000-0000-0000FB3D0000}"/>
    <cellStyle name="40% - Ênfase6 17 2 2" xfId="16014" xr:uid="{00000000-0005-0000-0000-0000FC3D0000}"/>
    <cellStyle name="40% - Ênfase6 17 2 2 2" xfId="16015" xr:uid="{00000000-0005-0000-0000-0000FD3D0000}"/>
    <cellStyle name="40% - Ênfase6 17 2 3" xfId="16016" xr:uid="{00000000-0005-0000-0000-0000FE3D0000}"/>
    <cellStyle name="40% - Ênfase6 17 2 3 2" xfId="16017" xr:uid="{00000000-0005-0000-0000-0000FF3D0000}"/>
    <cellStyle name="40% - Ênfase6 17 2 4" xfId="16018" xr:uid="{00000000-0005-0000-0000-0000003E0000}"/>
    <cellStyle name="40% - Ênfase6 17 3" xfId="16019" xr:uid="{00000000-0005-0000-0000-0000013E0000}"/>
    <cellStyle name="40% - Ênfase6 17 3 2" xfId="16020" xr:uid="{00000000-0005-0000-0000-0000023E0000}"/>
    <cellStyle name="40% - Ênfase6 17 3 2 2" xfId="16021" xr:uid="{00000000-0005-0000-0000-0000033E0000}"/>
    <cellStyle name="40% - Ênfase6 17 3 3" xfId="16022" xr:uid="{00000000-0005-0000-0000-0000043E0000}"/>
    <cellStyle name="40% - Ênfase6 17 3 3 2" xfId="16023" xr:uid="{00000000-0005-0000-0000-0000053E0000}"/>
    <cellStyle name="40% - Ênfase6 17 3 4" xfId="16024" xr:uid="{00000000-0005-0000-0000-0000063E0000}"/>
    <cellStyle name="40% - Ênfase6 17 4" xfId="16025" xr:uid="{00000000-0005-0000-0000-0000073E0000}"/>
    <cellStyle name="40% - Ênfase6 17 4 2" xfId="16026" xr:uid="{00000000-0005-0000-0000-0000083E0000}"/>
    <cellStyle name="40% - Ênfase6 17 5" xfId="16027" xr:uid="{00000000-0005-0000-0000-0000093E0000}"/>
    <cellStyle name="40% - Ênfase6 17 5 2" xfId="16028" xr:uid="{00000000-0005-0000-0000-00000A3E0000}"/>
    <cellStyle name="40% - Ênfase6 17 6" xfId="16029" xr:uid="{00000000-0005-0000-0000-00000B3E0000}"/>
    <cellStyle name="40% - Ênfase6 18" xfId="16030" xr:uid="{00000000-0005-0000-0000-00000C3E0000}"/>
    <cellStyle name="40% - Ênfase6 18 2" xfId="16031" xr:uid="{00000000-0005-0000-0000-00000D3E0000}"/>
    <cellStyle name="40% - Ênfase6 18 2 2" xfId="16032" xr:uid="{00000000-0005-0000-0000-00000E3E0000}"/>
    <cellStyle name="40% - Ênfase6 18 3" xfId="16033" xr:uid="{00000000-0005-0000-0000-00000F3E0000}"/>
    <cellStyle name="40% - Ênfase6 18 3 2" xfId="16034" xr:uid="{00000000-0005-0000-0000-0000103E0000}"/>
    <cellStyle name="40% - Ênfase6 18 4" xfId="16035" xr:uid="{00000000-0005-0000-0000-0000113E0000}"/>
    <cellStyle name="40% - Ênfase6 19" xfId="16036" xr:uid="{00000000-0005-0000-0000-0000123E0000}"/>
    <cellStyle name="40% - Ênfase6 19 2" xfId="16037" xr:uid="{00000000-0005-0000-0000-0000133E0000}"/>
    <cellStyle name="40% - Ênfase6 19 2 2" xfId="16038" xr:uid="{00000000-0005-0000-0000-0000143E0000}"/>
    <cellStyle name="40% - Ênfase6 19 3" xfId="16039" xr:uid="{00000000-0005-0000-0000-0000153E0000}"/>
    <cellStyle name="40% - Ênfase6 2" xfId="16040" xr:uid="{00000000-0005-0000-0000-0000163E0000}"/>
    <cellStyle name="40% - Ênfase6 2 10" xfId="16041" xr:uid="{00000000-0005-0000-0000-0000173E0000}"/>
    <cellStyle name="40% - Ênfase6 2 10 2" xfId="16042" xr:uid="{00000000-0005-0000-0000-0000183E0000}"/>
    <cellStyle name="40% - Ênfase6 2 10 2 2" xfId="16043" xr:uid="{00000000-0005-0000-0000-0000193E0000}"/>
    <cellStyle name="40% - Ênfase6 2 10 3" xfId="16044" xr:uid="{00000000-0005-0000-0000-00001A3E0000}"/>
    <cellStyle name="40% - Ênfase6 2 10 3 2" xfId="16045" xr:uid="{00000000-0005-0000-0000-00001B3E0000}"/>
    <cellStyle name="40% - Ênfase6 2 10 4" xfId="16046" xr:uid="{00000000-0005-0000-0000-00001C3E0000}"/>
    <cellStyle name="40% - Ênfase6 2 11" xfId="16047" xr:uid="{00000000-0005-0000-0000-00001D3E0000}"/>
    <cellStyle name="40% - Ênfase6 2 11 2" xfId="16048" xr:uid="{00000000-0005-0000-0000-00001E3E0000}"/>
    <cellStyle name="40% - Ênfase6 2 11 2 2" xfId="16049" xr:uid="{00000000-0005-0000-0000-00001F3E0000}"/>
    <cellStyle name="40% - Ênfase6 2 11 3" xfId="16050" xr:uid="{00000000-0005-0000-0000-0000203E0000}"/>
    <cellStyle name="40% - Ênfase6 2 12" xfId="16051" xr:uid="{00000000-0005-0000-0000-0000213E0000}"/>
    <cellStyle name="40% - Ênfase6 2 12 2" xfId="16052" xr:uid="{00000000-0005-0000-0000-0000223E0000}"/>
    <cellStyle name="40% - Ênfase6 2 12 2 2" xfId="16053" xr:uid="{00000000-0005-0000-0000-0000233E0000}"/>
    <cellStyle name="40% - Ênfase6 2 12 3" xfId="16054" xr:uid="{00000000-0005-0000-0000-0000243E0000}"/>
    <cellStyle name="40% - Ênfase6 2 13" xfId="16055" xr:uid="{00000000-0005-0000-0000-0000253E0000}"/>
    <cellStyle name="40% - Ênfase6 2 13 2" xfId="16056" xr:uid="{00000000-0005-0000-0000-0000263E0000}"/>
    <cellStyle name="40% - Ênfase6 2 13 2 2" xfId="16057" xr:uid="{00000000-0005-0000-0000-0000273E0000}"/>
    <cellStyle name="40% - Ênfase6 2 13 3" xfId="16058" xr:uid="{00000000-0005-0000-0000-0000283E0000}"/>
    <cellStyle name="40% - Ênfase6 2 14" xfId="16059" xr:uid="{00000000-0005-0000-0000-0000293E0000}"/>
    <cellStyle name="40% - Ênfase6 2 14 2" xfId="16060" xr:uid="{00000000-0005-0000-0000-00002A3E0000}"/>
    <cellStyle name="40% - Ênfase6 2 14 2 2" xfId="16061" xr:uid="{00000000-0005-0000-0000-00002B3E0000}"/>
    <cellStyle name="40% - Ênfase6 2 14 3" xfId="16062" xr:uid="{00000000-0005-0000-0000-00002C3E0000}"/>
    <cellStyle name="40% - Ênfase6 2 15" xfId="16063" xr:uid="{00000000-0005-0000-0000-00002D3E0000}"/>
    <cellStyle name="40% - Ênfase6 2 15 2" xfId="16064" xr:uid="{00000000-0005-0000-0000-00002E3E0000}"/>
    <cellStyle name="40% - Ênfase6 2 16" xfId="16065" xr:uid="{00000000-0005-0000-0000-00002F3E0000}"/>
    <cellStyle name="40% - Ênfase6 2 2" xfId="16066" xr:uid="{00000000-0005-0000-0000-0000303E0000}"/>
    <cellStyle name="40% - Ênfase6 2 2 10" xfId="16067" xr:uid="{00000000-0005-0000-0000-0000313E0000}"/>
    <cellStyle name="40% - Ênfase6 2 2 10 2" xfId="16068" xr:uid="{00000000-0005-0000-0000-0000323E0000}"/>
    <cellStyle name="40% - Ênfase6 2 2 11" xfId="16069" xr:uid="{00000000-0005-0000-0000-0000333E0000}"/>
    <cellStyle name="40% - Ênfase6 2 2 2" xfId="16070" xr:uid="{00000000-0005-0000-0000-0000343E0000}"/>
    <cellStyle name="40% - Ênfase6 2 2 2 2" xfId="16071" xr:uid="{00000000-0005-0000-0000-0000353E0000}"/>
    <cellStyle name="40% - Ênfase6 2 2 2 2 2" xfId="16072" xr:uid="{00000000-0005-0000-0000-0000363E0000}"/>
    <cellStyle name="40% - Ênfase6 2 2 2 2 2 2" xfId="16073" xr:uid="{00000000-0005-0000-0000-0000373E0000}"/>
    <cellStyle name="40% - Ênfase6 2 2 2 2 2 2 2" xfId="16074" xr:uid="{00000000-0005-0000-0000-0000383E0000}"/>
    <cellStyle name="40% - Ênfase6 2 2 2 2 2 3" xfId="16075" xr:uid="{00000000-0005-0000-0000-0000393E0000}"/>
    <cellStyle name="40% - Ênfase6 2 2 2 2 2 3 2" xfId="16076" xr:uid="{00000000-0005-0000-0000-00003A3E0000}"/>
    <cellStyle name="40% - Ênfase6 2 2 2 2 2 4" xfId="16077" xr:uid="{00000000-0005-0000-0000-00003B3E0000}"/>
    <cellStyle name="40% - Ênfase6 2 2 2 2 3" xfId="16078" xr:uid="{00000000-0005-0000-0000-00003C3E0000}"/>
    <cellStyle name="40% - Ênfase6 2 2 2 2 3 2" xfId="16079" xr:uid="{00000000-0005-0000-0000-00003D3E0000}"/>
    <cellStyle name="40% - Ênfase6 2 2 2 2 3 2 2" xfId="16080" xr:uid="{00000000-0005-0000-0000-00003E3E0000}"/>
    <cellStyle name="40% - Ênfase6 2 2 2 2 3 3" xfId="16081" xr:uid="{00000000-0005-0000-0000-00003F3E0000}"/>
    <cellStyle name="40% - Ênfase6 2 2 2 2 3 3 2" xfId="16082" xr:uid="{00000000-0005-0000-0000-0000403E0000}"/>
    <cellStyle name="40% - Ênfase6 2 2 2 2 3 4" xfId="16083" xr:uid="{00000000-0005-0000-0000-0000413E0000}"/>
    <cellStyle name="40% - Ênfase6 2 2 2 2 4" xfId="16084" xr:uid="{00000000-0005-0000-0000-0000423E0000}"/>
    <cellStyle name="40% - Ênfase6 2 2 2 2 4 2" xfId="16085" xr:uid="{00000000-0005-0000-0000-0000433E0000}"/>
    <cellStyle name="40% - Ênfase6 2 2 2 2 5" xfId="16086" xr:uid="{00000000-0005-0000-0000-0000443E0000}"/>
    <cellStyle name="40% - Ênfase6 2 2 2 2 5 2" xfId="16087" xr:uid="{00000000-0005-0000-0000-0000453E0000}"/>
    <cellStyle name="40% - Ênfase6 2 2 2 2 6" xfId="16088" xr:uid="{00000000-0005-0000-0000-0000463E0000}"/>
    <cellStyle name="40% - Ênfase6 2 2 2 3" xfId="16089" xr:uid="{00000000-0005-0000-0000-0000473E0000}"/>
    <cellStyle name="40% - Ênfase6 2 2 2 3 2" xfId="16090" xr:uid="{00000000-0005-0000-0000-0000483E0000}"/>
    <cellStyle name="40% - Ênfase6 2 2 2 3 2 2" xfId="16091" xr:uid="{00000000-0005-0000-0000-0000493E0000}"/>
    <cellStyle name="40% - Ênfase6 2 2 2 3 3" xfId="16092" xr:uid="{00000000-0005-0000-0000-00004A3E0000}"/>
    <cellStyle name="40% - Ênfase6 2 2 2 3 3 2" xfId="16093" xr:uid="{00000000-0005-0000-0000-00004B3E0000}"/>
    <cellStyle name="40% - Ênfase6 2 2 2 3 4" xfId="16094" xr:uid="{00000000-0005-0000-0000-00004C3E0000}"/>
    <cellStyle name="40% - Ênfase6 2 2 2 4" xfId="16095" xr:uid="{00000000-0005-0000-0000-00004D3E0000}"/>
    <cellStyle name="40% - Ênfase6 2 2 2 4 2" xfId="16096" xr:uid="{00000000-0005-0000-0000-00004E3E0000}"/>
    <cellStyle name="40% - Ênfase6 2 2 2 4 2 2" xfId="16097" xr:uid="{00000000-0005-0000-0000-00004F3E0000}"/>
    <cellStyle name="40% - Ênfase6 2 2 2 4 3" xfId="16098" xr:uid="{00000000-0005-0000-0000-0000503E0000}"/>
    <cellStyle name="40% - Ênfase6 2 2 2 5" xfId="16099" xr:uid="{00000000-0005-0000-0000-0000513E0000}"/>
    <cellStyle name="40% - Ênfase6 2 2 2 5 2" xfId="16100" xr:uid="{00000000-0005-0000-0000-0000523E0000}"/>
    <cellStyle name="40% - Ênfase6 2 2 2 5 2 2" xfId="16101" xr:uid="{00000000-0005-0000-0000-0000533E0000}"/>
    <cellStyle name="40% - Ênfase6 2 2 2 5 3" xfId="16102" xr:uid="{00000000-0005-0000-0000-0000543E0000}"/>
    <cellStyle name="40% - Ênfase6 2 2 2 6" xfId="16103" xr:uid="{00000000-0005-0000-0000-0000553E0000}"/>
    <cellStyle name="40% - Ênfase6 2 2 2 6 2" xfId="16104" xr:uid="{00000000-0005-0000-0000-0000563E0000}"/>
    <cellStyle name="40% - Ênfase6 2 2 2 6 2 2" xfId="16105" xr:uid="{00000000-0005-0000-0000-0000573E0000}"/>
    <cellStyle name="40% - Ênfase6 2 2 2 6 3" xfId="16106" xr:uid="{00000000-0005-0000-0000-0000583E0000}"/>
    <cellStyle name="40% - Ênfase6 2 2 2 7" xfId="16107" xr:uid="{00000000-0005-0000-0000-0000593E0000}"/>
    <cellStyle name="40% - Ênfase6 2 2 2 7 2" xfId="16108" xr:uid="{00000000-0005-0000-0000-00005A3E0000}"/>
    <cellStyle name="40% - Ênfase6 2 2 2 7 2 2" xfId="16109" xr:uid="{00000000-0005-0000-0000-00005B3E0000}"/>
    <cellStyle name="40% - Ênfase6 2 2 2 7 3" xfId="16110" xr:uid="{00000000-0005-0000-0000-00005C3E0000}"/>
    <cellStyle name="40% - Ênfase6 2 2 2 8" xfId="16111" xr:uid="{00000000-0005-0000-0000-00005D3E0000}"/>
    <cellStyle name="40% - Ênfase6 2 2 2 8 2" xfId="16112" xr:uid="{00000000-0005-0000-0000-00005E3E0000}"/>
    <cellStyle name="40% - Ênfase6 2 2 2 9" xfId="16113" xr:uid="{00000000-0005-0000-0000-00005F3E0000}"/>
    <cellStyle name="40% - Ênfase6 2 2 3" xfId="16114" xr:uid="{00000000-0005-0000-0000-0000603E0000}"/>
    <cellStyle name="40% - Ênfase6 2 2 3 2" xfId="16115" xr:uid="{00000000-0005-0000-0000-0000613E0000}"/>
    <cellStyle name="40% - Ênfase6 2 2 3 2 2" xfId="16116" xr:uid="{00000000-0005-0000-0000-0000623E0000}"/>
    <cellStyle name="40% - Ênfase6 2 2 3 2 2 2" xfId="16117" xr:uid="{00000000-0005-0000-0000-0000633E0000}"/>
    <cellStyle name="40% - Ênfase6 2 2 3 2 3" xfId="16118" xr:uid="{00000000-0005-0000-0000-0000643E0000}"/>
    <cellStyle name="40% - Ênfase6 2 2 3 2 3 2" xfId="16119" xr:uid="{00000000-0005-0000-0000-0000653E0000}"/>
    <cellStyle name="40% - Ênfase6 2 2 3 2 4" xfId="16120" xr:uid="{00000000-0005-0000-0000-0000663E0000}"/>
    <cellStyle name="40% - Ênfase6 2 2 3 3" xfId="16121" xr:uid="{00000000-0005-0000-0000-0000673E0000}"/>
    <cellStyle name="40% - Ênfase6 2 2 3 3 2" xfId="16122" xr:uid="{00000000-0005-0000-0000-0000683E0000}"/>
    <cellStyle name="40% - Ênfase6 2 2 3 3 2 2" xfId="16123" xr:uid="{00000000-0005-0000-0000-0000693E0000}"/>
    <cellStyle name="40% - Ênfase6 2 2 3 3 3" xfId="16124" xr:uid="{00000000-0005-0000-0000-00006A3E0000}"/>
    <cellStyle name="40% - Ênfase6 2 2 3 3 3 2" xfId="16125" xr:uid="{00000000-0005-0000-0000-00006B3E0000}"/>
    <cellStyle name="40% - Ênfase6 2 2 3 3 4" xfId="16126" xr:uid="{00000000-0005-0000-0000-00006C3E0000}"/>
    <cellStyle name="40% - Ênfase6 2 2 3 4" xfId="16127" xr:uid="{00000000-0005-0000-0000-00006D3E0000}"/>
    <cellStyle name="40% - Ênfase6 2 2 3 4 2" xfId="16128" xr:uid="{00000000-0005-0000-0000-00006E3E0000}"/>
    <cellStyle name="40% - Ênfase6 2 2 3 5" xfId="16129" xr:uid="{00000000-0005-0000-0000-00006F3E0000}"/>
    <cellStyle name="40% - Ênfase6 2 2 3 5 2" xfId="16130" xr:uid="{00000000-0005-0000-0000-0000703E0000}"/>
    <cellStyle name="40% - Ênfase6 2 2 3 6" xfId="16131" xr:uid="{00000000-0005-0000-0000-0000713E0000}"/>
    <cellStyle name="40% - Ênfase6 2 2 4" xfId="16132" xr:uid="{00000000-0005-0000-0000-0000723E0000}"/>
    <cellStyle name="40% - Ênfase6 2 2 4 2" xfId="16133" xr:uid="{00000000-0005-0000-0000-0000733E0000}"/>
    <cellStyle name="40% - Ênfase6 2 2 4 2 2" xfId="16134" xr:uid="{00000000-0005-0000-0000-0000743E0000}"/>
    <cellStyle name="40% - Ênfase6 2 2 4 2 2 2" xfId="16135" xr:uid="{00000000-0005-0000-0000-0000753E0000}"/>
    <cellStyle name="40% - Ênfase6 2 2 4 2 3" xfId="16136" xr:uid="{00000000-0005-0000-0000-0000763E0000}"/>
    <cellStyle name="40% - Ênfase6 2 2 4 2 3 2" xfId="16137" xr:uid="{00000000-0005-0000-0000-0000773E0000}"/>
    <cellStyle name="40% - Ênfase6 2 2 4 2 4" xfId="16138" xr:uid="{00000000-0005-0000-0000-0000783E0000}"/>
    <cellStyle name="40% - Ênfase6 2 2 4 3" xfId="16139" xr:uid="{00000000-0005-0000-0000-0000793E0000}"/>
    <cellStyle name="40% - Ênfase6 2 2 4 3 2" xfId="16140" xr:uid="{00000000-0005-0000-0000-00007A3E0000}"/>
    <cellStyle name="40% - Ênfase6 2 2 4 3 2 2" xfId="16141" xr:uid="{00000000-0005-0000-0000-00007B3E0000}"/>
    <cellStyle name="40% - Ênfase6 2 2 4 3 3" xfId="16142" xr:uid="{00000000-0005-0000-0000-00007C3E0000}"/>
    <cellStyle name="40% - Ênfase6 2 2 4 3 3 2" xfId="16143" xr:uid="{00000000-0005-0000-0000-00007D3E0000}"/>
    <cellStyle name="40% - Ênfase6 2 2 4 3 4" xfId="16144" xr:uid="{00000000-0005-0000-0000-00007E3E0000}"/>
    <cellStyle name="40% - Ênfase6 2 2 4 4" xfId="16145" xr:uid="{00000000-0005-0000-0000-00007F3E0000}"/>
    <cellStyle name="40% - Ênfase6 2 2 4 4 2" xfId="16146" xr:uid="{00000000-0005-0000-0000-0000803E0000}"/>
    <cellStyle name="40% - Ênfase6 2 2 4 5" xfId="16147" xr:uid="{00000000-0005-0000-0000-0000813E0000}"/>
    <cellStyle name="40% - Ênfase6 2 2 4 5 2" xfId="16148" xr:uid="{00000000-0005-0000-0000-0000823E0000}"/>
    <cellStyle name="40% - Ênfase6 2 2 4 6" xfId="16149" xr:uid="{00000000-0005-0000-0000-0000833E0000}"/>
    <cellStyle name="40% - Ênfase6 2 2 5" xfId="16150" xr:uid="{00000000-0005-0000-0000-0000843E0000}"/>
    <cellStyle name="40% - Ênfase6 2 2 5 2" xfId="16151" xr:uid="{00000000-0005-0000-0000-0000853E0000}"/>
    <cellStyle name="40% - Ênfase6 2 2 5 2 2" xfId="16152" xr:uid="{00000000-0005-0000-0000-0000863E0000}"/>
    <cellStyle name="40% - Ênfase6 2 2 5 3" xfId="16153" xr:uid="{00000000-0005-0000-0000-0000873E0000}"/>
    <cellStyle name="40% - Ênfase6 2 2 5 3 2" xfId="16154" xr:uid="{00000000-0005-0000-0000-0000883E0000}"/>
    <cellStyle name="40% - Ênfase6 2 2 5 4" xfId="16155" xr:uid="{00000000-0005-0000-0000-0000893E0000}"/>
    <cellStyle name="40% - Ênfase6 2 2 6" xfId="16156" xr:uid="{00000000-0005-0000-0000-00008A3E0000}"/>
    <cellStyle name="40% - Ênfase6 2 2 6 2" xfId="16157" xr:uid="{00000000-0005-0000-0000-00008B3E0000}"/>
    <cellStyle name="40% - Ênfase6 2 2 6 2 2" xfId="16158" xr:uid="{00000000-0005-0000-0000-00008C3E0000}"/>
    <cellStyle name="40% - Ênfase6 2 2 6 3" xfId="16159" xr:uid="{00000000-0005-0000-0000-00008D3E0000}"/>
    <cellStyle name="40% - Ênfase6 2 2 7" xfId="16160" xr:uid="{00000000-0005-0000-0000-00008E3E0000}"/>
    <cellStyle name="40% - Ênfase6 2 2 7 2" xfId="16161" xr:uid="{00000000-0005-0000-0000-00008F3E0000}"/>
    <cellStyle name="40% - Ênfase6 2 2 7 2 2" xfId="16162" xr:uid="{00000000-0005-0000-0000-0000903E0000}"/>
    <cellStyle name="40% - Ênfase6 2 2 7 3" xfId="16163" xr:uid="{00000000-0005-0000-0000-0000913E0000}"/>
    <cellStyle name="40% - Ênfase6 2 2 8" xfId="16164" xr:uid="{00000000-0005-0000-0000-0000923E0000}"/>
    <cellStyle name="40% - Ênfase6 2 2 8 2" xfId="16165" xr:uid="{00000000-0005-0000-0000-0000933E0000}"/>
    <cellStyle name="40% - Ênfase6 2 2 8 2 2" xfId="16166" xr:uid="{00000000-0005-0000-0000-0000943E0000}"/>
    <cellStyle name="40% - Ênfase6 2 2 8 3" xfId="16167" xr:uid="{00000000-0005-0000-0000-0000953E0000}"/>
    <cellStyle name="40% - Ênfase6 2 2 9" xfId="16168" xr:uid="{00000000-0005-0000-0000-0000963E0000}"/>
    <cellStyle name="40% - Ênfase6 2 2 9 2" xfId="16169" xr:uid="{00000000-0005-0000-0000-0000973E0000}"/>
    <cellStyle name="40% - Ênfase6 2 2 9 2 2" xfId="16170" xr:uid="{00000000-0005-0000-0000-0000983E0000}"/>
    <cellStyle name="40% - Ênfase6 2 2 9 3" xfId="16171" xr:uid="{00000000-0005-0000-0000-0000993E0000}"/>
    <cellStyle name="40% - Ênfase6 2 3" xfId="16172" xr:uid="{00000000-0005-0000-0000-00009A3E0000}"/>
    <cellStyle name="40% - Ênfase6 2 3 10" xfId="16173" xr:uid="{00000000-0005-0000-0000-00009B3E0000}"/>
    <cellStyle name="40% - Ênfase6 2 3 10 2" xfId="16174" xr:uid="{00000000-0005-0000-0000-00009C3E0000}"/>
    <cellStyle name="40% - Ênfase6 2 3 11" xfId="16175" xr:uid="{00000000-0005-0000-0000-00009D3E0000}"/>
    <cellStyle name="40% - Ênfase6 2 3 2" xfId="16176" xr:uid="{00000000-0005-0000-0000-00009E3E0000}"/>
    <cellStyle name="40% - Ênfase6 2 3 2 2" xfId="16177" xr:uid="{00000000-0005-0000-0000-00009F3E0000}"/>
    <cellStyle name="40% - Ênfase6 2 3 2 2 2" xfId="16178" xr:uid="{00000000-0005-0000-0000-0000A03E0000}"/>
    <cellStyle name="40% - Ênfase6 2 3 2 2 2 2" xfId="16179" xr:uid="{00000000-0005-0000-0000-0000A13E0000}"/>
    <cellStyle name="40% - Ênfase6 2 3 2 2 2 2 2" xfId="16180" xr:uid="{00000000-0005-0000-0000-0000A23E0000}"/>
    <cellStyle name="40% - Ênfase6 2 3 2 2 2 3" xfId="16181" xr:uid="{00000000-0005-0000-0000-0000A33E0000}"/>
    <cellStyle name="40% - Ênfase6 2 3 2 2 2 3 2" xfId="16182" xr:uid="{00000000-0005-0000-0000-0000A43E0000}"/>
    <cellStyle name="40% - Ênfase6 2 3 2 2 2 4" xfId="16183" xr:uid="{00000000-0005-0000-0000-0000A53E0000}"/>
    <cellStyle name="40% - Ênfase6 2 3 2 2 3" xfId="16184" xr:uid="{00000000-0005-0000-0000-0000A63E0000}"/>
    <cellStyle name="40% - Ênfase6 2 3 2 2 3 2" xfId="16185" xr:uid="{00000000-0005-0000-0000-0000A73E0000}"/>
    <cellStyle name="40% - Ênfase6 2 3 2 2 3 2 2" xfId="16186" xr:uid="{00000000-0005-0000-0000-0000A83E0000}"/>
    <cellStyle name="40% - Ênfase6 2 3 2 2 3 3" xfId="16187" xr:uid="{00000000-0005-0000-0000-0000A93E0000}"/>
    <cellStyle name="40% - Ênfase6 2 3 2 2 3 3 2" xfId="16188" xr:uid="{00000000-0005-0000-0000-0000AA3E0000}"/>
    <cellStyle name="40% - Ênfase6 2 3 2 2 3 4" xfId="16189" xr:uid="{00000000-0005-0000-0000-0000AB3E0000}"/>
    <cellStyle name="40% - Ênfase6 2 3 2 2 4" xfId="16190" xr:uid="{00000000-0005-0000-0000-0000AC3E0000}"/>
    <cellStyle name="40% - Ênfase6 2 3 2 2 4 2" xfId="16191" xr:uid="{00000000-0005-0000-0000-0000AD3E0000}"/>
    <cellStyle name="40% - Ênfase6 2 3 2 2 5" xfId="16192" xr:uid="{00000000-0005-0000-0000-0000AE3E0000}"/>
    <cellStyle name="40% - Ênfase6 2 3 2 2 5 2" xfId="16193" xr:uid="{00000000-0005-0000-0000-0000AF3E0000}"/>
    <cellStyle name="40% - Ênfase6 2 3 2 2 6" xfId="16194" xr:uid="{00000000-0005-0000-0000-0000B03E0000}"/>
    <cellStyle name="40% - Ênfase6 2 3 2 3" xfId="16195" xr:uid="{00000000-0005-0000-0000-0000B13E0000}"/>
    <cellStyle name="40% - Ênfase6 2 3 2 3 2" xfId="16196" xr:uid="{00000000-0005-0000-0000-0000B23E0000}"/>
    <cellStyle name="40% - Ênfase6 2 3 2 3 2 2" xfId="16197" xr:uid="{00000000-0005-0000-0000-0000B33E0000}"/>
    <cellStyle name="40% - Ênfase6 2 3 2 3 3" xfId="16198" xr:uid="{00000000-0005-0000-0000-0000B43E0000}"/>
    <cellStyle name="40% - Ênfase6 2 3 2 3 3 2" xfId="16199" xr:uid="{00000000-0005-0000-0000-0000B53E0000}"/>
    <cellStyle name="40% - Ênfase6 2 3 2 3 4" xfId="16200" xr:uid="{00000000-0005-0000-0000-0000B63E0000}"/>
    <cellStyle name="40% - Ênfase6 2 3 2 4" xfId="16201" xr:uid="{00000000-0005-0000-0000-0000B73E0000}"/>
    <cellStyle name="40% - Ênfase6 2 3 2 4 2" xfId="16202" xr:uid="{00000000-0005-0000-0000-0000B83E0000}"/>
    <cellStyle name="40% - Ênfase6 2 3 2 4 2 2" xfId="16203" xr:uid="{00000000-0005-0000-0000-0000B93E0000}"/>
    <cellStyle name="40% - Ênfase6 2 3 2 4 3" xfId="16204" xr:uid="{00000000-0005-0000-0000-0000BA3E0000}"/>
    <cellStyle name="40% - Ênfase6 2 3 2 5" xfId="16205" xr:uid="{00000000-0005-0000-0000-0000BB3E0000}"/>
    <cellStyle name="40% - Ênfase6 2 3 2 5 2" xfId="16206" xr:uid="{00000000-0005-0000-0000-0000BC3E0000}"/>
    <cellStyle name="40% - Ênfase6 2 3 2 5 2 2" xfId="16207" xr:uid="{00000000-0005-0000-0000-0000BD3E0000}"/>
    <cellStyle name="40% - Ênfase6 2 3 2 5 3" xfId="16208" xr:uid="{00000000-0005-0000-0000-0000BE3E0000}"/>
    <cellStyle name="40% - Ênfase6 2 3 2 6" xfId="16209" xr:uid="{00000000-0005-0000-0000-0000BF3E0000}"/>
    <cellStyle name="40% - Ênfase6 2 3 2 6 2" xfId="16210" xr:uid="{00000000-0005-0000-0000-0000C03E0000}"/>
    <cellStyle name="40% - Ênfase6 2 3 2 6 2 2" xfId="16211" xr:uid="{00000000-0005-0000-0000-0000C13E0000}"/>
    <cellStyle name="40% - Ênfase6 2 3 2 6 3" xfId="16212" xr:uid="{00000000-0005-0000-0000-0000C23E0000}"/>
    <cellStyle name="40% - Ênfase6 2 3 2 7" xfId="16213" xr:uid="{00000000-0005-0000-0000-0000C33E0000}"/>
    <cellStyle name="40% - Ênfase6 2 3 2 7 2" xfId="16214" xr:uid="{00000000-0005-0000-0000-0000C43E0000}"/>
    <cellStyle name="40% - Ênfase6 2 3 2 7 2 2" xfId="16215" xr:uid="{00000000-0005-0000-0000-0000C53E0000}"/>
    <cellStyle name="40% - Ênfase6 2 3 2 7 3" xfId="16216" xr:uid="{00000000-0005-0000-0000-0000C63E0000}"/>
    <cellStyle name="40% - Ênfase6 2 3 2 8" xfId="16217" xr:uid="{00000000-0005-0000-0000-0000C73E0000}"/>
    <cellStyle name="40% - Ênfase6 2 3 2 8 2" xfId="16218" xr:uid="{00000000-0005-0000-0000-0000C83E0000}"/>
    <cellStyle name="40% - Ênfase6 2 3 2 9" xfId="16219" xr:uid="{00000000-0005-0000-0000-0000C93E0000}"/>
    <cellStyle name="40% - Ênfase6 2 3 3" xfId="16220" xr:uid="{00000000-0005-0000-0000-0000CA3E0000}"/>
    <cellStyle name="40% - Ênfase6 2 3 3 2" xfId="16221" xr:uid="{00000000-0005-0000-0000-0000CB3E0000}"/>
    <cellStyle name="40% - Ênfase6 2 3 3 2 2" xfId="16222" xr:uid="{00000000-0005-0000-0000-0000CC3E0000}"/>
    <cellStyle name="40% - Ênfase6 2 3 3 2 2 2" xfId="16223" xr:uid="{00000000-0005-0000-0000-0000CD3E0000}"/>
    <cellStyle name="40% - Ênfase6 2 3 3 2 3" xfId="16224" xr:uid="{00000000-0005-0000-0000-0000CE3E0000}"/>
    <cellStyle name="40% - Ênfase6 2 3 3 2 3 2" xfId="16225" xr:uid="{00000000-0005-0000-0000-0000CF3E0000}"/>
    <cellStyle name="40% - Ênfase6 2 3 3 2 4" xfId="16226" xr:uid="{00000000-0005-0000-0000-0000D03E0000}"/>
    <cellStyle name="40% - Ênfase6 2 3 3 3" xfId="16227" xr:uid="{00000000-0005-0000-0000-0000D13E0000}"/>
    <cellStyle name="40% - Ênfase6 2 3 3 3 2" xfId="16228" xr:uid="{00000000-0005-0000-0000-0000D23E0000}"/>
    <cellStyle name="40% - Ênfase6 2 3 3 3 2 2" xfId="16229" xr:uid="{00000000-0005-0000-0000-0000D33E0000}"/>
    <cellStyle name="40% - Ênfase6 2 3 3 3 3" xfId="16230" xr:uid="{00000000-0005-0000-0000-0000D43E0000}"/>
    <cellStyle name="40% - Ênfase6 2 3 3 3 3 2" xfId="16231" xr:uid="{00000000-0005-0000-0000-0000D53E0000}"/>
    <cellStyle name="40% - Ênfase6 2 3 3 3 4" xfId="16232" xr:uid="{00000000-0005-0000-0000-0000D63E0000}"/>
    <cellStyle name="40% - Ênfase6 2 3 3 4" xfId="16233" xr:uid="{00000000-0005-0000-0000-0000D73E0000}"/>
    <cellStyle name="40% - Ênfase6 2 3 3 4 2" xfId="16234" xr:uid="{00000000-0005-0000-0000-0000D83E0000}"/>
    <cellStyle name="40% - Ênfase6 2 3 3 5" xfId="16235" xr:uid="{00000000-0005-0000-0000-0000D93E0000}"/>
    <cellStyle name="40% - Ênfase6 2 3 3 5 2" xfId="16236" xr:uid="{00000000-0005-0000-0000-0000DA3E0000}"/>
    <cellStyle name="40% - Ênfase6 2 3 3 6" xfId="16237" xr:uid="{00000000-0005-0000-0000-0000DB3E0000}"/>
    <cellStyle name="40% - Ênfase6 2 3 4" xfId="16238" xr:uid="{00000000-0005-0000-0000-0000DC3E0000}"/>
    <cellStyle name="40% - Ênfase6 2 3 4 2" xfId="16239" xr:uid="{00000000-0005-0000-0000-0000DD3E0000}"/>
    <cellStyle name="40% - Ênfase6 2 3 4 2 2" xfId="16240" xr:uid="{00000000-0005-0000-0000-0000DE3E0000}"/>
    <cellStyle name="40% - Ênfase6 2 3 4 2 2 2" xfId="16241" xr:uid="{00000000-0005-0000-0000-0000DF3E0000}"/>
    <cellStyle name="40% - Ênfase6 2 3 4 2 3" xfId="16242" xr:uid="{00000000-0005-0000-0000-0000E03E0000}"/>
    <cellStyle name="40% - Ênfase6 2 3 4 2 3 2" xfId="16243" xr:uid="{00000000-0005-0000-0000-0000E13E0000}"/>
    <cellStyle name="40% - Ênfase6 2 3 4 2 4" xfId="16244" xr:uid="{00000000-0005-0000-0000-0000E23E0000}"/>
    <cellStyle name="40% - Ênfase6 2 3 4 3" xfId="16245" xr:uid="{00000000-0005-0000-0000-0000E33E0000}"/>
    <cellStyle name="40% - Ênfase6 2 3 4 3 2" xfId="16246" xr:uid="{00000000-0005-0000-0000-0000E43E0000}"/>
    <cellStyle name="40% - Ênfase6 2 3 4 3 2 2" xfId="16247" xr:uid="{00000000-0005-0000-0000-0000E53E0000}"/>
    <cellStyle name="40% - Ênfase6 2 3 4 3 3" xfId="16248" xr:uid="{00000000-0005-0000-0000-0000E63E0000}"/>
    <cellStyle name="40% - Ênfase6 2 3 4 3 3 2" xfId="16249" xr:uid="{00000000-0005-0000-0000-0000E73E0000}"/>
    <cellStyle name="40% - Ênfase6 2 3 4 3 4" xfId="16250" xr:uid="{00000000-0005-0000-0000-0000E83E0000}"/>
    <cellStyle name="40% - Ênfase6 2 3 4 4" xfId="16251" xr:uid="{00000000-0005-0000-0000-0000E93E0000}"/>
    <cellStyle name="40% - Ênfase6 2 3 4 4 2" xfId="16252" xr:uid="{00000000-0005-0000-0000-0000EA3E0000}"/>
    <cellStyle name="40% - Ênfase6 2 3 4 5" xfId="16253" xr:uid="{00000000-0005-0000-0000-0000EB3E0000}"/>
    <cellStyle name="40% - Ênfase6 2 3 4 5 2" xfId="16254" xr:uid="{00000000-0005-0000-0000-0000EC3E0000}"/>
    <cellStyle name="40% - Ênfase6 2 3 4 6" xfId="16255" xr:uid="{00000000-0005-0000-0000-0000ED3E0000}"/>
    <cellStyle name="40% - Ênfase6 2 3 5" xfId="16256" xr:uid="{00000000-0005-0000-0000-0000EE3E0000}"/>
    <cellStyle name="40% - Ênfase6 2 3 5 2" xfId="16257" xr:uid="{00000000-0005-0000-0000-0000EF3E0000}"/>
    <cellStyle name="40% - Ênfase6 2 3 5 2 2" xfId="16258" xr:uid="{00000000-0005-0000-0000-0000F03E0000}"/>
    <cellStyle name="40% - Ênfase6 2 3 5 3" xfId="16259" xr:uid="{00000000-0005-0000-0000-0000F13E0000}"/>
    <cellStyle name="40% - Ênfase6 2 3 5 3 2" xfId="16260" xr:uid="{00000000-0005-0000-0000-0000F23E0000}"/>
    <cellStyle name="40% - Ênfase6 2 3 5 4" xfId="16261" xr:uid="{00000000-0005-0000-0000-0000F33E0000}"/>
    <cellStyle name="40% - Ênfase6 2 3 6" xfId="16262" xr:uid="{00000000-0005-0000-0000-0000F43E0000}"/>
    <cellStyle name="40% - Ênfase6 2 3 6 2" xfId="16263" xr:uid="{00000000-0005-0000-0000-0000F53E0000}"/>
    <cellStyle name="40% - Ênfase6 2 3 6 2 2" xfId="16264" xr:uid="{00000000-0005-0000-0000-0000F63E0000}"/>
    <cellStyle name="40% - Ênfase6 2 3 6 3" xfId="16265" xr:uid="{00000000-0005-0000-0000-0000F73E0000}"/>
    <cellStyle name="40% - Ênfase6 2 3 7" xfId="16266" xr:uid="{00000000-0005-0000-0000-0000F83E0000}"/>
    <cellStyle name="40% - Ênfase6 2 3 7 2" xfId="16267" xr:uid="{00000000-0005-0000-0000-0000F93E0000}"/>
    <cellStyle name="40% - Ênfase6 2 3 7 2 2" xfId="16268" xr:uid="{00000000-0005-0000-0000-0000FA3E0000}"/>
    <cellStyle name="40% - Ênfase6 2 3 7 3" xfId="16269" xr:uid="{00000000-0005-0000-0000-0000FB3E0000}"/>
    <cellStyle name="40% - Ênfase6 2 3 8" xfId="16270" xr:uid="{00000000-0005-0000-0000-0000FC3E0000}"/>
    <cellStyle name="40% - Ênfase6 2 3 8 2" xfId="16271" xr:uid="{00000000-0005-0000-0000-0000FD3E0000}"/>
    <cellStyle name="40% - Ênfase6 2 3 8 2 2" xfId="16272" xr:uid="{00000000-0005-0000-0000-0000FE3E0000}"/>
    <cellStyle name="40% - Ênfase6 2 3 8 3" xfId="16273" xr:uid="{00000000-0005-0000-0000-0000FF3E0000}"/>
    <cellStyle name="40% - Ênfase6 2 3 9" xfId="16274" xr:uid="{00000000-0005-0000-0000-0000003F0000}"/>
    <cellStyle name="40% - Ênfase6 2 3 9 2" xfId="16275" xr:uid="{00000000-0005-0000-0000-0000013F0000}"/>
    <cellStyle name="40% - Ênfase6 2 3 9 2 2" xfId="16276" xr:uid="{00000000-0005-0000-0000-0000023F0000}"/>
    <cellStyle name="40% - Ênfase6 2 3 9 3" xfId="16277" xr:uid="{00000000-0005-0000-0000-0000033F0000}"/>
    <cellStyle name="40% - Ênfase6 2 4" xfId="16278" xr:uid="{00000000-0005-0000-0000-0000043F0000}"/>
    <cellStyle name="40% - Ênfase6 2 4 10" xfId="16279" xr:uid="{00000000-0005-0000-0000-0000053F0000}"/>
    <cellStyle name="40% - Ênfase6 2 4 2" xfId="16280" xr:uid="{00000000-0005-0000-0000-0000063F0000}"/>
    <cellStyle name="40% - Ênfase6 2 4 2 2" xfId="16281" xr:uid="{00000000-0005-0000-0000-0000073F0000}"/>
    <cellStyle name="40% - Ênfase6 2 4 2 2 2" xfId="16282" xr:uid="{00000000-0005-0000-0000-0000083F0000}"/>
    <cellStyle name="40% - Ênfase6 2 4 2 2 2 2" xfId="16283" xr:uid="{00000000-0005-0000-0000-0000093F0000}"/>
    <cellStyle name="40% - Ênfase6 2 4 2 2 2 2 2" xfId="16284" xr:uid="{00000000-0005-0000-0000-00000A3F0000}"/>
    <cellStyle name="40% - Ênfase6 2 4 2 2 2 3" xfId="16285" xr:uid="{00000000-0005-0000-0000-00000B3F0000}"/>
    <cellStyle name="40% - Ênfase6 2 4 2 2 2 3 2" xfId="16286" xr:uid="{00000000-0005-0000-0000-00000C3F0000}"/>
    <cellStyle name="40% - Ênfase6 2 4 2 2 2 4" xfId="16287" xr:uid="{00000000-0005-0000-0000-00000D3F0000}"/>
    <cellStyle name="40% - Ênfase6 2 4 2 2 3" xfId="16288" xr:uid="{00000000-0005-0000-0000-00000E3F0000}"/>
    <cellStyle name="40% - Ênfase6 2 4 2 2 3 2" xfId="16289" xr:uid="{00000000-0005-0000-0000-00000F3F0000}"/>
    <cellStyle name="40% - Ênfase6 2 4 2 2 4" xfId="16290" xr:uid="{00000000-0005-0000-0000-0000103F0000}"/>
    <cellStyle name="40% - Ênfase6 2 4 2 2 4 2" xfId="16291" xr:uid="{00000000-0005-0000-0000-0000113F0000}"/>
    <cellStyle name="40% - Ênfase6 2 4 2 2 5" xfId="16292" xr:uid="{00000000-0005-0000-0000-0000123F0000}"/>
    <cellStyle name="40% - Ênfase6 2 4 2 3" xfId="16293" xr:uid="{00000000-0005-0000-0000-0000133F0000}"/>
    <cellStyle name="40% - Ênfase6 2 4 2 3 2" xfId="16294" xr:uid="{00000000-0005-0000-0000-0000143F0000}"/>
    <cellStyle name="40% - Ênfase6 2 4 2 3 2 2" xfId="16295" xr:uid="{00000000-0005-0000-0000-0000153F0000}"/>
    <cellStyle name="40% - Ênfase6 2 4 2 3 3" xfId="16296" xr:uid="{00000000-0005-0000-0000-0000163F0000}"/>
    <cellStyle name="40% - Ênfase6 2 4 2 3 3 2" xfId="16297" xr:uid="{00000000-0005-0000-0000-0000173F0000}"/>
    <cellStyle name="40% - Ênfase6 2 4 2 3 4" xfId="16298" xr:uid="{00000000-0005-0000-0000-0000183F0000}"/>
    <cellStyle name="40% - Ênfase6 2 4 2 4" xfId="16299" xr:uid="{00000000-0005-0000-0000-0000193F0000}"/>
    <cellStyle name="40% - Ênfase6 2 4 2 4 2" xfId="16300" xr:uid="{00000000-0005-0000-0000-00001A3F0000}"/>
    <cellStyle name="40% - Ênfase6 2 4 2 4 2 2" xfId="16301" xr:uid="{00000000-0005-0000-0000-00001B3F0000}"/>
    <cellStyle name="40% - Ênfase6 2 4 2 4 3" xfId="16302" xr:uid="{00000000-0005-0000-0000-00001C3F0000}"/>
    <cellStyle name="40% - Ênfase6 2 4 2 5" xfId="16303" xr:uid="{00000000-0005-0000-0000-00001D3F0000}"/>
    <cellStyle name="40% - Ênfase6 2 4 2 5 2" xfId="16304" xr:uid="{00000000-0005-0000-0000-00001E3F0000}"/>
    <cellStyle name="40% - Ênfase6 2 4 2 6" xfId="16305" xr:uid="{00000000-0005-0000-0000-00001F3F0000}"/>
    <cellStyle name="40% - Ênfase6 2 4 3" xfId="16306" xr:uid="{00000000-0005-0000-0000-0000203F0000}"/>
    <cellStyle name="40% - Ênfase6 2 4 3 2" xfId="16307" xr:uid="{00000000-0005-0000-0000-0000213F0000}"/>
    <cellStyle name="40% - Ênfase6 2 4 3 2 2" xfId="16308" xr:uid="{00000000-0005-0000-0000-0000223F0000}"/>
    <cellStyle name="40% - Ênfase6 2 4 3 2 2 2" xfId="16309" xr:uid="{00000000-0005-0000-0000-0000233F0000}"/>
    <cellStyle name="40% - Ênfase6 2 4 3 2 3" xfId="16310" xr:uid="{00000000-0005-0000-0000-0000243F0000}"/>
    <cellStyle name="40% - Ênfase6 2 4 3 2 3 2" xfId="16311" xr:uid="{00000000-0005-0000-0000-0000253F0000}"/>
    <cellStyle name="40% - Ênfase6 2 4 3 2 4" xfId="16312" xr:uid="{00000000-0005-0000-0000-0000263F0000}"/>
    <cellStyle name="40% - Ênfase6 2 4 3 3" xfId="16313" xr:uid="{00000000-0005-0000-0000-0000273F0000}"/>
    <cellStyle name="40% - Ênfase6 2 4 3 3 2" xfId="16314" xr:uid="{00000000-0005-0000-0000-0000283F0000}"/>
    <cellStyle name="40% - Ênfase6 2 4 3 3 2 2" xfId="16315" xr:uid="{00000000-0005-0000-0000-0000293F0000}"/>
    <cellStyle name="40% - Ênfase6 2 4 3 3 3" xfId="16316" xr:uid="{00000000-0005-0000-0000-00002A3F0000}"/>
    <cellStyle name="40% - Ênfase6 2 4 3 3 3 2" xfId="16317" xr:uid="{00000000-0005-0000-0000-00002B3F0000}"/>
    <cellStyle name="40% - Ênfase6 2 4 3 3 4" xfId="16318" xr:uid="{00000000-0005-0000-0000-00002C3F0000}"/>
    <cellStyle name="40% - Ênfase6 2 4 3 4" xfId="16319" xr:uid="{00000000-0005-0000-0000-00002D3F0000}"/>
    <cellStyle name="40% - Ênfase6 2 4 3 4 2" xfId="16320" xr:uid="{00000000-0005-0000-0000-00002E3F0000}"/>
    <cellStyle name="40% - Ênfase6 2 4 3 5" xfId="16321" xr:uid="{00000000-0005-0000-0000-00002F3F0000}"/>
    <cellStyle name="40% - Ênfase6 2 4 3 5 2" xfId="16322" xr:uid="{00000000-0005-0000-0000-0000303F0000}"/>
    <cellStyle name="40% - Ênfase6 2 4 3 6" xfId="16323" xr:uid="{00000000-0005-0000-0000-0000313F0000}"/>
    <cellStyle name="40% - Ênfase6 2 4 4" xfId="16324" xr:uid="{00000000-0005-0000-0000-0000323F0000}"/>
    <cellStyle name="40% - Ênfase6 2 4 4 2" xfId="16325" xr:uid="{00000000-0005-0000-0000-0000333F0000}"/>
    <cellStyle name="40% - Ênfase6 2 4 4 2 2" xfId="16326" xr:uid="{00000000-0005-0000-0000-0000343F0000}"/>
    <cellStyle name="40% - Ênfase6 2 4 4 3" xfId="16327" xr:uid="{00000000-0005-0000-0000-0000353F0000}"/>
    <cellStyle name="40% - Ênfase6 2 4 4 3 2" xfId="16328" xr:uid="{00000000-0005-0000-0000-0000363F0000}"/>
    <cellStyle name="40% - Ênfase6 2 4 4 4" xfId="16329" xr:uid="{00000000-0005-0000-0000-0000373F0000}"/>
    <cellStyle name="40% - Ênfase6 2 4 5" xfId="16330" xr:uid="{00000000-0005-0000-0000-0000383F0000}"/>
    <cellStyle name="40% - Ênfase6 2 4 5 2" xfId="16331" xr:uid="{00000000-0005-0000-0000-0000393F0000}"/>
    <cellStyle name="40% - Ênfase6 2 4 5 2 2" xfId="16332" xr:uid="{00000000-0005-0000-0000-00003A3F0000}"/>
    <cellStyle name="40% - Ênfase6 2 4 5 3" xfId="16333" xr:uid="{00000000-0005-0000-0000-00003B3F0000}"/>
    <cellStyle name="40% - Ênfase6 2 4 6" xfId="16334" xr:uid="{00000000-0005-0000-0000-00003C3F0000}"/>
    <cellStyle name="40% - Ênfase6 2 4 6 2" xfId="16335" xr:uid="{00000000-0005-0000-0000-00003D3F0000}"/>
    <cellStyle name="40% - Ênfase6 2 4 6 2 2" xfId="16336" xr:uid="{00000000-0005-0000-0000-00003E3F0000}"/>
    <cellStyle name="40% - Ênfase6 2 4 6 3" xfId="16337" xr:uid="{00000000-0005-0000-0000-00003F3F0000}"/>
    <cellStyle name="40% - Ênfase6 2 4 7" xfId="16338" xr:uid="{00000000-0005-0000-0000-0000403F0000}"/>
    <cellStyle name="40% - Ênfase6 2 4 7 2" xfId="16339" xr:uid="{00000000-0005-0000-0000-0000413F0000}"/>
    <cellStyle name="40% - Ênfase6 2 4 7 2 2" xfId="16340" xr:uid="{00000000-0005-0000-0000-0000423F0000}"/>
    <cellStyle name="40% - Ênfase6 2 4 7 3" xfId="16341" xr:uid="{00000000-0005-0000-0000-0000433F0000}"/>
    <cellStyle name="40% - Ênfase6 2 4 8" xfId="16342" xr:uid="{00000000-0005-0000-0000-0000443F0000}"/>
    <cellStyle name="40% - Ênfase6 2 4 8 2" xfId="16343" xr:uid="{00000000-0005-0000-0000-0000453F0000}"/>
    <cellStyle name="40% - Ênfase6 2 4 8 2 2" xfId="16344" xr:uid="{00000000-0005-0000-0000-0000463F0000}"/>
    <cellStyle name="40% - Ênfase6 2 4 8 3" xfId="16345" xr:uid="{00000000-0005-0000-0000-0000473F0000}"/>
    <cellStyle name="40% - Ênfase6 2 4 9" xfId="16346" xr:uid="{00000000-0005-0000-0000-0000483F0000}"/>
    <cellStyle name="40% - Ênfase6 2 4 9 2" xfId="16347" xr:uid="{00000000-0005-0000-0000-0000493F0000}"/>
    <cellStyle name="40% - Ênfase6 2 5" xfId="16348" xr:uid="{00000000-0005-0000-0000-00004A3F0000}"/>
    <cellStyle name="40% - Ênfase6 2 5 2" xfId="16349" xr:uid="{00000000-0005-0000-0000-00004B3F0000}"/>
    <cellStyle name="40% - Ênfase6 2 5 2 2" xfId="16350" xr:uid="{00000000-0005-0000-0000-00004C3F0000}"/>
    <cellStyle name="40% - Ênfase6 2 5 2 2 2" xfId="16351" xr:uid="{00000000-0005-0000-0000-00004D3F0000}"/>
    <cellStyle name="40% - Ênfase6 2 5 2 2 2 2" xfId="16352" xr:uid="{00000000-0005-0000-0000-00004E3F0000}"/>
    <cellStyle name="40% - Ênfase6 2 5 2 2 2 2 2" xfId="16353" xr:uid="{00000000-0005-0000-0000-00004F3F0000}"/>
    <cellStyle name="40% - Ênfase6 2 5 2 2 2 3" xfId="16354" xr:uid="{00000000-0005-0000-0000-0000503F0000}"/>
    <cellStyle name="40% - Ênfase6 2 5 2 2 2 3 2" xfId="16355" xr:uid="{00000000-0005-0000-0000-0000513F0000}"/>
    <cellStyle name="40% - Ênfase6 2 5 2 2 2 4" xfId="16356" xr:uid="{00000000-0005-0000-0000-0000523F0000}"/>
    <cellStyle name="40% - Ênfase6 2 5 2 2 3" xfId="16357" xr:uid="{00000000-0005-0000-0000-0000533F0000}"/>
    <cellStyle name="40% - Ênfase6 2 5 2 2 3 2" xfId="16358" xr:uid="{00000000-0005-0000-0000-0000543F0000}"/>
    <cellStyle name="40% - Ênfase6 2 5 2 2 4" xfId="16359" xr:uid="{00000000-0005-0000-0000-0000553F0000}"/>
    <cellStyle name="40% - Ênfase6 2 5 2 2 4 2" xfId="16360" xr:uid="{00000000-0005-0000-0000-0000563F0000}"/>
    <cellStyle name="40% - Ênfase6 2 5 2 2 5" xfId="16361" xr:uid="{00000000-0005-0000-0000-0000573F0000}"/>
    <cellStyle name="40% - Ênfase6 2 5 2 3" xfId="16362" xr:uid="{00000000-0005-0000-0000-0000583F0000}"/>
    <cellStyle name="40% - Ênfase6 2 5 2 3 2" xfId="16363" xr:uid="{00000000-0005-0000-0000-0000593F0000}"/>
    <cellStyle name="40% - Ênfase6 2 5 2 3 2 2" xfId="16364" xr:uid="{00000000-0005-0000-0000-00005A3F0000}"/>
    <cellStyle name="40% - Ênfase6 2 5 2 3 3" xfId="16365" xr:uid="{00000000-0005-0000-0000-00005B3F0000}"/>
    <cellStyle name="40% - Ênfase6 2 5 2 3 3 2" xfId="16366" xr:uid="{00000000-0005-0000-0000-00005C3F0000}"/>
    <cellStyle name="40% - Ênfase6 2 5 2 3 4" xfId="16367" xr:uid="{00000000-0005-0000-0000-00005D3F0000}"/>
    <cellStyle name="40% - Ênfase6 2 5 2 4" xfId="16368" xr:uid="{00000000-0005-0000-0000-00005E3F0000}"/>
    <cellStyle name="40% - Ênfase6 2 5 2 4 2" xfId="16369" xr:uid="{00000000-0005-0000-0000-00005F3F0000}"/>
    <cellStyle name="40% - Ênfase6 2 5 2 4 2 2" xfId="16370" xr:uid="{00000000-0005-0000-0000-0000603F0000}"/>
    <cellStyle name="40% - Ênfase6 2 5 2 4 3" xfId="16371" xr:uid="{00000000-0005-0000-0000-0000613F0000}"/>
    <cellStyle name="40% - Ênfase6 2 5 2 5" xfId="16372" xr:uid="{00000000-0005-0000-0000-0000623F0000}"/>
    <cellStyle name="40% - Ênfase6 2 5 2 5 2" xfId="16373" xr:uid="{00000000-0005-0000-0000-0000633F0000}"/>
    <cellStyle name="40% - Ênfase6 2 5 2 6" xfId="16374" xr:uid="{00000000-0005-0000-0000-0000643F0000}"/>
    <cellStyle name="40% - Ênfase6 2 5 3" xfId="16375" xr:uid="{00000000-0005-0000-0000-0000653F0000}"/>
    <cellStyle name="40% - Ênfase6 2 5 3 2" xfId="16376" xr:uid="{00000000-0005-0000-0000-0000663F0000}"/>
    <cellStyle name="40% - Ênfase6 2 5 3 2 2" xfId="16377" xr:uid="{00000000-0005-0000-0000-0000673F0000}"/>
    <cellStyle name="40% - Ênfase6 2 5 3 2 2 2" xfId="16378" xr:uid="{00000000-0005-0000-0000-0000683F0000}"/>
    <cellStyle name="40% - Ênfase6 2 5 3 2 3" xfId="16379" xr:uid="{00000000-0005-0000-0000-0000693F0000}"/>
    <cellStyle name="40% - Ênfase6 2 5 3 2 3 2" xfId="16380" xr:uid="{00000000-0005-0000-0000-00006A3F0000}"/>
    <cellStyle name="40% - Ênfase6 2 5 3 2 4" xfId="16381" xr:uid="{00000000-0005-0000-0000-00006B3F0000}"/>
    <cellStyle name="40% - Ênfase6 2 5 3 3" xfId="16382" xr:uid="{00000000-0005-0000-0000-00006C3F0000}"/>
    <cellStyle name="40% - Ênfase6 2 5 3 3 2" xfId="16383" xr:uid="{00000000-0005-0000-0000-00006D3F0000}"/>
    <cellStyle name="40% - Ênfase6 2 5 3 4" xfId="16384" xr:uid="{00000000-0005-0000-0000-00006E3F0000}"/>
    <cellStyle name="40% - Ênfase6 2 5 3 4 2" xfId="16385" xr:uid="{00000000-0005-0000-0000-00006F3F0000}"/>
    <cellStyle name="40% - Ênfase6 2 5 3 5" xfId="16386" xr:uid="{00000000-0005-0000-0000-0000703F0000}"/>
    <cellStyle name="40% - Ênfase6 2 5 4" xfId="16387" xr:uid="{00000000-0005-0000-0000-0000713F0000}"/>
    <cellStyle name="40% - Ênfase6 2 5 4 2" xfId="16388" xr:uid="{00000000-0005-0000-0000-0000723F0000}"/>
    <cellStyle name="40% - Ênfase6 2 5 4 2 2" xfId="16389" xr:uid="{00000000-0005-0000-0000-0000733F0000}"/>
    <cellStyle name="40% - Ênfase6 2 5 4 3" xfId="16390" xr:uid="{00000000-0005-0000-0000-0000743F0000}"/>
    <cellStyle name="40% - Ênfase6 2 5 4 3 2" xfId="16391" xr:uid="{00000000-0005-0000-0000-0000753F0000}"/>
    <cellStyle name="40% - Ênfase6 2 5 4 4" xfId="16392" xr:uid="{00000000-0005-0000-0000-0000763F0000}"/>
    <cellStyle name="40% - Ênfase6 2 5 5" xfId="16393" xr:uid="{00000000-0005-0000-0000-0000773F0000}"/>
    <cellStyle name="40% - Ênfase6 2 5 5 2" xfId="16394" xr:uid="{00000000-0005-0000-0000-0000783F0000}"/>
    <cellStyle name="40% - Ênfase6 2 5 5 2 2" xfId="16395" xr:uid="{00000000-0005-0000-0000-0000793F0000}"/>
    <cellStyle name="40% - Ênfase6 2 5 5 3" xfId="16396" xr:uid="{00000000-0005-0000-0000-00007A3F0000}"/>
    <cellStyle name="40% - Ênfase6 2 5 6" xfId="16397" xr:uid="{00000000-0005-0000-0000-00007B3F0000}"/>
    <cellStyle name="40% - Ênfase6 2 5 6 2" xfId="16398" xr:uid="{00000000-0005-0000-0000-00007C3F0000}"/>
    <cellStyle name="40% - Ênfase6 2 5 7" xfId="16399" xr:uid="{00000000-0005-0000-0000-00007D3F0000}"/>
    <cellStyle name="40% - Ênfase6 2 6" xfId="16400" xr:uid="{00000000-0005-0000-0000-00007E3F0000}"/>
    <cellStyle name="40% - Ênfase6 2 6 2" xfId="16401" xr:uid="{00000000-0005-0000-0000-00007F3F0000}"/>
    <cellStyle name="40% - Ênfase6 2 6 2 2" xfId="16402" xr:uid="{00000000-0005-0000-0000-0000803F0000}"/>
    <cellStyle name="40% - Ênfase6 2 6 2 2 2" xfId="16403" xr:uid="{00000000-0005-0000-0000-0000813F0000}"/>
    <cellStyle name="40% - Ênfase6 2 6 2 2 2 2" xfId="16404" xr:uid="{00000000-0005-0000-0000-0000823F0000}"/>
    <cellStyle name="40% - Ênfase6 2 6 2 2 2 2 2" xfId="16405" xr:uid="{00000000-0005-0000-0000-0000833F0000}"/>
    <cellStyle name="40% - Ênfase6 2 6 2 2 2 3" xfId="16406" xr:uid="{00000000-0005-0000-0000-0000843F0000}"/>
    <cellStyle name="40% - Ênfase6 2 6 2 2 2 3 2" xfId="16407" xr:uid="{00000000-0005-0000-0000-0000853F0000}"/>
    <cellStyle name="40% - Ênfase6 2 6 2 2 2 4" xfId="16408" xr:uid="{00000000-0005-0000-0000-0000863F0000}"/>
    <cellStyle name="40% - Ênfase6 2 6 2 2 3" xfId="16409" xr:uid="{00000000-0005-0000-0000-0000873F0000}"/>
    <cellStyle name="40% - Ênfase6 2 6 2 2 3 2" xfId="16410" xr:uid="{00000000-0005-0000-0000-0000883F0000}"/>
    <cellStyle name="40% - Ênfase6 2 6 2 2 4" xfId="16411" xr:uid="{00000000-0005-0000-0000-0000893F0000}"/>
    <cellStyle name="40% - Ênfase6 2 6 2 2 4 2" xfId="16412" xr:uid="{00000000-0005-0000-0000-00008A3F0000}"/>
    <cellStyle name="40% - Ênfase6 2 6 2 2 5" xfId="16413" xr:uid="{00000000-0005-0000-0000-00008B3F0000}"/>
    <cellStyle name="40% - Ênfase6 2 6 2 3" xfId="16414" xr:uid="{00000000-0005-0000-0000-00008C3F0000}"/>
    <cellStyle name="40% - Ênfase6 2 6 2 3 2" xfId="16415" xr:uid="{00000000-0005-0000-0000-00008D3F0000}"/>
    <cellStyle name="40% - Ênfase6 2 6 2 3 2 2" xfId="16416" xr:uid="{00000000-0005-0000-0000-00008E3F0000}"/>
    <cellStyle name="40% - Ênfase6 2 6 2 3 3" xfId="16417" xr:uid="{00000000-0005-0000-0000-00008F3F0000}"/>
    <cellStyle name="40% - Ênfase6 2 6 2 3 3 2" xfId="16418" xr:uid="{00000000-0005-0000-0000-0000903F0000}"/>
    <cellStyle name="40% - Ênfase6 2 6 2 3 4" xfId="16419" xr:uid="{00000000-0005-0000-0000-0000913F0000}"/>
    <cellStyle name="40% - Ênfase6 2 6 2 4" xfId="16420" xr:uid="{00000000-0005-0000-0000-0000923F0000}"/>
    <cellStyle name="40% - Ênfase6 2 6 2 4 2" xfId="16421" xr:uid="{00000000-0005-0000-0000-0000933F0000}"/>
    <cellStyle name="40% - Ênfase6 2 6 2 4 2 2" xfId="16422" xr:uid="{00000000-0005-0000-0000-0000943F0000}"/>
    <cellStyle name="40% - Ênfase6 2 6 2 4 3" xfId="16423" xr:uid="{00000000-0005-0000-0000-0000953F0000}"/>
    <cellStyle name="40% - Ênfase6 2 6 2 5" xfId="16424" xr:uid="{00000000-0005-0000-0000-0000963F0000}"/>
    <cellStyle name="40% - Ênfase6 2 6 2 5 2" xfId="16425" xr:uid="{00000000-0005-0000-0000-0000973F0000}"/>
    <cellStyle name="40% - Ênfase6 2 6 2 6" xfId="16426" xr:uid="{00000000-0005-0000-0000-0000983F0000}"/>
    <cellStyle name="40% - Ênfase6 2 6 3" xfId="16427" xr:uid="{00000000-0005-0000-0000-0000993F0000}"/>
    <cellStyle name="40% - Ênfase6 2 6 3 2" xfId="16428" xr:uid="{00000000-0005-0000-0000-00009A3F0000}"/>
    <cellStyle name="40% - Ênfase6 2 6 3 2 2" xfId="16429" xr:uid="{00000000-0005-0000-0000-00009B3F0000}"/>
    <cellStyle name="40% - Ênfase6 2 6 3 2 2 2" xfId="16430" xr:uid="{00000000-0005-0000-0000-00009C3F0000}"/>
    <cellStyle name="40% - Ênfase6 2 6 3 2 3" xfId="16431" xr:uid="{00000000-0005-0000-0000-00009D3F0000}"/>
    <cellStyle name="40% - Ênfase6 2 6 3 2 3 2" xfId="16432" xr:uid="{00000000-0005-0000-0000-00009E3F0000}"/>
    <cellStyle name="40% - Ênfase6 2 6 3 2 4" xfId="16433" xr:uid="{00000000-0005-0000-0000-00009F3F0000}"/>
    <cellStyle name="40% - Ênfase6 2 6 3 3" xfId="16434" xr:uid="{00000000-0005-0000-0000-0000A03F0000}"/>
    <cellStyle name="40% - Ênfase6 2 6 3 3 2" xfId="16435" xr:uid="{00000000-0005-0000-0000-0000A13F0000}"/>
    <cellStyle name="40% - Ênfase6 2 6 3 4" xfId="16436" xr:uid="{00000000-0005-0000-0000-0000A23F0000}"/>
    <cellStyle name="40% - Ênfase6 2 6 3 4 2" xfId="16437" xr:uid="{00000000-0005-0000-0000-0000A33F0000}"/>
    <cellStyle name="40% - Ênfase6 2 6 3 5" xfId="16438" xr:uid="{00000000-0005-0000-0000-0000A43F0000}"/>
    <cellStyle name="40% - Ênfase6 2 6 4" xfId="16439" xr:uid="{00000000-0005-0000-0000-0000A53F0000}"/>
    <cellStyle name="40% - Ênfase6 2 6 4 2" xfId="16440" xr:uid="{00000000-0005-0000-0000-0000A63F0000}"/>
    <cellStyle name="40% - Ênfase6 2 6 4 2 2" xfId="16441" xr:uid="{00000000-0005-0000-0000-0000A73F0000}"/>
    <cellStyle name="40% - Ênfase6 2 6 4 3" xfId="16442" xr:uid="{00000000-0005-0000-0000-0000A83F0000}"/>
    <cellStyle name="40% - Ênfase6 2 6 4 3 2" xfId="16443" xr:uid="{00000000-0005-0000-0000-0000A93F0000}"/>
    <cellStyle name="40% - Ênfase6 2 6 4 4" xfId="16444" xr:uid="{00000000-0005-0000-0000-0000AA3F0000}"/>
    <cellStyle name="40% - Ênfase6 2 6 5" xfId="16445" xr:uid="{00000000-0005-0000-0000-0000AB3F0000}"/>
    <cellStyle name="40% - Ênfase6 2 6 5 2" xfId="16446" xr:uid="{00000000-0005-0000-0000-0000AC3F0000}"/>
    <cellStyle name="40% - Ênfase6 2 6 5 2 2" xfId="16447" xr:uid="{00000000-0005-0000-0000-0000AD3F0000}"/>
    <cellStyle name="40% - Ênfase6 2 6 5 3" xfId="16448" xr:uid="{00000000-0005-0000-0000-0000AE3F0000}"/>
    <cellStyle name="40% - Ênfase6 2 6 6" xfId="16449" xr:uid="{00000000-0005-0000-0000-0000AF3F0000}"/>
    <cellStyle name="40% - Ênfase6 2 6 6 2" xfId="16450" xr:uid="{00000000-0005-0000-0000-0000B03F0000}"/>
    <cellStyle name="40% - Ênfase6 2 6 7" xfId="16451" xr:uid="{00000000-0005-0000-0000-0000B13F0000}"/>
    <cellStyle name="40% - Ênfase6 2 7" xfId="16452" xr:uid="{00000000-0005-0000-0000-0000B23F0000}"/>
    <cellStyle name="40% - Ênfase6 2 7 2" xfId="16453" xr:uid="{00000000-0005-0000-0000-0000B33F0000}"/>
    <cellStyle name="40% - Ênfase6 2 7 2 2" xfId="16454" xr:uid="{00000000-0005-0000-0000-0000B43F0000}"/>
    <cellStyle name="40% - Ênfase6 2 7 2 2 2" xfId="16455" xr:uid="{00000000-0005-0000-0000-0000B53F0000}"/>
    <cellStyle name="40% - Ênfase6 2 7 2 2 2 2" xfId="16456" xr:uid="{00000000-0005-0000-0000-0000B63F0000}"/>
    <cellStyle name="40% - Ênfase6 2 7 2 2 3" xfId="16457" xr:uid="{00000000-0005-0000-0000-0000B73F0000}"/>
    <cellStyle name="40% - Ênfase6 2 7 2 2 3 2" xfId="16458" xr:uid="{00000000-0005-0000-0000-0000B83F0000}"/>
    <cellStyle name="40% - Ênfase6 2 7 2 2 4" xfId="16459" xr:uid="{00000000-0005-0000-0000-0000B93F0000}"/>
    <cellStyle name="40% - Ênfase6 2 7 2 3" xfId="16460" xr:uid="{00000000-0005-0000-0000-0000BA3F0000}"/>
    <cellStyle name="40% - Ênfase6 2 7 2 3 2" xfId="16461" xr:uid="{00000000-0005-0000-0000-0000BB3F0000}"/>
    <cellStyle name="40% - Ênfase6 2 7 2 4" xfId="16462" xr:uid="{00000000-0005-0000-0000-0000BC3F0000}"/>
    <cellStyle name="40% - Ênfase6 2 7 2 4 2" xfId="16463" xr:uid="{00000000-0005-0000-0000-0000BD3F0000}"/>
    <cellStyle name="40% - Ênfase6 2 7 2 5" xfId="16464" xr:uid="{00000000-0005-0000-0000-0000BE3F0000}"/>
    <cellStyle name="40% - Ênfase6 2 7 3" xfId="16465" xr:uid="{00000000-0005-0000-0000-0000BF3F0000}"/>
    <cellStyle name="40% - Ênfase6 2 7 3 2" xfId="16466" xr:uid="{00000000-0005-0000-0000-0000C03F0000}"/>
    <cellStyle name="40% - Ênfase6 2 7 3 2 2" xfId="16467" xr:uid="{00000000-0005-0000-0000-0000C13F0000}"/>
    <cellStyle name="40% - Ênfase6 2 7 3 3" xfId="16468" xr:uid="{00000000-0005-0000-0000-0000C23F0000}"/>
    <cellStyle name="40% - Ênfase6 2 7 3 3 2" xfId="16469" xr:uid="{00000000-0005-0000-0000-0000C33F0000}"/>
    <cellStyle name="40% - Ênfase6 2 7 3 4" xfId="16470" xr:uid="{00000000-0005-0000-0000-0000C43F0000}"/>
    <cellStyle name="40% - Ênfase6 2 7 4" xfId="16471" xr:uid="{00000000-0005-0000-0000-0000C53F0000}"/>
    <cellStyle name="40% - Ênfase6 2 7 4 2" xfId="16472" xr:uid="{00000000-0005-0000-0000-0000C63F0000}"/>
    <cellStyle name="40% - Ênfase6 2 7 4 2 2" xfId="16473" xr:uid="{00000000-0005-0000-0000-0000C73F0000}"/>
    <cellStyle name="40% - Ênfase6 2 7 4 3" xfId="16474" xr:uid="{00000000-0005-0000-0000-0000C83F0000}"/>
    <cellStyle name="40% - Ênfase6 2 7 5" xfId="16475" xr:uid="{00000000-0005-0000-0000-0000C93F0000}"/>
    <cellStyle name="40% - Ênfase6 2 7 5 2" xfId="16476" xr:uid="{00000000-0005-0000-0000-0000CA3F0000}"/>
    <cellStyle name="40% - Ênfase6 2 7 6" xfId="16477" xr:uid="{00000000-0005-0000-0000-0000CB3F0000}"/>
    <cellStyle name="40% - Ênfase6 2 8" xfId="16478" xr:uid="{00000000-0005-0000-0000-0000CC3F0000}"/>
    <cellStyle name="40% - Ênfase6 2 8 2" xfId="16479" xr:uid="{00000000-0005-0000-0000-0000CD3F0000}"/>
    <cellStyle name="40% - Ênfase6 2 8 2 2" xfId="16480" xr:uid="{00000000-0005-0000-0000-0000CE3F0000}"/>
    <cellStyle name="40% - Ênfase6 2 8 2 2 2" xfId="16481" xr:uid="{00000000-0005-0000-0000-0000CF3F0000}"/>
    <cellStyle name="40% - Ênfase6 2 8 2 3" xfId="16482" xr:uid="{00000000-0005-0000-0000-0000D03F0000}"/>
    <cellStyle name="40% - Ênfase6 2 8 2 3 2" xfId="16483" xr:uid="{00000000-0005-0000-0000-0000D13F0000}"/>
    <cellStyle name="40% - Ênfase6 2 8 2 4" xfId="16484" xr:uid="{00000000-0005-0000-0000-0000D23F0000}"/>
    <cellStyle name="40% - Ênfase6 2 8 3" xfId="16485" xr:uid="{00000000-0005-0000-0000-0000D33F0000}"/>
    <cellStyle name="40% - Ênfase6 2 8 3 2" xfId="16486" xr:uid="{00000000-0005-0000-0000-0000D43F0000}"/>
    <cellStyle name="40% - Ênfase6 2 8 3 2 2" xfId="16487" xr:uid="{00000000-0005-0000-0000-0000D53F0000}"/>
    <cellStyle name="40% - Ênfase6 2 8 3 3" xfId="16488" xr:uid="{00000000-0005-0000-0000-0000D63F0000}"/>
    <cellStyle name="40% - Ênfase6 2 8 3 3 2" xfId="16489" xr:uid="{00000000-0005-0000-0000-0000D73F0000}"/>
    <cellStyle name="40% - Ênfase6 2 8 3 4" xfId="16490" xr:uid="{00000000-0005-0000-0000-0000D83F0000}"/>
    <cellStyle name="40% - Ênfase6 2 8 4" xfId="16491" xr:uid="{00000000-0005-0000-0000-0000D93F0000}"/>
    <cellStyle name="40% - Ênfase6 2 8 4 2" xfId="16492" xr:uid="{00000000-0005-0000-0000-0000DA3F0000}"/>
    <cellStyle name="40% - Ênfase6 2 8 5" xfId="16493" xr:uid="{00000000-0005-0000-0000-0000DB3F0000}"/>
    <cellStyle name="40% - Ênfase6 2 8 5 2" xfId="16494" xr:uid="{00000000-0005-0000-0000-0000DC3F0000}"/>
    <cellStyle name="40% - Ênfase6 2 8 6" xfId="16495" xr:uid="{00000000-0005-0000-0000-0000DD3F0000}"/>
    <cellStyle name="40% - Ênfase6 2 9" xfId="16496" xr:uid="{00000000-0005-0000-0000-0000DE3F0000}"/>
    <cellStyle name="40% - Ênfase6 2 9 2" xfId="16497" xr:uid="{00000000-0005-0000-0000-0000DF3F0000}"/>
    <cellStyle name="40% - Ênfase6 2 9 2 2" xfId="16498" xr:uid="{00000000-0005-0000-0000-0000E03F0000}"/>
    <cellStyle name="40% - Ênfase6 2 9 2 2 2" xfId="16499" xr:uid="{00000000-0005-0000-0000-0000E13F0000}"/>
    <cellStyle name="40% - Ênfase6 2 9 2 3" xfId="16500" xr:uid="{00000000-0005-0000-0000-0000E23F0000}"/>
    <cellStyle name="40% - Ênfase6 2 9 2 3 2" xfId="16501" xr:uid="{00000000-0005-0000-0000-0000E33F0000}"/>
    <cellStyle name="40% - Ênfase6 2 9 2 4" xfId="16502" xr:uid="{00000000-0005-0000-0000-0000E43F0000}"/>
    <cellStyle name="40% - Ênfase6 2 9 3" xfId="16503" xr:uid="{00000000-0005-0000-0000-0000E53F0000}"/>
    <cellStyle name="40% - Ênfase6 2 9 3 2" xfId="16504" xr:uid="{00000000-0005-0000-0000-0000E63F0000}"/>
    <cellStyle name="40% - Ênfase6 2 9 3 2 2" xfId="16505" xr:uid="{00000000-0005-0000-0000-0000E73F0000}"/>
    <cellStyle name="40% - Ênfase6 2 9 3 3" xfId="16506" xr:uid="{00000000-0005-0000-0000-0000E83F0000}"/>
    <cellStyle name="40% - Ênfase6 2 9 3 3 2" xfId="16507" xr:uid="{00000000-0005-0000-0000-0000E93F0000}"/>
    <cellStyle name="40% - Ênfase6 2 9 3 4" xfId="16508" xr:uid="{00000000-0005-0000-0000-0000EA3F0000}"/>
    <cellStyle name="40% - Ênfase6 2 9 4" xfId="16509" xr:uid="{00000000-0005-0000-0000-0000EB3F0000}"/>
    <cellStyle name="40% - Ênfase6 2 9 4 2" xfId="16510" xr:uid="{00000000-0005-0000-0000-0000EC3F0000}"/>
    <cellStyle name="40% - Ênfase6 2 9 5" xfId="16511" xr:uid="{00000000-0005-0000-0000-0000ED3F0000}"/>
    <cellStyle name="40% - Ênfase6 2 9 5 2" xfId="16512" xr:uid="{00000000-0005-0000-0000-0000EE3F0000}"/>
    <cellStyle name="40% - Ênfase6 2 9 6" xfId="16513" xr:uid="{00000000-0005-0000-0000-0000EF3F0000}"/>
    <cellStyle name="40% - Ênfase6 20" xfId="16514" xr:uid="{00000000-0005-0000-0000-0000F03F0000}"/>
    <cellStyle name="40% - Ênfase6 20 2" xfId="16515" xr:uid="{00000000-0005-0000-0000-0000F13F0000}"/>
    <cellStyle name="40% - Ênfase6 20 2 2" xfId="16516" xr:uid="{00000000-0005-0000-0000-0000F23F0000}"/>
    <cellStyle name="40% - Ênfase6 20 3" xfId="16517" xr:uid="{00000000-0005-0000-0000-0000F33F0000}"/>
    <cellStyle name="40% - Ênfase6 21" xfId="16518" xr:uid="{00000000-0005-0000-0000-0000F43F0000}"/>
    <cellStyle name="40% - Ênfase6 21 2" xfId="16519" xr:uid="{00000000-0005-0000-0000-0000F53F0000}"/>
    <cellStyle name="40% - Ênfase6 21 2 2" xfId="16520" xr:uid="{00000000-0005-0000-0000-0000F63F0000}"/>
    <cellStyle name="40% - Ênfase6 21 3" xfId="16521" xr:uid="{00000000-0005-0000-0000-0000F73F0000}"/>
    <cellStyle name="40% - Ênfase6 22" xfId="16522" xr:uid="{00000000-0005-0000-0000-0000F83F0000}"/>
    <cellStyle name="40% - Ênfase6 22 2" xfId="16523" xr:uid="{00000000-0005-0000-0000-0000F93F0000}"/>
    <cellStyle name="40% - Ênfase6 22 2 2" xfId="16524" xr:uid="{00000000-0005-0000-0000-0000FA3F0000}"/>
    <cellStyle name="40% - Ênfase6 22 3" xfId="16525" xr:uid="{00000000-0005-0000-0000-0000FB3F0000}"/>
    <cellStyle name="40% - Ênfase6 23" xfId="16526" xr:uid="{00000000-0005-0000-0000-0000FC3F0000}"/>
    <cellStyle name="40% - Ênfase6 23 2" xfId="16527" xr:uid="{00000000-0005-0000-0000-0000FD3F0000}"/>
    <cellStyle name="40% - Ênfase6 23 2 2" xfId="16528" xr:uid="{00000000-0005-0000-0000-0000FE3F0000}"/>
    <cellStyle name="40% - Ênfase6 23 3" xfId="16529" xr:uid="{00000000-0005-0000-0000-0000FF3F0000}"/>
    <cellStyle name="40% - Ênfase6 24" xfId="16530" xr:uid="{00000000-0005-0000-0000-000000400000}"/>
    <cellStyle name="40% - Ênfase6 24 2" xfId="16531" xr:uid="{00000000-0005-0000-0000-000001400000}"/>
    <cellStyle name="40% - Ênfase6 24 2 2" xfId="16532" xr:uid="{00000000-0005-0000-0000-000002400000}"/>
    <cellStyle name="40% - Ênfase6 24 3" xfId="16533" xr:uid="{00000000-0005-0000-0000-000003400000}"/>
    <cellStyle name="40% - Ênfase6 25" xfId="16534" xr:uid="{00000000-0005-0000-0000-000004400000}"/>
    <cellStyle name="40% - Ênfase6 25 2" xfId="16535" xr:uid="{00000000-0005-0000-0000-000005400000}"/>
    <cellStyle name="40% - Ênfase6 25 2 2" xfId="16536" xr:uid="{00000000-0005-0000-0000-000006400000}"/>
    <cellStyle name="40% - Ênfase6 25 3" xfId="16537" xr:uid="{00000000-0005-0000-0000-000007400000}"/>
    <cellStyle name="40% - Ênfase6 26" xfId="16538" xr:uid="{00000000-0005-0000-0000-000008400000}"/>
    <cellStyle name="40% - Ênfase6 26 2" xfId="16539" xr:uid="{00000000-0005-0000-0000-000009400000}"/>
    <cellStyle name="40% - Ênfase6 26 2 2" xfId="16540" xr:uid="{00000000-0005-0000-0000-00000A400000}"/>
    <cellStyle name="40% - Ênfase6 26 3" xfId="16541" xr:uid="{00000000-0005-0000-0000-00000B400000}"/>
    <cellStyle name="40% - Ênfase6 27" xfId="16542" xr:uid="{00000000-0005-0000-0000-00000C400000}"/>
    <cellStyle name="40% - Ênfase6 27 2" xfId="16543" xr:uid="{00000000-0005-0000-0000-00000D400000}"/>
    <cellStyle name="40% - Ênfase6 27 2 2" xfId="16544" xr:uid="{00000000-0005-0000-0000-00000E400000}"/>
    <cellStyle name="40% - Ênfase6 27 3" xfId="16545" xr:uid="{00000000-0005-0000-0000-00000F400000}"/>
    <cellStyle name="40% - Ênfase6 28" xfId="16546" xr:uid="{00000000-0005-0000-0000-000010400000}"/>
    <cellStyle name="40% - Ênfase6 28 2" xfId="16547" xr:uid="{00000000-0005-0000-0000-000011400000}"/>
    <cellStyle name="40% - Ênfase6 28 2 2" xfId="16548" xr:uid="{00000000-0005-0000-0000-000012400000}"/>
    <cellStyle name="40% - Ênfase6 28 3" xfId="16549" xr:uid="{00000000-0005-0000-0000-000013400000}"/>
    <cellStyle name="40% - Ênfase6 29" xfId="16550" xr:uid="{00000000-0005-0000-0000-000014400000}"/>
    <cellStyle name="40% - Ênfase6 3" xfId="16551" xr:uid="{00000000-0005-0000-0000-000015400000}"/>
    <cellStyle name="40% - Ênfase6 3 10" xfId="16552" xr:uid="{00000000-0005-0000-0000-000016400000}"/>
    <cellStyle name="40% - Ênfase6 3 10 2" xfId="16553" xr:uid="{00000000-0005-0000-0000-000017400000}"/>
    <cellStyle name="40% - Ênfase6 3 10 2 2" xfId="16554" xr:uid="{00000000-0005-0000-0000-000018400000}"/>
    <cellStyle name="40% - Ênfase6 3 10 3" xfId="16555" xr:uid="{00000000-0005-0000-0000-000019400000}"/>
    <cellStyle name="40% - Ênfase6 3 11" xfId="16556" xr:uid="{00000000-0005-0000-0000-00001A400000}"/>
    <cellStyle name="40% - Ênfase6 3 11 2" xfId="16557" xr:uid="{00000000-0005-0000-0000-00001B400000}"/>
    <cellStyle name="40% - Ênfase6 3 12" xfId="16558" xr:uid="{00000000-0005-0000-0000-00001C400000}"/>
    <cellStyle name="40% - Ênfase6 3 2" xfId="16559" xr:uid="{00000000-0005-0000-0000-00001D400000}"/>
    <cellStyle name="40% - Ênfase6 3 2 10" xfId="16560" xr:uid="{00000000-0005-0000-0000-00001E400000}"/>
    <cellStyle name="40% - Ênfase6 3 2 2" xfId="16561" xr:uid="{00000000-0005-0000-0000-00001F400000}"/>
    <cellStyle name="40% - Ênfase6 3 2 2 2" xfId="16562" xr:uid="{00000000-0005-0000-0000-000020400000}"/>
    <cellStyle name="40% - Ênfase6 3 2 2 2 2" xfId="16563" xr:uid="{00000000-0005-0000-0000-000021400000}"/>
    <cellStyle name="40% - Ênfase6 3 2 2 2 2 2" xfId="16564" xr:uid="{00000000-0005-0000-0000-000022400000}"/>
    <cellStyle name="40% - Ênfase6 3 2 2 2 2 2 2" xfId="16565" xr:uid="{00000000-0005-0000-0000-000023400000}"/>
    <cellStyle name="40% - Ênfase6 3 2 2 2 2 3" xfId="16566" xr:uid="{00000000-0005-0000-0000-000024400000}"/>
    <cellStyle name="40% - Ênfase6 3 2 2 2 2 3 2" xfId="16567" xr:uid="{00000000-0005-0000-0000-000025400000}"/>
    <cellStyle name="40% - Ênfase6 3 2 2 2 2 4" xfId="16568" xr:uid="{00000000-0005-0000-0000-000026400000}"/>
    <cellStyle name="40% - Ênfase6 3 2 2 2 3" xfId="16569" xr:uid="{00000000-0005-0000-0000-000027400000}"/>
    <cellStyle name="40% - Ênfase6 3 2 2 2 3 2" xfId="16570" xr:uid="{00000000-0005-0000-0000-000028400000}"/>
    <cellStyle name="40% - Ênfase6 3 2 2 2 4" xfId="16571" xr:uid="{00000000-0005-0000-0000-000029400000}"/>
    <cellStyle name="40% - Ênfase6 3 2 2 2 4 2" xfId="16572" xr:uid="{00000000-0005-0000-0000-00002A400000}"/>
    <cellStyle name="40% - Ênfase6 3 2 2 2 5" xfId="16573" xr:uid="{00000000-0005-0000-0000-00002B400000}"/>
    <cellStyle name="40% - Ênfase6 3 2 2 3" xfId="16574" xr:uid="{00000000-0005-0000-0000-00002C400000}"/>
    <cellStyle name="40% - Ênfase6 3 2 2 3 2" xfId="16575" xr:uid="{00000000-0005-0000-0000-00002D400000}"/>
    <cellStyle name="40% - Ênfase6 3 2 2 3 2 2" xfId="16576" xr:uid="{00000000-0005-0000-0000-00002E400000}"/>
    <cellStyle name="40% - Ênfase6 3 2 2 3 3" xfId="16577" xr:uid="{00000000-0005-0000-0000-00002F400000}"/>
    <cellStyle name="40% - Ênfase6 3 2 2 3 3 2" xfId="16578" xr:uid="{00000000-0005-0000-0000-000030400000}"/>
    <cellStyle name="40% - Ênfase6 3 2 2 3 4" xfId="16579" xr:uid="{00000000-0005-0000-0000-000031400000}"/>
    <cellStyle name="40% - Ênfase6 3 2 2 4" xfId="16580" xr:uid="{00000000-0005-0000-0000-000032400000}"/>
    <cellStyle name="40% - Ênfase6 3 2 2 4 2" xfId="16581" xr:uid="{00000000-0005-0000-0000-000033400000}"/>
    <cellStyle name="40% - Ênfase6 3 2 2 4 2 2" xfId="16582" xr:uid="{00000000-0005-0000-0000-000034400000}"/>
    <cellStyle name="40% - Ênfase6 3 2 2 4 3" xfId="16583" xr:uid="{00000000-0005-0000-0000-000035400000}"/>
    <cellStyle name="40% - Ênfase6 3 2 2 5" xfId="16584" xr:uid="{00000000-0005-0000-0000-000036400000}"/>
    <cellStyle name="40% - Ênfase6 3 2 2 5 2" xfId="16585" xr:uid="{00000000-0005-0000-0000-000037400000}"/>
    <cellStyle name="40% - Ênfase6 3 2 2 6" xfId="16586" xr:uid="{00000000-0005-0000-0000-000038400000}"/>
    <cellStyle name="40% - Ênfase6 3 2 3" xfId="16587" xr:uid="{00000000-0005-0000-0000-000039400000}"/>
    <cellStyle name="40% - Ênfase6 3 2 3 2" xfId="16588" xr:uid="{00000000-0005-0000-0000-00003A400000}"/>
    <cellStyle name="40% - Ênfase6 3 2 3 2 2" xfId="16589" xr:uid="{00000000-0005-0000-0000-00003B400000}"/>
    <cellStyle name="40% - Ênfase6 3 2 3 2 2 2" xfId="16590" xr:uid="{00000000-0005-0000-0000-00003C400000}"/>
    <cellStyle name="40% - Ênfase6 3 2 3 2 3" xfId="16591" xr:uid="{00000000-0005-0000-0000-00003D400000}"/>
    <cellStyle name="40% - Ênfase6 3 2 3 2 3 2" xfId="16592" xr:uid="{00000000-0005-0000-0000-00003E400000}"/>
    <cellStyle name="40% - Ênfase6 3 2 3 2 4" xfId="16593" xr:uid="{00000000-0005-0000-0000-00003F400000}"/>
    <cellStyle name="40% - Ênfase6 3 2 3 3" xfId="16594" xr:uid="{00000000-0005-0000-0000-000040400000}"/>
    <cellStyle name="40% - Ênfase6 3 2 3 3 2" xfId="16595" xr:uid="{00000000-0005-0000-0000-000041400000}"/>
    <cellStyle name="40% - Ênfase6 3 2 3 3 2 2" xfId="16596" xr:uid="{00000000-0005-0000-0000-000042400000}"/>
    <cellStyle name="40% - Ênfase6 3 2 3 3 3" xfId="16597" xr:uid="{00000000-0005-0000-0000-000043400000}"/>
    <cellStyle name="40% - Ênfase6 3 2 3 3 3 2" xfId="16598" xr:uid="{00000000-0005-0000-0000-000044400000}"/>
    <cellStyle name="40% - Ênfase6 3 2 3 3 4" xfId="16599" xr:uid="{00000000-0005-0000-0000-000045400000}"/>
    <cellStyle name="40% - Ênfase6 3 2 3 4" xfId="16600" xr:uid="{00000000-0005-0000-0000-000046400000}"/>
    <cellStyle name="40% - Ênfase6 3 2 3 4 2" xfId="16601" xr:uid="{00000000-0005-0000-0000-000047400000}"/>
    <cellStyle name="40% - Ênfase6 3 2 3 5" xfId="16602" xr:uid="{00000000-0005-0000-0000-000048400000}"/>
    <cellStyle name="40% - Ênfase6 3 2 3 5 2" xfId="16603" xr:uid="{00000000-0005-0000-0000-000049400000}"/>
    <cellStyle name="40% - Ênfase6 3 2 3 6" xfId="16604" xr:uid="{00000000-0005-0000-0000-00004A400000}"/>
    <cellStyle name="40% - Ênfase6 3 2 4" xfId="16605" xr:uid="{00000000-0005-0000-0000-00004B400000}"/>
    <cellStyle name="40% - Ênfase6 3 2 4 2" xfId="16606" xr:uid="{00000000-0005-0000-0000-00004C400000}"/>
    <cellStyle name="40% - Ênfase6 3 2 4 2 2" xfId="16607" xr:uid="{00000000-0005-0000-0000-00004D400000}"/>
    <cellStyle name="40% - Ênfase6 3 2 4 3" xfId="16608" xr:uid="{00000000-0005-0000-0000-00004E400000}"/>
    <cellStyle name="40% - Ênfase6 3 2 4 3 2" xfId="16609" xr:uid="{00000000-0005-0000-0000-00004F400000}"/>
    <cellStyle name="40% - Ênfase6 3 2 4 4" xfId="16610" xr:uid="{00000000-0005-0000-0000-000050400000}"/>
    <cellStyle name="40% - Ênfase6 3 2 5" xfId="16611" xr:uid="{00000000-0005-0000-0000-000051400000}"/>
    <cellStyle name="40% - Ênfase6 3 2 5 2" xfId="16612" xr:uid="{00000000-0005-0000-0000-000052400000}"/>
    <cellStyle name="40% - Ênfase6 3 2 5 2 2" xfId="16613" xr:uid="{00000000-0005-0000-0000-000053400000}"/>
    <cellStyle name="40% - Ênfase6 3 2 5 3" xfId="16614" xr:uid="{00000000-0005-0000-0000-000054400000}"/>
    <cellStyle name="40% - Ênfase6 3 2 6" xfId="16615" xr:uid="{00000000-0005-0000-0000-000055400000}"/>
    <cellStyle name="40% - Ênfase6 3 2 6 2" xfId="16616" xr:uid="{00000000-0005-0000-0000-000056400000}"/>
    <cellStyle name="40% - Ênfase6 3 2 6 2 2" xfId="16617" xr:uid="{00000000-0005-0000-0000-000057400000}"/>
    <cellStyle name="40% - Ênfase6 3 2 6 3" xfId="16618" xr:uid="{00000000-0005-0000-0000-000058400000}"/>
    <cellStyle name="40% - Ênfase6 3 2 7" xfId="16619" xr:uid="{00000000-0005-0000-0000-000059400000}"/>
    <cellStyle name="40% - Ênfase6 3 2 7 2" xfId="16620" xr:uid="{00000000-0005-0000-0000-00005A400000}"/>
    <cellStyle name="40% - Ênfase6 3 2 7 2 2" xfId="16621" xr:uid="{00000000-0005-0000-0000-00005B400000}"/>
    <cellStyle name="40% - Ênfase6 3 2 7 3" xfId="16622" xr:uid="{00000000-0005-0000-0000-00005C400000}"/>
    <cellStyle name="40% - Ênfase6 3 2 8" xfId="16623" xr:uid="{00000000-0005-0000-0000-00005D400000}"/>
    <cellStyle name="40% - Ênfase6 3 2 8 2" xfId="16624" xr:uid="{00000000-0005-0000-0000-00005E400000}"/>
    <cellStyle name="40% - Ênfase6 3 2 8 2 2" xfId="16625" xr:uid="{00000000-0005-0000-0000-00005F400000}"/>
    <cellStyle name="40% - Ênfase6 3 2 8 3" xfId="16626" xr:uid="{00000000-0005-0000-0000-000060400000}"/>
    <cellStyle name="40% - Ênfase6 3 2 9" xfId="16627" xr:uid="{00000000-0005-0000-0000-000061400000}"/>
    <cellStyle name="40% - Ênfase6 3 2 9 2" xfId="16628" xr:uid="{00000000-0005-0000-0000-000062400000}"/>
    <cellStyle name="40% - Ênfase6 3 3" xfId="16629" xr:uid="{00000000-0005-0000-0000-000063400000}"/>
    <cellStyle name="40% - Ênfase6 3 3 2" xfId="16630" xr:uid="{00000000-0005-0000-0000-000064400000}"/>
    <cellStyle name="40% - Ênfase6 3 3 2 2" xfId="16631" xr:uid="{00000000-0005-0000-0000-000065400000}"/>
    <cellStyle name="40% - Ênfase6 3 3 2 2 2" xfId="16632" xr:uid="{00000000-0005-0000-0000-000066400000}"/>
    <cellStyle name="40% - Ênfase6 3 3 2 2 2 2" xfId="16633" xr:uid="{00000000-0005-0000-0000-000067400000}"/>
    <cellStyle name="40% - Ênfase6 3 3 2 2 3" xfId="16634" xr:uid="{00000000-0005-0000-0000-000068400000}"/>
    <cellStyle name="40% - Ênfase6 3 3 2 2 3 2" xfId="16635" xr:uid="{00000000-0005-0000-0000-000069400000}"/>
    <cellStyle name="40% - Ênfase6 3 3 2 2 4" xfId="16636" xr:uid="{00000000-0005-0000-0000-00006A400000}"/>
    <cellStyle name="40% - Ênfase6 3 3 2 3" xfId="16637" xr:uid="{00000000-0005-0000-0000-00006B400000}"/>
    <cellStyle name="40% - Ênfase6 3 3 2 3 2" xfId="16638" xr:uid="{00000000-0005-0000-0000-00006C400000}"/>
    <cellStyle name="40% - Ênfase6 3 3 2 4" xfId="16639" xr:uid="{00000000-0005-0000-0000-00006D400000}"/>
    <cellStyle name="40% - Ênfase6 3 3 2 4 2" xfId="16640" xr:uid="{00000000-0005-0000-0000-00006E400000}"/>
    <cellStyle name="40% - Ênfase6 3 3 2 5" xfId="16641" xr:uid="{00000000-0005-0000-0000-00006F400000}"/>
    <cellStyle name="40% - Ênfase6 3 3 3" xfId="16642" xr:uid="{00000000-0005-0000-0000-000070400000}"/>
    <cellStyle name="40% - Ênfase6 3 3 3 2" xfId="16643" xr:uid="{00000000-0005-0000-0000-000071400000}"/>
    <cellStyle name="40% - Ênfase6 3 3 3 2 2" xfId="16644" xr:uid="{00000000-0005-0000-0000-000072400000}"/>
    <cellStyle name="40% - Ênfase6 3 3 3 3" xfId="16645" xr:uid="{00000000-0005-0000-0000-000073400000}"/>
    <cellStyle name="40% - Ênfase6 3 3 3 3 2" xfId="16646" xr:uid="{00000000-0005-0000-0000-000074400000}"/>
    <cellStyle name="40% - Ênfase6 3 3 3 4" xfId="16647" xr:uid="{00000000-0005-0000-0000-000075400000}"/>
    <cellStyle name="40% - Ênfase6 3 3 4" xfId="16648" xr:uid="{00000000-0005-0000-0000-000076400000}"/>
    <cellStyle name="40% - Ênfase6 3 3 4 2" xfId="16649" xr:uid="{00000000-0005-0000-0000-000077400000}"/>
    <cellStyle name="40% - Ênfase6 3 3 4 2 2" xfId="16650" xr:uid="{00000000-0005-0000-0000-000078400000}"/>
    <cellStyle name="40% - Ênfase6 3 3 4 3" xfId="16651" xr:uid="{00000000-0005-0000-0000-000079400000}"/>
    <cellStyle name="40% - Ênfase6 3 3 5" xfId="16652" xr:uid="{00000000-0005-0000-0000-00007A400000}"/>
    <cellStyle name="40% - Ênfase6 3 3 5 2" xfId="16653" xr:uid="{00000000-0005-0000-0000-00007B400000}"/>
    <cellStyle name="40% - Ênfase6 3 3 6" xfId="16654" xr:uid="{00000000-0005-0000-0000-00007C400000}"/>
    <cellStyle name="40% - Ênfase6 3 4" xfId="16655" xr:uid="{00000000-0005-0000-0000-00007D400000}"/>
    <cellStyle name="40% - Ênfase6 3 4 2" xfId="16656" xr:uid="{00000000-0005-0000-0000-00007E400000}"/>
    <cellStyle name="40% - Ênfase6 3 4 2 2" xfId="16657" xr:uid="{00000000-0005-0000-0000-00007F400000}"/>
    <cellStyle name="40% - Ênfase6 3 4 2 2 2" xfId="16658" xr:uid="{00000000-0005-0000-0000-000080400000}"/>
    <cellStyle name="40% - Ênfase6 3 4 2 3" xfId="16659" xr:uid="{00000000-0005-0000-0000-000081400000}"/>
    <cellStyle name="40% - Ênfase6 3 4 2 3 2" xfId="16660" xr:uid="{00000000-0005-0000-0000-000082400000}"/>
    <cellStyle name="40% - Ênfase6 3 4 2 4" xfId="16661" xr:uid="{00000000-0005-0000-0000-000083400000}"/>
    <cellStyle name="40% - Ênfase6 3 4 3" xfId="16662" xr:uid="{00000000-0005-0000-0000-000084400000}"/>
    <cellStyle name="40% - Ênfase6 3 4 3 2" xfId="16663" xr:uid="{00000000-0005-0000-0000-000085400000}"/>
    <cellStyle name="40% - Ênfase6 3 4 3 2 2" xfId="16664" xr:uid="{00000000-0005-0000-0000-000086400000}"/>
    <cellStyle name="40% - Ênfase6 3 4 3 3" xfId="16665" xr:uid="{00000000-0005-0000-0000-000087400000}"/>
    <cellStyle name="40% - Ênfase6 3 4 3 3 2" xfId="16666" xr:uid="{00000000-0005-0000-0000-000088400000}"/>
    <cellStyle name="40% - Ênfase6 3 4 3 4" xfId="16667" xr:uid="{00000000-0005-0000-0000-000089400000}"/>
    <cellStyle name="40% - Ênfase6 3 4 4" xfId="16668" xr:uid="{00000000-0005-0000-0000-00008A400000}"/>
    <cellStyle name="40% - Ênfase6 3 4 4 2" xfId="16669" xr:uid="{00000000-0005-0000-0000-00008B400000}"/>
    <cellStyle name="40% - Ênfase6 3 4 5" xfId="16670" xr:uid="{00000000-0005-0000-0000-00008C400000}"/>
    <cellStyle name="40% - Ênfase6 3 4 5 2" xfId="16671" xr:uid="{00000000-0005-0000-0000-00008D400000}"/>
    <cellStyle name="40% - Ênfase6 3 4 6" xfId="16672" xr:uid="{00000000-0005-0000-0000-00008E400000}"/>
    <cellStyle name="40% - Ênfase6 3 5" xfId="16673" xr:uid="{00000000-0005-0000-0000-00008F400000}"/>
    <cellStyle name="40% - Ênfase6 3 5 2" xfId="16674" xr:uid="{00000000-0005-0000-0000-000090400000}"/>
    <cellStyle name="40% - Ênfase6 3 5 2 2" xfId="16675" xr:uid="{00000000-0005-0000-0000-000091400000}"/>
    <cellStyle name="40% - Ênfase6 3 5 2 2 2" xfId="16676" xr:uid="{00000000-0005-0000-0000-000092400000}"/>
    <cellStyle name="40% - Ênfase6 3 5 2 3" xfId="16677" xr:uid="{00000000-0005-0000-0000-000093400000}"/>
    <cellStyle name="40% - Ênfase6 3 5 2 3 2" xfId="16678" xr:uid="{00000000-0005-0000-0000-000094400000}"/>
    <cellStyle name="40% - Ênfase6 3 5 2 4" xfId="16679" xr:uid="{00000000-0005-0000-0000-000095400000}"/>
    <cellStyle name="40% - Ênfase6 3 5 3" xfId="16680" xr:uid="{00000000-0005-0000-0000-000096400000}"/>
    <cellStyle name="40% - Ênfase6 3 5 3 2" xfId="16681" xr:uid="{00000000-0005-0000-0000-000097400000}"/>
    <cellStyle name="40% - Ênfase6 3 5 3 2 2" xfId="16682" xr:uid="{00000000-0005-0000-0000-000098400000}"/>
    <cellStyle name="40% - Ênfase6 3 5 3 3" xfId="16683" xr:uid="{00000000-0005-0000-0000-000099400000}"/>
    <cellStyle name="40% - Ênfase6 3 5 3 3 2" xfId="16684" xr:uid="{00000000-0005-0000-0000-00009A400000}"/>
    <cellStyle name="40% - Ênfase6 3 5 3 4" xfId="16685" xr:uid="{00000000-0005-0000-0000-00009B400000}"/>
    <cellStyle name="40% - Ênfase6 3 5 4" xfId="16686" xr:uid="{00000000-0005-0000-0000-00009C400000}"/>
    <cellStyle name="40% - Ênfase6 3 5 4 2" xfId="16687" xr:uid="{00000000-0005-0000-0000-00009D400000}"/>
    <cellStyle name="40% - Ênfase6 3 5 5" xfId="16688" xr:uid="{00000000-0005-0000-0000-00009E400000}"/>
    <cellStyle name="40% - Ênfase6 3 5 5 2" xfId="16689" xr:uid="{00000000-0005-0000-0000-00009F400000}"/>
    <cellStyle name="40% - Ênfase6 3 5 6" xfId="16690" xr:uid="{00000000-0005-0000-0000-0000A0400000}"/>
    <cellStyle name="40% - Ênfase6 3 6" xfId="16691" xr:uid="{00000000-0005-0000-0000-0000A1400000}"/>
    <cellStyle name="40% - Ênfase6 3 6 2" xfId="16692" xr:uid="{00000000-0005-0000-0000-0000A2400000}"/>
    <cellStyle name="40% - Ênfase6 3 6 2 2" xfId="16693" xr:uid="{00000000-0005-0000-0000-0000A3400000}"/>
    <cellStyle name="40% - Ênfase6 3 6 3" xfId="16694" xr:uid="{00000000-0005-0000-0000-0000A4400000}"/>
    <cellStyle name="40% - Ênfase6 3 6 3 2" xfId="16695" xr:uid="{00000000-0005-0000-0000-0000A5400000}"/>
    <cellStyle name="40% - Ênfase6 3 6 4" xfId="16696" xr:uid="{00000000-0005-0000-0000-0000A6400000}"/>
    <cellStyle name="40% - Ênfase6 3 7" xfId="16697" xr:uid="{00000000-0005-0000-0000-0000A7400000}"/>
    <cellStyle name="40% - Ênfase6 3 7 2" xfId="16698" xr:uid="{00000000-0005-0000-0000-0000A8400000}"/>
    <cellStyle name="40% - Ênfase6 3 7 2 2" xfId="16699" xr:uid="{00000000-0005-0000-0000-0000A9400000}"/>
    <cellStyle name="40% - Ênfase6 3 7 3" xfId="16700" xr:uid="{00000000-0005-0000-0000-0000AA400000}"/>
    <cellStyle name="40% - Ênfase6 3 8" xfId="16701" xr:uid="{00000000-0005-0000-0000-0000AB400000}"/>
    <cellStyle name="40% - Ênfase6 3 8 2" xfId="16702" xr:uid="{00000000-0005-0000-0000-0000AC400000}"/>
    <cellStyle name="40% - Ênfase6 3 8 2 2" xfId="16703" xr:uid="{00000000-0005-0000-0000-0000AD400000}"/>
    <cellStyle name="40% - Ênfase6 3 8 3" xfId="16704" xr:uid="{00000000-0005-0000-0000-0000AE400000}"/>
    <cellStyle name="40% - Ênfase6 3 9" xfId="16705" xr:uid="{00000000-0005-0000-0000-0000AF400000}"/>
    <cellStyle name="40% - Ênfase6 3 9 2" xfId="16706" xr:uid="{00000000-0005-0000-0000-0000B0400000}"/>
    <cellStyle name="40% - Ênfase6 3 9 2 2" xfId="16707" xr:uid="{00000000-0005-0000-0000-0000B1400000}"/>
    <cellStyle name="40% - Ênfase6 3 9 3" xfId="16708" xr:uid="{00000000-0005-0000-0000-0000B2400000}"/>
    <cellStyle name="40% - Ênfase6 30" xfId="16709" xr:uid="{00000000-0005-0000-0000-0000B3400000}"/>
    <cellStyle name="40% - Ênfase6 31" xfId="16710" xr:uid="{00000000-0005-0000-0000-0000B4400000}"/>
    <cellStyle name="40% - Ênfase6 32" xfId="16711" xr:uid="{00000000-0005-0000-0000-0000B5400000}"/>
    <cellStyle name="40% - Ênfase6 33" xfId="16712" xr:uid="{00000000-0005-0000-0000-0000B6400000}"/>
    <cellStyle name="40% - Ênfase6 4" xfId="16713" xr:uid="{00000000-0005-0000-0000-0000B7400000}"/>
    <cellStyle name="40% - Ênfase6 4 10" xfId="16714" xr:uid="{00000000-0005-0000-0000-0000B8400000}"/>
    <cellStyle name="40% - Ênfase6 4 10 2" xfId="16715" xr:uid="{00000000-0005-0000-0000-0000B9400000}"/>
    <cellStyle name="40% - Ênfase6 4 11" xfId="16716" xr:uid="{00000000-0005-0000-0000-0000BA400000}"/>
    <cellStyle name="40% - Ênfase6 4 2" xfId="16717" xr:uid="{00000000-0005-0000-0000-0000BB400000}"/>
    <cellStyle name="40% - Ênfase6 4 2 2" xfId="16718" xr:uid="{00000000-0005-0000-0000-0000BC400000}"/>
    <cellStyle name="40% - Ênfase6 4 2 2 2" xfId="16719" xr:uid="{00000000-0005-0000-0000-0000BD400000}"/>
    <cellStyle name="40% - Ênfase6 4 2 2 2 2" xfId="16720" xr:uid="{00000000-0005-0000-0000-0000BE400000}"/>
    <cellStyle name="40% - Ênfase6 4 2 2 2 2 2" xfId="16721" xr:uid="{00000000-0005-0000-0000-0000BF400000}"/>
    <cellStyle name="40% - Ênfase6 4 2 2 2 3" xfId="16722" xr:uid="{00000000-0005-0000-0000-0000C0400000}"/>
    <cellStyle name="40% - Ênfase6 4 2 2 2 3 2" xfId="16723" xr:uid="{00000000-0005-0000-0000-0000C1400000}"/>
    <cellStyle name="40% - Ênfase6 4 2 2 2 4" xfId="16724" xr:uid="{00000000-0005-0000-0000-0000C2400000}"/>
    <cellStyle name="40% - Ênfase6 4 2 2 3" xfId="16725" xr:uid="{00000000-0005-0000-0000-0000C3400000}"/>
    <cellStyle name="40% - Ênfase6 4 2 2 3 2" xfId="16726" xr:uid="{00000000-0005-0000-0000-0000C4400000}"/>
    <cellStyle name="40% - Ênfase6 4 2 2 3 2 2" xfId="16727" xr:uid="{00000000-0005-0000-0000-0000C5400000}"/>
    <cellStyle name="40% - Ênfase6 4 2 2 3 3" xfId="16728" xr:uid="{00000000-0005-0000-0000-0000C6400000}"/>
    <cellStyle name="40% - Ênfase6 4 2 2 3 3 2" xfId="16729" xr:uid="{00000000-0005-0000-0000-0000C7400000}"/>
    <cellStyle name="40% - Ênfase6 4 2 2 3 4" xfId="16730" xr:uid="{00000000-0005-0000-0000-0000C8400000}"/>
    <cellStyle name="40% - Ênfase6 4 2 2 4" xfId="16731" xr:uid="{00000000-0005-0000-0000-0000C9400000}"/>
    <cellStyle name="40% - Ênfase6 4 2 2 4 2" xfId="16732" xr:uid="{00000000-0005-0000-0000-0000CA400000}"/>
    <cellStyle name="40% - Ênfase6 4 2 2 5" xfId="16733" xr:uid="{00000000-0005-0000-0000-0000CB400000}"/>
    <cellStyle name="40% - Ênfase6 4 2 2 5 2" xfId="16734" xr:uid="{00000000-0005-0000-0000-0000CC400000}"/>
    <cellStyle name="40% - Ênfase6 4 2 2 6" xfId="16735" xr:uid="{00000000-0005-0000-0000-0000CD400000}"/>
    <cellStyle name="40% - Ênfase6 4 2 3" xfId="16736" xr:uid="{00000000-0005-0000-0000-0000CE400000}"/>
    <cellStyle name="40% - Ênfase6 4 2 3 2" xfId="16737" xr:uid="{00000000-0005-0000-0000-0000CF400000}"/>
    <cellStyle name="40% - Ênfase6 4 2 3 2 2" xfId="16738" xr:uid="{00000000-0005-0000-0000-0000D0400000}"/>
    <cellStyle name="40% - Ênfase6 4 2 3 3" xfId="16739" xr:uid="{00000000-0005-0000-0000-0000D1400000}"/>
    <cellStyle name="40% - Ênfase6 4 2 3 3 2" xfId="16740" xr:uid="{00000000-0005-0000-0000-0000D2400000}"/>
    <cellStyle name="40% - Ênfase6 4 2 3 4" xfId="16741" xr:uid="{00000000-0005-0000-0000-0000D3400000}"/>
    <cellStyle name="40% - Ênfase6 4 2 4" xfId="16742" xr:uid="{00000000-0005-0000-0000-0000D4400000}"/>
    <cellStyle name="40% - Ênfase6 4 2 4 2" xfId="16743" xr:uid="{00000000-0005-0000-0000-0000D5400000}"/>
    <cellStyle name="40% - Ênfase6 4 2 4 2 2" xfId="16744" xr:uid="{00000000-0005-0000-0000-0000D6400000}"/>
    <cellStyle name="40% - Ênfase6 4 2 4 3" xfId="16745" xr:uid="{00000000-0005-0000-0000-0000D7400000}"/>
    <cellStyle name="40% - Ênfase6 4 2 5" xfId="16746" xr:uid="{00000000-0005-0000-0000-0000D8400000}"/>
    <cellStyle name="40% - Ênfase6 4 2 5 2" xfId="16747" xr:uid="{00000000-0005-0000-0000-0000D9400000}"/>
    <cellStyle name="40% - Ênfase6 4 2 5 2 2" xfId="16748" xr:uid="{00000000-0005-0000-0000-0000DA400000}"/>
    <cellStyle name="40% - Ênfase6 4 2 5 3" xfId="16749" xr:uid="{00000000-0005-0000-0000-0000DB400000}"/>
    <cellStyle name="40% - Ênfase6 4 2 6" xfId="16750" xr:uid="{00000000-0005-0000-0000-0000DC400000}"/>
    <cellStyle name="40% - Ênfase6 4 2 6 2" xfId="16751" xr:uid="{00000000-0005-0000-0000-0000DD400000}"/>
    <cellStyle name="40% - Ênfase6 4 2 6 2 2" xfId="16752" xr:uid="{00000000-0005-0000-0000-0000DE400000}"/>
    <cellStyle name="40% - Ênfase6 4 2 6 3" xfId="16753" xr:uid="{00000000-0005-0000-0000-0000DF400000}"/>
    <cellStyle name="40% - Ênfase6 4 2 7" xfId="16754" xr:uid="{00000000-0005-0000-0000-0000E0400000}"/>
    <cellStyle name="40% - Ênfase6 4 2 7 2" xfId="16755" xr:uid="{00000000-0005-0000-0000-0000E1400000}"/>
    <cellStyle name="40% - Ênfase6 4 2 7 2 2" xfId="16756" xr:uid="{00000000-0005-0000-0000-0000E2400000}"/>
    <cellStyle name="40% - Ênfase6 4 2 7 3" xfId="16757" xr:uid="{00000000-0005-0000-0000-0000E3400000}"/>
    <cellStyle name="40% - Ênfase6 4 2 8" xfId="16758" xr:uid="{00000000-0005-0000-0000-0000E4400000}"/>
    <cellStyle name="40% - Ênfase6 4 2 8 2" xfId="16759" xr:uid="{00000000-0005-0000-0000-0000E5400000}"/>
    <cellStyle name="40% - Ênfase6 4 2 9" xfId="16760" xr:uid="{00000000-0005-0000-0000-0000E6400000}"/>
    <cellStyle name="40% - Ênfase6 4 3" xfId="16761" xr:uid="{00000000-0005-0000-0000-0000E7400000}"/>
    <cellStyle name="40% - Ênfase6 4 3 2" xfId="16762" xr:uid="{00000000-0005-0000-0000-0000E8400000}"/>
    <cellStyle name="40% - Ênfase6 4 3 2 2" xfId="16763" xr:uid="{00000000-0005-0000-0000-0000E9400000}"/>
    <cellStyle name="40% - Ênfase6 4 3 2 2 2" xfId="16764" xr:uid="{00000000-0005-0000-0000-0000EA400000}"/>
    <cellStyle name="40% - Ênfase6 4 3 2 3" xfId="16765" xr:uid="{00000000-0005-0000-0000-0000EB400000}"/>
    <cellStyle name="40% - Ênfase6 4 3 2 3 2" xfId="16766" xr:uid="{00000000-0005-0000-0000-0000EC400000}"/>
    <cellStyle name="40% - Ênfase6 4 3 2 4" xfId="16767" xr:uid="{00000000-0005-0000-0000-0000ED400000}"/>
    <cellStyle name="40% - Ênfase6 4 3 3" xfId="16768" xr:uid="{00000000-0005-0000-0000-0000EE400000}"/>
    <cellStyle name="40% - Ênfase6 4 3 3 2" xfId="16769" xr:uid="{00000000-0005-0000-0000-0000EF400000}"/>
    <cellStyle name="40% - Ênfase6 4 3 3 2 2" xfId="16770" xr:uid="{00000000-0005-0000-0000-0000F0400000}"/>
    <cellStyle name="40% - Ênfase6 4 3 3 3" xfId="16771" xr:uid="{00000000-0005-0000-0000-0000F1400000}"/>
    <cellStyle name="40% - Ênfase6 4 3 3 3 2" xfId="16772" xr:uid="{00000000-0005-0000-0000-0000F2400000}"/>
    <cellStyle name="40% - Ênfase6 4 3 3 4" xfId="16773" xr:uid="{00000000-0005-0000-0000-0000F3400000}"/>
    <cellStyle name="40% - Ênfase6 4 3 4" xfId="16774" xr:uid="{00000000-0005-0000-0000-0000F4400000}"/>
    <cellStyle name="40% - Ênfase6 4 3 4 2" xfId="16775" xr:uid="{00000000-0005-0000-0000-0000F5400000}"/>
    <cellStyle name="40% - Ênfase6 4 3 5" xfId="16776" xr:uid="{00000000-0005-0000-0000-0000F6400000}"/>
    <cellStyle name="40% - Ênfase6 4 3 5 2" xfId="16777" xr:uid="{00000000-0005-0000-0000-0000F7400000}"/>
    <cellStyle name="40% - Ênfase6 4 3 6" xfId="16778" xr:uid="{00000000-0005-0000-0000-0000F8400000}"/>
    <cellStyle name="40% - Ênfase6 4 4" xfId="16779" xr:uid="{00000000-0005-0000-0000-0000F9400000}"/>
    <cellStyle name="40% - Ênfase6 4 4 2" xfId="16780" xr:uid="{00000000-0005-0000-0000-0000FA400000}"/>
    <cellStyle name="40% - Ênfase6 4 4 2 2" xfId="16781" xr:uid="{00000000-0005-0000-0000-0000FB400000}"/>
    <cellStyle name="40% - Ênfase6 4 4 2 2 2" xfId="16782" xr:uid="{00000000-0005-0000-0000-0000FC400000}"/>
    <cellStyle name="40% - Ênfase6 4 4 2 3" xfId="16783" xr:uid="{00000000-0005-0000-0000-0000FD400000}"/>
    <cellStyle name="40% - Ênfase6 4 4 2 3 2" xfId="16784" xr:uid="{00000000-0005-0000-0000-0000FE400000}"/>
    <cellStyle name="40% - Ênfase6 4 4 2 4" xfId="16785" xr:uid="{00000000-0005-0000-0000-0000FF400000}"/>
    <cellStyle name="40% - Ênfase6 4 4 3" xfId="16786" xr:uid="{00000000-0005-0000-0000-000000410000}"/>
    <cellStyle name="40% - Ênfase6 4 4 3 2" xfId="16787" xr:uid="{00000000-0005-0000-0000-000001410000}"/>
    <cellStyle name="40% - Ênfase6 4 4 3 2 2" xfId="16788" xr:uid="{00000000-0005-0000-0000-000002410000}"/>
    <cellStyle name="40% - Ênfase6 4 4 3 3" xfId="16789" xr:uid="{00000000-0005-0000-0000-000003410000}"/>
    <cellStyle name="40% - Ênfase6 4 4 3 3 2" xfId="16790" xr:uid="{00000000-0005-0000-0000-000004410000}"/>
    <cellStyle name="40% - Ênfase6 4 4 3 4" xfId="16791" xr:uid="{00000000-0005-0000-0000-000005410000}"/>
    <cellStyle name="40% - Ênfase6 4 4 4" xfId="16792" xr:uid="{00000000-0005-0000-0000-000006410000}"/>
    <cellStyle name="40% - Ênfase6 4 4 4 2" xfId="16793" xr:uid="{00000000-0005-0000-0000-000007410000}"/>
    <cellStyle name="40% - Ênfase6 4 4 5" xfId="16794" xr:uid="{00000000-0005-0000-0000-000008410000}"/>
    <cellStyle name="40% - Ênfase6 4 4 5 2" xfId="16795" xr:uid="{00000000-0005-0000-0000-000009410000}"/>
    <cellStyle name="40% - Ênfase6 4 4 6" xfId="16796" xr:uid="{00000000-0005-0000-0000-00000A410000}"/>
    <cellStyle name="40% - Ênfase6 4 5" xfId="16797" xr:uid="{00000000-0005-0000-0000-00000B410000}"/>
    <cellStyle name="40% - Ênfase6 4 5 2" xfId="16798" xr:uid="{00000000-0005-0000-0000-00000C410000}"/>
    <cellStyle name="40% - Ênfase6 4 5 2 2" xfId="16799" xr:uid="{00000000-0005-0000-0000-00000D410000}"/>
    <cellStyle name="40% - Ênfase6 4 5 3" xfId="16800" xr:uid="{00000000-0005-0000-0000-00000E410000}"/>
    <cellStyle name="40% - Ênfase6 4 5 3 2" xfId="16801" xr:uid="{00000000-0005-0000-0000-00000F410000}"/>
    <cellStyle name="40% - Ênfase6 4 5 4" xfId="16802" xr:uid="{00000000-0005-0000-0000-000010410000}"/>
    <cellStyle name="40% - Ênfase6 4 6" xfId="16803" xr:uid="{00000000-0005-0000-0000-000011410000}"/>
    <cellStyle name="40% - Ênfase6 4 6 2" xfId="16804" xr:uid="{00000000-0005-0000-0000-000012410000}"/>
    <cellStyle name="40% - Ênfase6 4 6 2 2" xfId="16805" xr:uid="{00000000-0005-0000-0000-000013410000}"/>
    <cellStyle name="40% - Ênfase6 4 6 3" xfId="16806" xr:uid="{00000000-0005-0000-0000-000014410000}"/>
    <cellStyle name="40% - Ênfase6 4 7" xfId="16807" xr:uid="{00000000-0005-0000-0000-000015410000}"/>
    <cellStyle name="40% - Ênfase6 4 7 2" xfId="16808" xr:uid="{00000000-0005-0000-0000-000016410000}"/>
    <cellStyle name="40% - Ênfase6 4 7 2 2" xfId="16809" xr:uid="{00000000-0005-0000-0000-000017410000}"/>
    <cellStyle name="40% - Ênfase6 4 7 3" xfId="16810" xr:uid="{00000000-0005-0000-0000-000018410000}"/>
    <cellStyle name="40% - Ênfase6 4 8" xfId="16811" xr:uid="{00000000-0005-0000-0000-000019410000}"/>
    <cellStyle name="40% - Ênfase6 4 8 2" xfId="16812" xr:uid="{00000000-0005-0000-0000-00001A410000}"/>
    <cellStyle name="40% - Ênfase6 4 8 2 2" xfId="16813" xr:uid="{00000000-0005-0000-0000-00001B410000}"/>
    <cellStyle name="40% - Ênfase6 4 8 3" xfId="16814" xr:uid="{00000000-0005-0000-0000-00001C410000}"/>
    <cellStyle name="40% - Ênfase6 4 9" xfId="16815" xr:uid="{00000000-0005-0000-0000-00001D410000}"/>
    <cellStyle name="40% - Ênfase6 4 9 2" xfId="16816" xr:uid="{00000000-0005-0000-0000-00001E410000}"/>
    <cellStyle name="40% - Ênfase6 4 9 2 2" xfId="16817" xr:uid="{00000000-0005-0000-0000-00001F410000}"/>
    <cellStyle name="40% - Ênfase6 4 9 3" xfId="16818" xr:uid="{00000000-0005-0000-0000-000020410000}"/>
    <cellStyle name="40% - Ênfase6 5" xfId="16819" xr:uid="{00000000-0005-0000-0000-000021410000}"/>
    <cellStyle name="40% - Ênfase6 5 10" xfId="16820" xr:uid="{00000000-0005-0000-0000-000022410000}"/>
    <cellStyle name="40% - Ênfase6 5 2" xfId="16821" xr:uid="{00000000-0005-0000-0000-000023410000}"/>
    <cellStyle name="40% - Ênfase6 5 2 2" xfId="16822" xr:uid="{00000000-0005-0000-0000-000024410000}"/>
    <cellStyle name="40% - Ênfase6 5 2 2 2" xfId="16823" xr:uid="{00000000-0005-0000-0000-000025410000}"/>
    <cellStyle name="40% - Ênfase6 5 2 2 2 2" xfId="16824" xr:uid="{00000000-0005-0000-0000-000026410000}"/>
    <cellStyle name="40% - Ênfase6 5 2 2 2 2 2" xfId="16825" xr:uid="{00000000-0005-0000-0000-000027410000}"/>
    <cellStyle name="40% - Ênfase6 5 2 2 2 3" xfId="16826" xr:uid="{00000000-0005-0000-0000-000028410000}"/>
    <cellStyle name="40% - Ênfase6 5 2 2 2 3 2" xfId="16827" xr:uid="{00000000-0005-0000-0000-000029410000}"/>
    <cellStyle name="40% - Ênfase6 5 2 2 2 4" xfId="16828" xr:uid="{00000000-0005-0000-0000-00002A410000}"/>
    <cellStyle name="40% - Ênfase6 5 2 2 3" xfId="16829" xr:uid="{00000000-0005-0000-0000-00002B410000}"/>
    <cellStyle name="40% - Ênfase6 5 2 2 3 2" xfId="16830" xr:uid="{00000000-0005-0000-0000-00002C410000}"/>
    <cellStyle name="40% - Ênfase6 5 2 2 4" xfId="16831" xr:uid="{00000000-0005-0000-0000-00002D410000}"/>
    <cellStyle name="40% - Ênfase6 5 2 2 4 2" xfId="16832" xr:uid="{00000000-0005-0000-0000-00002E410000}"/>
    <cellStyle name="40% - Ênfase6 5 2 2 5" xfId="16833" xr:uid="{00000000-0005-0000-0000-00002F410000}"/>
    <cellStyle name="40% - Ênfase6 5 2 3" xfId="16834" xr:uid="{00000000-0005-0000-0000-000030410000}"/>
    <cellStyle name="40% - Ênfase6 5 2 3 2" xfId="16835" xr:uid="{00000000-0005-0000-0000-000031410000}"/>
    <cellStyle name="40% - Ênfase6 5 2 3 2 2" xfId="16836" xr:uid="{00000000-0005-0000-0000-000032410000}"/>
    <cellStyle name="40% - Ênfase6 5 2 3 3" xfId="16837" xr:uid="{00000000-0005-0000-0000-000033410000}"/>
    <cellStyle name="40% - Ênfase6 5 2 3 3 2" xfId="16838" xr:uid="{00000000-0005-0000-0000-000034410000}"/>
    <cellStyle name="40% - Ênfase6 5 2 3 4" xfId="16839" xr:uid="{00000000-0005-0000-0000-000035410000}"/>
    <cellStyle name="40% - Ênfase6 5 2 4" xfId="16840" xr:uid="{00000000-0005-0000-0000-000036410000}"/>
    <cellStyle name="40% - Ênfase6 5 2 4 2" xfId="16841" xr:uid="{00000000-0005-0000-0000-000037410000}"/>
    <cellStyle name="40% - Ênfase6 5 2 4 2 2" xfId="16842" xr:uid="{00000000-0005-0000-0000-000038410000}"/>
    <cellStyle name="40% - Ênfase6 5 2 4 3" xfId="16843" xr:uid="{00000000-0005-0000-0000-000039410000}"/>
    <cellStyle name="40% - Ênfase6 5 2 5" xfId="16844" xr:uid="{00000000-0005-0000-0000-00003A410000}"/>
    <cellStyle name="40% - Ênfase6 5 2 5 2" xfId="16845" xr:uid="{00000000-0005-0000-0000-00003B410000}"/>
    <cellStyle name="40% - Ênfase6 5 2 6" xfId="16846" xr:uid="{00000000-0005-0000-0000-00003C410000}"/>
    <cellStyle name="40% - Ênfase6 5 3" xfId="16847" xr:uid="{00000000-0005-0000-0000-00003D410000}"/>
    <cellStyle name="40% - Ênfase6 5 3 2" xfId="16848" xr:uid="{00000000-0005-0000-0000-00003E410000}"/>
    <cellStyle name="40% - Ênfase6 5 3 2 2" xfId="16849" xr:uid="{00000000-0005-0000-0000-00003F410000}"/>
    <cellStyle name="40% - Ênfase6 5 3 2 2 2" xfId="16850" xr:uid="{00000000-0005-0000-0000-000040410000}"/>
    <cellStyle name="40% - Ênfase6 5 3 2 3" xfId="16851" xr:uid="{00000000-0005-0000-0000-000041410000}"/>
    <cellStyle name="40% - Ênfase6 5 3 2 3 2" xfId="16852" xr:uid="{00000000-0005-0000-0000-000042410000}"/>
    <cellStyle name="40% - Ênfase6 5 3 2 4" xfId="16853" xr:uid="{00000000-0005-0000-0000-000043410000}"/>
    <cellStyle name="40% - Ênfase6 5 3 3" xfId="16854" xr:uid="{00000000-0005-0000-0000-000044410000}"/>
    <cellStyle name="40% - Ênfase6 5 3 3 2" xfId="16855" xr:uid="{00000000-0005-0000-0000-000045410000}"/>
    <cellStyle name="40% - Ênfase6 5 3 3 2 2" xfId="16856" xr:uid="{00000000-0005-0000-0000-000046410000}"/>
    <cellStyle name="40% - Ênfase6 5 3 3 3" xfId="16857" xr:uid="{00000000-0005-0000-0000-000047410000}"/>
    <cellStyle name="40% - Ênfase6 5 3 3 3 2" xfId="16858" xr:uid="{00000000-0005-0000-0000-000048410000}"/>
    <cellStyle name="40% - Ênfase6 5 3 3 4" xfId="16859" xr:uid="{00000000-0005-0000-0000-000049410000}"/>
    <cellStyle name="40% - Ênfase6 5 3 4" xfId="16860" xr:uid="{00000000-0005-0000-0000-00004A410000}"/>
    <cellStyle name="40% - Ênfase6 5 3 4 2" xfId="16861" xr:uid="{00000000-0005-0000-0000-00004B410000}"/>
    <cellStyle name="40% - Ênfase6 5 3 5" xfId="16862" xr:uid="{00000000-0005-0000-0000-00004C410000}"/>
    <cellStyle name="40% - Ênfase6 5 3 5 2" xfId="16863" xr:uid="{00000000-0005-0000-0000-00004D410000}"/>
    <cellStyle name="40% - Ênfase6 5 3 6" xfId="16864" xr:uid="{00000000-0005-0000-0000-00004E410000}"/>
    <cellStyle name="40% - Ênfase6 5 4" xfId="16865" xr:uid="{00000000-0005-0000-0000-00004F410000}"/>
    <cellStyle name="40% - Ênfase6 5 4 2" xfId="16866" xr:uid="{00000000-0005-0000-0000-000050410000}"/>
    <cellStyle name="40% - Ênfase6 5 4 2 2" xfId="16867" xr:uid="{00000000-0005-0000-0000-000051410000}"/>
    <cellStyle name="40% - Ênfase6 5 4 3" xfId="16868" xr:uid="{00000000-0005-0000-0000-000052410000}"/>
    <cellStyle name="40% - Ênfase6 5 4 3 2" xfId="16869" xr:uid="{00000000-0005-0000-0000-000053410000}"/>
    <cellStyle name="40% - Ênfase6 5 4 4" xfId="16870" xr:uid="{00000000-0005-0000-0000-000054410000}"/>
    <cellStyle name="40% - Ênfase6 5 5" xfId="16871" xr:uid="{00000000-0005-0000-0000-000055410000}"/>
    <cellStyle name="40% - Ênfase6 5 5 2" xfId="16872" xr:uid="{00000000-0005-0000-0000-000056410000}"/>
    <cellStyle name="40% - Ênfase6 5 5 2 2" xfId="16873" xr:uid="{00000000-0005-0000-0000-000057410000}"/>
    <cellStyle name="40% - Ênfase6 5 5 3" xfId="16874" xr:uid="{00000000-0005-0000-0000-000058410000}"/>
    <cellStyle name="40% - Ênfase6 5 6" xfId="16875" xr:uid="{00000000-0005-0000-0000-000059410000}"/>
    <cellStyle name="40% - Ênfase6 5 6 2" xfId="16876" xr:uid="{00000000-0005-0000-0000-00005A410000}"/>
    <cellStyle name="40% - Ênfase6 5 6 2 2" xfId="16877" xr:uid="{00000000-0005-0000-0000-00005B410000}"/>
    <cellStyle name="40% - Ênfase6 5 6 3" xfId="16878" xr:uid="{00000000-0005-0000-0000-00005C410000}"/>
    <cellStyle name="40% - Ênfase6 5 7" xfId="16879" xr:uid="{00000000-0005-0000-0000-00005D410000}"/>
    <cellStyle name="40% - Ênfase6 5 7 2" xfId="16880" xr:uid="{00000000-0005-0000-0000-00005E410000}"/>
    <cellStyle name="40% - Ênfase6 5 7 2 2" xfId="16881" xr:uid="{00000000-0005-0000-0000-00005F410000}"/>
    <cellStyle name="40% - Ênfase6 5 7 3" xfId="16882" xr:uid="{00000000-0005-0000-0000-000060410000}"/>
    <cellStyle name="40% - Ênfase6 5 8" xfId="16883" xr:uid="{00000000-0005-0000-0000-000061410000}"/>
    <cellStyle name="40% - Ênfase6 5 8 2" xfId="16884" xr:uid="{00000000-0005-0000-0000-000062410000}"/>
    <cellStyle name="40% - Ênfase6 5 8 2 2" xfId="16885" xr:uid="{00000000-0005-0000-0000-000063410000}"/>
    <cellStyle name="40% - Ênfase6 5 8 3" xfId="16886" xr:uid="{00000000-0005-0000-0000-000064410000}"/>
    <cellStyle name="40% - Ênfase6 5 9" xfId="16887" xr:uid="{00000000-0005-0000-0000-000065410000}"/>
    <cellStyle name="40% - Ênfase6 5 9 2" xfId="16888" xr:uid="{00000000-0005-0000-0000-000066410000}"/>
    <cellStyle name="40% - Ênfase6 6" xfId="16889" xr:uid="{00000000-0005-0000-0000-000067410000}"/>
    <cellStyle name="40% - Ênfase6 6 2" xfId="16890" xr:uid="{00000000-0005-0000-0000-000068410000}"/>
    <cellStyle name="40% - Ênfase6 6 2 2" xfId="16891" xr:uid="{00000000-0005-0000-0000-000069410000}"/>
    <cellStyle name="40% - Ênfase6 6 2 2 2" xfId="16892" xr:uid="{00000000-0005-0000-0000-00006A410000}"/>
    <cellStyle name="40% - Ênfase6 6 2 2 2 2" xfId="16893" xr:uid="{00000000-0005-0000-0000-00006B410000}"/>
    <cellStyle name="40% - Ênfase6 6 2 2 2 2 2" xfId="16894" xr:uid="{00000000-0005-0000-0000-00006C410000}"/>
    <cellStyle name="40% - Ênfase6 6 2 2 2 3" xfId="16895" xr:uid="{00000000-0005-0000-0000-00006D410000}"/>
    <cellStyle name="40% - Ênfase6 6 2 2 2 3 2" xfId="16896" xr:uid="{00000000-0005-0000-0000-00006E410000}"/>
    <cellStyle name="40% - Ênfase6 6 2 2 2 4" xfId="16897" xr:uid="{00000000-0005-0000-0000-00006F410000}"/>
    <cellStyle name="40% - Ênfase6 6 2 2 3" xfId="16898" xr:uid="{00000000-0005-0000-0000-000070410000}"/>
    <cellStyle name="40% - Ênfase6 6 2 2 3 2" xfId="16899" xr:uid="{00000000-0005-0000-0000-000071410000}"/>
    <cellStyle name="40% - Ênfase6 6 2 2 4" xfId="16900" xr:uid="{00000000-0005-0000-0000-000072410000}"/>
    <cellStyle name="40% - Ênfase6 6 2 2 4 2" xfId="16901" xr:uid="{00000000-0005-0000-0000-000073410000}"/>
    <cellStyle name="40% - Ênfase6 6 2 2 5" xfId="16902" xr:uid="{00000000-0005-0000-0000-000074410000}"/>
    <cellStyle name="40% - Ênfase6 6 2 3" xfId="16903" xr:uid="{00000000-0005-0000-0000-000075410000}"/>
    <cellStyle name="40% - Ênfase6 6 2 3 2" xfId="16904" xr:uid="{00000000-0005-0000-0000-000076410000}"/>
    <cellStyle name="40% - Ênfase6 6 2 3 2 2" xfId="16905" xr:uid="{00000000-0005-0000-0000-000077410000}"/>
    <cellStyle name="40% - Ênfase6 6 2 3 3" xfId="16906" xr:uid="{00000000-0005-0000-0000-000078410000}"/>
    <cellStyle name="40% - Ênfase6 6 2 3 3 2" xfId="16907" xr:uid="{00000000-0005-0000-0000-000079410000}"/>
    <cellStyle name="40% - Ênfase6 6 2 3 4" xfId="16908" xr:uid="{00000000-0005-0000-0000-00007A410000}"/>
    <cellStyle name="40% - Ênfase6 6 2 4" xfId="16909" xr:uid="{00000000-0005-0000-0000-00007B410000}"/>
    <cellStyle name="40% - Ênfase6 6 2 4 2" xfId="16910" xr:uid="{00000000-0005-0000-0000-00007C410000}"/>
    <cellStyle name="40% - Ênfase6 6 2 4 2 2" xfId="16911" xr:uid="{00000000-0005-0000-0000-00007D410000}"/>
    <cellStyle name="40% - Ênfase6 6 2 4 3" xfId="16912" xr:uid="{00000000-0005-0000-0000-00007E410000}"/>
    <cellStyle name="40% - Ênfase6 6 2 5" xfId="16913" xr:uid="{00000000-0005-0000-0000-00007F410000}"/>
    <cellStyle name="40% - Ênfase6 6 2 5 2" xfId="16914" xr:uid="{00000000-0005-0000-0000-000080410000}"/>
    <cellStyle name="40% - Ênfase6 6 2 6" xfId="16915" xr:uid="{00000000-0005-0000-0000-000081410000}"/>
    <cellStyle name="40% - Ênfase6 6 3" xfId="16916" xr:uid="{00000000-0005-0000-0000-000082410000}"/>
    <cellStyle name="40% - Ênfase6 6 3 2" xfId="16917" xr:uid="{00000000-0005-0000-0000-000083410000}"/>
    <cellStyle name="40% - Ênfase6 6 3 2 2" xfId="16918" xr:uid="{00000000-0005-0000-0000-000084410000}"/>
    <cellStyle name="40% - Ênfase6 6 3 2 2 2" xfId="16919" xr:uid="{00000000-0005-0000-0000-000085410000}"/>
    <cellStyle name="40% - Ênfase6 6 3 2 3" xfId="16920" xr:uid="{00000000-0005-0000-0000-000086410000}"/>
    <cellStyle name="40% - Ênfase6 6 3 2 3 2" xfId="16921" xr:uid="{00000000-0005-0000-0000-000087410000}"/>
    <cellStyle name="40% - Ênfase6 6 3 2 4" xfId="16922" xr:uid="{00000000-0005-0000-0000-000088410000}"/>
    <cellStyle name="40% - Ênfase6 6 3 3" xfId="16923" xr:uid="{00000000-0005-0000-0000-000089410000}"/>
    <cellStyle name="40% - Ênfase6 6 3 3 2" xfId="16924" xr:uid="{00000000-0005-0000-0000-00008A410000}"/>
    <cellStyle name="40% - Ênfase6 6 3 4" xfId="16925" xr:uid="{00000000-0005-0000-0000-00008B410000}"/>
    <cellStyle name="40% - Ênfase6 6 3 4 2" xfId="16926" xr:uid="{00000000-0005-0000-0000-00008C410000}"/>
    <cellStyle name="40% - Ênfase6 6 3 5" xfId="16927" xr:uid="{00000000-0005-0000-0000-00008D410000}"/>
    <cellStyle name="40% - Ênfase6 6 4" xfId="16928" xr:uid="{00000000-0005-0000-0000-00008E410000}"/>
    <cellStyle name="40% - Ênfase6 6 4 2" xfId="16929" xr:uid="{00000000-0005-0000-0000-00008F410000}"/>
    <cellStyle name="40% - Ênfase6 6 4 2 2" xfId="16930" xr:uid="{00000000-0005-0000-0000-000090410000}"/>
    <cellStyle name="40% - Ênfase6 6 4 3" xfId="16931" xr:uid="{00000000-0005-0000-0000-000091410000}"/>
    <cellStyle name="40% - Ênfase6 6 4 3 2" xfId="16932" xr:uid="{00000000-0005-0000-0000-000092410000}"/>
    <cellStyle name="40% - Ênfase6 6 4 4" xfId="16933" xr:uid="{00000000-0005-0000-0000-000093410000}"/>
    <cellStyle name="40% - Ênfase6 6 5" xfId="16934" xr:uid="{00000000-0005-0000-0000-000094410000}"/>
    <cellStyle name="40% - Ênfase6 6 5 2" xfId="16935" xr:uid="{00000000-0005-0000-0000-000095410000}"/>
    <cellStyle name="40% - Ênfase6 6 5 2 2" xfId="16936" xr:uid="{00000000-0005-0000-0000-000096410000}"/>
    <cellStyle name="40% - Ênfase6 6 5 3" xfId="16937" xr:uid="{00000000-0005-0000-0000-000097410000}"/>
    <cellStyle name="40% - Ênfase6 6 6" xfId="16938" xr:uid="{00000000-0005-0000-0000-000098410000}"/>
    <cellStyle name="40% - Ênfase6 6 6 2" xfId="16939" xr:uid="{00000000-0005-0000-0000-000099410000}"/>
    <cellStyle name="40% - Ênfase6 6 7" xfId="16940" xr:uid="{00000000-0005-0000-0000-00009A410000}"/>
    <cellStyle name="40% - Ênfase6 7" xfId="16941" xr:uid="{00000000-0005-0000-0000-00009B410000}"/>
    <cellStyle name="40% - Ênfase6 7 2" xfId="16942" xr:uid="{00000000-0005-0000-0000-00009C410000}"/>
    <cellStyle name="40% - Ênfase6 7 2 2" xfId="16943" xr:uid="{00000000-0005-0000-0000-00009D410000}"/>
    <cellStyle name="40% - Ênfase6 7 2 2 2" xfId="16944" xr:uid="{00000000-0005-0000-0000-00009E410000}"/>
    <cellStyle name="40% - Ênfase6 7 2 2 2 2" xfId="16945" xr:uid="{00000000-0005-0000-0000-00009F410000}"/>
    <cellStyle name="40% - Ênfase6 7 2 2 2 2 2" xfId="16946" xr:uid="{00000000-0005-0000-0000-0000A0410000}"/>
    <cellStyle name="40% - Ênfase6 7 2 2 2 3" xfId="16947" xr:uid="{00000000-0005-0000-0000-0000A1410000}"/>
    <cellStyle name="40% - Ênfase6 7 2 2 2 3 2" xfId="16948" xr:uid="{00000000-0005-0000-0000-0000A2410000}"/>
    <cellStyle name="40% - Ênfase6 7 2 2 2 4" xfId="16949" xr:uid="{00000000-0005-0000-0000-0000A3410000}"/>
    <cellStyle name="40% - Ênfase6 7 2 2 3" xfId="16950" xr:uid="{00000000-0005-0000-0000-0000A4410000}"/>
    <cellStyle name="40% - Ênfase6 7 2 2 3 2" xfId="16951" xr:uid="{00000000-0005-0000-0000-0000A5410000}"/>
    <cellStyle name="40% - Ênfase6 7 2 2 4" xfId="16952" xr:uid="{00000000-0005-0000-0000-0000A6410000}"/>
    <cellStyle name="40% - Ênfase6 7 2 2 4 2" xfId="16953" xr:uid="{00000000-0005-0000-0000-0000A7410000}"/>
    <cellStyle name="40% - Ênfase6 7 2 2 5" xfId="16954" xr:uid="{00000000-0005-0000-0000-0000A8410000}"/>
    <cellStyle name="40% - Ênfase6 7 2 3" xfId="16955" xr:uid="{00000000-0005-0000-0000-0000A9410000}"/>
    <cellStyle name="40% - Ênfase6 7 2 3 2" xfId="16956" xr:uid="{00000000-0005-0000-0000-0000AA410000}"/>
    <cellStyle name="40% - Ênfase6 7 2 3 2 2" xfId="16957" xr:uid="{00000000-0005-0000-0000-0000AB410000}"/>
    <cellStyle name="40% - Ênfase6 7 2 3 3" xfId="16958" xr:uid="{00000000-0005-0000-0000-0000AC410000}"/>
    <cellStyle name="40% - Ênfase6 7 2 3 3 2" xfId="16959" xr:uid="{00000000-0005-0000-0000-0000AD410000}"/>
    <cellStyle name="40% - Ênfase6 7 2 3 4" xfId="16960" xr:uid="{00000000-0005-0000-0000-0000AE410000}"/>
    <cellStyle name="40% - Ênfase6 7 2 4" xfId="16961" xr:uid="{00000000-0005-0000-0000-0000AF410000}"/>
    <cellStyle name="40% - Ênfase6 7 2 4 2" xfId="16962" xr:uid="{00000000-0005-0000-0000-0000B0410000}"/>
    <cellStyle name="40% - Ênfase6 7 2 4 2 2" xfId="16963" xr:uid="{00000000-0005-0000-0000-0000B1410000}"/>
    <cellStyle name="40% - Ênfase6 7 2 4 3" xfId="16964" xr:uid="{00000000-0005-0000-0000-0000B2410000}"/>
    <cellStyle name="40% - Ênfase6 7 2 5" xfId="16965" xr:uid="{00000000-0005-0000-0000-0000B3410000}"/>
    <cellStyle name="40% - Ênfase6 7 2 5 2" xfId="16966" xr:uid="{00000000-0005-0000-0000-0000B4410000}"/>
    <cellStyle name="40% - Ênfase6 7 2 6" xfId="16967" xr:uid="{00000000-0005-0000-0000-0000B5410000}"/>
    <cellStyle name="40% - Ênfase6 7 3" xfId="16968" xr:uid="{00000000-0005-0000-0000-0000B6410000}"/>
    <cellStyle name="40% - Ênfase6 7 3 2" xfId="16969" xr:uid="{00000000-0005-0000-0000-0000B7410000}"/>
    <cellStyle name="40% - Ênfase6 7 3 2 2" xfId="16970" xr:uid="{00000000-0005-0000-0000-0000B8410000}"/>
    <cellStyle name="40% - Ênfase6 7 3 2 2 2" xfId="16971" xr:uid="{00000000-0005-0000-0000-0000B9410000}"/>
    <cellStyle name="40% - Ênfase6 7 3 2 3" xfId="16972" xr:uid="{00000000-0005-0000-0000-0000BA410000}"/>
    <cellStyle name="40% - Ênfase6 7 3 2 3 2" xfId="16973" xr:uid="{00000000-0005-0000-0000-0000BB410000}"/>
    <cellStyle name="40% - Ênfase6 7 3 2 4" xfId="16974" xr:uid="{00000000-0005-0000-0000-0000BC410000}"/>
    <cellStyle name="40% - Ênfase6 7 3 3" xfId="16975" xr:uid="{00000000-0005-0000-0000-0000BD410000}"/>
    <cellStyle name="40% - Ênfase6 7 3 3 2" xfId="16976" xr:uid="{00000000-0005-0000-0000-0000BE410000}"/>
    <cellStyle name="40% - Ênfase6 7 3 4" xfId="16977" xr:uid="{00000000-0005-0000-0000-0000BF410000}"/>
    <cellStyle name="40% - Ênfase6 7 3 4 2" xfId="16978" xr:uid="{00000000-0005-0000-0000-0000C0410000}"/>
    <cellStyle name="40% - Ênfase6 7 3 5" xfId="16979" xr:uid="{00000000-0005-0000-0000-0000C1410000}"/>
    <cellStyle name="40% - Ênfase6 7 4" xfId="16980" xr:uid="{00000000-0005-0000-0000-0000C2410000}"/>
    <cellStyle name="40% - Ênfase6 7 4 2" xfId="16981" xr:uid="{00000000-0005-0000-0000-0000C3410000}"/>
    <cellStyle name="40% - Ênfase6 7 4 2 2" xfId="16982" xr:uid="{00000000-0005-0000-0000-0000C4410000}"/>
    <cellStyle name="40% - Ênfase6 7 4 3" xfId="16983" xr:uid="{00000000-0005-0000-0000-0000C5410000}"/>
    <cellStyle name="40% - Ênfase6 7 4 3 2" xfId="16984" xr:uid="{00000000-0005-0000-0000-0000C6410000}"/>
    <cellStyle name="40% - Ênfase6 7 4 4" xfId="16985" xr:uid="{00000000-0005-0000-0000-0000C7410000}"/>
    <cellStyle name="40% - Ênfase6 7 5" xfId="16986" xr:uid="{00000000-0005-0000-0000-0000C8410000}"/>
    <cellStyle name="40% - Ênfase6 7 5 2" xfId="16987" xr:uid="{00000000-0005-0000-0000-0000C9410000}"/>
    <cellStyle name="40% - Ênfase6 7 5 2 2" xfId="16988" xr:uid="{00000000-0005-0000-0000-0000CA410000}"/>
    <cellStyle name="40% - Ênfase6 7 5 3" xfId="16989" xr:uid="{00000000-0005-0000-0000-0000CB410000}"/>
    <cellStyle name="40% - Ênfase6 7 6" xfId="16990" xr:uid="{00000000-0005-0000-0000-0000CC410000}"/>
    <cellStyle name="40% - Ênfase6 7 6 2" xfId="16991" xr:uid="{00000000-0005-0000-0000-0000CD410000}"/>
    <cellStyle name="40% - Ênfase6 7 7" xfId="16992" xr:uid="{00000000-0005-0000-0000-0000CE410000}"/>
    <cellStyle name="40% - Ênfase6 8" xfId="16993" xr:uid="{00000000-0005-0000-0000-0000CF410000}"/>
    <cellStyle name="40% - Ênfase6 8 2" xfId="16994" xr:uid="{00000000-0005-0000-0000-0000D0410000}"/>
    <cellStyle name="40% - Ênfase6 8 2 2" xfId="16995" xr:uid="{00000000-0005-0000-0000-0000D1410000}"/>
    <cellStyle name="40% - Ênfase6 8 2 2 2" xfId="16996" xr:uid="{00000000-0005-0000-0000-0000D2410000}"/>
    <cellStyle name="40% - Ênfase6 8 2 2 2 2" xfId="16997" xr:uid="{00000000-0005-0000-0000-0000D3410000}"/>
    <cellStyle name="40% - Ênfase6 8 2 2 2 2 2" xfId="16998" xr:uid="{00000000-0005-0000-0000-0000D4410000}"/>
    <cellStyle name="40% - Ênfase6 8 2 2 2 3" xfId="16999" xr:uid="{00000000-0005-0000-0000-0000D5410000}"/>
    <cellStyle name="40% - Ênfase6 8 2 2 2 3 2" xfId="17000" xr:uid="{00000000-0005-0000-0000-0000D6410000}"/>
    <cellStyle name="40% - Ênfase6 8 2 2 2 4" xfId="17001" xr:uid="{00000000-0005-0000-0000-0000D7410000}"/>
    <cellStyle name="40% - Ênfase6 8 2 2 3" xfId="17002" xr:uid="{00000000-0005-0000-0000-0000D8410000}"/>
    <cellStyle name="40% - Ênfase6 8 2 2 3 2" xfId="17003" xr:uid="{00000000-0005-0000-0000-0000D9410000}"/>
    <cellStyle name="40% - Ênfase6 8 2 2 4" xfId="17004" xr:uid="{00000000-0005-0000-0000-0000DA410000}"/>
    <cellStyle name="40% - Ênfase6 8 2 2 4 2" xfId="17005" xr:uid="{00000000-0005-0000-0000-0000DB410000}"/>
    <cellStyle name="40% - Ênfase6 8 2 2 5" xfId="17006" xr:uid="{00000000-0005-0000-0000-0000DC410000}"/>
    <cellStyle name="40% - Ênfase6 8 2 3" xfId="17007" xr:uid="{00000000-0005-0000-0000-0000DD410000}"/>
    <cellStyle name="40% - Ênfase6 8 2 3 2" xfId="17008" xr:uid="{00000000-0005-0000-0000-0000DE410000}"/>
    <cellStyle name="40% - Ênfase6 8 2 3 2 2" xfId="17009" xr:uid="{00000000-0005-0000-0000-0000DF410000}"/>
    <cellStyle name="40% - Ênfase6 8 2 3 3" xfId="17010" xr:uid="{00000000-0005-0000-0000-0000E0410000}"/>
    <cellStyle name="40% - Ênfase6 8 2 3 3 2" xfId="17011" xr:uid="{00000000-0005-0000-0000-0000E1410000}"/>
    <cellStyle name="40% - Ênfase6 8 2 3 4" xfId="17012" xr:uid="{00000000-0005-0000-0000-0000E2410000}"/>
    <cellStyle name="40% - Ênfase6 8 2 4" xfId="17013" xr:uid="{00000000-0005-0000-0000-0000E3410000}"/>
    <cellStyle name="40% - Ênfase6 8 2 4 2" xfId="17014" xr:uid="{00000000-0005-0000-0000-0000E4410000}"/>
    <cellStyle name="40% - Ênfase6 8 2 4 2 2" xfId="17015" xr:uid="{00000000-0005-0000-0000-0000E5410000}"/>
    <cellStyle name="40% - Ênfase6 8 2 4 3" xfId="17016" xr:uid="{00000000-0005-0000-0000-0000E6410000}"/>
    <cellStyle name="40% - Ênfase6 8 2 5" xfId="17017" xr:uid="{00000000-0005-0000-0000-0000E7410000}"/>
    <cellStyle name="40% - Ênfase6 8 2 5 2" xfId="17018" xr:uid="{00000000-0005-0000-0000-0000E8410000}"/>
    <cellStyle name="40% - Ênfase6 8 2 6" xfId="17019" xr:uid="{00000000-0005-0000-0000-0000E9410000}"/>
    <cellStyle name="40% - Ênfase6 8 3" xfId="17020" xr:uid="{00000000-0005-0000-0000-0000EA410000}"/>
    <cellStyle name="40% - Ênfase6 8 3 2" xfId="17021" xr:uid="{00000000-0005-0000-0000-0000EB410000}"/>
    <cellStyle name="40% - Ênfase6 8 3 2 2" xfId="17022" xr:uid="{00000000-0005-0000-0000-0000EC410000}"/>
    <cellStyle name="40% - Ênfase6 8 3 2 2 2" xfId="17023" xr:uid="{00000000-0005-0000-0000-0000ED410000}"/>
    <cellStyle name="40% - Ênfase6 8 3 2 3" xfId="17024" xr:uid="{00000000-0005-0000-0000-0000EE410000}"/>
    <cellStyle name="40% - Ênfase6 8 3 2 3 2" xfId="17025" xr:uid="{00000000-0005-0000-0000-0000EF410000}"/>
    <cellStyle name="40% - Ênfase6 8 3 2 4" xfId="17026" xr:uid="{00000000-0005-0000-0000-0000F0410000}"/>
    <cellStyle name="40% - Ênfase6 8 3 3" xfId="17027" xr:uid="{00000000-0005-0000-0000-0000F1410000}"/>
    <cellStyle name="40% - Ênfase6 8 3 3 2" xfId="17028" xr:uid="{00000000-0005-0000-0000-0000F2410000}"/>
    <cellStyle name="40% - Ênfase6 8 3 4" xfId="17029" xr:uid="{00000000-0005-0000-0000-0000F3410000}"/>
    <cellStyle name="40% - Ênfase6 8 3 4 2" xfId="17030" xr:uid="{00000000-0005-0000-0000-0000F4410000}"/>
    <cellStyle name="40% - Ênfase6 8 3 5" xfId="17031" xr:uid="{00000000-0005-0000-0000-0000F5410000}"/>
    <cellStyle name="40% - Ênfase6 8 4" xfId="17032" xr:uid="{00000000-0005-0000-0000-0000F6410000}"/>
    <cellStyle name="40% - Ênfase6 8 4 2" xfId="17033" xr:uid="{00000000-0005-0000-0000-0000F7410000}"/>
    <cellStyle name="40% - Ênfase6 8 4 2 2" xfId="17034" xr:uid="{00000000-0005-0000-0000-0000F8410000}"/>
    <cellStyle name="40% - Ênfase6 8 4 3" xfId="17035" xr:uid="{00000000-0005-0000-0000-0000F9410000}"/>
    <cellStyle name="40% - Ênfase6 8 4 3 2" xfId="17036" xr:uid="{00000000-0005-0000-0000-0000FA410000}"/>
    <cellStyle name="40% - Ênfase6 8 4 4" xfId="17037" xr:uid="{00000000-0005-0000-0000-0000FB410000}"/>
    <cellStyle name="40% - Ênfase6 8 5" xfId="17038" xr:uid="{00000000-0005-0000-0000-0000FC410000}"/>
    <cellStyle name="40% - Ênfase6 8 5 2" xfId="17039" xr:uid="{00000000-0005-0000-0000-0000FD410000}"/>
    <cellStyle name="40% - Ênfase6 8 5 2 2" xfId="17040" xr:uid="{00000000-0005-0000-0000-0000FE410000}"/>
    <cellStyle name="40% - Ênfase6 8 5 3" xfId="17041" xr:uid="{00000000-0005-0000-0000-0000FF410000}"/>
    <cellStyle name="40% - Ênfase6 8 6" xfId="17042" xr:uid="{00000000-0005-0000-0000-000000420000}"/>
    <cellStyle name="40% - Ênfase6 8 6 2" xfId="17043" xr:uid="{00000000-0005-0000-0000-000001420000}"/>
    <cellStyle name="40% - Ênfase6 8 7" xfId="17044" xr:uid="{00000000-0005-0000-0000-000002420000}"/>
    <cellStyle name="40% - Ênfase6 9" xfId="17045" xr:uid="{00000000-0005-0000-0000-000003420000}"/>
    <cellStyle name="40% - Ênfase6 9 2" xfId="17046" xr:uid="{00000000-0005-0000-0000-000004420000}"/>
    <cellStyle name="40% - Ênfase6 9 2 2" xfId="17047" xr:uid="{00000000-0005-0000-0000-000005420000}"/>
    <cellStyle name="40% - Ênfase6 9 2 2 2" xfId="17048" xr:uid="{00000000-0005-0000-0000-000006420000}"/>
    <cellStyle name="40% - Ênfase6 9 2 2 2 2" xfId="17049" xr:uid="{00000000-0005-0000-0000-000007420000}"/>
    <cellStyle name="40% - Ênfase6 9 2 2 2 2 2" xfId="17050" xr:uid="{00000000-0005-0000-0000-000008420000}"/>
    <cellStyle name="40% - Ênfase6 9 2 2 2 3" xfId="17051" xr:uid="{00000000-0005-0000-0000-000009420000}"/>
    <cellStyle name="40% - Ênfase6 9 2 2 2 3 2" xfId="17052" xr:uid="{00000000-0005-0000-0000-00000A420000}"/>
    <cellStyle name="40% - Ênfase6 9 2 2 2 4" xfId="17053" xr:uid="{00000000-0005-0000-0000-00000B420000}"/>
    <cellStyle name="40% - Ênfase6 9 2 2 3" xfId="17054" xr:uid="{00000000-0005-0000-0000-00000C420000}"/>
    <cellStyle name="40% - Ênfase6 9 2 2 3 2" xfId="17055" xr:uid="{00000000-0005-0000-0000-00000D420000}"/>
    <cellStyle name="40% - Ênfase6 9 2 2 4" xfId="17056" xr:uid="{00000000-0005-0000-0000-00000E420000}"/>
    <cellStyle name="40% - Ênfase6 9 2 2 4 2" xfId="17057" xr:uid="{00000000-0005-0000-0000-00000F420000}"/>
    <cellStyle name="40% - Ênfase6 9 2 2 5" xfId="17058" xr:uid="{00000000-0005-0000-0000-000010420000}"/>
    <cellStyle name="40% - Ênfase6 9 2 3" xfId="17059" xr:uid="{00000000-0005-0000-0000-000011420000}"/>
    <cellStyle name="40% - Ênfase6 9 2 3 2" xfId="17060" xr:uid="{00000000-0005-0000-0000-000012420000}"/>
    <cellStyle name="40% - Ênfase6 9 2 3 2 2" xfId="17061" xr:uid="{00000000-0005-0000-0000-000013420000}"/>
    <cellStyle name="40% - Ênfase6 9 2 3 3" xfId="17062" xr:uid="{00000000-0005-0000-0000-000014420000}"/>
    <cellStyle name="40% - Ênfase6 9 2 3 3 2" xfId="17063" xr:uid="{00000000-0005-0000-0000-000015420000}"/>
    <cellStyle name="40% - Ênfase6 9 2 3 4" xfId="17064" xr:uid="{00000000-0005-0000-0000-000016420000}"/>
    <cellStyle name="40% - Ênfase6 9 2 4" xfId="17065" xr:uid="{00000000-0005-0000-0000-000017420000}"/>
    <cellStyle name="40% - Ênfase6 9 2 4 2" xfId="17066" xr:uid="{00000000-0005-0000-0000-000018420000}"/>
    <cellStyle name="40% - Ênfase6 9 2 4 2 2" xfId="17067" xr:uid="{00000000-0005-0000-0000-000019420000}"/>
    <cellStyle name="40% - Ênfase6 9 2 4 3" xfId="17068" xr:uid="{00000000-0005-0000-0000-00001A420000}"/>
    <cellStyle name="40% - Ênfase6 9 2 5" xfId="17069" xr:uid="{00000000-0005-0000-0000-00001B420000}"/>
    <cellStyle name="40% - Ênfase6 9 2 5 2" xfId="17070" xr:uid="{00000000-0005-0000-0000-00001C420000}"/>
    <cellStyle name="40% - Ênfase6 9 2 6" xfId="17071" xr:uid="{00000000-0005-0000-0000-00001D420000}"/>
    <cellStyle name="40% - Ênfase6 9 3" xfId="17072" xr:uid="{00000000-0005-0000-0000-00001E420000}"/>
    <cellStyle name="40% - Ênfase6 9 3 2" xfId="17073" xr:uid="{00000000-0005-0000-0000-00001F420000}"/>
    <cellStyle name="40% - Ênfase6 9 3 2 2" xfId="17074" xr:uid="{00000000-0005-0000-0000-000020420000}"/>
    <cellStyle name="40% - Ênfase6 9 3 2 2 2" xfId="17075" xr:uid="{00000000-0005-0000-0000-000021420000}"/>
    <cellStyle name="40% - Ênfase6 9 3 2 3" xfId="17076" xr:uid="{00000000-0005-0000-0000-000022420000}"/>
    <cellStyle name="40% - Ênfase6 9 3 2 3 2" xfId="17077" xr:uid="{00000000-0005-0000-0000-000023420000}"/>
    <cellStyle name="40% - Ênfase6 9 3 2 4" xfId="17078" xr:uid="{00000000-0005-0000-0000-000024420000}"/>
    <cellStyle name="40% - Ênfase6 9 3 3" xfId="17079" xr:uid="{00000000-0005-0000-0000-000025420000}"/>
    <cellStyle name="40% - Ênfase6 9 3 3 2" xfId="17080" xr:uid="{00000000-0005-0000-0000-000026420000}"/>
    <cellStyle name="40% - Ênfase6 9 3 4" xfId="17081" xr:uid="{00000000-0005-0000-0000-000027420000}"/>
    <cellStyle name="40% - Ênfase6 9 3 4 2" xfId="17082" xr:uid="{00000000-0005-0000-0000-000028420000}"/>
    <cellStyle name="40% - Ênfase6 9 3 5" xfId="17083" xr:uid="{00000000-0005-0000-0000-000029420000}"/>
    <cellStyle name="40% - Ênfase6 9 4" xfId="17084" xr:uid="{00000000-0005-0000-0000-00002A420000}"/>
    <cellStyle name="40% - Ênfase6 9 4 2" xfId="17085" xr:uid="{00000000-0005-0000-0000-00002B420000}"/>
    <cellStyle name="40% - Ênfase6 9 4 2 2" xfId="17086" xr:uid="{00000000-0005-0000-0000-00002C420000}"/>
    <cellStyle name="40% - Ênfase6 9 4 3" xfId="17087" xr:uid="{00000000-0005-0000-0000-00002D420000}"/>
    <cellStyle name="40% - Ênfase6 9 4 3 2" xfId="17088" xr:uid="{00000000-0005-0000-0000-00002E420000}"/>
    <cellStyle name="40% - Ênfase6 9 4 4" xfId="17089" xr:uid="{00000000-0005-0000-0000-00002F420000}"/>
    <cellStyle name="40% - Ênfase6 9 5" xfId="17090" xr:uid="{00000000-0005-0000-0000-000030420000}"/>
    <cellStyle name="40% - Ênfase6 9 5 2" xfId="17091" xr:uid="{00000000-0005-0000-0000-000031420000}"/>
    <cellStyle name="40% - Ênfase6 9 5 2 2" xfId="17092" xr:uid="{00000000-0005-0000-0000-000032420000}"/>
    <cellStyle name="40% - Ênfase6 9 5 3" xfId="17093" xr:uid="{00000000-0005-0000-0000-000033420000}"/>
    <cellStyle name="40% - Ênfase6 9 6" xfId="17094" xr:uid="{00000000-0005-0000-0000-000034420000}"/>
    <cellStyle name="40% - Ênfase6 9 6 2" xfId="17095" xr:uid="{00000000-0005-0000-0000-000035420000}"/>
    <cellStyle name="40% - Ênfase6 9 7" xfId="17096" xr:uid="{00000000-0005-0000-0000-000036420000}"/>
    <cellStyle name="40% - Énfasis1 2" xfId="17097" xr:uid="{00000000-0005-0000-0000-000037420000}"/>
    <cellStyle name="40% - Énfasis1 2 2" xfId="17098" xr:uid="{00000000-0005-0000-0000-000038420000}"/>
    <cellStyle name="40% - Énfasis1 3" xfId="17099" xr:uid="{00000000-0005-0000-0000-000039420000}"/>
    <cellStyle name="40% - Énfasis1 3 2" xfId="17100" xr:uid="{00000000-0005-0000-0000-00003A420000}"/>
    <cellStyle name="40% - Énfasis1 4" xfId="17101" xr:uid="{00000000-0005-0000-0000-00003B420000}"/>
    <cellStyle name="40% - Énfasis1 4 2" xfId="17102" xr:uid="{00000000-0005-0000-0000-00003C420000}"/>
    <cellStyle name="40% - Énfasis1 5" xfId="17103" xr:uid="{00000000-0005-0000-0000-00003D420000}"/>
    <cellStyle name="40% - Énfasis1 5 2" xfId="17104" xr:uid="{00000000-0005-0000-0000-00003E420000}"/>
    <cellStyle name="40% - Énfasis1 6" xfId="17105" xr:uid="{00000000-0005-0000-0000-00003F420000}"/>
    <cellStyle name="40% - Énfasis1 6 2" xfId="17106" xr:uid="{00000000-0005-0000-0000-000040420000}"/>
    <cellStyle name="40% - Énfasis1 7" xfId="17107" xr:uid="{00000000-0005-0000-0000-000041420000}"/>
    <cellStyle name="40% - Énfasis2 2" xfId="17108" xr:uid="{00000000-0005-0000-0000-000042420000}"/>
    <cellStyle name="40% - Énfasis2 2 2" xfId="17109" xr:uid="{00000000-0005-0000-0000-000043420000}"/>
    <cellStyle name="40% - Énfasis2 3" xfId="17110" xr:uid="{00000000-0005-0000-0000-000044420000}"/>
    <cellStyle name="40% - Énfasis2 3 2" xfId="17111" xr:uid="{00000000-0005-0000-0000-000045420000}"/>
    <cellStyle name="40% - Énfasis2 4" xfId="17112" xr:uid="{00000000-0005-0000-0000-000046420000}"/>
    <cellStyle name="40% - Énfasis2 4 2" xfId="17113" xr:uid="{00000000-0005-0000-0000-000047420000}"/>
    <cellStyle name="40% - Énfasis2 5" xfId="17114" xr:uid="{00000000-0005-0000-0000-000048420000}"/>
    <cellStyle name="40% - Énfasis2 5 2" xfId="17115" xr:uid="{00000000-0005-0000-0000-000049420000}"/>
    <cellStyle name="40% - Énfasis2 6" xfId="17116" xr:uid="{00000000-0005-0000-0000-00004A420000}"/>
    <cellStyle name="40% - Énfasis2 6 2" xfId="17117" xr:uid="{00000000-0005-0000-0000-00004B420000}"/>
    <cellStyle name="40% - Énfasis2 7" xfId="17118" xr:uid="{00000000-0005-0000-0000-00004C420000}"/>
    <cellStyle name="40% - Énfasis3 2" xfId="17119" xr:uid="{00000000-0005-0000-0000-00004D420000}"/>
    <cellStyle name="40% - Énfasis3 2 2" xfId="17120" xr:uid="{00000000-0005-0000-0000-00004E420000}"/>
    <cellStyle name="40% - Énfasis3 3" xfId="17121" xr:uid="{00000000-0005-0000-0000-00004F420000}"/>
    <cellStyle name="40% - Énfasis3 3 2" xfId="17122" xr:uid="{00000000-0005-0000-0000-000050420000}"/>
    <cellStyle name="40% - Énfasis3 4" xfId="17123" xr:uid="{00000000-0005-0000-0000-000051420000}"/>
    <cellStyle name="40% - Énfasis3 4 2" xfId="17124" xr:uid="{00000000-0005-0000-0000-000052420000}"/>
    <cellStyle name="40% - Énfasis3 5" xfId="17125" xr:uid="{00000000-0005-0000-0000-000053420000}"/>
    <cellStyle name="40% - Énfasis3 5 2" xfId="17126" xr:uid="{00000000-0005-0000-0000-000054420000}"/>
    <cellStyle name="40% - Énfasis3 6" xfId="17127" xr:uid="{00000000-0005-0000-0000-000055420000}"/>
    <cellStyle name="40% - Énfasis3 6 2" xfId="17128" xr:uid="{00000000-0005-0000-0000-000056420000}"/>
    <cellStyle name="40% - Énfasis3 7" xfId="17129" xr:uid="{00000000-0005-0000-0000-000057420000}"/>
    <cellStyle name="40% - Énfasis4 2" xfId="17130" xr:uid="{00000000-0005-0000-0000-000058420000}"/>
    <cellStyle name="40% - Énfasis4 2 2" xfId="17131" xr:uid="{00000000-0005-0000-0000-000059420000}"/>
    <cellStyle name="40% - Énfasis4 3" xfId="17132" xr:uid="{00000000-0005-0000-0000-00005A420000}"/>
    <cellStyle name="40% - Énfasis4 3 2" xfId="17133" xr:uid="{00000000-0005-0000-0000-00005B420000}"/>
    <cellStyle name="40% - Énfasis4 4" xfId="17134" xr:uid="{00000000-0005-0000-0000-00005C420000}"/>
    <cellStyle name="40% - Énfasis4 4 2" xfId="17135" xr:uid="{00000000-0005-0000-0000-00005D420000}"/>
    <cellStyle name="40% - Énfasis4 5" xfId="17136" xr:uid="{00000000-0005-0000-0000-00005E420000}"/>
    <cellStyle name="40% - Énfasis4 5 2" xfId="17137" xr:uid="{00000000-0005-0000-0000-00005F420000}"/>
    <cellStyle name="40% - Énfasis4 6" xfId="17138" xr:uid="{00000000-0005-0000-0000-000060420000}"/>
    <cellStyle name="40% - Énfasis4 6 2" xfId="17139" xr:uid="{00000000-0005-0000-0000-000061420000}"/>
    <cellStyle name="40% - Énfasis4 7" xfId="17140" xr:uid="{00000000-0005-0000-0000-000062420000}"/>
    <cellStyle name="40% - Énfasis5 2" xfId="17141" xr:uid="{00000000-0005-0000-0000-000063420000}"/>
    <cellStyle name="40% - Énfasis5 2 2" xfId="17142" xr:uid="{00000000-0005-0000-0000-000064420000}"/>
    <cellStyle name="40% - Énfasis5 3" xfId="17143" xr:uid="{00000000-0005-0000-0000-000065420000}"/>
    <cellStyle name="40% - Énfasis5 3 2" xfId="17144" xr:uid="{00000000-0005-0000-0000-000066420000}"/>
    <cellStyle name="40% - Énfasis5 4" xfId="17145" xr:uid="{00000000-0005-0000-0000-000067420000}"/>
    <cellStyle name="40% - Énfasis5 4 2" xfId="17146" xr:uid="{00000000-0005-0000-0000-000068420000}"/>
    <cellStyle name="40% - Énfasis5 5" xfId="17147" xr:uid="{00000000-0005-0000-0000-000069420000}"/>
    <cellStyle name="40% - Énfasis5 5 2" xfId="17148" xr:uid="{00000000-0005-0000-0000-00006A420000}"/>
    <cellStyle name="40% - Énfasis5 6" xfId="17149" xr:uid="{00000000-0005-0000-0000-00006B420000}"/>
    <cellStyle name="40% - Énfasis5 6 2" xfId="17150" xr:uid="{00000000-0005-0000-0000-00006C420000}"/>
    <cellStyle name="40% - Énfasis5 7" xfId="17151" xr:uid="{00000000-0005-0000-0000-00006D420000}"/>
    <cellStyle name="40% - Énfasis6 2" xfId="17152" xr:uid="{00000000-0005-0000-0000-00006E420000}"/>
    <cellStyle name="40% - Énfasis6 2 2" xfId="17153" xr:uid="{00000000-0005-0000-0000-00006F420000}"/>
    <cellStyle name="40% - Énfasis6 3" xfId="17154" xr:uid="{00000000-0005-0000-0000-000070420000}"/>
    <cellStyle name="40% - Énfasis6 3 2" xfId="17155" xr:uid="{00000000-0005-0000-0000-000071420000}"/>
    <cellStyle name="40% - Énfasis6 4" xfId="17156" xr:uid="{00000000-0005-0000-0000-000072420000}"/>
    <cellStyle name="40% - Énfasis6 4 2" xfId="17157" xr:uid="{00000000-0005-0000-0000-000073420000}"/>
    <cellStyle name="40% - Énfasis6 5" xfId="17158" xr:uid="{00000000-0005-0000-0000-000074420000}"/>
    <cellStyle name="40% - Énfasis6 5 2" xfId="17159" xr:uid="{00000000-0005-0000-0000-000075420000}"/>
    <cellStyle name="40% - Énfasis6 6" xfId="17160" xr:uid="{00000000-0005-0000-0000-000076420000}"/>
    <cellStyle name="40% - Énfasis6 6 2" xfId="17161" xr:uid="{00000000-0005-0000-0000-000077420000}"/>
    <cellStyle name="40% - Énfasis6 7" xfId="17162" xr:uid="{00000000-0005-0000-0000-000078420000}"/>
    <cellStyle name="6" xfId="17163" xr:uid="{00000000-0005-0000-0000-000079420000}"/>
    <cellStyle name="6 2" xfId="17164" xr:uid="{00000000-0005-0000-0000-00007A420000}"/>
    <cellStyle name="6_Combinado_RJ-20100915" xfId="17165" xr:uid="{00000000-0005-0000-0000-00007B420000}"/>
    <cellStyle name="6_estrategia_equity_20101004" xfId="17166" xr:uid="{00000000-0005-0000-0000-00007C420000}"/>
    <cellStyle name="6_estrategia_equity_20101004 2" xfId="17167" xr:uid="{00000000-0005-0000-0000-00007D420000}"/>
    <cellStyle name="6_FOXX_BARUERI_BUSINESS_PLAN_20100915_secagem" xfId="17168" xr:uid="{00000000-0005-0000-0000-00007E420000}"/>
    <cellStyle name="6_FOXX_MANAUS_BUSINESS_PLAN_20100914" xfId="17169" xr:uid="{00000000-0005-0000-0000-00007F420000}"/>
    <cellStyle name="6_FOXX_OSASCO_BUSINESS_PLAN_20100923" xfId="17170" xr:uid="{00000000-0005-0000-0000-000080420000}"/>
    <cellStyle name="6_FOXX_RECIFE_20100914_cenario_energia+vapor" xfId="17171" xr:uid="{00000000-0005-0000-0000-000081420000}"/>
    <cellStyle name="6_FOXX_RECIFE_20100914_cenario_energia+vapor 2" xfId="17172" xr:uid="{00000000-0005-0000-0000-000082420000}"/>
    <cellStyle name="6_Projeções FOXX_Barueri_v15" xfId="17173" xr:uid="{00000000-0005-0000-0000-000083420000}"/>
    <cellStyle name="6_Projeções.v6" xfId="17174" xr:uid="{00000000-0005-0000-0000-000084420000}"/>
    <cellStyle name="6_Projeções.v6 2" xfId="17175" xr:uid="{00000000-0005-0000-0000-000085420000}"/>
    <cellStyle name="6_Projeções.v8" xfId="17176" xr:uid="{00000000-0005-0000-0000-000086420000}"/>
    <cellStyle name="6_Projeções.v8 2" xfId="17177" xr:uid="{00000000-0005-0000-0000-000087420000}"/>
    <cellStyle name="6_Sanessol" xfId="17178" xr:uid="{00000000-0005-0000-0000-000088420000}"/>
    <cellStyle name="6_Sanessol 2" xfId="17179" xr:uid="{00000000-0005-0000-0000-000089420000}"/>
    <cellStyle name="6_Sanessol 2 2" xfId="17180" xr:uid="{00000000-0005-0000-0000-00008A420000}"/>
    <cellStyle name="6_Sanessol 3" xfId="17181" xr:uid="{00000000-0005-0000-0000-00008B420000}"/>
    <cellStyle name="60% - Accent1" xfId="36" xr:uid="{00000000-0005-0000-0000-00008C420000}"/>
    <cellStyle name="60% - Accent1 2" xfId="17182" xr:uid="{00000000-0005-0000-0000-00008D420000}"/>
    <cellStyle name="60% - Accent2" xfId="37" xr:uid="{00000000-0005-0000-0000-00008E420000}"/>
    <cellStyle name="60% - Accent2 2" xfId="17183" xr:uid="{00000000-0005-0000-0000-00008F420000}"/>
    <cellStyle name="60% - Accent3" xfId="38" xr:uid="{00000000-0005-0000-0000-000090420000}"/>
    <cellStyle name="60% - Accent3 2" xfId="17184" xr:uid="{00000000-0005-0000-0000-000091420000}"/>
    <cellStyle name="60% - Accent4" xfId="39" xr:uid="{00000000-0005-0000-0000-000092420000}"/>
    <cellStyle name="60% - Accent4 2" xfId="17185" xr:uid="{00000000-0005-0000-0000-000093420000}"/>
    <cellStyle name="60% - Accent5" xfId="40" xr:uid="{00000000-0005-0000-0000-000094420000}"/>
    <cellStyle name="60% - Accent5 2" xfId="17186" xr:uid="{00000000-0005-0000-0000-000095420000}"/>
    <cellStyle name="60% - Accent6" xfId="41" xr:uid="{00000000-0005-0000-0000-000096420000}"/>
    <cellStyle name="60% - Accent6 2" xfId="17187" xr:uid="{00000000-0005-0000-0000-000097420000}"/>
    <cellStyle name="60% - Ênfase1 10" xfId="17188" xr:uid="{00000000-0005-0000-0000-000098420000}"/>
    <cellStyle name="60% - Ênfase1 11" xfId="17189" xr:uid="{00000000-0005-0000-0000-000099420000}"/>
    <cellStyle name="60% - Ênfase1 12" xfId="17190" xr:uid="{00000000-0005-0000-0000-00009A420000}"/>
    <cellStyle name="60% - Ênfase1 13" xfId="17191" xr:uid="{00000000-0005-0000-0000-00009B420000}"/>
    <cellStyle name="60% - Ênfase1 14" xfId="17192" xr:uid="{00000000-0005-0000-0000-00009C420000}"/>
    <cellStyle name="60% - Ênfase1 15" xfId="17193" xr:uid="{00000000-0005-0000-0000-00009D420000}"/>
    <cellStyle name="60% - Ênfase1 16" xfId="17194" xr:uid="{00000000-0005-0000-0000-00009E420000}"/>
    <cellStyle name="60% - Ênfase1 17" xfId="17195" xr:uid="{00000000-0005-0000-0000-00009F420000}"/>
    <cellStyle name="60% - Ênfase1 2" xfId="17196" xr:uid="{00000000-0005-0000-0000-0000A0420000}"/>
    <cellStyle name="60% - Ênfase1 3" xfId="17197" xr:uid="{00000000-0005-0000-0000-0000A1420000}"/>
    <cellStyle name="60% - Ênfase1 4" xfId="17198" xr:uid="{00000000-0005-0000-0000-0000A2420000}"/>
    <cellStyle name="60% - Ênfase1 5" xfId="17199" xr:uid="{00000000-0005-0000-0000-0000A3420000}"/>
    <cellStyle name="60% - Ênfase1 6" xfId="17200" xr:uid="{00000000-0005-0000-0000-0000A4420000}"/>
    <cellStyle name="60% - Ênfase1 7" xfId="17201" xr:uid="{00000000-0005-0000-0000-0000A5420000}"/>
    <cellStyle name="60% - Ênfase1 8" xfId="17202" xr:uid="{00000000-0005-0000-0000-0000A6420000}"/>
    <cellStyle name="60% - Ênfase1 9" xfId="17203" xr:uid="{00000000-0005-0000-0000-0000A7420000}"/>
    <cellStyle name="60% - Ênfase2 10" xfId="17204" xr:uid="{00000000-0005-0000-0000-0000A8420000}"/>
    <cellStyle name="60% - Ênfase2 11" xfId="17205" xr:uid="{00000000-0005-0000-0000-0000A9420000}"/>
    <cellStyle name="60% - Ênfase2 12" xfId="17206" xr:uid="{00000000-0005-0000-0000-0000AA420000}"/>
    <cellStyle name="60% - Ênfase2 13" xfId="17207" xr:uid="{00000000-0005-0000-0000-0000AB420000}"/>
    <cellStyle name="60% - Ênfase2 14" xfId="17208" xr:uid="{00000000-0005-0000-0000-0000AC420000}"/>
    <cellStyle name="60% - Ênfase2 15" xfId="17209" xr:uid="{00000000-0005-0000-0000-0000AD420000}"/>
    <cellStyle name="60% - Ênfase2 16" xfId="17210" xr:uid="{00000000-0005-0000-0000-0000AE420000}"/>
    <cellStyle name="60% - Ênfase2 17" xfId="17211" xr:uid="{00000000-0005-0000-0000-0000AF420000}"/>
    <cellStyle name="60% - Ênfase2 2" xfId="17212" xr:uid="{00000000-0005-0000-0000-0000B0420000}"/>
    <cellStyle name="60% - Ênfase2 3" xfId="17213" xr:uid="{00000000-0005-0000-0000-0000B1420000}"/>
    <cellStyle name="60% - Ênfase2 4" xfId="17214" xr:uid="{00000000-0005-0000-0000-0000B2420000}"/>
    <cellStyle name="60% - Ênfase2 5" xfId="17215" xr:uid="{00000000-0005-0000-0000-0000B3420000}"/>
    <cellStyle name="60% - Ênfase2 6" xfId="17216" xr:uid="{00000000-0005-0000-0000-0000B4420000}"/>
    <cellStyle name="60% - Ênfase2 7" xfId="17217" xr:uid="{00000000-0005-0000-0000-0000B5420000}"/>
    <cellStyle name="60% - Ênfase2 8" xfId="17218" xr:uid="{00000000-0005-0000-0000-0000B6420000}"/>
    <cellStyle name="60% - Ênfase2 9" xfId="17219" xr:uid="{00000000-0005-0000-0000-0000B7420000}"/>
    <cellStyle name="60% - Ênfase3 10" xfId="17220" xr:uid="{00000000-0005-0000-0000-0000B8420000}"/>
    <cellStyle name="60% - Ênfase3 11" xfId="17221" xr:uid="{00000000-0005-0000-0000-0000B9420000}"/>
    <cellStyle name="60% - Ênfase3 12" xfId="17222" xr:uid="{00000000-0005-0000-0000-0000BA420000}"/>
    <cellStyle name="60% - Ênfase3 13" xfId="17223" xr:uid="{00000000-0005-0000-0000-0000BB420000}"/>
    <cellStyle name="60% - Ênfase3 14" xfId="17224" xr:uid="{00000000-0005-0000-0000-0000BC420000}"/>
    <cellStyle name="60% - Ênfase3 15" xfId="17225" xr:uid="{00000000-0005-0000-0000-0000BD420000}"/>
    <cellStyle name="60% - Ênfase3 16" xfId="17226" xr:uid="{00000000-0005-0000-0000-0000BE420000}"/>
    <cellStyle name="60% - Ênfase3 17" xfId="17227" xr:uid="{00000000-0005-0000-0000-0000BF420000}"/>
    <cellStyle name="60% - Ênfase3 2" xfId="17228" xr:uid="{00000000-0005-0000-0000-0000C0420000}"/>
    <cellStyle name="60% - Ênfase3 3" xfId="17229" xr:uid="{00000000-0005-0000-0000-0000C1420000}"/>
    <cellStyle name="60% - Ênfase3 4" xfId="17230" xr:uid="{00000000-0005-0000-0000-0000C2420000}"/>
    <cellStyle name="60% - Ênfase3 5" xfId="17231" xr:uid="{00000000-0005-0000-0000-0000C3420000}"/>
    <cellStyle name="60% - Ênfase3 6" xfId="17232" xr:uid="{00000000-0005-0000-0000-0000C4420000}"/>
    <cellStyle name="60% - Ênfase3 7" xfId="17233" xr:uid="{00000000-0005-0000-0000-0000C5420000}"/>
    <cellStyle name="60% - Ênfase3 8" xfId="17234" xr:uid="{00000000-0005-0000-0000-0000C6420000}"/>
    <cellStyle name="60% - Ênfase3 9" xfId="17235" xr:uid="{00000000-0005-0000-0000-0000C7420000}"/>
    <cellStyle name="60% - Ênfase4 10" xfId="17236" xr:uid="{00000000-0005-0000-0000-0000C8420000}"/>
    <cellStyle name="60% - Ênfase4 11" xfId="17237" xr:uid="{00000000-0005-0000-0000-0000C9420000}"/>
    <cellStyle name="60% - Ênfase4 12" xfId="17238" xr:uid="{00000000-0005-0000-0000-0000CA420000}"/>
    <cellStyle name="60% - Ênfase4 13" xfId="17239" xr:uid="{00000000-0005-0000-0000-0000CB420000}"/>
    <cellStyle name="60% - Ênfase4 14" xfId="17240" xr:uid="{00000000-0005-0000-0000-0000CC420000}"/>
    <cellStyle name="60% - Ênfase4 15" xfId="17241" xr:uid="{00000000-0005-0000-0000-0000CD420000}"/>
    <cellStyle name="60% - Ênfase4 16" xfId="17242" xr:uid="{00000000-0005-0000-0000-0000CE420000}"/>
    <cellStyle name="60% - Ênfase4 17" xfId="17243" xr:uid="{00000000-0005-0000-0000-0000CF420000}"/>
    <cellStyle name="60% - Ênfase4 2" xfId="17244" xr:uid="{00000000-0005-0000-0000-0000D0420000}"/>
    <cellStyle name="60% - Ênfase4 3" xfId="17245" xr:uid="{00000000-0005-0000-0000-0000D1420000}"/>
    <cellStyle name="60% - Ênfase4 4" xfId="17246" xr:uid="{00000000-0005-0000-0000-0000D2420000}"/>
    <cellStyle name="60% - Ênfase4 5" xfId="17247" xr:uid="{00000000-0005-0000-0000-0000D3420000}"/>
    <cellStyle name="60% - Ênfase4 6" xfId="17248" xr:uid="{00000000-0005-0000-0000-0000D4420000}"/>
    <cellStyle name="60% - Ênfase4 7" xfId="17249" xr:uid="{00000000-0005-0000-0000-0000D5420000}"/>
    <cellStyle name="60% - Ênfase4 8" xfId="17250" xr:uid="{00000000-0005-0000-0000-0000D6420000}"/>
    <cellStyle name="60% - Ênfase4 9" xfId="17251" xr:uid="{00000000-0005-0000-0000-0000D7420000}"/>
    <cellStyle name="60% - Ênfase5 10" xfId="17252" xr:uid="{00000000-0005-0000-0000-0000D8420000}"/>
    <cellStyle name="60% - Ênfase5 11" xfId="17253" xr:uid="{00000000-0005-0000-0000-0000D9420000}"/>
    <cellStyle name="60% - Ênfase5 12" xfId="17254" xr:uid="{00000000-0005-0000-0000-0000DA420000}"/>
    <cellStyle name="60% - Ênfase5 13" xfId="17255" xr:uid="{00000000-0005-0000-0000-0000DB420000}"/>
    <cellStyle name="60% - Ênfase5 14" xfId="17256" xr:uid="{00000000-0005-0000-0000-0000DC420000}"/>
    <cellStyle name="60% - Ênfase5 15" xfId="17257" xr:uid="{00000000-0005-0000-0000-0000DD420000}"/>
    <cellStyle name="60% - Ênfase5 16" xfId="17258" xr:uid="{00000000-0005-0000-0000-0000DE420000}"/>
    <cellStyle name="60% - Ênfase5 17" xfId="17259" xr:uid="{00000000-0005-0000-0000-0000DF420000}"/>
    <cellStyle name="60% - Ênfase5 2" xfId="17260" xr:uid="{00000000-0005-0000-0000-0000E0420000}"/>
    <cellStyle name="60% - Ênfase5 3" xfId="17261" xr:uid="{00000000-0005-0000-0000-0000E1420000}"/>
    <cellStyle name="60% - Ênfase5 4" xfId="17262" xr:uid="{00000000-0005-0000-0000-0000E2420000}"/>
    <cellStyle name="60% - Ênfase5 5" xfId="17263" xr:uid="{00000000-0005-0000-0000-0000E3420000}"/>
    <cellStyle name="60% - Ênfase5 6" xfId="17264" xr:uid="{00000000-0005-0000-0000-0000E4420000}"/>
    <cellStyle name="60% - Ênfase5 7" xfId="17265" xr:uid="{00000000-0005-0000-0000-0000E5420000}"/>
    <cellStyle name="60% - Ênfase5 8" xfId="17266" xr:uid="{00000000-0005-0000-0000-0000E6420000}"/>
    <cellStyle name="60% - Ênfase5 9" xfId="17267" xr:uid="{00000000-0005-0000-0000-0000E7420000}"/>
    <cellStyle name="60% - Ênfase6 10" xfId="17268" xr:uid="{00000000-0005-0000-0000-0000E8420000}"/>
    <cellStyle name="60% - Ênfase6 11" xfId="17269" xr:uid="{00000000-0005-0000-0000-0000E9420000}"/>
    <cellStyle name="60% - Ênfase6 12" xfId="17270" xr:uid="{00000000-0005-0000-0000-0000EA420000}"/>
    <cellStyle name="60% - Ênfase6 13" xfId="17271" xr:uid="{00000000-0005-0000-0000-0000EB420000}"/>
    <cellStyle name="60% - Ênfase6 14" xfId="17272" xr:uid="{00000000-0005-0000-0000-0000EC420000}"/>
    <cellStyle name="60% - Ênfase6 15" xfId="17273" xr:uid="{00000000-0005-0000-0000-0000ED420000}"/>
    <cellStyle name="60% - Ênfase6 16" xfId="17274" xr:uid="{00000000-0005-0000-0000-0000EE420000}"/>
    <cellStyle name="60% - Ênfase6 17" xfId="17275" xr:uid="{00000000-0005-0000-0000-0000EF420000}"/>
    <cellStyle name="60% - Ênfase6 2" xfId="17276" xr:uid="{00000000-0005-0000-0000-0000F0420000}"/>
    <cellStyle name="60% - Ênfase6 3" xfId="17277" xr:uid="{00000000-0005-0000-0000-0000F1420000}"/>
    <cellStyle name="60% - Ênfase6 4" xfId="17278" xr:uid="{00000000-0005-0000-0000-0000F2420000}"/>
    <cellStyle name="60% - Ênfase6 5" xfId="17279" xr:uid="{00000000-0005-0000-0000-0000F3420000}"/>
    <cellStyle name="60% - Ênfase6 6" xfId="17280" xr:uid="{00000000-0005-0000-0000-0000F4420000}"/>
    <cellStyle name="60% - Ênfase6 7" xfId="17281" xr:uid="{00000000-0005-0000-0000-0000F5420000}"/>
    <cellStyle name="60% - Ênfase6 8" xfId="17282" xr:uid="{00000000-0005-0000-0000-0000F6420000}"/>
    <cellStyle name="60% - Ênfase6 9" xfId="17283" xr:uid="{00000000-0005-0000-0000-0000F7420000}"/>
    <cellStyle name="9" xfId="17284" xr:uid="{00000000-0005-0000-0000-0000F8420000}"/>
    <cellStyle name="9 2" xfId="17285" xr:uid="{00000000-0005-0000-0000-0000F9420000}"/>
    <cellStyle name="A3 297 x 420 mm" xfId="76" xr:uid="{00000000-0005-0000-0000-0000FA420000}"/>
    <cellStyle name="A3 297 x 420 mm 2" xfId="17286" xr:uid="{00000000-0005-0000-0000-0000FB420000}"/>
    <cellStyle name="A3 297 x 420 mm 2 2" xfId="17287" xr:uid="{00000000-0005-0000-0000-0000FC420000}"/>
    <cellStyle name="A3 297 x 420 mm 3" xfId="17288" xr:uid="{00000000-0005-0000-0000-0000FD420000}"/>
    <cellStyle name="Accent1" xfId="42" xr:uid="{00000000-0005-0000-0000-0000FE420000}"/>
    <cellStyle name="Accent1 - 20%" xfId="17289" xr:uid="{00000000-0005-0000-0000-0000FF420000}"/>
    <cellStyle name="Accent1 - 40%" xfId="17290" xr:uid="{00000000-0005-0000-0000-000000430000}"/>
    <cellStyle name="Accent1 - 60%" xfId="17291" xr:uid="{00000000-0005-0000-0000-000001430000}"/>
    <cellStyle name="Accent1 2" xfId="17292" xr:uid="{00000000-0005-0000-0000-000002430000}"/>
    <cellStyle name="Accent1_Quadro de dívidas Ag" xfId="17293" xr:uid="{00000000-0005-0000-0000-000003430000}"/>
    <cellStyle name="Accent2" xfId="43" xr:uid="{00000000-0005-0000-0000-000004430000}"/>
    <cellStyle name="Accent2 - 20%" xfId="17294" xr:uid="{00000000-0005-0000-0000-000005430000}"/>
    <cellStyle name="Accent2 - 40%" xfId="17295" xr:uid="{00000000-0005-0000-0000-000006430000}"/>
    <cellStyle name="Accent2 - 60%" xfId="17296" xr:uid="{00000000-0005-0000-0000-000007430000}"/>
    <cellStyle name="Accent2 2" xfId="17297" xr:uid="{00000000-0005-0000-0000-000008430000}"/>
    <cellStyle name="Accent2_Quadro de dívidas Ag" xfId="17298" xr:uid="{00000000-0005-0000-0000-000009430000}"/>
    <cellStyle name="Accent3" xfId="44" xr:uid="{00000000-0005-0000-0000-00000A430000}"/>
    <cellStyle name="Accent3 - 20%" xfId="17299" xr:uid="{00000000-0005-0000-0000-00000B430000}"/>
    <cellStyle name="Accent3 - 40%" xfId="17300" xr:uid="{00000000-0005-0000-0000-00000C430000}"/>
    <cellStyle name="Accent3 - 60%" xfId="17301" xr:uid="{00000000-0005-0000-0000-00000D430000}"/>
    <cellStyle name="Accent3 2" xfId="17302" xr:uid="{00000000-0005-0000-0000-00000E430000}"/>
    <cellStyle name="Accent3_Quadro de dívidas Ag" xfId="17303" xr:uid="{00000000-0005-0000-0000-00000F430000}"/>
    <cellStyle name="Accent4" xfId="45" xr:uid="{00000000-0005-0000-0000-000010430000}"/>
    <cellStyle name="Accent4 - 20%" xfId="17304" xr:uid="{00000000-0005-0000-0000-000011430000}"/>
    <cellStyle name="Accent4 - 40%" xfId="17305" xr:uid="{00000000-0005-0000-0000-000012430000}"/>
    <cellStyle name="Accent4 - 60%" xfId="17306" xr:uid="{00000000-0005-0000-0000-000013430000}"/>
    <cellStyle name="Accent4 2" xfId="17307" xr:uid="{00000000-0005-0000-0000-000014430000}"/>
    <cellStyle name="Accent4_Quadro de dívidas Ag" xfId="17308" xr:uid="{00000000-0005-0000-0000-000015430000}"/>
    <cellStyle name="Accent5" xfId="46" xr:uid="{00000000-0005-0000-0000-000016430000}"/>
    <cellStyle name="Accent5 - 20%" xfId="17309" xr:uid="{00000000-0005-0000-0000-000017430000}"/>
    <cellStyle name="Accent5 - 40%" xfId="17310" xr:uid="{00000000-0005-0000-0000-000018430000}"/>
    <cellStyle name="Accent5 - 60%" xfId="17311" xr:uid="{00000000-0005-0000-0000-000019430000}"/>
    <cellStyle name="Accent5 2" xfId="17312" xr:uid="{00000000-0005-0000-0000-00001A430000}"/>
    <cellStyle name="Accent5_Quadro de dívidas Ag" xfId="17313" xr:uid="{00000000-0005-0000-0000-00001B430000}"/>
    <cellStyle name="Accent6" xfId="47" xr:uid="{00000000-0005-0000-0000-00001C430000}"/>
    <cellStyle name="Accent6 - 20%" xfId="17314" xr:uid="{00000000-0005-0000-0000-00001D430000}"/>
    <cellStyle name="Accent6 - 40%" xfId="17315" xr:uid="{00000000-0005-0000-0000-00001E430000}"/>
    <cellStyle name="Accent6 - 60%" xfId="17316" xr:uid="{00000000-0005-0000-0000-00001F430000}"/>
    <cellStyle name="Accent6 2" xfId="17317" xr:uid="{00000000-0005-0000-0000-000020430000}"/>
    <cellStyle name="Accent6_Quadro de dívidas Ag" xfId="17318" xr:uid="{00000000-0005-0000-0000-000021430000}"/>
    <cellStyle name="Acctg" xfId="17319" xr:uid="{00000000-0005-0000-0000-000022430000}"/>
    <cellStyle name="Acctg$" xfId="17320" xr:uid="{00000000-0005-0000-0000-000023430000}"/>
    <cellStyle name="Acctg_comps" xfId="17321" xr:uid="{00000000-0005-0000-0000-000024430000}"/>
    <cellStyle name="Actual Date" xfId="17322" xr:uid="{00000000-0005-0000-0000-000025430000}"/>
    <cellStyle name="Actual Date 2" xfId="17323" xr:uid="{00000000-0005-0000-0000-000026430000}"/>
    <cellStyle name="AFE" xfId="17324" xr:uid="{00000000-0005-0000-0000-000027430000}"/>
    <cellStyle name="Amarelo%" xfId="17325" xr:uid="{00000000-0005-0000-0000-000028430000}"/>
    <cellStyle name="Amarelocot" xfId="17326" xr:uid="{00000000-0005-0000-0000-000029430000}"/>
    <cellStyle name="apresent" xfId="77" xr:uid="{00000000-0005-0000-0000-00002A430000}"/>
    <cellStyle name="Aria" xfId="17327" xr:uid="{00000000-0005-0000-0000-00002B430000}"/>
    <cellStyle name="Arial" xfId="17328" xr:uid="{00000000-0005-0000-0000-00002C430000}"/>
    <cellStyle name="Arial 10" xfId="17329" xr:uid="{00000000-0005-0000-0000-00002D430000}"/>
    <cellStyle name="Arial 10 2" xfId="17330" xr:uid="{00000000-0005-0000-0000-00002E430000}"/>
    <cellStyle name="Arial 12" xfId="17331" xr:uid="{00000000-0005-0000-0000-00002F430000}"/>
    <cellStyle name="Arial 12 2" xfId="17332" xr:uid="{00000000-0005-0000-0000-000030430000}"/>
    <cellStyle name="Array" xfId="17333" xr:uid="{00000000-0005-0000-0000-000031430000}"/>
    <cellStyle name="Array Enter" xfId="17334" xr:uid="{00000000-0005-0000-0000-000032430000}"/>
    <cellStyle name="AxeHor" xfId="17335" xr:uid="{00000000-0005-0000-0000-000033430000}"/>
    <cellStyle name="b0let" xfId="78" xr:uid="{00000000-0005-0000-0000-000034430000}"/>
    <cellStyle name="Bad" xfId="48" xr:uid="{00000000-0005-0000-0000-000035430000}"/>
    <cellStyle name="Bad 2" xfId="17336" xr:uid="{00000000-0005-0000-0000-000036430000}"/>
    <cellStyle name="BIGHEAD" xfId="17337" xr:uid="{00000000-0005-0000-0000-000037430000}"/>
    <cellStyle name="Black" xfId="79" xr:uid="{00000000-0005-0000-0000-000038430000}"/>
    <cellStyle name="BlackStrike" xfId="17338" xr:uid="{00000000-0005-0000-0000-000039430000}"/>
    <cellStyle name="BlackStrike 2" xfId="17339" xr:uid="{00000000-0005-0000-0000-00003A430000}"/>
    <cellStyle name="BlackText" xfId="17340" xr:uid="{00000000-0005-0000-0000-00003B430000}"/>
    <cellStyle name="BlackText 2" xfId="17341" xr:uid="{00000000-0005-0000-0000-00003C430000}"/>
    <cellStyle name="blank" xfId="17342" xr:uid="{00000000-0005-0000-0000-00003D430000}"/>
    <cellStyle name="blank 2" xfId="17343" xr:uid="{00000000-0005-0000-0000-00003E430000}"/>
    <cellStyle name="blank 3" xfId="17344" xr:uid="{00000000-0005-0000-0000-00003F430000}"/>
    <cellStyle name="blank 4" xfId="17345" xr:uid="{00000000-0005-0000-0000-000040430000}"/>
    <cellStyle name="Blue" xfId="80" xr:uid="{00000000-0005-0000-0000-000041430000}"/>
    <cellStyle name="blue 10" xfId="17346" xr:uid="{00000000-0005-0000-0000-000042430000}"/>
    <cellStyle name="Blue 2" xfId="17347" xr:uid="{00000000-0005-0000-0000-000043430000}"/>
    <cellStyle name="blue 3" xfId="17348" xr:uid="{00000000-0005-0000-0000-000044430000}"/>
    <cellStyle name="blue 4" xfId="17349" xr:uid="{00000000-0005-0000-0000-000045430000}"/>
    <cellStyle name="blue 5" xfId="17350" xr:uid="{00000000-0005-0000-0000-000046430000}"/>
    <cellStyle name="blue 6" xfId="17351" xr:uid="{00000000-0005-0000-0000-000047430000}"/>
    <cellStyle name="blue 7" xfId="17352" xr:uid="{00000000-0005-0000-0000-000048430000}"/>
    <cellStyle name="blue 8" xfId="17353" xr:uid="{00000000-0005-0000-0000-000049430000}"/>
    <cellStyle name="blue 9" xfId="17354" xr:uid="{00000000-0005-0000-0000-00004A430000}"/>
    <cellStyle name="Blue Font" xfId="17355" xr:uid="{00000000-0005-0000-0000-00004B430000}"/>
    <cellStyle name="bluenodec" xfId="17356" xr:uid="{00000000-0005-0000-0000-00004C430000}"/>
    <cellStyle name="bluepercent" xfId="17357" xr:uid="{00000000-0005-0000-0000-00004D430000}"/>
    <cellStyle name="Body_$Dollars" xfId="17358" xr:uid="{00000000-0005-0000-0000-00004E430000}"/>
    <cellStyle name="Bold/Border" xfId="17359" xr:uid="{00000000-0005-0000-0000-00004F430000}"/>
    <cellStyle name="Bol-Data" xfId="81" xr:uid="{00000000-0005-0000-0000-000050430000}"/>
    <cellStyle name="BoldText" xfId="17360" xr:uid="{00000000-0005-0000-0000-000051430000}"/>
    <cellStyle name="BoldText 2" xfId="17361" xr:uid="{00000000-0005-0000-0000-000052430000}"/>
    <cellStyle name="bolet" xfId="82" xr:uid="{00000000-0005-0000-0000-000053430000}"/>
    <cellStyle name="Boletim" xfId="83" xr:uid="{00000000-0005-0000-0000-000054430000}"/>
    <cellStyle name="Bom 10" xfId="17362" xr:uid="{00000000-0005-0000-0000-000055430000}"/>
    <cellStyle name="Bom 11" xfId="17363" xr:uid="{00000000-0005-0000-0000-000056430000}"/>
    <cellStyle name="Bom 12" xfId="17364" xr:uid="{00000000-0005-0000-0000-000057430000}"/>
    <cellStyle name="Bom 13" xfId="17365" xr:uid="{00000000-0005-0000-0000-000058430000}"/>
    <cellStyle name="Bom 14" xfId="17366" xr:uid="{00000000-0005-0000-0000-000059430000}"/>
    <cellStyle name="Bom 15" xfId="17367" xr:uid="{00000000-0005-0000-0000-00005A430000}"/>
    <cellStyle name="Bom 16" xfId="17368" xr:uid="{00000000-0005-0000-0000-00005B430000}"/>
    <cellStyle name="Bom 17" xfId="17369" xr:uid="{00000000-0005-0000-0000-00005C430000}"/>
    <cellStyle name="Bom 2" xfId="17370" xr:uid="{00000000-0005-0000-0000-00005D430000}"/>
    <cellStyle name="Bom 3" xfId="17371" xr:uid="{00000000-0005-0000-0000-00005E430000}"/>
    <cellStyle name="Bom 4" xfId="17372" xr:uid="{00000000-0005-0000-0000-00005F430000}"/>
    <cellStyle name="Bom 5" xfId="17373" xr:uid="{00000000-0005-0000-0000-000060430000}"/>
    <cellStyle name="Bom 6" xfId="17374" xr:uid="{00000000-0005-0000-0000-000061430000}"/>
    <cellStyle name="Bom 7" xfId="17375" xr:uid="{00000000-0005-0000-0000-000062430000}"/>
    <cellStyle name="Bom 8" xfId="17376" xr:uid="{00000000-0005-0000-0000-000063430000}"/>
    <cellStyle name="Bom 9" xfId="17377" xr:uid="{00000000-0005-0000-0000-000064430000}"/>
    <cellStyle name="Border Heavy" xfId="17378" xr:uid="{00000000-0005-0000-0000-000065430000}"/>
    <cellStyle name="Border Heavy 2" xfId="17379" xr:uid="{00000000-0005-0000-0000-000066430000}"/>
    <cellStyle name="Border Thin" xfId="17380" xr:uid="{00000000-0005-0000-0000-000067430000}"/>
    <cellStyle name="Border Thin 2" xfId="17381" xr:uid="{00000000-0005-0000-0000-000068430000}"/>
    <cellStyle name="Bottom Edge" xfId="17382" xr:uid="{00000000-0005-0000-0000-000069430000}"/>
    <cellStyle name="British Pound" xfId="17383" xr:uid="{00000000-0005-0000-0000-00006A430000}"/>
    <cellStyle name="Buena 2" xfId="17384" xr:uid="{00000000-0005-0000-0000-00006B430000}"/>
    <cellStyle name="Bullet" xfId="17385" xr:uid="{00000000-0005-0000-0000-00006C430000}"/>
    <cellStyle name="Cabe‡alho 1" xfId="1" xr:uid="{00000000-0005-0000-0000-00006D430000}"/>
    <cellStyle name="Cabe‡alho 1 2" xfId="17386" xr:uid="{00000000-0005-0000-0000-00006E430000}"/>
    <cellStyle name="Cabe‡alho 2" xfId="2" xr:uid="{00000000-0005-0000-0000-00006F430000}"/>
    <cellStyle name="Cabe‡alho 2 2" xfId="17387" xr:uid="{00000000-0005-0000-0000-000070430000}"/>
    <cellStyle name="CABEÇALHO" xfId="17388" xr:uid="{00000000-0005-0000-0000-000071430000}"/>
    <cellStyle name="Cabeçalho 1" xfId="17389" xr:uid="{00000000-0005-0000-0000-000072430000}"/>
    <cellStyle name="Cabeçalho 1 2" xfId="17390" xr:uid="{00000000-0005-0000-0000-000073430000}"/>
    <cellStyle name="Cabeçalho 1 3" xfId="17391" xr:uid="{00000000-0005-0000-0000-000074430000}"/>
    <cellStyle name="Cabeçalho 1 4" xfId="17392" xr:uid="{00000000-0005-0000-0000-000075430000}"/>
    <cellStyle name="Cabeçalho 1 5" xfId="17393" xr:uid="{00000000-0005-0000-0000-000076430000}"/>
    <cellStyle name="Cabeçalho 1 6" xfId="17394" xr:uid="{00000000-0005-0000-0000-000077430000}"/>
    <cellStyle name="Cabeçalho 1 7" xfId="17395" xr:uid="{00000000-0005-0000-0000-000078430000}"/>
    <cellStyle name="Cabeçalho 1 8" xfId="17396" xr:uid="{00000000-0005-0000-0000-000079430000}"/>
    <cellStyle name="Cabeçalho 1 9" xfId="17397" xr:uid="{00000000-0005-0000-0000-00007A430000}"/>
    <cellStyle name="CABEÇALHO 10" xfId="17398" xr:uid="{00000000-0005-0000-0000-00007B430000}"/>
    <cellStyle name="CABEÇALHO 11" xfId="17399" xr:uid="{00000000-0005-0000-0000-00007C430000}"/>
    <cellStyle name="CABEÇALHO 12" xfId="17400" xr:uid="{00000000-0005-0000-0000-00007D430000}"/>
    <cellStyle name="CABEÇALHO 13" xfId="17401" xr:uid="{00000000-0005-0000-0000-00007E430000}"/>
    <cellStyle name="CABEÇALHO 14" xfId="17402" xr:uid="{00000000-0005-0000-0000-00007F430000}"/>
    <cellStyle name="CABEÇALHO 15" xfId="17403" xr:uid="{00000000-0005-0000-0000-000080430000}"/>
    <cellStyle name="CABEÇALHO 16" xfId="17404" xr:uid="{00000000-0005-0000-0000-000081430000}"/>
    <cellStyle name="Cabeçalho 2" xfId="17405" xr:uid="{00000000-0005-0000-0000-000082430000}"/>
    <cellStyle name="Cabeçalho 2 2" xfId="17406" xr:uid="{00000000-0005-0000-0000-000083430000}"/>
    <cellStyle name="Cabeçalho 2 3" xfId="17407" xr:uid="{00000000-0005-0000-0000-000084430000}"/>
    <cellStyle name="Cabeçalho 2 4" xfId="17408" xr:uid="{00000000-0005-0000-0000-000085430000}"/>
    <cellStyle name="Cabeçalho 2 5" xfId="17409" xr:uid="{00000000-0005-0000-0000-000086430000}"/>
    <cellStyle name="Cabeçalho 2 6" xfId="17410" xr:uid="{00000000-0005-0000-0000-000087430000}"/>
    <cellStyle name="Cabeçalho 2 7" xfId="17411" xr:uid="{00000000-0005-0000-0000-000088430000}"/>
    <cellStyle name="Cabeçalho 2 8" xfId="17412" xr:uid="{00000000-0005-0000-0000-000089430000}"/>
    <cellStyle name="Cabeçalho 2 9" xfId="17413" xr:uid="{00000000-0005-0000-0000-00008A430000}"/>
    <cellStyle name="CABEÇALHO 3" xfId="17414" xr:uid="{00000000-0005-0000-0000-00008B430000}"/>
    <cellStyle name="CABEÇALHO 4" xfId="17415" xr:uid="{00000000-0005-0000-0000-00008C430000}"/>
    <cellStyle name="CABEÇALHO 5" xfId="17416" xr:uid="{00000000-0005-0000-0000-00008D430000}"/>
    <cellStyle name="CABEÇALHO 6" xfId="17417" xr:uid="{00000000-0005-0000-0000-00008E430000}"/>
    <cellStyle name="CABEÇALHO 7" xfId="17418" xr:uid="{00000000-0005-0000-0000-00008F430000}"/>
    <cellStyle name="CABEÇALHO 8" xfId="17419" xr:uid="{00000000-0005-0000-0000-000090430000}"/>
    <cellStyle name="CABEÇALHO 9" xfId="17420" xr:uid="{00000000-0005-0000-0000-000091430000}"/>
    <cellStyle name="CABEÇALHO2" xfId="17421" xr:uid="{00000000-0005-0000-0000-000092430000}"/>
    <cellStyle name="Cabecera 1" xfId="84" xr:uid="{00000000-0005-0000-0000-000093430000}"/>
    <cellStyle name="Cabecera 2" xfId="85" xr:uid="{00000000-0005-0000-0000-000094430000}"/>
    <cellStyle name="Calc" xfId="86" xr:uid="{00000000-0005-0000-0000-000095430000}"/>
    <cellStyle name="Calc Currency (0)" xfId="17422" xr:uid="{00000000-0005-0000-0000-000096430000}"/>
    <cellStyle name="Calculation" xfId="49" xr:uid="{00000000-0005-0000-0000-000097430000}"/>
    <cellStyle name="Calculation 2" xfId="17423" xr:uid="{00000000-0005-0000-0000-000098430000}"/>
    <cellStyle name="Cálculo 10" xfId="17424" xr:uid="{00000000-0005-0000-0000-000099430000}"/>
    <cellStyle name="Cálculo 11" xfId="17425" xr:uid="{00000000-0005-0000-0000-00009A430000}"/>
    <cellStyle name="Cálculo 12" xfId="17426" xr:uid="{00000000-0005-0000-0000-00009B430000}"/>
    <cellStyle name="Cálculo 13" xfId="17427" xr:uid="{00000000-0005-0000-0000-00009C430000}"/>
    <cellStyle name="Cálculo 14" xfId="17428" xr:uid="{00000000-0005-0000-0000-00009D430000}"/>
    <cellStyle name="Cálculo 15" xfId="17429" xr:uid="{00000000-0005-0000-0000-00009E430000}"/>
    <cellStyle name="Cálculo 16" xfId="17430" xr:uid="{00000000-0005-0000-0000-00009F430000}"/>
    <cellStyle name="Cálculo 17" xfId="17431" xr:uid="{00000000-0005-0000-0000-0000A0430000}"/>
    <cellStyle name="Cálculo 18" xfId="17432" xr:uid="{00000000-0005-0000-0000-0000A1430000}"/>
    <cellStyle name="Cálculo 2" xfId="17433" xr:uid="{00000000-0005-0000-0000-0000A2430000}"/>
    <cellStyle name="Cálculo 2 2" xfId="17434" xr:uid="{00000000-0005-0000-0000-0000A3430000}"/>
    <cellStyle name="Cálculo 3" xfId="17435" xr:uid="{00000000-0005-0000-0000-0000A4430000}"/>
    <cellStyle name="Cálculo 4" xfId="17436" xr:uid="{00000000-0005-0000-0000-0000A5430000}"/>
    <cellStyle name="Cálculo 5" xfId="17437" xr:uid="{00000000-0005-0000-0000-0000A6430000}"/>
    <cellStyle name="Cálculo 6" xfId="17438" xr:uid="{00000000-0005-0000-0000-0000A7430000}"/>
    <cellStyle name="Cálculo 7" xfId="17439" xr:uid="{00000000-0005-0000-0000-0000A8430000}"/>
    <cellStyle name="Cálculo 8" xfId="17440" xr:uid="{00000000-0005-0000-0000-0000A9430000}"/>
    <cellStyle name="Cálculo 9" xfId="17441" xr:uid="{00000000-0005-0000-0000-0000AA430000}"/>
    <cellStyle name="Cancel" xfId="17442" xr:uid="{00000000-0005-0000-0000-0000AB430000}"/>
    <cellStyle name="Celda de comprobación 2" xfId="17443" xr:uid="{00000000-0005-0000-0000-0000AC430000}"/>
    <cellStyle name="Celda vinculada 2" xfId="17444" xr:uid="{00000000-0005-0000-0000-0000AD430000}"/>
    <cellStyle name="Célula de Verificação 10" xfId="17445" xr:uid="{00000000-0005-0000-0000-0000AE430000}"/>
    <cellStyle name="Célula de Verificação 11" xfId="17446" xr:uid="{00000000-0005-0000-0000-0000AF430000}"/>
    <cellStyle name="Célula de Verificação 12" xfId="17447" xr:uid="{00000000-0005-0000-0000-0000B0430000}"/>
    <cellStyle name="Célula de Verificação 13" xfId="17448" xr:uid="{00000000-0005-0000-0000-0000B1430000}"/>
    <cellStyle name="Célula de Verificação 14" xfId="17449" xr:uid="{00000000-0005-0000-0000-0000B2430000}"/>
    <cellStyle name="Célula de Verificação 15" xfId="17450" xr:uid="{00000000-0005-0000-0000-0000B3430000}"/>
    <cellStyle name="Célula de Verificação 16" xfId="17451" xr:uid="{00000000-0005-0000-0000-0000B4430000}"/>
    <cellStyle name="Célula de Verificação 17" xfId="17452" xr:uid="{00000000-0005-0000-0000-0000B5430000}"/>
    <cellStyle name="Célula de Verificação 2" xfId="17453" xr:uid="{00000000-0005-0000-0000-0000B6430000}"/>
    <cellStyle name="Célula de Verificação 3" xfId="17454" xr:uid="{00000000-0005-0000-0000-0000B7430000}"/>
    <cellStyle name="Célula de Verificação 4" xfId="17455" xr:uid="{00000000-0005-0000-0000-0000B8430000}"/>
    <cellStyle name="Célula de Verificação 5" xfId="17456" xr:uid="{00000000-0005-0000-0000-0000B9430000}"/>
    <cellStyle name="Célula de Verificação 6" xfId="17457" xr:uid="{00000000-0005-0000-0000-0000BA430000}"/>
    <cellStyle name="Célula de Verificação 7" xfId="17458" xr:uid="{00000000-0005-0000-0000-0000BB430000}"/>
    <cellStyle name="Célula de Verificação 8" xfId="17459" xr:uid="{00000000-0005-0000-0000-0000BC430000}"/>
    <cellStyle name="Célula de Verificação 9" xfId="17460" xr:uid="{00000000-0005-0000-0000-0000BD430000}"/>
    <cellStyle name="Célula Vinculada 10" xfId="17461" xr:uid="{00000000-0005-0000-0000-0000BE430000}"/>
    <cellStyle name="Célula Vinculada 11" xfId="17462" xr:uid="{00000000-0005-0000-0000-0000BF430000}"/>
    <cellStyle name="Célula Vinculada 12" xfId="17463" xr:uid="{00000000-0005-0000-0000-0000C0430000}"/>
    <cellStyle name="Célula Vinculada 13" xfId="17464" xr:uid="{00000000-0005-0000-0000-0000C1430000}"/>
    <cellStyle name="Célula Vinculada 14" xfId="17465" xr:uid="{00000000-0005-0000-0000-0000C2430000}"/>
    <cellStyle name="Célula Vinculada 15" xfId="17466" xr:uid="{00000000-0005-0000-0000-0000C3430000}"/>
    <cellStyle name="Célula Vinculada 16" xfId="17467" xr:uid="{00000000-0005-0000-0000-0000C4430000}"/>
    <cellStyle name="Célula Vinculada 17" xfId="17468" xr:uid="{00000000-0005-0000-0000-0000C5430000}"/>
    <cellStyle name="Célula Vinculada 2" xfId="17469" xr:uid="{00000000-0005-0000-0000-0000C6430000}"/>
    <cellStyle name="Célula Vinculada 3" xfId="17470" xr:uid="{00000000-0005-0000-0000-0000C7430000}"/>
    <cellStyle name="Célula Vinculada 4" xfId="17471" xr:uid="{00000000-0005-0000-0000-0000C8430000}"/>
    <cellStyle name="Célula Vinculada 5" xfId="17472" xr:uid="{00000000-0005-0000-0000-0000C9430000}"/>
    <cellStyle name="Célula Vinculada 6" xfId="17473" xr:uid="{00000000-0005-0000-0000-0000CA430000}"/>
    <cellStyle name="Célula Vinculada 7" xfId="17474" xr:uid="{00000000-0005-0000-0000-0000CB430000}"/>
    <cellStyle name="Célula Vinculada 8" xfId="17475" xr:uid="{00000000-0005-0000-0000-0000CC430000}"/>
    <cellStyle name="Célula Vinculada 9" xfId="17476" xr:uid="{00000000-0005-0000-0000-0000CD430000}"/>
    <cellStyle name="Centrado" xfId="87" xr:uid="{00000000-0005-0000-0000-0000CE430000}"/>
    <cellStyle name="Centrado 2" xfId="17477" xr:uid="{00000000-0005-0000-0000-0000CF430000}"/>
    <cellStyle name="Cents" xfId="17478" xr:uid="{00000000-0005-0000-0000-0000D0430000}"/>
    <cellStyle name="Cents 2" xfId="17479" xr:uid="{00000000-0005-0000-0000-0000D1430000}"/>
    <cellStyle name="Check Cell" xfId="50" xr:uid="{00000000-0005-0000-0000-0000D2430000}"/>
    <cellStyle name="Check Cell 2" xfId="17480" xr:uid="{00000000-0005-0000-0000-0000D3430000}"/>
    <cellStyle name="Co. Names" xfId="17481" xr:uid="{00000000-0005-0000-0000-0000D4430000}"/>
    <cellStyle name="Column Headings" xfId="17482" xr:uid="{00000000-0005-0000-0000-0000D5430000}"/>
    <cellStyle name="Column Headings 2" xfId="17483" xr:uid="{00000000-0005-0000-0000-0000D6430000}"/>
    <cellStyle name="Column_Title" xfId="17484" xr:uid="{00000000-0005-0000-0000-0000D7430000}"/>
    <cellStyle name="coluna total" xfId="17485" xr:uid="{00000000-0005-0000-0000-0000D8430000}"/>
    <cellStyle name="Coma1" xfId="17486" xr:uid="{00000000-0005-0000-0000-0000D9430000}"/>
    <cellStyle name="Comma" xfId="17487" xr:uid="{00000000-0005-0000-0000-0000DA430000}"/>
    <cellStyle name="Comma [0]" xfId="88" xr:uid="{00000000-0005-0000-0000-0000DB430000}"/>
    <cellStyle name="Comma [0] 10" xfId="17488" xr:uid="{00000000-0005-0000-0000-0000DC430000}"/>
    <cellStyle name="Comma [0] 2" xfId="17489" xr:uid="{00000000-0005-0000-0000-0000DD430000}"/>
    <cellStyle name="Comma [0] 2 2" xfId="17490" xr:uid="{00000000-0005-0000-0000-0000DE430000}"/>
    <cellStyle name="Comma [0] 3" xfId="17491" xr:uid="{00000000-0005-0000-0000-0000DF430000}"/>
    <cellStyle name="Comma [0] 3 2" xfId="17492" xr:uid="{00000000-0005-0000-0000-0000E0430000}"/>
    <cellStyle name="Comma [0] 4" xfId="17493" xr:uid="{00000000-0005-0000-0000-0000E1430000}"/>
    <cellStyle name="Comma [0] 4 2" xfId="17494" xr:uid="{00000000-0005-0000-0000-0000E2430000}"/>
    <cellStyle name="Comma [0] 5" xfId="17495" xr:uid="{00000000-0005-0000-0000-0000E3430000}"/>
    <cellStyle name="Comma [0] 5 2" xfId="17496" xr:uid="{00000000-0005-0000-0000-0000E4430000}"/>
    <cellStyle name="Comma [0] 6" xfId="17497" xr:uid="{00000000-0005-0000-0000-0000E5430000}"/>
    <cellStyle name="Comma [0] 6 2" xfId="17498" xr:uid="{00000000-0005-0000-0000-0000E6430000}"/>
    <cellStyle name="Comma [0] 7" xfId="17499" xr:uid="{00000000-0005-0000-0000-0000E7430000}"/>
    <cellStyle name="Comma [0] 8" xfId="17500" xr:uid="{00000000-0005-0000-0000-0000E8430000}"/>
    <cellStyle name="Comma [0] 9" xfId="17501" xr:uid="{00000000-0005-0000-0000-0000E9430000}"/>
    <cellStyle name="Comma [1]" xfId="17502" xr:uid="{00000000-0005-0000-0000-0000EA430000}"/>
    <cellStyle name="Comma [1] 2" xfId="17503" xr:uid="{00000000-0005-0000-0000-0000EB430000}"/>
    <cellStyle name="Comma [2]" xfId="17504" xr:uid="{00000000-0005-0000-0000-0000EC430000}"/>
    <cellStyle name="Comma [3]" xfId="17505" xr:uid="{00000000-0005-0000-0000-0000ED430000}"/>
    <cellStyle name="Comma 0" xfId="17506" xr:uid="{00000000-0005-0000-0000-0000EE430000}"/>
    <cellStyle name="Comma 0 2" xfId="17507" xr:uid="{00000000-0005-0000-0000-0000EF430000}"/>
    <cellStyle name="Comma 0*" xfId="17508" xr:uid="{00000000-0005-0000-0000-0000F0430000}"/>
    <cellStyle name="Comma 0_AES LatAm v12" xfId="17509" xr:uid="{00000000-0005-0000-0000-0000F1430000}"/>
    <cellStyle name="Comma 10" xfId="17510" xr:uid="{00000000-0005-0000-0000-0000F2430000}"/>
    <cellStyle name="Comma 10 2" xfId="17511" xr:uid="{00000000-0005-0000-0000-0000F3430000}"/>
    <cellStyle name="Comma 11" xfId="17512" xr:uid="{00000000-0005-0000-0000-0000F4430000}"/>
    <cellStyle name="Comma 11 2" xfId="17513" xr:uid="{00000000-0005-0000-0000-0000F5430000}"/>
    <cellStyle name="Comma 12" xfId="17514" xr:uid="{00000000-0005-0000-0000-0000F6430000}"/>
    <cellStyle name="Comma 12 2" xfId="17515" xr:uid="{00000000-0005-0000-0000-0000F7430000}"/>
    <cellStyle name="Comma 13" xfId="17516" xr:uid="{00000000-0005-0000-0000-0000F8430000}"/>
    <cellStyle name="Comma 13 2" xfId="17517" xr:uid="{00000000-0005-0000-0000-0000F9430000}"/>
    <cellStyle name="Comma 14" xfId="17518" xr:uid="{00000000-0005-0000-0000-0000FA430000}"/>
    <cellStyle name="Comma 14 2" xfId="17519" xr:uid="{00000000-0005-0000-0000-0000FB430000}"/>
    <cellStyle name="Comma 15" xfId="17520" xr:uid="{00000000-0005-0000-0000-0000FC430000}"/>
    <cellStyle name="Comma 15 2" xfId="17521" xr:uid="{00000000-0005-0000-0000-0000FD430000}"/>
    <cellStyle name="Comma 16" xfId="17522" xr:uid="{00000000-0005-0000-0000-0000FE430000}"/>
    <cellStyle name="Comma 16 2" xfId="17523" xr:uid="{00000000-0005-0000-0000-0000FF430000}"/>
    <cellStyle name="Comma 17" xfId="17524" xr:uid="{00000000-0005-0000-0000-000000440000}"/>
    <cellStyle name="Comma 17 2" xfId="17525" xr:uid="{00000000-0005-0000-0000-000001440000}"/>
    <cellStyle name="Comma 18" xfId="17526" xr:uid="{00000000-0005-0000-0000-000002440000}"/>
    <cellStyle name="Comma 18 2" xfId="17527" xr:uid="{00000000-0005-0000-0000-000003440000}"/>
    <cellStyle name="Comma 19" xfId="17528" xr:uid="{00000000-0005-0000-0000-000004440000}"/>
    <cellStyle name="Comma 19 2" xfId="17529" xr:uid="{00000000-0005-0000-0000-000005440000}"/>
    <cellStyle name="Comma 2" xfId="17530" xr:uid="{00000000-0005-0000-0000-000006440000}"/>
    <cellStyle name="Comma 2 10" xfId="17531" xr:uid="{00000000-0005-0000-0000-000007440000}"/>
    <cellStyle name="Comma 2 11" xfId="17532" xr:uid="{00000000-0005-0000-0000-000008440000}"/>
    <cellStyle name="Comma 2 12" xfId="17533" xr:uid="{00000000-0005-0000-0000-000009440000}"/>
    <cellStyle name="Comma 2 13" xfId="17534" xr:uid="{00000000-0005-0000-0000-00000A440000}"/>
    <cellStyle name="Comma 2 14" xfId="17535" xr:uid="{00000000-0005-0000-0000-00000B440000}"/>
    <cellStyle name="Comma 2 15" xfId="17536" xr:uid="{00000000-0005-0000-0000-00000C440000}"/>
    <cellStyle name="Comma 2 16" xfId="17537" xr:uid="{00000000-0005-0000-0000-00000D440000}"/>
    <cellStyle name="Comma 2 17" xfId="17538" xr:uid="{00000000-0005-0000-0000-00000E440000}"/>
    <cellStyle name="Comma 2 18" xfId="17539" xr:uid="{00000000-0005-0000-0000-00000F440000}"/>
    <cellStyle name="Comma 2 19" xfId="17540" xr:uid="{00000000-0005-0000-0000-000010440000}"/>
    <cellStyle name="Comma 2 2" xfId="17541" xr:uid="{00000000-0005-0000-0000-000011440000}"/>
    <cellStyle name="Comma 2 2 2" xfId="17542" xr:uid="{00000000-0005-0000-0000-000012440000}"/>
    <cellStyle name="Comma 2 3" xfId="17543" xr:uid="{00000000-0005-0000-0000-000013440000}"/>
    <cellStyle name="Comma 2 4" xfId="17544" xr:uid="{00000000-0005-0000-0000-000014440000}"/>
    <cellStyle name="Comma 2 5" xfId="17545" xr:uid="{00000000-0005-0000-0000-000015440000}"/>
    <cellStyle name="Comma 2 6" xfId="17546" xr:uid="{00000000-0005-0000-0000-000016440000}"/>
    <cellStyle name="Comma 2 7" xfId="17547" xr:uid="{00000000-0005-0000-0000-000017440000}"/>
    <cellStyle name="Comma 2 8" xfId="17548" xr:uid="{00000000-0005-0000-0000-000018440000}"/>
    <cellStyle name="Comma 2 9" xfId="17549" xr:uid="{00000000-0005-0000-0000-000019440000}"/>
    <cellStyle name="Comma 20" xfId="17550" xr:uid="{00000000-0005-0000-0000-00001A440000}"/>
    <cellStyle name="Comma 21" xfId="17551" xr:uid="{00000000-0005-0000-0000-00001B440000}"/>
    <cellStyle name="Comma 21 2" xfId="17552" xr:uid="{00000000-0005-0000-0000-00001C440000}"/>
    <cellStyle name="Comma 22" xfId="17553" xr:uid="{00000000-0005-0000-0000-00001D440000}"/>
    <cellStyle name="Comma 23" xfId="17554" xr:uid="{00000000-0005-0000-0000-00001E440000}"/>
    <cellStyle name="Comma 24" xfId="17555" xr:uid="{00000000-0005-0000-0000-00001F440000}"/>
    <cellStyle name="Comma 24 2" xfId="17556" xr:uid="{00000000-0005-0000-0000-000020440000}"/>
    <cellStyle name="Comma 25" xfId="17557" xr:uid="{00000000-0005-0000-0000-000021440000}"/>
    <cellStyle name="Comma 3" xfId="17558" xr:uid="{00000000-0005-0000-0000-000022440000}"/>
    <cellStyle name="Comma 3 2" xfId="17559" xr:uid="{00000000-0005-0000-0000-000023440000}"/>
    <cellStyle name="Comma 4" xfId="17560" xr:uid="{00000000-0005-0000-0000-000024440000}"/>
    <cellStyle name="Comma 4 2" xfId="17561" xr:uid="{00000000-0005-0000-0000-000025440000}"/>
    <cellStyle name="Comma 4 2 10" xfId="17562" xr:uid="{00000000-0005-0000-0000-000026440000}"/>
    <cellStyle name="Comma 4 2 11" xfId="17563" xr:uid="{00000000-0005-0000-0000-000027440000}"/>
    <cellStyle name="Comma 4 2 12" xfId="17564" xr:uid="{00000000-0005-0000-0000-000028440000}"/>
    <cellStyle name="Comma 4 2 13" xfId="17565" xr:uid="{00000000-0005-0000-0000-000029440000}"/>
    <cellStyle name="Comma 4 2 14" xfId="17566" xr:uid="{00000000-0005-0000-0000-00002A440000}"/>
    <cellStyle name="Comma 4 2 2" xfId="17567" xr:uid="{00000000-0005-0000-0000-00002B440000}"/>
    <cellStyle name="Comma 4 2 3" xfId="17568" xr:uid="{00000000-0005-0000-0000-00002C440000}"/>
    <cellStyle name="Comma 4 2 4" xfId="17569" xr:uid="{00000000-0005-0000-0000-00002D440000}"/>
    <cellStyle name="Comma 4 2 5" xfId="17570" xr:uid="{00000000-0005-0000-0000-00002E440000}"/>
    <cellStyle name="Comma 4 2 6" xfId="17571" xr:uid="{00000000-0005-0000-0000-00002F440000}"/>
    <cellStyle name="Comma 4 2 7" xfId="17572" xr:uid="{00000000-0005-0000-0000-000030440000}"/>
    <cellStyle name="Comma 4 2 8" xfId="17573" xr:uid="{00000000-0005-0000-0000-000031440000}"/>
    <cellStyle name="Comma 4 2 9" xfId="17574" xr:uid="{00000000-0005-0000-0000-000032440000}"/>
    <cellStyle name="Comma 4 3" xfId="17575" xr:uid="{00000000-0005-0000-0000-000033440000}"/>
    <cellStyle name="Comma 4 5" xfId="17576" xr:uid="{00000000-0005-0000-0000-000034440000}"/>
    <cellStyle name="Comma 5" xfId="17577" xr:uid="{00000000-0005-0000-0000-000035440000}"/>
    <cellStyle name="Comma 5 2" xfId="17578" xr:uid="{00000000-0005-0000-0000-000036440000}"/>
    <cellStyle name="Comma 6" xfId="17579" xr:uid="{00000000-0005-0000-0000-000037440000}"/>
    <cellStyle name="Comma 6 2" xfId="17580" xr:uid="{00000000-0005-0000-0000-000038440000}"/>
    <cellStyle name="Comma 7" xfId="17581" xr:uid="{00000000-0005-0000-0000-000039440000}"/>
    <cellStyle name="Comma 7 2" xfId="17582" xr:uid="{00000000-0005-0000-0000-00003A440000}"/>
    <cellStyle name="Comma 8" xfId="17583" xr:uid="{00000000-0005-0000-0000-00003B440000}"/>
    <cellStyle name="Comma 8 2" xfId="17584" xr:uid="{00000000-0005-0000-0000-00003C440000}"/>
    <cellStyle name="Comma 9" xfId="17585" xr:uid="{00000000-0005-0000-0000-00003D440000}"/>
    <cellStyle name="Comma 9 2" xfId="17586" xr:uid="{00000000-0005-0000-0000-00003E440000}"/>
    <cellStyle name="Comma Cents" xfId="17587" xr:uid="{00000000-0005-0000-0000-00003F440000}"/>
    <cellStyle name="Comma, 1 dec" xfId="17588" xr:uid="{00000000-0005-0000-0000-000040440000}"/>
    <cellStyle name="Comma, 1 dec 2" xfId="17589" xr:uid="{00000000-0005-0000-0000-000041440000}"/>
    <cellStyle name="Comma_A10-3" xfId="17590" xr:uid="{00000000-0005-0000-0000-000042440000}"/>
    <cellStyle name="Comma0" xfId="17591" xr:uid="{00000000-0005-0000-0000-000043440000}"/>
    <cellStyle name="Comma0 - Estilo2" xfId="17592" xr:uid="{00000000-0005-0000-0000-000044440000}"/>
    <cellStyle name="Comma0 - Estilo4" xfId="17593" xr:uid="{00000000-0005-0000-0000-000045440000}"/>
    <cellStyle name="Comma0 - Modelo1" xfId="17594" xr:uid="{00000000-0005-0000-0000-000046440000}"/>
    <cellStyle name="Comma0 - Style1" xfId="17595" xr:uid="{00000000-0005-0000-0000-000047440000}"/>
    <cellStyle name="Comma0 2" xfId="17596" xr:uid="{00000000-0005-0000-0000-000048440000}"/>
    <cellStyle name="Comma0 3" xfId="17597" xr:uid="{00000000-0005-0000-0000-000049440000}"/>
    <cellStyle name="Comma0 4" xfId="17598" xr:uid="{00000000-0005-0000-0000-00004A440000}"/>
    <cellStyle name="Comma0 5" xfId="17599" xr:uid="{00000000-0005-0000-0000-00004B440000}"/>
    <cellStyle name="Comma0 6" xfId="17600" xr:uid="{00000000-0005-0000-0000-00004C440000}"/>
    <cellStyle name="Comma0 7" xfId="17601" xr:uid="{00000000-0005-0000-0000-00004D440000}"/>
    <cellStyle name="Comma1 - Estilo1" xfId="17602" xr:uid="{00000000-0005-0000-0000-00004E440000}"/>
    <cellStyle name="Comma1 - Modelo2" xfId="17603" xr:uid="{00000000-0005-0000-0000-00004F440000}"/>
    <cellStyle name="Comma1 - Style2" xfId="17604" xr:uid="{00000000-0005-0000-0000-000050440000}"/>
    <cellStyle name="Conferência" xfId="17605" xr:uid="{00000000-0005-0000-0000-000051440000}"/>
    <cellStyle name="Control Check" xfId="17606" xr:uid="{00000000-0005-0000-0000-000052440000}"/>
    <cellStyle name="Copied_Input" xfId="17607" xr:uid="{00000000-0005-0000-0000-000053440000}"/>
    <cellStyle name="CPM_Total" xfId="17608" xr:uid="{00000000-0005-0000-0000-000054440000}"/>
    <cellStyle name="CPU" xfId="17609" xr:uid="{00000000-0005-0000-0000-000055440000}"/>
    <cellStyle name="Cur" xfId="17610" xr:uid="{00000000-0005-0000-0000-000056440000}"/>
    <cellStyle name="Currency" xfId="17611" xr:uid="{00000000-0005-0000-0000-000057440000}"/>
    <cellStyle name="Currency [0]" xfId="89" xr:uid="{00000000-0005-0000-0000-000058440000}"/>
    <cellStyle name="Currency [0] 2" xfId="17612" xr:uid="{00000000-0005-0000-0000-000059440000}"/>
    <cellStyle name="Currency [0] 2 2" xfId="17613" xr:uid="{00000000-0005-0000-0000-00005A440000}"/>
    <cellStyle name="Currency [0] 3" xfId="17614" xr:uid="{00000000-0005-0000-0000-00005B440000}"/>
    <cellStyle name="Currency [0] 3 2" xfId="17615" xr:uid="{00000000-0005-0000-0000-00005C440000}"/>
    <cellStyle name="Currency [0] 4" xfId="17616" xr:uid="{00000000-0005-0000-0000-00005D440000}"/>
    <cellStyle name="Currency [0] 4 2" xfId="17617" xr:uid="{00000000-0005-0000-0000-00005E440000}"/>
    <cellStyle name="Currency [0] 5" xfId="17618" xr:uid="{00000000-0005-0000-0000-00005F440000}"/>
    <cellStyle name="Currency [0] 5 2" xfId="17619" xr:uid="{00000000-0005-0000-0000-000060440000}"/>
    <cellStyle name="Currency [0] 6" xfId="17620" xr:uid="{00000000-0005-0000-0000-000061440000}"/>
    <cellStyle name="Currency [0] 6 2" xfId="17621" xr:uid="{00000000-0005-0000-0000-000062440000}"/>
    <cellStyle name="Currency [0] 7" xfId="17622" xr:uid="{00000000-0005-0000-0000-000063440000}"/>
    <cellStyle name="Currency [0] 8" xfId="17623" xr:uid="{00000000-0005-0000-0000-000064440000}"/>
    <cellStyle name="Currency [0]_1995" xfId="17624" xr:uid="{00000000-0005-0000-0000-000065440000}"/>
    <cellStyle name="Currency [1]" xfId="17625" xr:uid="{00000000-0005-0000-0000-000066440000}"/>
    <cellStyle name="Currency [2]" xfId="17626" xr:uid="{00000000-0005-0000-0000-000067440000}"/>
    <cellStyle name="Currency [2] 2" xfId="17627" xr:uid="{00000000-0005-0000-0000-000068440000}"/>
    <cellStyle name="Currency [2] 3" xfId="17628" xr:uid="{00000000-0005-0000-0000-000069440000}"/>
    <cellStyle name="Currency [2] 4" xfId="17629" xr:uid="{00000000-0005-0000-0000-00006A440000}"/>
    <cellStyle name="Currency [3]" xfId="17630" xr:uid="{00000000-0005-0000-0000-00006B440000}"/>
    <cellStyle name="Currency [3] 2" xfId="17631" xr:uid="{00000000-0005-0000-0000-00006C440000}"/>
    <cellStyle name="Currency 0" xfId="17632" xr:uid="{00000000-0005-0000-0000-00006D440000}"/>
    <cellStyle name="Currency 0 2" xfId="17633" xr:uid="{00000000-0005-0000-0000-00006E440000}"/>
    <cellStyle name="Currency 2" xfId="17634" xr:uid="{00000000-0005-0000-0000-00006F440000}"/>
    <cellStyle name="Currency 2 2" xfId="17635" xr:uid="{00000000-0005-0000-0000-000070440000}"/>
    <cellStyle name="Currency 3" xfId="17636" xr:uid="{00000000-0005-0000-0000-000071440000}"/>
    <cellStyle name="Currency 4" xfId="17637" xr:uid="{00000000-0005-0000-0000-000072440000}"/>
    <cellStyle name="Currency 5" xfId="17638" xr:uid="{00000000-0005-0000-0000-000073440000}"/>
    <cellStyle name="Currency_1995" xfId="17639" xr:uid="{00000000-0005-0000-0000-000074440000}"/>
    <cellStyle name="Currency0" xfId="17640" xr:uid="{00000000-0005-0000-0000-000075440000}"/>
    <cellStyle name="Currency0 2" xfId="17641" xr:uid="{00000000-0005-0000-0000-000076440000}"/>
    <cellStyle name="Currency0 3" xfId="17642" xr:uid="{00000000-0005-0000-0000-000077440000}"/>
    <cellStyle name="Currency0 4" xfId="17643" xr:uid="{00000000-0005-0000-0000-000078440000}"/>
    <cellStyle name="Currency2" xfId="17644" xr:uid="{00000000-0005-0000-0000-000079440000}"/>
    <cellStyle name="Currency-Denomination" xfId="17645" xr:uid="{00000000-0005-0000-0000-00007A440000}"/>
    <cellStyle name="Currsmall" xfId="17646" xr:uid="{00000000-0005-0000-0000-00007B440000}"/>
    <cellStyle name="Dash" xfId="17647" xr:uid="{00000000-0005-0000-0000-00007C440000}"/>
    <cellStyle name="Data" xfId="3" xr:uid="{00000000-0005-0000-0000-00007D440000}"/>
    <cellStyle name="Data 2" xfId="17648" xr:uid="{00000000-0005-0000-0000-00007E440000}"/>
    <cellStyle name="Data 3" xfId="17649" xr:uid="{00000000-0005-0000-0000-00007F440000}"/>
    <cellStyle name="Data 4" xfId="17650" xr:uid="{00000000-0005-0000-0000-000080440000}"/>
    <cellStyle name="Data 5" xfId="17651" xr:uid="{00000000-0005-0000-0000-000081440000}"/>
    <cellStyle name="Data 6" xfId="17652" xr:uid="{00000000-0005-0000-0000-000082440000}"/>
    <cellStyle name="Data 7" xfId="17653" xr:uid="{00000000-0005-0000-0000-000083440000}"/>
    <cellStyle name="Data 8" xfId="17654" xr:uid="{00000000-0005-0000-0000-000084440000}"/>
    <cellStyle name="Data 9" xfId="17655" xr:uid="{00000000-0005-0000-0000-000085440000}"/>
    <cellStyle name="Data Link" xfId="17656" xr:uid="{00000000-0005-0000-0000-000086440000}"/>
    <cellStyle name="Data_Calculation" xfId="17657" xr:uid="{00000000-0005-0000-0000-000087440000}"/>
    <cellStyle name="Date" xfId="17658" xr:uid="{00000000-0005-0000-0000-000088440000}"/>
    <cellStyle name="Date - Estilo1" xfId="17659" xr:uid="{00000000-0005-0000-0000-000089440000}"/>
    <cellStyle name="Date - Estilo3" xfId="17660" xr:uid="{00000000-0005-0000-0000-00008A440000}"/>
    <cellStyle name="Date [d-mmm-yy]" xfId="17661" xr:uid="{00000000-0005-0000-0000-00008B440000}"/>
    <cellStyle name="Date [mm-d-yy]" xfId="17662" xr:uid="{00000000-0005-0000-0000-00008C440000}"/>
    <cellStyle name="Date [mm-d-yyyy]" xfId="17663" xr:uid="{00000000-0005-0000-0000-00008D440000}"/>
    <cellStyle name="Date [mmm-d-yyyy]" xfId="17664" xr:uid="{00000000-0005-0000-0000-00008E440000}"/>
    <cellStyle name="Date [mmm-yy]" xfId="17665" xr:uid="{00000000-0005-0000-0000-00008F440000}"/>
    <cellStyle name="Date [mmm-yy] 2" xfId="17666" xr:uid="{00000000-0005-0000-0000-000090440000}"/>
    <cellStyle name="Date [mmm-yyyy]" xfId="17667" xr:uid="{00000000-0005-0000-0000-000091440000}"/>
    <cellStyle name="Date [mmm-yyyy] 2" xfId="17668" xr:uid="{00000000-0005-0000-0000-000092440000}"/>
    <cellStyle name="Date 10" xfId="17669" xr:uid="{00000000-0005-0000-0000-000093440000}"/>
    <cellStyle name="Date 11" xfId="17670" xr:uid="{00000000-0005-0000-0000-000094440000}"/>
    <cellStyle name="Date 12" xfId="17671" xr:uid="{00000000-0005-0000-0000-000095440000}"/>
    <cellStyle name="Date 13" xfId="17672" xr:uid="{00000000-0005-0000-0000-000096440000}"/>
    <cellStyle name="Date 14" xfId="17673" xr:uid="{00000000-0005-0000-0000-000097440000}"/>
    <cellStyle name="Date 15" xfId="17674" xr:uid="{00000000-0005-0000-0000-000098440000}"/>
    <cellStyle name="Date 16" xfId="17675" xr:uid="{00000000-0005-0000-0000-000099440000}"/>
    <cellStyle name="Date 17" xfId="17676" xr:uid="{00000000-0005-0000-0000-00009A440000}"/>
    <cellStyle name="Date 18" xfId="17677" xr:uid="{00000000-0005-0000-0000-00009B440000}"/>
    <cellStyle name="Date 19" xfId="17678" xr:uid="{00000000-0005-0000-0000-00009C440000}"/>
    <cellStyle name="Date 2" xfId="17679" xr:uid="{00000000-0005-0000-0000-00009D440000}"/>
    <cellStyle name="Date 20" xfId="17680" xr:uid="{00000000-0005-0000-0000-00009E440000}"/>
    <cellStyle name="Date 21" xfId="17681" xr:uid="{00000000-0005-0000-0000-00009F440000}"/>
    <cellStyle name="Date 22" xfId="17682" xr:uid="{00000000-0005-0000-0000-0000A0440000}"/>
    <cellStyle name="Date 23" xfId="17683" xr:uid="{00000000-0005-0000-0000-0000A1440000}"/>
    <cellStyle name="Date 24" xfId="17684" xr:uid="{00000000-0005-0000-0000-0000A2440000}"/>
    <cellStyle name="Date 3" xfId="17685" xr:uid="{00000000-0005-0000-0000-0000A3440000}"/>
    <cellStyle name="Date 4" xfId="17686" xr:uid="{00000000-0005-0000-0000-0000A4440000}"/>
    <cellStyle name="Date 5" xfId="17687" xr:uid="{00000000-0005-0000-0000-0000A5440000}"/>
    <cellStyle name="Date 6" xfId="17688" xr:uid="{00000000-0005-0000-0000-0000A6440000}"/>
    <cellStyle name="Date 7" xfId="17689" xr:uid="{00000000-0005-0000-0000-0000A7440000}"/>
    <cellStyle name="Date 8" xfId="17690" xr:uid="{00000000-0005-0000-0000-0000A8440000}"/>
    <cellStyle name="Date 9" xfId="17691" xr:uid="{00000000-0005-0000-0000-0000A9440000}"/>
    <cellStyle name="Date Aligned" xfId="17692" xr:uid="{00000000-0005-0000-0000-0000AA440000}"/>
    <cellStyle name="Date Aligned 2" xfId="17693" xr:uid="{00000000-0005-0000-0000-0000AB440000}"/>
    <cellStyle name="Date dd-mmm" xfId="17694" xr:uid="{00000000-0005-0000-0000-0000AC440000}"/>
    <cellStyle name="Date dd-mmm-yy" xfId="17695" xr:uid="{00000000-0005-0000-0000-0000AD440000}"/>
    <cellStyle name="Date mmm-yy" xfId="17696" xr:uid="{00000000-0005-0000-0000-0000AE440000}"/>
    <cellStyle name="Date_061113 Despesa Adm SPE Join Final Completo" xfId="17697" xr:uid="{00000000-0005-0000-0000-0000AF440000}"/>
    <cellStyle name="Date2" xfId="17698" xr:uid="{00000000-0005-0000-0000-0000B0440000}"/>
    <cellStyle name="Date2 2" xfId="17699" xr:uid="{00000000-0005-0000-0000-0000B1440000}"/>
    <cellStyle name="Date2h" xfId="17700" xr:uid="{00000000-0005-0000-0000-0000B2440000}"/>
    <cellStyle name="Datum" xfId="17701" xr:uid="{00000000-0005-0000-0000-0000B3440000}"/>
    <cellStyle name="Decimal_0dp" xfId="17702" xr:uid="{00000000-0005-0000-0000-0000B4440000}"/>
    <cellStyle name="DecimalOne" xfId="17703" xr:uid="{00000000-0005-0000-0000-0000B5440000}"/>
    <cellStyle name="Design" xfId="90" xr:uid="{00000000-0005-0000-0000-0000B6440000}"/>
    <cellStyle name="desppag" xfId="17704" xr:uid="{00000000-0005-0000-0000-0000B7440000}"/>
    <cellStyle name="Deviant" xfId="17705" xr:uid="{00000000-0005-0000-0000-0000B8440000}"/>
    <cellStyle name="Dezimal [0]_revenue" xfId="17706" xr:uid="{00000000-0005-0000-0000-0000B9440000}"/>
    <cellStyle name="Dezimal__Utopia Index Index und Guidance (Deutsch)" xfId="17707" xr:uid="{00000000-0005-0000-0000-0000BA440000}"/>
    <cellStyle name="Dia" xfId="17708" xr:uid="{00000000-0005-0000-0000-0000BB440000}"/>
    <cellStyle name="Diseño" xfId="17709" xr:uid="{00000000-0005-0000-0000-0000BC440000}"/>
    <cellStyle name="dollar" xfId="17710" xr:uid="{00000000-0005-0000-0000-0000BD440000}"/>
    <cellStyle name="dollar 2" xfId="17711" xr:uid="{00000000-0005-0000-0000-0000BE440000}"/>
    <cellStyle name="dollar 3" xfId="17712" xr:uid="{00000000-0005-0000-0000-0000BF440000}"/>
    <cellStyle name="Dollars" xfId="17713" xr:uid="{00000000-0005-0000-0000-0000C0440000}"/>
    <cellStyle name="Dollars 2" xfId="17714" xr:uid="{00000000-0005-0000-0000-0000C1440000}"/>
    <cellStyle name="Dotted Line" xfId="17715" xr:uid="{00000000-0005-0000-0000-0000C2440000}"/>
    <cellStyle name="Dotted Line 2" xfId="17716" xr:uid="{00000000-0005-0000-0000-0000C3440000}"/>
    <cellStyle name="Double" xfId="17717" xr:uid="{00000000-0005-0000-0000-0000C4440000}"/>
    <cellStyle name="Double Accounting" xfId="17718" xr:uid="{00000000-0005-0000-0000-0000C5440000}"/>
    <cellStyle name="Download" xfId="17719" xr:uid="{00000000-0005-0000-0000-0000C6440000}"/>
    <cellStyle name="Download 2" xfId="17720" xr:uid="{00000000-0005-0000-0000-0000C7440000}"/>
    <cellStyle name="e" xfId="91" xr:uid="{00000000-0005-0000-0000-0000C8440000}"/>
    <cellStyle name="Emphasis 1" xfId="17721" xr:uid="{00000000-0005-0000-0000-0000C9440000}"/>
    <cellStyle name="Emphasis 2" xfId="17722" xr:uid="{00000000-0005-0000-0000-0000CA440000}"/>
    <cellStyle name="Emphasis 3" xfId="17723" xr:uid="{00000000-0005-0000-0000-0000CB440000}"/>
    <cellStyle name="Encabez1" xfId="17724" xr:uid="{00000000-0005-0000-0000-0000CC440000}"/>
    <cellStyle name="Encabez2" xfId="17725" xr:uid="{00000000-0005-0000-0000-0000CD440000}"/>
    <cellStyle name="Encabezado 4 2" xfId="17726" xr:uid="{00000000-0005-0000-0000-0000CE440000}"/>
    <cellStyle name="Ênfase1 10" xfId="17727" xr:uid="{00000000-0005-0000-0000-0000CF440000}"/>
    <cellStyle name="Ênfase1 11" xfId="17728" xr:uid="{00000000-0005-0000-0000-0000D0440000}"/>
    <cellStyle name="Ênfase1 12" xfId="17729" xr:uid="{00000000-0005-0000-0000-0000D1440000}"/>
    <cellStyle name="Ênfase1 13" xfId="17730" xr:uid="{00000000-0005-0000-0000-0000D2440000}"/>
    <cellStyle name="Ênfase1 14" xfId="17731" xr:uid="{00000000-0005-0000-0000-0000D3440000}"/>
    <cellStyle name="Ênfase1 15" xfId="17732" xr:uid="{00000000-0005-0000-0000-0000D4440000}"/>
    <cellStyle name="Ênfase1 16" xfId="17733" xr:uid="{00000000-0005-0000-0000-0000D5440000}"/>
    <cellStyle name="Ênfase1 17" xfId="17734" xr:uid="{00000000-0005-0000-0000-0000D6440000}"/>
    <cellStyle name="Ênfase1 2" xfId="17735" xr:uid="{00000000-0005-0000-0000-0000D7440000}"/>
    <cellStyle name="Ênfase1 3" xfId="17736" xr:uid="{00000000-0005-0000-0000-0000D8440000}"/>
    <cellStyle name="Ênfase1 4" xfId="17737" xr:uid="{00000000-0005-0000-0000-0000D9440000}"/>
    <cellStyle name="Ênfase1 5" xfId="17738" xr:uid="{00000000-0005-0000-0000-0000DA440000}"/>
    <cellStyle name="Ênfase1 6" xfId="17739" xr:uid="{00000000-0005-0000-0000-0000DB440000}"/>
    <cellStyle name="Ênfase1 7" xfId="17740" xr:uid="{00000000-0005-0000-0000-0000DC440000}"/>
    <cellStyle name="Ênfase1 8" xfId="17741" xr:uid="{00000000-0005-0000-0000-0000DD440000}"/>
    <cellStyle name="Ênfase1 9" xfId="17742" xr:uid="{00000000-0005-0000-0000-0000DE440000}"/>
    <cellStyle name="Ênfase2 10" xfId="17743" xr:uid="{00000000-0005-0000-0000-0000DF440000}"/>
    <cellStyle name="Ênfase2 11" xfId="17744" xr:uid="{00000000-0005-0000-0000-0000E0440000}"/>
    <cellStyle name="Ênfase2 12" xfId="17745" xr:uid="{00000000-0005-0000-0000-0000E1440000}"/>
    <cellStyle name="Ênfase2 13" xfId="17746" xr:uid="{00000000-0005-0000-0000-0000E2440000}"/>
    <cellStyle name="Ênfase2 14" xfId="17747" xr:uid="{00000000-0005-0000-0000-0000E3440000}"/>
    <cellStyle name="Ênfase2 15" xfId="17748" xr:uid="{00000000-0005-0000-0000-0000E4440000}"/>
    <cellStyle name="Ênfase2 16" xfId="17749" xr:uid="{00000000-0005-0000-0000-0000E5440000}"/>
    <cellStyle name="Ênfase2 17" xfId="17750" xr:uid="{00000000-0005-0000-0000-0000E6440000}"/>
    <cellStyle name="Ênfase2 2" xfId="17751" xr:uid="{00000000-0005-0000-0000-0000E7440000}"/>
    <cellStyle name="Ênfase2 3" xfId="17752" xr:uid="{00000000-0005-0000-0000-0000E8440000}"/>
    <cellStyle name="Ênfase2 4" xfId="17753" xr:uid="{00000000-0005-0000-0000-0000E9440000}"/>
    <cellStyle name="Ênfase2 5" xfId="17754" xr:uid="{00000000-0005-0000-0000-0000EA440000}"/>
    <cellStyle name="Ênfase2 6" xfId="17755" xr:uid="{00000000-0005-0000-0000-0000EB440000}"/>
    <cellStyle name="Ênfase2 7" xfId="17756" xr:uid="{00000000-0005-0000-0000-0000EC440000}"/>
    <cellStyle name="Ênfase2 8" xfId="17757" xr:uid="{00000000-0005-0000-0000-0000ED440000}"/>
    <cellStyle name="Ênfase2 9" xfId="17758" xr:uid="{00000000-0005-0000-0000-0000EE440000}"/>
    <cellStyle name="Ênfase3 10" xfId="17759" xr:uid="{00000000-0005-0000-0000-0000EF440000}"/>
    <cellStyle name="Ênfase3 11" xfId="17760" xr:uid="{00000000-0005-0000-0000-0000F0440000}"/>
    <cellStyle name="Ênfase3 12" xfId="17761" xr:uid="{00000000-0005-0000-0000-0000F1440000}"/>
    <cellStyle name="Ênfase3 13" xfId="17762" xr:uid="{00000000-0005-0000-0000-0000F2440000}"/>
    <cellStyle name="Ênfase3 14" xfId="17763" xr:uid="{00000000-0005-0000-0000-0000F3440000}"/>
    <cellStyle name="Ênfase3 15" xfId="17764" xr:uid="{00000000-0005-0000-0000-0000F4440000}"/>
    <cellStyle name="Ênfase3 16" xfId="17765" xr:uid="{00000000-0005-0000-0000-0000F5440000}"/>
    <cellStyle name="Ênfase3 17" xfId="17766" xr:uid="{00000000-0005-0000-0000-0000F6440000}"/>
    <cellStyle name="Ênfase3 2" xfId="17767" xr:uid="{00000000-0005-0000-0000-0000F7440000}"/>
    <cellStyle name="Ênfase3 3" xfId="17768" xr:uid="{00000000-0005-0000-0000-0000F8440000}"/>
    <cellStyle name="Ênfase3 4" xfId="17769" xr:uid="{00000000-0005-0000-0000-0000F9440000}"/>
    <cellStyle name="Ênfase3 5" xfId="17770" xr:uid="{00000000-0005-0000-0000-0000FA440000}"/>
    <cellStyle name="Ênfase3 6" xfId="17771" xr:uid="{00000000-0005-0000-0000-0000FB440000}"/>
    <cellStyle name="Ênfase3 7" xfId="17772" xr:uid="{00000000-0005-0000-0000-0000FC440000}"/>
    <cellStyle name="Ênfase3 8" xfId="17773" xr:uid="{00000000-0005-0000-0000-0000FD440000}"/>
    <cellStyle name="Ênfase3 9" xfId="17774" xr:uid="{00000000-0005-0000-0000-0000FE440000}"/>
    <cellStyle name="Ênfase4 10" xfId="17775" xr:uid="{00000000-0005-0000-0000-0000FF440000}"/>
    <cellStyle name="Ênfase4 11" xfId="17776" xr:uid="{00000000-0005-0000-0000-000000450000}"/>
    <cellStyle name="Ênfase4 12" xfId="17777" xr:uid="{00000000-0005-0000-0000-000001450000}"/>
    <cellStyle name="Ênfase4 13" xfId="17778" xr:uid="{00000000-0005-0000-0000-000002450000}"/>
    <cellStyle name="Ênfase4 14" xfId="17779" xr:uid="{00000000-0005-0000-0000-000003450000}"/>
    <cellStyle name="Ênfase4 15" xfId="17780" xr:uid="{00000000-0005-0000-0000-000004450000}"/>
    <cellStyle name="Ênfase4 16" xfId="17781" xr:uid="{00000000-0005-0000-0000-000005450000}"/>
    <cellStyle name="Ênfase4 17" xfId="17782" xr:uid="{00000000-0005-0000-0000-000006450000}"/>
    <cellStyle name="Ênfase4 2" xfId="17783" xr:uid="{00000000-0005-0000-0000-000007450000}"/>
    <cellStyle name="Ênfase4 3" xfId="17784" xr:uid="{00000000-0005-0000-0000-000008450000}"/>
    <cellStyle name="Ênfase4 4" xfId="17785" xr:uid="{00000000-0005-0000-0000-000009450000}"/>
    <cellStyle name="Ênfase4 5" xfId="17786" xr:uid="{00000000-0005-0000-0000-00000A450000}"/>
    <cellStyle name="Ênfase4 6" xfId="17787" xr:uid="{00000000-0005-0000-0000-00000B450000}"/>
    <cellStyle name="Ênfase4 7" xfId="17788" xr:uid="{00000000-0005-0000-0000-00000C450000}"/>
    <cellStyle name="Ênfase4 8" xfId="17789" xr:uid="{00000000-0005-0000-0000-00000D450000}"/>
    <cellStyle name="Ênfase4 9" xfId="17790" xr:uid="{00000000-0005-0000-0000-00000E450000}"/>
    <cellStyle name="Ênfase5 10" xfId="17791" xr:uid="{00000000-0005-0000-0000-00000F450000}"/>
    <cellStyle name="Ênfase5 11" xfId="17792" xr:uid="{00000000-0005-0000-0000-000010450000}"/>
    <cellStyle name="Ênfase5 12" xfId="17793" xr:uid="{00000000-0005-0000-0000-000011450000}"/>
    <cellStyle name="Ênfase5 13" xfId="17794" xr:uid="{00000000-0005-0000-0000-000012450000}"/>
    <cellStyle name="Ênfase5 14" xfId="17795" xr:uid="{00000000-0005-0000-0000-000013450000}"/>
    <cellStyle name="Ênfase5 15" xfId="17796" xr:uid="{00000000-0005-0000-0000-000014450000}"/>
    <cellStyle name="Ênfase5 16" xfId="17797" xr:uid="{00000000-0005-0000-0000-000015450000}"/>
    <cellStyle name="Ênfase5 17" xfId="17798" xr:uid="{00000000-0005-0000-0000-000016450000}"/>
    <cellStyle name="Ênfase5 2" xfId="17799" xr:uid="{00000000-0005-0000-0000-000017450000}"/>
    <cellStyle name="Ênfase5 3" xfId="17800" xr:uid="{00000000-0005-0000-0000-000018450000}"/>
    <cellStyle name="Ênfase5 4" xfId="17801" xr:uid="{00000000-0005-0000-0000-000019450000}"/>
    <cellStyle name="Ênfase5 5" xfId="17802" xr:uid="{00000000-0005-0000-0000-00001A450000}"/>
    <cellStyle name="Ênfase5 6" xfId="17803" xr:uid="{00000000-0005-0000-0000-00001B450000}"/>
    <cellStyle name="Ênfase5 7" xfId="17804" xr:uid="{00000000-0005-0000-0000-00001C450000}"/>
    <cellStyle name="Ênfase5 8" xfId="17805" xr:uid="{00000000-0005-0000-0000-00001D450000}"/>
    <cellStyle name="Ênfase5 9" xfId="17806" xr:uid="{00000000-0005-0000-0000-00001E450000}"/>
    <cellStyle name="Ênfase6 10" xfId="17807" xr:uid="{00000000-0005-0000-0000-00001F450000}"/>
    <cellStyle name="Ênfase6 11" xfId="17808" xr:uid="{00000000-0005-0000-0000-000020450000}"/>
    <cellStyle name="Ênfase6 12" xfId="17809" xr:uid="{00000000-0005-0000-0000-000021450000}"/>
    <cellStyle name="Ênfase6 13" xfId="17810" xr:uid="{00000000-0005-0000-0000-000022450000}"/>
    <cellStyle name="Ênfase6 14" xfId="17811" xr:uid="{00000000-0005-0000-0000-000023450000}"/>
    <cellStyle name="Ênfase6 15" xfId="17812" xr:uid="{00000000-0005-0000-0000-000024450000}"/>
    <cellStyle name="Ênfase6 16" xfId="17813" xr:uid="{00000000-0005-0000-0000-000025450000}"/>
    <cellStyle name="Ênfase6 17" xfId="17814" xr:uid="{00000000-0005-0000-0000-000026450000}"/>
    <cellStyle name="Ênfase6 2" xfId="17815" xr:uid="{00000000-0005-0000-0000-000027450000}"/>
    <cellStyle name="Ênfase6 3" xfId="17816" xr:uid="{00000000-0005-0000-0000-000028450000}"/>
    <cellStyle name="Ênfase6 4" xfId="17817" xr:uid="{00000000-0005-0000-0000-000029450000}"/>
    <cellStyle name="Ênfase6 5" xfId="17818" xr:uid="{00000000-0005-0000-0000-00002A450000}"/>
    <cellStyle name="Ênfase6 6" xfId="17819" xr:uid="{00000000-0005-0000-0000-00002B450000}"/>
    <cellStyle name="Ênfase6 7" xfId="17820" xr:uid="{00000000-0005-0000-0000-00002C450000}"/>
    <cellStyle name="Ênfase6 8" xfId="17821" xr:uid="{00000000-0005-0000-0000-00002D450000}"/>
    <cellStyle name="Ênfase6 9" xfId="17822" xr:uid="{00000000-0005-0000-0000-00002E450000}"/>
    <cellStyle name="Entrada 10" xfId="17823" xr:uid="{00000000-0005-0000-0000-00002F450000}"/>
    <cellStyle name="Entrada 11" xfId="17824" xr:uid="{00000000-0005-0000-0000-000030450000}"/>
    <cellStyle name="Entrada 12" xfId="17825" xr:uid="{00000000-0005-0000-0000-000031450000}"/>
    <cellStyle name="Entrada 13" xfId="17826" xr:uid="{00000000-0005-0000-0000-000032450000}"/>
    <cellStyle name="Entrada 14" xfId="17827" xr:uid="{00000000-0005-0000-0000-000033450000}"/>
    <cellStyle name="Entrada 15" xfId="17828" xr:uid="{00000000-0005-0000-0000-000034450000}"/>
    <cellStyle name="Entrada 16" xfId="17829" xr:uid="{00000000-0005-0000-0000-000035450000}"/>
    <cellStyle name="Entrada 17" xfId="17830" xr:uid="{00000000-0005-0000-0000-000036450000}"/>
    <cellStyle name="Entrada 18" xfId="17831" xr:uid="{00000000-0005-0000-0000-000037450000}"/>
    <cellStyle name="Entrada 19" xfId="17832" xr:uid="{00000000-0005-0000-0000-000038450000}"/>
    <cellStyle name="Entrada 2" xfId="17833" xr:uid="{00000000-0005-0000-0000-000039450000}"/>
    <cellStyle name="Entrada 2 2" xfId="17834" xr:uid="{00000000-0005-0000-0000-00003A450000}"/>
    <cellStyle name="Entrada 3" xfId="17835" xr:uid="{00000000-0005-0000-0000-00003B450000}"/>
    <cellStyle name="Entrada 4" xfId="17836" xr:uid="{00000000-0005-0000-0000-00003C450000}"/>
    <cellStyle name="Entrada 5" xfId="17837" xr:uid="{00000000-0005-0000-0000-00003D450000}"/>
    <cellStyle name="Entrada 6" xfId="17838" xr:uid="{00000000-0005-0000-0000-00003E450000}"/>
    <cellStyle name="Entrada 7" xfId="17839" xr:uid="{00000000-0005-0000-0000-00003F450000}"/>
    <cellStyle name="Entrada 8" xfId="17840" xr:uid="{00000000-0005-0000-0000-000040450000}"/>
    <cellStyle name="Entrada 9" xfId="17841" xr:uid="{00000000-0005-0000-0000-000041450000}"/>
    <cellStyle name="Estilo 1" xfId="17842" xr:uid="{00000000-0005-0000-0000-000042450000}"/>
    <cellStyle name="Estilo 1 2" xfId="17843" xr:uid="{00000000-0005-0000-0000-000043450000}"/>
    <cellStyle name="Estilo 1 3" xfId="17844" xr:uid="{00000000-0005-0000-0000-000044450000}"/>
    <cellStyle name="Estilo 2" xfId="17845" xr:uid="{00000000-0005-0000-0000-000045450000}"/>
    <cellStyle name="Estilo 4" xfId="17846" xr:uid="{00000000-0005-0000-0000-000046450000}"/>
    <cellStyle name="Estilo cinza" xfId="17847" xr:uid="{00000000-0005-0000-0000-000047450000}"/>
    <cellStyle name="Estilo Total" xfId="17848" xr:uid="{00000000-0005-0000-0000-000048450000}"/>
    <cellStyle name="Euro" xfId="92" xr:uid="{00000000-0005-0000-0000-000049450000}"/>
    <cellStyle name="Euro 10" xfId="17849" xr:uid="{00000000-0005-0000-0000-00004A450000}"/>
    <cellStyle name="Euro 10 10" xfId="17850" xr:uid="{00000000-0005-0000-0000-00004B450000}"/>
    <cellStyle name="Euro 10 2" xfId="17851" xr:uid="{00000000-0005-0000-0000-00004C450000}"/>
    <cellStyle name="Euro 10 3" xfId="17852" xr:uid="{00000000-0005-0000-0000-00004D450000}"/>
    <cellStyle name="Euro 10 4" xfId="17853" xr:uid="{00000000-0005-0000-0000-00004E450000}"/>
    <cellStyle name="Euro 10 5" xfId="17854" xr:uid="{00000000-0005-0000-0000-00004F450000}"/>
    <cellStyle name="Euro 10 6" xfId="17855" xr:uid="{00000000-0005-0000-0000-000050450000}"/>
    <cellStyle name="Euro 10 7" xfId="17856" xr:uid="{00000000-0005-0000-0000-000051450000}"/>
    <cellStyle name="Euro 10 8" xfId="17857" xr:uid="{00000000-0005-0000-0000-000052450000}"/>
    <cellStyle name="Euro 10 9" xfId="17858" xr:uid="{00000000-0005-0000-0000-000053450000}"/>
    <cellStyle name="Euro 11" xfId="17859" xr:uid="{00000000-0005-0000-0000-000054450000}"/>
    <cellStyle name="Euro 11 10" xfId="17860" xr:uid="{00000000-0005-0000-0000-000055450000}"/>
    <cellStyle name="Euro 11 2" xfId="17861" xr:uid="{00000000-0005-0000-0000-000056450000}"/>
    <cellStyle name="Euro 11 3" xfId="17862" xr:uid="{00000000-0005-0000-0000-000057450000}"/>
    <cellStyle name="Euro 11 4" xfId="17863" xr:uid="{00000000-0005-0000-0000-000058450000}"/>
    <cellStyle name="Euro 11 5" xfId="17864" xr:uid="{00000000-0005-0000-0000-000059450000}"/>
    <cellStyle name="Euro 11 6" xfId="17865" xr:uid="{00000000-0005-0000-0000-00005A450000}"/>
    <cellStyle name="Euro 11 7" xfId="17866" xr:uid="{00000000-0005-0000-0000-00005B450000}"/>
    <cellStyle name="Euro 11 8" xfId="17867" xr:uid="{00000000-0005-0000-0000-00005C450000}"/>
    <cellStyle name="Euro 11 9" xfId="17868" xr:uid="{00000000-0005-0000-0000-00005D450000}"/>
    <cellStyle name="Euro 12" xfId="17869" xr:uid="{00000000-0005-0000-0000-00005E450000}"/>
    <cellStyle name="Euro 12 10" xfId="17870" xr:uid="{00000000-0005-0000-0000-00005F450000}"/>
    <cellStyle name="Euro 12 2" xfId="17871" xr:uid="{00000000-0005-0000-0000-000060450000}"/>
    <cellStyle name="Euro 12 3" xfId="17872" xr:uid="{00000000-0005-0000-0000-000061450000}"/>
    <cellStyle name="Euro 12 4" xfId="17873" xr:uid="{00000000-0005-0000-0000-000062450000}"/>
    <cellStyle name="Euro 12 5" xfId="17874" xr:uid="{00000000-0005-0000-0000-000063450000}"/>
    <cellStyle name="Euro 12 6" xfId="17875" xr:uid="{00000000-0005-0000-0000-000064450000}"/>
    <cellStyle name="Euro 12 7" xfId="17876" xr:uid="{00000000-0005-0000-0000-000065450000}"/>
    <cellStyle name="Euro 12 8" xfId="17877" xr:uid="{00000000-0005-0000-0000-000066450000}"/>
    <cellStyle name="Euro 12 9" xfId="17878" xr:uid="{00000000-0005-0000-0000-000067450000}"/>
    <cellStyle name="Euro 13" xfId="17879" xr:uid="{00000000-0005-0000-0000-000068450000}"/>
    <cellStyle name="Euro 13 10" xfId="17880" xr:uid="{00000000-0005-0000-0000-000069450000}"/>
    <cellStyle name="Euro 13 2" xfId="17881" xr:uid="{00000000-0005-0000-0000-00006A450000}"/>
    <cellStyle name="Euro 13 3" xfId="17882" xr:uid="{00000000-0005-0000-0000-00006B450000}"/>
    <cellStyle name="Euro 13 4" xfId="17883" xr:uid="{00000000-0005-0000-0000-00006C450000}"/>
    <cellStyle name="Euro 13 5" xfId="17884" xr:uid="{00000000-0005-0000-0000-00006D450000}"/>
    <cellStyle name="Euro 13 6" xfId="17885" xr:uid="{00000000-0005-0000-0000-00006E450000}"/>
    <cellStyle name="Euro 13 7" xfId="17886" xr:uid="{00000000-0005-0000-0000-00006F450000}"/>
    <cellStyle name="Euro 13 8" xfId="17887" xr:uid="{00000000-0005-0000-0000-000070450000}"/>
    <cellStyle name="Euro 13 9" xfId="17888" xr:uid="{00000000-0005-0000-0000-000071450000}"/>
    <cellStyle name="Euro 14" xfId="17889" xr:uid="{00000000-0005-0000-0000-000072450000}"/>
    <cellStyle name="Euro 14 10" xfId="17890" xr:uid="{00000000-0005-0000-0000-000073450000}"/>
    <cellStyle name="Euro 14 2" xfId="17891" xr:uid="{00000000-0005-0000-0000-000074450000}"/>
    <cellStyle name="Euro 14 3" xfId="17892" xr:uid="{00000000-0005-0000-0000-000075450000}"/>
    <cellStyle name="Euro 14 4" xfId="17893" xr:uid="{00000000-0005-0000-0000-000076450000}"/>
    <cellStyle name="Euro 14 5" xfId="17894" xr:uid="{00000000-0005-0000-0000-000077450000}"/>
    <cellStyle name="Euro 14 6" xfId="17895" xr:uid="{00000000-0005-0000-0000-000078450000}"/>
    <cellStyle name="Euro 14 7" xfId="17896" xr:uid="{00000000-0005-0000-0000-000079450000}"/>
    <cellStyle name="Euro 14 8" xfId="17897" xr:uid="{00000000-0005-0000-0000-00007A450000}"/>
    <cellStyle name="Euro 14 9" xfId="17898" xr:uid="{00000000-0005-0000-0000-00007B450000}"/>
    <cellStyle name="Euro 15" xfId="17899" xr:uid="{00000000-0005-0000-0000-00007C450000}"/>
    <cellStyle name="Euro 15 10" xfId="17900" xr:uid="{00000000-0005-0000-0000-00007D450000}"/>
    <cellStyle name="Euro 15 2" xfId="17901" xr:uid="{00000000-0005-0000-0000-00007E450000}"/>
    <cellStyle name="Euro 15 3" xfId="17902" xr:uid="{00000000-0005-0000-0000-00007F450000}"/>
    <cellStyle name="Euro 15 4" xfId="17903" xr:uid="{00000000-0005-0000-0000-000080450000}"/>
    <cellStyle name="Euro 15 5" xfId="17904" xr:uid="{00000000-0005-0000-0000-000081450000}"/>
    <cellStyle name="Euro 15 6" xfId="17905" xr:uid="{00000000-0005-0000-0000-000082450000}"/>
    <cellStyle name="Euro 15 7" xfId="17906" xr:uid="{00000000-0005-0000-0000-000083450000}"/>
    <cellStyle name="Euro 15 8" xfId="17907" xr:uid="{00000000-0005-0000-0000-000084450000}"/>
    <cellStyle name="Euro 15 9" xfId="17908" xr:uid="{00000000-0005-0000-0000-000085450000}"/>
    <cellStyle name="Euro 16" xfId="17909" xr:uid="{00000000-0005-0000-0000-000086450000}"/>
    <cellStyle name="Euro 16 10" xfId="17910" xr:uid="{00000000-0005-0000-0000-000087450000}"/>
    <cellStyle name="Euro 16 2" xfId="17911" xr:uid="{00000000-0005-0000-0000-000088450000}"/>
    <cellStyle name="Euro 16 3" xfId="17912" xr:uid="{00000000-0005-0000-0000-000089450000}"/>
    <cellStyle name="Euro 16 4" xfId="17913" xr:uid="{00000000-0005-0000-0000-00008A450000}"/>
    <cellStyle name="Euro 16 5" xfId="17914" xr:uid="{00000000-0005-0000-0000-00008B450000}"/>
    <cellStyle name="Euro 16 6" xfId="17915" xr:uid="{00000000-0005-0000-0000-00008C450000}"/>
    <cellStyle name="Euro 16 7" xfId="17916" xr:uid="{00000000-0005-0000-0000-00008D450000}"/>
    <cellStyle name="Euro 16 8" xfId="17917" xr:uid="{00000000-0005-0000-0000-00008E450000}"/>
    <cellStyle name="Euro 16 9" xfId="17918" xr:uid="{00000000-0005-0000-0000-00008F450000}"/>
    <cellStyle name="Euro 17" xfId="17919" xr:uid="{00000000-0005-0000-0000-000090450000}"/>
    <cellStyle name="Euro 17 10" xfId="17920" xr:uid="{00000000-0005-0000-0000-000091450000}"/>
    <cellStyle name="Euro 17 2" xfId="17921" xr:uid="{00000000-0005-0000-0000-000092450000}"/>
    <cellStyle name="Euro 17 3" xfId="17922" xr:uid="{00000000-0005-0000-0000-000093450000}"/>
    <cellStyle name="Euro 17 4" xfId="17923" xr:uid="{00000000-0005-0000-0000-000094450000}"/>
    <cellStyle name="Euro 17 5" xfId="17924" xr:uid="{00000000-0005-0000-0000-000095450000}"/>
    <cellStyle name="Euro 17 6" xfId="17925" xr:uid="{00000000-0005-0000-0000-000096450000}"/>
    <cellStyle name="Euro 17 7" xfId="17926" xr:uid="{00000000-0005-0000-0000-000097450000}"/>
    <cellStyle name="Euro 17 8" xfId="17927" xr:uid="{00000000-0005-0000-0000-000098450000}"/>
    <cellStyle name="Euro 17 9" xfId="17928" xr:uid="{00000000-0005-0000-0000-000099450000}"/>
    <cellStyle name="Euro 18" xfId="17929" xr:uid="{00000000-0005-0000-0000-00009A450000}"/>
    <cellStyle name="Euro 19" xfId="17930" xr:uid="{00000000-0005-0000-0000-00009B450000}"/>
    <cellStyle name="Euro 2" xfId="17931" xr:uid="{00000000-0005-0000-0000-00009C450000}"/>
    <cellStyle name="Euro 2 10" xfId="17932" xr:uid="{00000000-0005-0000-0000-00009D450000}"/>
    <cellStyle name="Euro 2 11" xfId="17933" xr:uid="{00000000-0005-0000-0000-00009E450000}"/>
    <cellStyle name="Euro 2 12" xfId="17934" xr:uid="{00000000-0005-0000-0000-00009F450000}"/>
    <cellStyle name="Euro 2 13" xfId="17935" xr:uid="{00000000-0005-0000-0000-0000A0450000}"/>
    <cellStyle name="Euro 2 14" xfId="17936" xr:uid="{00000000-0005-0000-0000-0000A1450000}"/>
    <cellStyle name="Euro 2 15" xfId="17937" xr:uid="{00000000-0005-0000-0000-0000A2450000}"/>
    <cellStyle name="Euro 2 2" xfId="17938" xr:uid="{00000000-0005-0000-0000-0000A3450000}"/>
    <cellStyle name="Euro 2 3" xfId="17939" xr:uid="{00000000-0005-0000-0000-0000A4450000}"/>
    <cellStyle name="Euro 2 4" xfId="17940" xr:uid="{00000000-0005-0000-0000-0000A5450000}"/>
    <cellStyle name="Euro 2 5" xfId="17941" xr:uid="{00000000-0005-0000-0000-0000A6450000}"/>
    <cellStyle name="Euro 2 6" xfId="17942" xr:uid="{00000000-0005-0000-0000-0000A7450000}"/>
    <cellStyle name="Euro 2 7" xfId="17943" xr:uid="{00000000-0005-0000-0000-0000A8450000}"/>
    <cellStyle name="Euro 2 8" xfId="17944" xr:uid="{00000000-0005-0000-0000-0000A9450000}"/>
    <cellStyle name="Euro 2 9" xfId="17945" xr:uid="{00000000-0005-0000-0000-0000AA450000}"/>
    <cellStyle name="Euro 20" xfId="17946" xr:uid="{00000000-0005-0000-0000-0000AB450000}"/>
    <cellStyle name="Euro 21" xfId="17947" xr:uid="{00000000-0005-0000-0000-0000AC450000}"/>
    <cellStyle name="Euro 22" xfId="17948" xr:uid="{00000000-0005-0000-0000-0000AD450000}"/>
    <cellStyle name="Euro 23" xfId="17949" xr:uid="{00000000-0005-0000-0000-0000AE450000}"/>
    <cellStyle name="Euro 24" xfId="17950" xr:uid="{00000000-0005-0000-0000-0000AF450000}"/>
    <cellStyle name="Euro 25" xfId="17951" xr:uid="{00000000-0005-0000-0000-0000B0450000}"/>
    <cellStyle name="Euro 26" xfId="17952" xr:uid="{00000000-0005-0000-0000-0000B1450000}"/>
    <cellStyle name="Euro 26 2" xfId="17953" xr:uid="{00000000-0005-0000-0000-0000B2450000}"/>
    <cellStyle name="Euro 26 3" xfId="17954" xr:uid="{00000000-0005-0000-0000-0000B3450000}"/>
    <cellStyle name="Euro 27" xfId="17955" xr:uid="{00000000-0005-0000-0000-0000B4450000}"/>
    <cellStyle name="Euro 27 2" xfId="17956" xr:uid="{00000000-0005-0000-0000-0000B5450000}"/>
    <cellStyle name="Euro 27 3" xfId="17957" xr:uid="{00000000-0005-0000-0000-0000B6450000}"/>
    <cellStyle name="Euro 28" xfId="17958" xr:uid="{00000000-0005-0000-0000-0000B7450000}"/>
    <cellStyle name="Euro 29" xfId="17959" xr:uid="{00000000-0005-0000-0000-0000B8450000}"/>
    <cellStyle name="Euro 3" xfId="17960" xr:uid="{00000000-0005-0000-0000-0000B9450000}"/>
    <cellStyle name="Euro 3 10" xfId="17961" xr:uid="{00000000-0005-0000-0000-0000BA450000}"/>
    <cellStyle name="Euro 3 11" xfId="17962" xr:uid="{00000000-0005-0000-0000-0000BB450000}"/>
    <cellStyle name="Euro 3 12" xfId="17963" xr:uid="{00000000-0005-0000-0000-0000BC450000}"/>
    <cellStyle name="Euro 3 13" xfId="17964" xr:uid="{00000000-0005-0000-0000-0000BD450000}"/>
    <cellStyle name="Euro 3 2" xfId="17965" xr:uid="{00000000-0005-0000-0000-0000BE450000}"/>
    <cellStyle name="Euro 3 3" xfId="17966" xr:uid="{00000000-0005-0000-0000-0000BF450000}"/>
    <cellStyle name="Euro 3 4" xfId="17967" xr:uid="{00000000-0005-0000-0000-0000C0450000}"/>
    <cellStyle name="Euro 3 5" xfId="17968" xr:uid="{00000000-0005-0000-0000-0000C1450000}"/>
    <cellStyle name="Euro 3 6" xfId="17969" xr:uid="{00000000-0005-0000-0000-0000C2450000}"/>
    <cellStyle name="Euro 3 7" xfId="17970" xr:uid="{00000000-0005-0000-0000-0000C3450000}"/>
    <cellStyle name="Euro 3 8" xfId="17971" xr:uid="{00000000-0005-0000-0000-0000C4450000}"/>
    <cellStyle name="Euro 3 9" xfId="17972" xr:uid="{00000000-0005-0000-0000-0000C5450000}"/>
    <cellStyle name="Euro 30" xfId="17973" xr:uid="{00000000-0005-0000-0000-0000C6450000}"/>
    <cellStyle name="Euro 30 10" xfId="17974" xr:uid="{00000000-0005-0000-0000-0000C7450000}"/>
    <cellStyle name="Euro 30 11" xfId="17975" xr:uid="{00000000-0005-0000-0000-0000C8450000}"/>
    <cellStyle name="Euro 30 12" xfId="17976" xr:uid="{00000000-0005-0000-0000-0000C9450000}"/>
    <cellStyle name="Euro 30 13" xfId="17977" xr:uid="{00000000-0005-0000-0000-0000CA450000}"/>
    <cellStyle name="Euro 30 14" xfId="17978" xr:uid="{00000000-0005-0000-0000-0000CB450000}"/>
    <cellStyle name="Euro 30 2" xfId="17979" xr:uid="{00000000-0005-0000-0000-0000CC450000}"/>
    <cellStyle name="Euro 30 2 2" xfId="17980" xr:uid="{00000000-0005-0000-0000-0000CD450000}"/>
    <cellStyle name="Euro 30 3" xfId="17981" xr:uid="{00000000-0005-0000-0000-0000CE450000}"/>
    <cellStyle name="Euro 30 3 2" xfId="17982" xr:uid="{00000000-0005-0000-0000-0000CF450000}"/>
    <cellStyle name="Euro 30 4" xfId="17983" xr:uid="{00000000-0005-0000-0000-0000D0450000}"/>
    <cellStyle name="Euro 30 5" xfId="17984" xr:uid="{00000000-0005-0000-0000-0000D1450000}"/>
    <cellStyle name="Euro 30 6" xfId="17985" xr:uid="{00000000-0005-0000-0000-0000D2450000}"/>
    <cellStyle name="Euro 30 7" xfId="17986" xr:uid="{00000000-0005-0000-0000-0000D3450000}"/>
    <cellStyle name="Euro 30 8" xfId="17987" xr:uid="{00000000-0005-0000-0000-0000D4450000}"/>
    <cellStyle name="Euro 30 9" xfId="17988" xr:uid="{00000000-0005-0000-0000-0000D5450000}"/>
    <cellStyle name="Euro 31" xfId="17989" xr:uid="{00000000-0005-0000-0000-0000D6450000}"/>
    <cellStyle name="Euro 31 10" xfId="17990" xr:uid="{00000000-0005-0000-0000-0000D7450000}"/>
    <cellStyle name="Euro 31 11" xfId="17991" xr:uid="{00000000-0005-0000-0000-0000D8450000}"/>
    <cellStyle name="Euro 31 12" xfId="17992" xr:uid="{00000000-0005-0000-0000-0000D9450000}"/>
    <cellStyle name="Euro 31 13" xfId="17993" xr:uid="{00000000-0005-0000-0000-0000DA450000}"/>
    <cellStyle name="Euro 31 2" xfId="17994" xr:uid="{00000000-0005-0000-0000-0000DB450000}"/>
    <cellStyle name="Euro 31 3" xfId="17995" xr:uid="{00000000-0005-0000-0000-0000DC450000}"/>
    <cellStyle name="Euro 31 4" xfId="17996" xr:uid="{00000000-0005-0000-0000-0000DD450000}"/>
    <cellStyle name="Euro 31 5" xfId="17997" xr:uid="{00000000-0005-0000-0000-0000DE450000}"/>
    <cellStyle name="Euro 31 6" xfId="17998" xr:uid="{00000000-0005-0000-0000-0000DF450000}"/>
    <cellStyle name="Euro 31 7" xfId="17999" xr:uid="{00000000-0005-0000-0000-0000E0450000}"/>
    <cellStyle name="Euro 31 8" xfId="18000" xr:uid="{00000000-0005-0000-0000-0000E1450000}"/>
    <cellStyle name="Euro 31 9" xfId="18001" xr:uid="{00000000-0005-0000-0000-0000E2450000}"/>
    <cellStyle name="Euro 32" xfId="18002" xr:uid="{00000000-0005-0000-0000-0000E3450000}"/>
    <cellStyle name="Euro 32 10" xfId="18003" xr:uid="{00000000-0005-0000-0000-0000E4450000}"/>
    <cellStyle name="Euro 32 11" xfId="18004" xr:uid="{00000000-0005-0000-0000-0000E5450000}"/>
    <cellStyle name="Euro 32 12" xfId="18005" xr:uid="{00000000-0005-0000-0000-0000E6450000}"/>
    <cellStyle name="Euro 32 13" xfId="18006" xr:uid="{00000000-0005-0000-0000-0000E7450000}"/>
    <cellStyle name="Euro 32 2" xfId="18007" xr:uid="{00000000-0005-0000-0000-0000E8450000}"/>
    <cellStyle name="Euro 32 3" xfId="18008" xr:uid="{00000000-0005-0000-0000-0000E9450000}"/>
    <cellStyle name="Euro 32 4" xfId="18009" xr:uid="{00000000-0005-0000-0000-0000EA450000}"/>
    <cellStyle name="Euro 32 5" xfId="18010" xr:uid="{00000000-0005-0000-0000-0000EB450000}"/>
    <cellStyle name="Euro 32 6" xfId="18011" xr:uid="{00000000-0005-0000-0000-0000EC450000}"/>
    <cellStyle name="Euro 32 7" xfId="18012" xr:uid="{00000000-0005-0000-0000-0000ED450000}"/>
    <cellStyle name="Euro 32 8" xfId="18013" xr:uid="{00000000-0005-0000-0000-0000EE450000}"/>
    <cellStyle name="Euro 32 9" xfId="18014" xr:uid="{00000000-0005-0000-0000-0000EF450000}"/>
    <cellStyle name="Euro 33" xfId="18015" xr:uid="{00000000-0005-0000-0000-0000F0450000}"/>
    <cellStyle name="Euro 34" xfId="18016" xr:uid="{00000000-0005-0000-0000-0000F1450000}"/>
    <cellStyle name="Euro 35" xfId="18017" xr:uid="{00000000-0005-0000-0000-0000F2450000}"/>
    <cellStyle name="Euro 36" xfId="18018" xr:uid="{00000000-0005-0000-0000-0000F3450000}"/>
    <cellStyle name="Euro 37" xfId="18019" xr:uid="{00000000-0005-0000-0000-0000F4450000}"/>
    <cellStyle name="Euro 37 2" xfId="18020" xr:uid="{00000000-0005-0000-0000-0000F5450000}"/>
    <cellStyle name="Euro 37 3" xfId="18021" xr:uid="{00000000-0005-0000-0000-0000F6450000}"/>
    <cellStyle name="Euro 38" xfId="18022" xr:uid="{00000000-0005-0000-0000-0000F7450000}"/>
    <cellStyle name="Euro 38 2" xfId="18023" xr:uid="{00000000-0005-0000-0000-0000F8450000}"/>
    <cellStyle name="Euro 38 3" xfId="18024" xr:uid="{00000000-0005-0000-0000-0000F9450000}"/>
    <cellStyle name="Euro 39" xfId="18025" xr:uid="{00000000-0005-0000-0000-0000FA450000}"/>
    <cellStyle name="Euro 4" xfId="18026" xr:uid="{00000000-0005-0000-0000-0000FB450000}"/>
    <cellStyle name="Euro 4 10" xfId="18027" xr:uid="{00000000-0005-0000-0000-0000FC450000}"/>
    <cellStyle name="Euro 4 11" xfId="18028" xr:uid="{00000000-0005-0000-0000-0000FD450000}"/>
    <cellStyle name="Euro 4 12" xfId="18029" xr:uid="{00000000-0005-0000-0000-0000FE450000}"/>
    <cellStyle name="Euro 4 13" xfId="18030" xr:uid="{00000000-0005-0000-0000-0000FF450000}"/>
    <cellStyle name="Euro 4 2" xfId="18031" xr:uid="{00000000-0005-0000-0000-000000460000}"/>
    <cellStyle name="Euro 4 3" xfId="18032" xr:uid="{00000000-0005-0000-0000-000001460000}"/>
    <cellStyle name="Euro 4 4" xfId="18033" xr:uid="{00000000-0005-0000-0000-000002460000}"/>
    <cellStyle name="Euro 4 5" xfId="18034" xr:uid="{00000000-0005-0000-0000-000003460000}"/>
    <cellStyle name="Euro 4 6" xfId="18035" xr:uid="{00000000-0005-0000-0000-000004460000}"/>
    <cellStyle name="Euro 4 7" xfId="18036" xr:uid="{00000000-0005-0000-0000-000005460000}"/>
    <cellStyle name="Euro 4 8" xfId="18037" xr:uid="{00000000-0005-0000-0000-000006460000}"/>
    <cellStyle name="Euro 4 9" xfId="18038" xr:uid="{00000000-0005-0000-0000-000007460000}"/>
    <cellStyle name="Euro 40" xfId="18039" xr:uid="{00000000-0005-0000-0000-000008460000}"/>
    <cellStyle name="Euro 41" xfId="18040" xr:uid="{00000000-0005-0000-0000-000009460000}"/>
    <cellStyle name="Euro 42" xfId="18041" xr:uid="{00000000-0005-0000-0000-00000A460000}"/>
    <cellStyle name="Euro 43" xfId="18042" xr:uid="{00000000-0005-0000-0000-00000B460000}"/>
    <cellStyle name="Euro 44" xfId="18043" xr:uid="{00000000-0005-0000-0000-00000C460000}"/>
    <cellStyle name="Euro 45" xfId="18044" xr:uid="{00000000-0005-0000-0000-00000D460000}"/>
    <cellStyle name="Euro 5" xfId="18045" xr:uid="{00000000-0005-0000-0000-00000E460000}"/>
    <cellStyle name="Euro 5 10" xfId="18046" xr:uid="{00000000-0005-0000-0000-00000F460000}"/>
    <cellStyle name="Euro 5 11" xfId="18047" xr:uid="{00000000-0005-0000-0000-000010460000}"/>
    <cellStyle name="Euro 5 12" xfId="18048" xr:uid="{00000000-0005-0000-0000-000011460000}"/>
    <cellStyle name="Euro 5 13" xfId="18049" xr:uid="{00000000-0005-0000-0000-000012460000}"/>
    <cellStyle name="Euro 5 2" xfId="18050" xr:uid="{00000000-0005-0000-0000-000013460000}"/>
    <cellStyle name="Euro 5 3" xfId="18051" xr:uid="{00000000-0005-0000-0000-000014460000}"/>
    <cellStyle name="Euro 5 4" xfId="18052" xr:uid="{00000000-0005-0000-0000-000015460000}"/>
    <cellStyle name="Euro 5 5" xfId="18053" xr:uid="{00000000-0005-0000-0000-000016460000}"/>
    <cellStyle name="Euro 5 6" xfId="18054" xr:uid="{00000000-0005-0000-0000-000017460000}"/>
    <cellStyle name="Euro 5 7" xfId="18055" xr:uid="{00000000-0005-0000-0000-000018460000}"/>
    <cellStyle name="Euro 5 8" xfId="18056" xr:uid="{00000000-0005-0000-0000-000019460000}"/>
    <cellStyle name="Euro 5 9" xfId="18057" xr:uid="{00000000-0005-0000-0000-00001A460000}"/>
    <cellStyle name="Euro 6" xfId="18058" xr:uid="{00000000-0005-0000-0000-00001B460000}"/>
    <cellStyle name="Euro 6 10" xfId="18059" xr:uid="{00000000-0005-0000-0000-00001C460000}"/>
    <cellStyle name="Euro 6 11" xfId="18060" xr:uid="{00000000-0005-0000-0000-00001D460000}"/>
    <cellStyle name="Euro 6 12" xfId="18061" xr:uid="{00000000-0005-0000-0000-00001E460000}"/>
    <cellStyle name="Euro 6 13" xfId="18062" xr:uid="{00000000-0005-0000-0000-00001F460000}"/>
    <cellStyle name="Euro 6 2" xfId="18063" xr:uid="{00000000-0005-0000-0000-000020460000}"/>
    <cellStyle name="Euro 6 3" xfId="18064" xr:uid="{00000000-0005-0000-0000-000021460000}"/>
    <cellStyle name="Euro 6 4" xfId="18065" xr:uid="{00000000-0005-0000-0000-000022460000}"/>
    <cellStyle name="Euro 6 5" xfId="18066" xr:uid="{00000000-0005-0000-0000-000023460000}"/>
    <cellStyle name="Euro 6 6" xfId="18067" xr:uid="{00000000-0005-0000-0000-000024460000}"/>
    <cellStyle name="Euro 6 7" xfId="18068" xr:uid="{00000000-0005-0000-0000-000025460000}"/>
    <cellStyle name="Euro 6 8" xfId="18069" xr:uid="{00000000-0005-0000-0000-000026460000}"/>
    <cellStyle name="Euro 6 9" xfId="18070" xr:uid="{00000000-0005-0000-0000-000027460000}"/>
    <cellStyle name="Euro 7" xfId="18071" xr:uid="{00000000-0005-0000-0000-000028460000}"/>
    <cellStyle name="Euro 7 10" xfId="18072" xr:uid="{00000000-0005-0000-0000-000029460000}"/>
    <cellStyle name="Euro 7 2" xfId="18073" xr:uid="{00000000-0005-0000-0000-00002A460000}"/>
    <cellStyle name="Euro 7 3" xfId="18074" xr:uid="{00000000-0005-0000-0000-00002B460000}"/>
    <cellStyle name="Euro 7 4" xfId="18075" xr:uid="{00000000-0005-0000-0000-00002C460000}"/>
    <cellStyle name="Euro 7 5" xfId="18076" xr:uid="{00000000-0005-0000-0000-00002D460000}"/>
    <cellStyle name="Euro 7 6" xfId="18077" xr:uid="{00000000-0005-0000-0000-00002E460000}"/>
    <cellStyle name="Euro 7 7" xfId="18078" xr:uid="{00000000-0005-0000-0000-00002F460000}"/>
    <cellStyle name="Euro 7 8" xfId="18079" xr:uid="{00000000-0005-0000-0000-000030460000}"/>
    <cellStyle name="Euro 7 9" xfId="18080" xr:uid="{00000000-0005-0000-0000-000031460000}"/>
    <cellStyle name="Euro 8" xfId="18081" xr:uid="{00000000-0005-0000-0000-000032460000}"/>
    <cellStyle name="Euro 8 10" xfId="18082" xr:uid="{00000000-0005-0000-0000-000033460000}"/>
    <cellStyle name="Euro 8 2" xfId="18083" xr:uid="{00000000-0005-0000-0000-000034460000}"/>
    <cellStyle name="Euro 8 3" xfId="18084" xr:uid="{00000000-0005-0000-0000-000035460000}"/>
    <cellStyle name="Euro 8 4" xfId="18085" xr:uid="{00000000-0005-0000-0000-000036460000}"/>
    <cellStyle name="Euro 8 5" xfId="18086" xr:uid="{00000000-0005-0000-0000-000037460000}"/>
    <cellStyle name="Euro 8 6" xfId="18087" xr:uid="{00000000-0005-0000-0000-000038460000}"/>
    <cellStyle name="Euro 8 7" xfId="18088" xr:uid="{00000000-0005-0000-0000-000039460000}"/>
    <cellStyle name="Euro 8 8" xfId="18089" xr:uid="{00000000-0005-0000-0000-00003A460000}"/>
    <cellStyle name="Euro 8 9" xfId="18090" xr:uid="{00000000-0005-0000-0000-00003B460000}"/>
    <cellStyle name="Euro 9" xfId="18091" xr:uid="{00000000-0005-0000-0000-00003C460000}"/>
    <cellStyle name="Euro 9 10" xfId="18092" xr:uid="{00000000-0005-0000-0000-00003D460000}"/>
    <cellStyle name="Euro 9 2" xfId="18093" xr:uid="{00000000-0005-0000-0000-00003E460000}"/>
    <cellStyle name="Euro 9 3" xfId="18094" xr:uid="{00000000-0005-0000-0000-00003F460000}"/>
    <cellStyle name="Euro 9 4" xfId="18095" xr:uid="{00000000-0005-0000-0000-000040460000}"/>
    <cellStyle name="Euro 9 5" xfId="18096" xr:uid="{00000000-0005-0000-0000-000041460000}"/>
    <cellStyle name="Euro 9 6" xfId="18097" xr:uid="{00000000-0005-0000-0000-000042460000}"/>
    <cellStyle name="Euro 9 7" xfId="18098" xr:uid="{00000000-0005-0000-0000-000043460000}"/>
    <cellStyle name="Euro 9 8" xfId="18099" xr:uid="{00000000-0005-0000-0000-000044460000}"/>
    <cellStyle name="Euro 9 9" xfId="18100" xr:uid="{00000000-0005-0000-0000-000045460000}"/>
    <cellStyle name="Euro_Azevedo" xfId="18101" xr:uid="{00000000-0005-0000-0000-000046460000}"/>
    <cellStyle name="eval" xfId="18102" xr:uid="{00000000-0005-0000-0000-000047460000}"/>
    <cellStyle name="Excel Built-in Normal" xfId="18103" xr:uid="{00000000-0005-0000-0000-000048460000}"/>
    <cellStyle name="Excel Built-in Normal 2" xfId="18104" xr:uid="{00000000-0005-0000-0000-000049460000}"/>
    <cellStyle name="Excel Built-in Normal 2 2" xfId="18105" xr:uid="{00000000-0005-0000-0000-00004A460000}"/>
    <cellStyle name="Excel Built-in Normal 3" xfId="18106" xr:uid="{00000000-0005-0000-0000-00004B460000}"/>
    <cellStyle name="Excel.Chart" xfId="18107" xr:uid="{00000000-0005-0000-0000-00004C460000}"/>
    <cellStyle name="Excel_BuiltIn_Comma 1" xfId="18108" xr:uid="{00000000-0005-0000-0000-00004D460000}"/>
    <cellStyle name="Explanatory Text" xfId="51" xr:uid="{00000000-0005-0000-0000-00004E460000}"/>
    <cellStyle name="Explanatory Text 2" xfId="18109" xr:uid="{00000000-0005-0000-0000-00004F460000}"/>
    <cellStyle name="EY House" xfId="93" xr:uid="{00000000-0005-0000-0000-000050460000}"/>
    <cellStyle name="EY House 2" xfId="18110" xr:uid="{00000000-0005-0000-0000-000051460000}"/>
    <cellStyle name="F2" xfId="94" xr:uid="{00000000-0005-0000-0000-000052460000}"/>
    <cellStyle name="F3" xfId="95" xr:uid="{00000000-0005-0000-0000-000053460000}"/>
    <cellStyle name="F4" xfId="96" xr:uid="{00000000-0005-0000-0000-000054460000}"/>
    <cellStyle name="F5" xfId="97" xr:uid="{00000000-0005-0000-0000-000055460000}"/>
    <cellStyle name="F6" xfId="98" xr:uid="{00000000-0005-0000-0000-000056460000}"/>
    <cellStyle name="F7" xfId="99" xr:uid="{00000000-0005-0000-0000-000057460000}"/>
    <cellStyle name="F8" xfId="100" xr:uid="{00000000-0005-0000-0000-000058460000}"/>
    <cellStyle name="Fábio" xfId="18111" xr:uid="{00000000-0005-0000-0000-000059460000}"/>
    <cellStyle name="Falces1" xfId="101" xr:uid="{00000000-0005-0000-0000-00005A460000}"/>
    <cellStyle name="Fecha" xfId="102" xr:uid="{00000000-0005-0000-0000-00005B460000}"/>
    <cellStyle name="Fijo" xfId="103" xr:uid="{00000000-0005-0000-0000-00005C460000}"/>
    <cellStyle name="Final com dois dígitos" xfId="18112" xr:uid="{00000000-0005-0000-0000-00005D460000}"/>
    <cellStyle name="Final com um dígito" xfId="18113" xr:uid="{00000000-0005-0000-0000-00005E460000}"/>
    <cellStyle name="Financiero" xfId="18114" xr:uid="{00000000-0005-0000-0000-00005F460000}"/>
    <cellStyle name="Finanční0" xfId="18115" xr:uid="{00000000-0005-0000-0000-000060460000}"/>
    <cellStyle name="Fixed" xfId="18116" xr:uid="{00000000-0005-0000-0000-000061460000}"/>
    <cellStyle name="Fixed [0]" xfId="18117" xr:uid="{00000000-0005-0000-0000-000062460000}"/>
    <cellStyle name="Fixed [0] 2" xfId="18118" xr:uid="{00000000-0005-0000-0000-000063460000}"/>
    <cellStyle name="Fixed 10" xfId="18119" xr:uid="{00000000-0005-0000-0000-000064460000}"/>
    <cellStyle name="Fixed 2" xfId="18120" xr:uid="{00000000-0005-0000-0000-000065460000}"/>
    <cellStyle name="Fixed 3" xfId="18121" xr:uid="{00000000-0005-0000-0000-000066460000}"/>
    <cellStyle name="Fixed 4" xfId="18122" xr:uid="{00000000-0005-0000-0000-000067460000}"/>
    <cellStyle name="Fixed 5" xfId="18123" xr:uid="{00000000-0005-0000-0000-000068460000}"/>
    <cellStyle name="Fixed 6" xfId="18124" xr:uid="{00000000-0005-0000-0000-000069460000}"/>
    <cellStyle name="Fixed 7" xfId="18125" xr:uid="{00000000-0005-0000-0000-00006A460000}"/>
    <cellStyle name="Fixed 8" xfId="18126" xr:uid="{00000000-0005-0000-0000-00006B460000}"/>
    <cellStyle name="Fixed 9" xfId="18127" xr:uid="{00000000-0005-0000-0000-00006C460000}"/>
    <cellStyle name="Fixed_CA_GDF_Cenário_Base_13_03" xfId="18128" xr:uid="{00000000-0005-0000-0000-00006D460000}"/>
    <cellStyle name="Fixlong" xfId="18129" xr:uid="{00000000-0005-0000-0000-00006E460000}"/>
    <cellStyle name="Fixo" xfId="4" xr:uid="{00000000-0005-0000-0000-00006F460000}"/>
    <cellStyle name="Fixo 2" xfId="18130" xr:uid="{00000000-0005-0000-0000-000070460000}"/>
    <cellStyle name="Fixo 3" xfId="18131" xr:uid="{00000000-0005-0000-0000-000071460000}"/>
    <cellStyle name="Fixo 4" xfId="18132" xr:uid="{00000000-0005-0000-0000-000072460000}"/>
    <cellStyle name="Fixo 5" xfId="18133" xr:uid="{00000000-0005-0000-0000-000073460000}"/>
    <cellStyle name="Fixo 6" xfId="18134" xr:uid="{00000000-0005-0000-0000-000074460000}"/>
    <cellStyle name="Fixo 7" xfId="18135" xr:uid="{00000000-0005-0000-0000-000075460000}"/>
    <cellStyle name="Fixo 8" xfId="18136" xr:uid="{00000000-0005-0000-0000-000076460000}"/>
    <cellStyle name="Fixo 9" xfId="18137" xr:uid="{00000000-0005-0000-0000-000077460000}"/>
    <cellStyle name="Followed Hyperlink_CADASTRO Welder.xls" xfId="18138" xr:uid="{00000000-0005-0000-0000-000078460000}"/>
    <cellStyle name="font" xfId="18139" xr:uid="{00000000-0005-0000-0000-000079460000}"/>
    <cellStyle name="Footnote" xfId="18140" xr:uid="{00000000-0005-0000-0000-00007A460000}"/>
    <cellStyle name="Forecast Cell Column Heading" xfId="18141" xr:uid="{00000000-0005-0000-0000-00007B460000}"/>
    <cellStyle name="Format Number Column" xfId="18142" xr:uid="{00000000-0005-0000-0000-00007C460000}"/>
    <cellStyle name="Formula" xfId="18143" xr:uid="{00000000-0005-0000-0000-00007D460000}"/>
    <cellStyle name="Formula 2" xfId="18144" xr:uid="{00000000-0005-0000-0000-00007E460000}"/>
    <cellStyle name="from Input Sheet" xfId="18145" xr:uid="{00000000-0005-0000-0000-00007F460000}"/>
    <cellStyle name="From Project Models" xfId="18146" xr:uid="{00000000-0005-0000-0000-000080460000}"/>
    <cellStyle name="From Project Models 2" xfId="18147" xr:uid="{00000000-0005-0000-0000-000081460000}"/>
    <cellStyle name="Fundo" xfId="18148" xr:uid="{00000000-0005-0000-0000-000082460000}"/>
    <cellStyle name="fundoamarelo" xfId="18149" xr:uid="{00000000-0005-0000-0000-000083460000}"/>
    <cellStyle name="fundoazul" xfId="18150" xr:uid="{00000000-0005-0000-0000-000084460000}"/>
    <cellStyle name="fundocinza" xfId="18151" xr:uid="{00000000-0005-0000-0000-000085460000}"/>
    <cellStyle name="fundodeentrada" xfId="18152" xr:uid="{00000000-0005-0000-0000-000086460000}"/>
    <cellStyle name="fundoentrada" xfId="104" xr:uid="{00000000-0005-0000-0000-000087460000}"/>
    <cellStyle name="Good" xfId="52" xr:uid="{00000000-0005-0000-0000-000088460000}"/>
    <cellStyle name="Good 2" xfId="18153" xr:uid="{00000000-0005-0000-0000-000089460000}"/>
    <cellStyle name="Grand titre" xfId="18154" xr:uid="{00000000-0005-0000-0000-00008A460000}"/>
    <cellStyle name="Green" xfId="105" xr:uid="{00000000-0005-0000-0000-00008B460000}"/>
    <cellStyle name="Grey" xfId="18155" xr:uid="{00000000-0005-0000-0000-00008C460000}"/>
    <cellStyle name="Grey 2" xfId="18156" xr:uid="{00000000-0005-0000-0000-00008D460000}"/>
    <cellStyle name="H 2" xfId="18157" xr:uid="{00000000-0005-0000-0000-00008E460000}"/>
    <cellStyle name="H 2 2" xfId="18158" xr:uid="{00000000-0005-0000-0000-00008F460000}"/>
    <cellStyle name="Hard coded" xfId="18159" xr:uid="{00000000-0005-0000-0000-000090460000}"/>
    <cellStyle name="hard no." xfId="18160" xr:uid="{00000000-0005-0000-0000-000091460000}"/>
    <cellStyle name="hard no. 2" xfId="18161" xr:uid="{00000000-0005-0000-0000-000092460000}"/>
    <cellStyle name="Hard Percent" xfId="18162" xr:uid="{00000000-0005-0000-0000-000093460000}"/>
    <cellStyle name="Hard Percent 2" xfId="18163" xr:uid="{00000000-0005-0000-0000-000094460000}"/>
    <cellStyle name="HeadBig" xfId="18164" xr:uid="{00000000-0005-0000-0000-000095460000}"/>
    <cellStyle name="Header" xfId="18165" xr:uid="{00000000-0005-0000-0000-000096460000}"/>
    <cellStyle name="header 10" xfId="18166" xr:uid="{00000000-0005-0000-0000-000097460000}"/>
    <cellStyle name="Header 2" xfId="18167" xr:uid="{00000000-0005-0000-0000-000098460000}"/>
    <cellStyle name="header 3" xfId="18168" xr:uid="{00000000-0005-0000-0000-000099460000}"/>
    <cellStyle name="header 4" xfId="18169" xr:uid="{00000000-0005-0000-0000-00009A460000}"/>
    <cellStyle name="header 5" xfId="18170" xr:uid="{00000000-0005-0000-0000-00009B460000}"/>
    <cellStyle name="header 6" xfId="18171" xr:uid="{00000000-0005-0000-0000-00009C460000}"/>
    <cellStyle name="header 7" xfId="18172" xr:uid="{00000000-0005-0000-0000-00009D460000}"/>
    <cellStyle name="header 8" xfId="18173" xr:uid="{00000000-0005-0000-0000-00009E460000}"/>
    <cellStyle name="header 9" xfId="18174" xr:uid="{00000000-0005-0000-0000-00009F460000}"/>
    <cellStyle name="header1" xfId="18175" xr:uid="{00000000-0005-0000-0000-0000A0460000}"/>
    <cellStyle name="Header1 2" xfId="18176" xr:uid="{00000000-0005-0000-0000-0000A1460000}"/>
    <cellStyle name="header2" xfId="18177" xr:uid="{00000000-0005-0000-0000-0000A2460000}"/>
    <cellStyle name="Header2 2" xfId="18178" xr:uid="{00000000-0005-0000-0000-0000A3460000}"/>
    <cellStyle name="header3" xfId="18179" xr:uid="{00000000-0005-0000-0000-0000A4460000}"/>
    <cellStyle name="header3 2" xfId="18180" xr:uid="{00000000-0005-0000-0000-0000A5460000}"/>
    <cellStyle name="Heading" xfId="18181" xr:uid="{00000000-0005-0000-0000-0000A6460000}"/>
    <cellStyle name="Heading 1" xfId="53" xr:uid="{00000000-0005-0000-0000-0000A7460000}"/>
    <cellStyle name="Heading 1 2" xfId="18182" xr:uid="{00000000-0005-0000-0000-0000A8460000}"/>
    <cellStyle name="Heading 2" xfId="54" xr:uid="{00000000-0005-0000-0000-0000A9460000}"/>
    <cellStyle name="Heading 2 2" xfId="18183" xr:uid="{00000000-0005-0000-0000-0000AA460000}"/>
    <cellStyle name="Heading 3" xfId="55" xr:uid="{00000000-0005-0000-0000-0000AB460000}"/>
    <cellStyle name="Heading 3 2" xfId="18184" xr:uid="{00000000-0005-0000-0000-0000AC460000}"/>
    <cellStyle name="Heading 3 3" xfId="18185" xr:uid="{00000000-0005-0000-0000-0000AD460000}"/>
    <cellStyle name="Heading 4" xfId="56" xr:uid="{00000000-0005-0000-0000-0000AE460000}"/>
    <cellStyle name="Heading 4 2" xfId="18186" xr:uid="{00000000-0005-0000-0000-0000AF460000}"/>
    <cellStyle name="Heading 5" xfId="18187" xr:uid="{00000000-0005-0000-0000-0000B0460000}"/>
    <cellStyle name="Heading 6" xfId="18188" xr:uid="{00000000-0005-0000-0000-0000B1460000}"/>
    <cellStyle name="heading info" xfId="18189" xr:uid="{00000000-0005-0000-0000-0000B2460000}"/>
    <cellStyle name="Heading_Abertura_Despesas (3)" xfId="18190" xr:uid="{00000000-0005-0000-0000-0000B3460000}"/>
    <cellStyle name="HEADING1" xfId="106" xr:uid="{00000000-0005-0000-0000-0000B4460000}"/>
    <cellStyle name="HEADING1 10" xfId="18191" xr:uid="{00000000-0005-0000-0000-0000B5460000}"/>
    <cellStyle name="Heading1 2" xfId="18192" xr:uid="{00000000-0005-0000-0000-0000B6460000}"/>
    <cellStyle name="HEADING1 3" xfId="18193" xr:uid="{00000000-0005-0000-0000-0000B7460000}"/>
    <cellStyle name="HEADING1 4" xfId="18194" xr:uid="{00000000-0005-0000-0000-0000B8460000}"/>
    <cellStyle name="HEADING1 5" xfId="18195" xr:uid="{00000000-0005-0000-0000-0000B9460000}"/>
    <cellStyle name="HEADING1 6" xfId="18196" xr:uid="{00000000-0005-0000-0000-0000BA460000}"/>
    <cellStyle name="HEADING1 7" xfId="18197" xr:uid="{00000000-0005-0000-0000-0000BB460000}"/>
    <cellStyle name="HEADING1 8" xfId="18198" xr:uid="{00000000-0005-0000-0000-0000BC460000}"/>
    <cellStyle name="HEADING1 9" xfId="18199" xr:uid="{00000000-0005-0000-0000-0000BD460000}"/>
    <cellStyle name="HEADING2" xfId="107" xr:uid="{00000000-0005-0000-0000-0000BE460000}"/>
    <cellStyle name="HEADING2 10" xfId="18200" xr:uid="{00000000-0005-0000-0000-0000BF460000}"/>
    <cellStyle name="Heading2 2" xfId="18201" xr:uid="{00000000-0005-0000-0000-0000C0460000}"/>
    <cellStyle name="HEADING2 3" xfId="18202" xr:uid="{00000000-0005-0000-0000-0000C1460000}"/>
    <cellStyle name="HEADING2 4" xfId="18203" xr:uid="{00000000-0005-0000-0000-0000C2460000}"/>
    <cellStyle name="HEADING2 5" xfId="18204" xr:uid="{00000000-0005-0000-0000-0000C3460000}"/>
    <cellStyle name="HEADING2 6" xfId="18205" xr:uid="{00000000-0005-0000-0000-0000C4460000}"/>
    <cellStyle name="HEADING2 7" xfId="18206" xr:uid="{00000000-0005-0000-0000-0000C5460000}"/>
    <cellStyle name="HEADING2 8" xfId="18207" xr:uid="{00000000-0005-0000-0000-0000C6460000}"/>
    <cellStyle name="HEADING2 9" xfId="18208" xr:uid="{00000000-0005-0000-0000-0000C7460000}"/>
    <cellStyle name="HeadMain" xfId="18209" xr:uid="{00000000-0005-0000-0000-0000C8460000}"/>
    <cellStyle name="HIGHLIGHT" xfId="18210" xr:uid="{00000000-0005-0000-0000-0000C9460000}"/>
    <cellStyle name="HIGHLIGHT 2" xfId="18211" xr:uid="{00000000-0005-0000-0000-0000CA460000}"/>
    <cellStyle name="Hiperlink 2" xfId="18212" xr:uid="{00000000-0005-0000-0000-0000CB460000}"/>
    <cellStyle name="Hiperlink 3" xfId="18213" xr:uid="{00000000-0005-0000-0000-0000CC460000}"/>
    <cellStyle name="Hiperlink 4" xfId="18214" xr:uid="{00000000-0005-0000-0000-0000CD460000}"/>
    <cellStyle name="Hipervínculo" xfId="18215" xr:uid="{00000000-0005-0000-0000-0000CE460000}"/>
    <cellStyle name="Hipervínculo 2" xfId="18216" xr:uid="{00000000-0005-0000-0000-0000CF460000}"/>
    <cellStyle name="Hipervínculo visitado_KRAFT-NABISCOMAR-01" xfId="18217" xr:uid="{00000000-0005-0000-0000-0000D0460000}"/>
    <cellStyle name="Hipervínculo_ABS_AL_31_01_01" xfId="18218" xr:uid="{00000000-0005-0000-0000-0000D1460000}"/>
    <cellStyle name="Hyperlink 2" xfId="18219" xr:uid="{00000000-0005-0000-0000-0000D2460000}"/>
    <cellStyle name="Hyperlink 2 2" xfId="18220" xr:uid="{00000000-0005-0000-0000-0000D3460000}"/>
    <cellStyle name="Hyperlink seguido 2" xfId="18221" xr:uid="{00000000-0005-0000-0000-0000D4460000}"/>
    <cellStyle name="Hyperlink_Viabilidade Financeira - Alternativa C" xfId="108" xr:uid="{00000000-0005-0000-0000-0000D5460000}"/>
    <cellStyle name="HypeŲlink" xfId="18222" xr:uid="{00000000-0005-0000-0000-0000D6460000}"/>
    <cellStyle name="Incorreto 10" xfId="18223" xr:uid="{00000000-0005-0000-0000-0000D7460000}"/>
    <cellStyle name="Incorreto 11" xfId="18224" xr:uid="{00000000-0005-0000-0000-0000D8460000}"/>
    <cellStyle name="Incorreto 12" xfId="18225" xr:uid="{00000000-0005-0000-0000-0000D9460000}"/>
    <cellStyle name="Incorreto 13" xfId="18226" xr:uid="{00000000-0005-0000-0000-0000DA460000}"/>
    <cellStyle name="Incorreto 14" xfId="18227" xr:uid="{00000000-0005-0000-0000-0000DB460000}"/>
    <cellStyle name="Incorreto 15" xfId="18228" xr:uid="{00000000-0005-0000-0000-0000DC460000}"/>
    <cellStyle name="Incorreto 16" xfId="18229" xr:uid="{00000000-0005-0000-0000-0000DD460000}"/>
    <cellStyle name="Incorreto 17" xfId="18230" xr:uid="{00000000-0005-0000-0000-0000DE460000}"/>
    <cellStyle name="Incorreto 2" xfId="18231" xr:uid="{00000000-0005-0000-0000-0000DF460000}"/>
    <cellStyle name="Incorreto 3" xfId="18232" xr:uid="{00000000-0005-0000-0000-0000E0460000}"/>
    <cellStyle name="Incorreto 4" xfId="18233" xr:uid="{00000000-0005-0000-0000-0000E1460000}"/>
    <cellStyle name="Incorreto 5" xfId="18234" xr:uid="{00000000-0005-0000-0000-0000E2460000}"/>
    <cellStyle name="Incorreto 6" xfId="18235" xr:uid="{00000000-0005-0000-0000-0000E3460000}"/>
    <cellStyle name="Incorreto 7" xfId="18236" xr:uid="{00000000-0005-0000-0000-0000E4460000}"/>
    <cellStyle name="Incorreto 8" xfId="18237" xr:uid="{00000000-0005-0000-0000-0000E5460000}"/>
    <cellStyle name="Incorreto 9" xfId="18238" xr:uid="{00000000-0005-0000-0000-0000E6460000}"/>
    <cellStyle name="Indefinido" xfId="5" xr:uid="{00000000-0005-0000-0000-0000E7460000}"/>
    <cellStyle name="Indefinido 2" xfId="18239" xr:uid="{00000000-0005-0000-0000-0000E8460000}"/>
    <cellStyle name="Indefinido 3" xfId="18240" xr:uid="{00000000-0005-0000-0000-0000E9460000}"/>
    <cellStyle name="Indefinido 4" xfId="18241" xr:uid="{00000000-0005-0000-0000-0000EA460000}"/>
    <cellStyle name="Indefinido 5" xfId="18242" xr:uid="{00000000-0005-0000-0000-0000EB460000}"/>
    <cellStyle name="Indefinido 6" xfId="18243" xr:uid="{00000000-0005-0000-0000-0000EC460000}"/>
    <cellStyle name="Indefinido 7" xfId="18244" xr:uid="{00000000-0005-0000-0000-0000ED460000}"/>
    <cellStyle name="Input" xfId="57" xr:uid="{00000000-0005-0000-0000-0000EE460000}"/>
    <cellStyle name="Input (blue)" xfId="18245" xr:uid="{00000000-0005-0000-0000-0000EF460000}"/>
    <cellStyle name="Input [yellow]" xfId="18246" xr:uid="{00000000-0005-0000-0000-0000F0460000}"/>
    <cellStyle name="Input [yellow] 2" xfId="18247" xr:uid="{00000000-0005-0000-0000-0000F1460000}"/>
    <cellStyle name="Input 2" xfId="18248" xr:uid="{00000000-0005-0000-0000-0000F2460000}"/>
    <cellStyle name="Input 3" xfId="18249" xr:uid="{00000000-0005-0000-0000-0000F3460000}"/>
    <cellStyle name="Input Currency" xfId="18250" xr:uid="{00000000-0005-0000-0000-0000F4460000}"/>
    <cellStyle name="Input dados" xfId="18251" xr:uid="{00000000-0005-0000-0000-0000F5460000}"/>
    <cellStyle name="Input Date" xfId="18252" xr:uid="{00000000-0005-0000-0000-0000F6460000}"/>
    <cellStyle name="Input Fixed [0]" xfId="18253" xr:uid="{00000000-0005-0000-0000-0000F7460000}"/>
    <cellStyle name="Input Normal" xfId="18254" xr:uid="{00000000-0005-0000-0000-0000F8460000}"/>
    <cellStyle name="Input Percent" xfId="18255" xr:uid="{00000000-0005-0000-0000-0000F9460000}"/>
    <cellStyle name="Input Percent [2]" xfId="18256" xr:uid="{00000000-0005-0000-0000-0000FA460000}"/>
    <cellStyle name="Input Percent_~2144771" xfId="18257" xr:uid="{00000000-0005-0000-0000-0000FB460000}"/>
    <cellStyle name="Input Titles" xfId="18258" xr:uid="{00000000-0005-0000-0000-0000FC460000}"/>
    <cellStyle name="Input_$cell" xfId="18259" xr:uid="{00000000-0005-0000-0000-0000FD460000}"/>
    <cellStyle name="Input1" xfId="18260" xr:uid="{00000000-0005-0000-0000-0000FE460000}"/>
    <cellStyle name="Input1 2" xfId="18261" xr:uid="{00000000-0005-0000-0000-0000FF460000}"/>
    <cellStyle name="Input2" xfId="18262" xr:uid="{00000000-0005-0000-0000-000000470000}"/>
    <cellStyle name="Input2 2" xfId="18263" xr:uid="{00000000-0005-0000-0000-000001470000}"/>
    <cellStyle name="Input2 3" xfId="18264" xr:uid="{00000000-0005-0000-0000-000002470000}"/>
    <cellStyle name="InputCell" xfId="18265" xr:uid="{00000000-0005-0000-0000-000003470000}"/>
    <cellStyle name="InputCurrency" xfId="18266" xr:uid="{00000000-0005-0000-0000-000004470000}"/>
    <cellStyle name="InputCurrency2" xfId="18267" xr:uid="{00000000-0005-0000-0000-000005470000}"/>
    <cellStyle name="InputMultiple1" xfId="18268" xr:uid="{00000000-0005-0000-0000-000006470000}"/>
    <cellStyle name="InputPercent1" xfId="18269" xr:uid="{00000000-0005-0000-0000-000007470000}"/>
    <cellStyle name="Inputs" xfId="18270" xr:uid="{00000000-0005-0000-0000-000008470000}"/>
    <cellStyle name="Inputs 2" xfId="18271" xr:uid="{00000000-0005-0000-0000-000009470000}"/>
    <cellStyle name="Inputs2" xfId="18272" xr:uid="{00000000-0005-0000-0000-00000A470000}"/>
    <cellStyle name="Inputs2 2" xfId="18273" xr:uid="{00000000-0005-0000-0000-00000B470000}"/>
    <cellStyle name="Intermediário" xfId="18274" xr:uid="{00000000-0005-0000-0000-00000C470000}"/>
    <cellStyle name="Intermediário 2" xfId="18275" xr:uid="{00000000-0005-0000-0000-00000D470000}"/>
    <cellStyle name="Intermediário 2 2" xfId="18276" xr:uid="{00000000-0005-0000-0000-00000E470000}"/>
    <cellStyle name="Intermediário 3" xfId="18277" xr:uid="{00000000-0005-0000-0000-00000F470000}"/>
    <cellStyle name="Intermediário 3 2" xfId="18278" xr:uid="{00000000-0005-0000-0000-000010470000}"/>
    <cellStyle name="Invisible" xfId="18279" xr:uid="{00000000-0005-0000-0000-000011470000}"/>
    <cellStyle name="item" xfId="18280" xr:uid="{00000000-0005-0000-0000-000012470000}"/>
    <cellStyle name="ÌTENS" xfId="18281" xr:uid="{00000000-0005-0000-0000-000013470000}"/>
    <cellStyle name="Jason" xfId="18282" xr:uid="{00000000-0005-0000-0000-000014470000}"/>
    <cellStyle name="Jason 2" xfId="18283" xr:uid="{00000000-0005-0000-0000-000015470000}"/>
    <cellStyle name="Javier" xfId="18284" xr:uid="{00000000-0005-0000-0000-000016470000}"/>
    <cellStyle name="Javier 2" xfId="18285" xr:uid="{00000000-0005-0000-0000-000017470000}"/>
    <cellStyle name="Komma [0]_Blad1" xfId="18286" xr:uid="{00000000-0005-0000-0000-000018470000}"/>
    <cellStyle name="Komma_2 clubs MW-09.215 Business model Estádio Fonte Nova" xfId="18287" xr:uid="{00000000-0005-0000-0000-000019470000}"/>
    <cellStyle name="KPMG Heading 1" xfId="18288" xr:uid="{00000000-0005-0000-0000-00001A470000}"/>
    <cellStyle name="KPMG Heading 2" xfId="18289" xr:uid="{00000000-0005-0000-0000-00001B470000}"/>
    <cellStyle name="KPMG Heading 3" xfId="18290" xr:uid="{00000000-0005-0000-0000-00001C470000}"/>
    <cellStyle name="KPMG Heading 4" xfId="18291" xr:uid="{00000000-0005-0000-0000-00001D470000}"/>
    <cellStyle name="KPMG Normal" xfId="18292" xr:uid="{00000000-0005-0000-0000-00001E470000}"/>
    <cellStyle name="KPMG Normal Text" xfId="18293" xr:uid="{00000000-0005-0000-0000-00001F470000}"/>
    <cellStyle name="Kyocera" xfId="18294" xr:uid="{00000000-0005-0000-0000-000020470000}"/>
    <cellStyle name="LAC" xfId="18295" xr:uid="{00000000-0005-0000-0000-000021470000}"/>
    <cellStyle name="Link" xfId="18296" xr:uid="{00000000-0005-0000-0000-000022470000}"/>
    <cellStyle name="Link 2" xfId="18297" xr:uid="{00000000-0005-0000-0000-000023470000}"/>
    <cellStyle name="Linked Cell" xfId="58" xr:uid="{00000000-0005-0000-0000-000024470000}"/>
    <cellStyle name="Linked Cell 2" xfId="18298" xr:uid="{00000000-0005-0000-0000-000025470000}"/>
    <cellStyle name="locked" xfId="18299" xr:uid="{00000000-0005-0000-0000-000026470000}"/>
    <cellStyle name="Locked 2" xfId="18300" xr:uid="{00000000-0005-0000-0000-000027470000}"/>
    <cellStyle name="LTM Cell Column Heading" xfId="18301" xr:uid="{00000000-0005-0000-0000-000028470000}"/>
    <cellStyle name="m" xfId="109" xr:uid="{00000000-0005-0000-0000-000029470000}"/>
    <cellStyle name="M S SANS SERIF" xfId="18302" xr:uid="{00000000-0005-0000-0000-00002A470000}"/>
    <cellStyle name="M S SANS SERIF 2" xfId="18303" xr:uid="{00000000-0005-0000-0000-00002B470000}"/>
    <cellStyle name="M S SANS SERIF 2 2" xfId="18304" xr:uid="{00000000-0005-0000-0000-00002C470000}"/>
    <cellStyle name="M S SANS SERIF 3" xfId="18305" xr:uid="{00000000-0005-0000-0000-00002D470000}"/>
    <cellStyle name="M S SANS SERIF 3 2" xfId="18306" xr:uid="{00000000-0005-0000-0000-00002E470000}"/>
    <cellStyle name="M S SANS SERIF 4" xfId="18307" xr:uid="{00000000-0005-0000-0000-00002F470000}"/>
    <cellStyle name="M S SANS SERIF 4 2" xfId="18308" xr:uid="{00000000-0005-0000-0000-000030470000}"/>
    <cellStyle name="M S SANS SERIF 5" xfId="18309" xr:uid="{00000000-0005-0000-0000-000031470000}"/>
    <cellStyle name="M S SANS SERIF 5 2" xfId="18310" xr:uid="{00000000-0005-0000-0000-000032470000}"/>
    <cellStyle name="M S SANS SERIF 6" xfId="18311" xr:uid="{00000000-0005-0000-0000-000033470000}"/>
    <cellStyle name="M S SANS SERIF 6 2" xfId="18312" xr:uid="{00000000-0005-0000-0000-000034470000}"/>
    <cellStyle name="M S SANS SERIF 7" xfId="18313" xr:uid="{00000000-0005-0000-0000-000035470000}"/>
    <cellStyle name="M S SANS SERIF 8" xfId="18314" xr:uid="{00000000-0005-0000-0000-000036470000}"/>
    <cellStyle name="MacroCode" xfId="18315" xr:uid="{00000000-0005-0000-0000-000037470000}"/>
    <cellStyle name="maria" xfId="18316" xr:uid="{00000000-0005-0000-0000-000038470000}"/>
    <cellStyle name="material" xfId="18317" xr:uid="{00000000-0005-0000-0000-000039470000}"/>
    <cellStyle name="mendes" xfId="18318" xr:uid="{00000000-0005-0000-0000-00003A470000}"/>
    <cellStyle name="MidHead" xfId="18319" xr:uid="{00000000-0005-0000-0000-00003B470000}"/>
    <cellStyle name="Mike" xfId="18320" xr:uid="{00000000-0005-0000-0000-00003C470000}"/>
    <cellStyle name="Millares [0]_04-99" xfId="18321" xr:uid="{00000000-0005-0000-0000-00003D470000}"/>
    <cellStyle name="Millares [00]" xfId="18322" xr:uid="{00000000-0005-0000-0000-00003E470000}"/>
    <cellStyle name="Millares 2" xfId="18323" xr:uid="{00000000-0005-0000-0000-00003F470000}"/>
    <cellStyle name="Millares 2 2" xfId="18324" xr:uid="{00000000-0005-0000-0000-000040470000}"/>
    <cellStyle name="Millares 3" xfId="18325" xr:uid="{00000000-0005-0000-0000-000041470000}"/>
    <cellStyle name="Millares 3 2" xfId="18326" xr:uid="{00000000-0005-0000-0000-000042470000}"/>
    <cellStyle name="Millares 3 3" xfId="18327" xr:uid="{00000000-0005-0000-0000-000043470000}"/>
    <cellStyle name="Millares 3 4" xfId="18328" xr:uid="{00000000-0005-0000-0000-000044470000}"/>
    <cellStyle name="Millares 4" xfId="18329" xr:uid="{00000000-0005-0000-0000-000045470000}"/>
    <cellStyle name="Millares 4 2" xfId="18330" xr:uid="{00000000-0005-0000-0000-000046470000}"/>
    <cellStyle name="Millares 5" xfId="18331" xr:uid="{00000000-0005-0000-0000-000047470000}"/>
    <cellStyle name="Millares 5 2" xfId="18332" xr:uid="{00000000-0005-0000-0000-000048470000}"/>
    <cellStyle name="Millares 6" xfId="18333" xr:uid="{00000000-0005-0000-0000-000049470000}"/>
    <cellStyle name="Millares 7" xfId="18334" xr:uid="{00000000-0005-0000-0000-00004A470000}"/>
    <cellStyle name="Millares_04-99" xfId="18335" xr:uid="{00000000-0005-0000-0000-00004B470000}"/>
    <cellStyle name="Milliers [0]_after_discount" xfId="18336" xr:uid="{00000000-0005-0000-0000-00004C470000}"/>
    <cellStyle name="Milliers compta" xfId="18337" xr:uid="{00000000-0005-0000-0000-00004D470000}"/>
    <cellStyle name="Milliers normaux" xfId="18338" xr:uid="{00000000-0005-0000-0000-00004E470000}"/>
    <cellStyle name="Milliers_AE Ensemble BP et Annexes rev12.0" xfId="18339" xr:uid="{00000000-0005-0000-0000-00004F470000}"/>
    <cellStyle name="Model" xfId="18340" xr:uid="{00000000-0005-0000-0000-000050470000}"/>
    <cellStyle name="Moeda [0] 2" xfId="18341" xr:uid="{00000000-0005-0000-0000-000051470000}"/>
    <cellStyle name="Moeda 10" xfId="18342" xr:uid="{00000000-0005-0000-0000-000052470000}"/>
    <cellStyle name="Moeda 2" xfId="71" xr:uid="{00000000-0005-0000-0000-000053470000}"/>
    <cellStyle name="Moeda 2 10" xfId="18343" xr:uid="{00000000-0005-0000-0000-000054470000}"/>
    <cellStyle name="Moeda 2 11" xfId="18344" xr:uid="{00000000-0005-0000-0000-000055470000}"/>
    <cellStyle name="Moeda 2 12" xfId="18345" xr:uid="{00000000-0005-0000-0000-000056470000}"/>
    <cellStyle name="Moeda 2 13" xfId="18346" xr:uid="{00000000-0005-0000-0000-000057470000}"/>
    <cellStyle name="Moeda 2 2" xfId="18347" xr:uid="{00000000-0005-0000-0000-000058470000}"/>
    <cellStyle name="Moeda 2 2 2" xfId="18348" xr:uid="{00000000-0005-0000-0000-000059470000}"/>
    <cellStyle name="Moeda 2 2 2 2" xfId="18349" xr:uid="{00000000-0005-0000-0000-00005A470000}"/>
    <cellStyle name="Moeda 2 2 2 2 2" xfId="18350" xr:uid="{00000000-0005-0000-0000-00005B470000}"/>
    <cellStyle name="Moeda 2 2 2 2 2 2" xfId="18351" xr:uid="{00000000-0005-0000-0000-00005C470000}"/>
    <cellStyle name="Moeda 2 2 2 2 2 2 2" xfId="18352" xr:uid="{00000000-0005-0000-0000-00005D470000}"/>
    <cellStyle name="Moeda 2 2 2 2 2 3" xfId="18353" xr:uid="{00000000-0005-0000-0000-00005E470000}"/>
    <cellStyle name="Moeda 2 2 2 2 2 3 2" xfId="18354" xr:uid="{00000000-0005-0000-0000-00005F470000}"/>
    <cellStyle name="Moeda 2 2 2 2 2 4" xfId="18355" xr:uid="{00000000-0005-0000-0000-000060470000}"/>
    <cellStyle name="Moeda 2 2 2 2 3" xfId="18356" xr:uid="{00000000-0005-0000-0000-000061470000}"/>
    <cellStyle name="Moeda 2 2 2 2 3 2" xfId="18357" xr:uid="{00000000-0005-0000-0000-000062470000}"/>
    <cellStyle name="Moeda 2 2 2 2 3 2 2" xfId="18358" xr:uid="{00000000-0005-0000-0000-000063470000}"/>
    <cellStyle name="Moeda 2 2 2 2 3 3" xfId="18359" xr:uid="{00000000-0005-0000-0000-000064470000}"/>
    <cellStyle name="Moeda 2 2 2 2 3 3 2" xfId="18360" xr:uid="{00000000-0005-0000-0000-000065470000}"/>
    <cellStyle name="Moeda 2 2 2 2 3 4" xfId="18361" xr:uid="{00000000-0005-0000-0000-000066470000}"/>
    <cellStyle name="Moeda 2 2 2 2 4" xfId="18362" xr:uid="{00000000-0005-0000-0000-000067470000}"/>
    <cellStyle name="Moeda 2 2 2 2 4 2" xfId="18363" xr:uid="{00000000-0005-0000-0000-000068470000}"/>
    <cellStyle name="Moeda 2 2 2 2 5" xfId="18364" xr:uid="{00000000-0005-0000-0000-000069470000}"/>
    <cellStyle name="Moeda 2 2 2 2 5 2" xfId="18365" xr:uid="{00000000-0005-0000-0000-00006A470000}"/>
    <cellStyle name="Moeda 2 2 2 2 6" xfId="18366" xr:uid="{00000000-0005-0000-0000-00006B470000}"/>
    <cellStyle name="Moeda 2 2 2 3" xfId="18367" xr:uid="{00000000-0005-0000-0000-00006C470000}"/>
    <cellStyle name="Moeda 2 2 2 3 2" xfId="18368" xr:uid="{00000000-0005-0000-0000-00006D470000}"/>
    <cellStyle name="Moeda 2 2 2 3 2 2" xfId="18369" xr:uid="{00000000-0005-0000-0000-00006E470000}"/>
    <cellStyle name="Moeda 2 2 2 3 3" xfId="18370" xr:uid="{00000000-0005-0000-0000-00006F470000}"/>
    <cellStyle name="Moeda 2 2 2 3 3 2" xfId="18371" xr:uid="{00000000-0005-0000-0000-000070470000}"/>
    <cellStyle name="Moeda 2 2 2 3 4" xfId="18372" xr:uid="{00000000-0005-0000-0000-000071470000}"/>
    <cellStyle name="Moeda 2 2 2 4" xfId="18373" xr:uid="{00000000-0005-0000-0000-000072470000}"/>
    <cellStyle name="Moeda 2 2 2 4 2" xfId="18374" xr:uid="{00000000-0005-0000-0000-000073470000}"/>
    <cellStyle name="Moeda 2 2 2 4 2 2" xfId="18375" xr:uid="{00000000-0005-0000-0000-000074470000}"/>
    <cellStyle name="Moeda 2 2 2 4 3" xfId="18376" xr:uid="{00000000-0005-0000-0000-000075470000}"/>
    <cellStyle name="Moeda 2 2 2 5" xfId="18377" xr:uid="{00000000-0005-0000-0000-000076470000}"/>
    <cellStyle name="Moeda 2 2 2 5 2" xfId="18378" xr:uid="{00000000-0005-0000-0000-000077470000}"/>
    <cellStyle name="Moeda 2 2 2 5 2 2" xfId="18379" xr:uid="{00000000-0005-0000-0000-000078470000}"/>
    <cellStyle name="Moeda 2 2 2 5 3" xfId="18380" xr:uid="{00000000-0005-0000-0000-000079470000}"/>
    <cellStyle name="Moeda 2 2 2 6" xfId="18381" xr:uid="{00000000-0005-0000-0000-00007A470000}"/>
    <cellStyle name="Moeda 2 2 2 6 2" xfId="18382" xr:uid="{00000000-0005-0000-0000-00007B470000}"/>
    <cellStyle name="Moeda 2 2 2 6 2 2" xfId="18383" xr:uid="{00000000-0005-0000-0000-00007C470000}"/>
    <cellStyle name="Moeda 2 2 2 6 3" xfId="18384" xr:uid="{00000000-0005-0000-0000-00007D470000}"/>
    <cellStyle name="Moeda 2 2 3" xfId="18385" xr:uid="{00000000-0005-0000-0000-00007E470000}"/>
    <cellStyle name="Moeda 2 2 3 2" xfId="18386" xr:uid="{00000000-0005-0000-0000-00007F470000}"/>
    <cellStyle name="Moeda 2 2 3 2 2" xfId="18387" xr:uid="{00000000-0005-0000-0000-000080470000}"/>
    <cellStyle name="Moeda 2 2 3 2 2 2" xfId="18388" xr:uid="{00000000-0005-0000-0000-000081470000}"/>
    <cellStyle name="Moeda 2 2 3 2 3" xfId="18389" xr:uid="{00000000-0005-0000-0000-000082470000}"/>
    <cellStyle name="Moeda 2 2 3 2 3 2" xfId="18390" xr:uid="{00000000-0005-0000-0000-000083470000}"/>
    <cellStyle name="Moeda 2 2 3 2 4" xfId="18391" xr:uid="{00000000-0005-0000-0000-000084470000}"/>
    <cellStyle name="Moeda 2 2 3 3" xfId="18392" xr:uid="{00000000-0005-0000-0000-000085470000}"/>
    <cellStyle name="Moeda 2 2 3 3 2" xfId="18393" xr:uid="{00000000-0005-0000-0000-000086470000}"/>
    <cellStyle name="Moeda 2 2 3 3 2 2" xfId="18394" xr:uid="{00000000-0005-0000-0000-000087470000}"/>
    <cellStyle name="Moeda 2 2 3 3 3" xfId="18395" xr:uid="{00000000-0005-0000-0000-000088470000}"/>
    <cellStyle name="Moeda 2 2 3 3 3 2" xfId="18396" xr:uid="{00000000-0005-0000-0000-000089470000}"/>
    <cellStyle name="Moeda 2 2 3 3 4" xfId="18397" xr:uid="{00000000-0005-0000-0000-00008A470000}"/>
    <cellStyle name="Moeda 2 2 3 4" xfId="18398" xr:uid="{00000000-0005-0000-0000-00008B470000}"/>
    <cellStyle name="Moeda 2 2 3 4 2" xfId="18399" xr:uid="{00000000-0005-0000-0000-00008C470000}"/>
    <cellStyle name="Moeda 2 2 3 5" xfId="18400" xr:uid="{00000000-0005-0000-0000-00008D470000}"/>
    <cellStyle name="Moeda 2 2 3 5 2" xfId="18401" xr:uid="{00000000-0005-0000-0000-00008E470000}"/>
    <cellStyle name="Moeda 2 2 3 6" xfId="18402" xr:uid="{00000000-0005-0000-0000-00008F470000}"/>
    <cellStyle name="Moeda 2 2 4" xfId="18403" xr:uid="{00000000-0005-0000-0000-000090470000}"/>
    <cellStyle name="Moeda 2 2 5" xfId="18404" xr:uid="{00000000-0005-0000-0000-000091470000}"/>
    <cellStyle name="Moeda 2 2 5 2" xfId="18405" xr:uid="{00000000-0005-0000-0000-000092470000}"/>
    <cellStyle name="Moeda 2 2 5 2 2" xfId="18406" xr:uid="{00000000-0005-0000-0000-000093470000}"/>
    <cellStyle name="Moeda 2 2 5 3" xfId="18407" xr:uid="{00000000-0005-0000-0000-000094470000}"/>
    <cellStyle name="Moeda 2 2 5 3 2" xfId="18408" xr:uid="{00000000-0005-0000-0000-000095470000}"/>
    <cellStyle name="Moeda 2 2 5 4" xfId="18409" xr:uid="{00000000-0005-0000-0000-000096470000}"/>
    <cellStyle name="Moeda 2 2 6" xfId="18410" xr:uid="{00000000-0005-0000-0000-000097470000}"/>
    <cellStyle name="Moeda 2 2 6 2" xfId="18411" xr:uid="{00000000-0005-0000-0000-000098470000}"/>
    <cellStyle name="Moeda 2 2 6 2 2" xfId="18412" xr:uid="{00000000-0005-0000-0000-000099470000}"/>
    <cellStyle name="Moeda 2 2 6 3" xfId="18413" xr:uid="{00000000-0005-0000-0000-00009A470000}"/>
    <cellStyle name="Moeda 2 2 7" xfId="18414" xr:uid="{00000000-0005-0000-0000-00009B470000}"/>
    <cellStyle name="Moeda 2 2 7 2" xfId="18415" xr:uid="{00000000-0005-0000-0000-00009C470000}"/>
    <cellStyle name="Moeda 2 2 7 2 2" xfId="18416" xr:uid="{00000000-0005-0000-0000-00009D470000}"/>
    <cellStyle name="Moeda 2 2 7 3" xfId="18417" xr:uid="{00000000-0005-0000-0000-00009E470000}"/>
    <cellStyle name="Moeda 2 2 8" xfId="18418" xr:uid="{00000000-0005-0000-0000-00009F470000}"/>
    <cellStyle name="Moeda 2 2 8 2" xfId="18419" xr:uid="{00000000-0005-0000-0000-0000A0470000}"/>
    <cellStyle name="Moeda 2 2 8 2 2" xfId="18420" xr:uid="{00000000-0005-0000-0000-0000A1470000}"/>
    <cellStyle name="Moeda 2 2 8 3" xfId="18421" xr:uid="{00000000-0005-0000-0000-0000A2470000}"/>
    <cellStyle name="Moeda 2 3" xfId="18422" xr:uid="{00000000-0005-0000-0000-0000A3470000}"/>
    <cellStyle name="Moeda 2 3 2" xfId="18423" xr:uid="{00000000-0005-0000-0000-0000A4470000}"/>
    <cellStyle name="Moeda 2 3 2 2" xfId="18424" xr:uid="{00000000-0005-0000-0000-0000A5470000}"/>
    <cellStyle name="Moeda 2 3 2 2 2" xfId="18425" xr:uid="{00000000-0005-0000-0000-0000A6470000}"/>
    <cellStyle name="Moeda 2 3 2 2 2 2" xfId="18426" xr:uid="{00000000-0005-0000-0000-0000A7470000}"/>
    <cellStyle name="Moeda 2 3 2 2 2 2 2" xfId="18427" xr:uid="{00000000-0005-0000-0000-0000A8470000}"/>
    <cellStyle name="Moeda 2 3 2 2 2 3" xfId="18428" xr:uid="{00000000-0005-0000-0000-0000A9470000}"/>
    <cellStyle name="Moeda 2 3 2 2 2 3 2" xfId="18429" xr:uid="{00000000-0005-0000-0000-0000AA470000}"/>
    <cellStyle name="Moeda 2 3 2 2 2 4" xfId="18430" xr:uid="{00000000-0005-0000-0000-0000AB470000}"/>
    <cellStyle name="Moeda 2 3 2 2 3" xfId="18431" xr:uid="{00000000-0005-0000-0000-0000AC470000}"/>
    <cellStyle name="Moeda 2 3 2 2 3 2" xfId="18432" xr:uid="{00000000-0005-0000-0000-0000AD470000}"/>
    <cellStyle name="Moeda 2 3 2 2 3 2 2" xfId="18433" xr:uid="{00000000-0005-0000-0000-0000AE470000}"/>
    <cellStyle name="Moeda 2 3 2 2 3 3" xfId="18434" xr:uid="{00000000-0005-0000-0000-0000AF470000}"/>
    <cellStyle name="Moeda 2 3 2 2 3 3 2" xfId="18435" xr:uid="{00000000-0005-0000-0000-0000B0470000}"/>
    <cellStyle name="Moeda 2 3 2 2 3 4" xfId="18436" xr:uid="{00000000-0005-0000-0000-0000B1470000}"/>
    <cellStyle name="Moeda 2 3 2 2 4" xfId="18437" xr:uid="{00000000-0005-0000-0000-0000B2470000}"/>
    <cellStyle name="Moeda 2 3 2 2 4 2" xfId="18438" xr:uid="{00000000-0005-0000-0000-0000B3470000}"/>
    <cellStyle name="Moeda 2 3 2 2 5" xfId="18439" xr:uid="{00000000-0005-0000-0000-0000B4470000}"/>
    <cellStyle name="Moeda 2 3 2 2 5 2" xfId="18440" xr:uid="{00000000-0005-0000-0000-0000B5470000}"/>
    <cellStyle name="Moeda 2 3 2 2 6" xfId="18441" xr:uid="{00000000-0005-0000-0000-0000B6470000}"/>
    <cellStyle name="Moeda 2 3 2 3" xfId="18442" xr:uid="{00000000-0005-0000-0000-0000B7470000}"/>
    <cellStyle name="Moeda 2 3 2 3 2" xfId="18443" xr:uid="{00000000-0005-0000-0000-0000B8470000}"/>
    <cellStyle name="Moeda 2 3 2 3 3" xfId="18444" xr:uid="{00000000-0005-0000-0000-0000B9470000}"/>
    <cellStyle name="Moeda 2 3 2 3 3 2" xfId="18445" xr:uid="{00000000-0005-0000-0000-0000BA470000}"/>
    <cellStyle name="Moeda 2 3 2 3 3 2 2" xfId="18446" xr:uid="{00000000-0005-0000-0000-0000BB470000}"/>
    <cellStyle name="Moeda 2 3 2 3 3 3" xfId="18447" xr:uid="{00000000-0005-0000-0000-0000BC470000}"/>
    <cellStyle name="Moeda 2 3 2 3 3 3 2" xfId="18448" xr:uid="{00000000-0005-0000-0000-0000BD470000}"/>
    <cellStyle name="Moeda 2 3 2 3 3 4" xfId="18449" xr:uid="{00000000-0005-0000-0000-0000BE470000}"/>
    <cellStyle name="Moeda 2 3 2 4" xfId="18450" xr:uid="{00000000-0005-0000-0000-0000BF470000}"/>
    <cellStyle name="Moeda 2 3 2 4 2" xfId="18451" xr:uid="{00000000-0005-0000-0000-0000C0470000}"/>
    <cellStyle name="Moeda 2 3 2 4 2 2" xfId="18452" xr:uid="{00000000-0005-0000-0000-0000C1470000}"/>
    <cellStyle name="Moeda 2 3 2 4 3" xfId="18453" xr:uid="{00000000-0005-0000-0000-0000C2470000}"/>
    <cellStyle name="Moeda 2 3 2 4 3 2" xfId="18454" xr:uid="{00000000-0005-0000-0000-0000C3470000}"/>
    <cellStyle name="Moeda 2 3 2 4 4" xfId="18455" xr:uid="{00000000-0005-0000-0000-0000C4470000}"/>
    <cellStyle name="Moeda 2 3 2 5" xfId="18456" xr:uid="{00000000-0005-0000-0000-0000C5470000}"/>
    <cellStyle name="Moeda 2 3 2 5 2" xfId="18457" xr:uid="{00000000-0005-0000-0000-0000C6470000}"/>
    <cellStyle name="Moeda 2 3 2 5 2 2" xfId="18458" xr:uid="{00000000-0005-0000-0000-0000C7470000}"/>
    <cellStyle name="Moeda 2 3 2 5 3" xfId="18459" xr:uid="{00000000-0005-0000-0000-0000C8470000}"/>
    <cellStyle name="Moeda 2 3 2 6" xfId="18460" xr:uid="{00000000-0005-0000-0000-0000C9470000}"/>
    <cellStyle name="Moeda 2 3 2 6 2" xfId="18461" xr:uid="{00000000-0005-0000-0000-0000CA470000}"/>
    <cellStyle name="Moeda 2 3 2 6 2 2" xfId="18462" xr:uid="{00000000-0005-0000-0000-0000CB470000}"/>
    <cellStyle name="Moeda 2 3 2 6 3" xfId="18463" xr:uid="{00000000-0005-0000-0000-0000CC470000}"/>
    <cellStyle name="Moeda 2 3 2 7" xfId="18464" xr:uid="{00000000-0005-0000-0000-0000CD470000}"/>
    <cellStyle name="Moeda 2 3 2 7 2" xfId="18465" xr:uid="{00000000-0005-0000-0000-0000CE470000}"/>
    <cellStyle name="Moeda 2 3 2 7 2 2" xfId="18466" xr:uid="{00000000-0005-0000-0000-0000CF470000}"/>
    <cellStyle name="Moeda 2 3 2 7 3" xfId="18467" xr:uid="{00000000-0005-0000-0000-0000D0470000}"/>
    <cellStyle name="Moeda 2 3 2 8" xfId="18468" xr:uid="{00000000-0005-0000-0000-0000D1470000}"/>
    <cellStyle name="Moeda 2 3 2 8 2" xfId="18469" xr:uid="{00000000-0005-0000-0000-0000D2470000}"/>
    <cellStyle name="Moeda 2 3 2 9" xfId="18470" xr:uid="{00000000-0005-0000-0000-0000D3470000}"/>
    <cellStyle name="Moeda 2 3 3" xfId="18471" xr:uid="{00000000-0005-0000-0000-0000D4470000}"/>
    <cellStyle name="Moeda 2 3 3 2" xfId="18472" xr:uid="{00000000-0005-0000-0000-0000D5470000}"/>
    <cellStyle name="Moeda 2 3 3 2 2" xfId="18473" xr:uid="{00000000-0005-0000-0000-0000D6470000}"/>
    <cellStyle name="Moeda 2 3 3 2 2 2" xfId="18474" xr:uid="{00000000-0005-0000-0000-0000D7470000}"/>
    <cellStyle name="Moeda 2 3 3 2 3" xfId="18475" xr:uid="{00000000-0005-0000-0000-0000D8470000}"/>
    <cellStyle name="Moeda 2 3 3 2 3 2" xfId="18476" xr:uid="{00000000-0005-0000-0000-0000D9470000}"/>
    <cellStyle name="Moeda 2 3 3 2 4" xfId="18477" xr:uid="{00000000-0005-0000-0000-0000DA470000}"/>
    <cellStyle name="Moeda 2 3 3 3" xfId="18478" xr:uid="{00000000-0005-0000-0000-0000DB470000}"/>
    <cellStyle name="Moeda 2 3 3 3 2" xfId="18479" xr:uid="{00000000-0005-0000-0000-0000DC470000}"/>
    <cellStyle name="Moeda 2 3 3 3 2 2" xfId="18480" xr:uid="{00000000-0005-0000-0000-0000DD470000}"/>
    <cellStyle name="Moeda 2 3 3 3 3" xfId="18481" xr:uid="{00000000-0005-0000-0000-0000DE470000}"/>
    <cellStyle name="Moeda 2 3 3 3 3 2" xfId="18482" xr:uid="{00000000-0005-0000-0000-0000DF470000}"/>
    <cellStyle name="Moeda 2 3 3 3 4" xfId="18483" xr:uid="{00000000-0005-0000-0000-0000E0470000}"/>
    <cellStyle name="Moeda 2 3 3 4" xfId="18484" xr:uid="{00000000-0005-0000-0000-0000E1470000}"/>
    <cellStyle name="Moeda 2 3 3 4 2" xfId="18485" xr:uid="{00000000-0005-0000-0000-0000E2470000}"/>
    <cellStyle name="Moeda 2 3 3 5" xfId="18486" xr:uid="{00000000-0005-0000-0000-0000E3470000}"/>
    <cellStyle name="Moeda 2 3 3 5 2" xfId="18487" xr:uid="{00000000-0005-0000-0000-0000E4470000}"/>
    <cellStyle name="Moeda 2 3 3 6" xfId="18488" xr:uid="{00000000-0005-0000-0000-0000E5470000}"/>
    <cellStyle name="Moeda 2 3 4" xfId="18489" xr:uid="{00000000-0005-0000-0000-0000E6470000}"/>
    <cellStyle name="Moeda 2 3 4 2" xfId="18490" xr:uid="{00000000-0005-0000-0000-0000E7470000}"/>
    <cellStyle name="Moeda 2 3 4 2 2" xfId="18491" xr:uid="{00000000-0005-0000-0000-0000E8470000}"/>
    <cellStyle name="Moeda 2 3 4 3" xfId="18492" xr:uid="{00000000-0005-0000-0000-0000E9470000}"/>
    <cellStyle name="Moeda 2 3 4 3 2" xfId="18493" xr:uid="{00000000-0005-0000-0000-0000EA470000}"/>
    <cellStyle name="Moeda 2 3 4 4" xfId="18494" xr:uid="{00000000-0005-0000-0000-0000EB470000}"/>
    <cellStyle name="Moeda 2 3 5" xfId="18495" xr:uid="{00000000-0005-0000-0000-0000EC470000}"/>
    <cellStyle name="Moeda 2 3 5 2" xfId="18496" xr:uid="{00000000-0005-0000-0000-0000ED470000}"/>
    <cellStyle name="Moeda 2 3 5 2 2" xfId="18497" xr:uid="{00000000-0005-0000-0000-0000EE470000}"/>
    <cellStyle name="Moeda 2 3 5 3" xfId="18498" xr:uid="{00000000-0005-0000-0000-0000EF470000}"/>
    <cellStyle name="Moeda 2 3 6" xfId="18499" xr:uid="{00000000-0005-0000-0000-0000F0470000}"/>
    <cellStyle name="Moeda 2 3 6 2" xfId="18500" xr:uid="{00000000-0005-0000-0000-0000F1470000}"/>
    <cellStyle name="Moeda 2 3 6 2 2" xfId="18501" xr:uid="{00000000-0005-0000-0000-0000F2470000}"/>
    <cellStyle name="Moeda 2 3 6 3" xfId="18502" xr:uid="{00000000-0005-0000-0000-0000F3470000}"/>
    <cellStyle name="Moeda 2 3 7" xfId="18503" xr:uid="{00000000-0005-0000-0000-0000F4470000}"/>
    <cellStyle name="Moeda 2 3 7 2" xfId="18504" xr:uid="{00000000-0005-0000-0000-0000F5470000}"/>
    <cellStyle name="Moeda 2 3 7 2 2" xfId="18505" xr:uid="{00000000-0005-0000-0000-0000F6470000}"/>
    <cellStyle name="Moeda 2 3 7 3" xfId="18506" xr:uid="{00000000-0005-0000-0000-0000F7470000}"/>
    <cellStyle name="Moeda 2 4" xfId="18507" xr:uid="{00000000-0005-0000-0000-0000F8470000}"/>
    <cellStyle name="Moeda 2 5" xfId="18508" xr:uid="{00000000-0005-0000-0000-0000F9470000}"/>
    <cellStyle name="Moeda 2 6" xfId="18509" xr:uid="{00000000-0005-0000-0000-0000FA470000}"/>
    <cellStyle name="Moeda 2 7" xfId="18510" xr:uid="{00000000-0005-0000-0000-0000FB470000}"/>
    <cellStyle name="Moeda 2 8" xfId="18511" xr:uid="{00000000-0005-0000-0000-0000FC470000}"/>
    <cellStyle name="Moeda 2 9" xfId="18512" xr:uid="{00000000-0005-0000-0000-0000FD470000}"/>
    <cellStyle name="Moeda 2_RECUPERAÇÃO" xfId="18513" xr:uid="{00000000-0005-0000-0000-0000FE470000}"/>
    <cellStyle name="Moeda 3" xfId="72" xr:uid="{00000000-0005-0000-0000-0000FF470000}"/>
    <cellStyle name="Moeda 3 2" xfId="18514" xr:uid="{00000000-0005-0000-0000-000000480000}"/>
    <cellStyle name="Moeda 3 2 2" xfId="18515" xr:uid="{00000000-0005-0000-0000-000001480000}"/>
    <cellStyle name="Moeda 3 2 2 2" xfId="18516" xr:uid="{00000000-0005-0000-0000-000002480000}"/>
    <cellStyle name="Moeda 3 2 2 2 2" xfId="18517" xr:uid="{00000000-0005-0000-0000-000003480000}"/>
    <cellStyle name="Moeda 3 2 2 2 2 2" xfId="18518" xr:uid="{00000000-0005-0000-0000-000004480000}"/>
    <cellStyle name="Moeda 3 2 2 2 3" xfId="18519" xr:uid="{00000000-0005-0000-0000-000005480000}"/>
    <cellStyle name="Moeda 3 2 2 2 3 2" xfId="18520" xr:uid="{00000000-0005-0000-0000-000006480000}"/>
    <cellStyle name="Moeda 3 2 2 2 4" xfId="18521" xr:uid="{00000000-0005-0000-0000-000007480000}"/>
    <cellStyle name="Moeda 3 2 2 3" xfId="18522" xr:uid="{00000000-0005-0000-0000-000008480000}"/>
    <cellStyle name="Moeda 3 2 2 3 2" xfId="18523" xr:uid="{00000000-0005-0000-0000-000009480000}"/>
    <cellStyle name="Moeda 3 2 2 4" xfId="18524" xr:uid="{00000000-0005-0000-0000-00000A480000}"/>
    <cellStyle name="Moeda 3 2 2 4 2" xfId="18525" xr:uid="{00000000-0005-0000-0000-00000B480000}"/>
    <cellStyle name="Moeda 3 2 2 5" xfId="18526" xr:uid="{00000000-0005-0000-0000-00000C480000}"/>
    <cellStyle name="Moeda 3 2 3" xfId="18527" xr:uid="{00000000-0005-0000-0000-00000D480000}"/>
    <cellStyle name="Moeda 3 2 3 2" xfId="18528" xr:uid="{00000000-0005-0000-0000-00000E480000}"/>
    <cellStyle name="Moeda 3 2 3 2 2" xfId="18529" xr:uid="{00000000-0005-0000-0000-00000F480000}"/>
    <cellStyle name="Moeda 3 2 3 3" xfId="18530" xr:uid="{00000000-0005-0000-0000-000010480000}"/>
    <cellStyle name="Moeda 3 2 3 3 2" xfId="18531" xr:uid="{00000000-0005-0000-0000-000011480000}"/>
    <cellStyle name="Moeda 3 2 3 4" xfId="18532" xr:uid="{00000000-0005-0000-0000-000012480000}"/>
    <cellStyle name="Moeda 3 2 4" xfId="18533" xr:uid="{00000000-0005-0000-0000-000013480000}"/>
    <cellStyle name="Moeda 3 2 4 2" xfId="18534" xr:uid="{00000000-0005-0000-0000-000014480000}"/>
    <cellStyle name="Moeda 3 2 4 2 2" xfId="18535" xr:uid="{00000000-0005-0000-0000-000015480000}"/>
    <cellStyle name="Moeda 3 2 4 3" xfId="18536" xr:uid="{00000000-0005-0000-0000-000016480000}"/>
    <cellStyle name="Moeda 3 2 5" xfId="18537" xr:uid="{00000000-0005-0000-0000-000017480000}"/>
    <cellStyle name="Moeda 3 2 5 2" xfId="18538" xr:uid="{00000000-0005-0000-0000-000018480000}"/>
    <cellStyle name="Moeda 3 2 6" xfId="18539" xr:uid="{00000000-0005-0000-0000-000019480000}"/>
    <cellStyle name="Moeda 3 3" xfId="18540" xr:uid="{00000000-0005-0000-0000-00001A480000}"/>
    <cellStyle name="Moeda 3 4" xfId="18541" xr:uid="{00000000-0005-0000-0000-00001B480000}"/>
    <cellStyle name="Moeda 3 4 2" xfId="18542" xr:uid="{00000000-0005-0000-0000-00001C480000}"/>
    <cellStyle name="Moeda 3 4 2 2" xfId="18543" xr:uid="{00000000-0005-0000-0000-00001D480000}"/>
    <cellStyle name="Moeda 3 4 2 2 2" xfId="18544" xr:uid="{00000000-0005-0000-0000-00001E480000}"/>
    <cellStyle name="Moeda 3 4 2 3" xfId="18545" xr:uid="{00000000-0005-0000-0000-00001F480000}"/>
    <cellStyle name="Moeda 3 4 2 3 2" xfId="18546" xr:uid="{00000000-0005-0000-0000-000020480000}"/>
    <cellStyle name="Moeda 3 4 2 4" xfId="18547" xr:uid="{00000000-0005-0000-0000-000021480000}"/>
    <cellStyle name="Moeda 3 4 3" xfId="18548" xr:uid="{00000000-0005-0000-0000-000022480000}"/>
    <cellStyle name="Moeda 3 4 3 2" xfId="18549" xr:uid="{00000000-0005-0000-0000-000023480000}"/>
    <cellStyle name="Moeda 3 4 3 2 2" xfId="18550" xr:uid="{00000000-0005-0000-0000-000024480000}"/>
    <cellStyle name="Moeda 3 4 3 3" xfId="18551" xr:uid="{00000000-0005-0000-0000-000025480000}"/>
    <cellStyle name="Moeda 3 4 3 3 2" xfId="18552" xr:uid="{00000000-0005-0000-0000-000026480000}"/>
    <cellStyle name="Moeda 3 4 3 4" xfId="18553" xr:uid="{00000000-0005-0000-0000-000027480000}"/>
    <cellStyle name="Moeda 3 4 4" xfId="18554" xr:uid="{00000000-0005-0000-0000-000028480000}"/>
    <cellStyle name="Moeda 3 4 4 2" xfId="18555" xr:uid="{00000000-0005-0000-0000-000029480000}"/>
    <cellStyle name="Moeda 3 4 5" xfId="18556" xr:uid="{00000000-0005-0000-0000-00002A480000}"/>
    <cellStyle name="Moeda 3 4 5 2" xfId="18557" xr:uid="{00000000-0005-0000-0000-00002B480000}"/>
    <cellStyle name="Moeda 3 4 6" xfId="18558" xr:uid="{00000000-0005-0000-0000-00002C480000}"/>
    <cellStyle name="Moeda 3 5" xfId="18559" xr:uid="{00000000-0005-0000-0000-00002D480000}"/>
    <cellStyle name="Moeda 3 5 2" xfId="18560" xr:uid="{00000000-0005-0000-0000-00002E480000}"/>
    <cellStyle name="Moeda 3 5 2 2" xfId="18561" xr:uid="{00000000-0005-0000-0000-00002F480000}"/>
    <cellStyle name="Moeda 3 5 3" xfId="18562" xr:uid="{00000000-0005-0000-0000-000030480000}"/>
    <cellStyle name="Moeda 3 6" xfId="18563" xr:uid="{00000000-0005-0000-0000-000031480000}"/>
    <cellStyle name="Moeda 3 6 2" xfId="18564" xr:uid="{00000000-0005-0000-0000-000032480000}"/>
    <cellStyle name="Moeda 3 7" xfId="18565" xr:uid="{00000000-0005-0000-0000-000033480000}"/>
    <cellStyle name="Moeda 3 8" xfId="18566" xr:uid="{00000000-0005-0000-0000-000034480000}"/>
    <cellStyle name="Moeda 4" xfId="110" xr:uid="{00000000-0005-0000-0000-000035480000}"/>
    <cellStyle name="Moeda 4 2" xfId="18567" xr:uid="{00000000-0005-0000-0000-000036480000}"/>
    <cellStyle name="Moeda 4 2 2" xfId="18568" xr:uid="{00000000-0005-0000-0000-000037480000}"/>
    <cellStyle name="Moeda 5" xfId="111" xr:uid="{00000000-0005-0000-0000-000038480000}"/>
    <cellStyle name="Moeda 5 2" xfId="18569" xr:uid="{00000000-0005-0000-0000-000039480000}"/>
    <cellStyle name="Moeda 5 3" xfId="18570" xr:uid="{00000000-0005-0000-0000-00003A480000}"/>
    <cellStyle name="Moeda 6" xfId="18571" xr:uid="{00000000-0005-0000-0000-00003B480000}"/>
    <cellStyle name="Moeda 7" xfId="18572" xr:uid="{00000000-0005-0000-0000-00003C480000}"/>
    <cellStyle name="Moeda 8" xfId="18573" xr:uid="{00000000-0005-0000-0000-00003D480000}"/>
    <cellStyle name="Moeda 9" xfId="18574" xr:uid="{00000000-0005-0000-0000-00003E480000}"/>
    <cellStyle name="Moeda0" xfId="6" xr:uid="{00000000-0005-0000-0000-00003F480000}"/>
    <cellStyle name="Moeda0 2" xfId="18575" xr:uid="{00000000-0005-0000-0000-000040480000}"/>
    <cellStyle name="monaie_locale" xfId="18576" xr:uid="{00000000-0005-0000-0000-000041480000}"/>
    <cellStyle name="Moneda [0]_04-99" xfId="18577" xr:uid="{00000000-0005-0000-0000-000042480000}"/>
    <cellStyle name="Moneda 2" xfId="18578" xr:uid="{00000000-0005-0000-0000-000043480000}"/>
    <cellStyle name="Moneda 2 10" xfId="18579" xr:uid="{00000000-0005-0000-0000-000044480000}"/>
    <cellStyle name="Moneda 2 11" xfId="18580" xr:uid="{00000000-0005-0000-0000-000045480000}"/>
    <cellStyle name="Moneda 2 12" xfId="18581" xr:uid="{00000000-0005-0000-0000-000046480000}"/>
    <cellStyle name="Moneda 2 13" xfId="18582" xr:uid="{00000000-0005-0000-0000-000047480000}"/>
    <cellStyle name="Moneda 2 14" xfId="18583" xr:uid="{00000000-0005-0000-0000-000048480000}"/>
    <cellStyle name="Moneda 2 2" xfId="18584" xr:uid="{00000000-0005-0000-0000-000049480000}"/>
    <cellStyle name="Moneda 2 3" xfId="18585" xr:uid="{00000000-0005-0000-0000-00004A480000}"/>
    <cellStyle name="Moneda 2 4" xfId="18586" xr:uid="{00000000-0005-0000-0000-00004B480000}"/>
    <cellStyle name="Moneda 2 5" xfId="18587" xr:uid="{00000000-0005-0000-0000-00004C480000}"/>
    <cellStyle name="Moneda 2 6" xfId="18588" xr:uid="{00000000-0005-0000-0000-00004D480000}"/>
    <cellStyle name="Moneda 2 7" xfId="18589" xr:uid="{00000000-0005-0000-0000-00004E480000}"/>
    <cellStyle name="Moneda 2 8" xfId="18590" xr:uid="{00000000-0005-0000-0000-00004F480000}"/>
    <cellStyle name="Moneda 2 9" xfId="18591" xr:uid="{00000000-0005-0000-0000-000050480000}"/>
    <cellStyle name="Moneda_04-99" xfId="18592" xr:uid="{00000000-0005-0000-0000-000051480000}"/>
    <cellStyle name="Monétaire [0]_after_discount" xfId="18593" xr:uid="{00000000-0005-0000-0000-000052480000}"/>
    <cellStyle name="Monétaire 2" xfId="18594" xr:uid="{00000000-0005-0000-0000-000053480000}"/>
    <cellStyle name="Monétaire_after_discount" xfId="18595" xr:uid="{00000000-0005-0000-0000-000054480000}"/>
    <cellStyle name="Monetario" xfId="18596" xr:uid="{00000000-0005-0000-0000-000055480000}"/>
    <cellStyle name="Monetario0" xfId="112" xr:uid="{00000000-0005-0000-0000-000056480000}"/>
    <cellStyle name="Monetario0 2" xfId="18597" xr:uid="{00000000-0005-0000-0000-000057480000}"/>
    <cellStyle name="mpenho" xfId="18598" xr:uid="{00000000-0005-0000-0000-000058480000}"/>
    <cellStyle name="Multiple" xfId="18599" xr:uid="{00000000-0005-0000-0000-000059480000}"/>
    <cellStyle name="Multiple [0]" xfId="113" xr:uid="{00000000-0005-0000-0000-00005A480000}"/>
    <cellStyle name="Multiple [1]" xfId="114" xr:uid="{00000000-0005-0000-0000-00005B480000}"/>
    <cellStyle name="Multiple [1] 2" xfId="18600" xr:uid="{00000000-0005-0000-0000-00005C480000}"/>
    <cellStyle name="Multiple [1] 3" xfId="18601" xr:uid="{00000000-0005-0000-0000-00005D480000}"/>
    <cellStyle name="Multiple [2]" xfId="115" xr:uid="{00000000-0005-0000-0000-00005E480000}"/>
    <cellStyle name="Multiple 10" xfId="18602" xr:uid="{00000000-0005-0000-0000-00005F480000}"/>
    <cellStyle name="Multiple 11" xfId="18603" xr:uid="{00000000-0005-0000-0000-000060480000}"/>
    <cellStyle name="Multiple 12" xfId="18604" xr:uid="{00000000-0005-0000-0000-000061480000}"/>
    <cellStyle name="Multiple 13" xfId="18605" xr:uid="{00000000-0005-0000-0000-000062480000}"/>
    <cellStyle name="Multiple 14" xfId="18606" xr:uid="{00000000-0005-0000-0000-000063480000}"/>
    <cellStyle name="Multiple 15" xfId="18607" xr:uid="{00000000-0005-0000-0000-000064480000}"/>
    <cellStyle name="Multiple 16" xfId="18608" xr:uid="{00000000-0005-0000-0000-000065480000}"/>
    <cellStyle name="Multiple 17" xfId="18609" xr:uid="{00000000-0005-0000-0000-000066480000}"/>
    <cellStyle name="Multiple 18" xfId="18610" xr:uid="{00000000-0005-0000-0000-000067480000}"/>
    <cellStyle name="Multiple 19" xfId="18611" xr:uid="{00000000-0005-0000-0000-000068480000}"/>
    <cellStyle name="Multiple 2" xfId="18612" xr:uid="{00000000-0005-0000-0000-000069480000}"/>
    <cellStyle name="Multiple 20" xfId="18613" xr:uid="{00000000-0005-0000-0000-00006A480000}"/>
    <cellStyle name="Multiple 21" xfId="18614" xr:uid="{00000000-0005-0000-0000-00006B480000}"/>
    <cellStyle name="Multiple 22" xfId="18615" xr:uid="{00000000-0005-0000-0000-00006C480000}"/>
    <cellStyle name="Multiple 23" xfId="18616" xr:uid="{00000000-0005-0000-0000-00006D480000}"/>
    <cellStyle name="Multiple 24" xfId="18617" xr:uid="{00000000-0005-0000-0000-00006E480000}"/>
    <cellStyle name="Multiple 3" xfId="18618" xr:uid="{00000000-0005-0000-0000-00006F480000}"/>
    <cellStyle name="Multiple 4" xfId="18619" xr:uid="{00000000-0005-0000-0000-000070480000}"/>
    <cellStyle name="Multiple 5" xfId="18620" xr:uid="{00000000-0005-0000-0000-000071480000}"/>
    <cellStyle name="Multiple 6" xfId="18621" xr:uid="{00000000-0005-0000-0000-000072480000}"/>
    <cellStyle name="Multiple 7" xfId="18622" xr:uid="{00000000-0005-0000-0000-000073480000}"/>
    <cellStyle name="Multiple 8" xfId="18623" xr:uid="{00000000-0005-0000-0000-000074480000}"/>
    <cellStyle name="Multiple 9" xfId="18624" xr:uid="{00000000-0005-0000-0000-000075480000}"/>
    <cellStyle name="Multiple_Asian_Power_Compacq_JJ" xfId="18625" xr:uid="{00000000-0005-0000-0000-000076480000}"/>
    <cellStyle name="Multiple0" xfId="18626" xr:uid="{00000000-0005-0000-0000-000077480000}"/>
    <cellStyle name="Multiple1" xfId="18627" xr:uid="{00000000-0005-0000-0000-000078480000}"/>
    <cellStyle name="n" xfId="18628" xr:uid="{00000000-0005-0000-0000-000079480000}"/>
    <cellStyle name="n_Cópia de Projeções Termocauca-COLfin" xfId="18629" xr:uid="{00000000-0005-0000-0000-00007A480000}"/>
    <cellStyle name="n_Cópia de Projeções Termocauca-COLfin 2" xfId="18630" xr:uid="{00000000-0005-0000-0000-00007B480000}"/>
    <cellStyle name="n_DRE.BP.FC" xfId="18631" xr:uid="{00000000-0005-0000-0000-00007C480000}"/>
    <cellStyle name="n_DRE.BP.FC_estrategia_equity_20101004" xfId="18632" xr:uid="{00000000-0005-0000-0000-00007D480000}"/>
    <cellStyle name="n_DRE.BP.FC_FOXX_BARUERI_18_03_2011" xfId="18633" xr:uid="{00000000-0005-0000-0000-00007E480000}"/>
    <cellStyle name="n_DRE.BP.FC_FOXX_RECIFE_20100914_cenario_energia+vapor" xfId="18634" xr:uid="{00000000-0005-0000-0000-00007F480000}"/>
    <cellStyle name="n_DRE.BP.FC_Projeções FOXX_Barueri_12052010_reuniao_FOXX" xfId="18635" xr:uid="{00000000-0005-0000-0000-000080480000}"/>
    <cellStyle name="n_DRE.BP.FC_Projeções GEO_BPv27_414MW" xfId="18636" xr:uid="{00000000-0005-0000-0000-000081480000}"/>
    <cellStyle name="n_GRAFICOS ECOSAMA-Demanda Atual" xfId="18637" xr:uid="{00000000-0005-0000-0000-000082480000}"/>
    <cellStyle name="n_GRAFICOS ECOSAMA-Take or Pay" xfId="18638" xr:uid="{00000000-0005-0000-0000-000083480000}"/>
    <cellStyle name="n_PPP Sabesp V2- Serviços" xfId="18639" xr:uid="{00000000-0005-0000-0000-000084480000}"/>
    <cellStyle name="n_PPP Sabesp V2- Serviços 2" xfId="18640" xr:uid="{00000000-0005-0000-0000-000085480000}"/>
    <cellStyle name="n_PPP Sabesp V2- Serviços_estrategia_equity_20101004" xfId="18641" xr:uid="{00000000-0005-0000-0000-000086480000}"/>
    <cellStyle name="n_PPP Sabesp V2- Serviços_FOXX_BARUERI_18_03_2011" xfId="18642" xr:uid="{00000000-0005-0000-0000-000087480000}"/>
    <cellStyle name="n_PPP Sabesp V2- Serviços_FOXX_RECIFE_20100914_cenario_energia+vapor" xfId="18643" xr:uid="{00000000-0005-0000-0000-000088480000}"/>
    <cellStyle name="n_PPP Sabesp V2- Serviços_Projeções FOXX_Barueri_12052010_reuniao_FOXX" xfId="18644" xr:uid="{00000000-0005-0000-0000-000089480000}"/>
    <cellStyle name="n_PPP Sabesp V2- Serviços_Projeções GEO_BPv27_414MW" xfId="18645" xr:uid="{00000000-0005-0000-0000-00008A480000}"/>
    <cellStyle name="n_Projeção_CA_v22propostafinal17-07-2008" xfId="18646" xr:uid="{00000000-0005-0000-0000-00008B480000}"/>
    <cellStyle name="n_Projeção_CA_v22propostafinal17-07-2008_Projeções FOXX_BUSINESS_PLANv14" xfId="18647" xr:uid="{00000000-0005-0000-0000-00008C480000}"/>
    <cellStyle name="n_Projeção_CA_v22propostafinal17-07-2008_Projeções FOXX_BUSINESS_PLANv14_FOXX_BARUERI_18_03_2011" xfId="18648" xr:uid="{00000000-0005-0000-0000-00008D480000}"/>
    <cellStyle name="n_Projeção_CA_v22propostafinal17-07-2008_Projeções GEO_BPv27_414MW" xfId="18649" xr:uid="{00000000-0005-0000-0000-00008E480000}"/>
    <cellStyle name="n_Projeção_CA_v22propostafinal17-07-2008_Projeções GEO_BPv27_414MW_estrategia_equity_20101004" xfId="18650" xr:uid="{00000000-0005-0000-0000-00008F480000}"/>
    <cellStyle name="n_Projeção_CA_v22propostafinal17-07-2008_Projeções GEO_BPv27_414MW_FOXX_BARUERI_18_03_2011" xfId="18651" xr:uid="{00000000-0005-0000-0000-000090480000}"/>
    <cellStyle name="n_Projeção_CA_v22propostafinal17-07-2008_Projeções GEO_BPv27_414MW_FOXX_RECIFE_20100914_cenario_energia+vapor" xfId="18652" xr:uid="{00000000-0005-0000-0000-000091480000}"/>
    <cellStyle name="n_Projeção_CA_v22propostafinal17-07-2008_Projeções GEO_BPv27_414MW_Projeções FOXX_Barueri_12052010_reuniao_FOXX" xfId="18653" xr:uid="{00000000-0005-0000-0000-000092480000}"/>
    <cellStyle name="n_Projeção_CA_v22propostafinal17-07-2008_Sanessol" xfId="18654" xr:uid="{00000000-0005-0000-0000-000093480000}"/>
    <cellStyle name="n_Projeção_CA_v22propostafinal17-07-2008_Sanessol 2" xfId="18655" xr:uid="{00000000-0005-0000-0000-000094480000}"/>
    <cellStyle name="n_Projeções Águas de Itu" xfId="18656" xr:uid="{00000000-0005-0000-0000-000095480000}"/>
    <cellStyle name="n_Projeções Águas de Itu 2" xfId="18657" xr:uid="{00000000-0005-0000-0000-000096480000}"/>
    <cellStyle name="n_Projeções FOXX_BUSINESS_PLANv14" xfId="18658" xr:uid="{00000000-0005-0000-0000-000097480000}"/>
    <cellStyle name="n_Projeções FOXX_BUSINESS_PLANv14_FOXX_BARUERI_18_03_2011" xfId="18659" xr:uid="{00000000-0005-0000-0000-000098480000}"/>
    <cellStyle name="n_Projeções GEO_BPv27_414MW" xfId="18660" xr:uid="{00000000-0005-0000-0000-000099480000}"/>
    <cellStyle name="n_Projeções GEO_BPv27_414MW_estrategia_equity_20101004" xfId="18661" xr:uid="{00000000-0005-0000-0000-00009A480000}"/>
    <cellStyle name="n_Projeções GEO_BPv27_414MW_FOXX_BARUERI_18_03_2011" xfId="18662" xr:uid="{00000000-0005-0000-0000-00009B480000}"/>
    <cellStyle name="n_Projeções GEO_BPv27_414MW_FOXX_RECIFE_20100914_cenario_energia+vapor" xfId="18663" xr:uid="{00000000-0005-0000-0000-00009C480000}"/>
    <cellStyle name="n_Projeções GEO_BPv27_414MW_Projeções FOXX_Barueri_12052010_reuniao_FOXX" xfId="18664" xr:uid="{00000000-0005-0000-0000-00009D480000}"/>
    <cellStyle name="n_Projeções.v6" xfId="18665" xr:uid="{00000000-0005-0000-0000-00009E480000}"/>
    <cellStyle name="n_Projeções.v6_estrategia_equity_20101004" xfId="18666" xr:uid="{00000000-0005-0000-0000-00009F480000}"/>
    <cellStyle name="n_Projeções.v6_FOXX_BARUERI_18_03_2011" xfId="18667" xr:uid="{00000000-0005-0000-0000-0000A0480000}"/>
    <cellStyle name="n_Projeções.v6_FOXX_RECIFE_20100914_cenario_energia+vapor" xfId="18668" xr:uid="{00000000-0005-0000-0000-0000A1480000}"/>
    <cellStyle name="n_Projeções.v6_Projeções FOXX_Barueri_12052010_reuniao_FOXX" xfId="18669" xr:uid="{00000000-0005-0000-0000-0000A2480000}"/>
    <cellStyle name="n_Projeções.v6_Projeções GEO_BPv27_414MW" xfId="18670" xr:uid="{00000000-0005-0000-0000-0000A3480000}"/>
    <cellStyle name="n_Projeções.v8" xfId="18671" xr:uid="{00000000-0005-0000-0000-0000A4480000}"/>
    <cellStyle name="n_Sanessol" xfId="18672" xr:uid="{00000000-0005-0000-0000-0000A5480000}"/>
    <cellStyle name="n_Sanessol 2" xfId="18673" xr:uid="{00000000-0005-0000-0000-0000A6480000}"/>
    <cellStyle name="NA is zero" xfId="18674" xr:uid="{00000000-0005-0000-0000-0000A7480000}"/>
    <cellStyle name="NA is zero 2" xfId="18675" xr:uid="{00000000-0005-0000-0000-0000A8480000}"/>
    <cellStyle name="Name" xfId="18676" xr:uid="{00000000-0005-0000-0000-0000A9480000}"/>
    <cellStyle name="Name 2" xfId="18677" xr:uid="{00000000-0005-0000-0000-0000AA480000}"/>
    <cellStyle name="Neutra 2" xfId="18678" xr:uid="{00000000-0005-0000-0000-0000AB480000}"/>
    <cellStyle name="Neutra 3" xfId="18679" xr:uid="{00000000-0005-0000-0000-0000AC480000}"/>
    <cellStyle name="Neutra 4" xfId="18680" xr:uid="{00000000-0005-0000-0000-0000AD480000}"/>
    <cellStyle name="Neutral" xfId="59" xr:uid="{00000000-0005-0000-0000-0000AE480000}"/>
    <cellStyle name="Neutral 2" xfId="18681" xr:uid="{00000000-0005-0000-0000-0000AF480000}"/>
    <cellStyle name="Never Changes" xfId="18682" xr:uid="{00000000-0005-0000-0000-0000B0480000}"/>
    <cellStyle name="no dec" xfId="18683" xr:uid="{00000000-0005-0000-0000-0000B1480000}"/>
    <cellStyle name="No-definido" xfId="116" xr:uid="{00000000-0005-0000-0000-0000B2480000}"/>
    <cellStyle name="No-definido 2" xfId="18684" xr:uid="{00000000-0005-0000-0000-0000B3480000}"/>
    <cellStyle name="Normal" xfId="0" builtinId="0"/>
    <cellStyle name="Normal - Estilo1" xfId="18685" xr:uid="{00000000-0005-0000-0000-0000B5480000}"/>
    <cellStyle name="Normal - Estilo2" xfId="18686" xr:uid="{00000000-0005-0000-0000-0000B6480000}"/>
    <cellStyle name="Normal - Estilo3" xfId="18687" xr:uid="{00000000-0005-0000-0000-0000B7480000}"/>
    <cellStyle name="Normal - Estilo4" xfId="18688" xr:uid="{00000000-0005-0000-0000-0000B8480000}"/>
    <cellStyle name="Normal - Estilo5" xfId="18689" xr:uid="{00000000-0005-0000-0000-0000B9480000}"/>
    <cellStyle name="Normal - Estilo6" xfId="18690" xr:uid="{00000000-0005-0000-0000-0000BA480000}"/>
    <cellStyle name="Normal - Estilo7" xfId="18691" xr:uid="{00000000-0005-0000-0000-0000BB480000}"/>
    <cellStyle name="Normal - Estilo8" xfId="18692" xr:uid="{00000000-0005-0000-0000-0000BC480000}"/>
    <cellStyle name="Normal - Style1" xfId="18693" xr:uid="{00000000-0005-0000-0000-0000BD480000}"/>
    <cellStyle name="Normal - Style1 2" xfId="18694" xr:uid="{00000000-0005-0000-0000-0000BE480000}"/>
    <cellStyle name="Normal - Style2" xfId="18695" xr:uid="{00000000-0005-0000-0000-0000BF480000}"/>
    <cellStyle name="Normal (%)" xfId="18696" xr:uid="{00000000-0005-0000-0000-0000C0480000}"/>
    <cellStyle name="Normal (No)" xfId="18697" xr:uid="{00000000-0005-0000-0000-0000C1480000}"/>
    <cellStyle name="Normal [0]" xfId="18698" xr:uid="{00000000-0005-0000-0000-0000C2480000}"/>
    <cellStyle name="Normal [0] 2" xfId="18699" xr:uid="{00000000-0005-0000-0000-0000C3480000}"/>
    <cellStyle name="Normal [1]" xfId="18700" xr:uid="{00000000-0005-0000-0000-0000C4480000}"/>
    <cellStyle name="Normal [1] 2" xfId="18701" xr:uid="{00000000-0005-0000-0000-0000C5480000}"/>
    <cellStyle name="Normal [2]" xfId="18702" xr:uid="{00000000-0005-0000-0000-0000C6480000}"/>
    <cellStyle name="Normal [2] 2" xfId="18703" xr:uid="{00000000-0005-0000-0000-0000C7480000}"/>
    <cellStyle name="Normal [3]" xfId="18704" xr:uid="{00000000-0005-0000-0000-0000C8480000}"/>
    <cellStyle name="Normal [3] 2" xfId="18705" xr:uid="{00000000-0005-0000-0000-0000C9480000}"/>
    <cellStyle name="Normal 10" xfId="146" xr:uid="{00000000-0005-0000-0000-0000CA480000}"/>
    <cellStyle name="Normal 10 10" xfId="18706" xr:uid="{00000000-0005-0000-0000-0000CB480000}"/>
    <cellStyle name="Normal 10 10 2" xfId="18707" xr:uid="{00000000-0005-0000-0000-0000CC480000}"/>
    <cellStyle name="Normal 10 11" xfId="18708" xr:uid="{00000000-0005-0000-0000-0000CD480000}"/>
    <cellStyle name="Normal 10 13" xfId="158" xr:uid="{00000000-0005-0000-0000-0000CE480000}"/>
    <cellStyle name="Normal 10 2" xfId="18709" xr:uid="{00000000-0005-0000-0000-0000CF480000}"/>
    <cellStyle name="Normal 10 2 2" xfId="18710" xr:uid="{00000000-0005-0000-0000-0000D0480000}"/>
    <cellStyle name="Normal 10 2 2 2" xfId="18711" xr:uid="{00000000-0005-0000-0000-0000D1480000}"/>
    <cellStyle name="Normal 10 2 2 2 2" xfId="18712" xr:uid="{00000000-0005-0000-0000-0000D2480000}"/>
    <cellStyle name="Normal 10 2 2 2 2 2" xfId="18713" xr:uid="{00000000-0005-0000-0000-0000D3480000}"/>
    <cellStyle name="Normal 10 2 2 2 3" xfId="18714" xr:uid="{00000000-0005-0000-0000-0000D4480000}"/>
    <cellStyle name="Normal 10 2 2 2 3 2" xfId="18715" xr:uid="{00000000-0005-0000-0000-0000D5480000}"/>
    <cellStyle name="Normal 10 2 2 2 4" xfId="18716" xr:uid="{00000000-0005-0000-0000-0000D6480000}"/>
    <cellStyle name="Normal 10 2 2 3" xfId="18717" xr:uid="{00000000-0005-0000-0000-0000D7480000}"/>
    <cellStyle name="Normal 10 2 2 3 2" xfId="18718" xr:uid="{00000000-0005-0000-0000-0000D8480000}"/>
    <cellStyle name="Normal 10 2 2 4" xfId="18719" xr:uid="{00000000-0005-0000-0000-0000D9480000}"/>
    <cellStyle name="Normal 10 2 2 4 2" xfId="18720" xr:uid="{00000000-0005-0000-0000-0000DA480000}"/>
    <cellStyle name="Normal 10 2 2 5" xfId="18721" xr:uid="{00000000-0005-0000-0000-0000DB480000}"/>
    <cellStyle name="Normal 10 2 3" xfId="18722" xr:uid="{00000000-0005-0000-0000-0000DC480000}"/>
    <cellStyle name="Normal 10 2 3 2" xfId="18723" xr:uid="{00000000-0005-0000-0000-0000DD480000}"/>
    <cellStyle name="Normal 10 2 3 2 2" xfId="18724" xr:uid="{00000000-0005-0000-0000-0000DE480000}"/>
    <cellStyle name="Normal 10 2 3 3" xfId="18725" xr:uid="{00000000-0005-0000-0000-0000DF480000}"/>
    <cellStyle name="Normal 10 2 3 3 2" xfId="18726" xr:uid="{00000000-0005-0000-0000-0000E0480000}"/>
    <cellStyle name="Normal 10 2 3 4" xfId="18727" xr:uid="{00000000-0005-0000-0000-0000E1480000}"/>
    <cellStyle name="Normal 10 2 4" xfId="18728" xr:uid="{00000000-0005-0000-0000-0000E2480000}"/>
    <cellStyle name="Normal 10 2 4 2" xfId="18729" xr:uid="{00000000-0005-0000-0000-0000E3480000}"/>
    <cellStyle name="Normal 10 2 4 2 2" xfId="18730" xr:uid="{00000000-0005-0000-0000-0000E4480000}"/>
    <cellStyle name="Normal 10 2 4 3" xfId="18731" xr:uid="{00000000-0005-0000-0000-0000E5480000}"/>
    <cellStyle name="Normal 10 2 5" xfId="18732" xr:uid="{00000000-0005-0000-0000-0000E6480000}"/>
    <cellStyle name="Normal 10 2 5 2" xfId="18733" xr:uid="{00000000-0005-0000-0000-0000E7480000}"/>
    <cellStyle name="Normal 10 2 6" xfId="18734" xr:uid="{00000000-0005-0000-0000-0000E8480000}"/>
    <cellStyle name="Normal 10 3" xfId="18735" xr:uid="{00000000-0005-0000-0000-0000E9480000}"/>
    <cellStyle name="Normal 10 3 2" xfId="18736" xr:uid="{00000000-0005-0000-0000-0000EA480000}"/>
    <cellStyle name="Normal 10 3 2 2" xfId="18737" xr:uid="{00000000-0005-0000-0000-0000EB480000}"/>
    <cellStyle name="Normal 10 3 2 2 2" xfId="18738" xr:uid="{00000000-0005-0000-0000-0000EC480000}"/>
    <cellStyle name="Normal 10 3 2 3" xfId="18739" xr:uid="{00000000-0005-0000-0000-0000ED480000}"/>
    <cellStyle name="Normal 10 3 2 3 2" xfId="18740" xr:uid="{00000000-0005-0000-0000-0000EE480000}"/>
    <cellStyle name="Normal 10 3 2 4" xfId="18741" xr:uid="{00000000-0005-0000-0000-0000EF480000}"/>
    <cellStyle name="Normal 10 3 3" xfId="18742" xr:uid="{00000000-0005-0000-0000-0000F0480000}"/>
    <cellStyle name="Normal 10 3 3 2" xfId="18743" xr:uid="{00000000-0005-0000-0000-0000F1480000}"/>
    <cellStyle name="Normal 10 3 3 2 2" xfId="18744" xr:uid="{00000000-0005-0000-0000-0000F2480000}"/>
    <cellStyle name="Normal 10 3 3 3" xfId="18745" xr:uid="{00000000-0005-0000-0000-0000F3480000}"/>
    <cellStyle name="Normal 10 3 3 3 2" xfId="18746" xr:uid="{00000000-0005-0000-0000-0000F4480000}"/>
    <cellStyle name="Normal 10 3 3 4" xfId="18747" xr:uid="{00000000-0005-0000-0000-0000F5480000}"/>
    <cellStyle name="Normal 10 3 4" xfId="18748" xr:uid="{00000000-0005-0000-0000-0000F6480000}"/>
    <cellStyle name="Normal 10 3 4 2" xfId="18749" xr:uid="{00000000-0005-0000-0000-0000F7480000}"/>
    <cellStyle name="Normal 10 3 5" xfId="18750" xr:uid="{00000000-0005-0000-0000-0000F8480000}"/>
    <cellStyle name="Normal 10 3 5 2" xfId="18751" xr:uid="{00000000-0005-0000-0000-0000F9480000}"/>
    <cellStyle name="Normal 10 3 6" xfId="18752" xr:uid="{00000000-0005-0000-0000-0000FA480000}"/>
    <cellStyle name="Normal 10 3_MO-CronPerm" xfId="18753" xr:uid="{00000000-0005-0000-0000-0000FB480000}"/>
    <cellStyle name="Normal 10 4" xfId="18754" xr:uid="{00000000-0005-0000-0000-0000FC480000}"/>
    <cellStyle name="Normal 10 4 2" xfId="18755" xr:uid="{00000000-0005-0000-0000-0000FD480000}"/>
    <cellStyle name="Normal 10 4 2 2" xfId="18756" xr:uid="{00000000-0005-0000-0000-0000FE480000}"/>
    <cellStyle name="Normal 10 4 3" xfId="18757" xr:uid="{00000000-0005-0000-0000-0000FF480000}"/>
    <cellStyle name="Normal 10 4 3 2" xfId="18758" xr:uid="{00000000-0005-0000-0000-000000490000}"/>
    <cellStyle name="Normal 10 4 4" xfId="18759" xr:uid="{00000000-0005-0000-0000-000001490000}"/>
    <cellStyle name="Normal 10 5" xfId="18760" xr:uid="{00000000-0005-0000-0000-000002490000}"/>
    <cellStyle name="Normal 10 6" xfId="18761" xr:uid="{00000000-0005-0000-0000-000003490000}"/>
    <cellStyle name="Normal 10 6 2" xfId="18762" xr:uid="{00000000-0005-0000-0000-000004490000}"/>
    <cellStyle name="Normal 10 6 2 2" xfId="18763" xr:uid="{00000000-0005-0000-0000-000005490000}"/>
    <cellStyle name="Normal 10 6 3" xfId="18764" xr:uid="{00000000-0005-0000-0000-000006490000}"/>
    <cellStyle name="Normal 10 7" xfId="18765" xr:uid="{00000000-0005-0000-0000-000007490000}"/>
    <cellStyle name="Normal 10 7 2" xfId="18766" xr:uid="{00000000-0005-0000-0000-000008490000}"/>
    <cellStyle name="Normal 10 7 2 2" xfId="18767" xr:uid="{00000000-0005-0000-0000-000009490000}"/>
    <cellStyle name="Normal 10 7 3" xfId="18768" xr:uid="{00000000-0005-0000-0000-00000A490000}"/>
    <cellStyle name="Normal 10 8" xfId="18769" xr:uid="{00000000-0005-0000-0000-00000B490000}"/>
    <cellStyle name="Normal 10 8 2" xfId="18770" xr:uid="{00000000-0005-0000-0000-00000C490000}"/>
    <cellStyle name="Normal 10 8 2 2" xfId="18771" xr:uid="{00000000-0005-0000-0000-00000D490000}"/>
    <cellStyle name="Normal 10 8 3" xfId="18772" xr:uid="{00000000-0005-0000-0000-00000E490000}"/>
    <cellStyle name="Normal 10 9" xfId="18773" xr:uid="{00000000-0005-0000-0000-00000F490000}"/>
    <cellStyle name="Normal 10 9 2" xfId="18774" xr:uid="{00000000-0005-0000-0000-000010490000}"/>
    <cellStyle name="Normal 10 9 2 2" xfId="18775" xr:uid="{00000000-0005-0000-0000-000011490000}"/>
    <cellStyle name="Normal 10 9 3" xfId="18776" xr:uid="{00000000-0005-0000-0000-000012490000}"/>
    <cellStyle name="Normal 10_MO-CronPerm" xfId="18777" xr:uid="{00000000-0005-0000-0000-000013490000}"/>
    <cellStyle name="Normal 100" xfId="18778" xr:uid="{00000000-0005-0000-0000-000014490000}"/>
    <cellStyle name="Normal 100 2" xfId="18779" xr:uid="{00000000-0005-0000-0000-000015490000}"/>
    <cellStyle name="Normal 101" xfId="18780" xr:uid="{00000000-0005-0000-0000-000016490000}"/>
    <cellStyle name="Normal 102" xfId="18781" xr:uid="{00000000-0005-0000-0000-000017490000}"/>
    <cellStyle name="Normal 103" xfId="18782" xr:uid="{00000000-0005-0000-0000-000018490000}"/>
    <cellStyle name="Normal 104" xfId="18783" xr:uid="{00000000-0005-0000-0000-000019490000}"/>
    <cellStyle name="Normal 105" xfId="18784" xr:uid="{00000000-0005-0000-0000-00001A490000}"/>
    <cellStyle name="Normal 106" xfId="18785" xr:uid="{00000000-0005-0000-0000-00001B490000}"/>
    <cellStyle name="Normal 107" xfId="18786" xr:uid="{00000000-0005-0000-0000-00001C490000}"/>
    <cellStyle name="Normal 108" xfId="18787" xr:uid="{00000000-0005-0000-0000-00001D490000}"/>
    <cellStyle name="Normal 109" xfId="18788" xr:uid="{00000000-0005-0000-0000-00001E490000}"/>
    <cellStyle name="Normal 11" xfId="153" xr:uid="{00000000-0005-0000-0000-00001F490000}"/>
    <cellStyle name="Normal 11 2" xfId="18789" xr:uid="{00000000-0005-0000-0000-000020490000}"/>
    <cellStyle name="Normal 11 2 2" xfId="18790" xr:uid="{00000000-0005-0000-0000-000021490000}"/>
    <cellStyle name="Normal 11 2 2 2" xfId="18791" xr:uid="{00000000-0005-0000-0000-000022490000}"/>
    <cellStyle name="Normal 11 2 2 2 2" xfId="18792" xr:uid="{00000000-0005-0000-0000-000023490000}"/>
    <cellStyle name="Normal 11 2 2 2 2 2" xfId="18793" xr:uid="{00000000-0005-0000-0000-000024490000}"/>
    <cellStyle name="Normal 11 2 2 2 3" xfId="18794" xr:uid="{00000000-0005-0000-0000-000025490000}"/>
    <cellStyle name="Normal 11 2 2 2 3 2" xfId="18795" xr:uid="{00000000-0005-0000-0000-000026490000}"/>
    <cellStyle name="Normal 11 2 2 2 4" xfId="18796" xr:uid="{00000000-0005-0000-0000-000027490000}"/>
    <cellStyle name="Normal 11 2 2 3" xfId="18797" xr:uid="{00000000-0005-0000-0000-000028490000}"/>
    <cellStyle name="Normal 11 2 2 3 2" xfId="18798" xr:uid="{00000000-0005-0000-0000-000029490000}"/>
    <cellStyle name="Normal 11 2 2 4" xfId="18799" xr:uid="{00000000-0005-0000-0000-00002A490000}"/>
    <cellStyle name="Normal 11 2 2 4 2" xfId="18800" xr:uid="{00000000-0005-0000-0000-00002B490000}"/>
    <cellStyle name="Normal 11 2 2 5" xfId="18801" xr:uid="{00000000-0005-0000-0000-00002C490000}"/>
    <cellStyle name="Normal 11 2 3" xfId="18802" xr:uid="{00000000-0005-0000-0000-00002D490000}"/>
    <cellStyle name="Normal 11 2 3 2" xfId="18803" xr:uid="{00000000-0005-0000-0000-00002E490000}"/>
    <cellStyle name="Normal 11 2 3 2 2" xfId="18804" xr:uid="{00000000-0005-0000-0000-00002F490000}"/>
    <cellStyle name="Normal 11 2 3 3" xfId="18805" xr:uid="{00000000-0005-0000-0000-000030490000}"/>
    <cellStyle name="Normal 11 2 3 3 2" xfId="18806" xr:uid="{00000000-0005-0000-0000-000031490000}"/>
    <cellStyle name="Normal 11 2 3 4" xfId="18807" xr:uid="{00000000-0005-0000-0000-000032490000}"/>
    <cellStyle name="Normal 11 2 4" xfId="18808" xr:uid="{00000000-0005-0000-0000-000033490000}"/>
    <cellStyle name="Normal 11 2 4 2" xfId="18809" xr:uid="{00000000-0005-0000-0000-000034490000}"/>
    <cellStyle name="Normal 11 2 4 2 2" xfId="18810" xr:uid="{00000000-0005-0000-0000-000035490000}"/>
    <cellStyle name="Normal 11 2 4 3" xfId="18811" xr:uid="{00000000-0005-0000-0000-000036490000}"/>
    <cellStyle name="Normal 11 2 5" xfId="18812" xr:uid="{00000000-0005-0000-0000-000037490000}"/>
    <cellStyle name="Normal 11 2 5 2" xfId="18813" xr:uid="{00000000-0005-0000-0000-000038490000}"/>
    <cellStyle name="Normal 11 2 6" xfId="18814" xr:uid="{00000000-0005-0000-0000-000039490000}"/>
    <cellStyle name="Normal 11 2_MO-CronPerm" xfId="18815" xr:uid="{00000000-0005-0000-0000-00003A490000}"/>
    <cellStyle name="Normal 11 3" xfId="18816" xr:uid="{00000000-0005-0000-0000-00003B490000}"/>
    <cellStyle name="Normal 11 3 2" xfId="18817" xr:uid="{00000000-0005-0000-0000-00003C490000}"/>
    <cellStyle name="Normal 11 3 2 2" xfId="18818" xr:uid="{00000000-0005-0000-0000-00003D490000}"/>
    <cellStyle name="Normal 11 3 2 2 2" xfId="18819" xr:uid="{00000000-0005-0000-0000-00003E490000}"/>
    <cellStyle name="Normal 11 3 2 3" xfId="18820" xr:uid="{00000000-0005-0000-0000-00003F490000}"/>
    <cellStyle name="Normal 11 3 2 3 2" xfId="18821" xr:uid="{00000000-0005-0000-0000-000040490000}"/>
    <cellStyle name="Normal 11 3 2 4" xfId="18822" xr:uid="{00000000-0005-0000-0000-000041490000}"/>
    <cellStyle name="Normal 11 3 3" xfId="18823" xr:uid="{00000000-0005-0000-0000-000042490000}"/>
    <cellStyle name="Normal 11 3 3 2" xfId="18824" xr:uid="{00000000-0005-0000-0000-000043490000}"/>
    <cellStyle name="Normal 11 3 4" xfId="18825" xr:uid="{00000000-0005-0000-0000-000044490000}"/>
    <cellStyle name="Normal 11 3 4 2" xfId="18826" xr:uid="{00000000-0005-0000-0000-000045490000}"/>
    <cellStyle name="Normal 11 3 5" xfId="18827" xr:uid="{00000000-0005-0000-0000-000046490000}"/>
    <cellStyle name="Normal 11 4" xfId="18828" xr:uid="{00000000-0005-0000-0000-000047490000}"/>
    <cellStyle name="Normal 11 4 2" xfId="18829" xr:uid="{00000000-0005-0000-0000-000048490000}"/>
    <cellStyle name="Normal 11 4 2 2" xfId="18830" xr:uid="{00000000-0005-0000-0000-000049490000}"/>
    <cellStyle name="Normal 11 4 3" xfId="18831" xr:uid="{00000000-0005-0000-0000-00004A490000}"/>
    <cellStyle name="Normal 11 4 3 2" xfId="18832" xr:uid="{00000000-0005-0000-0000-00004B490000}"/>
    <cellStyle name="Normal 11 4 4" xfId="18833" xr:uid="{00000000-0005-0000-0000-00004C490000}"/>
    <cellStyle name="Normal 11 5" xfId="18834" xr:uid="{00000000-0005-0000-0000-00004D490000}"/>
    <cellStyle name="Normal 11 6" xfId="18835" xr:uid="{00000000-0005-0000-0000-00004E490000}"/>
    <cellStyle name="Normal 11 6 2" xfId="18836" xr:uid="{00000000-0005-0000-0000-00004F490000}"/>
    <cellStyle name="Normal 11 6 2 2" xfId="18837" xr:uid="{00000000-0005-0000-0000-000050490000}"/>
    <cellStyle name="Normal 11 6 3" xfId="18838" xr:uid="{00000000-0005-0000-0000-000051490000}"/>
    <cellStyle name="Normal 11 7" xfId="18839" xr:uid="{00000000-0005-0000-0000-000052490000}"/>
    <cellStyle name="Normal 11 7 2" xfId="18840" xr:uid="{00000000-0005-0000-0000-000053490000}"/>
    <cellStyle name="Normal 11 8" xfId="18841" xr:uid="{00000000-0005-0000-0000-000054490000}"/>
    <cellStyle name="Normal 11_MO-CronPerm" xfId="18842" xr:uid="{00000000-0005-0000-0000-000055490000}"/>
    <cellStyle name="Normal 110" xfId="18843" xr:uid="{00000000-0005-0000-0000-000056490000}"/>
    <cellStyle name="Normal 111" xfId="18844" xr:uid="{00000000-0005-0000-0000-000057490000}"/>
    <cellStyle name="Normal 112" xfId="18845" xr:uid="{00000000-0005-0000-0000-000058490000}"/>
    <cellStyle name="Normal 113" xfId="18846" xr:uid="{00000000-0005-0000-0000-000059490000}"/>
    <cellStyle name="Normal 114" xfId="18847" xr:uid="{00000000-0005-0000-0000-00005A490000}"/>
    <cellStyle name="Normal 115" xfId="18848" xr:uid="{00000000-0005-0000-0000-00005B490000}"/>
    <cellStyle name="Normal 116" xfId="18849" xr:uid="{00000000-0005-0000-0000-00005C490000}"/>
    <cellStyle name="Normal 117" xfId="18850" xr:uid="{00000000-0005-0000-0000-00005D490000}"/>
    <cellStyle name="Normal 118" xfId="18851" xr:uid="{00000000-0005-0000-0000-00005E490000}"/>
    <cellStyle name="Normal 119" xfId="18852" xr:uid="{00000000-0005-0000-0000-00005F490000}"/>
    <cellStyle name="Normal 12" xfId="155" xr:uid="{00000000-0005-0000-0000-000060490000}"/>
    <cellStyle name="Normal 12 2" xfId="18853" xr:uid="{00000000-0005-0000-0000-000061490000}"/>
    <cellStyle name="Normal 12 2 2" xfId="18854" xr:uid="{00000000-0005-0000-0000-000062490000}"/>
    <cellStyle name="Normal 12 2 2 2" xfId="18855" xr:uid="{00000000-0005-0000-0000-000063490000}"/>
    <cellStyle name="Normal 12 2 2 2 2" xfId="18856" xr:uid="{00000000-0005-0000-0000-000064490000}"/>
    <cellStyle name="Normal 12 2 2 2 2 2" xfId="18857" xr:uid="{00000000-0005-0000-0000-000065490000}"/>
    <cellStyle name="Normal 12 2 2 2 3" xfId="18858" xr:uid="{00000000-0005-0000-0000-000066490000}"/>
    <cellStyle name="Normal 12 2 2 2 3 2" xfId="18859" xr:uid="{00000000-0005-0000-0000-000067490000}"/>
    <cellStyle name="Normal 12 2 2 2 4" xfId="18860" xr:uid="{00000000-0005-0000-0000-000068490000}"/>
    <cellStyle name="Normal 12 2 2 3" xfId="18861" xr:uid="{00000000-0005-0000-0000-000069490000}"/>
    <cellStyle name="Normal 12 2 2 3 2" xfId="18862" xr:uid="{00000000-0005-0000-0000-00006A490000}"/>
    <cellStyle name="Normal 12 2 2 4" xfId="18863" xr:uid="{00000000-0005-0000-0000-00006B490000}"/>
    <cellStyle name="Normal 12 2 2 4 2" xfId="18864" xr:uid="{00000000-0005-0000-0000-00006C490000}"/>
    <cellStyle name="Normal 12 2 2 5" xfId="18865" xr:uid="{00000000-0005-0000-0000-00006D490000}"/>
    <cellStyle name="Normal 12 2 3" xfId="18866" xr:uid="{00000000-0005-0000-0000-00006E490000}"/>
    <cellStyle name="Normal 12 2 3 2" xfId="18867" xr:uid="{00000000-0005-0000-0000-00006F490000}"/>
    <cellStyle name="Normal 12 2 3 2 2" xfId="18868" xr:uid="{00000000-0005-0000-0000-000070490000}"/>
    <cellStyle name="Normal 12 2 3 3" xfId="18869" xr:uid="{00000000-0005-0000-0000-000071490000}"/>
    <cellStyle name="Normal 12 2 3 3 2" xfId="18870" xr:uid="{00000000-0005-0000-0000-000072490000}"/>
    <cellStyle name="Normal 12 2 3 4" xfId="18871" xr:uid="{00000000-0005-0000-0000-000073490000}"/>
    <cellStyle name="Normal 12 2 4" xfId="18872" xr:uid="{00000000-0005-0000-0000-000074490000}"/>
    <cellStyle name="Normal 12 2 4 2" xfId="18873" xr:uid="{00000000-0005-0000-0000-000075490000}"/>
    <cellStyle name="Normal 12 2 4 2 2" xfId="18874" xr:uid="{00000000-0005-0000-0000-000076490000}"/>
    <cellStyle name="Normal 12 2 4 3" xfId="18875" xr:uid="{00000000-0005-0000-0000-000077490000}"/>
    <cellStyle name="Normal 12 2 5" xfId="18876" xr:uid="{00000000-0005-0000-0000-000078490000}"/>
    <cellStyle name="Normal 12 2 5 2" xfId="18877" xr:uid="{00000000-0005-0000-0000-000079490000}"/>
    <cellStyle name="Normal 12 2 6" xfId="18878" xr:uid="{00000000-0005-0000-0000-00007A490000}"/>
    <cellStyle name="Normal 12 3" xfId="18879" xr:uid="{00000000-0005-0000-0000-00007B490000}"/>
    <cellStyle name="Normal 12 3 2" xfId="18880" xr:uid="{00000000-0005-0000-0000-00007C490000}"/>
    <cellStyle name="Normal 12 3 2 2" xfId="18881" xr:uid="{00000000-0005-0000-0000-00007D490000}"/>
    <cellStyle name="Normal 12 3 2 2 2" xfId="18882" xr:uid="{00000000-0005-0000-0000-00007E490000}"/>
    <cellStyle name="Normal 12 3 2 3" xfId="18883" xr:uid="{00000000-0005-0000-0000-00007F490000}"/>
    <cellStyle name="Normal 12 3 2 3 2" xfId="18884" xr:uid="{00000000-0005-0000-0000-000080490000}"/>
    <cellStyle name="Normal 12 3 2 4" xfId="18885" xr:uid="{00000000-0005-0000-0000-000081490000}"/>
    <cellStyle name="Normal 12 3 3" xfId="18886" xr:uid="{00000000-0005-0000-0000-000082490000}"/>
    <cellStyle name="Normal 12 3 3 2" xfId="18887" xr:uid="{00000000-0005-0000-0000-000083490000}"/>
    <cellStyle name="Normal 12 3 4" xfId="18888" xr:uid="{00000000-0005-0000-0000-000084490000}"/>
    <cellStyle name="Normal 12 3 4 2" xfId="18889" xr:uid="{00000000-0005-0000-0000-000085490000}"/>
    <cellStyle name="Normal 12 3 5" xfId="18890" xr:uid="{00000000-0005-0000-0000-000086490000}"/>
    <cellStyle name="Normal 12 4" xfId="18891" xr:uid="{00000000-0005-0000-0000-000087490000}"/>
    <cellStyle name="Normal 12 4 2" xfId="18892" xr:uid="{00000000-0005-0000-0000-000088490000}"/>
    <cellStyle name="Normal 12 4 2 2" xfId="18893" xr:uid="{00000000-0005-0000-0000-000089490000}"/>
    <cellStyle name="Normal 12 4 3" xfId="18894" xr:uid="{00000000-0005-0000-0000-00008A490000}"/>
    <cellStyle name="Normal 12 4 3 2" xfId="18895" xr:uid="{00000000-0005-0000-0000-00008B490000}"/>
    <cellStyle name="Normal 12 4 4" xfId="18896" xr:uid="{00000000-0005-0000-0000-00008C490000}"/>
    <cellStyle name="Normal 12 5" xfId="18897" xr:uid="{00000000-0005-0000-0000-00008D490000}"/>
    <cellStyle name="Normal 12 6" xfId="18898" xr:uid="{00000000-0005-0000-0000-00008E490000}"/>
    <cellStyle name="Normal 12 6 2" xfId="18899" xr:uid="{00000000-0005-0000-0000-00008F490000}"/>
    <cellStyle name="Normal 12 6 2 2" xfId="18900" xr:uid="{00000000-0005-0000-0000-000090490000}"/>
    <cellStyle name="Normal 12 6 3" xfId="18901" xr:uid="{00000000-0005-0000-0000-000091490000}"/>
    <cellStyle name="Normal 12 7" xfId="18902" xr:uid="{00000000-0005-0000-0000-000092490000}"/>
    <cellStyle name="Normal 12 7 2" xfId="18903" xr:uid="{00000000-0005-0000-0000-000093490000}"/>
    <cellStyle name="Normal 12 8" xfId="18904" xr:uid="{00000000-0005-0000-0000-000094490000}"/>
    <cellStyle name="Normal 120" xfId="18905" xr:uid="{00000000-0005-0000-0000-000095490000}"/>
    <cellStyle name="Normal 121" xfId="18906" xr:uid="{00000000-0005-0000-0000-000096490000}"/>
    <cellStyle name="Normal 122" xfId="18907" xr:uid="{00000000-0005-0000-0000-000097490000}"/>
    <cellStyle name="Normal 123" xfId="18908" xr:uid="{00000000-0005-0000-0000-000098490000}"/>
    <cellStyle name="Normal 124" xfId="18909" xr:uid="{00000000-0005-0000-0000-000099490000}"/>
    <cellStyle name="Normal 125" xfId="18910" xr:uid="{00000000-0005-0000-0000-00009A490000}"/>
    <cellStyle name="Normal 126" xfId="18911" xr:uid="{00000000-0005-0000-0000-00009B490000}"/>
    <cellStyle name="Normal 127" xfId="18912" xr:uid="{00000000-0005-0000-0000-00009C490000}"/>
    <cellStyle name="Normal 128" xfId="18913" xr:uid="{00000000-0005-0000-0000-00009D490000}"/>
    <cellStyle name="Normal 129" xfId="18914" xr:uid="{00000000-0005-0000-0000-00009E490000}"/>
    <cellStyle name="Normal 13" xfId="18915" xr:uid="{00000000-0005-0000-0000-00009F490000}"/>
    <cellStyle name="Normal 13 2" xfId="18916" xr:uid="{00000000-0005-0000-0000-0000A0490000}"/>
    <cellStyle name="Normal 13 2 2" xfId="18917" xr:uid="{00000000-0005-0000-0000-0000A1490000}"/>
    <cellStyle name="Normal 13 2 2 2" xfId="18918" xr:uid="{00000000-0005-0000-0000-0000A2490000}"/>
    <cellStyle name="Normal 13 2 2 2 2" xfId="18919" xr:uid="{00000000-0005-0000-0000-0000A3490000}"/>
    <cellStyle name="Normal 13 2 2 2 2 2" xfId="18920" xr:uid="{00000000-0005-0000-0000-0000A4490000}"/>
    <cellStyle name="Normal 13 2 2 2 3" xfId="18921" xr:uid="{00000000-0005-0000-0000-0000A5490000}"/>
    <cellStyle name="Normal 13 2 2 2 3 2" xfId="18922" xr:uid="{00000000-0005-0000-0000-0000A6490000}"/>
    <cellStyle name="Normal 13 2 2 2 4" xfId="18923" xr:uid="{00000000-0005-0000-0000-0000A7490000}"/>
    <cellStyle name="Normal 13 2 2 3" xfId="18924" xr:uid="{00000000-0005-0000-0000-0000A8490000}"/>
    <cellStyle name="Normal 13 2 2 3 2" xfId="18925" xr:uid="{00000000-0005-0000-0000-0000A9490000}"/>
    <cellStyle name="Normal 13 2 2 4" xfId="18926" xr:uid="{00000000-0005-0000-0000-0000AA490000}"/>
    <cellStyle name="Normal 13 2 2 4 2" xfId="18927" xr:uid="{00000000-0005-0000-0000-0000AB490000}"/>
    <cellStyle name="Normal 13 2 2 5" xfId="18928" xr:uid="{00000000-0005-0000-0000-0000AC490000}"/>
    <cellStyle name="Normal 13 2 3" xfId="18929" xr:uid="{00000000-0005-0000-0000-0000AD490000}"/>
    <cellStyle name="Normal 13 2 3 2" xfId="18930" xr:uid="{00000000-0005-0000-0000-0000AE490000}"/>
    <cellStyle name="Normal 13 2 3 2 2" xfId="18931" xr:uid="{00000000-0005-0000-0000-0000AF490000}"/>
    <cellStyle name="Normal 13 2 3 3" xfId="18932" xr:uid="{00000000-0005-0000-0000-0000B0490000}"/>
    <cellStyle name="Normal 13 2 3 3 2" xfId="18933" xr:uid="{00000000-0005-0000-0000-0000B1490000}"/>
    <cellStyle name="Normal 13 2 3 4" xfId="18934" xr:uid="{00000000-0005-0000-0000-0000B2490000}"/>
    <cellStyle name="Normal 13 2 4" xfId="18935" xr:uid="{00000000-0005-0000-0000-0000B3490000}"/>
    <cellStyle name="Normal 13 2 4 2" xfId="18936" xr:uid="{00000000-0005-0000-0000-0000B4490000}"/>
    <cellStyle name="Normal 13 2 4 2 2" xfId="18937" xr:uid="{00000000-0005-0000-0000-0000B5490000}"/>
    <cellStyle name="Normal 13 2 4 3" xfId="18938" xr:uid="{00000000-0005-0000-0000-0000B6490000}"/>
    <cellStyle name="Normal 13 2 5" xfId="18939" xr:uid="{00000000-0005-0000-0000-0000B7490000}"/>
    <cellStyle name="Normal 13 2 5 2" xfId="18940" xr:uid="{00000000-0005-0000-0000-0000B8490000}"/>
    <cellStyle name="Normal 13 2 6" xfId="18941" xr:uid="{00000000-0005-0000-0000-0000B9490000}"/>
    <cellStyle name="Normal 13 3" xfId="18942" xr:uid="{00000000-0005-0000-0000-0000BA490000}"/>
    <cellStyle name="Normal 13 3 2" xfId="18943" xr:uid="{00000000-0005-0000-0000-0000BB490000}"/>
    <cellStyle name="Normal 13 3 2 2" xfId="18944" xr:uid="{00000000-0005-0000-0000-0000BC490000}"/>
    <cellStyle name="Normal 13 3 2 2 2" xfId="18945" xr:uid="{00000000-0005-0000-0000-0000BD490000}"/>
    <cellStyle name="Normal 13 3 2 3" xfId="18946" xr:uid="{00000000-0005-0000-0000-0000BE490000}"/>
    <cellStyle name="Normal 13 3 2 3 2" xfId="18947" xr:uid="{00000000-0005-0000-0000-0000BF490000}"/>
    <cellStyle name="Normal 13 3 2 4" xfId="18948" xr:uid="{00000000-0005-0000-0000-0000C0490000}"/>
    <cellStyle name="Normal 13 3 3" xfId="18949" xr:uid="{00000000-0005-0000-0000-0000C1490000}"/>
    <cellStyle name="Normal 13 3 3 2" xfId="18950" xr:uid="{00000000-0005-0000-0000-0000C2490000}"/>
    <cellStyle name="Normal 13 3 4" xfId="18951" xr:uid="{00000000-0005-0000-0000-0000C3490000}"/>
    <cellStyle name="Normal 13 3 4 2" xfId="18952" xr:uid="{00000000-0005-0000-0000-0000C4490000}"/>
    <cellStyle name="Normal 13 3 5" xfId="18953" xr:uid="{00000000-0005-0000-0000-0000C5490000}"/>
    <cellStyle name="Normal 13 3_MO-CronPerm" xfId="18954" xr:uid="{00000000-0005-0000-0000-0000C6490000}"/>
    <cellStyle name="Normal 13 4" xfId="18955" xr:uid="{00000000-0005-0000-0000-0000C7490000}"/>
    <cellStyle name="Normal 13 4 2" xfId="18956" xr:uid="{00000000-0005-0000-0000-0000C8490000}"/>
    <cellStyle name="Normal 13 4 2 2" xfId="18957" xr:uid="{00000000-0005-0000-0000-0000C9490000}"/>
    <cellStyle name="Normal 13 4 3" xfId="18958" xr:uid="{00000000-0005-0000-0000-0000CA490000}"/>
    <cellStyle name="Normal 13 4 3 2" xfId="18959" xr:uid="{00000000-0005-0000-0000-0000CB490000}"/>
    <cellStyle name="Normal 13 4 4" xfId="18960" xr:uid="{00000000-0005-0000-0000-0000CC490000}"/>
    <cellStyle name="Normal 13 5" xfId="18961" xr:uid="{00000000-0005-0000-0000-0000CD490000}"/>
    <cellStyle name="Normal 13 6" xfId="18962" xr:uid="{00000000-0005-0000-0000-0000CE490000}"/>
    <cellStyle name="Normal 13 6 2" xfId="18963" xr:uid="{00000000-0005-0000-0000-0000CF490000}"/>
    <cellStyle name="Normal 13 6 2 2" xfId="18964" xr:uid="{00000000-0005-0000-0000-0000D0490000}"/>
    <cellStyle name="Normal 13 6 3" xfId="18965" xr:uid="{00000000-0005-0000-0000-0000D1490000}"/>
    <cellStyle name="Normal 13 7" xfId="18966" xr:uid="{00000000-0005-0000-0000-0000D2490000}"/>
    <cellStyle name="Normal 13 7 2" xfId="18967" xr:uid="{00000000-0005-0000-0000-0000D3490000}"/>
    <cellStyle name="Normal 13 8" xfId="18968" xr:uid="{00000000-0005-0000-0000-0000D4490000}"/>
    <cellStyle name="Normal 13_MO-CronPerm" xfId="18969" xr:uid="{00000000-0005-0000-0000-0000D5490000}"/>
    <cellStyle name="Normal 130" xfId="18970" xr:uid="{00000000-0005-0000-0000-0000D6490000}"/>
    <cellStyle name="Normal 131" xfId="18971" xr:uid="{00000000-0005-0000-0000-0000D7490000}"/>
    <cellStyle name="Normal 132" xfId="18972" xr:uid="{00000000-0005-0000-0000-0000D8490000}"/>
    <cellStyle name="Normal 133" xfId="18973" xr:uid="{00000000-0005-0000-0000-0000D9490000}"/>
    <cellStyle name="Normal 134" xfId="18974" xr:uid="{00000000-0005-0000-0000-0000DA490000}"/>
    <cellStyle name="Normal 135" xfId="18975" xr:uid="{00000000-0005-0000-0000-0000DB490000}"/>
    <cellStyle name="Normal 136" xfId="18976" xr:uid="{00000000-0005-0000-0000-0000DC490000}"/>
    <cellStyle name="Normal 137" xfId="18977" xr:uid="{00000000-0005-0000-0000-0000DD490000}"/>
    <cellStyle name="Normal 138" xfId="18978" xr:uid="{00000000-0005-0000-0000-0000DE490000}"/>
    <cellStyle name="Normal 139" xfId="18979" xr:uid="{00000000-0005-0000-0000-0000DF490000}"/>
    <cellStyle name="Normal 14" xfId="18980" xr:uid="{00000000-0005-0000-0000-0000E0490000}"/>
    <cellStyle name="Normal 14 2" xfId="18981" xr:uid="{00000000-0005-0000-0000-0000E1490000}"/>
    <cellStyle name="Normal 14 2 2" xfId="18982" xr:uid="{00000000-0005-0000-0000-0000E2490000}"/>
    <cellStyle name="Normal 14 2 2 2" xfId="18983" xr:uid="{00000000-0005-0000-0000-0000E3490000}"/>
    <cellStyle name="Normal 14 2 2 2 2" xfId="18984" xr:uid="{00000000-0005-0000-0000-0000E4490000}"/>
    <cellStyle name="Normal 14 2 2 2 2 2" xfId="18985" xr:uid="{00000000-0005-0000-0000-0000E5490000}"/>
    <cellStyle name="Normal 14 2 2 2 3" xfId="18986" xr:uid="{00000000-0005-0000-0000-0000E6490000}"/>
    <cellStyle name="Normal 14 2 2 2 3 2" xfId="18987" xr:uid="{00000000-0005-0000-0000-0000E7490000}"/>
    <cellStyle name="Normal 14 2 2 2 4" xfId="18988" xr:uid="{00000000-0005-0000-0000-0000E8490000}"/>
    <cellStyle name="Normal 14 2 2 3" xfId="18989" xr:uid="{00000000-0005-0000-0000-0000E9490000}"/>
    <cellStyle name="Normal 14 2 2 3 2" xfId="18990" xr:uid="{00000000-0005-0000-0000-0000EA490000}"/>
    <cellStyle name="Normal 14 2 2 4" xfId="18991" xr:uid="{00000000-0005-0000-0000-0000EB490000}"/>
    <cellStyle name="Normal 14 2 2 4 2" xfId="18992" xr:uid="{00000000-0005-0000-0000-0000EC490000}"/>
    <cellStyle name="Normal 14 2 2 5" xfId="18993" xr:uid="{00000000-0005-0000-0000-0000ED490000}"/>
    <cellStyle name="Normal 14 2 2_MO-CronPerm" xfId="18994" xr:uid="{00000000-0005-0000-0000-0000EE490000}"/>
    <cellStyle name="Normal 14 2 3" xfId="18995" xr:uid="{00000000-0005-0000-0000-0000EF490000}"/>
    <cellStyle name="Normal 14 2 3 2" xfId="18996" xr:uid="{00000000-0005-0000-0000-0000F0490000}"/>
    <cellStyle name="Normal 14 2 3 2 2" xfId="18997" xr:uid="{00000000-0005-0000-0000-0000F1490000}"/>
    <cellStyle name="Normal 14 2 3 3" xfId="18998" xr:uid="{00000000-0005-0000-0000-0000F2490000}"/>
    <cellStyle name="Normal 14 2 3 3 2" xfId="18999" xr:uid="{00000000-0005-0000-0000-0000F3490000}"/>
    <cellStyle name="Normal 14 2 3 4" xfId="19000" xr:uid="{00000000-0005-0000-0000-0000F4490000}"/>
    <cellStyle name="Normal 14 2 4" xfId="19001" xr:uid="{00000000-0005-0000-0000-0000F5490000}"/>
    <cellStyle name="Normal 14 2 4 2" xfId="19002" xr:uid="{00000000-0005-0000-0000-0000F6490000}"/>
    <cellStyle name="Normal 14 2 4 2 2" xfId="19003" xr:uid="{00000000-0005-0000-0000-0000F7490000}"/>
    <cellStyle name="Normal 14 2 4 3" xfId="19004" xr:uid="{00000000-0005-0000-0000-0000F8490000}"/>
    <cellStyle name="Normal 14 2 5" xfId="19005" xr:uid="{00000000-0005-0000-0000-0000F9490000}"/>
    <cellStyle name="Normal 14 2 5 2" xfId="19006" xr:uid="{00000000-0005-0000-0000-0000FA490000}"/>
    <cellStyle name="Normal 14 2 6" xfId="19007" xr:uid="{00000000-0005-0000-0000-0000FB490000}"/>
    <cellStyle name="Normal 14 2_MO-CronPerm" xfId="19008" xr:uid="{00000000-0005-0000-0000-0000FC490000}"/>
    <cellStyle name="Normal 14 3" xfId="19009" xr:uid="{00000000-0005-0000-0000-0000FD490000}"/>
    <cellStyle name="Normal 14 3 2" xfId="19010" xr:uid="{00000000-0005-0000-0000-0000FE490000}"/>
    <cellStyle name="Normal 14 3 2 2" xfId="19011" xr:uid="{00000000-0005-0000-0000-0000FF490000}"/>
    <cellStyle name="Normal 14 3 2 2 2" xfId="19012" xr:uid="{00000000-0005-0000-0000-0000004A0000}"/>
    <cellStyle name="Normal 14 3 2 3" xfId="19013" xr:uid="{00000000-0005-0000-0000-0000014A0000}"/>
    <cellStyle name="Normal 14 3 2 3 2" xfId="19014" xr:uid="{00000000-0005-0000-0000-0000024A0000}"/>
    <cellStyle name="Normal 14 3 2 4" xfId="19015" xr:uid="{00000000-0005-0000-0000-0000034A0000}"/>
    <cellStyle name="Normal 14 3 3" xfId="19016" xr:uid="{00000000-0005-0000-0000-0000044A0000}"/>
    <cellStyle name="Normal 14 3 3 2" xfId="19017" xr:uid="{00000000-0005-0000-0000-0000054A0000}"/>
    <cellStyle name="Normal 14 3 4" xfId="19018" xr:uid="{00000000-0005-0000-0000-0000064A0000}"/>
    <cellStyle name="Normal 14 3 4 2" xfId="19019" xr:uid="{00000000-0005-0000-0000-0000074A0000}"/>
    <cellStyle name="Normal 14 3 5" xfId="19020" xr:uid="{00000000-0005-0000-0000-0000084A0000}"/>
    <cellStyle name="Normal 14 4" xfId="19021" xr:uid="{00000000-0005-0000-0000-0000094A0000}"/>
    <cellStyle name="Normal 14 4 2" xfId="19022" xr:uid="{00000000-0005-0000-0000-00000A4A0000}"/>
    <cellStyle name="Normal 14 4 2 2" xfId="19023" xr:uid="{00000000-0005-0000-0000-00000B4A0000}"/>
    <cellStyle name="Normal 14 4 3" xfId="19024" xr:uid="{00000000-0005-0000-0000-00000C4A0000}"/>
    <cellStyle name="Normal 14 4 3 2" xfId="19025" xr:uid="{00000000-0005-0000-0000-00000D4A0000}"/>
    <cellStyle name="Normal 14 4 4" xfId="19026" xr:uid="{00000000-0005-0000-0000-00000E4A0000}"/>
    <cellStyle name="Normal 14 5" xfId="19027" xr:uid="{00000000-0005-0000-0000-00000F4A0000}"/>
    <cellStyle name="Normal 14 6" xfId="19028" xr:uid="{00000000-0005-0000-0000-0000104A0000}"/>
    <cellStyle name="Normal 14 6 2" xfId="19029" xr:uid="{00000000-0005-0000-0000-0000114A0000}"/>
    <cellStyle name="Normal 14 6 2 2" xfId="19030" xr:uid="{00000000-0005-0000-0000-0000124A0000}"/>
    <cellStyle name="Normal 14 6 3" xfId="19031" xr:uid="{00000000-0005-0000-0000-0000134A0000}"/>
    <cellStyle name="Normal 14 7" xfId="19032" xr:uid="{00000000-0005-0000-0000-0000144A0000}"/>
    <cellStyle name="Normal 14 7 2" xfId="19033" xr:uid="{00000000-0005-0000-0000-0000154A0000}"/>
    <cellStyle name="Normal 14 8" xfId="19034" xr:uid="{00000000-0005-0000-0000-0000164A0000}"/>
    <cellStyle name="Normal 140" xfId="19035" xr:uid="{00000000-0005-0000-0000-0000174A0000}"/>
    <cellStyle name="Normal 141" xfId="19036" xr:uid="{00000000-0005-0000-0000-0000184A0000}"/>
    <cellStyle name="Normal 142" xfId="19037" xr:uid="{00000000-0005-0000-0000-0000194A0000}"/>
    <cellStyle name="Normal 143" xfId="19038" xr:uid="{00000000-0005-0000-0000-00001A4A0000}"/>
    <cellStyle name="Normal 144" xfId="19039" xr:uid="{00000000-0005-0000-0000-00001B4A0000}"/>
    <cellStyle name="Normal 145" xfId="19040" xr:uid="{00000000-0005-0000-0000-00001C4A0000}"/>
    <cellStyle name="Normal 146" xfId="19041" xr:uid="{00000000-0005-0000-0000-00001D4A0000}"/>
    <cellStyle name="Normal 147" xfId="19042" xr:uid="{00000000-0005-0000-0000-00001E4A0000}"/>
    <cellStyle name="Normal 148" xfId="19043" xr:uid="{00000000-0005-0000-0000-00001F4A0000}"/>
    <cellStyle name="Normal 149" xfId="19044" xr:uid="{00000000-0005-0000-0000-0000204A0000}"/>
    <cellStyle name="Normal 15" xfId="19045" xr:uid="{00000000-0005-0000-0000-0000214A0000}"/>
    <cellStyle name="Normal 15 2" xfId="19046" xr:uid="{00000000-0005-0000-0000-0000224A0000}"/>
    <cellStyle name="Normal 15 2 2" xfId="19047" xr:uid="{00000000-0005-0000-0000-0000234A0000}"/>
    <cellStyle name="Normal 15 3" xfId="19048" xr:uid="{00000000-0005-0000-0000-0000244A0000}"/>
    <cellStyle name="Normal 15 3 2" xfId="19049" xr:uid="{00000000-0005-0000-0000-0000254A0000}"/>
    <cellStyle name="Normal 15 3 2 2" xfId="19050" xr:uid="{00000000-0005-0000-0000-0000264A0000}"/>
    <cellStyle name="Normal 15 3 2 2 2" xfId="19051" xr:uid="{00000000-0005-0000-0000-0000274A0000}"/>
    <cellStyle name="Normal 15 3 2 2 2 2" xfId="19052" xr:uid="{00000000-0005-0000-0000-0000284A0000}"/>
    <cellStyle name="Normal 15 3 2 2 3" xfId="19053" xr:uid="{00000000-0005-0000-0000-0000294A0000}"/>
    <cellStyle name="Normal 15 3 2 2 3 2" xfId="19054" xr:uid="{00000000-0005-0000-0000-00002A4A0000}"/>
    <cellStyle name="Normal 15 3 2 2 4" xfId="19055" xr:uid="{00000000-0005-0000-0000-00002B4A0000}"/>
    <cellStyle name="Normal 15 3 2 3" xfId="19056" xr:uid="{00000000-0005-0000-0000-00002C4A0000}"/>
    <cellStyle name="Normal 15 3 2 3 2" xfId="19057" xr:uid="{00000000-0005-0000-0000-00002D4A0000}"/>
    <cellStyle name="Normal 15 3 2 4" xfId="19058" xr:uid="{00000000-0005-0000-0000-00002E4A0000}"/>
    <cellStyle name="Normal 15 3 2 4 2" xfId="19059" xr:uid="{00000000-0005-0000-0000-00002F4A0000}"/>
    <cellStyle name="Normal 15 3 2 5" xfId="19060" xr:uid="{00000000-0005-0000-0000-0000304A0000}"/>
    <cellStyle name="Normal 15 3 3" xfId="19061" xr:uid="{00000000-0005-0000-0000-0000314A0000}"/>
    <cellStyle name="Normal 15 3 3 2" xfId="19062" xr:uid="{00000000-0005-0000-0000-0000324A0000}"/>
    <cellStyle name="Normal 15 3 3 2 2" xfId="19063" xr:uid="{00000000-0005-0000-0000-0000334A0000}"/>
    <cellStyle name="Normal 15 3 3 3" xfId="19064" xr:uid="{00000000-0005-0000-0000-0000344A0000}"/>
    <cellStyle name="Normal 15 3 3 3 2" xfId="19065" xr:uid="{00000000-0005-0000-0000-0000354A0000}"/>
    <cellStyle name="Normal 15 3 3 4" xfId="19066" xr:uid="{00000000-0005-0000-0000-0000364A0000}"/>
    <cellStyle name="Normal 15 3 4" xfId="19067" xr:uid="{00000000-0005-0000-0000-0000374A0000}"/>
    <cellStyle name="Normal 15 3 4 2" xfId="19068" xr:uid="{00000000-0005-0000-0000-0000384A0000}"/>
    <cellStyle name="Normal 15 3 4 2 2" xfId="19069" xr:uid="{00000000-0005-0000-0000-0000394A0000}"/>
    <cellStyle name="Normal 15 3 4 3" xfId="19070" xr:uid="{00000000-0005-0000-0000-00003A4A0000}"/>
    <cellStyle name="Normal 15 3 5" xfId="19071" xr:uid="{00000000-0005-0000-0000-00003B4A0000}"/>
    <cellStyle name="Normal 15 3 5 2" xfId="19072" xr:uid="{00000000-0005-0000-0000-00003C4A0000}"/>
    <cellStyle name="Normal 15 3 6" xfId="19073" xr:uid="{00000000-0005-0000-0000-00003D4A0000}"/>
    <cellStyle name="Normal 15 4" xfId="19074" xr:uid="{00000000-0005-0000-0000-00003E4A0000}"/>
    <cellStyle name="Normal 15 4 2" xfId="19075" xr:uid="{00000000-0005-0000-0000-00003F4A0000}"/>
    <cellStyle name="Normal 15 4 2 2" xfId="19076" xr:uid="{00000000-0005-0000-0000-0000404A0000}"/>
    <cellStyle name="Normal 15 4 2 2 2" xfId="19077" xr:uid="{00000000-0005-0000-0000-0000414A0000}"/>
    <cellStyle name="Normal 15 4 2 3" xfId="19078" xr:uid="{00000000-0005-0000-0000-0000424A0000}"/>
    <cellStyle name="Normal 15 4 2 3 2" xfId="19079" xr:uid="{00000000-0005-0000-0000-0000434A0000}"/>
    <cellStyle name="Normal 15 4 2 4" xfId="19080" xr:uid="{00000000-0005-0000-0000-0000444A0000}"/>
    <cellStyle name="Normal 15 4 3" xfId="19081" xr:uid="{00000000-0005-0000-0000-0000454A0000}"/>
    <cellStyle name="Normal 15 4 3 2" xfId="19082" xr:uid="{00000000-0005-0000-0000-0000464A0000}"/>
    <cellStyle name="Normal 15 4 4" xfId="19083" xr:uid="{00000000-0005-0000-0000-0000474A0000}"/>
    <cellStyle name="Normal 15 4 4 2" xfId="19084" xr:uid="{00000000-0005-0000-0000-0000484A0000}"/>
    <cellStyle name="Normal 15 4 5" xfId="19085" xr:uid="{00000000-0005-0000-0000-0000494A0000}"/>
    <cellStyle name="Normal 15 5" xfId="19086" xr:uid="{00000000-0005-0000-0000-00004A4A0000}"/>
    <cellStyle name="Normal 15 5 2" xfId="19087" xr:uid="{00000000-0005-0000-0000-00004B4A0000}"/>
    <cellStyle name="Normal 15 5 2 2" xfId="19088" xr:uid="{00000000-0005-0000-0000-00004C4A0000}"/>
    <cellStyle name="Normal 15 5 3" xfId="19089" xr:uid="{00000000-0005-0000-0000-00004D4A0000}"/>
    <cellStyle name="Normal 15 5 3 2" xfId="19090" xr:uid="{00000000-0005-0000-0000-00004E4A0000}"/>
    <cellStyle name="Normal 15 5 4" xfId="19091" xr:uid="{00000000-0005-0000-0000-00004F4A0000}"/>
    <cellStyle name="Normal 15 6" xfId="19092" xr:uid="{00000000-0005-0000-0000-0000504A0000}"/>
    <cellStyle name="Normal 15 7" xfId="19093" xr:uid="{00000000-0005-0000-0000-0000514A0000}"/>
    <cellStyle name="Normal 15 7 2" xfId="19094" xr:uid="{00000000-0005-0000-0000-0000524A0000}"/>
    <cellStyle name="Normal 15 7 2 2" xfId="19095" xr:uid="{00000000-0005-0000-0000-0000534A0000}"/>
    <cellStyle name="Normal 15 7 3" xfId="19096" xr:uid="{00000000-0005-0000-0000-0000544A0000}"/>
    <cellStyle name="Normal 15 8" xfId="19097" xr:uid="{00000000-0005-0000-0000-0000554A0000}"/>
    <cellStyle name="Normal 15 8 2" xfId="19098" xr:uid="{00000000-0005-0000-0000-0000564A0000}"/>
    <cellStyle name="Normal 15 9" xfId="19099" xr:uid="{00000000-0005-0000-0000-0000574A0000}"/>
    <cellStyle name="Normal 150" xfId="19100" xr:uid="{00000000-0005-0000-0000-0000584A0000}"/>
    <cellStyle name="Normal 151" xfId="19101" xr:uid="{00000000-0005-0000-0000-0000594A0000}"/>
    <cellStyle name="Normal 152" xfId="19102" xr:uid="{00000000-0005-0000-0000-00005A4A0000}"/>
    <cellStyle name="Normal 153" xfId="19103" xr:uid="{00000000-0005-0000-0000-00005B4A0000}"/>
    <cellStyle name="Normal 154" xfId="19104" xr:uid="{00000000-0005-0000-0000-00005C4A0000}"/>
    <cellStyle name="Normal 155" xfId="19105" xr:uid="{00000000-0005-0000-0000-00005D4A0000}"/>
    <cellStyle name="Normal 156" xfId="19106" xr:uid="{00000000-0005-0000-0000-00005E4A0000}"/>
    <cellStyle name="Normal 157" xfId="19107" xr:uid="{00000000-0005-0000-0000-00005F4A0000}"/>
    <cellStyle name="Normal 158" xfId="19108" xr:uid="{00000000-0005-0000-0000-0000604A0000}"/>
    <cellStyle name="Normal 159" xfId="19109" xr:uid="{00000000-0005-0000-0000-0000614A0000}"/>
    <cellStyle name="Normal 16" xfId="20" xr:uid="{00000000-0005-0000-0000-0000624A0000}"/>
    <cellStyle name="Normal 16 2" xfId="19110" xr:uid="{00000000-0005-0000-0000-0000634A0000}"/>
    <cellStyle name="Normal 16 2 2" xfId="19111" xr:uid="{00000000-0005-0000-0000-0000644A0000}"/>
    <cellStyle name="Normal 16 2_MO-CronPerm" xfId="19112" xr:uid="{00000000-0005-0000-0000-0000654A0000}"/>
    <cellStyle name="Normal 16 3" xfId="19113" xr:uid="{00000000-0005-0000-0000-0000664A0000}"/>
    <cellStyle name="Normal 16_MO-CronPerm" xfId="19114" xr:uid="{00000000-0005-0000-0000-0000674A0000}"/>
    <cellStyle name="Normal 160" xfId="19115" xr:uid="{00000000-0005-0000-0000-0000684A0000}"/>
    <cellStyle name="Normal 161" xfId="19116" xr:uid="{00000000-0005-0000-0000-0000694A0000}"/>
    <cellStyle name="Normal 162" xfId="19117" xr:uid="{00000000-0005-0000-0000-00006A4A0000}"/>
    <cellStyle name="Normal 163" xfId="19118" xr:uid="{00000000-0005-0000-0000-00006B4A0000}"/>
    <cellStyle name="Normal 164" xfId="19119" xr:uid="{00000000-0005-0000-0000-00006C4A0000}"/>
    <cellStyle name="Normal 165" xfId="19120" xr:uid="{00000000-0005-0000-0000-00006D4A0000}"/>
    <cellStyle name="Normal 166" xfId="19121" xr:uid="{00000000-0005-0000-0000-00006E4A0000}"/>
    <cellStyle name="Normal 167" xfId="19122" xr:uid="{00000000-0005-0000-0000-00006F4A0000}"/>
    <cellStyle name="Normal 168" xfId="19123" xr:uid="{00000000-0005-0000-0000-0000704A0000}"/>
    <cellStyle name="Normal 169" xfId="19124" xr:uid="{00000000-0005-0000-0000-0000714A0000}"/>
    <cellStyle name="Normal 17" xfId="19125" xr:uid="{00000000-0005-0000-0000-0000724A0000}"/>
    <cellStyle name="Normal 17 2" xfId="19126" xr:uid="{00000000-0005-0000-0000-0000734A0000}"/>
    <cellStyle name="Normal 17 2 2" xfId="19127" xr:uid="{00000000-0005-0000-0000-0000744A0000}"/>
    <cellStyle name="Normal 17 2 2 2" xfId="19128" xr:uid="{00000000-0005-0000-0000-0000754A0000}"/>
    <cellStyle name="Normal 17 2 2 2 2" xfId="19129" xr:uid="{00000000-0005-0000-0000-0000764A0000}"/>
    <cellStyle name="Normal 17 2 2 3" xfId="19130" xr:uid="{00000000-0005-0000-0000-0000774A0000}"/>
    <cellStyle name="Normal 17 2 2 3 2" xfId="19131" xr:uid="{00000000-0005-0000-0000-0000784A0000}"/>
    <cellStyle name="Normal 17 2 2 4" xfId="19132" xr:uid="{00000000-0005-0000-0000-0000794A0000}"/>
    <cellStyle name="Normal 17 2 3" xfId="19133" xr:uid="{00000000-0005-0000-0000-00007A4A0000}"/>
    <cellStyle name="Normal 17 2 3 2" xfId="19134" xr:uid="{00000000-0005-0000-0000-00007B4A0000}"/>
    <cellStyle name="Normal 17 2 4" xfId="19135" xr:uid="{00000000-0005-0000-0000-00007C4A0000}"/>
    <cellStyle name="Normal 17 2 4 2" xfId="19136" xr:uid="{00000000-0005-0000-0000-00007D4A0000}"/>
    <cellStyle name="Normal 17 2 5" xfId="19137" xr:uid="{00000000-0005-0000-0000-00007E4A0000}"/>
    <cellStyle name="Normal 17 2_MO-CronPerm" xfId="19138" xr:uid="{00000000-0005-0000-0000-00007F4A0000}"/>
    <cellStyle name="Normal 17 3" xfId="19139" xr:uid="{00000000-0005-0000-0000-0000804A0000}"/>
    <cellStyle name="Normal 17 3 2" xfId="19140" xr:uid="{00000000-0005-0000-0000-0000814A0000}"/>
    <cellStyle name="Normal 17 3 2 2" xfId="19141" xr:uid="{00000000-0005-0000-0000-0000824A0000}"/>
    <cellStyle name="Normal 17 3 3" xfId="19142" xr:uid="{00000000-0005-0000-0000-0000834A0000}"/>
    <cellStyle name="Normal 17 3 3 2" xfId="19143" xr:uid="{00000000-0005-0000-0000-0000844A0000}"/>
    <cellStyle name="Normal 17 3 4" xfId="19144" xr:uid="{00000000-0005-0000-0000-0000854A0000}"/>
    <cellStyle name="Normal 17 4" xfId="19145" xr:uid="{00000000-0005-0000-0000-0000864A0000}"/>
    <cellStyle name="Normal 17 5" xfId="19146" xr:uid="{00000000-0005-0000-0000-0000874A0000}"/>
    <cellStyle name="Normal 17 5 2" xfId="19147" xr:uid="{00000000-0005-0000-0000-0000884A0000}"/>
    <cellStyle name="Normal 17 5 2 2" xfId="19148" xr:uid="{00000000-0005-0000-0000-0000894A0000}"/>
    <cellStyle name="Normal 17 5 3" xfId="19149" xr:uid="{00000000-0005-0000-0000-00008A4A0000}"/>
    <cellStyle name="Normal 17 6" xfId="19150" xr:uid="{00000000-0005-0000-0000-00008B4A0000}"/>
    <cellStyle name="Normal 17 6 2" xfId="19151" xr:uid="{00000000-0005-0000-0000-00008C4A0000}"/>
    <cellStyle name="Normal 17 7" xfId="19152" xr:uid="{00000000-0005-0000-0000-00008D4A0000}"/>
    <cellStyle name="Normal 17_MO-CronPerm" xfId="19153" xr:uid="{00000000-0005-0000-0000-00008E4A0000}"/>
    <cellStyle name="Normal 170" xfId="19154" xr:uid="{00000000-0005-0000-0000-00008F4A0000}"/>
    <cellStyle name="Normal 171" xfId="19155" xr:uid="{00000000-0005-0000-0000-0000904A0000}"/>
    <cellStyle name="Normal 172" xfId="19156" xr:uid="{00000000-0005-0000-0000-0000914A0000}"/>
    <cellStyle name="Normal 173" xfId="19157" xr:uid="{00000000-0005-0000-0000-0000924A0000}"/>
    <cellStyle name="Normal 174" xfId="19158" xr:uid="{00000000-0005-0000-0000-0000934A0000}"/>
    <cellStyle name="Normal 175" xfId="19159" xr:uid="{00000000-0005-0000-0000-0000944A0000}"/>
    <cellStyle name="Normal 176" xfId="19160" xr:uid="{00000000-0005-0000-0000-0000954A0000}"/>
    <cellStyle name="Normal 177" xfId="19161" xr:uid="{00000000-0005-0000-0000-0000964A0000}"/>
    <cellStyle name="Normal 178" xfId="19162" xr:uid="{00000000-0005-0000-0000-0000974A0000}"/>
    <cellStyle name="Normal 179" xfId="19163" xr:uid="{00000000-0005-0000-0000-0000984A0000}"/>
    <cellStyle name="Normal 18" xfId="19164" xr:uid="{00000000-0005-0000-0000-0000994A0000}"/>
    <cellStyle name="Normal 18 2" xfId="19165" xr:uid="{00000000-0005-0000-0000-00009A4A0000}"/>
    <cellStyle name="Normal 18 2 2" xfId="19166" xr:uid="{00000000-0005-0000-0000-00009B4A0000}"/>
    <cellStyle name="Normal 18 2 2 2" xfId="19167" xr:uid="{00000000-0005-0000-0000-00009C4A0000}"/>
    <cellStyle name="Normal 18 2 2 2 2" xfId="19168" xr:uid="{00000000-0005-0000-0000-00009D4A0000}"/>
    <cellStyle name="Normal 18 2 2 3" xfId="19169" xr:uid="{00000000-0005-0000-0000-00009E4A0000}"/>
    <cellStyle name="Normal 18 2 2 3 2" xfId="19170" xr:uid="{00000000-0005-0000-0000-00009F4A0000}"/>
    <cellStyle name="Normal 18 2 2 4" xfId="19171" xr:uid="{00000000-0005-0000-0000-0000A04A0000}"/>
    <cellStyle name="Normal 18 2 3" xfId="19172" xr:uid="{00000000-0005-0000-0000-0000A14A0000}"/>
    <cellStyle name="Normal 18 2 3 2" xfId="19173" xr:uid="{00000000-0005-0000-0000-0000A24A0000}"/>
    <cellStyle name="Normal 18 2 4" xfId="19174" xr:uid="{00000000-0005-0000-0000-0000A34A0000}"/>
    <cellStyle name="Normal 18 2 4 2" xfId="19175" xr:uid="{00000000-0005-0000-0000-0000A44A0000}"/>
    <cellStyle name="Normal 18 2 5" xfId="19176" xr:uid="{00000000-0005-0000-0000-0000A54A0000}"/>
    <cellStyle name="Normal 18 2_MO-CronPerm" xfId="19177" xr:uid="{00000000-0005-0000-0000-0000A64A0000}"/>
    <cellStyle name="Normal 18 3" xfId="19178" xr:uid="{00000000-0005-0000-0000-0000A74A0000}"/>
    <cellStyle name="Normal 18 3 2" xfId="19179" xr:uid="{00000000-0005-0000-0000-0000A84A0000}"/>
    <cellStyle name="Normal 18 3 2 2" xfId="19180" xr:uid="{00000000-0005-0000-0000-0000A94A0000}"/>
    <cellStyle name="Normal 18 3 3" xfId="19181" xr:uid="{00000000-0005-0000-0000-0000AA4A0000}"/>
    <cellStyle name="Normal 18 3 3 2" xfId="19182" xr:uid="{00000000-0005-0000-0000-0000AB4A0000}"/>
    <cellStyle name="Normal 18 3 4" xfId="19183" xr:uid="{00000000-0005-0000-0000-0000AC4A0000}"/>
    <cellStyle name="Normal 18 4" xfId="19184" xr:uid="{00000000-0005-0000-0000-0000AD4A0000}"/>
    <cellStyle name="Normal 18 5" xfId="19185" xr:uid="{00000000-0005-0000-0000-0000AE4A0000}"/>
    <cellStyle name="Normal 18 5 2" xfId="19186" xr:uid="{00000000-0005-0000-0000-0000AF4A0000}"/>
    <cellStyle name="Normal 18 6" xfId="19187" xr:uid="{00000000-0005-0000-0000-0000B04A0000}"/>
    <cellStyle name="Normal 18_MO-CronPerm" xfId="19188" xr:uid="{00000000-0005-0000-0000-0000B14A0000}"/>
    <cellStyle name="Normal 180" xfId="19189" xr:uid="{00000000-0005-0000-0000-0000B24A0000}"/>
    <cellStyle name="Normal 181" xfId="19190" xr:uid="{00000000-0005-0000-0000-0000B34A0000}"/>
    <cellStyle name="Normal 182" xfId="19191" xr:uid="{00000000-0005-0000-0000-0000B44A0000}"/>
    <cellStyle name="Normal 183" xfId="19192" xr:uid="{00000000-0005-0000-0000-0000B54A0000}"/>
    <cellStyle name="Normal 184" xfId="19193" xr:uid="{00000000-0005-0000-0000-0000B64A0000}"/>
    <cellStyle name="Normal 185" xfId="19194" xr:uid="{00000000-0005-0000-0000-0000B74A0000}"/>
    <cellStyle name="Normal 186" xfId="19195" xr:uid="{00000000-0005-0000-0000-0000B84A0000}"/>
    <cellStyle name="Normal 187" xfId="19196" xr:uid="{00000000-0005-0000-0000-0000B94A0000}"/>
    <cellStyle name="Normal 188" xfId="19197" xr:uid="{00000000-0005-0000-0000-0000BA4A0000}"/>
    <cellStyle name="Normal 189" xfId="19198" xr:uid="{00000000-0005-0000-0000-0000BB4A0000}"/>
    <cellStyle name="Normal 19" xfId="19199" xr:uid="{00000000-0005-0000-0000-0000BC4A0000}"/>
    <cellStyle name="Normal 19 2" xfId="19200" xr:uid="{00000000-0005-0000-0000-0000BD4A0000}"/>
    <cellStyle name="Normal 19 2 2" xfId="19201" xr:uid="{00000000-0005-0000-0000-0000BE4A0000}"/>
    <cellStyle name="Normal 19 2 2 2" xfId="19202" xr:uid="{00000000-0005-0000-0000-0000BF4A0000}"/>
    <cellStyle name="Normal 19 2 3" xfId="19203" xr:uid="{00000000-0005-0000-0000-0000C04A0000}"/>
    <cellStyle name="Normal 19 2 3 2" xfId="19204" xr:uid="{00000000-0005-0000-0000-0000C14A0000}"/>
    <cellStyle name="Normal 19 2 4" xfId="19205" xr:uid="{00000000-0005-0000-0000-0000C24A0000}"/>
    <cellStyle name="Normal 19 2_MO-CronPerm" xfId="19206" xr:uid="{00000000-0005-0000-0000-0000C34A0000}"/>
    <cellStyle name="Normal 19 3" xfId="19207" xr:uid="{00000000-0005-0000-0000-0000C44A0000}"/>
    <cellStyle name="Normal 19 3 2" xfId="19208" xr:uid="{00000000-0005-0000-0000-0000C54A0000}"/>
    <cellStyle name="Normal 19 3 2 2" xfId="19209" xr:uid="{00000000-0005-0000-0000-0000C64A0000}"/>
    <cellStyle name="Normal 19 3 3" xfId="19210" xr:uid="{00000000-0005-0000-0000-0000C74A0000}"/>
    <cellStyle name="Normal 19 3 3 2" xfId="19211" xr:uid="{00000000-0005-0000-0000-0000C84A0000}"/>
    <cellStyle name="Normal 19 3 4" xfId="19212" xr:uid="{00000000-0005-0000-0000-0000C94A0000}"/>
    <cellStyle name="Normal 19 4" xfId="19213" xr:uid="{00000000-0005-0000-0000-0000CA4A0000}"/>
    <cellStyle name="Normal 19 5" xfId="19214" xr:uid="{00000000-0005-0000-0000-0000CB4A0000}"/>
    <cellStyle name="Normal 19 5 2" xfId="19215" xr:uid="{00000000-0005-0000-0000-0000CC4A0000}"/>
    <cellStyle name="Normal 19 6" xfId="19216" xr:uid="{00000000-0005-0000-0000-0000CD4A0000}"/>
    <cellStyle name="Normal 19_MO-CronPerm" xfId="19217" xr:uid="{00000000-0005-0000-0000-0000CE4A0000}"/>
    <cellStyle name="Normal 190" xfId="19218" xr:uid="{00000000-0005-0000-0000-0000CF4A0000}"/>
    <cellStyle name="Normal 191" xfId="19219" xr:uid="{00000000-0005-0000-0000-0000D04A0000}"/>
    <cellStyle name="Normal 192" xfId="19220" xr:uid="{00000000-0005-0000-0000-0000D14A0000}"/>
    <cellStyle name="Normal 193" xfId="19221" xr:uid="{00000000-0005-0000-0000-0000D24A0000}"/>
    <cellStyle name="Normal 194" xfId="19222" xr:uid="{00000000-0005-0000-0000-0000D34A0000}"/>
    <cellStyle name="Normal 195" xfId="19223" xr:uid="{00000000-0005-0000-0000-0000D44A0000}"/>
    <cellStyle name="Normal 196" xfId="19224" xr:uid="{00000000-0005-0000-0000-0000D54A0000}"/>
    <cellStyle name="Normal 197" xfId="19225" xr:uid="{00000000-0005-0000-0000-0000D64A0000}"/>
    <cellStyle name="Normal 198" xfId="19226" xr:uid="{00000000-0005-0000-0000-0000D74A0000}"/>
    <cellStyle name="Normal 199" xfId="19227" xr:uid="{00000000-0005-0000-0000-0000D84A0000}"/>
    <cellStyle name="Normal 2" xfId="23" xr:uid="{00000000-0005-0000-0000-0000D94A0000}"/>
    <cellStyle name="Normal 2 10" xfId="19228" xr:uid="{00000000-0005-0000-0000-0000DA4A0000}"/>
    <cellStyle name="Normal 2 10 2" xfId="19229" xr:uid="{00000000-0005-0000-0000-0000DB4A0000}"/>
    <cellStyle name="Normal 2 10 2 2" xfId="19230" xr:uid="{00000000-0005-0000-0000-0000DC4A0000}"/>
    <cellStyle name="Normal 2 10 2 2 2" xfId="19231" xr:uid="{00000000-0005-0000-0000-0000DD4A0000}"/>
    <cellStyle name="Normal 2 10 2 3" xfId="19232" xr:uid="{00000000-0005-0000-0000-0000DE4A0000}"/>
    <cellStyle name="Normal 2 10 2 3 2" xfId="19233" xr:uid="{00000000-0005-0000-0000-0000DF4A0000}"/>
    <cellStyle name="Normal 2 10 2 4" xfId="19234" xr:uid="{00000000-0005-0000-0000-0000E04A0000}"/>
    <cellStyle name="Normal 2 10 3" xfId="19235" xr:uid="{00000000-0005-0000-0000-0000E14A0000}"/>
    <cellStyle name="Normal 2 10 3 2" xfId="19236" xr:uid="{00000000-0005-0000-0000-0000E24A0000}"/>
    <cellStyle name="Normal 2 10 3 2 2" xfId="19237" xr:uid="{00000000-0005-0000-0000-0000E34A0000}"/>
    <cellStyle name="Normal 2 10 3 3" xfId="19238" xr:uid="{00000000-0005-0000-0000-0000E44A0000}"/>
    <cellStyle name="Normal 2 10 3 3 2" xfId="19239" xr:uid="{00000000-0005-0000-0000-0000E54A0000}"/>
    <cellStyle name="Normal 2 10 3 4" xfId="19240" xr:uid="{00000000-0005-0000-0000-0000E64A0000}"/>
    <cellStyle name="Normal 2 10 4" xfId="19241" xr:uid="{00000000-0005-0000-0000-0000E74A0000}"/>
    <cellStyle name="Normal 2 10 4 2" xfId="19242" xr:uid="{00000000-0005-0000-0000-0000E84A0000}"/>
    <cellStyle name="Normal 2 10 5" xfId="19243" xr:uid="{00000000-0005-0000-0000-0000E94A0000}"/>
    <cellStyle name="Normal 2 10 5 2" xfId="19244" xr:uid="{00000000-0005-0000-0000-0000EA4A0000}"/>
    <cellStyle name="Normal 2 10 6" xfId="19245" xr:uid="{00000000-0005-0000-0000-0000EB4A0000}"/>
    <cellStyle name="Normal 2 11" xfId="19246" xr:uid="{00000000-0005-0000-0000-0000EC4A0000}"/>
    <cellStyle name="Normal 2 11 2" xfId="19247" xr:uid="{00000000-0005-0000-0000-0000ED4A0000}"/>
    <cellStyle name="Normal 2 11 2 2" xfId="19248" xr:uid="{00000000-0005-0000-0000-0000EE4A0000}"/>
    <cellStyle name="Normal 2 11 3" xfId="19249" xr:uid="{00000000-0005-0000-0000-0000EF4A0000}"/>
    <cellStyle name="Normal 2 11 3 2" xfId="19250" xr:uid="{00000000-0005-0000-0000-0000F04A0000}"/>
    <cellStyle name="Normal 2 11 4" xfId="19251" xr:uid="{00000000-0005-0000-0000-0000F14A0000}"/>
    <cellStyle name="Normal 2 12" xfId="19252" xr:uid="{00000000-0005-0000-0000-0000F24A0000}"/>
    <cellStyle name="Normal 2 12 2" xfId="19253" xr:uid="{00000000-0005-0000-0000-0000F34A0000}"/>
    <cellStyle name="Normal 2 12 2 2" xfId="19254" xr:uid="{00000000-0005-0000-0000-0000F44A0000}"/>
    <cellStyle name="Normal 2 12 3" xfId="19255" xr:uid="{00000000-0005-0000-0000-0000F54A0000}"/>
    <cellStyle name="Normal 2 13" xfId="19256" xr:uid="{00000000-0005-0000-0000-0000F64A0000}"/>
    <cellStyle name="Normal 2 13 2" xfId="19257" xr:uid="{00000000-0005-0000-0000-0000F74A0000}"/>
    <cellStyle name="Normal 2 13 2 2" xfId="19258" xr:uid="{00000000-0005-0000-0000-0000F84A0000}"/>
    <cellStyle name="Normal 2 13 3" xfId="19259" xr:uid="{00000000-0005-0000-0000-0000F94A0000}"/>
    <cellStyle name="Normal 2 14" xfId="19260" xr:uid="{00000000-0005-0000-0000-0000FA4A0000}"/>
    <cellStyle name="Normal 2 14 2" xfId="19261" xr:uid="{00000000-0005-0000-0000-0000FB4A0000}"/>
    <cellStyle name="Normal 2 14 2 2" xfId="19262" xr:uid="{00000000-0005-0000-0000-0000FC4A0000}"/>
    <cellStyle name="Normal 2 14 3" xfId="19263" xr:uid="{00000000-0005-0000-0000-0000FD4A0000}"/>
    <cellStyle name="Normal 2 15" xfId="19264" xr:uid="{00000000-0005-0000-0000-0000FE4A0000}"/>
    <cellStyle name="Normal 2 15 2" xfId="19265" xr:uid="{00000000-0005-0000-0000-0000FF4A0000}"/>
    <cellStyle name="Normal 2 15 2 2" xfId="19266" xr:uid="{00000000-0005-0000-0000-0000004B0000}"/>
    <cellStyle name="Normal 2 15 3" xfId="19267" xr:uid="{00000000-0005-0000-0000-0000014B0000}"/>
    <cellStyle name="Normal 2 16" xfId="19268" xr:uid="{00000000-0005-0000-0000-0000024B0000}"/>
    <cellStyle name="Normal 2 16 2" xfId="19269" xr:uid="{00000000-0005-0000-0000-0000034B0000}"/>
    <cellStyle name="Normal 2 16 2 2" xfId="19270" xr:uid="{00000000-0005-0000-0000-0000044B0000}"/>
    <cellStyle name="Normal 2 16 3" xfId="19271" xr:uid="{00000000-0005-0000-0000-0000054B0000}"/>
    <cellStyle name="Normal 2 17" xfId="19272" xr:uid="{00000000-0005-0000-0000-0000064B0000}"/>
    <cellStyle name="Normal 2 17 2" xfId="19273" xr:uid="{00000000-0005-0000-0000-0000074B0000}"/>
    <cellStyle name="Normal 2 18" xfId="19274" xr:uid="{00000000-0005-0000-0000-0000084B0000}"/>
    <cellStyle name="Normal 2 18 2" xfId="19275" xr:uid="{00000000-0005-0000-0000-0000094B0000}"/>
    <cellStyle name="Normal 2 19" xfId="19276" xr:uid="{00000000-0005-0000-0000-00000A4B0000}"/>
    <cellStyle name="Normal 2 2" xfId="60" xr:uid="{00000000-0005-0000-0000-00000B4B0000}"/>
    <cellStyle name="Normal 2 2 10" xfId="19277" xr:uid="{00000000-0005-0000-0000-00000C4B0000}"/>
    <cellStyle name="Normal 2 2 10 2" xfId="19278" xr:uid="{00000000-0005-0000-0000-00000D4B0000}"/>
    <cellStyle name="Normal 2 2 10 2 2" xfId="19279" xr:uid="{00000000-0005-0000-0000-00000E4B0000}"/>
    <cellStyle name="Normal 2 2 10 3" xfId="19280" xr:uid="{00000000-0005-0000-0000-00000F4B0000}"/>
    <cellStyle name="Normal 2 2 11" xfId="19281" xr:uid="{00000000-0005-0000-0000-0000104B0000}"/>
    <cellStyle name="Normal 2 2 11 2" xfId="19282" xr:uid="{00000000-0005-0000-0000-0000114B0000}"/>
    <cellStyle name="Normal 2 2 11 2 2" xfId="19283" xr:uid="{00000000-0005-0000-0000-0000124B0000}"/>
    <cellStyle name="Normal 2 2 11 3" xfId="19284" xr:uid="{00000000-0005-0000-0000-0000134B0000}"/>
    <cellStyle name="Normal 2 2 12" xfId="19285" xr:uid="{00000000-0005-0000-0000-0000144B0000}"/>
    <cellStyle name="Normal 2 2 12 2" xfId="19286" xr:uid="{00000000-0005-0000-0000-0000154B0000}"/>
    <cellStyle name="Normal 2 2 13" xfId="19287" xr:uid="{00000000-0005-0000-0000-0000164B0000}"/>
    <cellStyle name="Normal 2 2 14" xfId="19288" xr:uid="{00000000-0005-0000-0000-0000174B0000}"/>
    <cellStyle name="Normal 2 2 15" xfId="19289" xr:uid="{00000000-0005-0000-0000-0000184B0000}"/>
    <cellStyle name="Normal 2 2 16" xfId="19290" xr:uid="{00000000-0005-0000-0000-0000194B0000}"/>
    <cellStyle name="Normal 2 2 17" xfId="19291" xr:uid="{00000000-0005-0000-0000-00001A4B0000}"/>
    <cellStyle name="Normal 2 2 18" xfId="19292" xr:uid="{00000000-0005-0000-0000-00001B4B0000}"/>
    <cellStyle name="Normal 2 2 19" xfId="19293" xr:uid="{00000000-0005-0000-0000-00001C4B0000}"/>
    <cellStyle name="Normal 2 2 2" xfId="19294" xr:uid="{00000000-0005-0000-0000-00001D4B0000}"/>
    <cellStyle name="Normal 2 2 2 10" xfId="19295" xr:uid="{00000000-0005-0000-0000-00001E4B0000}"/>
    <cellStyle name="Normal 2 2 2 10 2" xfId="19296" xr:uid="{00000000-0005-0000-0000-00001F4B0000}"/>
    <cellStyle name="Normal 2 2 2 11" xfId="19297" xr:uid="{00000000-0005-0000-0000-0000204B0000}"/>
    <cellStyle name="Normal 2 2 2 2" xfId="19298" xr:uid="{00000000-0005-0000-0000-0000214B0000}"/>
    <cellStyle name="Normal 2 2 2 2 2" xfId="19299" xr:uid="{00000000-0005-0000-0000-0000224B0000}"/>
    <cellStyle name="Normal 2 2 2 2 2 2" xfId="19300" xr:uid="{00000000-0005-0000-0000-0000234B0000}"/>
    <cellStyle name="Normal 2 2 2 2 2 2 2" xfId="19301" xr:uid="{00000000-0005-0000-0000-0000244B0000}"/>
    <cellStyle name="Normal 2 2 2 2 2 3" xfId="19302" xr:uid="{00000000-0005-0000-0000-0000254B0000}"/>
    <cellStyle name="Normal 2 2 2 2 2 3 2" xfId="19303" xr:uid="{00000000-0005-0000-0000-0000264B0000}"/>
    <cellStyle name="Normal 2 2 2 2 2 4" xfId="19304" xr:uid="{00000000-0005-0000-0000-0000274B0000}"/>
    <cellStyle name="Normal 2 2 2 2 3" xfId="19305" xr:uid="{00000000-0005-0000-0000-0000284B0000}"/>
    <cellStyle name="Normal 2 2 2 2 3 2" xfId="19306" xr:uid="{00000000-0005-0000-0000-0000294B0000}"/>
    <cellStyle name="Normal 2 2 2 2 3 2 2" xfId="19307" xr:uid="{00000000-0005-0000-0000-00002A4B0000}"/>
    <cellStyle name="Normal 2 2 2 2 3 3" xfId="19308" xr:uid="{00000000-0005-0000-0000-00002B4B0000}"/>
    <cellStyle name="Normal 2 2 2 2 3 3 2" xfId="19309" xr:uid="{00000000-0005-0000-0000-00002C4B0000}"/>
    <cellStyle name="Normal 2 2 2 2 3 4" xfId="19310" xr:uid="{00000000-0005-0000-0000-00002D4B0000}"/>
    <cellStyle name="Normal 2 2 2 2 4" xfId="19311" xr:uid="{00000000-0005-0000-0000-00002E4B0000}"/>
    <cellStyle name="Normal 2 2 2 2 4 2" xfId="19312" xr:uid="{00000000-0005-0000-0000-00002F4B0000}"/>
    <cellStyle name="Normal 2 2 2 2 5" xfId="19313" xr:uid="{00000000-0005-0000-0000-0000304B0000}"/>
    <cellStyle name="Normal 2 2 2 2 5 2" xfId="19314" xr:uid="{00000000-0005-0000-0000-0000314B0000}"/>
    <cellStyle name="Normal 2 2 2 2 6" xfId="19315" xr:uid="{00000000-0005-0000-0000-0000324B0000}"/>
    <cellStyle name="Normal 2 2 2 3" xfId="19316" xr:uid="{00000000-0005-0000-0000-0000334B0000}"/>
    <cellStyle name="Normal 2 2 2 3 2" xfId="19317" xr:uid="{00000000-0005-0000-0000-0000344B0000}"/>
    <cellStyle name="Normal 2 2 2 3 2 2" xfId="19318" xr:uid="{00000000-0005-0000-0000-0000354B0000}"/>
    <cellStyle name="Normal 2 2 2 3 2 2 2" xfId="19319" xr:uid="{00000000-0005-0000-0000-0000364B0000}"/>
    <cellStyle name="Normal 2 2 2 3 2 3" xfId="19320" xr:uid="{00000000-0005-0000-0000-0000374B0000}"/>
    <cellStyle name="Normal 2 2 2 3 2 3 2" xfId="19321" xr:uid="{00000000-0005-0000-0000-0000384B0000}"/>
    <cellStyle name="Normal 2 2 2 3 2 4" xfId="19322" xr:uid="{00000000-0005-0000-0000-0000394B0000}"/>
    <cellStyle name="Normal 2 2 2 3 3" xfId="19323" xr:uid="{00000000-0005-0000-0000-00003A4B0000}"/>
    <cellStyle name="Normal 2 2 2 3 3 2" xfId="19324" xr:uid="{00000000-0005-0000-0000-00003B4B0000}"/>
    <cellStyle name="Normal 2 2 2 3 3 2 2" xfId="19325" xr:uid="{00000000-0005-0000-0000-00003C4B0000}"/>
    <cellStyle name="Normal 2 2 2 3 3 3" xfId="19326" xr:uid="{00000000-0005-0000-0000-00003D4B0000}"/>
    <cellStyle name="Normal 2 2 2 3 3 3 2" xfId="19327" xr:uid="{00000000-0005-0000-0000-00003E4B0000}"/>
    <cellStyle name="Normal 2 2 2 3 3 4" xfId="19328" xr:uid="{00000000-0005-0000-0000-00003F4B0000}"/>
    <cellStyle name="Normal 2 2 2 3 4" xfId="19329" xr:uid="{00000000-0005-0000-0000-0000404B0000}"/>
    <cellStyle name="Normal 2 2 2 3 4 2" xfId="19330" xr:uid="{00000000-0005-0000-0000-0000414B0000}"/>
    <cellStyle name="Normal 2 2 2 3 5" xfId="19331" xr:uid="{00000000-0005-0000-0000-0000424B0000}"/>
    <cellStyle name="Normal 2 2 2 3 5 2" xfId="19332" xr:uid="{00000000-0005-0000-0000-0000434B0000}"/>
    <cellStyle name="Normal 2 2 2 3 6" xfId="19333" xr:uid="{00000000-0005-0000-0000-0000444B0000}"/>
    <cellStyle name="Normal 2 2 2 4" xfId="19334" xr:uid="{00000000-0005-0000-0000-0000454B0000}"/>
    <cellStyle name="Normal 2 2 2 4 2" xfId="19335" xr:uid="{00000000-0005-0000-0000-0000464B0000}"/>
    <cellStyle name="Normal 2 2 2 4 3" xfId="19336" xr:uid="{00000000-0005-0000-0000-0000474B0000}"/>
    <cellStyle name="Normal 2 2 2 4 3 2" xfId="19337" xr:uid="{00000000-0005-0000-0000-0000484B0000}"/>
    <cellStyle name="Normal 2 2 2 4 3 2 2" xfId="19338" xr:uid="{00000000-0005-0000-0000-0000494B0000}"/>
    <cellStyle name="Normal 2 2 2 4 3 3" xfId="19339" xr:uid="{00000000-0005-0000-0000-00004A4B0000}"/>
    <cellStyle name="Normal 2 2 2 4 3 3 2" xfId="19340" xr:uid="{00000000-0005-0000-0000-00004B4B0000}"/>
    <cellStyle name="Normal 2 2 2 4 3 4" xfId="19341" xr:uid="{00000000-0005-0000-0000-00004C4B0000}"/>
    <cellStyle name="Normal 2 2 2 5" xfId="19342" xr:uid="{00000000-0005-0000-0000-00004D4B0000}"/>
    <cellStyle name="Normal 2 2 2 5 2" xfId="19343" xr:uid="{00000000-0005-0000-0000-00004E4B0000}"/>
    <cellStyle name="Normal 2 2 2 5 2 2" xfId="19344" xr:uid="{00000000-0005-0000-0000-00004F4B0000}"/>
    <cellStyle name="Normal 2 2 2 5 3" xfId="19345" xr:uid="{00000000-0005-0000-0000-0000504B0000}"/>
    <cellStyle name="Normal 2 2 2 5 3 2" xfId="19346" xr:uid="{00000000-0005-0000-0000-0000514B0000}"/>
    <cellStyle name="Normal 2 2 2 5 4" xfId="19347" xr:uid="{00000000-0005-0000-0000-0000524B0000}"/>
    <cellStyle name="Normal 2 2 2 6" xfId="19348" xr:uid="{00000000-0005-0000-0000-0000534B0000}"/>
    <cellStyle name="Normal 2 2 2 6 2" xfId="19349" xr:uid="{00000000-0005-0000-0000-0000544B0000}"/>
    <cellStyle name="Normal 2 2 2 6 2 2" xfId="19350" xr:uid="{00000000-0005-0000-0000-0000554B0000}"/>
    <cellStyle name="Normal 2 2 2 6 3" xfId="19351" xr:uid="{00000000-0005-0000-0000-0000564B0000}"/>
    <cellStyle name="Normal 2 2 2 7" xfId="19352" xr:uid="{00000000-0005-0000-0000-0000574B0000}"/>
    <cellStyle name="Normal 2 2 2 7 2" xfId="19353" xr:uid="{00000000-0005-0000-0000-0000584B0000}"/>
    <cellStyle name="Normal 2 2 2 7 2 2" xfId="19354" xr:uid="{00000000-0005-0000-0000-0000594B0000}"/>
    <cellStyle name="Normal 2 2 2 7 3" xfId="19355" xr:uid="{00000000-0005-0000-0000-00005A4B0000}"/>
    <cellStyle name="Normal 2 2 2 8" xfId="19356" xr:uid="{00000000-0005-0000-0000-00005B4B0000}"/>
    <cellStyle name="Normal 2 2 2 8 2" xfId="19357" xr:uid="{00000000-0005-0000-0000-00005C4B0000}"/>
    <cellStyle name="Normal 2 2 2 8 2 2" xfId="19358" xr:uid="{00000000-0005-0000-0000-00005D4B0000}"/>
    <cellStyle name="Normal 2 2 2 8 3" xfId="19359" xr:uid="{00000000-0005-0000-0000-00005E4B0000}"/>
    <cellStyle name="Normal 2 2 2 9" xfId="19360" xr:uid="{00000000-0005-0000-0000-00005F4B0000}"/>
    <cellStyle name="Normal 2 2 2 9 2" xfId="19361" xr:uid="{00000000-0005-0000-0000-0000604B0000}"/>
    <cellStyle name="Normal 2 2 2 9 2 2" xfId="19362" xr:uid="{00000000-0005-0000-0000-0000614B0000}"/>
    <cellStyle name="Normal 2 2 2 9 3" xfId="19363" xr:uid="{00000000-0005-0000-0000-0000624B0000}"/>
    <cellStyle name="Normal 2 2 3" xfId="19364" xr:uid="{00000000-0005-0000-0000-0000634B0000}"/>
    <cellStyle name="Normal 2 2 4" xfId="19365" xr:uid="{00000000-0005-0000-0000-0000644B0000}"/>
    <cellStyle name="Normal 2 2 4 2" xfId="19366" xr:uid="{00000000-0005-0000-0000-0000654B0000}"/>
    <cellStyle name="Normal 2 2 4 2 2" xfId="19367" xr:uid="{00000000-0005-0000-0000-0000664B0000}"/>
    <cellStyle name="Normal 2 2 4 2 2 2" xfId="19368" xr:uid="{00000000-0005-0000-0000-0000674B0000}"/>
    <cellStyle name="Normal 2 2 4 2 3" xfId="19369" xr:uid="{00000000-0005-0000-0000-0000684B0000}"/>
    <cellStyle name="Normal 2 2 4 2 3 2" xfId="19370" xr:uid="{00000000-0005-0000-0000-0000694B0000}"/>
    <cellStyle name="Normal 2 2 4 2 4" xfId="19371" xr:uid="{00000000-0005-0000-0000-00006A4B0000}"/>
    <cellStyle name="Normal 2 2 4 3" xfId="19372" xr:uid="{00000000-0005-0000-0000-00006B4B0000}"/>
    <cellStyle name="Normal 2 2 4 3 2" xfId="19373" xr:uid="{00000000-0005-0000-0000-00006C4B0000}"/>
    <cellStyle name="Normal 2 2 4 3 2 2" xfId="19374" xr:uid="{00000000-0005-0000-0000-00006D4B0000}"/>
    <cellStyle name="Normal 2 2 4 3 3" xfId="19375" xr:uid="{00000000-0005-0000-0000-00006E4B0000}"/>
    <cellStyle name="Normal 2 2 4 3 3 2" xfId="19376" xr:uid="{00000000-0005-0000-0000-00006F4B0000}"/>
    <cellStyle name="Normal 2 2 4 3 4" xfId="19377" xr:uid="{00000000-0005-0000-0000-0000704B0000}"/>
    <cellStyle name="Normal 2 2 4 4" xfId="19378" xr:uid="{00000000-0005-0000-0000-0000714B0000}"/>
    <cellStyle name="Normal 2 2 4 4 2" xfId="19379" xr:uid="{00000000-0005-0000-0000-0000724B0000}"/>
    <cellStyle name="Normal 2 2 4 5" xfId="19380" xr:uid="{00000000-0005-0000-0000-0000734B0000}"/>
    <cellStyle name="Normal 2 2 4 5 2" xfId="19381" xr:uid="{00000000-0005-0000-0000-0000744B0000}"/>
    <cellStyle name="Normal 2 2 4 6" xfId="19382" xr:uid="{00000000-0005-0000-0000-0000754B0000}"/>
    <cellStyle name="Normal 2 2 5" xfId="19383" xr:uid="{00000000-0005-0000-0000-0000764B0000}"/>
    <cellStyle name="Normal 2 2 5 2" xfId="19384" xr:uid="{00000000-0005-0000-0000-0000774B0000}"/>
    <cellStyle name="Normal 2 2 5 2 2" xfId="19385" xr:uid="{00000000-0005-0000-0000-0000784B0000}"/>
    <cellStyle name="Normal 2 2 5 2 2 2" xfId="19386" xr:uid="{00000000-0005-0000-0000-0000794B0000}"/>
    <cellStyle name="Normal 2 2 5 2 3" xfId="19387" xr:uid="{00000000-0005-0000-0000-00007A4B0000}"/>
    <cellStyle name="Normal 2 2 5 2 3 2" xfId="19388" xr:uid="{00000000-0005-0000-0000-00007B4B0000}"/>
    <cellStyle name="Normal 2 2 5 2 4" xfId="19389" xr:uid="{00000000-0005-0000-0000-00007C4B0000}"/>
    <cellStyle name="Normal 2 2 5 3" xfId="19390" xr:uid="{00000000-0005-0000-0000-00007D4B0000}"/>
    <cellStyle name="Normal 2 2 5 3 2" xfId="19391" xr:uid="{00000000-0005-0000-0000-00007E4B0000}"/>
    <cellStyle name="Normal 2 2 5 3 2 2" xfId="19392" xr:uid="{00000000-0005-0000-0000-00007F4B0000}"/>
    <cellStyle name="Normal 2 2 5 3 3" xfId="19393" xr:uid="{00000000-0005-0000-0000-0000804B0000}"/>
    <cellStyle name="Normal 2 2 5 3 3 2" xfId="19394" xr:uid="{00000000-0005-0000-0000-0000814B0000}"/>
    <cellStyle name="Normal 2 2 5 3 4" xfId="19395" xr:uid="{00000000-0005-0000-0000-0000824B0000}"/>
    <cellStyle name="Normal 2 2 5 4" xfId="19396" xr:uid="{00000000-0005-0000-0000-0000834B0000}"/>
    <cellStyle name="Normal 2 2 5 4 2" xfId="19397" xr:uid="{00000000-0005-0000-0000-0000844B0000}"/>
    <cellStyle name="Normal 2 2 5 5" xfId="19398" xr:uid="{00000000-0005-0000-0000-0000854B0000}"/>
    <cellStyle name="Normal 2 2 5 5 2" xfId="19399" xr:uid="{00000000-0005-0000-0000-0000864B0000}"/>
    <cellStyle name="Normal 2 2 5 6" xfId="19400" xr:uid="{00000000-0005-0000-0000-0000874B0000}"/>
    <cellStyle name="Normal 2 2 6" xfId="19401" xr:uid="{00000000-0005-0000-0000-0000884B0000}"/>
    <cellStyle name="Normal 2 2 6 2" xfId="19402" xr:uid="{00000000-0005-0000-0000-0000894B0000}"/>
    <cellStyle name="Normal 2 2 6 2 2" xfId="19403" xr:uid="{00000000-0005-0000-0000-00008A4B0000}"/>
    <cellStyle name="Normal 2 2 6 3" xfId="19404" xr:uid="{00000000-0005-0000-0000-00008B4B0000}"/>
    <cellStyle name="Normal 2 2 6 3 2" xfId="19405" xr:uid="{00000000-0005-0000-0000-00008C4B0000}"/>
    <cellStyle name="Normal 2 2 6 4" xfId="19406" xr:uid="{00000000-0005-0000-0000-00008D4B0000}"/>
    <cellStyle name="Normal 2 2 7" xfId="19407" xr:uid="{00000000-0005-0000-0000-00008E4B0000}"/>
    <cellStyle name="Normal 2 2 7 2" xfId="19408" xr:uid="{00000000-0005-0000-0000-00008F4B0000}"/>
    <cellStyle name="Normal 2 2 7 2 2" xfId="19409" xr:uid="{00000000-0005-0000-0000-0000904B0000}"/>
    <cellStyle name="Normal 2 2 7 3" xfId="19410" xr:uid="{00000000-0005-0000-0000-0000914B0000}"/>
    <cellStyle name="Normal 2 2 8" xfId="19411" xr:uid="{00000000-0005-0000-0000-0000924B0000}"/>
    <cellStyle name="Normal 2 2 8 2" xfId="19412" xr:uid="{00000000-0005-0000-0000-0000934B0000}"/>
    <cellStyle name="Normal 2 2 8 2 2" xfId="19413" xr:uid="{00000000-0005-0000-0000-0000944B0000}"/>
    <cellStyle name="Normal 2 2 8 3" xfId="19414" xr:uid="{00000000-0005-0000-0000-0000954B0000}"/>
    <cellStyle name="Normal 2 2 9" xfId="19415" xr:uid="{00000000-0005-0000-0000-0000964B0000}"/>
    <cellStyle name="Normal 2 2 9 2" xfId="19416" xr:uid="{00000000-0005-0000-0000-0000974B0000}"/>
    <cellStyle name="Normal 2 2 9 2 2" xfId="19417" xr:uid="{00000000-0005-0000-0000-0000984B0000}"/>
    <cellStyle name="Normal 2 2 9 3" xfId="19418" xr:uid="{00000000-0005-0000-0000-0000994B0000}"/>
    <cellStyle name="Normal 2 2_RECUPERAÇÃO" xfId="19419" xr:uid="{00000000-0005-0000-0000-00009A4B0000}"/>
    <cellStyle name="Normal 2 20" xfId="19420" xr:uid="{00000000-0005-0000-0000-00009B4B0000}"/>
    <cellStyle name="Normal 2 21" xfId="19421" xr:uid="{00000000-0005-0000-0000-00009C4B0000}"/>
    <cellStyle name="Normal 2 22" xfId="19422" xr:uid="{00000000-0005-0000-0000-00009D4B0000}"/>
    <cellStyle name="Normal 2 23" xfId="19423" xr:uid="{00000000-0005-0000-0000-00009E4B0000}"/>
    <cellStyle name="Normal 2 24" xfId="19424" xr:uid="{00000000-0005-0000-0000-00009F4B0000}"/>
    <cellStyle name="Normal 2 25" xfId="19425" xr:uid="{00000000-0005-0000-0000-0000A04B0000}"/>
    <cellStyle name="Normal 2 26" xfId="19426" xr:uid="{00000000-0005-0000-0000-0000A14B0000}"/>
    <cellStyle name="Normal 2 27" xfId="19427" xr:uid="{00000000-0005-0000-0000-0000A24B0000}"/>
    <cellStyle name="Normal 2 28" xfId="19428" xr:uid="{00000000-0005-0000-0000-0000A34B0000}"/>
    <cellStyle name="Normal 2 29" xfId="19429" xr:uid="{00000000-0005-0000-0000-0000A44B0000}"/>
    <cellStyle name="Normal 2 3" xfId="19430" xr:uid="{00000000-0005-0000-0000-0000A54B0000}"/>
    <cellStyle name="Normal 2 3 10" xfId="19431" xr:uid="{00000000-0005-0000-0000-0000A64B0000}"/>
    <cellStyle name="Normal 2 3 10 2" xfId="19432" xr:uid="{00000000-0005-0000-0000-0000A74B0000}"/>
    <cellStyle name="Normal 2 3 11" xfId="19433" xr:uid="{00000000-0005-0000-0000-0000A84B0000}"/>
    <cellStyle name="Normal 2 3 2" xfId="19434" xr:uid="{00000000-0005-0000-0000-0000A94B0000}"/>
    <cellStyle name="Normal 2 3 2 2" xfId="19435" xr:uid="{00000000-0005-0000-0000-0000AA4B0000}"/>
    <cellStyle name="Normal 2 3 2 2 2" xfId="19436" xr:uid="{00000000-0005-0000-0000-0000AB4B0000}"/>
    <cellStyle name="Normal 2 3 2 2 2 2" xfId="19437" xr:uid="{00000000-0005-0000-0000-0000AC4B0000}"/>
    <cellStyle name="Normal 2 3 2 2 2 2 2" xfId="19438" xr:uid="{00000000-0005-0000-0000-0000AD4B0000}"/>
    <cellStyle name="Normal 2 3 2 2 2 3" xfId="19439" xr:uid="{00000000-0005-0000-0000-0000AE4B0000}"/>
    <cellStyle name="Normal 2 3 2 2 2 3 2" xfId="19440" xr:uid="{00000000-0005-0000-0000-0000AF4B0000}"/>
    <cellStyle name="Normal 2 3 2 2 2 4" xfId="19441" xr:uid="{00000000-0005-0000-0000-0000B04B0000}"/>
    <cellStyle name="Normal 2 3 2 2 3" xfId="19442" xr:uid="{00000000-0005-0000-0000-0000B14B0000}"/>
    <cellStyle name="Normal 2 3 2 2 3 2" xfId="19443" xr:uid="{00000000-0005-0000-0000-0000B24B0000}"/>
    <cellStyle name="Normal 2 3 2 2 3 2 2" xfId="19444" xr:uid="{00000000-0005-0000-0000-0000B34B0000}"/>
    <cellStyle name="Normal 2 3 2 2 3 3" xfId="19445" xr:uid="{00000000-0005-0000-0000-0000B44B0000}"/>
    <cellStyle name="Normal 2 3 2 2 3 3 2" xfId="19446" xr:uid="{00000000-0005-0000-0000-0000B54B0000}"/>
    <cellStyle name="Normal 2 3 2 2 3 4" xfId="19447" xr:uid="{00000000-0005-0000-0000-0000B64B0000}"/>
    <cellStyle name="Normal 2 3 2 2 4" xfId="19448" xr:uid="{00000000-0005-0000-0000-0000B74B0000}"/>
    <cellStyle name="Normal 2 3 2 2 4 2" xfId="19449" xr:uid="{00000000-0005-0000-0000-0000B84B0000}"/>
    <cellStyle name="Normal 2 3 2 2 5" xfId="19450" xr:uid="{00000000-0005-0000-0000-0000B94B0000}"/>
    <cellStyle name="Normal 2 3 2 2 5 2" xfId="19451" xr:uid="{00000000-0005-0000-0000-0000BA4B0000}"/>
    <cellStyle name="Normal 2 3 2 2 6" xfId="19452" xr:uid="{00000000-0005-0000-0000-0000BB4B0000}"/>
    <cellStyle name="Normal 2 3 2 3" xfId="19453" xr:uid="{00000000-0005-0000-0000-0000BC4B0000}"/>
    <cellStyle name="Normal 2 3 2 3 2" xfId="19454" xr:uid="{00000000-0005-0000-0000-0000BD4B0000}"/>
    <cellStyle name="Normal 2 3 2 3 2 2" xfId="19455" xr:uid="{00000000-0005-0000-0000-0000BE4B0000}"/>
    <cellStyle name="Normal 2 3 2 3 3" xfId="19456" xr:uid="{00000000-0005-0000-0000-0000BF4B0000}"/>
    <cellStyle name="Normal 2 3 2 3 3 2" xfId="19457" xr:uid="{00000000-0005-0000-0000-0000C04B0000}"/>
    <cellStyle name="Normal 2 3 2 3 4" xfId="19458" xr:uid="{00000000-0005-0000-0000-0000C14B0000}"/>
    <cellStyle name="Normal 2 3 2 4" xfId="19459" xr:uid="{00000000-0005-0000-0000-0000C24B0000}"/>
    <cellStyle name="Normal 2 3 2 4 2" xfId="19460" xr:uid="{00000000-0005-0000-0000-0000C34B0000}"/>
    <cellStyle name="Normal 2 3 2 4 2 2" xfId="19461" xr:uid="{00000000-0005-0000-0000-0000C44B0000}"/>
    <cellStyle name="Normal 2 3 2 4 3" xfId="19462" xr:uid="{00000000-0005-0000-0000-0000C54B0000}"/>
    <cellStyle name="Normal 2 3 2 5" xfId="19463" xr:uid="{00000000-0005-0000-0000-0000C64B0000}"/>
    <cellStyle name="Normal 2 3 2 5 2" xfId="19464" xr:uid="{00000000-0005-0000-0000-0000C74B0000}"/>
    <cellStyle name="Normal 2 3 2 5 2 2" xfId="19465" xr:uid="{00000000-0005-0000-0000-0000C84B0000}"/>
    <cellStyle name="Normal 2 3 2 5 3" xfId="19466" xr:uid="{00000000-0005-0000-0000-0000C94B0000}"/>
    <cellStyle name="Normal 2 3 2 6" xfId="19467" xr:uid="{00000000-0005-0000-0000-0000CA4B0000}"/>
    <cellStyle name="Normal 2 3 2 6 2" xfId="19468" xr:uid="{00000000-0005-0000-0000-0000CB4B0000}"/>
    <cellStyle name="Normal 2 3 2 6 2 2" xfId="19469" xr:uid="{00000000-0005-0000-0000-0000CC4B0000}"/>
    <cellStyle name="Normal 2 3 2 6 3" xfId="19470" xr:uid="{00000000-0005-0000-0000-0000CD4B0000}"/>
    <cellStyle name="Normal 2 3 2 7" xfId="19471" xr:uid="{00000000-0005-0000-0000-0000CE4B0000}"/>
    <cellStyle name="Normal 2 3 2 7 2" xfId="19472" xr:uid="{00000000-0005-0000-0000-0000CF4B0000}"/>
    <cellStyle name="Normal 2 3 2 7 2 2" xfId="19473" xr:uid="{00000000-0005-0000-0000-0000D04B0000}"/>
    <cellStyle name="Normal 2 3 2 7 3" xfId="19474" xr:uid="{00000000-0005-0000-0000-0000D14B0000}"/>
    <cellStyle name="Normal 2 3 2 8" xfId="19475" xr:uid="{00000000-0005-0000-0000-0000D24B0000}"/>
    <cellStyle name="Normal 2 3 2 8 2" xfId="19476" xr:uid="{00000000-0005-0000-0000-0000D34B0000}"/>
    <cellStyle name="Normal 2 3 2 9" xfId="19477" xr:uid="{00000000-0005-0000-0000-0000D44B0000}"/>
    <cellStyle name="Normal 2 3 3" xfId="19478" xr:uid="{00000000-0005-0000-0000-0000D54B0000}"/>
    <cellStyle name="Normal 2 3 3 2" xfId="19479" xr:uid="{00000000-0005-0000-0000-0000D64B0000}"/>
    <cellStyle name="Normal 2 3 3 2 2" xfId="19480" xr:uid="{00000000-0005-0000-0000-0000D74B0000}"/>
    <cellStyle name="Normal 2 3 3 2 2 2" xfId="19481" xr:uid="{00000000-0005-0000-0000-0000D84B0000}"/>
    <cellStyle name="Normal 2 3 3 2 3" xfId="19482" xr:uid="{00000000-0005-0000-0000-0000D94B0000}"/>
    <cellStyle name="Normal 2 3 3 2 3 2" xfId="19483" xr:uid="{00000000-0005-0000-0000-0000DA4B0000}"/>
    <cellStyle name="Normal 2 3 3 2 4" xfId="19484" xr:uid="{00000000-0005-0000-0000-0000DB4B0000}"/>
    <cellStyle name="Normal 2 3 3 3" xfId="19485" xr:uid="{00000000-0005-0000-0000-0000DC4B0000}"/>
    <cellStyle name="Normal 2 3 3 3 2" xfId="19486" xr:uid="{00000000-0005-0000-0000-0000DD4B0000}"/>
    <cellStyle name="Normal 2 3 3 3 2 2" xfId="19487" xr:uid="{00000000-0005-0000-0000-0000DE4B0000}"/>
    <cellStyle name="Normal 2 3 3 3 3" xfId="19488" xr:uid="{00000000-0005-0000-0000-0000DF4B0000}"/>
    <cellStyle name="Normal 2 3 3 3 3 2" xfId="19489" xr:uid="{00000000-0005-0000-0000-0000E04B0000}"/>
    <cellStyle name="Normal 2 3 3 3 4" xfId="19490" xr:uid="{00000000-0005-0000-0000-0000E14B0000}"/>
    <cellStyle name="Normal 2 3 3 4" xfId="19491" xr:uid="{00000000-0005-0000-0000-0000E24B0000}"/>
    <cellStyle name="Normal 2 3 3 4 2" xfId="19492" xr:uid="{00000000-0005-0000-0000-0000E34B0000}"/>
    <cellStyle name="Normal 2 3 3 5" xfId="19493" xr:uid="{00000000-0005-0000-0000-0000E44B0000}"/>
    <cellStyle name="Normal 2 3 3 5 2" xfId="19494" xr:uid="{00000000-0005-0000-0000-0000E54B0000}"/>
    <cellStyle name="Normal 2 3 3 6" xfId="19495" xr:uid="{00000000-0005-0000-0000-0000E64B0000}"/>
    <cellStyle name="Normal 2 3 4" xfId="19496" xr:uid="{00000000-0005-0000-0000-0000E74B0000}"/>
    <cellStyle name="Normal 2 3 4 2" xfId="19497" xr:uid="{00000000-0005-0000-0000-0000E84B0000}"/>
    <cellStyle name="Normal 2 3 4 2 2" xfId="19498" xr:uid="{00000000-0005-0000-0000-0000E94B0000}"/>
    <cellStyle name="Normal 2 3 4 2 2 2" xfId="19499" xr:uid="{00000000-0005-0000-0000-0000EA4B0000}"/>
    <cellStyle name="Normal 2 3 4 2 3" xfId="19500" xr:uid="{00000000-0005-0000-0000-0000EB4B0000}"/>
    <cellStyle name="Normal 2 3 4 2 3 2" xfId="19501" xr:uid="{00000000-0005-0000-0000-0000EC4B0000}"/>
    <cellStyle name="Normal 2 3 4 2 4" xfId="19502" xr:uid="{00000000-0005-0000-0000-0000ED4B0000}"/>
    <cellStyle name="Normal 2 3 4 2_MO-CronPerm" xfId="19503" xr:uid="{00000000-0005-0000-0000-0000EE4B0000}"/>
    <cellStyle name="Normal 2 3 4 3" xfId="19504" xr:uid="{00000000-0005-0000-0000-0000EF4B0000}"/>
    <cellStyle name="Normal 2 3 4 3 2" xfId="19505" xr:uid="{00000000-0005-0000-0000-0000F04B0000}"/>
    <cellStyle name="Normal 2 3 4 3 2 2" xfId="19506" xr:uid="{00000000-0005-0000-0000-0000F14B0000}"/>
    <cellStyle name="Normal 2 3 4 3 3" xfId="19507" xr:uid="{00000000-0005-0000-0000-0000F24B0000}"/>
    <cellStyle name="Normal 2 3 4 3 3 2" xfId="19508" xr:uid="{00000000-0005-0000-0000-0000F34B0000}"/>
    <cellStyle name="Normal 2 3 4 3 4" xfId="19509" xr:uid="{00000000-0005-0000-0000-0000F44B0000}"/>
    <cellStyle name="Normal 2 3 4 4" xfId="19510" xr:uid="{00000000-0005-0000-0000-0000F54B0000}"/>
    <cellStyle name="Normal 2 3 4 4 2" xfId="19511" xr:uid="{00000000-0005-0000-0000-0000F64B0000}"/>
    <cellStyle name="Normal 2 3 4 5" xfId="19512" xr:uid="{00000000-0005-0000-0000-0000F74B0000}"/>
    <cellStyle name="Normal 2 3 4 5 2" xfId="19513" xr:uid="{00000000-0005-0000-0000-0000F84B0000}"/>
    <cellStyle name="Normal 2 3 4 6" xfId="19514" xr:uid="{00000000-0005-0000-0000-0000F94B0000}"/>
    <cellStyle name="Normal 2 3 4_MO-CronPerm" xfId="19515" xr:uid="{00000000-0005-0000-0000-0000FA4B0000}"/>
    <cellStyle name="Normal 2 3 5" xfId="19516" xr:uid="{00000000-0005-0000-0000-0000FB4B0000}"/>
    <cellStyle name="Normal 2 3 5 2" xfId="19517" xr:uid="{00000000-0005-0000-0000-0000FC4B0000}"/>
    <cellStyle name="Normal 2 3 5 2 2" xfId="19518" xr:uid="{00000000-0005-0000-0000-0000FD4B0000}"/>
    <cellStyle name="Normal 2 3 5 3" xfId="19519" xr:uid="{00000000-0005-0000-0000-0000FE4B0000}"/>
    <cellStyle name="Normal 2 3 5 3 2" xfId="19520" xr:uid="{00000000-0005-0000-0000-0000FF4B0000}"/>
    <cellStyle name="Normal 2 3 5 4" xfId="19521" xr:uid="{00000000-0005-0000-0000-0000004C0000}"/>
    <cellStyle name="Normal 2 3 5_MO-CronPerm" xfId="19522" xr:uid="{00000000-0005-0000-0000-0000014C0000}"/>
    <cellStyle name="Normal 2 3 6" xfId="19523" xr:uid="{00000000-0005-0000-0000-0000024C0000}"/>
    <cellStyle name="Normal 2 3 6 2" xfId="19524" xr:uid="{00000000-0005-0000-0000-0000034C0000}"/>
    <cellStyle name="Normal 2 3 6 2 2" xfId="19525" xr:uid="{00000000-0005-0000-0000-0000044C0000}"/>
    <cellStyle name="Normal 2 3 6 3" xfId="19526" xr:uid="{00000000-0005-0000-0000-0000054C0000}"/>
    <cellStyle name="Normal 2 3 7" xfId="19527" xr:uid="{00000000-0005-0000-0000-0000064C0000}"/>
    <cellStyle name="Normal 2 3 7 2" xfId="19528" xr:uid="{00000000-0005-0000-0000-0000074C0000}"/>
    <cellStyle name="Normal 2 3 7 2 2" xfId="19529" xr:uid="{00000000-0005-0000-0000-0000084C0000}"/>
    <cellStyle name="Normal 2 3 7 3" xfId="19530" xr:uid="{00000000-0005-0000-0000-0000094C0000}"/>
    <cellStyle name="Normal 2 3 8" xfId="19531" xr:uid="{00000000-0005-0000-0000-00000A4C0000}"/>
    <cellStyle name="Normal 2 3 8 2" xfId="19532" xr:uid="{00000000-0005-0000-0000-00000B4C0000}"/>
    <cellStyle name="Normal 2 3 8 2 2" xfId="19533" xr:uid="{00000000-0005-0000-0000-00000C4C0000}"/>
    <cellStyle name="Normal 2 3 8 3" xfId="19534" xr:uid="{00000000-0005-0000-0000-00000D4C0000}"/>
    <cellStyle name="Normal 2 3 9" xfId="19535" xr:uid="{00000000-0005-0000-0000-00000E4C0000}"/>
    <cellStyle name="Normal 2 3 9 2" xfId="19536" xr:uid="{00000000-0005-0000-0000-00000F4C0000}"/>
    <cellStyle name="Normal 2 3 9 2 2" xfId="19537" xr:uid="{00000000-0005-0000-0000-0000104C0000}"/>
    <cellStyle name="Normal 2 3 9 3" xfId="19538" xr:uid="{00000000-0005-0000-0000-0000114C0000}"/>
    <cellStyle name="Normal 2 3_MO-CronPerm" xfId="19539" xr:uid="{00000000-0005-0000-0000-0000124C0000}"/>
    <cellStyle name="Normal 2 30" xfId="19540" xr:uid="{00000000-0005-0000-0000-0000134C0000}"/>
    <cellStyle name="Normal 2 31" xfId="19541" xr:uid="{00000000-0005-0000-0000-0000144C0000}"/>
    <cellStyle name="Normal 2 32" xfId="19542" xr:uid="{00000000-0005-0000-0000-0000154C0000}"/>
    <cellStyle name="Normal 2 33" xfId="19543" xr:uid="{00000000-0005-0000-0000-0000164C0000}"/>
    <cellStyle name="Normal 2 34" xfId="19544" xr:uid="{00000000-0005-0000-0000-0000174C0000}"/>
    <cellStyle name="Normal 2 35" xfId="19545" xr:uid="{00000000-0005-0000-0000-0000184C0000}"/>
    <cellStyle name="Normal 2 36" xfId="19546" xr:uid="{00000000-0005-0000-0000-0000194C0000}"/>
    <cellStyle name="Normal 2 37" xfId="19547" xr:uid="{00000000-0005-0000-0000-00001A4C0000}"/>
    <cellStyle name="Normal 2 38" xfId="19548" xr:uid="{00000000-0005-0000-0000-00001B4C0000}"/>
    <cellStyle name="Normal 2 39" xfId="19549" xr:uid="{00000000-0005-0000-0000-00001C4C0000}"/>
    <cellStyle name="Normal 2 4" xfId="154" xr:uid="{00000000-0005-0000-0000-00001D4C0000}"/>
    <cellStyle name="Normal 2 4 2" xfId="19550" xr:uid="{00000000-0005-0000-0000-00001E4C0000}"/>
    <cellStyle name="Normal 2 4 2 2" xfId="19551" xr:uid="{00000000-0005-0000-0000-00001F4C0000}"/>
    <cellStyle name="Normal 2 4 2 2 2" xfId="19552" xr:uid="{00000000-0005-0000-0000-0000204C0000}"/>
    <cellStyle name="Normal 2 4 2 2 2 2" xfId="19553" xr:uid="{00000000-0005-0000-0000-0000214C0000}"/>
    <cellStyle name="Normal 2 4 2 2 2 2 2" xfId="19554" xr:uid="{00000000-0005-0000-0000-0000224C0000}"/>
    <cellStyle name="Normal 2 4 2 2 2 3" xfId="19555" xr:uid="{00000000-0005-0000-0000-0000234C0000}"/>
    <cellStyle name="Normal 2 4 2 2 2 3 2" xfId="19556" xr:uid="{00000000-0005-0000-0000-0000244C0000}"/>
    <cellStyle name="Normal 2 4 2 2 2 4" xfId="19557" xr:uid="{00000000-0005-0000-0000-0000254C0000}"/>
    <cellStyle name="Normal 2 4 2 2 3" xfId="19558" xr:uid="{00000000-0005-0000-0000-0000264C0000}"/>
    <cellStyle name="Normal 2 4 2 2 3 2" xfId="19559" xr:uid="{00000000-0005-0000-0000-0000274C0000}"/>
    <cellStyle name="Normal 2 4 2 2 4" xfId="19560" xr:uid="{00000000-0005-0000-0000-0000284C0000}"/>
    <cellStyle name="Normal 2 4 2 2 4 2" xfId="19561" xr:uid="{00000000-0005-0000-0000-0000294C0000}"/>
    <cellStyle name="Normal 2 4 2 2 5" xfId="19562" xr:uid="{00000000-0005-0000-0000-00002A4C0000}"/>
    <cellStyle name="Normal 2 4 2 3" xfId="19563" xr:uid="{00000000-0005-0000-0000-00002B4C0000}"/>
    <cellStyle name="Normal 2 4 2 3 2" xfId="19564" xr:uid="{00000000-0005-0000-0000-00002C4C0000}"/>
    <cellStyle name="Normal 2 4 2 3 2 2" xfId="19565" xr:uid="{00000000-0005-0000-0000-00002D4C0000}"/>
    <cellStyle name="Normal 2 4 2 3 3" xfId="19566" xr:uid="{00000000-0005-0000-0000-00002E4C0000}"/>
    <cellStyle name="Normal 2 4 2 3 3 2" xfId="19567" xr:uid="{00000000-0005-0000-0000-00002F4C0000}"/>
    <cellStyle name="Normal 2 4 2 3 4" xfId="19568" xr:uid="{00000000-0005-0000-0000-0000304C0000}"/>
    <cellStyle name="Normal 2 4 2 4" xfId="19569" xr:uid="{00000000-0005-0000-0000-0000314C0000}"/>
    <cellStyle name="Normal 2 4 2 4 2" xfId="19570" xr:uid="{00000000-0005-0000-0000-0000324C0000}"/>
    <cellStyle name="Normal 2 4 2 4 2 2" xfId="19571" xr:uid="{00000000-0005-0000-0000-0000334C0000}"/>
    <cellStyle name="Normal 2 4 2 4 3" xfId="19572" xr:uid="{00000000-0005-0000-0000-0000344C0000}"/>
    <cellStyle name="Normal 2 4 2 5" xfId="19573" xr:uid="{00000000-0005-0000-0000-0000354C0000}"/>
    <cellStyle name="Normal 2 4 2 5 2" xfId="19574" xr:uid="{00000000-0005-0000-0000-0000364C0000}"/>
    <cellStyle name="Normal 2 4 2 6" xfId="19575" xr:uid="{00000000-0005-0000-0000-0000374C0000}"/>
    <cellStyle name="Normal 2 4 3" xfId="19576" xr:uid="{00000000-0005-0000-0000-0000384C0000}"/>
    <cellStyle name="Normal 2 4 3 2" xfId="19577" xr:uid="{00000000-0005-0000-0000-0000394C0000}"/>
    <cellStyle name="Normal 2 4 3 2 2" xfId="19578" xr:uid="{00000000-0005-0000-0000-00003A4C0000}"/>
    <cellStyle name="Normal 2 4 3 2_MO-CronPerm" xfId="19579" xr:uid="{00000000-0005-0000-0000-00003B4C0000}"/>
    <cellStyle name="Normal 2 4 3 3" xfId="19580" xr:uid="{00000000-0005-0000-0000-00003C4C0000}"/>
    <cellStyle name="Normal 2 4 3_MO-CronPerm" xfId="19581" xr:uid="{00000000-0005-0000-0000-00003D4C0000}"/>
    <cellStyle name="Normal 2 4 4" xfId="19582" xr:uid="{00000000-0005-0000-0000-00003E4C0000}"/>
    <cellStyle name="Normal 2 4 4 2" xfId="19583" xr:uid="{00000000-0005-0000-0000-00003F4C0000}"/>
    <cellStyle name="Normal 2 4 4 2 2" xfId="19584" xr:uid="{00000000-0005-0000-0000-0000404C0000}"/>
    <cellStyle name="Normal 2 4 4 2 2 2" xfId="19585" xr:uid="{00000000-0005-0000-0000-0000414C0000}"/>
    <cellStyle name="Normal 2 4 4 2 3" xfId="19586" xr:uid="{00000000-0005-0000-0000-0000424C0000}"/>
    <cellStyle name="Normal 2 4 4 2 3 2" xfId="19587" xr:uid="{00000000-0005-0000-0000-0000434C0000}"/>
    <cellStyle name="Normal 2 4 4 2 4" xfId="19588" xr:uid="{00000000-0005-0000-0000-0000444C0000}"/>
    <cellStyle name="Normal 2 4 4 3" xfId="19589" xr:uid="{00000000-0005-0000-0000-0000454C0000}"/>
    <cellStyle name="Normal 2 4 4 3 2" xfId="19590" xr:uid="{00000000-0005-0000-0000-0000464C0000}"/>
    <cellStyle name="Normal 2 4 4 3 2 2" xfId="19591" xr:uid="{00000000-0005-0000-0000-0000474C0000}"/>
    <cellStyle name="Normal 2 4 4 3 3" xfId="19592" xr:uid="{00000000-0005-0000-0000-0000484C0000}"/>
    <cellStyle name="Normal 2 4 4 3 3 2" xfId="19593" xr:uid="{00000000-0005-0000-0000-0000494C0000}"/>
    <cellStyle name="Normal 2 4 4 3 4" xfId="19594" xr:uid="{00000000-0005-0000-0000-00004A4C0000}"/>
    <cellStyle name="Normal 2 4 4 4" xfId="19595" xr:uid="{00000000-0005-0000-0000-00004B4C0000}"/>
    <cellStyle name="Normal 2 4 4 4 2" xfId="19596" xr:uid="{00000000-0005-0000-0000-00004C4C0000}"/>
    <cellStyle name="Normal 2 4 4 5" xfId="19597" xr:uid="{00000000-0005-0000-0000-00004D4C0000}"/>
    <cellStyle name="Normal 2 4 4 5 2" xfId="19598" xr:uid="{00000000-0005-0000-0000-00004E4C0000}"/>
    <cellStyle name="Normal 2 4 4 6" xfId="19599" xr:uid="{00000000-0005-0000-0000-00004F4C0000}"/>
    <cellStyle name="Normal 2 4 4_MO-CronPerm" xfId="19600" xr:uid="{00000000-0005-0000-0000-0000504C0000}"/>
    <cellStyle name="Normal 2 4 5" xfId="19601" xr:uid="{00000000-0005-0000-0000-0000514C0000}"/>
    <cellStyle name="Normal 2 4 5 2" xfId="19602" xr:uid="{00000000-0005-0000-0000-0000524C0000}"/>
    <cellStyle name="Normal 2 4 5 2 2" xfId="19603" xr:uid="{00000000-0005-0000-0000-0000534C0000}"/>
    <cellStyle name="Normal 2 4 5 3" xfId="19604" xr:uid="{00000000-0005-0000-0000-0000544C0000}"/>
    <cellStyle name="Normal 2 4 6" xfId="19605" xr:uid="{00000000-0005-0000-0000-0000554C0000}"/>
    <cellStyle name="Normal 2 4 6 2" xfId="19606" xr:uid="{00000000-0005-0000-0000-0000564C0000}"/>
    <cellStyle name="Normal 2 4 7" xfId="19607" xr:uid="{00000000-0005-0000-0000-0000574C0000}"/>
    <cellStyle name="Normal 2 4_MO-CronPerm" xfId="19608" xr:uid="{00000000-0005-0000-0000-0000584C0000}"/>
    <cellStyle name="Normal 2 40" xfId="19609" xr:uid="{00000000-0005-0000-0000-0000594C0000}"/>
    <cellStyle name="Normal 2 41" xfId="19610" xr:uid="{00000000-0005-0000-0000-00005A4C0000}"/>
    <cellStyle name="Normal 2 42" xfId="19611" xr:uid="{00000000-0005-0000-0000-00005B4C0000}"/>
    <cellStyle name="Normal 2 43" xfId="19612" xr:uid="{00000000-0005-0000-0000-00005C4C0000}"/>
    <cellStyle name="Normal 2 44" xfId="19613" xr:uid="{00000000-0005-0000-0000-00005D4C0000}"/>
    <cellStyle name="Normal 2 45" xfId="19614" xr:uid="{00000000-0005-0000-0000-00005E4C0000}"/>
    <cellStyle name="Normal 2 46" xfId="19615" xr:uid="{00000000-0005-0000-0000-00005F4C0000}"/>
    <cellStyle name="Normal 2 47" xfId="19616" xr:uid="{00000000-0005-0000-0000-0000604C0000}"/>
    <cellStyle name="Normal 2 48" xfId="19617" xr:uid="{00000000-0005-0000-0000-0000614C0000}"/>
    <cellStyle name="Normal 2 49" xfId="19618" xr:uid="{00000000-0005-0000-0000-0000624C0000}"/>
    <cellStyle name="Normal 2 5" xfId="19619" xr:uid="{00000000-0005-0000-0000-0000634C0000}"/>
    <cellStyle name="Normal 2 5 10" xfId="19620" xr:uid="{00000000-0005-0000-0000-0000644C0000}"/>
    <cellStyle name="Normal 2 5 10 2" xfId="19621" xr:uid="{00000000-0005-0000-0000-0000654C0000}"/>
    <cellStyle name="Normal 2 5 11" xfId="19622" xr:uid="{00000000-0005-0000-0000-0000664C0000}"/>
    <cellStyle name="Normal 2 5 2" xfId="19623" xr:uid="{00000000-0005-0000-0000-0000674C0000}"/>
    <cellStyle name="Normal 2 5 2 2" xfId="19624" xr:uid="{00000000-0005-0000-0000-0000684C0000}"/>
    <cellStyle name="Normal 2 5 2 2 2" xfId="19625" xr:uid="{00000000-0005-0000-0000-0000694C0000}"/>
    <cellStyle name="Normal 2 5 2 2 2 2" xfId="19626" xr:uid="{00000000-0005-0000-0000-00006A4C0000}"/>
    <cellStyle name="Normal 2 5 2 2 2 2 2" xfId="19627" xr:uid="{00000000-0005-0000-0000-00006B4C0000}"/>
    <cellStyle name="Normal 2 5 2 2 2 3" xfId="19628" xr:uid="{00000000-0005-0000-0000-00006C4C0000}"/>
    <cellStyle name="Normal 2 5 2 2 2 3 2" xfId="19629" xr:uid="{00000000-0005-0000-0000-00006D4C0000}"/>
    <cellStyle name="Normal 2 5 2 2 2 4" xfId="19630" xr:uid="{00000000-0005-0000-0000-00006E4C0000}"/>
    <cellStyle name="Normal 2 5 2 2 3" xfId="19631" xr:uid="{00000000-0005-0000-0000-00006F4C0000}"/>
    <cellStyle name="Normal 2 5 2 2 3 2" xfId="19632" xr:uid="{00000000-0005-0000-0000-0000704C0000}"/>
    <cellStyle name="Normal 2 5 2 2 3 2 2" xfId="19633" xr:uid="{00000000-0005-0000-0000-0000714C0000}"/>
    <cellStyle name="Normal 2 5 2 2 3 3" xfId="19634" xr:uid="{00000000-0005-0000-0000-0000724C0000}"/>
    <cellStyle name="Normal 2 5 2 2 3 3 2" xfId="19635" xr:uid="{00000000-0005-0000-0000-0000734C0000}"/>
    <cellStyle name="Normal 2 5 2 2 3 4" xfId="19636" xr:uid="{00000000-0005-0000-0000-0000744C0000}"/>
    <cellStyle name="Normal 2 5 2 2 4" xfId="19637" xr:uid="{00000000-0005-0000-0000-0000754C0000}"/>
    <cellStyle name="Normal 2 5 2 2 4 2" xfId="19638" xr:uid="{00000000-0005-0000-0000-0000764C0000}"/>
    <cellStyle name="Normal 2 5 2 2 5" xfId="19639" xr:uid="{00000000-0005-0000-0000-0000774C0000}"/>
    <cellStyle name="Normal 2 5 2 2 5 2" xfId="19640" xr:uid="{00000000-0005-0000-0000-0000784C0000}"/>
    <cellStyle name="Normal 2 5 2 2 6" xfId="19641" xr:uid="{00000000-0005-0000-0000-0000794C0000}"/>
    <cellStyle name="Normal 2 5 2 2_MO-CronPerm" xfId="19642" xr:uid="{00000000-0005-0000-0000-00007A4C0000}"/>
    <cellStyle name="Normal 2 5 2 3" xfId="19643" xr:uid="{00000000-0005-0000-0000-00007B4C0000}"/>
    <cellStyle name="Normal 2 5 2 3 2" xfId="19644" xr:uid="{00000000-0005-0000-0000-00007C4C0000}"/>
    <cellStyle name="Normal 2 5 2 3 2 2" xfId="19645" xr:uid="{00000000-0005-0000-0000-00007D4C0000}"/>
    <cellStyle name="Normal 2 5 2 3 3" xfId="19646" xr:uid="{00000000-0005-0000-0000-00007E4C0000}"/>
    <cellStyle name="Normal 2 5 2 3 3 2" xfId="19647" xr:uid="{00000000-0005-0000-0000-00007F4C0000}"/>
    <cellStyle name="Normal 2 5 2 3 4" xfId="19648" xr:uid="{00000000-0005-0000-0000-0000804C0000}"/>
    <cellStyle name="Normal 2 5 2 4" xfId="19649" xr:uid="{00000000-0005-0000-0000-0000814C0000}"/>
    <cellStyle name="Normal 2 5 2 4 2" xfId="19650" xr:uid="{00000000-0005-0000-0000-0000824C0000}"/>
    <cellStyle name="Normal 2 5 2 4 2 2" xfId="19651" xr:uid="{00000000-0005-0000-0000-0000834C0000}"/>
    <cellStyle name="Normal 2 5 2 4 3" xfId="19652" xr:uid="{00000000-0005-0000-0000-0000844C0000}"/>
    <cellStyle name="Normal 2 5 2 5" xfId="19653" xr:uid="{00000000-0005-0000-0000-0000854C0000}"/>
    <cellStyle name="Normal 2 5 2 5 2" xfId="19654" xr:uid="{00000000-0005-0000-0000-0000864C0000}"/>
    <cellStyle name="Normal 2 5 2 5 2 2" xfId="19655" xr:uid="{00000000-0005-0000-0000-0000874C0000}"/>
    <cellStyle name="Normal 2 5 2 5 3" xfId="19656" xr:uid="{00000000-0005-0000-0000-0000884C0000}"/>
    <cellStyle name="Normal 2 5 2 6" xfId="19657" xr:uid="{00000000-0005-0000-0000-0000894C0000}"/>
    <cellStyle name="Normal 2 5 2 6 2" xfId="19658" xr:uid="{00000000-0005-0000-0000-00008A4C0000}"/>
    <cellStyle name="Normal 2 5 2 6 2 2" xfId="19659" xr:uid="{00000000-0005-0000-0000-00008B4C0000}"/>
    <cellStyle name="Normal 2 5 2 6 3" xfId="19660" xr:uid="{00000000-0005-0000-0000-00008C4C0000}"/>
    <cellStyle name="Normal 2 5 2 7" xfId="19661" xr:uid="{00000000-0005-0000-0000-00008D4C0000}"/>
    <cellStyle name="Normal 2 5 2 7 2" xfId="19662" xr:uid="{00000000-0005-0000-0000-00008E4C0000}"/>
    <cellStyle name="Normal 2 5 2 7 2 2" xfId="19663" xr:uid="{00000000-0005-0000-0000-00008F4C0000}"/>
    <cellStyle name="Normal 2 5 2 7 3" xfId="19664" xr:uid="{00000000-0005-0000-0000-0000904C0000}"/>
    <cellStyle name="Normal 2 5 2 8" xfId="19665" xr:uid="{00000000-0005-0000-0000-0000914C0000}"/>
    <cellStyle name="Normal 2 5 2 8 2" xfId="19666" xr:uid="{00000000-0005-0000-0000-0000924C0000}"/>
    <cellStyle name="Normal 2 5 2 9" xfId="19667" xr:uid="{00000000-0005-0000-0000-0000934C0000}"/>
    <cellStyle name="Normal 2 5 2_MO-CronPerm" xfId="19668" xr:uid="{00000000-0005-0000-0000-0000944C0000}"/>
    <cellStyle name="Normal 2 5 3" xfId="19669" xr:uid="{00000000-0005-0000-0000-0000954C0000}"/>
    <cellStyle name="Normal 2 5 3 2" xfId="19670" xr:uid="{00000000-0005-0000-0000-0000964C0000}"/>
    <cellStyle name="Normal 2 5 3 2 2" xfId="19671" xr:uid="{00000000-0005-0000-0000-0000974C0000}"/>
    <cellStyle name="Normal 2 5 3 2 2 2" xfId="19672" xr:uid="{00000000-0005-0000-0000-0000984C0000}"/>
    <cellStyle name="Normal 2 5 3 2 3" xfId="19673" xr:uid="{00000000-0005-0000-0000-0000994C0000}"/>
    <cellStyle name="Normal 2 5 3 2 3 2" xfId="19674" xr:uid="{00000000-0005-0000-0000-00009A4C0000}"/>
    <cellStyle name="Normal 2 5 3 2 4" xfId="19675" xr:uid="{00000000-0005-0000-0000-00009B4C0000}"/>
    <cellStyle name="Normal 2 5 3 3" xfId="19676" xr:uid="{00000000-0005-0000-0000-00009C4C0000}"/>
    <cellStyle name="Normal 2 5 3 3 2" xfId="19677" xr:uid="{00000000-0005-0000-0000-00009D4C0000}"/>
    <cellStyle name="Normal 2 5 3 3 2 2" xfId="19678" xr:uid="{00000000-0005-0000-0000-00009E4C0000}"/>
    <cellStyle name="Normal 2 5 3 3 3" xfId="19679" xr:uid="{00000000-0005-0000-0000-00009F4C0000}"/>
    <cellStyle name="Normal 2 5 3 3 3 2" xfId="19680" xr:uid="{00000000-0005-0000-0000-0000A04C0000}"/>
    <cellStyle name="Normal 2 5 3 3 4" xfId="19681" xr:uid="{00000000-0005-0000-0000-0000A14C0000}"/>
    <cellStyle name="Normal 2 5 3 4" xfId="19682" xr:uid="{00000000-0005-0000-0000-0000A24C0000}"/>
    <cellStyle name="Normal 2 5 3 4 2" xfId="19683" xr:uid="{00000000-0005-0000-0000-0000A34C0000}"/>
    <cellStyle name="Normal 2 5 3 5" xfId="19684" xr:uid="{00000000-0005-0000-0000-0000A44C0000}"/>
    <cellStyle name="Normal 2 5 3 5 2" xfId="19685" xr:uid="{00000000-0005-0000-0000-0000A54C0000}"/>
    <cellStyle name="Normal 2 5 3 6" xfId="19686" xr:uid="{00000000-0005-0000-0000-0000A64C0000}"/>
    <cellStyle name="Normal 2 5 3_MO-CronPerm" xfId="19687" xr:uid="{00000000-0005-0000-0000-0000A74C0000}"/>
    <cellStyle name="Normal 2 5 4" xfId="19688" xr:uid="{00000000-0005-0000-0000-0000A84C0000}"/>
    <cellStyle name="Normal 2 5 4 2" xfId="19689" xr:uid="{00000000-0005-0000-0000-0000A94C0000}"/>
    <cellStyle name="Normal 2 5 4 2 2" xfId="19690" xr:uid="{00000000-0005-0000-0000-0000AA4C0000}"/>
    <cellStyle name="Normal 2 5 4 2 2 2" xfId="19691" xr:uid="{00000000-0005-0000-0000-0000AB4C0000}"/>
    <cellStyle name="Normal 2 5 4 2 3" xfId="19692" xr:uid="{00000000-0005-0000-0000-0000AC4C0000}"/>
    <cellStyle name="Normal 2 5 4 2 3 2" xfId="19693" xr:uid="{00000000-0005-0000-0000-0000AD4C0000}"/>
    <cellStyle name="Normal 2 5 4 2 4" xfId="19694" xr:uid="{00000000-0005-0000-0000-0000AE4C0000}"/>
    <cellStyle name="Normal 2 5 4 3" xfId="19695" xr:uid="{00000000-0005-0000-0000-0000AF4C0000}"/>
    <cellStyle name="Normal 2 5 4 3 2" xfId="19696" xr:uid="{00000000-0005-0000-0000-0000B04C0000}"/>
    <cellStyle name="Normal 2 5 4 3 2 2" xfId="19697" xr:uid="{00000000-0005-0000-0000-0000B14C0000}"/>
    <cellStyle name="Normal 2 5 4 3 3" xfId="19698" xr:uid="{00000000-0005-0000-0000-0000B24C0000}"/>
    <cellStyle name="Normal 2 5 4 3 3 2" xfId="19699" xr:uid="{00000000-0005-0000-0000-0000B34C0000}"/>
    <cellStyle name="Normal 2 5 4 3 4" xfId="19700" xr:uid="{00000000-0005-0000-0000-0000B44C0000}"/>
    <cellStyle name="Normal 2 5 4 4" xfId="19701" xr:uid="{00000000-0005-0000-0000-0000B54C0000}"/>
    <cellStyle name="Normal 2 5 4 4 2" xfId="19702" xr:uid="{00000000-0005-0000-0000-0000B64C0000}"/>
    <cellStyle name="Normal 2 5 4 5" xfId="19703" xr:uid="{00000000-0005-0000-0000-0000B74C0000}"/>
    <cellStyle name="Normal 2 5 4 5 2" xfId="19704" xr:uid="{00000000-0005-0000-0000-0000B84C0000}"/>
    <cellStyle name="Normal 2 5 4 6" xfId="19705" xr:uid="{00000000-0005-0000-0000-0000B94C0000}"/>
    <cellStyle name="Normal 2 5 5" xfId="19706" xr:uid="{00000000-0005-0000-0000-0000BA4C0000}"/>
    <cellStyle name="Normal 2 5 5 2" xfId="19707" xr:uid="{00000000-0005-0000-0000-0000BB4C0000}"/>
    <cellStyle name="Normal 2 5 5 2 2" xfId="19708" xr:uid="{00000000-0005-0000-0000-0000BC4C0000}"/>
    <cellStyle name="Normal 2 5 5 3" xfId="19709" xr:uid="{00000000-0005-0000-0000-0000BD4C0000}"/>
    <cellStyle name="Normal 2 5 5 3 2" xfId="19710" xr:uid="{00000000-0005-0000-0000-0000BE4C0000}"/>
    <cellStyle name="Normal 2 5 5 4" xfId="19711" xr:uid="{00000000-0005-0000-0000-0000BF4C0000}"/>
    <cellStyle name="Normal 2 5 6" xfId="19712" xr:uid="{00000000-0005-0000-0000-0000C04C0000}"/>
    <cellStyle name="Normal 2 5 6 2" xfId="19713" xr:uid="{00000000-0005-0000-0000-0000C14C0000}"/>
    <cellStyle name="Normal 2 5 6 2 2" xfId="19714" xr:uid="{00000000-0005-0000-0000-0000C24C0000}"/>
    <cellStyle name="Normal 2 5 6 3" xfId="19715" xr:uid="{00000000-0005-0000-0000-0000C34C0000}"/>
    <cellStyle name="Normal 2 5 7" xfId="19716" xr:uid="{00000000-0005-0000-0000-0000C44C0000}"/>
    <cellStyle name="Normal 2 5 7 2" xfId="19717" xr:uid="{00000000-0005-0000-0000-0000C54C0000}"/>
    <cellStyle name="Normal 2 5 7 2 2" xfId="19718" xr:uid="{00000000-0005-0000-0000-0000C64C0000}"/>
    <cellStyle name="Normal 2 5 7 3" xfId="19719" xr:uid="{00000000-0005-0000-0000-0000C74C0000}"/>
    <cellStyle name="Normal 2 5 8" xfId="19720" xr:uid="{00000000-0005-0000-0000-0000C84C0000}"/>
    <cellStyle name="Normal 2 5 8 2" xfId="19721" xr:uid="{00000000-0005-0000-0000-0000C94C0000}"/>
    <cellStyle name="Normal 2 5 8 2 2" xfId="19722" xr:uid="{00000000-0005-0000-0000-0000CA4C0000}"/>
    <cellStyle name="Normal 2 5 8 3" xfId="19723" xr:uid="{00000000-0005-0000-0000-0000CB4C0000}"/>
    <cellStyle name="Normal 2 5 9" xfId="19724" xr:uid="{00000000-0005-0000-0000-0000CC4C0000}"/>
    <cellStyle name="Normal 2 5 9 2" xfId="19725" xr:uid="{00000000-0005-0000-0000-0000CD4C0000}"/>
    <cellStyle name="Normal 2 5 9 2 2" xfId="19726" xr:uid="{00000000-0005-0000-0000-0000CE4C0000}"/>
    <cellStyle name="Normal 2 5 9 3" xfId="19727" xr:uid="{00000000-0005-0000-0000-0000CF4C0000}"/>
    <cellStyle name="Normal 2 5_MO-CronPerm" xfId="19728" xr:uid="{00000000-0005-0000-0000-0000D04C0000}"/>
    <cellStyle name="Normal 2 50" xfId="19729" xr:uid="{00000000-0005-0000-0000-0000D14C0000}"/>
    <cellStyle name="Normal 2 51" xfId="19730" xr:uid="{00000000-0005-0000-0000-0000D24C0000}"/>
    <cellStyle name="Normal 2 52" xfId="19731" xr:uid="{00000000-0005-0000-0000-0000D34C0000}"/>
    <cellStyle name="Normal 2 53" xfId="19732" xr:uid="{00000000-0005-0000-0000-0000D44C0000}"/>
    <cellStyle name="Normal 2 54" xfId="19733" xr:uid="{00000000-0005-0000-0000-0000D54C0000}"/>
    <cellStyle name="Normal 2 55" xfId="19734" xr:uid="{00000000-0005-0000-0000-0000D64C0000}"/>
    <cellStyle name="Normal 2 56" xfId="19735" xr:uid="{00000000-0005-0000-0000-0000D74C0000}"/>
    <cellStyle name="Normal 2 57" xfId="19736" xr:uid="{00000000-0005-0000-0000-0000D84C0000}"/>
    <cellStyle name="Normal 2 58" xfId="19737" xr:uid="{00000000-0005-0000-0000-0000D94C0000}"/>
    <cellStyle name="Normal 2 59" xfId="19738" xr:uid="{00000000-0005-0000-0000-0000DA4C0000}"/>
    <cellStyle name="Normal 2 6" xfId="19739" xr:uid="{00000000-0005-0000-0000-0000DB4C0000}"/>
    <cellStyle name="Normal 2 6 10" xfId="19740" xr:uid="{00000000-0005-0000-0000-0000DC4C0000}"/>
    <cellStyle name="Normal 2 6 10 2" xfId="19741" xr:uid="{00000000-0005-0000-0000-0000DD4C0000}"/>
    <cellStyle name="Normal 2 6 11" xfId="19742" xr:uid="{00000000-0005-0000-0000-0000DE4C0000}"/>
    <cellStyle name="Normal 2 6 2" xfId="19743" xr:uid="{00000000-0005-0000-0000-0000DF4C0000}"/>
    <cellStyle name="Normal 2 6 2 2" xfId="19744" xr:uid="{00000000-0005-0000-0000-0000E04C0000}"/>
    <cellStyle name="Normal 2 6 2 2 2" xfId="19745" xr:uid="{00000000-0005-0000-0000-0000E14C0000}"/>
    <cellStyle name="Normal 2 6 2 2 2 2" xfId="19746" xr:uid="{00000000-0005-0000-0000-0000E24C0000}"/>
    <cellStyle name="Normal 2 6 2 2 2 2 2" xfId="19747" xr:uid="{00000000-0005-0000-0000-0000E34C0000}"/>
    <cellStyle name="Normal 2 6 2 2 2 3" xfId="19748" xr:uid="{00000000-0005-0000-0000-0000E44C0000}"/>
    <cellStyle name="Normal 2 6 2 2 2 3 2" xfId="19749" xr:uid="{00000000-0005-0000-0000-0000E54C0000}"/>
    <cellStyle name="Normal 2 6 2 2 2 4" xfId="19750" xr:uid="{00000000-0005-0000-0000-0000E64C0000}"/>
    <cellStyle name="Normal 2 6 2 2 3" xfId="19751" xr:uid="{00000000-0005-0000-0000-0000E74C0000}"/>
    <cellStyle name="Normal 2 6 2 2 3 2" xfId="19752" xr:uid="{00000000-0005-0000-0000-0000E84C0000}"/>
    <cellStyle name="Normal 2 6 2 2 3 2 2" xfId="19753" xr:uid="{00000000-0005-0000-0000-0000E94C0000}"/>
    <cellStyle name="Normal 2 6 2 2 3 3" xfId="19754" xr:uid="{00000000-0005-0000-0000-0000EA4C0000}"/>
    <cellStyle name="Normal 2 6 2 2 3 3 2" xfId="19755" xr:uid="{00000000-0005-0000-0000-0000EB4C0000}"/>
    <cellStyle name="Normal 2 6 2 2 3 4" xfId="19756" xr:uid="{00000000-0005-0000-0000-0000EC4C0000}"/>
    <cellStyle name="Normal 2 6 2 2 4" xfId="19757" xr:uid="{00000000-0005-0000-0000-0000ED4C0000}"/>
    <cellStyle name="Normal 2 6 2 2 4 2" xfId="19758" xr:uid="{00000000-0005-0000-0000-0000EE4C0000}"/>
    <cellStyle name="Normal 2 6 2 2 5" xfId="19759" xr:uid="{00000000-0005-0000-0000-0000EF4C0000}"/>
    <cellStyle name="Normal 2 6 2 2 5 2" xfId="19760" xr:uid="{00000000-0005-0000-0000-0000F04C0000}"/>
    <cellStyle name="Normal 2 6 2 2 6" xfId="19761" xr:uid="{00000000-0005-0000-0000-0000F14C0000}"/>
    <cellStyle name="Normal 2 6 2 2_MO-CronPerm" xfId="19762" xr:uid="{00000000-0005-0000-0000-0000F24C0000}"/>
    <cellStyle name="Normal 2 6 2 3" xfId="19763" xr:uid="{00000000-0005-0000-0000-0000F34C0000}"/>
    <cellStyle name="Normal 2 6 2 3 2" xfId="19764" xr:uid="{00000000-0005-0000-0000-0000F44C0000}"/>
    <cellStyle name="Normal 2 6 2 3 2 2" xfId="19765" xr:uid="{00000000-0005-0000-0000-0000F54C0000}"/>
    <cellStyle name="Normal 2 6 2 3 3" xfId="19766" xr:uid="{00000000-0005-0000-0000-0000F64C0000}"/>
    <cellStyle name="Normal 2 6 2 3 3 2" xfId="19767" xr:uid="{00000000-0005-0000-0000-0000F74C0000}"/>
    <cellStyle name="Normal 2 6 2 3 4" xfId="19768" xr:uid="{00000000-0005-0000-0000-0000F84C0000}"/>
    <cellStyle name="Normal 2 6 2 4" xfId="19769" xr:uid="{00000000-0005-0000-0000-0000F94C0000}"/>
    <cellStyle name="Normal 2 6 2 4 2" xfId="19770" xr:uid="{00000000-0005-0000-0000-0000FA4C0000}"/>
    <cellStyle name="Normal 2 6 2 4 2 2" xfId="19771" xr:uid="{00000000-0005-0000-0000-0000FB4C0000}"/>
    <cellStyle name="Normal 2 6 2 4 3" xfId="19772" xr:uid="{00000000-0005-0000-0000-0000FC4C0000}"/>
    <cellStyle name="Normal 2 6 2 5" xfId="19773" xr:uid="{00000000-0005-0000-0000-0000FD4C0000}"/>
    <cellStyle name="Normal 2 6 2 5 2" xfId="19774" xr:uid="{00000000-0005-0000-0000-0000FE4C0000}"/>
    <cellStyle name="Normal 2 6 2 5 2 2" xfId="19775" xr:uid="{00000000-0005-0000-0000-0000FF4C0000}"/>
    <cellStyle name="Normal 2 6 2 5 3" xfId="19776" xr:uid="{00000000-0005-0000-0000-0000004D0000}"/>
    <cellStyle name="Normal 2 6 2 6" xfId="19777" xr:uid="{00000000-0005-0000-0000-0000014D0000}"/>
    <cellStyle name="Normal 2 6 2 6 2" xfId="19778" xr:uid="{00000000-0005-0000-0000-0000024D0000}"/>
    <cellStyle name="Normal 2 6 2 6 2 2" xfId="19779" xr:uid="{00000000-0005-0000-0000-0000034D0000}"/>
    <cellStyle name="Normal 2 6 2 6 3" xfId="19780" xr:uid="{00000000-0005-0000-0000-0000044D0000}"/>
    <cellStyle name="Normal 2 6 2 7" xfId="19781" xr:uid="{00000000-0005-0000-0000-0000054D0000}"/>
    <cellStyle name="Normal 2 6 2 7 2" xfId="19782" xr:uid="{00000000-0005-0000-0000-0000064D0000}"/>
    <cellStyle name="Normal 2 6 2 7 2 2" xfId="19783" xr:uid="{00000000-0005-0000-0000-0000074D0000}"/>
    <cellStyle name="Normal 2 6 2 7 3" xfId="19784" xr:uid="{00000000-0005-0000-0000-0000084D0000}"/>
    <cellStyle name="Normal 2 6 2 8" xfId="19785" xr:uid="{00000000-0005-0000-0000-0000094D0000}"/>
    <cellStyle name="Normal 2 6 2 8 2" xfId="19786" xr:uid="{00000000-0005-0000-0000-00000A4D0000}"/>
    <cellStyle name="Normal 2 6 2 9" xfId="19787" xr:uid="{00000000-0005-0000-0000-00000B4D0000}"/>
    <cellStyle name="Normal 2 6 2_MO-CronPerm" xfId="19788" xr:uid="{00000000-0005-0000-0000-00000C4D0000}"/>
    <cellStyle name="Normal 2 6 3" xfId="19789" xr:uid="{00000000-0005-0000-0000-00000D4D0000}"/>
    <cellStyle name="Normal 2 6 3 2" xfId="19790" xr:uid="{00000000-0005-0000-0000-00000E4D0000}"/>
    <cellStyle name="Normal 2 6 3 2 2" xfId="19791" xr:uid="{00000000-0005-0000-0000-00000F4D0000}"/>
    <cellStyle name="Normal 2 6 3 2 2 2" xfId="19792" xr:uid="{00000000-0005-0000-0000-0000104D0000}"/>
    <cellStyle name="Normal 2 6 3 2 3" xfId="19793" xr:uid="{00000000-0005-0000-0000-0000114D0000}"/>
    <cellStyle name="Normal 2 6 3 2 3 2" xfId="19794" xr:uid="{00000000-0005-0000-0000-0000124D0000}"/>
    <cellStyle name="Normal 2 6 3 2 4" xfId="19795" xr:uid="{00000000-0005-0000-0000-0000134D0000}"/>
    <cellStyle name="Normal 2 6 3 3" xfId="19796" xr:uid="{00000000-0005-0000-0000-0000144D0000}"/>
    <cellStyle name="Normal 2 6 3 3 2" xfId="19797" xr:uid="{00000000-0005-0000-0000-0000154D0000}"/>
    <cellStyle name="Normal 2 6 3 3 2 2" xfId="19798" xr:uid="{00000000-0005-0000-0000-0000164D0000}"/>
    <cellStyle name="Normal 2 6 3 3 3" xfId="19799" xr:uid="{00000000-0005-0000-0000-0000174D0000}"/>
    <cellStyle name="Normal 2 6 3 3 3 2" xfId="19800" xr:uid="{00000000-0005-0000-0000-0000184D0000}"/>
    <cellStyle name="Normal 2 6 3 3 4" xfId="19801" xr:uid="{00000000-0005-0000-0000-0000194D0000}"/>
    <cellStyle name="Normal 2 6 3 4" xfId="19802" xr:uid="{00000000-0005-0000-0000-00001A4D0000}"/>
    <cellStyle name="Normal 2 6 3 4 2" xfId="19803" xr:uid="{00000000-0005-0000-0000-00001B4D0000}"/>
    <cellStyle name="Normal 2 6 3 5" xfId="19804" xr:uid="{00000000-0005-0000-0000-00001C4D0000}"/>
    <cellStyle name="Normal 2 6 3 5 2" xfId="19805" xr:uid="{00000000-0005-0000-0000-00001D4D0000}"/>
    <cellStyle name="Normal 2 6 3 6" xfId="19806" xr:uid="{00000000-0005-0000-0000-00001E4D0000}"/>
    <cellStyle name="Normal 2 6 3_MO-CronPerm" xfId="19807" xr:uid="{00000000-0005-0000-0000-00001F4D0000}"/>
    <cellStyle name="Normal 2 6 4" xfId="19808" xr:uid="{00000000-0005-0000-0000-0000204D0000}"/>
    <cellStyle name="Normal 2 6 4 2" xfId="19809" xr:uid="{00000000-0005-0000-0000-0000214D0000}"/>
    <cellStyle name="Normal 2 6 4 2 2" xfId="19810" xr:uid="{00000000-0005-0000-0000-0000224D0000}"/>
    <cellStyle name="Normal 2 6 4 2 2 2" xfId="19811" xr:uid="{00000000-0005-0000-0000-0000234D0000}"/>
    <cellStyle name="Normal 2 6 4 2 3" xfId="19812" xr:uid="{00000000-0005-0000-0000-0000244D0000}"/>
    <cellStyle name="Normal 2 6 4 2 3 2" xfId="19813" xr:uid="{00000000-0005-0000-0000-0000254D0000}"/>
    <cellStyle name="Normal 2 6 4 2 4" xfId="19814" xr:uid="{00000000-0005-0000-0000-0000264D0000}"/>
    <cellStyle name="Normal 2 6 4 3" xfId="19815" xr:uid="{00000000-0005-0000-0000-0000274D0000}"/>
    <cellStyle name="Normal 2 6 4 3 2" xfId="19816" xr:uid="{00000000-0005-0000-0000-0000284D0000}"/>
    <cellStyle name="Normal 2 6 4 3 2 2" xfId="19817" xr:uid="{00000000-0005-0000-0000-0000294D0000}"/>
    <cellStyle name="Normal 2 6 4 3 3" xfId="19818" xr:uid="{00000000-0005-0000-0000-00002A4D0000}"/>
    <cellStyle name="Normal 2 6 4 3 3 2" xfId="19819" xr:uid="{00000000-0005-0000-0000-00002B4D0000}"/>
    <cellStyle name="Normal 2 6 4 3 4" xfId="19820" xr:uid="{00000000-0005-0000-0000-00002C4D0000}"/>
    <cellStyle name="Normal 2 6 4 4" xfId="19821" xr:uid="{00000000-0005-0000-0000-00002D4D0000}"/>
    <cellStyle name="Normal 2 6 4 4 2" xfId="19822" xr:uid="{00000000-0005-0000-0000-00002E4D0000}"/>
    <cellStyle name="Normal 2 6 4 5" xfId="19823" xr:uid="{00000000-0005-0000-0000-00002F4D0000}"/>
    <cellStyle name="Normal 2 6 4 5 2" xfId="19824" xr:uid="{00000000-0005-0000-0000-0000304D0000}"/>
    <cellStyle name="Normal 2 6 4 6" xfId="19825" xr:uid="{00000000-0005-0000-0000-0000314D0000}"/>
    <cellStyle name="Normal 2 6 5" xfId="19826" xr:uid="{00000000-0005-0000-0000-0000324D0000}"/>
    <cellStyle name="Normal 2 6 5 2" xfId="19827" xr:uid="{00000000-0005-0000-0000-0000334D0000}"/>
    <cellStyle name="Normal 2 6 5 2 2" xfId="19828" xr:uid="{00000000-0005-0000-0000-0000344D0000}"/>
    <cellStyle name="Normal 2 6 5 3" xfId="19829" xr:uid="{00000000-0005-0000-0000-0000354D0000}"/>
    <cellStyle name="Normal 2 6 5 3 2" xfId="19830" xr:uid="{00000000-0005-0000-0000-0000364D0000}"/>
    <cellStyle name="Normal 2 6 5 4" xfId="19831" xr:uid="{00000000-0005-0000-0000-0000374D0000}"/>
    <cellStyle name="Normal 2 6 6" xfId="19832" xr:uid="{00000000-0005-0000-0000-0000384D0000}"/>
    <cellStyle name="Normal 2 6 6 2" xfId="19833" xr:uid="{00000000-0005-0000-0000-0000394D0000}"/>
    <cellStyle name="Normal 2 6 6 2 2" xfId="19834" xr:uid="{00000000-0005-0000-0000-00003A4D0000}"/>
    <cellStyle name="Normal 2 6 6 3" xfId="19835" xr:uid="{00000000-0005-0000-0000-00003B4D0000}"/>
    <cellStyle name="Normal 2 6 7" xfId="19836" xr:uid="{00000000-0005-0000-0000-00003C4D0000}"/>
    <cellStyle name="Normal 2 6 7 2" xfId="19837" xr:uid="{00000000-0005-0000-0000-00003D4D0000}"/>
    <cellStyle name="Normal 2 6 7 2 2" xfId="19838" xr:uid="{00000000-0005-0000-0000-00003E4D0000}"/>
    <cellStyle name="Normal 2 6 7 3" xfId="19839" xr:uid="{00000000-0005-0000-0000-00003F4D0000}"/>
    <cellStyle name="Normal 2 6 8" xfId="19840" xr:uid="{00000000-0005-0000-0000-0000404D0000}"/>
    <cellStyle name="Normal 2 6 8 2" xfId="19841" xr:uid="{00000000-0005-0000-0000-0000414D0000}"/>
    <cellStyle name="Normal 2 6 8 2 2" xfId="19842" xr:uid="{00000000-0005-0000-0000-0000424D0000}"/>
    <cellStyle name="Normal 2 6 8 3" xfId="19843" xr:uid="{00000000-0005-0000-0000-0000434D0000}"/>
    <cellStyle name="Normal 2 6 9" xfId="19844" xr:uid="{00000000-0005-0000-0000-0000444D0000}"/>
    <cellStyle name="Normal 2 6 9 2" xfId="19845" xr:uid="{00000000-0005-0000-0000-0000454D0000}"/>
    <cellStyle name="Normal 2 6 9 2 2" xfId="19846" xr:uid="{00000000-0005-0000-0000-0000464D0000}"/>
    <cellStyle name="Normal 2 6 9 3" xfId="19847" xr:uid="{00000000-0005-0000-0000-0000474D0000}"/>
    <cellStyle name="Normal 2 6_MO-CronPerm" xfId="19848" xr:uid="{00000000-0005-0000-0000-0000484D0000}"/>
    <cellStyle name="Normal 2 60" xfId="19849" xr:uid="{00000000-0005-0000-0000-0000494D0000}"/>
    <cellStyle name="Normal 2 61" xfId="19850" xr:uid="{00000000-0005-0000-0000-00004A4D0000}"/>
    <cellStyle name="Normal 2 62" xfId="19851" xr:uid="{00000000-0005-0000-0000-00004B4D0000}"/>
    <cellStyle name="Normal 2 63" xfId="19852" xr:uid="{00000000-0005-0000-0000-00004C4D0000}"/>
    <cellStyle name="Normal 2 63 2" xfId="19853" xr:uid="{00000000-0005-0000-0000-00004D4D0000}"/>
    <cellStyle name="Normal 2 63_MO-CronPerm" xfId="19854" xr:uid="{00000000-0005-0000-0000-00004E4D0000}"/>
    <cellStyle name="Normal 2 64" xfId="19855" xr:uid="{00000000-0005-0000-0000-00004F4D0000}"/>
    <cellStyle name="Normal 2 65" xfId="19856" xr:uid="{00000000-0005-0000-0000-0000504D0000}"/>
    <cellStyle name="Normal 2 7" xfId="19857" xr:uid="{00000000-0005-0000-0000-0000514D0000}"/>
    <cellStyle name="Normal 2 7 10" xfId="19858" xr:uid="{00000000-0005-0000-0000-0000524D0000}"/>
    <cellStyle name="Normal 2 7 10 2" xfId="19859" xr:uid="{00000000-0005-0000-0000-0000534D0000}"/>
    <cellStyle name="Normal 2 7 11" xfId="19860" xr:uid="{00000000-0005-0000-0000-0000544D0000}"/>
    <cellStyle name="Normal 2 7 2" xfId="19861" xr:uid="{00000000-0005-0000-0000-0000554D0000}"/>
    <cellStyle name="Normal 2 7 2 2" xfId="19862" xr:uid="{00000000-0005-0000-0000-0000564D0000}"/>
    <cellStyle name="Normal 2 7 2 2 2" xfId="19863" xr:uid="{00000000-0005-0000-0000-0000574D0000}"/>
    <cellStyle name="Normal 2 7 2 2 2 2" xfId="19864" xr:uid="{00000000-0005-0000-0000-0000584D0000}"/>
    <cellStyle name="Normal 2 7 2 2 3" xfId="19865" xr:uid="{00000000-0005-0000-0000-0000594D0000}"/>
    <cellStyle name="Normal 2 7 2 2 3 2" xfId="19866" xr:uid="{00000000-0005-0000-0000-00005A4D0000}"/>
    <cellStyle name="Normal 2 7 2 2 4" xfId="19867" xr:uid="{00000000-0005-0000-0000-00005B4D0000}"/>
    <cellStyle name="Normal 2 7 2 2_MO-CronPerm" xfId="19868" xr:uid="{00000000-0005-0000-0000-00005C4D0000}"/>
    <cellStyle name="Normal 2 7 2 3" xfId="19869" xr:uid="{00000000-0005-0000-0000-00005D4D0000}"/>
    <cellStyle name="Normal 2 7 2 3 2" xfId="19870" xr:uid="{00000000-0005-0000-0000-00005E4D0000}"/>
    <cellStyle name="Normal 2 7 2 3 2 2" xfId="19871" xr:uid="{00000000-0005-0000-0000-00005F4D0000}"/>
    <cellStyle name="Normal 2 7 2 3 3" xfId="19872" xr:uid="{00000000-0005-0000-0000-0000604D0000}"/>
    <cellStyle name="Normal 2 7 2 3 3 2" xfId="19873" xr:uid="{00000000-0005-0000-0000-0000614D0000}"/>
    <cellStyle name="Normal 2 7 2 3 4" xfId="19874" xr:uid="{00000000-0005-0000-0000-0000624D0000}"/>
    <cellStyle name="Normal 2 7 2 4" xfId="19875" xr:uid="{00000000-0005-0000-0000-0000634D0000}"/>
    <cellStyle name="Normal 2 7 2 4 2" xfId="19876" xr:uid="{00000000-0005-0000-0000-0000644D0000}"/>
    <cellStyle name="Normal 2 7 2 5" xfId="19877" xr:uid="{00000000-0005-0000-0000-0000654D0000}"/>
    <cellStyle name="Normal 2 7 2 5 2" xfId="19878" xr:uid="{00000000-0005-0000-0000-0000664D0000}"/>
    <cellStyle name="Normal 2 7 2 6" xfId="19879" xr:uid="{00000000-0005-0000-0000-0000674D0000}"/>
    <cellStyle name="Normal 2 7 2_MO-CronPerm" xfId="19880" xr:uid="{00000000-0005-0000-0000-0000684D0000}"/>
    <cellStyle name="Normal 2 7 3" xfId="19881" xr:uid="{00000000-0005-0000-0000-0000694D0000}"/>
    <cellStyle name="Normal 2 7 3 2" xfId="19882" xr:uid="{00000000-0005-0000-0000-00006A4D0000}"/>
    <cellStyle name="Normal 2 7 3 2 2" xfId="19883" xr:uid="{00000000-0005-0000-0000-00006B4D0000}"/>
    <cellStyle name="Normal 2 7 3 2 2 2" xfId="19884" xr:uid="{00000000-0005-0000-0000-00006C4D0000}"/>
    <cellStyle name="Normal 2 7 3 2 3" xfId="19885" xr:uid="{00000000-0005-0000-0000-00006D4D0000}"/>
    <cellStyle name="Normal 2 7 3 2 3 2" xfId="19886" xr:uid="{00000000-0005-0000-0000-00006E4D0000}"/>
    <cellStyle name="Normal 2 7 3 2 4" xfId="19887" xr:uid="{00000000-0005-0000-0000-00006F4D0000}"/>
    <cellStyle name="Normal 2 7 3 3" xfId="19888" xr:uid="{00000000-0005-0000-0000-0000704D0000}"/>
    <cellStyle name="Normal 2 7 3 3 2" xfId="19889" xr:uid="{00000000-0005-0000-0000-0000714D0000}"/>
    <cellStyle name="Normal 2 7 3 3 2 2" xfId="19890" xr:uid="{00000000-0005-0000-0000-0000724D0000}"/>
    <cellStyle name="Normal 2 7 3 3 3" xfId="19891" xr:uid="{00000000-0005-0000-0000-0000734D0000}"/>
    <cellStyle name="Normal 2 7 3 3 3 2" xfId="19892" xr:uid="{00000000-0005-0000-0000-0000744D0000}"/>
    <cellStyle name="Normal 2 7 3 3 4" xfId="19893" xr:uid="{00000000-0005-0000-0000-0000754D0000}"/>
    <cellStyle name="Normal 2 7 3 4" xfId="19894" xr:uid="{00000000-0005-0000-0000-0000764D0000}"/>
    <cellStyle name="Normal 2 7 3 4 2" xfId="19895" xr:uid="{00000000-0005-0000-0000-0000774D0000}"/>
    <cellStyle name="Normal 2 7 3 5" xfId="19896" xr:uid="{00000000-0005-0000-0000-0000784D0000}"/>
    <cellStyle name="Normal 2 7 3 5 2" xfId="19897" xr:uid="{00000000-0005-0000-0000-0000794D0000}"/>
    <cellStyle name="Normal 2 7 3 6" xfId="19898" xr:uid="{00000000-0005-0000-0000-00007A4D0000}"/>
    <cellStyle name="Normal 2 7 3_MO-CronPerm" xfId="19899" xr:uid="{00000000-0005-0000-0000-00007B4D0000}"/>
    <cellStyle name="Normal 2 7 4" xfId="19900" xr:uid="{00000000-0005-0000-0000-00007C4D0000}"/>
    <cellStyle name="Normal 2 7 4 2" xfId="19901" xr:uid="{00000000-0005-0000-0000-00007D4D0000}"/>
    <cellStyle name="Normal 2 7 4 3" xfId="19902" xr:uid="{00000000-0005-0000-0000-00007E4D0000}"/>
    <cellStyle name="Normal 2 7 4 3 2" xfId="19903" xr:uid="{00000000-0005-0000-0000-00007F4D0000}"/>
    <cellStyle name="Normal 2 7 4 3 2 2" xfId="19904" xr:uid="{00000000-0005-0000-0000-0000804D0000}"/>
    <cellStyle name="Normal 2 7 4 3 3" xfId="19905" xr:uid="{00000000-0005-0000-0000-0000814D0000}"/>
    <cellStyle name="Normal 2 7 4 3 3 2" xfId="19906" xr:uid="{00000000-0005-0000-0000-0000824D0000}"/>
    <cellStyle name="Normal 2 7 4 3 4" xfId="19907" xr:uid="{00000000-0005-0000-0000-0000834D0000}"/>
    <cellStyle name="Normal 2 7 5" xfId="19908" xr:uid="{00000000-0005-0000-0000-0000844D0000}"/>
    <cellStyle name="Normal 2 7 5 2" xfId="19909" xr:uid="{00000000-0005-0000-0000-0000854D0000}"/>
    <cellStyle name="Normal 2 7 5 2 2" xfId="19910" xr:uid="{00000000-0005-0000-0000-0000864D0000}"/>
    <cellStyle name="Normal 2 7 5 3" xfId="19911" xr:uid="{00000000-0005-0000-0000-0000874D0000}"/>
    <cellStyle name="Normal 2 7 5 3 2" xfId="19912" xr:uid="{00000000-0005-0000-0000-0000884D0000}"/>
    <cellStyle name="Normal 2 7 5 4" xfId="19913" xr:uid="{00000000-0005-0000-0000-0000894D0000}"/>
    <cellStyle name="Normal 2 7 6" xfId="19914" xr:uid="{00000000-0005-0000-0000-00008A4D0000}"/>
    <cellStyle name="Normal 2 7 6 2" xfId="19915" xr:uid="{00000000-0005-0000-0000-00008B4D0000}"/>
    <cellStyle name="Normal 2 7 6 2 2" xfId="19916" xr:uid="{00000000-0005-0000-0000-00008C4D0000}"/>
    <cellStyle name="Normal 2 7 6 3" xfId="19917" xr:uid="{00000000-0005-0000-0000-00008D4D0000}"/>
    <cellStyle name="Normal 2 7 7" xfId="19918" xr:uid="{00000000-0005-0000-0000-00008E4D0000}"/>
    <cellStyle name="Normal 2 7 7 2" xfId="19919" xr:uid="{00000000-0005-0000-0000-00008F4D0000}"/>
    <cellStyle name="Normal 2 7 7 2 2" xfId="19920" xr:uid="{00000000-0005-0000-0000-0000904D0000}"/>
    <cellStyle name="Normal 2 7 7 3" xfId="19921" xr:uid="{00000000-0005-0000-0000-0000914D0000}"/>
    <cellStyle name="Normal 2 7 8" xfId="19922" xr:uid="{00000000-0005-0000-0000-0000924D0000}"/>
    <cellStyle name="Normal 2 7 8 2" xfId="19923" xr:uid="{00000000-0005-0000-0000-0000934D0000}"/>
    <cellStyle name="Normal 2 7 8 2 2" xfId="19924" xr:uid="{00000000-0005-0000-0000-0000944D0000}"/>
    <cellStyle name="Normal 2 7 8 3" xfId="19925" xr:uid="{00000000-0005-0000-0000-0000954D0000}"/>
    <cellStyle name="Normal 2 7 9" xfId="19926" xr:uid="{00000000-0005-0000-0000-0000964D0000}"/>
    <cellStyle name="Normal 2 7 9 2" xfId="19927" xr:uid="{00000000-0005-0000-0000-0000974D0000}"/>
    <cellStyle name="Normal 2 7 9 2 2" xfId="19928" xr:uid="{00000000-0005-0000-0000-0000984D0000}"/>
    <cellStyle name="Normal 2 7 9 3" xfId="19929" xr:uid="{00000000-0005-0000-0000-0000994D0000}"/>
    <cellStyle name="Normal 2 7_MO-CronPerm" xfId="19930" xr:uid="{00000000-0005-0000-0000-00009A4D0000}"/>
    <cellStyle name="Normal 2 8" xfId="19931" xr:uid="{00000000-0005-0000-0000-00009B4D0000}"/>
    <cellStyle name="Normal 2 8 2" xfId="19932" xr:uid="{00000000-0005-0000-0000-00009C4D0000}"/>
    <cellStyle name="Normal 2 9" xfId="19933" xr:uid="{00000000-0005-0000-0000-00009D4D0000}"/>
    <cellStyle name="Normal 2 9 2" xfId="19934" xr:uid="{00000000-0005-0000-0000-00009E4D0000}"/>
    <cellStyle name="Normal 2 9 2 2" xfId="19935" xr:uid="{00000000-0005-0000-0000-00009F4D0000}"/>
    <cellStyle name="Normal 2 9 2 2 2" xfId="19936" xr:uid="{00000000-0005-0000-0000-0000A04D0000}"/>
    <cellStyle name="Normal 2 9 2 3" xfId="19937" xr:uid="{00000000-0005-0000-0000-0000A14D0000}"/>
    <cellStyle name="Normal 2 9 2 3 2" xfId="19938" xr:uid="{00000000-0005-0000-0000-0000A24D0000}"/>
    <cellStyle name="Normal 2 9 2 4" xfId="19939" xr:uid="{00000000-0005-0000-0000-0000A34D0000}"/>
    <cellStyle name="Normal 2 9 3" xfId="19940" xr:uid="{00000000-0005-0000-0000-0000A44D0000}"/>
    <cellStyle name="Normal 2 9 3 2" xfId="19941" xr:uid="{00000000-0005-0000-0000-0000A54D0000}"/>
    <cellStyle name="Normal 2 9 3 2 2" xfId="19942" xr:uid="{00000000-0005-0000-0000-0000A64D0000}"/>
    <cellStyle name="Normal 2 9 3 3" xfId="19943" xr:uid="{00000000-0005-0000-0000-0000A74D0000}"/>
    <cellStyle name="Normal 2 9 3 3 2" xfId="19944" xr:uid="{00000000-0005-0000-0000-0000A84D0000}"/>
    <cellStyle name="Normal 2 9 3 4" xfId="19945" xr:uid="{00000000-0005-0000-0000-0000A94D0000}"/>
    <cellStyle name="Normal 2 9 4" xfId="19946" xr:uid="{00000000-0005-0000-0000-0000AA4D0000}"/>
    <cellStyle name="Normal 2 9 4 2" xfId="19947" xr:uid="{00000000-0005-0000-0000-0000AB4D0000}"/>
    <cellStyle name="Normal 2 9 5" xfId="19948" xr:uid="{00000000-0005-0000-0000-0000AC4D0000}"/>
    <cellStyle name="Normal 2 9 5 2" xfId="19949" xr:uid="{00000000-0005-0000-0000-0000AD4D0000}"/>
    <cellStyle name="Normal 2 9 6" xfId="19950" xr:uid="{00000000-0005-0000-0000-0000AE4D0000}"/>
    <cellStyle name="Normal 2_ Equipamentos Indireto" xfId="19951" xr:uid="{00000000-0005-0000-0000-0000AF4D0000}"/>
    <cellStyle name="Normal 20" xfId="19952" xr:uid="{00000000-0005-0000-0000-0000B04D0000}"/>
    <cellStyle name="Normal 20 2" xfId="19953" xr:uid="{00000000-0005-0000-0000-0000B14D0000}"/>
    <cellStyle name="Normal 20 3" xfId="19954" xr:uid="{00000000-0005-0000-0000-0000B24D0000}"/>
    <cellStyle name="Normal 20 3 2" xfId="19955" xr:uid="{00000000-0005-0000-0000-0000B34D0000}"/>
    <cellStyle name="Normal 20 4" xfId="19956" xr:uid="{00000000-0005-0000-0000-0000B44D0000}"/>
    <cellStyle name="Normal 200" xfId="19957" xr:uid="{00000000-0005-0000-0000-0000B54D0000}"/>
    <cellStyle name="Normal 201" xfId="19958" xr:uid="{00000000-0005-0000-0000-0000B64D0000}"/>
    <cellStyle name="Normal 202" xfId="19959" xr:uid="{00000000-0005-0000-0000-0000B74D0000}"/>
    <cellStyle name="Normal 203" xfId="19960" xr:uid="{00000000-0005-0000-0000-0000B84D0000}"/>
    <cellStyle name="Normal 204" xfId="19961" xr:uid="{00000000-0005-0000-0000-0000B94D0000}"/>
    <cellStyle name="Normal 205" xfId="19962" xr:uid="{00000000-0005-0000-0000-0000BA4D0000}"/>
    <cellStyle name="Normal 206" xfId="19963" xr:uid="{00000000-0005-0000-0000-0000BB4D0000}"/>
    <cellStyle name="Normal 207" xfId="19964" xr:uid="{00000000-0005-0000-0000-0000BC4D0000}"/>
    <cellStyle name="Normal 208" xfId="19965" xr:uid="{00000000-0005-0000-0000-0000BD4D0000}"/>
    <cellStyle name="Normal 209" xfId="19966" xr:uid="{00000000-0005-0000-0000-0000BE4D0000}"/>
    <cellStyle name="Normal 21" xfId="19967" xr:uid="{00000000-0005-0000-0000-0000BF4D0000}"/>
    <cellStyle name="Normal 21 2" xfId="19968" xr:uid="{00000000-0005-0000-0000-0000C04D0000}"/>
    <cellStyle name="Normal 21 2 2" xfId="19969" xr:uid="{00000000-0005-0000-0000-0000C14D0000}"/>
    <cellStyle name="Normal 21 2_MO-CronPerm" xfId="19970" xr:uid="{00000000-0005-0000-0000-0000C24D0000}"/>
    <cellStyle name="Normal 21 3" xfId="19971" xr:uid="{00000000-0005-0000-0000-0000C34D0000}"/>
    <cellStyle name="Normal 21_MO-CronPerm" xfId="19972" xr:uid="{00000000-0005-0000-0000-0000C44D0000}"/>
    <cellStyle name="Normal 210" xfId="19973" xr:uid="{00000000-0005-0000-0000-0000C54D0000}"/>
    <cellStyle name="Normal 211" xfId="19974" xr:uid="{00000000-0005-0000-0000-0000C64D0000}"/>
    <cellStyle name="Normal 212" xfId="19975" xr:uid="{00000000-0005-0000-0000-0000C74D0000}"/>
    <cellStyle name="Normal 213" xfId="19976" xr:uid="{00000000-0005-0000-0000-0000C84D0000}"/>
    <cellStyle name="Normal 214" xfId="19977" xr:uid="{00000000-0005-0000-0000-0000C94D0000}"/>
    <cellStyle name="Normal 215" xfId="19978" xr:uid="{00000000-0005-0000-0000-0000CA4D0000}"/>
    <cellStyle name="Normal 216" xfId="19979" xr:uid="{00000000-0005-0000-0000-0000CB4D0000}"/>
    <cellStyle name="Normal 217" xfId="19980" xr:uid="{00000000-0005-0000-0000-0000CC4D0000}"/>
    <cellStyle name="Normal 218" xfId="19981" xr:uid="{00000000-0005-0000-0000-0000CD4D0000}"/>
    <cellStyle name="Normal 219" xfId="19982" xr:uid="{00000000-0005-0000-0000-0000CE4D0000}"/>
    <cellStyle name="Normal 22" xfId="19983" xr:uid="{00000000-0005-0000-0000-0000CF4D0000}"/>
    <cellStyle name="Normal 22 2" xfId="19984" xr:uid="{00000000-0005-0000-0000-0000D04D0000}"/>
    <cellStyle name="Normal 22 2 2" xfId="19985" xr:uid="{00000000-0005-0000-0000-0000D14D0000}"/>
    <cellStyle name="Normal 22 2_MO-CronPerm" xfId="19986" xr:uid="{00000000-0005-0000-0000-0000D24D0000}"/>
    <cellStyle name="Normal 22 3" xfId="19987" xr:uid="{00000000-0005-0000-0000-0000D34D0000}"/>
    <cellStyle name="Normal 22_MO-CronPerm" xfId="19988" xr:uid="{00000000-0005-0000-0000-0000D44D0000}"/>
    <cellStyle name="Normal 220" xfId="19989" xr:uid="{00000000-0005-0000-0000-0000D54D0000}"/>
    <cellStyle name="Normal 221" xfId="19990" xr:uid="{00000000-0005-0000-0000-0000D64D0000}"/>
    <cellStyle name="Normal 222" xfId="19991" xr:uid="{00000000-0005-0000-0000-0000D74D0000}"/>
    <cellStyle name="Normal 223" xfId="19992" xr:uid="{00000000-0005-0000-0000-0000D84D0000}"/>
    <cellStyle name="Normal 224" xfId="19993" xr:uid="{00000000-0005-0000-0000-0000D94D0000}"/>
    <cellStyle name="Normal 225" xfId="19994" xr:uid="{00000000-0005-0000-0000-0000DA4D0000}"/>
    <cellStyle name="Normal 226" xfId="19995" xr:uid="{00000000-0005-0000-0000-0000DB4D0000}"/>
    <cellStyle name="Normal 227" xfId="19996" xr:uid="{00000000-0005-0000-0000-0000DC4D0000}"/>
    <cellStyle name="Normal 228" xfId="19997" xr:uid="{00000000-0005-0000-0000-0000DD4D0000}"/>
    <cellStyle name="Normal 229" xfId="19998" xr:uid="{00000000-0005-0000-0000-0000DE4D0000}"/>
    <cellStyle name="Normal 23" xfId="19999" xr:uid="{00000000-0005-0000-0000-0000DF4D0000}"/>
    <cellStyle name="Normal 23 2" xfId="20000" xr:uid="{00000000-0005-0000-0000-0000E04D0000}"/>
    <cellStyle name="Normal 23 2 2" xfId="20001" xr:uid="{00000000-0005-0000-0000-0000E14D0000}"/>
    <cellStyle name="Normal 23 2_MO-CronPerm" xfId="20002" xr:uid="{00000000-0005-0000-0000-0000E24D0000}"/>
    <cellStyle name="Normal 23 3" xfId="20003" xr:uid="{00000000-0005-0000-0000-0000E34D0000}"/>
    <cellStyle name="Normal 23_MO-CronPerm" xfId="20004" xr:uid="{00000000-0005-0000-0000-0000E44D0000}"/>
    <cellStyle name="Normal 230" xfId="20005" xr:uid="{00000000-0005-0000-0000-0000E54D0000}"/>
    <cellStyle name="Normal 231" xfId="20006" xr:uid="{00000000-0005-0000-0000-0000E64D0000}"/>
    <cellStyle name="Normal 232" xfId="20007" xr:uid="{00000000-0005-0000-0000-0000E74D0000}"/>
    <cellStyle name="Normal 233" xfId="20008" xr:uid="{00000000-0005-0000-0000-0000E84D0000}"/>
    <cellStyle name="Normal 234" xfId="20009" xr:uid="{00000000-0005-0000-0000-0000E94D0000}"/>
    <cellStyle name="Normal 235" xfId="20010" xr:uid="{00000000-0005-0000-0000-0000EA4D0000}"/>
    <cellStyle name="Normal 236" xfId="20011" xr:uid="{00000000-0005-0000-0000-0000EB4D0000}"/>
    <cellStyle name="Normal 237" xfId="20012" xr:uid="{00000000-0005-0000-0000-0000EC4D0000}"/>
    <cellStyle name="Normal 238" xfId="20013" xr:uid="{00000000-0005-0000-0000-0000ED4D0000}"/>
    <cellStyle name="Normal 239" xfId="20014" xr:uid="{00000000-0005-0000-0000-0000EE4D0000}"/>
    <cellStyle name="Normal 24" xfId="20015" xr:uid="{00000000-0005-0000-0000-0000EF4D0000}"/>
    <cellStyle name="Normal 24 2" xfId="20016" xr:uid="{00000000-0005-0000-0000-0000F04D0000}"/>
    <cellStyle name="Normal 240" xfId="20017" xr:uid="{00000000-0005-0000-0000-0000F14D0000}"/>
    <cellStyle name="Normal 241" xfId="20018" xr:uid="{00000000-0005-0000-0000-0000F24D0000}"/>
    <cellStyle name="Normal 242" xfId="20019" xr:uid="{00000000-0005-0000-0000-0000F34D0000}"/>
    <cellStyle name="Normal 243" xfId="20020" xr:uid="{00000000-0005-0000-0000-0000F44D0000}"/>
    <cellStyle name="Normal 244" xfId="20021" xr:uid="{00000000-0005-0000-0000-0000F54D0000}"/>
    <cellStyle name="Normal 245" xfId="20022" xr:uid="{00000000-0005-0000-0000-0000F64D0000}"/>
    <cellStyle name="Normal 246" xfId="20023" xr:uid="{00000000-0005-0000-0000-0000F74D0000}"/>
    <cellStyle name="Normal 247" xfId="20024" xr:uid="{00000000-0005-0000-0000-0000F84D0000}"/>
    <cellStyle name="Normal 248" xfId="20025" xr:uid="{00000000-0005-0000-0000-0000F94D0000}"/>
    <cellStyle name="Normal 249" xfId="20026" xr:uid="{00000000-0005-0000-0000-0000FA4D0000}"/>
    <cellStyle name="Normal 25" xfId="20027" xr:uid="{00000000-0005-0000-0000-0000FB4D0000}"/>
    <cellStyle name="Normal 25 2" xfId="20028" xr:uid="{00000000-0005-0000-0000-0000FC4D0000}"/>
    <cellStyle name="Normal 25 2 2" xfId="20029" xr:uid="{00000000-0005-0000-0000-0000FD4D0000}"/>
    <cellStyle name="Normal 25 3" xfId="20030" xr:uid="{00000000-0005-0000-0000-0000FE4D0000}"/>
    <cellStyle name="Normal 250" xfId="20031" xr:uid="{00000000-0005-0000-0000-0000FF4D0000}"/>
    <cellStyle name="Normal 251" xfId="20032" xr:uid="{00000000-0005-0000-0000-0000004E0000}"/>
    <cellStyle name="Normal 252" xfId="20033" xr:uid="{00000000-0005-0000-0000-0000014E0000}"/>
    <cellStyle name="Normal 253" xfId="20034" xr:uid="{00000000-0005-0000-0000-0000024E0000}"/>
    <cellStyle name="Normal 254" xfId="20035" xr:uid="{00000000-0005-0000-0000-0000034E0000}"/>
    <cellStyle name="Normal 255" xfId="20036" xr:uid="{00000000-0005-0000-0000-0000044E0000}"/>
    <cellStyle name="Normal 256" xfId="20037" xr:uid="{00000000-0005-0000-0000-0000054E0000}"/>
    <cellStyle name="Normal 256 2" xfId="20038" xr:uid="{00000000-0005-0000-0000-0000064E0000}"/>
    <cellStyle name="Normal 256 2 2" xfId="20039" xr:uid="{00000000-0005-0000-0000-0000074E0000}"/>
    <cellStyle name="Normal 256 2_MO-CronPerm" xfId="20040" xr:uid="{00000000-0005-0000-0000-0000084E0000}"/>
    <cellStyle name="Normal 257" xfId="20041" xr:uid="{00000000-0005-0000-0000-0000094E0000}"/>
    <cellStyle name="Normal 257 2" xfId="20042" xr:uid="{00000000-0005-0000-0000-00000A4E0000}"/>
    <cellStyle name="Normal 257 3" xfId="20043" xr:uid="{00000000-0005-0000-0000-00000B4E0000}"/>
    <cellStyle name="Normal 258" xfId="20044" xr:uid="{00000000-0005-0000-0000-00000C4E0000}"/>
    <cellStyle name="Normal 258 2" xfId="20045" xr:uid="{00000000-0005-0000-0000-00000D4E0000}"/>
    <cellStyle name="Normal 259" xfId="20046" xr:uid="{00000000-0005-0000-0000-00000E4E0000}"/>
    <cellStyle name="Normal 26" xfId="20047" xr:uid="{00000000-0005-0000-0000-00000F4E0000}"/>
    <cellStyle name="Normal 26 2" xfId="20048" xr:uid="{00000000-0005-0000-0000-0000104E0000}"/>
    <cellStyle name="Normal 26 2 2" xfId="20049" xr:uid="{00000000-0005-0000-0000-0000114E0000}"/>
    <cellStyle name="Normal 26 3" xfId="20050" xr:uid="{00000000-0005-0000-0000-0000124E0000}"/>
    <cellStyle name="Normal 260" xfId="20051" xr:uid="{00000000-0005-0000-0000-0000134E0000}"/>
    <cellStyle name="Normal 261" xfId="20052" xr:uid="{00000000-0005-0000-0000-0000144E0000}"/>
    <cellStyle name="Normal 261 2" xfId="20053" xr:uid="{00000000-0005-0000-0000-0000154E0000}"/>
    <cellStyle name="Normal 262" xfId="20054" xr:uid="{00000000-0005-0000-0000-0000164E0000}"/>
    <cellStyle name="Normal 262 2" xfId="20055" xr:uid="{00000000-0005-0000-0000-0000174E0000}"/>
    <cellStyle name="Normal 262 2 2" xfId="20056" xr:uid="{00000000-0005-0000-0000-0000184E0000}"/>
    <cellStyle name="Normal 262 2_MO-CronPerm" xfId="20057" xr:uid="{00000000-0005-0000-0000-0000194E0000}"/>
    <cellStyle name="Normal 262 3" xfId="20058" xr:uid="{00000000-0005-0000-0000-00001A4E0000}"/>
    <cellStyle name="Normal 262_MO-CronPerm" xfId="20059" xr:uid="{00000000-0005-0000-0000-00001B4E0000}"/>
    <cellStyle name="Normal 263" xfId="20060" xr:uid="{00000000-0005-0000-0000-00001C4E0000}"/>
    <cellStyle name="Normal 264" xfId="20061" xr:uid="{00000000-0005-0000-0000-00001D4E0000}"/>
    <cellStyle name="Normal 265" xfId="20062" xr:uid="{00000000-0005-0000-0000-00001E4E0000}"/>
    <cellStyle name="Normal 266" xfId="20063" xr:uid="{00000000-0005-0000-0000-00001F4E0000}"/>
    <cellStyle name="Normal 267" xfId="20064" xr:uid="{00000000-0005-0000-0000-0000204E0000}"/>
    <cellStyle name="Normal 268" xfId="20065" xr:uid="{00000000-0005-0000-0000-0000214E0000}"/>
    <cellStyle name="Normal 269" xfId="20066" xr:uid="{00000000-0005-0000-0000-0000224E0000}"/>
    <cellStyle name="Normal 27" xfId="20067" xr:uid="{00000000-0005-0000-0000-0000234E0000}"/>
    <cellStyle name="Normal 27 2" xfId="20068" xr:uid="{00000000-0005-0000-0000-0000244E0000}"/>
    <cellStyle name="Normal 27 2 2" xfId="20069" xr:uid="{00000000-0005-0000-0000-0000254E0000}"/>
    <cellStyle name="Normal 27 3" xfId="20070" xr:uid="{00000000-0005-0000-0000-0000264E0000}"/>
    <cellStyle name="Normal 270" xfId="20071" xr:uid="{00000000-0005-0000-0000-0000274E0000}"/>
    <cellStyle name="Normal 271" xfId="20072" xr:uid="{00000000-0005-0000-0000-0000284E0000}"/>
    <cellStyle name="Normal 271 2" xfId="20073" xr:uid="{00000000-0005-0000-0000-0000294E0000}"/>
    <cellStyle name="Normal 271 2 2" xfId="20074" xr:uid="{00000000-0005-0000-0000-00002A4E0000}"/>
    <cellStyle name="Normal 271 2_MO-CronPerm" xfId="20075" xr:uid="{00000000-0005-0000-0000-00002B4E0000}"/>
    <cellStyle name="Normal 271 3" xfId="20076" xr:uid="{00000000-0005-0000-0000-00002C4E0000}"/>
    <cellStyle name="Normal 271_MO-CronPerm" xfId="20077" xr:uid="{00000000-0005-0000-0000-00002D4E0000}"/>
    <cellStyle name="Normal 272" xfId="20078" xr:uid="{00000000-0005-0000-0000-00002E4E0000}"/>
    <cellStyle name="Normal 272 2" xfId="20079" xr:uid="{00000000-0005-0000-0000-00002F4E0000}"/>
    <cellStyle name="Normal 272 2 2" xfId="20080" xr:uid="{00000000-0005-0000-0000-0000304E0000}"/>
    <cellStyle name="Normal 272 2 2 2" xfId="20081" xr:uid="{00000000-0005-0000-0000-0000314E0000}"/>
    <cellStyle name="Normal 272 2 3" xfId="20082" xr:uid="{00000000-0005-0000-0000-0000324E0000}"/>
    <cellStyle name="Normal 272 2_MO-CronPerm" xfId="20083" xr:uid="{00000000-0005-0000-0000-0000334E0000}"/>
    <cellStyle name="Normal 272 3" xfId="20084" xr:uid="{00000000-0005-0000-0000-0000344E0000}"/>
    <cellStyle name="Normal 272 3 2" xfId="20085" xr:uid="{00000000-0005-0000-0000-0000354E0000}"/>
    <cellStyle name="Normal 272 3_MO-CronPerm" xfId="20086" xr:uid="{00000000-0005-0000-0000-0000364E0000}"/>
    <cellStyle name="Normal 273" xfId="20087" xr:uid="{00000000-0005-0000-0000-0000374E0000}"/>
    <cellStyle name="Normal 273 2" xfId="20088" xr:uid="{00000000-0005-0000-0000-0000384E0000}"/>
    <cellStyle name="Normal 273_MO-CronPerm" xfId="20089" xr:uid="{00000000-0005-0000-0000-0000394E0000}"/>
    <cellStyle name="Normal 274" xfId="20090" xr:uid="{00000000-0005-0000-0000-00003A4E0000}"/>
    <cellStyle name="Normal 275" xfId="20091" xr:uid="{00000000-0005-0000-0000-00003B4E0000}"/>
    <cellStyle name="Normal 276" xfId="20092" xr:uid="{00000000-0005-0000-0000-00003C4E0000}"/>
    <cellStyle name="Normal 277" xfId="20093" xr:uid="{00000000-0005-0000-0000-00003D4E0000}"/>
    <cellStyle name="Normal 278" xfId="20094" xr:uid="{00000000-0005-0000-0000-00003E4E0000}"/>
    <cellStyle name="Normal 279" xfId="20095" xr:uid="{00000000-0005-0000-0000-00003F4E0000}"/>
    <cellStyle name="Normal 279 2" xfId="20096" xr:uid="{00000000-0005-0000-0000-0000404E0000}"/>
    <cellStyle name="Normal 279 3" xfId="20097" xr:uid="{00000000-0005-0000-0000-0000414E0000}"/>
    <cellStyle name="Normal 279 4" xfId="20098" xr:uid="{00000000-0005-0000-0000-0000424E0000}"/>
    <cellStyle name="Normal 279 5" xfId="20099" xr:uid="{00000000-0005-0000-0000-0000434E0000}"/>
    <cellStyle name="Normal 279 6" xfId="20100" xr:uid="{00000000-0005-0000-0000-0000444E0000}"/>
    <cellStyle name="Normal 28" xfId="20101" xr:uid="{00000000-0005-0000-0000-0000454E0000}"/>
    <cellStyle name="Normal 28 2" xfId="20102" xr:uid="{00000000-0005-0000-0000-0000464E0000}"/>
    <cellStyle name="Normal 28 2 2" xfId="20103" xr:uid="{00000000-0005-0000-0000-0000474E0000}"/>
    <cellStyle name="Normal 28 3" xfId="20104" xr:uid="{00000000-0005-0000-0000-0000484E0000}"/>
    <cellStyle name="Normal 280" xfId="20105" xr:uid="{00000000-0005-0000-0000-0000494E0000}"/>
    <cellStyle name="Normal 281" xfId="20106" xr:uid="{00000000-0005-0000-0000-00004A4E0000}"/>
    <cellStyle name="Normal 282" xfId="20107" xr:uid="{00000000-0005-0000-0000-00004B4E0000}"/>
    <cellStyle name="Normal 283" xfId="20108" xr:uid="{00000000-0005-0000-0000-00004C4E0000}"/>
    <cellStyle name="Normal 284" xfId="20109" xr:uid="{00000000-0005-0000-0000-00004D4E0000}"/>
    <cellStyle name="Normal 285" xfId="20110" xr:uid="{00000000-0005-0000-0000-00004E4E0000}"/>
    <cellStyle name="Normal 285 2" xfId="20111" xr:uid="{00000000-0005-0000-0000-00004F4E0000}"/>
    <cellStyle name="Normal 285 2 2" xfId="20112" xr:uid="{00000000-0005-0000-0000-0000504E0000}"/>
    <cellStyle name="Normal 286" xfId="20113" xr:uid="{00000000-0005-0000-0000-0000514E0000}"/>
    <cellStyle name="Normal 287" xfId="20114" xr:uid="{00000000-0005-0000-0000-0000524E0000}"/>
    <cellStyle name="Normal 288" xfId="20115" xr:uid="{00000000-0005-0000-0000-0000534E0000}"/>
    <cellStyle name="Normal 289" xfId="20116" xr:uid="{00000000-0005-0000-0000-0000544E0000}"/>
    <cellStyle name="Normal 29" xfId="20117" xr:uid="{00000000-0005-0000-0000-0000554E0000}"/>
    <cellStyle name="Normal 29 2" xfId="20118" xr:uid="{00000000-0005-0000-0000-0000564E0000}"/>
    <cellStyle name="Normal 29 2 2" xfId="20119" xr:uid="{00000000-0005-0000-0000-0000574E0000}"/>
    <cellStyle name="Normal 29 3" xfId="20120" xr:uid="{00000000-0005-0000-0000-0000584E0000}"/>
    <cellStyle name="Normal 290" xfId="20121" xr:uid="{00000000-0005-0000-0000-0000594E0000}"/>
    <cellStyle name="Normal 291" xfId="20122" xr:uid="{00000000-0005-0000-0000-00005A4E0000}"/>
    <cellStyle name="Normal 292" xfId="20123" xr:uid="{00000000-0005-0000-0000-00005B4E0000}"/>
    <cellStyle name="Normal 293" xfId="20124" xr:uid="{00000000-0005-0000-0000-00005C4E0000}"/>
    <cellStyle name="Normal 294" xfId="20125" xr:uid="{00000000-0005-0000-0000-00005D4E0000}"/>
    <cellStyle name="Normal 295" xfId="20126" xr:uid="{00000000-0005-0000-0000-00005E4E0000}"/>
    <cellStyle name="Normal 296" xfId="20127" xr:uid="{00000000-0005-0000-0000-00005F4E0000}"/>
    <cellStyle name="Normal 297" xfId="20128" xr:uid="{00000000-0005-0000-0000-0000604E0000}"/>
    <cellStyle name="Normal 298" xfId="20129" xr:uid="{00000000-0005-0000-0000-0000614E0000}"/>
    <cellStyle name="Normal 299" xfId="20130" xr:uid="{00000000-0005-0000-0000-0000624E0000}"/>
    <cellStyle name="Normal 3" xfId="21" xr:uid="{00000000-0005-0000-0000-0000634E0000}"/>
    <cellStyle name="Normal 3 10" xfId="20131" xr:uid="{00000000-0005-0000-0000-0000644E0000}"/>
    <cellStyle name="Normal 3 11" xfId="20132" xr:uid="{00000000-0005-0000-0000-0000654E0000}"/>
    <cellStyle name="Normal 3 11 2" xfId="20133" xr:uid="{00000000-0005-0000-0000-0000664E0000}"/>
    <cellStyle name="Normal 3 11 2 2" xfId="20134" xr:uid="{00000000-0005-0000-0000-0000674E0000}"/>
    <cellStyle name="Normal 3 11 3" xfId="20135" xr:uid="{00000000-0005-0000-0000-0000684E0000}"/>
    <cellStyle name="Normal 3 12" xfId="20136" xr:uid="{00000000-0005-0000-0000-0000694E0000}"/>
    <cellStyle name="Normal 3 12 2" xfId="20137" xr:uid="{00000000-0005-0000-0000-00006A4E0000}"/>
    <cellStyle name="Normal 3 12 2 2" xfId="20138" xr:uid="{00000000-0005-0000-0000-00006B4E0000}"/>
    <cellStyle name="Normal 3 12 3" xfId="20139" xr:uid="{00000000-0005-0000-0000-00006C4E0000}"/>
    <cellStyle name="Normal 3 13" xfId="20140" xr:uid="{00000000-0005-0000-0000-00006D4E0000}"/>
    <cellStyle name="Normal 3 13 2" xfId="20141" xr:uid="{00000000-0005-0000-0000-00006E4E0000}"/>
    <cellStyle name="Normal 3 13 2 2" xfId="20142" xr:uid="{00000000-0005-0000-0000-00006F4E0000}"/>
    <cellStyle name="Normal 3 13 3" xfId="20143" xr:uid="{00000000-0005-0000-0000-0000704E0000}"/>
    <cellStyle name="Normal 3 14" xfId="24038" xr:uid="{00000000-0005-0000-0000-0000714E0000}"/>
    <cellStyle name="Normal 3 2" xfId="144" xr:uid="{00000000-0005-0000-0000-0000724E0000}"/>
    <cellStyle name="Normal 3 2 10" xfId="20144" xr:uid="{00000000-0005-0000-0000-0000734E0000}"/>
    <cellStyle name="Normal 3 2 10 2" xfId="20145" xr:uid="{00000000-0005-0000-0000-0000744E0000}"/>
    <cellStyle name="Normal 3 2 10 2 2" xfId="20146" xr:uid="{00000000-0005-0000-0000-0000754E0000}"/>
    <cellStyle name="Normal 3 2 10 3" xfId="20147" xr:uid="{00000000-0005-0000-0000-0000764E0000}"/>
    <cellStyle name="Normal 3 2 11" xfId="20148" xr:uid="{00000000-0005-0000-0000-0000774E0000}"/>
    <cellStyle name="Normal 3 2 11 2" xfId="20149" xr:uid="{00000000-0005-0000-0000-0000784E0000}"/>
    <cellStyle name="Normal 3 2 11 2 2" xfId="20150" xr:uid="{00000000-0005-0000-0000-0000794E0000}"/>
    <cellStyle name="Normal 3 2 11 3" xfId="20151" xr:uid="{00000000-0005-0000-0000-00007A4E0000}"/>
    <cellStyle name="Normal 3 2 12" xfId="20152" xr:uid="{00000000-0005-0000-0000-00007B4E0000}"/>
    <cellStyle name="Normal 3 2 12 2" xfId="20153" xr:uid="{00000000-0005-0000-0000-00007C4E0000}"/>
    <cellStyle name="Normal 3 2 13" xfId="20154" xr:uid="{00000000-0005-0000-0000-00007D4E0000}"/>
    <cellStyle name="Normal 3 2 2" xfId="20155" xr:uid="{00000000-0005-0000-0000-00007E4E0000}"/>
    <cellStyle name="Normal 3 2 2 10" xfId="20156" xr:uid="{00000000-0005-0000-0000-00007F4E0000}"/>
    <cellStyle name="Normal 3 2 2 10 2" xfId="20157" xr:uid="{00000000-0005-0000-0000-0000804E0000}"/>
    <cellStyle name="Normal 3 2 2 11" xfId="20158" xr:uid="{00000000-0005-0000-0000-0000814E0000}"/>
    <cellStyle name="Normal 3 2 2 2" xfId="20159" xr:uid="{00000000-0005-0000-0000-0000824E0000}"/>
    <cellStyle name="Normal 3 2 2 2 2" xfId="20160" xr:uid="{00000000-0005-0000-0000-0000834E0000}"/>
    <cellStyle name="Normal 3 2 2 2 2 2" xfId="20161" xr:uid="{00000000-0005-0000-0000-0000844E0000}"/>
    <cellStyle name="Normal 3 2 2 2 2 2 2" xfId="20162" xr:uid="{00000000-0005-0000-0000-0000854E0000}"/>
    <cellStyle name="Normal 3 2 2 2 2 3" xfId="20163" xr:uid="{00000000-0005-0000-0000-0000864E0000}"/>
    <cellStyle name="Normal 3 2 2 2 2 3 2" xfId="20164" xr:uid="{00000000-0005-0000-0000-0000874E0000}"/>
    <cellStyle name="Normal 3 2 2 2 2 4" xfId="20165" xr:uid="{00000000-0005-0000-0000-0000884E0000}"/>
    <cellStyle name="Normal 3 2 2 2 3" xfId="20166" xr:uid="{00000000-0005-0000-0000-0000894E0000}"/>
    <cellStyle name="Normal 3 2 2 2 3 2" xfId="20167" xr:uid="{00000000-0005-0000-0000-00008A4E0000}"/>
    <cellStyle name="Normal 3 2 2 2 3 2 2" xfId="20168" xr:uid="{00000000-0005-0000-0000-00008B4E0000}"/>
    <cellStyle name="Normal 3 2 2 2 3 3" xfId="20169" xr:uid="{00000000-0005-0000-0000-00008C4E0000}"/>
    <cellStyle name="Normal 3 2 2 2 3 3 2" xfId="20170" xr:uid="{00000000-0005-0000-0000-00008D4E0000}"/>
    <cellStyle name="Normal 3 2 2 2 3 4" xfId="20171" xr:uid="{00000000-0005-0000-0000-00008E4E0000}"/>
    <cellStyle name="Normal 3 2 2 2 4" xfId="20172" xr:uid="{00000000-0005-0000-0000-00008F4E0000}"/>
    <cellStyle name="Normal 3 2 2 2 4 2" xfId="20173" xr:uid="{00000000-0005-0000-0000-0000904E0000}"/>
    <cellStyle name="Normal 3 2 2 2 5" xfId="20174" xr:uid="{00000000-0005-0000-0000-0000914E0000}"/>
    <cellStyle name="Normal 3 2 2 2 5 2" xfId="20175" xr:uid="{00000000-0005-0000-0000-0000924E0000}"/>
    <cellStyle name="Normal 3 2 2 2 6" xfId="20176" xr:uid="{00000000-0005-0000-0000-0000934E0000}"/>
    <cellStyle name="Normal 3 2 2 3" xfId="20177" xr:uid="{00000000-0005-0000-0000-0000944E0000}"/>
    <cellStyle name="Normal 3 2 2 3 2" xfId="20178" xr:uid="{00000000-0005-0000-0000-0000954E0000}"/>
    <cellStyle name="Normal 3 2 2 3 2 2" xfId="20179" xr:uid="{00000000-0005-0000-0000-0000964E0000}"/>
    <cellStyle name="Normal 3 2 2 3 2 2 2" xfId="20180" xr:uid="{00000000-0005-0000-0000-0000974E0000}"/>
    <cellStyle name="Normal 3 2 2 3 2 3" xfId="20181" xr:uid="{00000000-0005-0000-0000-0000984E0000}"/>
    <cellStyle name="Normal 3 2 2 3 2 3 2" xfId="20182" xr:uid="{00000000-0005-0000-0000-0000994E0000}"/>
    <cellStyle name="Normal 3 2 2 3 2 4" xfId="20183" xr:uid="{00000000-0005-0000-0000-00009A4E0000}"/>
    <cellStyle name="Normal 3 2 2 3 3" xfId="20184" xr:uid="{00000000-0005-0000-0000-00009B4E0000}"/>
    <cellStyle name="Normal 3 2 2 3 3 2" xfId="20185" xr:uid="{00000000-0005-0000-0000-00009C4E0000}"/>
    <cellStyle name="Normal 3 2 2 3 3 2 2" xfId="20186" xr:uid="{00000000-0005-0000-0000-00009D4E0000}"/>
    <cellStyle name="Normal 3 2 2 3 3 3" xfId="20187" xr:uid="{00000000-0005-0000-0000-00009E4E0000}"/>
    <cellStyle name="Normal 3 2 2 3 3 3 2" xfId="20188" xr:uid="{00000000-0005-0000-0000-00009F4E0000}"/>
    <cellStyle name="Normal 3 2 2 3 3 4" xfId="20189" xr:uid="{00000000-0005-0000-0000-0000A04E0000}"/>
    <cellStyle name="Normal 3 2 2 3 4" xfId="20190" xr:uid="{00000000-0005-0000-0000-0000A14E0000}"/>
    <cellStyle name="Normal 3 2 2 3 4 2" xfId="20191" xr:uid="{00000000-0005-0000-0000-0000A24E0000}"/>
    <cellStyle name="Normal 3 2 2 3 5" xfId="20192" xr:uid="{00000000-0005-0000-0000-0000A34E0000}"/>
    <cellStyle name="Normal 3 2 2 3 5 2" xfId="20193" xr:uid="{00000000-0005-0000-0000-0000A44E0000}"/>
    <cellStyle name="Normal 3 2 2 3 6" xfId="20194" xr:uid="{00000000-0005-0000-0000-0000A54E0000}"/>
    <cellStyle name="Normal 3 2 2 4" xfId="20195" xr:uid="{00000000-0005-0000-0000-0000A64E0000}"/>
    <cellStyle name="Normal 3 2 2 4 2" xfId="20196" xr:uid="{00000000-0005-0000-0000-0000A74E0000}"/>
    <cellStyle name="Normal 3 2 2 4 3" xfId="20197" xr:uid="{00000000-0005-0000-0000-0000A84E0000}"/>
    <cellStyle name="Normal 3 2 2 4 3 2" xfId="20198" xr:uid="{00000000-0005-0000-0000-0000A94E0000}"/>
    <cellStyle name="Normal 3 2 2 4 3 2 2" xfId="20199" xr:uid="{00000000-0005-0000-0000-0000AA4E0000}"/>
    <cellStyle name="Normal 3 2 2 4 3 3" xfId="20200" xr:uid="{00000000-0005-0000-0000-0000AB4E0000}"/>
    <cellStyle name="Normal 3 2 2 4 3 3 2" xfId="20201" xr:uid="{00000000-0005-0000-0000-0000AC4E0000}"/>
    <cellStyle name="Normal 3 2 2 4 3 4" xfId="20202" xr:uid="{00000000-0005-0000-0000-0000AD4E0000}"/>
    <cellStyle name="Normal 3 2 2 5" xfId="20203" xr:uid="{00000000-0005-0000-0000-0000AE4E0000}"/>
    <cellStyle name="Normal 3 2 2 5 2" xfId="20204" xr:uid="{00000000-0005-0000-0000-0000AF4E0000}"/>
    <cellStyle name="Normal 3 2 2 5 2 2" xfId="20205" xr:uid="{00000000-0005-0000-0000-0000B04E0000}"/>
    <cellStyle name="Normal 3 2 2 5 3" xfId="20206" xr:uid="{00000000-0005-0000-0000-0000B14E0000}"/>
    <cellStyle name="Normal 3 2 2 5 3 2" xfId="20207" xr:uid="{00000000-0005-0000-0000-0000B24E0000}"/>
    <cellStyle name="Normal 3 2 2 5 4" xfId="20208" xr:uid="{00000000-0005-0000-0000-0000B34E0000}"/>
    <cellStyle name="Normal 3 2 2 6" xfId="20209" xr:uid="{00000000-0005-0000-0000-0000B44E0000}"/>
    <cellStyle name="Normal 3 2 2 6 2" xfId="20210" xr:uid="{00000000-0005-0000-0000-0000B54E0000}"/>
    <cellStyle name="Normal 3 2 2 6 2 2" xfId="20211" xr:uid="{00000000-0005-0000-0000-0000B64E0000}"/>
    <cellStyle name="Normal 3 2 2 6 3" xfId="20212" xr:uid="{00000000-0005-0000-0000-0000B74E0000}"/>
    <cellStyle name="Normal 3 2 2 7" xfId="20213" xr:uid="{00000000-0005-0000-0000-0000B84E0000}"/>
    <cellStyle name="Normal 3 2 2 7 2" xfId="20214" xr:uid="{00000000-0005-0000-0000-0000B94E0000}"/>
    <cellStyle name="Normal 3 2 2 7 2 2" xfId="20215" xr:uid="{00000000-0005-0000-0000-0000BA4E0000}"/>
    <cellStyle name="Normal 3 2 2 7 3" xfId="20216" xr:uid="{00000000-0005-0000-0000-0000BB4E0000}"/>
    <cellStyle name="Normal 3 2 2 8" xfId="20217" xr:uid="{00000000-0005-0000-0000-0000BC4E0000}"/>
    <cellStyle name="Normal 3 2 2 8 2" xfId="20218" xr:uid="{00000000-0005-0000-0000-0000BD4E0000}"/>
    <cellStyle name="Normal 3 2 2 8 2 2" xfId="20219" xr:uid="{00000000-0005-0000-0000-0000BE4E0000}"/>
    <cellStyle name="Normal 3 2 2 8 3" xfId="20220" xr:uid="{00000000-0005-0000-0000-0000BF4E0000}"/>
    <cellStyle name="Normal 3 2 2 9" xfId="20221" xr:uid="{00000000-0005-0000-0000-0000C04E0000}"/>
    <cellStyle name="Normal 3 2 2 9 2" xfId="20222" xr:uid="{00000000-0005-0000-0000-0000C14E0000}"/>
    <cellStyle name="Normal 3 2 2 9 2 2" xfId="20223" xr:uid="{00000000-0005-0000-0000-0000C24E0000}"/>
    <cellStyle name="Normal 3 2 2 9 3" xfId="20224" xr:uid="{00000000-0005-0000-0000-0000C34E0000}"/>
    <cellStyle name="Normal 3 2 3" xfId="20225" xr:uid="{00000000-0005-0000-0000-0000C44E0000}"/>
    <cellStyle name="Normal 3 2 4" xfId="20226" xr:uid="{00000000-0005-0000-0000-0000C54E0000}"/>
    <cellStyle name="Normal 3 2 4 2" xfId="20227" xr:uid="{00000000-0005-0000-0000-0000C64E0000}"/>
    <cellStyle name="Normal 3 2 4 2 2" xfId="20228" xr:uid="{00000000-0005-0000-0000-0000C74E0000}"/>
    <cellStyle name="Normal 3 2 4 2 2 2" xfId="20229" xr:uid="{00000000-0005-0000-0000-0000C84E0000}"/>
    <cellStyle name="Normal 3 2 4 2 3" xfId="20230" xr:uid="{00000000-0005-0000-0000-0000C94E0000}"/>
    <cellStyle name="Normal 3 2 4 2 3 2" xfId="20231" xr:uid="{00000000-0005-0000-0000-0000CA4E0000}"/>
    <cellStyle name="Normal 3 2 4 2 4" xfId="20232" xr:uid="{00000000-0005-0000-0000-0000CB4E0000}"/>
    <cellStyle name="Normal 3 2 4 3" xfId="20233" xr:uid="{00000000-0005-0000-0000-0000CC4E0000}"/>
    <cellStyle name="Normal 3 2 4 3 2" xfId="20234" xr:uid="{00000000-0005-0000-0000-0000CD4E0000}"/>
    <cellStyle name="Normal 3 2 4 3 2 2" xfId="20235" xr:uid="{00000000-0005-0000-0000-0000CE4E0000}"/>
    <cellStyle name="Normal 3 2 4 3 3" xfId="20236" xr:uid="{00000000-0005-0000-0000-0000CF4E0000}"/>
    <cellStyle name="Normal 3 2 4 3 3 2" xfId="20237" xr:uid="{00000000-0005-0000-0000-0000D04E0000}"/>
    <cellStyle name="Normal 3 2 4 3 4" xfId="20238" xr:uid="{00000000-0005-0000-0000-0000D14E0000}"/>
    <cellStyle name="Normal 3 2 4 4" xfId="20239" xr:uid="{00000000-0005-0000-0000-0000D24E0000}"/>
    <cellStyle name="Normal 3 2 4 4 2" xfId="20240" xr:uid="{00000000-0005-0000-0000-0000D34E0000}"/>
    <cellStyle name="Normal 3 2 4 5" xfId="20241" xr:uid="{00000000-0005-0000-0000-0000D44E0000}"/>
    <cellStyle name="Normal 3 2 4 5 2" xfId="20242" xr:uid="{00000000-0005-0000-0000-0000D54E0000}"/>
    <cellStyle name="Normal 3 2 4 6" xfId="20243" xr:uid="{00000000-0005-0000-0000-0000D64E0000}"/>
    <cellStyle name="Normal 3 2 5" xfId="20244" xr:uid="{00000000-0005-0000-0000-0000D74E0000}"/>
    <cellStyle name="Normal 3 2 5 2" xfId="20245" xr:uid="{00000000-0005-0000-0000-0000D84E0000}"/>
    <cellStyle name="Normal 3 2 5 2 2" xfId="20246" xr:uid="{00000000-0005-0000-0000-0000D94E0000}"/>
    <cellStyle name="Normal 3 2 5 2 2 2" xfId="20247" xr:uid="{00000000-0005-0000-0000-0000DA4E0000}"/>
    <cellStyle name="Normal 3 2 5 2 3" xfId="20248" xr:uid="{00000000-0005-0000-0000-0000DB4E0000}"/>
    <cellStyle name="Normal 3 2 5 2 3 2" xfId="20249" xr:uid="{00000000-0005-0000-0000-0000DC4E0000}"/>
    <cellStyle name="Normal 3 2 5 2 4" xfId="20250" xr:uid="{00000000-0005-0000-0000-0000DD4E0000}"/>
    <cellStyle name="Normal 3 2 5 3" xfId="20251" xr:uid="{00000000-0005-0000-0000-0000DE4E0000}"/>
    <cellStyle name="Normal 3 2 5 3 2" xfId="20252" xr:uid="{00000000-0005-0000-0000-0000DF4E0000}"/>
    <cellStyle name="Normal 3 2 5 3 2 2" xfId="20253" xr:uid="{00000000-0005-0000-0000-0000E04E0000}"/>
    <cellStyle name="Normal 3 2 5 3 3" xfId="20254" xr:uid="{00000000-0005-0000-0000-0000E14E0000}"/>
    <cellStyle name="Normal 3 2 5 3 3 2" xfId="20255" xr:uid="{00000000-0005-0000-0000-0000E24E0000}"/>
    <cellStyle name="Normal 3 2 5 3 4" xfId="20256" xr:uid="{00000000-0005-0000-0000-0000E34E0000}"/>
    <cellStyle name="Normal 3 2 5 4" xfId="20257" xr:uid="{00000000-0005-0000-0000-0000E44E0000}"/>
    <cellStyle name="Normal 3 2 5 4 2" xfId="20258" xr:uid="{00000000-0005-0000-0000-0000E54E0000}"/>
    <cellStyle name="Normal 3 2 5 5" xfId="20259" xr:uid="{00000000-0005-0000-0000-0000E64E0000}"/>
    <cellStyle name="Normal 3 2 5 5 2" xfId="20260" xr:uid="{00000000-0005-0000-0000-0000E74E0000}"/>
    <cellStyle name="Normal 3 2 5 6" xfId="20261" xr:uid="{00000000-0005-0000-0000-0000E84E0000}"/>
    <cellStyle name="Normal 3 2 6" xfId="20262" xr:uid="{00000000-0005-0000-0000-0000E94E0000}"/>
    <cellStyle name="Normal 3 2 6 2" xfId="20263" xr:uid="{00000000-0005-0000-0000-0000EA4E0000}"/>
    <cellStyle name="Normal 3 2 6 2 2" xfId="20264" xr:uid="{00000000-0005-0000-0000-0000EB4E0000}"/>
    <cellStyle name="Normal 3 2 6 3" xfId="20265" xr:uid="{00000000-0005-0000-0000-0000EC4E0000}"/>
    <cellStyle name="Normal 3 2 6 3 2" xfId="20266" xr:uid="{00000000-0005-0000-0000-0000ED4E0000}"/>
    <cellStyle name="Normal 3 2 6 4" xfId="20267" xr:uid="{00000000-0005-0000-0000-0000EE4E0000}"/>
    <cellStyle name="Normal 3 2 7" xfId="20268" xr:uid="{00000000-0005-0000-0000-0000EF4E0000}"/>
    <cellStyle name="Normal 3 2 8" xfId="20269" xr:uid="{00000000-0005-0000-0000-0000F04E0000}"/>
    <cellStyle name="Normal 3 2 8 2" xfId="20270" xr:uid="{00000000-0005-0000-0000-0000F14E0000}"/>
    <cellStyle name="Normal 3 2 8 2 2" xfId="20271" xr:uid="{00000000-0005-0000-0000-0000F24E0000}"/>
    <cellStyle name="Normal 3 2 8 3" xfId="20272" xr:uid="{00000000-0005-0000-0000-0000F34E0000}"/>
    <cellStyle name="Normal 3 2 9" xfId="20273" xr:uid="{00000000-0005-0000-0000-0000F44E0000}"/>
    <cellStyle name="Normal 3 2 9 2" xfId="20274" xr:uid="{00000000-0005-0000-0000-0000F54E0000}"/>
    <cellStyle name="Normal 3 2 9 2 2" xfId="20275" xr:uid="{00000000-0005-0000-0000-0000F64E0000}"/>
    <cellStyle name="Normal 3 2 9 3" xfId="20276" xr:uid="{00000000-0005-0000-0000-0000F74E0000}"/>
    <cellStyle name="Normal 3 3" xfId="145" xr:uid="{00000000-0005-0000-0000-0000F84E0000}"/>
    <cellStyle name="Normal 3 3 10" xfId="20277" xr:uid="{00000000-0005-0000-0000-0000F94E0000}"/>
    <cellStyle name="Normal 3 3 10 2" xfId="20278" xr:uid="{00000000-0005-0000-0000-0000FA4E0000}"/>
    <cellStyle name="Normal 3 3 11" xfId="20279" xr:uid="{00000000-0005-0000-0000-0000FB4E0000}"/>
    <cellStyle name="Normal 3 3 2" xfId="20280" xr:uid="{00000000-0005-0000-0000-0000FC4E0000}"/>
    <cellStyle name="Normal 3 3 2 2" xfId="20281" xr:uid="{00000000-0005-0000-0000-0000FD4E0000}"/>
    <cellStyle name="Normal 3 3 2 2 2" xfId="20282" xr:uid="{00000000-0005-0000-0000-0000FE4E0000}"/>
    <cellStyle name="Normal 3 3 2 2 2 2" xfId="20283" xr:uid="{00000000-0005-0000-0000-0000FF4E0000}"/>
    <cellStyle name="Normal 3 3 2 2 2 2 2" xfId="20284" xr:uid="{00000000-0005-0000-0000-0000004F0000}"/>
    <cellStyle name="Normal 3 3 2 2 2 3" xfId="20285" xr:uid="{00000000-0005-0000-0000-0000014F0000}"/>
    <cellStyle name="Normal 3 3 2 2 2 3 2" xfId="20286" xr:uid="{00000000-0005-0000-0000-0000024F0000}"/>
    <cellStyle name="Normal 3 3 2 2 2 4" xfId="20287" xr:uid="{00000000-0005-0000-0000-0000034F0000}"/>
    <cellStyle name="Normal 3 3 2 2 3" xfId="20288" xr:uid="{00000000-0005-0000-0000-0000044F0000}"/>
    <cellStyle name="Normal 3 3 2 2 3 2" xfId="20289" xr:uid="{00000000-0005-0000-0000-0000054F0000}"/>
    <cellStyle name="Normal 3 3 2 2 3 2 2" xfId="20290" xr:uid="{00000000-0005-0000-0000-0000064F0000}"/>
    <cellStyle name="Normal 3 3 2 2 3 3" xfId="20291" xr:uid="{00000000-0005-0000-0000-0000074F0000}"/>
    <cellStyle name="Normal 3 3 2 2 3 3 2" xfId="20292" xr:uid="{00000000-0005-0000-0000-0000084F0000}"/>
    <cellStyle name="Normal 3 3 2 2 3 4" xfId="20293" xr:uid="{00000000-0005-0000-0000-0000094F0000}"/>
    <cellStyle name="Normal 3 3 2 2 4" xfId="20294" xr:uid="{00000000-0005-0000-0000-00000A4F0000}"/>
    <cellStyle name="Normal 3 3 2 2 4 2" xfId="20295" xr:uid="{00000000-0005-0000-0000-00000B4F0000}"/>
    <cellStyle name="Normal 3 3 2 2 5" xfId="20296" xr:uid="{00000000-0005-0000-0000-00000C4F0000}"/>
    <cellStyle name="Normal 3 3 2 2 5 2" xfId="20297" xr:uid="{00000000-0005-0000-0000-00000D4F0000}"/>
    <cellStyle name="Normal 3 3 2 2 6" xfId="20298" xr:uid="{00000000-0005-0000-0000-00000E4F0000}"/>
    <cellStyle name="Normal 3 3 2 3" xfId="20299" xr:uid="{00000000-0005-0000-0000-00000F4F0000}"/>
    <cellStyle name="Normal 3 3 2 3 2" xfId="20300" xr:uid="{00000000-0005-0000-0000-0000104F0000}"/>
    <cellStyle name="Normal 3 3 2 3 2 2" xfId="20301" xr:uid="{00000000-0005-0000-0000-0000114F0000}"/>
    <cellStyle name="Normal 3 3 2 3 3" xfId="20302" xr:uid="{00000000-0005-0000-0000-0000124F0000}"/>
    <cellStyle name="Normal 3 3 2 3 3 2" xfId="20303" xr:uid="{00000000-0005-0000-0000-0000134F0000}"/>
    <cellStyle name="Normal 3 3 2 3 4" xfId="20304" xr:uid="{00000000-0005-0000-0000-0000144F0000}"/>
    <cellStyle name="Normal 3 3 2 4" xfId="20305" xr:uid="{00000000-0005-0000-0000-0000154F0000}"/>
    <cellStyle name="Normal 3 3 2 4 2" xfId="20306" xr:uid="{00000000-0005-0000-0000-0000164F0000}"/>
    <cellStyle name="Normal 3 3 2 4 2 2" xfId="20307" xr:uid="{00000000-0005-0000-0000-0000174F0000}"/>
    <cellStyle name="Normal 3 3 2 4 3" xfId="20308" xr:uid="{00000000-0005-0000-0000-0000184F0000}"/>
    <cellStyle name="Normal 3 3 2 5" xfId="20309" xr:uid="{00000000-0005-0000-0000-0000194F0000}"/>
    <cellStyle name="Normal 3 3 2 5 2" xfId="20310" xr:uid="{00000000-0005-0000-0000-00001A4F0000}"/>
    <cellStyle name="Normal 3 3 2 5 2 2" xfId="20311" xr:uid="{00000000-0005-0000-0000-00001B4F0000}"/>
    <cellStyle name="Normal 3 3 2 5 3" xfId="20312" xr:uid="{00000000-0005-0000-0000-00001C4F0000}"/>
    <cellStyle name="Normal 3 3 2 6" xfId="20313" xr:uid="{00000000-0005-0000-0000-00001D4F0000}"/>
    <cellStyle name="Normal 3 3 2 6 2" xfId="20314" xr:uid="{00000000-0005-0000-0000-00001E4F0000}"/>
    <cellStyle name="Normal 3 3 2 6 2 2" xfId="20315" xr:uid="{00000000-0005-0000-0000-00001F4F0000}"/>
    <cellStyle name="Normal 3 3 2 6 3" xfId="20316" xr:uid="{00000000-0005-0000-0000-0000204F0000}"/>
    <cellStyle name="Normal 3 3 2 7" xfId="20317" xr:uid="{00000000-0005-0000-0000-0000214F0000}"/>
    <cellStyle name="Normal 3 3 2 7 2" xfId="20318" xr:uid="{00000000-0005-0000-0000-0000224F0000}"/>
    <cellStyle name="Normal 3 3 2 7 2 2" xfId="20319" xr:uid="{00000000-0005-0000-0000-0000234F0000}"/>
    <cellStyle name="Normal 3 3 2 7 3" xfId="20320" xr:uid="{00000000-0005-0000-0000-0000244F0000}"/>
    <cellStyle name="Normal 3 3 2 8" xfId="20321" xr:uid="{00000000-0005-0000-0000-0000254F0000}"/>
    <cellStyle name="Normal 3 3 2 8 2" xfId="20322" xr:uid="{00000000-0005-0000-0000-0000264F0000}"/>
    <cellStyle name="Normal 3 3 2 9" xfId="20323" xr:uid="{00000000-0005-0000-0000-0000274F0000}"/>
    <cellStyle name="Normal 3 3 3" xfId="20324" xr:uid="{00000000-0005-0000-0000-0000284F0000}"/>
    <cellStyle name="Normal 3 3 3 2" xfId="20325" xr:uid="{00000000-0005-0000-0000-0000294F0000}"/>
    <cellStyle name="Normal 3 3 3 2 2" xfId="20326" xr:uid="{00000000-0005-0000-0000-00002A4F0000}"/>
    <cellStyle name="Normal 3 3 3 2 2 2" xfId="20327" xr:uid="{00000000-0005-0000-0000-00002B4F0000}"/>
    <cellStyle name="Normal 3 3 3 2 3" xfId="20328" xr:uid="{00000000-0005-0000-0000-00002C4F0000}"/>
    <cellStyle name="Normal 3 3 3 2 3 2" xfId="20329" xr:uid="{00000000-0005-0000-0000-00002D4F0000}"/>
    <cellStyle name="Normal 3 3 3 2 4" xfId="20330" xr:uid="{00000000-0005-0000-0000-00002E4F0000}"/>
    <cellStyle name="Normal 3 3 3 3" xfId="20331" xr:uid="{00000000-0005-0000-0000-00002F4F0000}"/>
    <cellStyle name="Normal 3 3 3 3 2" xfId="20332" xr:uid="{00000000-0005-0000-0000-0000304F0000}"/>
    <cellStyle name="Normal 3 3 3 3 2 2" xfId="20333" xr:uid="{00000000-0005-0000-0000-0000314F0000}"/>
    <cellStyle name="Normal 3 3 3 3 3" xfId="20334" xr:uid="{00000000-0005-0000-0000-0000324F0000}"/>
    <cellStyle name="Normal 3 3 3 3 3 2" xfId="20335" xr:uid="{00000000-0005-0000-0000-0000334F0000}"/>
    <cellStyle name="Normal 3 3 3 3 4" xfId="20336" xr:uid="{00000000-0005-0000-0000-0000344F0000}"/>
    <cellStyle name="Normal 3 3 3 4" xfId="20337" xr:uid="{00000000-0005-0000-0000-0000354F0000}"/>
    <cellStyle name="Normal 3 3 3 4 2" xfId="20338" xr:uid="{00000000-0005-0000-0000-0000364F0000}"/>
    <cellStyle name="Normal 3 3 3 5" xfId="20339" xr:uid="{00000000-0005-0000-0000-0000374F0000}"/>
    <cellStyle name="Normal 3 3 3 5 2" xfId="20340" xr:uid="{00000000-0005-0000-0000-0000384F0000}"/>
    <cellStyle name="Normal 3 3 3 6" xfId="20341" xr:uid="{00000000-0005-0000-0000-0000394F0000}"/>
    <cellStyle name="Normal 3 3 4" xfId="20342" xr:uid="{00000000-0005-0000-0000-00003A4F0000}"/>
    <cellStyle name="Normal 3 3 4 2" xfId="20343" xr:uid="{00000000-0005-0000-0000-00003B4F0000}"/>
    <cellStyle name="Normal 3 3 4 2 2" xfId="20344" xr:uid="{00000000-0005-0000-0000-00003C4F0000}"/>
    <cellStyle name="Normal 3 3 4 2 2 2" xfId="20345" xr:uid="{00000000-0005-0000-0000-00003D4F0000}"/>
    <cellStyle name="Normal 3 3 4 2 3" xfId="20346" xr:uid="{00000000-0005-0000-0000-00003E4F0000}"/>
    <cellStyle name="Normal 3 3 4 2 3 2" xfId="20347" xr:uid="{00000000-0005-0000-0000-00003F4F0000}"/>
    <cellStyle name="Normal 3 3 4 2 4" xfId="20348" xr:uid="{00000000-0005-0000-0000-0000404F0000}"/>
    <cellStyle name="Normal 3 3 4 3" xfId="20349" xr:uid="{00000000-0005-0000-0000-0000414F0000}"/>
    <cellStyle name="Normal 3 3 4 3 2" xfId="20350" xr:uid="{00000000-0005-0000-0000-0000424F0000}"/>
    <cellStyle name="Normal 3 3 4 3 2 2" xfId="20351" xr:uid="{00000000-0005-0000-0000-0000434F0000}"/>
    <cellStyle name="Normal 3 3 4 3 3" xfId="20352" xr:uid="{00000000-0005-0000-0000-0000444F0000}"/>
    <cellStyle name="Normal 3 3 4 3 3 2" xfId="20353" xr:uid="{00000000-0005-0000-0000-0000454F0000}"/>
    <cellStyle name="Normal 3 3 4 3 4" xfId="20354" xr:uid="{00000000-0005-0000-0000-0000464F0000}"/>
    <cellStyle name="Normal 3 3 4 4" xfId="20355" xr:uid="{00000000-0005-0000-0000-0000474F0000}"/>
    <cellStyle name="Normal 3 3 4 4 2" xfId="20356" xr:uid="{00000000-0005-0000-0000-0000484F0000}"/>
    <cellStyle name="Normal 3 3 4 5" xfId="20357" xr:uid="{00000000-0005-0000-0000-0000494F0000}"/>
    <cellStyle name="Normal 3 3 4 5 2" xfId="20358" xr:uid="{00000000-0005-0000-0000-00004A4F0000}"/>
    <cellStyle name="Normal 3 3 4 6" xfId="20359" xr:uid="{00000000-0005-0000-0000-00004B4F0000}"/>
    <cellStyle name="Normal 3 3 5" xfId="20360" xr:uid="{00000000-0005-0000-0000-00004C4F0000}"/>
    <cellStyle name="Normal 3 3 5 2" xfId="20361" xr:uid="{00000000-0005-0000-0000-00004D4F0000}"/>
    <cellStyle name="Normal 3 3 5 2 2" xfId="20362" xr:uid="{00000000-0005-0000-0000-00004E4F0000}"/>
    <cellStyle name="Normal 3 3 5 3" xfId="20363" xr:uid="{00000000-0005-0000-0000-00004F4F0000}"/>
    <cellStyle name="Normal 3 3 5 3 2" xfId="20364" xr:uid="{00000000-0005-0000-0000-0000504F0000}"/>
    <cellStyle name="Normal 3 3 5 4" xfId="20365" xr:uid="{00000000-0005-0000-0000-0000514F0000}"/>
    <cellStyle name="Normal 3 3 6" xfId="20366" xr:uid="{00000000-0005-0000-0000-0000524F0000}"/>
    <cellStyle name="Normal 3 3 6 2" xfId="20367" xr:uid="{00000000-0005-0000-0000-0000534F0000}"/>
    <cellStyle name="Normal 3 3 6 2 2" xfId="20368" xr:uid="{00000000-0005-0000-0000-0000544F0000}"/>
    <cellStyle name="Normal 3 3 6 3" xfId="20369" xr:uid="{00000000-0005-0000-0000-0000554F0000}"/>
    <cellStyle name="Normal 3 3 7" xfId="20370" xr:uid="{00000000-0005-0000-0000-0000564F0000}"/>
    <cellStyle name="Normal 3 3 7 2" xfId="20371" xr:uid="{00000000-0005-0000-0000-0000574F0000}"/>
    <cellStyle name="Normal 3 3 7 2 2" xfId="20372" xr:uid="{00000000-0005-0000-0000-0000584F0000}"/>
    <cellStyle name="Normal 3 3 7 3" xfId="20373" xr:uid="{00000000-0005-0000-0000-0000594F0000}"/>
    <cellStyle name="Normal 3 3 8" xfId="20374" xr:uid="{00000000-0005-0000-0000-00005A4F0000}"/>
    <cellStyle name="Normal 3 3 8 2" xfId="20375" xr:uid="{00000000-0005-0000-0000-00005B4F0000}"/>
    <cellStyle name="Normal 3 3 8 2 2" xfId="20376" xr:uid="{00000000-0005-0000-0000-00005C4F0000}"/>
    <cellStyle name="Normal 3 3 8 3" xfId="20377" xr:uid="{00000000-0005-0000-0000-00005D4F0000}"/>
    <cellStyle name="Normal 3 3 9" xfId="20378" xr:uid="{00000000-0005-0000-0000-00005E4F0000}"/>
    <cellStyle name="Normal 3 3 9 2" xfId="20379" xr:uid="{00000000-0005-0000-0000-00005F4F0000}"/>
    <cellStyle name="Normal 3 3 9 2 2" xfId="20380" xr:uid="{00000000-0005-0000-0000-0000604F0000}"/>
    <cellStyle name="Normal 3 3 9 3" xfId="20381" xr:uid="{00000000-0005-0000-0000-0000614F0000}"/>
    <cellStyle name="Normal 3 4" xfId="20382" xr:uid="{00000000-0005-0000-0000-0000624F0000}"/>
    <cellStyle name="Normal 3 4 10" xfId="20383" xr:uid="{00000000-0005-0000-0000-0000634F0000}"/>
    <cellStyle name="Normal 3 4 10 2" xfId="20384" xr:uid="{00000000-0005-0000-0000-0000644F0000}"/>
    <cellStyle name="Normal 3 4 10 2 2" xfId="20385" xr:uid="{00000000-0005-0000-0000-0000654F0000}"/>
    <cellStyle name="Normal 3 4 10 3" xfId="20386" xr:uid="{00000000-0005-0000-0000-0000664F0000}"/>
    <cellStyle name="Normal 3 4 11" xfId="20387" xr:uid="{00000000-0005-0000-0000-0000674F0000}"/>
    <cellStyle name="Normal 3 4 11 2" xfId="20388" xr:uid="{00000000-0005-0000-0000-0000684F0000}"/>
    <cellStyle name="Normal 3 4 12" xfId="20389" xr:uid="{00000000-0005-0000-0000-0000694F0000}"/>
    <cellStyle name="Normal 3 4 2" xfId="20390" xr:uid="{00000000-0005-0000-0000-00006A4F0000}"/>
    <cellStyle name="Normal 3 4 2 2" xfId="20391" xr:uid="{00000000-0005-0000-0000-00006B4F0000}"/>
    <cellStyle name="Normal 3 4 2 2 2" xfId="20392" xr:uid="{00000000-0005-0000-0000-00006C4F0000}"/>
    <cellStyle name="Normal 3 4 2 2 2 2" xfId="20393" xr:uid="{00000000-0005-0000-0000-00006D4F0000}"/>
    <cellStyle name="Normal 3 4 2 2 2 2 2" xfId="20394" xr:uid="{00000000-0005-0000-0000-00006E4F0000}"/>
    <cellStyle name="Normal 3 4 2 2 2 3" xfId="20395" xr:uid="{00000000-0005-0000-0000-00006F4F0000}"/>
    <cellStyle name="Normal 3 4 2 2 2 3 2" xfId="20396" xr:uid="{00000000-0005-0000-0000-0000704F0000}"/>
    <cellStyle name="Normal 3 4 2 2 2 4" xfId="20397" xr:uid="{00000000-0005-0000-0000-0000714F0000}"/>
    <cellStyle name="Normal 3 4 2 2 3" xfId="20398" xr:uid="{00000000-0005-0000-0000-0000724F0000}"/>
    <cellStyle name="Normal 3 4 2 2 3 2" xfId="20399" xr:uid="{00000000-0005-0000-0000-0000734F0000}"/>
    <cellStyle name="Normal 3 4 2 2 4" xfId="20400" xr:uid="{00000000-0005-0000-0000-0000744F0000}"/>
    <cellStyle name="Normal 3 4 2 2 4 2" xfId="20401" xr:uid="{00000000-0005-0000-0000-0000754F0000}"/>
    <cellStyle name="Normal 3 4 2 2 5" xfId="20402" xr:uid="{00000000-0005-0000-0000-0000764F0000}"/>
    <cellStyle name="Normal 3 4 2 3" xfId="20403" xr:uid="{00000000-0005-0000-0000-0000774F0000}"/>
    <cellStyle name="Normal 3 4 2 3 2" xfId="20404" xr:uid="{00000000-0005-0000-0000-0000784F0000}"/>
    <cellStyle name="Normal 3 4 2 3 2 2" xfId="20405" xr:uid="{00000000-0005-0000-0000-0000794F0000}"/>
    <cellStyle name="Normal 3 4 2 3 3" xfId="20406" xr:uid="{00000000-0005-0000-0000-00007A4F0000}"/>
    <cellStyle name="Normal 3 4 2 3 3 2" xfId="20407" xr:uid="{00000000-0005-0000-0000-00007B4F0000}"/>
    <cellStyle name="Normal 3 4 2 3 4" xfId="20408" xr:uid="{00000000-0005-0000-0000-00007C4F0000}"/>
    <cellStyle name="Normal 3 4 2 4" xfId="20409" xr:uid="{00000000-0005-0000-0000-00007D4F0000}"/>
    <cellStyle name="Normal 3 4 2 4 2" xfId="20410" xr:uid="{00000000-0005-0000-0000-00007E4F0000}"/>
    <cellStyle name="Normal 3 4 2 4 2 2" xfId="20411" xr:uid="{00000000-0005-0000-0000-00007F4F0000}"/>
    <cellStyle name="Normal 3 4 2 4 3" xfId="20412" xr:uid="{00000000-0005-0000-0000-0000804F0000}"/>
    <cellStyle name="Normal 3 4 2 5" xfId="20413" xr:uid="{00000000-0005-0000-0000-0000814F0000}"/>
    <cellStyle name="Normal 3 4 2 5 2" xfId="20414" xr:uid="{00000000-0005-0000-0000-0000824F0000}"/>
    <cellStyle name="Normal 3 4 2 6" xfId="20415" xr:uid="{00000000-0005-0000-0000-0000834F0000}"/>
    <cellStyle name="Normal 3 4 3" xfId="20416" xr:uid="{00000000-0005-0000-0000-0000844F0000}"/>
    <cellStyle name="Normal 3 4 3 2" xfId="20417" xr:uid="{00000000-0005-0000-0000-0000854F0000}"/>
    <cellStyle name="Normal 3 4 3 2 2" xfId="20418" xr:uid="{00000000-0005-0000-0000-0000864F0000}"/>
    <cellStyle name="Normal 3 4 3 2 2 2" xfId="20419" xr:uid="{00000000-0005-0000-0000-0000874F0000}"/>
    <cellStyle name="Normal 3 4 3 2 3" xfId="20420" xr:uid="{00000000-0005-0000-0000-0000884F0000}"/>
    <cellStyle name="Normal 3 4 3 2 3 2" xfId="20421" xr:uid="{00000000-0005-0000-0000-0000894F0000}"/>
    <cellStyle name="Normal 3 4 3 2 4" xfId="20422" xr:uid="{00000000-0005-0000-0000-00008A4F0000}"/>
    <cellStyle name="Normal 3 4 3 3" xfId="20423" xr:uid="{00000000-0005-0000-0000-00008B4F0000}"/>
    <cellStyle name="Normal 3 4 3 3 2" xfId="20424" xr:uid="{00000000-0005-0000-0000-00008C4F0000}"/>
    <cellStyle name="Normal 3 4 3 3 2 2" xfId="20425" xr:uid="{00000000-0005-0000-0000-00008D4F0000}"/>
    <cellStyle name="Normal 3 4 3 3 3" xfId="20426" xr:uid="{00000000-0005-0000-0000-00008E4F0000}"/>
    <cellStyle name="Normal 3 4 3 3 3 2" xfId="20427" xr:uid="{00000000-0005-0000-0000-00008F4F0000}"/>
    <cellStyle name="Normal 3 4 3 3 4" xfId="20428" xr:uid="{00000000-0005-0000-0000-0000904F0000}"/>
    <cellStyle name="Normal 3 4 3 4" xfId="20429" xr:uid="{00000000-0005-0000-0000-0000914F0000}"/>
    <cellStyle name="Normal 3 4 3 4 2" xfId="20430" xr:uid="{00000000-0005-0000-0000-0000924F0000}"/>
    <cellStyle name="Normal 3 4 3 5" xfId="20431" xr:uid="{00000000-0005-0000-0000-0000934F0000}"/>
    <cellStyle name="Normal 3 4 3 5 2" xfId="20432" xr:uid="{00000000-0005-0000-0000-0000944F0000}"/>
    <cellStyle name="Normal 3 4 3 6" xfId="20433" xr:uid="{00000000-0005-0000-0000-0000954F0000}"/>
    <cellStyle name="Normal 3 4 4" xfId="20434" xr:uid="{00000000-0005-0000-0000-0000964F0000}"/>
    <cellStyle name="Normal 3 4 4 2" xfId="20435" xr:uid="{00000000-0005-0000-0000-0000974F0000}"/>
    <cellStyle name="Normal 3 4 4 2 2" xfId="20436" xr:uid="{00000000-0005-0000-0000-0000984F0000}"/>
    <cellStyle name="Normal 3 4 4 2 2 2" xfId="20437" xr:uid="{00000000-0005-0000-0000-0000994F0000}"/>
    <cellStyle name="Normal 3 4 4 2 3" xfId="20438" xr:uid="{00000000-0005-0000-0000-00009A4F0000}"/>
    <cellStyle name="Normal 3 4 4 2 3 2" xfId="20439" xr:uid="{00000000-0005-0000-0000-00009B4F0000}"/>
    <cellStyle name="Normal 3 4 4 2 4" xfId="20440" xr:uid="{00000000-0005-0000-0000-00009C4F0000}"/>
    <cellStyle name="Normal 3 4 4 3" xfId="20441" xr:uid="{00000000-0005-0000-0000-00009D4F0000}"/>
    <cellStyle name="Normal 3 4 4 3 2" xfId="20442" xr:uid="{00000000-0005-0000-0000-00009E4F0000}"/>
    <cellStyle name="Normal 3 4 4 3 2 2" xfId="20443" xr:uid="{00000000-0005-0000-0000-00009F4F0000}"/>
    <cellStyle name="Normal 3 4 4 3 3" xfId="20444" xr:uid="{00000000-0005-0000-0000-0000A04F0000}"/>
    <cellStyle name="Normal 3 4 4 3 3 2" xfId="20445" xr:uid="{00000000-0005-0000-0000-0000A14F0000}"/>
    <cellStyle name="Normal 3 4 4 3 4" xfId="20446" xr:uid="{00000000-0005-0000-0000-0000A24F0000}"/>
    <cellStyle name="Normal 3 4 4 4" xfId="20447" xr:uid="{00000000-0005-0000-0000-0000A34F0000}"/>
    <cellStyle name="Normal 3 4 4 4 2" xfId="20448" xr:uid="{00000000-0005-0000-0000-0000A44F0000}"/>
    <cellStyle name="Normal 3 4 4 5" xfId="20449" xr:uid="{00000000-0005-0000-0000-0000A54F0000}"/>
    <cellStyle name="Normal 3 4 4 5 2" xfId="20450" xr:uid="{00000000-0005-0000-0000-0000A64F0000}"/>
    <cellStyle name="Normal 3 4 4 6" xfId="20451" xr:uid="{00000000-0005-0000-0000-0000A74F0000}"/>
    <cellStyle name="Normal 3 4 5" xfId="20452" xr:uid="{00000000-0005-0000-0000-0000A84F0000}"/>
    <cellStyle name="Normal 3 4 5 2" xfId="20453" xr:uid="{00000000-0005-0000-0000-0000A94F0000}"/>
    <cellStyle name="Normal 3 4 5 3" xfId="20454" xr:uid="{00000000-0005-0000-0000-0000AA4F0000}"/>
    <cellStyle name="Normal 3 4 5 3 2" xfId="20455" xr:uid="{00000000-0005-0000-0000-0000AB4F0000}"/>
    <cellStyle name="Normal 3 4 5 3 2 2" xfId="20456" xr:uid="{00000000-0005-0000-0000-0000AC4F0000}"/>
    <cellStyle name="Normal 3 4 5 3 3" xfId="20457" xr:uid="{00000000-0005-0000-0000-0000AD4F0000}"/>
    <cellStyle name="Normal 3 4 5 3 3 2" xfId="20458" xr:uid="{00000000-0005-0000-0000-0000AE4F0000}"/>
    <cellStyle name="Normal 3 4 5 3 4" xfId="20459" xr:uid="{00000000-0005-0000-0000-0000AF4F0000}"/>
    <cellStyle name="Normal 3 4 6" xfId="20460" xr:uid="{00000000-0005-0000-0000-0000B04F0000}"/>
    <cellStyle name="Normal 3 4 6 2" xfId="20461" xr:uid="{00000000-0005-0000-0000-0000B14F0000}"/>
    <cellStyle name="Normal 3 4 6 2 2" xfId="20462" xr:uid="{00000000-0005-0000-0000-0000B24F0000}"/>
    <cellStyle name="Normal 3 4 6 3" xfId="20463" xr:uid="{00000000-0005-0000-0000-0000B34F0000}"/>
    <cellStyle name="Normal 3 4 6 3 2" xfId="20464" xr:uid="{00000000-0005-0000-0000-0000B44F0000}"/>
    <cellStyle name="Normal 3 4 6 4" xfId="20465" xr:uid="{00000000-0005-0000-0000-0000B54F0000}"/>
    <cellStyle name="Normal 3 4 7" xfId="20466" xr:uid="{00000000-0005-0000-0000-0000B64F0000}"/>
    <cellStyle name="Normal 3 4 7 2" xfId="20467" xr:uid="{00000000-0005-0000-0000-0000B74F0000}"/>
    <cellStyle name="Normal 3 4 7 2 2" xfId="20468" xr:uid="{00000000-0005-0000-0000-0000B84F0000}"/>
    <cellStyle name="Normal 3 4 7 3" xfId="20469" xr:uid="{00000000-0005-0000-0000-0000B94F0000}"/>
    <cellStyle name="Normal 3 4 8" xfId="20470" xr:uid="{00000000-0005-0000-0000-0000BA4F0000}"/>
    <cellStyle name="Normal 3 4 8 2" xfId="20471" xr:uid="{00000000-0005-0000-0000-0000BB4F0000}"/>
    <cellStyle name="Normal 3 4 8 2 2" xfId="20472" xr:uid="{00000000-0005-0000-0000-0000BC4F0000}"/>
    <cellStyle name="Normal 3 4 8 3" xfId="20473" xr:uid="{00000000-0005-0000-0000-0000BD4F0000}"/>
    <cellStyle name="Normal 3 4 9" xfId="20474" xr:uid="{00000000-0005-0000-0000-0000BE4F0000}"/>
    <cellStyle name="Normal 3 4 9 2" xfId="20475" xr:uid="{00000000-0005-0000-0000-0000BF4F0000}"/>
    <cellStyle name="Normal 3 4 9 2 2" xfId="20476" xr:uid="{00000000-0005-0000-0000-0000C04F0000}"/>
    <cellStyle name="Normal 3 4 9 3" xfId="20477" xr:uid="{00000000-0005-0000-0000-0000C14F0000}"/>
    <cellStyle name="Normal 3 5" xfId="20478" xr:uid="{00000000-0005-0000-0000-0000C24F0000}"/>
    <cellStyle name="Normal 3 5 2" xfId="20479" xr:uid="{00000000-0005-0000-0000-0000C34F0000}"/>
    <cellStyle name="Normal 3 5 2 2" xfId="20480" xr:uid="{00000000-0005-0000-0000-0000C44F0000}"/>
    <cellStyle name="Normal 3 5 2 2 2" xfId="20481" xr:uid="{00000000-0005-0000-0000-0000C54F0000}"/>
    <cellStyle name="Normal 3 5 2 2 2 2" xfId="20482" xr:uid="{00000000-0005-0000-0000-0000C64F0000}"/>
    <cellStyle name="Normal 3 5 2 2 2 2 2" xfId="20483" xr:uid="{00000000-0005-0000-0000-0000C74F0000}"/>
    <cellStyle name="Normal 3 5 2 2 2 3" xfId="20484" xr:uid="{00000000-0005-0000-0000-0000C84F0000}"/>
    <cellStyle name="Normal 3 5 2 2 2 3 2" xfId="20485" xr:uid="{00000000-0005-0000-0000-0000C94F0000}"/>
    <cellStyle name="Normal 3 5 2 2 2 4" xfId="20486" xr:uid="{00000000-0005-0000-0000-0000CA4F0000}"/>
    <cellStyle name="Normal 3 5 2 2 3" xfId="20487" xr:uid="{00000000-0005-0000-0000-0000CB4F0000}"/>
    <cellStyle name="Normal 3 5 2 2 3 2" xfId="20488" xr:uid="{00000000-0005-0000-0000-0000CC4F0000}"/>
    <cellStyle name="Normal 3 5 2 2 4" xfId="20489" xr:uid="{00000000-0005-0000-0000-0000CD4F0000}"/>
    <cellStyle name="Normal 3 5 2 2 4 2" xfId="20490" xr:uid="{00000000-0005-0000-0000-0000CE4F0000}"/>
    <cellStyle name="Normal 3 5 2 2 5" xfId="20491" xr:uid="{00000000-0005-0000-0000-0000CF4F0000}"/>
    <cellStyle name="Normal 3 5 2 3" xfId="20492" xr:uid="{00000000-0005-0000-0000-0000D04F0000}"/>
    <cellStyle name="Normal 3 5 2 3 2" xfId="20493" xr:uid="{00000000-0005-0000-0000-0000D14F0000}"/>
    <cellStyle name="Normal 3 5 2 3 2 2" xfId="20494" xr:uid="{00000000-0005-0000-0000-0000D24F0000}"/>
    <cellStyle name="Normal 3 5 2 3 3" xfId="20495" xr:uid="{00000000-0005-0000-0000-0000D34F0000}"/>
    <cellStyle name="Normal 3 5 2 3 3 2" xfId="20496" xr:uid="{00000000-0005-0000-0000-0000D44F0000}"/>
    <cellStyle name="Normal 3 5 2 3 4" xfId="20497" xr:uid="{00000000-0005-0000-0000-0000D54F0000}"/>
    <cellStyle name="Normal 3 5 2 4" xfId="20498" xr:uid="{00000000-0005-0000-0000-0000D64F0000}"/>
    <cellStyle name="Normal 3 5 2 4 2" xfId="20499" xr:uid="{00000000-0005-0000-0000-0000D74F0000}"/>
    <cellStyle name="Normal 3 5 2 4 2 2" xfId="20500" xr:uid="{00000000-0005-0000-0000-0000D84F0000}"/>
    <cellStyle name="Normal 3 5 2 4 3" xfId="20501" xr:uid="{00000000-0005-0000-0000-0000D94F0000}"/>
    <cellStyle name="Normal 3 5 2 5" xfId="20502" xr:uid="{00000000-0005-0000-0000-0000DA4F0000}"/>
    <cellStyle name="Normal 3 5 2 5 2" xfId="20503" xr:uid="{00000000-0005-0000-0000-0000DB4F0000}"/>
    <cellStyle name="Normal 3 5 2 6" xfId="20504" xr:uid="{00000000-0005-0000-0000-0000DC4F0000}"/>
    <cellStyle name="Normal 3 5 3" xfId="20505" xr:uid="{00000000-0005-0000-0000-0000DD4F0000}"/>
    <cellStyle name="Normal 3 5 3 2" xfId="20506" xr:uid="{00000000-0005-0000-0000-0000DE4F0000}"/>
    <cellStyle name="Normal 3 5 3 2 2" xfId="20507" xr:uid="{00000000-0005-0000-0000-0000DF4F0000}"/>
    <cellStyle name="Normal 3 5 3 2 2 2" xfId="20508" xr:uid="{00000000-0005-0000-0000-0000E04F0000}"/>
    <cellStyle name="Normal 3 5 3 2 3" xfId="20509" xr:uid="{00000000-0005-0000-0000-0000E14F0000}"/>
    <cellStyle name="Normal 3 5 3 2 3 2" xfId="20510" xr:uid="{00000000-0005-0000-0000-0000E24F0000}"/>
    <cellStyle name="Normal 3 5 3 2 4" xfId="20511" xr:uid="{00000000-0005-0000-0000-0000E34F0000}"/>
    <cellStyle name="Normal 3 5 3 3" xfId="20512" xr:uid="{00000000-0005-0000-0000-0000E44F0000}"/>
    <cellStyle name="Normal 3 5 3 3 2" xfId="20513" xr:uid="{00000000-0005-0000-0000-0000E54F0000}"/>
    <cellStyle name="Normal 3 5 3 4" xfId="20514" xr:uid="{00000000-0005-0000-0000-0000E64F0000}"/>
    <cellStyle name="Normal 3 5 3 4 2" xfId="20515" xr:uid="{00000000-0005-0000-0000-0000E74F0000}"/>
    <cellStyle name="Normal 3 5 3 5" xfId="20516" xr:uid="{00000000-0005-0000-0000-0000E84F0000}"/>
    <cellStyle name="Normal 3 5 4" xfId="20517" xr:uid="{00000000-0005-0000-0000-0000E94F0000}"/>
    <cellStyle name="Normal 3 5 4 2" xfId="20518" xr:uid="{00000000-0005-0000-0000-0000EA4F0000}"/>
    <cellStyle name="Normal 3 5 4 2 2" xfId="20519" xr:uid="{00000000-0005-0000-0000-0000EB4F0000}"/>
    <cellStyle name="Normal 3 5 4 3" xfId="20520" xr:uid="{00000000-0005-0000-0000-0000EC4F0000}"/>
    <cellStyle name="Normal 3 5 4 3 2" xfId="20521" xr:uid="{00000000-0005-0000-0000-0000ED4F0000}"/>
    <cellStyle name="Normal 3 5 4 4" xfId="20522" xr:uid="{00000000-0005-0000-0000-0000EE4F0000}"/>
    <cellStyle name="Normal 3 5 5" xfId="20523" xr:uid="{00000000-0005-0000-0000-0000EF4F0000}"/>
    <cellStyle name="Normal 3 5 5 2" xfId="20524" xr:uid="{00000000-0005-0000-0000-0000F04F0000}"/>
    <cellStyle name="Normal 3 5 5 2 2" xfId="20525" xr:uid="{00000000-0005-0000-0000-0000F14F0000}"/>
    <cellStyle name="Normal 3 5 5 3" xfId="20526" xr:uid="{00000000-0005-0000-0000-0000F24F0000}"/>
    <cellStyle name="Normal 3 5 6" xfId="20527" xr:uid="{00000000-0005-0000-0000-0000F34F0000}"/>
    <cellStyle name="Normal 3 5 6 2" xfId="20528" xr:uid="{00000000-0005-0000-0000-0000F44F0000}"/>
    <cellStyle name="Normal 3 5 7" xfId="20529" xr:uid="{00000000-0005-0000-0000-0000F54F0000}"/>
    <cellStyle name="Normal 3 6" xfId="20530" xr:uid="{00000000-0005-0000-0000-0000F64F0000}"/>
    <cellStyle name="Normal 3 7" xfId="20531" xr:uid="{00000000-0005-0000-0000-0000F74F0000}"/>
    <cellStyle name="Normal 3 7 2" xfId="20532" xr:uid="{00000000-0005-0000-0000-0000F84F0000}"/>
    <cellStyle name="Normal 3 7 2 2" xfId="20533" xr:uid="{00000000-0005-0000-0000-0000F94F0000}"/>
    <cellStyle name="Normal 3 7 2 2 2" xfId="20534" xr:uid="{00000000-0005-0000-0000-0000FA4F0000}"/>
    <cellStyle name="Normal 3 7 2 3" xfId="20535" xr:uid="{00000000-0005-0000-0000-0000FB4F0000}"/>
    <cellStyle name="Normal 3 7 2 3 2" xfId="20536" xr:uid="{00000000-0005-0000-0000-0000FC4F0000}"/>
    <cellStyle name="Normal 3 7 2 4" xfId="20537" xr:uid="{00000000-0005-0000-0000-0000FD4F0000}"/>
    <cellStyle name="Normal 3 7 3" xfId="20538" xr:uid="{00000000-0005-0000-0000-0000FE4F0000}"/>
    <cellStyle name="Normal 3 7 3 2" xfId="20539" xr:uid="{00000000-0005-0000-0000-0000FF4F0000}"/>
    <cellStyle name="Normal 3 7 3 2 2" xfId="20540" xr:uid="{00000000-0005-0000-0000-000000500000}"/>
    <cellStyle name="Normal 3 7 3 3" xfId="20541" xr:uid="{00000000-0005-0000-0000-000001500000}"/>
    <cellStyle name="Normal 3 7 3 3 2" xfId="20542" xr:uid="{00000000-0005-0000-0000-000002500000}"/>
    <cellStyle name="Normal 3 7 3 4" xfId="20543" xr:uid="{00000000-0005-0000-0000-000003500000}"/>
    <cellStyle name="Normal 3 7 4" xfId="20544" xr:uid="{00000000-0005-0000-0000-000004500000}"/>
    <cellStyle name="Normal 3 7 4 2" xfId="20545" xr:uid="{00000000-0005-0000-0000-000005500000}"/>
    <cellStyle name="Normal 3 7 5" xfId="20546" xr:uid="{00000000-0005-0000-0000-000006500000}"/>
    <cellStyle name="Normal 3 7 5 2" xfId="20547" xr:uid="{00000000-0005-0000-0000-000007500000}"/>
    <cellStyle name="Normal 3 7 6" xfId="20548" xr:uid="{00000000-0005-0000-0000-000008500000}"/>
    <cellStyle name="Normal 3 8" xfId="20549" xr:uid="{00000000-0005-0000-0000-000009500000}"/>
    <cellStyle name="Normal 3 9" xfId="20550" xr:uid="{00000000-0005-0000-0000-00000A500000}"/>
    <cellStyle name="Normal 3 9 2" xfId="20551" xr:uid="{00000000-0005-0000-0000-00000B500000}"/>
    <cellStyle name="Normal 3 9 2 2" xfId="20552" xr:uid="{00000000-0005-0000-0000-00000C500000}"/>
    <cellStyle name="Normal 3 9 3" xfId="20553" xr:uid="{00000000-0005-0000-0000-00000D500000}"/>
    <cellStyle name="Normal 3 9 3 2" xfId="20554" xr:uid="{00000000-0005-0000-0000-00000E500000}"/>
    <cellStyle name="Normal 3 9 4" xfId="20555" xr:uid="{00000000-0005-0000-0000-00000F500000}"/>
    <cellStyle name="Normal 3_RECUPERAÇÃO" xfId="20556" xr:uid="{00000000-0005-0000-0000-000010500000}"/>
    <cellStyle name="Normal 30" xfId="20557" xr:uid="{00000000-0005-0000-0000-000011500000}"/>
    <cellStyle name="Normal 30 2" xfId="20558" xr:uid="{00000000-0005-0000-0000-000012500000}"/>
    <cellStyle name="Normal 30 2 2" xfId="20559" xr:uid="{00000000-0005-0000-0000-000013500000}"/>
    <cellStyle name="Normal 30 3" xfId="20560" xr:uid="{00000000-0005-0000-0000-000014500000}"/>
    <cellStyle name="Normal 300" xfId="20561" xr:uid="{00000000-0005-0000-0000-000015500000}"/>
    <cellStyle name="Normal 301" xfId="20562" xr:uid="{00000000-0005-0000-0000-000016500000}"/>
    <cellStyle name="Normal 302" xfId="20563" xr:uid="{00000000-0005-0000-0000-000017500000}"/>
    <cellStyle name="Normal 302 2" xfId="157" xr:uid="{00000000-0005-0000-0000-000018500000}"/>
    <cellStyle name="Normal 31" xfId="20564" xr:uid="{00000000-0005-0000-0000-000019500000}"/>
    <cellStyle name="Normal 31 2" xfId="20565" xr:uid="{00000000-0005-0000-0000-00001A500000}"/>
    <cellStyle name="Normal 31 2 2" xfId="20566" xr:uid="{00000000-0005-0000-0000-00001B500000}"/>
    <cellStyle name="Normal 31 3" xfId="20567" xr:uid="{00000000-0005-0000-0000-00001C500000}"/>
    <cellStyle name="Normal 32" xfId="20568" xr:uid="{00000000-0005-0000-0000-00001D500000}"/>
    <cellStyle name="Normal 32 2" xfId="20569" xr:uid="{00000000-0005-0000-0000-00001E500000}"/>
    <cellStyle name="Normal 32 2 2" xfId="20570" xr:uid="{00000000-0005-0000-0000-00001F500000}"/>
    <cellStyle name="Normal 32 3" xfId="20571" xr:uid="{00000000-0005-0000-0000-000020500000}"/>
    <cellStyle name="Normal 33" xfId="20572" xr:uid="{00000000-0005-0000-0000-000021500000}"/>
    <cellStyle name="Normal 33 2" xfId="20573" xr:uid="{00000000-0005-0000-0000-000022500000}"/>
    <cellStyle name="Normal 33 2 2" xfId="20574" xr:uid="{00000000-0005-0000-0000-000023500000}"/>
    <cellStyle name="Normal 33 3" xfId="20575" xr:uid="{00000000-0005-0000-0000-000024500000}"/>
    <cellStyle name="Normal 34" xfId="20576" xr:uid="{00000000-0005-0000-0000-000025500000}"/>
    <cellStyle name="Normal 34 2" xfId="20577" xr:uid="{00000000-0005-0000-0000-000026500000}"/>
    <cellStyle name="Normal 34 2 2" xfId="20578" xr:uid="{00000000-0005-0000-0000-000027500000}"/>
    <cellStyle name="Normal 34 3" xfId="20579" xr:uid="{00000000-0005-0000-0000-000028500000}"/>
    <cellStyle name="Normal 35" xfId="20580" xr:uid="{00000000-0005-0000-0000-000029500000}"/>
    <cellStyle name="Normal 35 2" xfId="20581" xr:uid="{00000000-0005-0000-0000-00002A500000}"/>
    <cellStyle name="Normal 35 2 2" xfId="20582" xr:uid="{00000000-0005-0000-0000-00002B500000}"/>
    <cellStyle name="Normal 35 3" xfId="20583" xr:uid="{00000000-0005-0000-0000-00002C500000}"/>
    <cellStyle name="Normal 36" xfId="20584" xr:uid="{00000000-0005-0000-0000-00002D500000}"/>
    <cellStyle name="Normal 36 2" xfId="20585" xr:uid="{00000000-0005-0000-0000-00002E500000}"/>
    <cellStyle name="Normal 36 2 2" xfId="20586" xr:uid="{00000000-0005-0000-0000-00002F500000}"/>
    <cellStyle name="Normal 36 3" xfId="20587" xr:uid="{00000000-0005-0000-0000-000030500000}"/>
    <cellStyle name="Normal 37" xfId="20588" xr:uid="{00000000-0005-0000-0000-000031500000}"/>
    <cellStyle name="Normal 37 2" xfId="20589" xr:uid="{00000000-0005-0000-0000-000032500000}"/>
    <cellStyle name="Normal 37 2 2" xfId="20590" xr:uid="{00000000-0005-0000-0000-000033500000}"/>
    <cellStyle name="Normal 37 3" xfId="20591" xr:uid="{00000000-0005-0000-0000-000034500000}"/>
    <cellStyle name="Normal 38" xfId="20592" xr:uid="{00000000-0005-0000-0000-000035500000}"/>
    <cellStyle name="Normal 38 2" xfId="20593" xr:uid="{00000000-0005-0000-0000-000036500000}"/>
    <cellStyle name="Normal 38 2 2" xfId="20594" xr:uid="{00000000-0005-0000-0000-000037500000}"/>
    <cellStyle name="Normal 38 3" xfId="20595" xr:uid="{00000000-0005-0000-0000-000038500000}"/>
    <cellStyle name="Normal 39" xfId="20596" xr:uid="{00000000-0005-0000-0000-000039500000}"/>
    <cellStyle name="Normal 39 2" xfId="20597" xr:uid="{00000000-0005-0000-0000-00003A500000}"/>
    <cellStyle name="Normal 39 2 2" xfId="20598" xr:uid="{00000000-0005-0000-0000-00003B500000}"/>
    <cellStyle name="Normal 39 3" xfId="20599" xr:uid="{00000000-0005-0000-0000-00003C500000}"/>
    <cellStyle name="Normal 4" xfId="67" xr:uid="{00000000-0005-0000-0000-00003D500000}"/>
    <cellStyle name="Normal 4 10" xfId="20600" xr:uid="{00000000-0005-0000-0000-00003E500000}"/>
    <cellStyle name="Normal 4 10 2" xfId="20601" xr:uid="{00000000-0005-0000-0000-00003F500000}"/>
    <cellStyle name="Normal 4 10 2 2" xfId="20602" xr:uid="{00000000-0005-0000-0000-000040500000}"/>
    <cellStyle name="Normal 4 10 3" xfId="20603" xr:uid="{00000000-0005-0000-0000-000041500000}"/>
    <cellStyle name="Normal 4 11" xfId="20604" xr:uid="{00000000-0005-0000-0000-000042500000}"/>
    <cellStyle name="Normal 4 11 2" xfId="20605" xr:uid="{00000000-0005-0000-0000-000043500000}"/>
    <cellStyle name="Normal 4 11 2 2" xfId="20606" xr:uid="{00000000-0005-0000-0000-000044500000}"/>
    <cellStyle name="Normal 4 11 3" xfId="20607" xr:uid="{00000000-0005-0000-0000-000045500000}"/>
    <cellStyle name="Normal 4 12" xfId="20608" xr:uid="{00000000-0005-0000-0000-000046500000}"/>
    <cellStyle name="Normal 4 12 2" xfId="20609" xr:uid="{00000000-0005-0000-0000-000047500000}"/>
    <cellStyle name="Normal 4 12 2 2" xfId="20610" xr:uid="{00000000-0005-0000-0000-000048500000}"/>
    <cellStyle name="Normal 4 12 3" xfId="20611" xr:uid="{00000000-0005-0000-0000-000049500000}"/>
    <cellStyle name="Normal 4 13" xfId="20612" xr:uid="{00000000-0005-0000-0000-00004A500000}"/>
    <cellStyle name="Normal 4 14" xfId="20613" xr:uid="{00000000-0005-0000-0000-00004B500000}"/>
    <cellStyle name="Normal 4 14 2" xfId="20614" xr:uid="{00000000-0005-0000-0000-00004C500000}"/>
    <cellStyle name="Normal 4 15" xfId="20615" xr:uid="{00000000-0005-0000-0000-00004D500000}"/>
    <cellStyle name="Normal 4 16" xfId="20616" xr:uid="{00000000-0005-0000-0000-00004E500000}"/>
    <cellStyle name="Normal 4 17" xfId="20617" xr:uid="{00000000-0005-0000-0000-00004F500000}"/>
    <cellStyle name="Normal 4 18" xfId="20618" xr:uid="{00000000-0005-0000-0000-000050500000}"/>
    <cellStyle name="Normal 4 19" xfId="20619" xr:uid="{00000000-0005-0000-0000-000051500000}"/>
    <cellStyle name="Normal 4 2" xfId="117" xr:uid="{00000000-0005-0000-0000-000052500000}"/>
    <cellStyle name="Normal 4 2 10" xfId="20620" xr:uid="{00000000-0005-0000-0000-000053500000}"/>
    <cellStyle name="Normal 4 2 10 2" xfId="20621" xr:uid="{00000000-0005-0000-0000-000054500000}"/>
    <cellStyle name="Normal 4 2 10 2 2" xfId="20622" xr:uid="{00000000-0005-0000-0000-000055500000}"/>
    <cellStyle name="Normal 4 2 10 3" xfId="20623" xr:uid="{00000000-0005-0000-0000-000056500000}"/>
    <cellStyle name="Normal 4 2 11" xfId="20624" xr:uid="{00000000-0005-0000-0000-000057500000}"/>
    <cellStyle name="Normal 4 2 11 2" xfId="20625" xr:uid="{00000000-0005-0000-0000-000058500000}"/>
    <cellStyle name="Normal 4 2 12" xfId="20626" xr:uid="{00000000-0005-0000-0000-000059500000}"/>
    <cellStyle name="Normal 4 2 2" xfId="20627" xr:uid="{00000000-0005-0000-0000-00005A500000}"/>
    <cellStyle name="Normal 4 2 2 2" xfId="20628" xr:uid="{00000000-0005-0000-0000-00005B500000}"/>
    <cellStyle name="Normal 4 2 2 2 2" xfId="20629" xr:uid="{00000000-0005-0000-0000-00005C500000}"/>
    <cellStyle name="Normal 4 2 2 2 2 2" xfId="20630" xr:uid="{00000000-0005-0000-0000-00005D500000}"/>
    <cellStyle name="Normal 4 2 2 2 2 2 2" xfId="20631" xr:uid="{00000000-0005-0000-0000-00005E500000}"/>
    <cellStyle name="Normal 4 2 2 2 2 3" xfId="20632" xr:uid="{00000000-0005-0000-0000-00005F500000}"/>
    <cellStyle name="Normal 4 2 2 2 2 3 2" xfId="20633" xr:uid="{00000000-0005-0000-0000-000060500000}"/>
    <cellStyle name="Normal 4 2 2 2 2 4" xfId="20634" xr:uid="{00000000-0005-0000-0000-000061500000}"/>
    <cellStyle name="Normal 4 2 2 2 3" xfId="20635" xr:uid="{00000000-0005-0000-0000-000062500000}"/>
    <cellStyle name="Normal 4 2 2 2 3 2" xfId="20636" xr:uid="{00000000-0005-0000-0000-000063500000}"/>
    <cellStyle name="Normal 4 2 2 2 4" xfId="20637" xr:uid="{00000000-0005-0000-0000-000064500000}"/>
    <cellStyle name="Normal 4 2 2 2 4 2" xfId="20638" xr:uid="{00000000-0005-0000-0000-000065500000}"/>
    <cellStyle name="Normal 4 2 2 2 5" xfId="20639" xr:uid="{00000000-0005-0000-0000-000066500000}"/>
    <cellStyle name="Normal 4 2 2 3" xfId="20640" xr:uid="{00000000-0005-0000-0000-000067500000}"/>
    <cellStyle name="Normal 4 2 2 3 2" xfId="20641" xr:uid="{00000000-0005-0000-0000-000068500000}"/>
    <cellStyle name="Normal 4 2 2 3 2 2" xfId="20642" xr:uid="{00000000-0005-0000-0000-000069500000}"/>
    <cellStyle name="Normal 4 2 2 3 3" xfId="20643" xr:uid="{00000000-0005-0000-0000-00006A500000}"/>
    <cellStyle name="Normal 4 2 2 3 3 2" xfId="20644" xr:uid="{00000000-0005-0000-0000-00006B500000}"/>
    <cellStyle name="Normal 4 2 2 3 4" xfId="20645" xr:uid="{00000000-0005-0000-0000-00006C500000}"/>
    <cellStyle name="Normal 4 2 2 4" xfId="20646" xr:uid="{00000000-0005-0000-0000-00006D500000}"/>
    <cellStyle name="Normal 4 2 2 4 2" xfId="20647" xr:uid="{00000000-0005-0000-0000-00006E500000}"/>
    <cellStyle name="Normal 4 2 2 4 2 2" xfId="20648" xr:uid="{00000000-0005-0000-0000-00006F500000}"/>
    <cellStyle name="Normal 4 2 2 4 3" xfId="20649" xr:uid="{00000000-0005-0000-0000-000070500000}"/>
    <cellStyle name="Normal 4 2 2 5" xfId="20650" xr:uid="{00000000-0005-0000-0000-000071500000}"/>
    <cellStyle name="Normal 4 2 2 5 2" xfId="20651" xr:uid="{00000000-0005-0000-0000-000072500000}"/>
    <cellStyle name="Normal 4 2 2 6" xfId="20652" xr:uid="{00000000-0005-0000-0000-000073500000}"/>
    <cellStyle name="Normal 4 2 3" xfId="20653" xr:uid="{00000000-0005-0000-0000-000074500000}"/>
    <cellStyle name="Normal 4 2 4" xfId="20654" xr:uid="{00000000-0005-0000-0000-000075500000}"/>
    <cellStyle name="Normal 4 2 4 2" xfId="20655" xr:uid="{00000000-0005-0000-0000-000076500000}"/>
    <cellStyle name="Normal 4 2 4 2 2" xfId="20656" xr:uid="{00000000-0005-0000-0000-000077500000}"/>
    <cellStyle name="Normal 4 2 4 2 2 2" xfId="20657" xr:uid="{00000000-0005-0000-0000-000078500000}"/>
    <cellStyle name="Normal 4 2 4 2 3" xfId="20658" xr:uid="{00000000-0005-0000-0000-000079500000}"/>
    <cellStyle name="Normal 4 2 4 2 3 2" xfId="20659" xr:uid="{00000000-0005-0000-0000-00007A500000}"/>
    <cellStyle name="Normal 4 2 4 2 4" xfId="20660" xr:uid="{00000000-0005-0000-0000-00007B500000}"/>
    <cellStyle name="Normal 4 2 4 3" xfId="20661" xr:uid="{00000000-0005-0000-0000-00007C500000}"/>
    <cellStyle name="Normal 4 2 4 3 2" xfId="20662" xr:uid="{00000000-0005-0000-0000-00007D500000}"/>
    <cellStyle name="Normal 4 2 4 3 2 2" xfId="20663" xr:uid="{00000000-0005-0000-0000-00007E500000}"/>
    <cellStyle name="Normal 4 2 4 3 3" xfId="20664" xr:uid="{00000000-0005-0000-0000-00007F500000}"/>
    <cellStyle name="Normal 4 2 4 3 3 2" xfId="20665" xr:uid="{00000000-0005-0000-0000-000080500000}"/>
    <cellStyle name="Normal 4 2 4 3 4" xfId="20666" xr:uid="{00000000-0005-0000-0000-000081500000}"/>
    <cellStyle name="Normal 4 2 4 4" xfId="20667" xr:uid="{00000000-0005-0000-0000-000082500000}"/>
    <cellStyle name="Normal 4 2 4 4 2" xfId="20668" xr:uid="{00000000-0005-0000-0000-000083500000}"/>
    <cellStyle name="Normal 4 2 4 5" xfId="20669" xr:uid="{00000000-0005-0000-0000-000084500000}"/>
    <cellStyle name="Normal 4 2 4 5 2" xfId="20670" xr:uid="{00000000-0005-0000-0000-000085500000}"/>
    <cellStyle name="Normal 4 2 4 6" xfId="20671" xr:uid="{00000000-0005-0000-0000-000086500000}"/>
    <cellStyle name="Normal 4 2 5" xfId="20672" xr:uid="{00000000-0005-0000-0000-000087500000}"/>
    <cellStyle name="Normal 4 2 5 2" xfId="20673" xr:uid="{00000000-0005-0000-0000-000088500000}"/>
    <cellStyle name="Normal 4 2 5 2 2" xfId="20674" xr:uid="{00000000-0005-0000-0000-000089500000}"/>
    <cellStyle name="Normal 4 2 5 2 2 2" xfId="20675" xr:uid="{00000000-0005-0000-0000-00008A500000}"/>
    <cellStyle name="Normal 4 2 5 2 3" xfId="20676" xr:uid="{00000000-0005-0000-0000-00008B500000}"/>
    <cellStyle name="Normal 4 2 5 2 3 2" xfId="20677" xr:uid="{00000000-0005-0000-0000-00008C500000}"/>
    <cellStyle name="Normal 4 2 5 2 4" xfId="20678" xr:uid="{00000000-0005-0000-0000-00008D500000}"/>
    <cellStyle name="Normal 4 2 5 3" xfId="20679" xr:uid="{00000000-0005-0000-0000-00008E500000}"/>
    <cellStyle name="Normal 4 2 5 3 2" xfId="20680" xr:uid="{00000000-0005-0000-0000-00008F500000}"/>
    <cellStyle name="Normal 4 2 5 3 2 2" xfId="20681" xr:uid="{00000000-0005-0000-0000-000090500000}"/>
    <cellStyle name="Normal 4 2 5 3 3" xfId="20682" xr:uid="{00000000-0005-0000-0000-000091500000}"/>
    <cellStyle name="Normal 4 2 5 3 3 2" xfId="20683" xr:uid="{00000000-0005-0000-0000-000092500000}"/>
    <cellStyle name="Normal 4 2 5 3 4" xfId="20684" xr:uid="{00000000-0005-0000-0000-000093500000}"/>
    <cellStyle name="Normal 4 2 5 4" xfId="20685" xr:uid="{00000000-0005-0000-0000-000094500000}"/>
    <cellStyle name="Normal 4 2 5 4 2" xfId="20686" xr:uid="{00000000-0005-0000-0000-000095500000}"/>
    <cellStyle name="Normal 4 2 5 5" xfId="20687" xr:uid="{00000000-0005-0000-0000-000096500000}"/>
    <cellStyle name="Normal 4 2 5 5 2" xfId="20688" xr:uid="{00000000-0005-0000-0000-000097500000}"/>
    <cellStyle name="Normal 4 2 5 6" xfId="20689" xr:uid="{00000000-0005-0000-0000-000098500000}"/>
    <cellStyle name="Normal 4 2 6" xfId="20690" xr:uid="{00000000-0005-0000-0000-000099500000}"/>
    <cellStyle name="Normal 4 2 6 2" xfId="20691" xr:uid="{00000000-0005-0000-0000-00009A500000}"/>
    <cellStyle name="Normal 4 2 6 2 2" xfId="20692" xr:uid="{00000000-0005-0000-0000-00009B500000}"/>
    <cellStyle name="Normal 4 2 6 3" xfId="20693" xr:uid="{00000000-0005-0000-0000-00009C500000}"/>
    <cellStyle name="Normal 4 2 6 3 2" xfId="20694" xr:uid="{00000000-0005-0000-0000-00009D500000}"/>
    <cellStyle name="Normal 4 2 6 4" xfId="20695" xr:uid="{00000000-0005-0000-0000-00009E500000}"/>
    <cellStyle name="Normal 4 2 7" xfId="20696" xr:uid="{00000000-0005-0000-0000-00009F500000}"/>
    <cellStyle name="Normal 4 2 7 2" xfId="20697" xr:uid="{00000000-0005-0000-0000-0000A0500000}"/>
    <cellStyle name="Normal 4 2 7 2 2" xfId="20698" xr:uid="{00000000-0005-0000-0000-0000A1500000}"/>
    <cellStyle name="Normal 4 2 7 3" xfId="20699" xr:uid="{00000000-0005-0000-0000-0000A2500000}"/>
    <cellStyle name="Normal 4 2 8" xfId="20700" xr:uid="{00000000-0005-0000-0000-0000A3500000}"/>
    <cellStyle name="Normal 4 2 8 2" xfId="20701" xr:uid="{00000000-0005-0000-0000-0000A4500000}"/>
    <cellStyle name="Normal 4 2 8 2 2" xfId="20702" xr:uid="{00000000-0005-0000-0000-0000A5500000}"/>
    <cellStyle name="Normal 4 2 8 3" xfId="20703" xr:uid="{00000000-0005-0000-0000-0000A6500000}"/>
    <cellStyle name="Normal 4 2 9" xfId="20704" xr:uid="{00000000-0005-0000-0000-0000A7500000}"/>
    <cellStyle name="Normal 4 2 9 2" xfId="20705" xr:uid="{00000000-0005-0000-0000-0000A8500000}"/>
    <cellStyle name="Normal 4 2 9 2 2" xfId="20706" xr:uid="{00000000-0005-0000-0000-0000A9500000}"/>
    <cellStyle name="Normal 4 2 9 3" xfId="20707" xr:uid="{00000000-0005-0000-0000-0000AA500000}"/>
    <cellStyle name="Normal 4 20" xfId="20708" xr:uid="{00000000-0005-0000-0000-0000AB500000}"/>
    <cellStyle name="Normal 4 21" xfId="20709" xr:uid="{00000000-0005-0000-0000-0000AC500000}"/>
    <cellStyle name="Normal 4 22" xfId="20710" xr:uid="{00000000-0005-0000-0000-0000AD500000}"/>
    <cellStyle name="Normal 4 23" xfId="20711" xr:uid="{00000000-0005-0000-0000-0000AE500000}"/>
    <cellStyle name="Normal 4 24" xfId="20712" xr:uid="{00000000-0005-0000-0000-0000AF500000}"/>
    <cellStyle name="Normal 4 25" xfId="20713" xr:uid="{00000000-0005-0000-0000-0000B0500000}"/>
    <cellStyle name="Normal 4 26" xfId="20714" xr:uid="{00000000-0005-0000-0000-0000B1500000}"/>
    <cellStyle name="Normal 4 27" xfId="20715" xr:uid="{00000000-0005-0000-0000-0000B2500000}"/>
    <cellStyle name="Normal 4 28" xfId="20716" xr:uid="{00000000-0005-0000-0000-0000B3500000}"/>
    <cellStyle name="Normal 4 29" xfId="20717" xr:uid="{00000000-0005-0000-0000-0000B4500000}"/>
    <cellStyle name="Normal 4 3" xfId="20718" xr:uid="{00000000-0005-0000-0000-0000B5500000}"/>
    <cellStyle name="Normal 4 3 2" xfId="20719" xr:uid="{00000000-0005-0000-0000-0000B6500000}"/>
    <cellStyle name="Normal 4 3 2 2" xfId="20720" xr:uid="{00000000-0005-0000-0000-0000B7500000}"/>
    <cellStyle name="Normal 4 3 2 2 2" xfId="20721" xr:uid="{00000000-0005-0000-0000-0000B8500000}"/>
    <cellStyle name="Normal 4 3 2 2 2 2" xfId="20722" xr:uid="{00000000-0005-0000-0000-0000B9500000}"/>
    <cellStyle name="Normal 4 3 2 2 3" xfId="20723" xr:uid="{00000000-0005-0000-0000-0000BA500000}"/>
    <cellStyle name="Normal 4 3 2 2 3 2" xfId="20724" xr:uid="{00000000-0005-0000-0000-0000BB500000}"/>
    <cellStyle name="Normal 4 3 2 2 4" xfId="20725" xr:uid="{00000000-0005-0000-0000-0000BC500000}"/>
    <cellStyle name="Normal 4 3 2 3" xfId="20726" xr:uid="{00000000-0005-0000-0000-0000BD500000}"/>
    <cellStyle name="Normal 4 3 2 3 2" xfId="20727" xr:uid="{00000000-0005-0000-0000-0000BE500000}"/>
    <cellStyle name="Normal 4 3 2 3 2 2" xfId="20728" xr:uid="{00000000-0005-0000-0000-0000BF500000}"/>
    <cellStyle name="Normal 4 3 2 3 3" xfId="20729" xr:uid="{00000000-0005-0000-0000-0000C0500000}"/>
    <cellStyle name="Normal 4 3 2 3 3 2" xfId="20730" xr:uid="{00000000-0005-0000-0000-0000C1500000}"/>
    <cellStyle name="Normal 4 3 2 3 4" xfId="20731" xr:uid="{00000000-0005-0000-0000-0000C2500000}"/>
    <cellStyle name="Normal 4 3 2 4" xfId="20732" xr:uid="{00000000-0005-0000-0000-0000C3500000}"/>
    <cellStyle name="Normal 4 3 2 4 2" xfId="20733" xr:uid="{00000000-0005-0000-0000-0000C4500000}"/>
    <cellStyle name="Normal 4 3 2 5" xfId="20734" xr:uid="{00000000-0005-0000-0000-0000C5500000}"/>
    <cellStyle name="Normal 4 3 2 5 2" xfId="20735" xr:uid="{00000000-0005-0000-0000-0000C6500000}"/>
    <cellStyle name="Normal 4 3 2 6" xfId="20736" xr:uid="{00000000-0005-0000-0000-0000C7500000}"/>
    <cellStyle name="Normal 4 3 3" xfId="20737" xr:uid="{00000000-0005-0000-0000-0000C8500000}"/>
    <cellStyle name="Normal 4 3 4" xfId="20738" xr:uid="{00000000-0005-0000-0000-0000C9500000}"/>
    <cellStyle name="Normal 4 3 4 2" xfId="20739" xr:uid="{00000000-0005-0000-0000-0000CA500000}"/>
    <cellStyle name="Normal 4 3 4 2 2" xfId="20740" xr:uid="{00000000-0005-0000-0000-0000CB500000}"/>
    <cellStyle name="Normal 4 3 4 3" xfId="20741" xr:uid="{00000000-0005-0000-0000-0000CC500000}"/>
    <cellStyle name="Normal 4 3 5" xfId="20742" xr:uid="{00000000-0005-0000-0000-0000CD500000}"/>
    <cellStyle name="Normal 4 3 5 2" xfId="20743" xr:uid="{00000000-0005-0000-0000-0000CE500000}"/>
    <cellStyle name="Normal 4 3 6" xfId="20744" xr:uid="{00000000-0005-0000-0000-0000CF500000}"/>
    <cellStyle name="Normal 4 30" xfId="20745" xr:uid="{00000000-0005-0000-0000-0000D0500000}"/>
    <cellStyle name="Normal 4 31" xfId="20746" xr:uid="{00000000-0005-0000-0000-0000D1500000}"/>
    <cellStyle name="Normal 4 32" xfId="20747" xr:uid="{00000000-0005-0000-0000-0000D2500000}"/>
    <cellStyle name="Normal 4 33" xfId="20748" xr:uid="{00000000-0005-0000-0000-0000D3500000}"/>
    <cellStyle name="Normal 4 34" xfId="20749" xr:uid="{00000000-0005-0000-0000-0000D4500000}"/>
    <cellStyle name="Normal 4 35" xfId="20750" xr:uid="{00000000-0005-0000-0000-0000D5500000}"/>
    <cellStyle name="Normal 4 36" xfId="20751" xr:uid="{00000000-0005-0000-0000-0000D6500000}"/>
    <cellStyle name="Normal 4 37" xfId="20752" xr:uid="{00000000-0005-0000-0000-0000D7500000}"/>
    <cellStyle name="Normal 4 38" xfId="20753" xr:uid="{00000000-0005-0000-0000-0000D8500000}"/>
    <cellStyle name="Normal 4 39" xfId="20754" xr:uid="{00000000-0005-0000-0000-0000D9500000}"/>
    <cellStyle name="Normal 4 4" xfId="20755" xr:uid="{00000000-0005-0000-0000-0000DA500000}"/>
    <cellStyle name="Normal 4 4 2" xfId="20756" xr:uid="{00000000-0005-0000-0000-0000DB500000}"/>
    <cellStyle name="Normal 4 40" xfId="20757" xr:uid="{00000000-0005-0000-0000-0000DC500000}"/>
    <cellStyle name="Normal 4 41" xfId="20758" xr:uid="{00000000-0005-0000-0000-0000DD500000}"/>
    <cellStyle name="Normal 4 42" xfId="20759" xr:uid="{00000000-0005-0000-0000-0000DE500000}"/>
    <cellStyle name="Normal 4 43" xfId="20760" xr:uid="{00000000-0005-0000-0000-0000DF500000}"/>
    <cellStyle name="Normal 4 44" xfId="20761" xr:uid="{00000000-0005-0000-0000-0000E0500000}"/>
    <cellStyle name="Normal 4 45" xfId="20762" xr:uid="{00000000-0005-0000-0000-0000E1500000}"/>
    <cellStyle name="Normal 4 46" xfId="20763" xr:uid="{00000000-0005-0000-0000-0000E2500000}"/>
    <cellStyle name="Normal 4 47" xfId="20764" xr:uid="{00000000-0005-0000-0000-0000E3500000}"/>
    <cellStyle name="Normal 4 48" xfId="20765" xr:uid="{00000000-0005-0000-0000-0000E4500000}"/>
    <cellStyle name="Normal 4 49" xfId="20766" xr:uid="{00000000-0005-0000-0000-0000E5500000}"/>
    <cellStyle name="Normal 4 5" xfId="20767" xr:uid="{00000000-0005-0000-0000-0000E6500000}"/>
    <cellStyle name="Normal 4 5 2" xfId="20768" xr:uid="{00000000-0005-0000-0000-0000E7500000}"/>
    <cellStyle name="Normal 4 5 2 2" xfId="20769" xr:uid="{00000000-0005-0000-0000-0000E8500000}"/>
    <cellStyle name="Normal 4 5 2 2 2" xfId="20770" xr:uid="{00000000-0005-0000-0000-0000E9500000}"/>
    <cellStyle name="Normal 4 5 2 3" xfId="20771" xr:uid="{00000000-0005-0000-0000-0000EA500000}"/>
    <cellStyle name="Normal 4 5 2 3 2" xfId="20772" xr:uid="{00000000-0005-0000-0000-0000EB500000}"/>
    <cellStyle name="Normal 4 5 2 4" xfId="20773" xr:uid="{00000000-0005-0000-0000-0000EC500000}"/>
    <cellStyle name="Normal 4 5 3" xfId="20774" xr:uid="{00000000-0005-0000-0000-0000ED500000}"/>
    <cellStyle name="Normal 4 5 3 2" xfId="20775" xr:uid="{00000000-0005-0000-0000-0000EE500000}"/>
    <cellStyle name="Normal 4 5 3 2 2" xfId="20776" xr:uid="{00000000-0005-0000-0000-0000EF500000}"/>
    <cellStyle name="Normal 4 5 3 3" xfId="20777" xr:uid="{00000000-0005-0000-0000-0000F0500000}"/>
    <cellStyle name="Normal 4 5 3 3 2" xfId="20778" xr:uid="{00000000-0005-0000-0000-0000F1500000}"/>
    <cellStyle name="Normal 4 5 3 4" xfId="20779" xr:uid="{00000000-0005-0000-0000-0000F2500000}"/>
    <cellStyle name="Normal 4 5 4" xfId="20780" xr:uid="{00000000-0005-0000-0000-0000F3500000}"/>
    <cellStyle name="Normal 4 5 4 2" xfId="20781" xr:uid="{00000000-0005-0000-0000-0000F4500000}"/>
    <cellStyle name="Normal 4 5 5" xfId="20782" xr:uid="{00000000-0005-0000-0000-0000F5500000}"/>
    <cellStyle name="Normal 4 5 5 2" xfId="20783" xr:uid="{00000000-0005-0000-0000-0000F6500000}"/>
    <cellStyle name="Normal 4 5 6" xfId="20784" xr:uid="{00000000-0005-0000-0000-0000F7500000}"/>
    <cellStyle name="Normal 4 50" xfId="20785" xr:uid="{00000000-0005-0000-0000-0000F8500000}"/>
    <cellStyle name="Normal 4 51" xfId="20786" xr:uid="{00000000-0005-0000-0000-0000F9500000}"/>
    <cellStyle name="Normal 4 52" xfId="20787" xr:uid="{00000000-0005-0000-0000-0000FA500000}"/>
    <cellStyle name="Normal 4 53" xfId="20788" xr:uid="{00000000-0005-0000-0000-0000FB500000}"/>
    <cellStyle name="Normal 4 54" xfId="20789" xr:uid="{00000000-0005-0000-0000-0000FC500000}"/>
    <cellStyle name="Normal 4 55" xfId="20790" xr:uid="{00000000-0005-0000-0000-0000FD500000}"/>
    <cellStyle name="Normal 4 56" xfId="20791" xr:uid="{00000000-0005-0000-0000-0000FE500000}"/>
    <cellStyle name="Normal 4 57" xfId="20792" xr:uid="{00000000-0005-0000-0000-0000FF500000}"/>
    <cellStyle name="Normal 4 58" xfId="20793" xr:uid="{00000000-0005-0000-0000-000000510000}"/>
    <cellStyle name="Normal 4 59" xfId="20794" xr:uid="{00000000-0005-0000-0000-000001510000}"/>
    <cellStyle name="Normal 4 6" xfId="20795" xr:uid="{00000000-0005-0000-0000-000002510000}"/>
    <cellStyle name="Normal 4 6 2" xfId="20796" xr:uid="{00000000-0005-0000-0000-000003510000}"/>
    <cellStyle name="Normal 4 6 2 2" xfId="20797" xr:uid="{00000000-0005-0000-0000-000004510000}"/>
    <cellStyle name="Normal 4 6 2 2 2" xfId="20798" xr:uid="{00000000-0005-0000-0000-000005510000}"/>
    <cellStyle name="Normal 4 6 2 3" xfId="20799" xr:uid="{00000000-0005-0000-0000-000006510000}"/>
    <cellStyle name="Normal 4 6 2 3 2" xfId="20800" xr:uid="{00000000-0005-0000-0000-000007510000}"/>
    <cellStyle name="Normal 4 6 2 4" xfId="20801" xr:uid="{00000000-0005-0000-0000-000008510000}"/>
    <cellStyle name="Normal 4 6 3" xfId="20802" xr:uid="{00000000-0005-0000-0000-000009510000}"/>
    <cellStyle name="Normal 4 6 3 2" xfId="20803" xr:uid="{00000000-0005-0000-0000-00000A510000}"/>
    <cellStyle name="Normal 4 6 3 2 2" xfId="20804" xr:uid="{00000000-0005-0000-0000-00000B510000}"/>
    <cellStyle name="Normal 4 6 3 3" xfId="20805" xr:uid="{00000000-0005-0000-0000-00000C510000}"/>
    <cellStyle name="Normal 4 6 3 3 2" xfId="20806" xr:uid="{00000000-0005-0000-0000-00000D510000}"/>
    <cellStyle name="Normal 4 6 3 4" xfId="20807" xr:uid="{00000000-0005-0000-0000-00000E510000}"/>
    <cellStyle name="Normal 4 6 4" xfId="20808" xr:uid="{00000000-0005-0000-0000-00000F510000}"/>
    <cellStyle name="Normal 4 6 4 2" xfId="20809" xr:uid="{00000000-0005-0000-0000-000010510000}"/>
    <cellStyle name="Normal 4 6 5" xfId="20810" xr:uid="{00000000-0005-0000-0000-000011510000}"/>
    <cellStyle name="Normal 4 6 5 2" xfId="20811" xr:uid="{00000000-0005-0000-0000-000012510000}"/>
    <cellStyle name="Normal 4 6 6" xfId="20812" xr:uid="{00000000-0005-0000-0000-000013510000}"/>
    <cellStyle name="Normal 4 60" xfId="20813" xr:uid="{00000000-0005-0000-0000-000014510000}"/>
    <cellStyle name="Normal 4 61" xfId="20814" xr:uid="{00000000-0005-0000-0000-000015510000}"/>
    <cellStyle name="Normal 4 62" xfId="20815" xr:uid="{00000000-0005-0000-0000-000016510000}"/>
    <cellStyle name="Normal 4 63" xfId="20816" xr:uid="{00000000-0005-0000-0000-000017510000}"/>
    <cellStyle name="Normal 4 64" xfId="20817" xr:uid="{00000000-0005-0000-0000-000018510000}"/>
    <cellStyle name="Normal 4 65" xfId="20818" xr:uid="{00000000-0005-0000-0000-000019510000}"/>
    <cellStyle name="Normal 4 66" xfId="20819" xr:uid="{00000000-0005-0000-0000-00001A510000}"/>
    <cellStyle name="Normal 4 67" xfId="20820" xr:uid="{00000000-0005-0000-0000-00001B510000}"/>
    <cellStyle name="Normal 4 68" xfId="20821" xr:uid="{00000000-0005-0000-0000-00001C510000}"/>
    <cellStyle name="Normal 4 69" xfId="20822" xr:uid="{00000000-0005-0000-0000-00001D510000}"/>
    <cellStyle name="Normal 4 7" xfId="20823" xr:uid="{00000000-0005-0000-0000-00001E510000}"/>
    <cellStyle name="Normal 4 7 2" xfId="20824" xr:uid="{00000000-0005-0000-0000-00001F510000}"/>
    <cellStyle name="Normal 4 7 2 2" xfId="20825" xr:uid="{00000000-0005-0000-0000-000020510000}"/>
    <cellStyle name="Normal 4 7 3" xfId="20826" xr:uid="{00000000-0005-0000-0000-000021510000}"/>
    <cellStyle name="Normal 4 7 3 2" xfId="20827" xr:uid="{00000000-0005-0000-0000-000022510000}"/>
    <cellStyle name="Normal 4 7 4" xfId="20828" xr:uid="{00000000-0005-0000-0000-000023510000}"/>
    <cellStyle name="Normal 4 70" xfId="20829" xr:uid="{00000000-0005-0000-0000-000024510000}"/>
    <cellStyle name="Normal 4 71" xfId="20830" xr:uid="{00000000-0005-0000-0000-000025510000}"/>
    <cellStyle name="Normal 4 72" xfId="20831" xr:uid="{00000000-0005-0000-0000-000026510000}"/>
    <cellStyle name="Normal 4 73" xfId="20832" xr:uid="{00000000-0005-0000-0000-000027510000}"/>
    <cellStyle name="Normal 4 8" xfId="20833" xr:uid="{00000000-0005-0000-0000-000028510000}"/>
    <cellStyle name="Normal 4 9" xfId="20834" xr:uid="{00000000-0005-0000-0000-000029510000}"/>
    <cellStyle name="Normal 4 9 2" xfId="20835" xr:uid="{00000000-0005-0000-0000-00002A510000}"/>
    <cellStyle name="Normal 4 9 2 2" xfId="20836" xr:uid="{00000000-0005-0000-0000-00002B510000}"/>
    <cellStyle name="Normal 4 9 3" xfId="20837" xr:uid="{00000000-0005-0000-0000-00002C510000}"/>
    <cellStyle name="Normal 4_Planejamento-2009-Sueli" xfId="20838" xr:uid="{00000000-0005-0000-0000-00002D510000}"/>
    <cellStyle name="Normal 40" xfId="20839" xr:uid="{00000000-0005-0000-0000-00002E510000}"/>
    <cellStyle name="Normal 40 2" xfId="20840" xr:uid="{00000000-0005-0000-0000-00002F510000}"/>
    <cellStyle name="Normal 40 2 2" xfId="20841" xr:uid="{00000000-0005-0000-0000-000030510000}"/>
    <cellStyle name="Normal 40 3" xfId="20842" xr:uid="{00000000-0005-0000-0000-000031510000}"/>
    <cellStyle name="Normal 41" xfId="20843" xr:uid="{00000000-0005-0000-0000-000032510000}"/>
    <cellStyle name="Normal 41 2" xfId="20844" xr:uid="{00000000-0005-0000-0000-000033510000}"/>
    <cellStyle name="Normal 41 2 2" xfId="20845" xr:uid="{00000000-0005-0000-0000-000034510000}"/>
    <cellStyle name="Normal 41 3" xfId="20846" xr:uid="{00000000-0005-0000-0000-000035510000}"/>
    <cellStyle name="Normal 42" xfId="20847" xr:uid="{00000000-0005-0000-0000-000036510000}"/>
    <cellStyle name="Normal 42 2" xfId="20848" xr:uid="{00000000-0005-0000-0000-000037510000}"/>
    <cellStyle name="Normal 42 2 2" xfId="20849" xr:uid="{00000000-0005-0000-0000-000038510000}"/>
    <cellStyle name="Normal 42 3" xfId="20850" xr:uid="{00000000-0005-0000-0000-000039510000}"/>
    <cellStyle name="Normal 43" xfId="20851" xr:uid="{00000000-0005-0000-0000-00003A510000}"/>
    <cellStyle name="Normal 43 2" xfId="20852" xr:uid="{00000000-0005-0000-0000-00003B510000}"/>
    <cellStyle name="Normal 43 2 2" xfId="20853" xr:uid="{00000000-0005-0000-0000-00003C510000}"/>
    <cellStyle name="Normal 43 3" xfId="20854" xr:uid="{00000000-0005-0000-0000-00003D510000}"/>
    <cellStyle name="Normal 44" xfId="20855" xr:uid="{00000000-0005-0000-0000-00003E510000}"/>
    <cellStyle name="Normal 44 2" xfId="20856" xr:uid="{00000000-0005-0000-0000-00003F510000}"/>
    <cellStyle name="Normal 45" xfId="20857" xr:uid="{00000000-0005-0000-0000-000040510000}"/>
    <cellStyle name="Normal 46" xfId="20858" xr:uid="{00000000-0005-0000-0000-000041510000}"/>
    <cellStyle name="Normal 47" xfId="20859" xr:uid="{00000000-0005-0000-0000-000042510000}"/>
    <cellStyle name="Normal 48" xfId="20860" xr:uid="{00000000-0005-0000-0000-000043510000}"/>
    <cellStyle name="Normal 48 2" xfId="20861" xr:uid="{00000000-0005-0000-0000-000044510000}"/>
    <cellStyle name="Normal 49" xfId="20862" xr:uid="{00000000-0005-0000-0000-000045510000}"/>
    <cellStyle name="Normal 49 2" xfId="20863" xr:uid="{00000000-0005-0000-0000-000046510000}"/>
    <cellStyle name="Normal 5" xfId="69" xr:uid="{00000000-0005-0000-0000-000047510000}"/>
    <cellStyle name="Normal 5 10" xfId="20864" xr:uid="{00000000-0005-0000-0000-000048510000}"/>
    <cellStyle name="Normal 5 100" xfId="20865" xr:uid="{00000000-0005-0000-0000-000049510000}"/>
    <cellStyle name="Normal 5 101" xfId="20866" xr:uid="{00000000-0005-0000-0000-00004A510000}"/>
    <cellStyle name="Normal 5 102" xfId="20867" xr:uid="{00000000-0005-0000-0000-00004B510000}"/>
    <cellStyle name="Normal 5 103" xfId="20868" xr:uid="{00000000-0005-0000-0000-00004C510000}"/>
    <cellStyle name="Normal 5 104" xfId="20869" xr:uid="{00000000-0005-0000-0000-00004D510000}"/>
    <cellStyle name="Normal 5 105" xfId="20870" xr:uid="{00000000-0005-0000-0000-00004E510000}"/>
    <cellStyle name="Normal 5 106" xfId="20871" xr:uid="{00000000-0005-0000-0000-00004F510000}"/>
    <cellStyle name="Normal 5 107" xfId="20872" xr:uid="{00000000-0005-0000-0000-000050510000}"/>
    <cellStyle name="Normal 5 108" xfId="20873" xr:uid="{00000000-0005-0000-0000-000051510000}"/>
    <cellStyle name="Normal 5 109" xfId="20874" xr:uid="{00000000-0005-0000-0000-000052510000}"/>
    <cellStyle name="Normal 5 11" xfId="20875" xr:uid="{00000000-0005-0000-0000-000053510000}"/>
    <cellStyle name="Normal 5 110" xfId="20876" xr:uid="{00000000-0005-0000-0000-000054510000}"/>
    <cellStyle name="Normal 5 111" xfId="20877" xr:uid="{00000000-0005-0000-0000-000055510000}"/>
    <cellStyle name="Normal 5 112" xfId="20878" xr:uid="{00000000-0005-0000-0000-000056510000}"/>
    <cellStyle name="Normal 5 113" xfId="20879" xr:uid="{00000000-0005-0000-0000-000057510000}"/>
    <cellStyle name="Normal 5 114" xfId="20880" xr:uid="{00000000-0005-0000-0000-000058510000}"/>
    <cellStyle name="Normal 5 115" xfId="20881" xr:uid="{00000000-0005-0000-0000-000059510000}"/>
    <cellStyle name="Normal 5 116" xfId="20882" xr:uid="{00000000-0005-0000-0000-00005A510000}"/>
    <cellStyle name="Normal 5 117" xfId="20883" xr:uid="{00000000-0005-0000-0000-00005B510000}"/>
    <cellStyle name="Normal 5 118" xfId="20884" xr:uid="{00000000-0005-0000-0000-00005C510000}"/>
    <cellStyle name="Normal 5 119" xfId="20885" xr:uid="{00000000-0005-0000-0000-00005D510000}"/>
    <cellStyle name="Normal 5 12" xfId="20886" xr:uid="{00000000-0005-0000-0000-00005E510000}"/>
    <cellStyle name="Normal 5 120" xfId="20887" xr:uid="{00000000-0005-0000-0000-00005F510000}"/>
    <cellStyle name="Normal 5 121" xfId="20888" xr:uid="{00000000-0005-0000-0000-000060510000}"/>
    <cellStyle name="Normal 5 122" xfId="20889" xr:uid="{00000000-0005-0000-0000-000061510000}"/>
    <cellStyle name="Normal 5 123" xfId="20890" xr:uid="{00000000-0005-0000-0000-000062510000}"/>
    <cellStyle name="Normal 5 124" xfId="20891" xr:uid="{00000000-0005-0000-0000-000063510000}"/>
    <cellStyle name="Normal 5 124 2" xfId="20892" xr:uid="{00000000-0005-0000-0000-000064510000}"/>
    <cellStyle name="Normal 5 124_MO-CronPerm" xfId="20893" xr:uid="{00000000-0005-0000-0000-000065510000}"/>
    <cellStyle name="Normal 5 125" xfId="20894" xr:uid="{00000000-0005-0000-0000-000066510000}"/>
    <cellStyle name="Normal 5 13" xfId="20895" xr:uid="{00000000-0005-0000-0000-000067510000}"/>
    <cellStyle name="Normal 5 14" xfId="20896" xr:uid="{00000000-0005-0000-0000-000068510000}"/>
    <cellStyle name="Normal 5 15" xfId="20897" xr:uid="{00000000-0005-0000-0000-000069510000}"/>
    <cellStyle name="Normal 5 16" xfId="20898" xr:uid="{00000000-0005-0000-0000-00006A510000}"/>
    <cellStyle name="Normal 5 17" xfId="20899" xr:uid="{00000000-0005-0000-0000-00006B510000}"/>
    <cellStyle name="Normal 5 18" xfId="20900" xr:uid="{00000000-0005-0000-0000-00006C510000}"/>
    <cellStyle name="Normal 5 19" xfId="20901" xr:uid="{00000000-0005-0000-0000-00006D510000}"/>
    <cellStyle name="Normal 5 2" xfId="20902" xr:uid="{00000000-0005-0000-0000-00006E510000}"/>
    <cellStyle name="Normal 5 2 2" xfId="20903" xr:uid="{00000000-0005-0000-0000-00006F510000}"/>
    <cellStyle name="Normal 5 2 2 2" xfId="20904" xr:uid="{00000000-0005-0000-0000-000070510000}"/>
    <cellStyle name="Normal 5 2 2 2 2" xfId="20905" xr:uid="{00000000-0005-0000-0000-000071510000}"/>
    <cellStyle name="Normal 5 2 2 2 2 2" xfId="20906" xr:uid="{00000000-0005-0000-0000-000072510000}"/>
    <cellStyle name="Normal 5 2 2 2 2 2 2" xfId="20907" xr:uid="{00000000-0005-0000-0000-000073510000}"/>
    <cellStyle name="Normal 5 2 2 2 2 3" xfId="20908" xr:uid="{00000000-0005-0000-0000-000074510000}"/>
    <cellStyle name="Normal 5 2 2 2 2 3 2" xfId="20909" xr:uid="{00000000-0005-0000-0000-000075510000}"/>
    <cellStyle name="Normal 5 2 2 2 2 4" xfId="20910" xr:uid="{00000000-0005-0000-0000-000076510000}"/>
    <cellStyle name="Normal 5 2 2 2 3" xfId="20911" xr:uid="{00000000-0005-0000-0000-000077510000}"/>
    <cellStyle name="Normal 5 2 2 2 3 2" xfId="20912" xr:uid="{00000000-0005-0000-0000-000078510000}"/>
    <cellStyle name="Normal 5 2 2 2 4" xfId="20913" xr:uid="{00000000-0005-0000-0000-000079510000}"/>
    <cellStyle name="Normal 5 2 2 2 4 2" xfId="20914" xr:uid="{00000000-0005-0000-0000-00007A510000}"/>
    <cellStyle name="Normal 5 2 2 2 5" xfId="20915" xr:uid="{00000000-0005-0000-0000-00007B510000}"/>
    <cellStyle name="Normal 5 2 2 2_MO-CronPerm" xfId="20916" xr:uid="{00000000-0005-0000-0000-00007C510000}"/>
    <cellStyle name="Normal 5 2 2 3" xfId="20917" xr:uid="{00000000-0005-0000-0000-00007D510000}"/>
    <cellStyle name="Normal 5 2 2 3 2" xfId="20918" xr:uid="{00000000-0005-0000-0000-00007E510000}"/>
    <cellStyle name="Normal 5 2 2 3 2 2" xfId="20919" xr:uid="{00000000-0005-0000-0000-00007F510000}"/>
    <cellStyle name="Normal 5 2 2 3 3" xfId="20920" xr:uid="{00000000-0005-0000-0000-000080510000}"/>
    <cellStyle name="Normal 5 2 2 3 3 2" xfId="20921" xr:uid="{00000000-0005-0000-0000-000081510000}"/>
    <cellStyle name="Normal 5 2 2 3 4" xfId="20922" xr:uid="{00000000-0005-0000-0000-000082510000}"/>
    <cellStyle name="Normal 5 2 2 4" xfId="20923" xr:uid="{00000000-0005-0000-0000-000083510000}"/>
    <cellStyle name="Normal 5 2 2 4 2" xfId="20924" xr:uid="{00000000-0005-0000-0000-000084510000}"/>
    <cellStyle name="Normal 5 2 2 4 2 2" xfId="20925" xr:uid="{00000000-0005-0000-0000-000085510000}"/>
    <cellStyle name="Normal 5 2 2 4 3" xfId="20926" xr:uid="{00000000-0005-0000-0000-000086510000}"/>
    <cellStyle name="Normal 5 2 2 5" xfId="20927" xr:uid="{00000000-0005-0000-0000-000087510000}"/>
    <cellStyle name="Normal 5 2 2 5 2" xfId="20928" xr:uid="{00000000-0005-0000-0000-000088510000}"/>
    <cellStyle name="Normal 5 2 2 6" xfId="20929" xr:uid="{00000000-0005-0000-0000-000089510000}"/>
    <cellStyle name="Normal 5 2 2_MO-CronPerm" xfId="20930" xr:uid="{00000000-0005-0000-0000-00008A510000}"/>
    <cellStyle name="Normal 5 2 3" xfId="20931" xr:uid="{00000000-0005-0000-0000-00008B510000}"/>
    <cellStyle name="Normal 5 2 3 2" xfId="20932" xr:uid="{00000000-0005-0000-0000-00008C510000}"/>
    <cellStyle name="Normal 5 2 3 2 2" xfId="20933" xr:uid="{00000000-0005-0000-0000-00008D510000}"/>
    <cellStyle name="Normal 5 2 3 2 2 2" xfId="20934" xr:uid="{00000000-0005-0000-0000-00008E510000}"/>
    <cellStyle name="Normal 5 2 3 2 3" xfId="20935" xr:uid="{00000000-0005-0000-0000-00008F510000}"/>
    <cellStyle name="Normal 5 2 3 2 3 2" xfId="20936" xr:uid="{00000000-0005-0000-0000-000090510000}"/>
    <cellStyle name="Normal 5 2 3 2 4" xfId="20937" xr:uid="{00000000-0005-0000-0000-000091510000}"/>
    <cellStyle name="Normal 5 2 3 3" xfId="20938" xr:uid="{00000000-0005-0000-0000-000092510000}"/>
    <cellStyle name="Normal 5 2 3 3 2" xfId="20939" xr:uid="{00000000-0005-0000-0000-000093510000}"/>
    <cellStyle name="Normal 5 2 3 4" xfId="20940" xr:uid="{00000000-0005-0000-0000-000094510000}"/>
    <cellStyle name="Normal 5 2 3 4 2" xfId="20941" xr:uid="{00000000-0005-0000-0000-000095510000}"/>
    <cellStyle name="Normal 5 2 3 5" xfId="20942" xr:uid="{00000000-0005-0000-0000-000096510000}"/>
    <cellStyle name="Normal 5 2 3_MO-CronPerm" xfId="20943" xr:uid="{00000000-0005-0000-0000-000097510000}"/>
    <cellStyle name="Normal 5 2 4" xfId="20944" xr:uid="{00000000-0005-0000-0000-000098510000}"/>
    <cellStyle name="Normal 5 2 4 2" xfId="20945" xr:uid="{00000000-0005-0000-0000-000099510000}"/>
    <cellStyle name="Normal 5 2 4 2 2" xfId="20946" xr:uid="{00000000-0005-0000-0000-00009A510000}"/>
    <cellStyle name="Normal 5 2 4 3" xfId="20947" xr:uid="{00000000-0005-0000-0000-00009B510000}"/>
    <cellStyle name="Normal 5 2 4 3 2" xfId="20948" xr:uid="{00000000-0005-0000-0000-00009C510000}"/>
    <cellStyle name="Normal 5 2 4 4" xfId="20949" xr:uid="{00000000-0005-0000-0000-00009D510000}"/>
    <cellStyle name="Normal 5 2 5" xfId="20950" xr:uid="{00000000-0005-0000-0000-00009E510000}"/>
    <cellStyle name="Normal 5 2 5 2" xfId="20951" xr:uid="{00000000-0005-0000-0000-00009F510000}"/>
    <cellStyle name="Normal 5 2 5 2 2" xfId="20952" xr:uid="{00000000-0005-0000-0000-0000A0510000}"/>
    <cellStyle name="Normal 5 2 5 3" xfId="20953" xr:uid="{00000000-0005-0000-0000-0000A1510000}"/>
    <cellStyle name="Normal 5 2 6" xfId="20954" xr:uid="{00000000-0005-0000-0000-0000A2510000}"/>
    <cellStyle name="Normal 5 2 6 2" xfId="20955" xr:uid="{00000000-0005-0000-0000-0000A3510000}"/>
    <cellStyle name="Normal 5 2 7" xfId="20956" xr:uid="{00000000-0005-0000-0000-0000A4510000}"/>
    <cellStyle name="Normal 5 2_MO-CronPerm" xfId="20957" xr:uid="{00000000-0005-0000-0000-0000A5510000}"/>
    <cellStyle name="Normal 5 20" xfId="20958" xr:uid="{00000000-0005-0000-0000-0000A6510000}"/>
    <cellStyle name="Normal 5 21" xfId="20959" xr:uid="{00000000-0005-0000-0000-0000A7510000}"/>
    <cellStyle name="Normal 5 22" xfId="20960" xr:uid="{00000000-0005-0000-0000-0000A8510000}"/>
    <cellStyle name="Normal 5 23" xfId="20961" xr:uid="{00000000-0005-0000-0000-0000A9510000}"/>
    <cellStyle name="Normal 5 24" xfId="20962" xr:uid="{00000000-0005-0000-0000-0000AA510000}"/>
    <cellStyle name="Normal 5 25" xfId="20963" xr:uid="{00000000-0005-0000-0000-0000AB510000}"/>
    <cellStyle name="Normal 5 26" xfId="20964" xr:uid="{00000000-0005-0000-0000-0000AC510000}"/>
    <cellStyle name="Normal 5 27" xfId="20965" xr:uid="{00000000-0005-0000-0000-0000AD510000}"/>
    <cellStyle name="Normal 5 28" xfId="20966" xr:uid="{00000000-0005-0000-0000-0000AE510000}"/>
    <cellStyle name="Normal 5 29" xfId="20967" xr:uid="{00000000-0005-0000-0000-0000AF510000}"/>
    <cellStyle name="Normal 5 3" xfId="20968" xr:uid="{00000000-0005-0000-0000-0000B0510000}"/>
    <cellStyle name="Normal 5 3 2" xfId="20969" xr:uid="{00000000-0005-0000-0000-0000B1510000}"/>
    <cellStyle name="Normal 5 3 2 2" xfId="20970" xr:uid="{00000000-0005-0000-0000-0000B2510000}"/>
    <cellStyle name="Normal 5 3 2 2 2" xfId="20971" xr:uid="{00000000-0005-0000-0000-0000B3510000}"/>
    <cellStyle name="Normal 5 3 2 2 2 2" xfId="20972" xr:uid="{00000000-0005-0000-0000-0000B4510000}"/>
    <cellStyle name="Normal 5 3 2 2 3" xfId="20973" xr:uid="{00000000-0005-0000-0000-0000B5510000}"/>
    <cellStyle name="Normal 5 3 2 2 3 2" xfId="20974" xr:uid="{00000000-0005-0000-0000-0000B6510000}"/>
    <cellStyle name="Normal 5 3 2 2 4" xfId="20975" xr:uid="{00000000-0005-0000-0000-0000B7510000}"/>
    <cellStyle name="Normal 5 3 2 2_MO-CronPerm" xfId="20976" xr:uid="{00000000-0005-0000-0000-0000B8510000}"/>
    <cellStyle name="Normal 5 3 2 3" xfId="20977" xr:uid="{00000000-0005-0000-0000-0000B9510000}"/>
    <cellStyle name="Normal 5 3 2 3 2" xfId="20978" xr:uid="{00000000-0005-0000-0000-0000BA510000}"/>
    <cellStyle name="Normal 5 3 2 4" xfId="20979" xr:uid="{00000000-0005-0000-0000-0000BB510000}"/>
    <cellStyle name="Normal 5 3 2 4 2" xfId="20980" xr:uid="{00000000-0005-0000-0000-0000BC510000}"/>
    <cellStyle name="Normal 5 3 2 5" xfId="20981" xr:uid="{00000000-0005-0000-0000-0000BD510000}"/>
    <cellStyle name="Normal 5 3 2_MO-CronPerm" xfId="20982" xr:uid="{00000000-0005-0000-0000-0000BE510000}"/>
    <cellStyle name="Normal 5 3 3" xfId="20983" xr:uid="{00000000-0005-0000-0000-0000BF510000}"/>
    <cellStyle name="Normal 5 3 3 2" xfId="20984" xr:uid="{00000000-0005-0000-0000-0000C0510000}"/>
    <cellStyle name="Normal 5 3 3 2 2" xfId="20985" xr:uid="{00000000-0005-0000-0000-0000C1510000}"/>
    <cellStyle name="Normal 5 3 3 3" xfId="20986" xr:uid="{00000000-0005-0000-0000-0000C2510000}"/>
    <cellStyle name="Normal 5 3 3 3 2" xfId="20987" xr:uid="{00000000-0005-0000-0000-0000C3510000}"/>
    <cellStyle name="Normal 5 3 3 4" xfId="20988" xr:uid="{00000000-0005-0000-0000-0000C4510000}"/>
    <cellStyle name="Normal 5 3 3_MO-CronPerm" xfId="20989" xr:uid="{00000000-0005-0000-0000-0000C5510000}"/>
    <cellStyle name="Normal 5 3 4" xfId="20990" xr:uid="{00000000-0005-0000-0000-0000C6510000}"/>
    <cellStyle name="Normal 5 3 4 2" xfId="20991" xr:uid="{00000000-0005-0000-0000-0000C7510000}"/>
    <cellStyle name="Normal 5 3 4 2 2" xfId="20992" xr:uid="{00000000-0005-0000-0000-0000C8510000}"/>
    <cellStyle name="Normal 5 3 4 3" xfId="20993" xr:uid="{00000000-0005-0000-0000-0000C9510000}"/>
    <cellStyle name="Normal 5 3 5" xfId="20994" xr:uid="{00000000-0005-0000-0000-0000CA510000}"/>
    <cellStyle name="Normal 5 3 5 2" xfId="20995" xr:uid="{00000000-0005-0000-0000-0000CB510000}"/>
    <cellStyle name="Normal 5 3 6" xfId="20996" xr:uid="{00000000-0005-0000-0000-0000CC510000}"/>
    <cellStyle name="Normal 5 3_MO-CronPerm" xfId="20997" xr:uid="{00000000-0005-0000-0000-0000CD510000}"/>
    <cellStyle name="Normal 5 30" xfId="20998" xr:uid="{00000000-0005-0000-0000-0000CE510000}"/>
    <cellStyle name="Normal 5 31" xfId="20999" xr:uid="{00000000-0005-0000-0000-0000CF510000}"/>
    <cellStyle name="Normal 5 32" xfId="21000" xr:uid="{00000000-0005-0000-0000-0000D0510000}"/>
    <cellStyle name="Normal 5 33" xfId="21001" xr:uid="{00000000-0005-0000-0000-0000D1510000}"/>
    <cellStyle name="Normal 5 34" xfId="21002" xr:uid="{00000000-0005-0000-0000-0000D2510000}"/>
    <cellStyle name="Normal 5 35" xfId="21003" xr:uid="{00000000-0005-0000-0000-0000D3510000}"/>
    <cellStyle name="Normal 5 36" xfId="21004" xr:uid="{00000000-0005-0000-0000-0000D4510000}"/>
    <cellStyle name="Normal 5 37" xfId="21005" xr:uid="{00000000-0005-0000-0000-0000D5510000}"/>
    <cellStyle name="Normal 5 38" xfId="21006" xr:uid="{00000000-0005-0000-0000-0000D6510000}"/>
    <cellStyle name="Normal 5 39" xfId="21007" xr:uid="{00000000-0005-0000-0000-0000D7510000}"/>
    <cellStyle name="Normal 5 4" xfId="21008" xr:uid="{00000000-0005-0000-0000-0000D8510000}"/>
    <cellStyle name="Normal 5 4 2" xfId="21009" xr:uid="{00000000-0005-0000-0000-0000D9510000}"/>
    <cellStyle name="Normal 5 4 2 2" xfId="21010" xr:uid="{00000000-0005-0000-0000-0000DA510000}"/>
    <cellStyle name="Normal 5 4 2 2 2" xfId="21011" xr:uid="{00000000-0005-0000-0000-0000DB510000}"/>
    <cellStyle name="Normal 5 4 2 2_MO-CronPerm" xfId="21012" xr:uid="{00000000-0005-0000-0000-0000DC510000}"/>
    <cellStyle name="Normal 5 4 2 3" xfId="21013" xr:uid="{00000000-0005-0000-0000-0000DD510000}"/>
    <cellStyle name="Normal 5 4 2_MO-CronPerm" xfId="21014" xr:uid="{00000000-0005-0000-0000-0000DE510000}"/>
    <cellStyle name="Normal 5 4 3" xfId="21015" xr:uid="{00000000-0005-0000-0000-0000DF510000}"/>
    <cellStyle name="Normal 5 4 3 2" xfId="21016" xr:uid="{00000000-0005-0000-0000-0000E0510000}"/>
    <cellStyle name="Normal 5 4 3_MO-CronPerm" xfId="21017" xr:uid="{00000000-0005-0000-0000-0000E1510000}"/>
    <cellStyle name="Normal 5 4 4" xfId="21018" xr:uid="{00000000-0005-0000-0000-0000E2510000}"/>
    <cellStyle name="Normal 5 4_MO-CronPerm" xfId="21019" xr:uid="{00000000-0005-0000-0000-0000E3510000}"/>
    <cellStyle name="Normal 5 40" xfId="21020" xr:uid="{00000000-0005-0000-0000-0000E4510000}"/>
    <cellStyle name="Normal 5 41" xfId="21021" xr:uid="{00000000-0005-0000-0000-0000E5510000}"/>
    <cellStyle name="Normal 5 42" xfId="21022" xr:uid="{00000000-0005-0000-0000-0000E6510000}"/>
    <cellStyle name="Normal 5 43" xfId="21023" xr:uid="{00000000-0005-0000-0000-0000E7510000}"/>
    <cellStyle name="Normal 5 44" xfId="21024" xr:uid="{00000000-0005-0000-0000-0000E8510000}"/>
    <cellStyle name="Normal 5 45" xfId="21025" xr:uid="{00000000-0005-0000-0000-0000E9510000}"/>
    <cellStyle name="Normal 5 46" xfId="21026" xr:uid="{00000000-0005-0000-0000-0000EA510000}"/>
    <cellStyle name="Normal 5 47" xfId="21027" xr:uid="{00000000-0005-0000-0000-0000EB510000}"/>
    <cellStyle name="Normal 5 48" xfId="21028" xr:uid="{00000000-0005-0000-0000-0000EC510000}"/>
    <cellStyle name="Normal 5 49" xfId="21029" xr:uid="{00000000-0005-0000-0000-0000ED510000}"/>
    <cellStyle name="Normal 5 5" xfId="21030" xr:uid="{00000000-0005-0000-0000-0000EE510000}"/>
    <cellStyle name="Normal 5 5 2" xfId="21031" xr:uid="{00000000-0005-0000-0000-0000EF510000}"/>
    <cellStyle name="Normal 5 5 2 2" xfId="21032" xr:uid="{00000000-0005-0000-0000-0000F0510000}"/>
    <cellStyle name="Normal 5 5 2 2 2" xfId="21033" xr:uid="{00000000-0005-0000-0000-0000F1510000}"/>
    <cellStyle name="Normal 5 5 2 2_MO-CronPerm" xfId="21034" xr:uid="{00000000-0005-0000-0000-0000F2510000}"/>
    <cellStyle name="Normal 5 5 2 3" xfId="21035" xr:uid="{00000000-0005-0000-0000-0000F3510000}"/>
    <cellStyle name="Normal 5 5 2 3 2" xfId="21036" xr:uid="{00000000-0005-0000-0000-0000F4510000}"/>
    <cellStyle name="Normal 5 5 2 4" xfId="21037" xr:uid="{00000000-0005-0000-0000-0000F5510000}"/>
    <cellStyle name="Normal 5 5 2_MO-CronPerm" xfId="21038" xr:uid="{00000000-0005-0000-0000-0000F6510000}"/>
    <cellStyle name="Normal 5 5 3" xfId="21039" xr:uid="{00000000-0005-0000-0000-0000F7510000}"/>
    <cellStyle name="Normal 5 5 3 2" xfId="21040" xr:uid="{00000000-0005-0000-0000-0000F8510000}"/>
    <cellStyle name="Normal 5 5 3 2 2" xfId="21041" xr:uid="{00000000-0005-0000-0000-0000F9510000}"/>
    <cellStyle name="Normal 5 5 3 3" xfId="21042" xr:uid="{00000000-0005-0000-0000-0000FA510000}"/>
    <cellStyle name="Normal 5 5 3 3 2" xfId="21043" xr:uid="{00000000-0005-0000-0000-0000FB510000}"/>
    <cellStyle name="Normal 5 5 3 4" xfId="21044" xr:uid="{00000000-0005-0000-0000-0000FC510000}"/>
    <cellStyle name="Normal 5 5 3_MO-CronPerm" xfId="21045" xr:uid="{00000000-0005-0000-0000-0000FD510000}"/>
    <cellStyle name="Normal 5 5 4" xfId="21046" xr:uid="{00000000-0005-0000-0000-0000FE510000}"/>
    <cellStyle name="Normal 5 5 4 2" xfId="21047" xr:uid="{00000000-0005-0000-0000-0000FF510000}"/>
    <cellStyle name="Normal 5 5 5" xfId="21048" xr:uid="{00000000-0005-0000-0000-000000520000}"/>
    <cellStyle name="Normal 5 5 5 2" xfId="21049" xr:uid="{00000000-0005-0000-0000-000001520000}"/>
    <cellStyle name="Normal 5 5 6" xfId="21050" xr:uid="{00000000-0005-0000-0000-000002520000}"/>
    <cellStyle name="Normal 5 5_MO-CronPerm" xfId="21051" xr:uid="{00000000-0005-0000-0000-000003520000}"/>
    <cellStyle name="Normal 5 50" xfId="21052" xr:uid="{00000000-0005-0000-0000-000004520000}"/>
    <cellStyle name="Normal 5 51" xfId="21053" xr:uid="{00000000-0005-0000-0000-000005520000}"/>
    <cellStyle name="Normal 5 52" xfId="21054" xr:uid="{00000000-0005-0000-0000-000006520000}"/>
    <cellStyle name="Normal 5 53" xfId="21055" xr:uid="{00000000-0005-0000-0000-000007520000}"/>
    <cellStyle name="Normal 5 54" xfId="21056" xr:uid="{00000000-0005-0000-0000-000008520000}"/>
    <cellStyle name="Normal 5 55" xfId="21057" xr:uid="{00000000-0005-0000-0000-000009520000}"/>
    <cellStyle name="Normal 5 56" xfId="21058" xr:uid="{00000000-0005-0000-0000-00000A520000}"/>
    <cellStyle name="Normal 5 57" xfId="21059" xr:uid="{00000000-0005-0000-0000-00000B520000}"/>
    <cellStyle name="Normal 5 58" xfId="21060" xr:uid="{00000000-0005-0000-0000-00000C520000}"/>
    <cellStyle name="Normal 5 59" xfId="21061" xr:uid="{00000000-0005-0000-0000-00000D520000}"/>
    <cellStyle name="Normal 5 6" xfId="21062" xr:uid="{00000000-0005-0000-0000-00000E520000}"/>
    <cellStyle name="Normal 5 60" xfId="21063" xr:uid="{00000000-0005-0000-0000-00000F520000}"/>
    <cellStyle name="Normal 5 61" xfId="21064" xr:uid="{00000000-0005-0000-0000-000010520000}"/>
    <cellStyle name="Normal 5 62" xfId="21065" xr:uid="{00000000-0005-0000-0000-000011520000}"/>
    <cellStyle name="Normal 5 63" xfId="21066" xr:uid="{00000000-0005-0000-0000-000012520000}"/>
    <cellStyle name="Normal 5 64" xfId="21067" xr:uid="{00000000-0005-0000-0000-000013520000}"/>
    <cellStyle name="Normal 5 65" xfId="21068" xr:uid="{00000000-0005-0000-0000-000014520000}"/>
    <cellStyle name="Normal 5 66" xfId="21069" xr:uid="{00000000-0005-0000-0000-000015520000}"/>
    <cellStyle name="Normal 5 67" xfId="21070" xr:uid="{00000000-0005-0000-0000-000016520000}"/>
    <cellStyle name="Normal 5 68" xfId="21071" xr:uid="{00000000-0005-0000-0000-000017520000}"/>
    <cellStyle name="Normal 5 69" xfId="21072" xr:uid="{00000000-0005-0000-0000-000018520000}"/>
    <cellStyle name="Normal 5 7" xfId="21073" xr:uid="{00000000-0005-0000-0000-000019520000}"/>
    <cellStyle name="Normal 5 7 2" xfId="21074" xr:uid="{00000000-0005-0000-0000-00001A520000}"/>
    <cellStyle name="Normal 5 7 2 2" xfId="21075" xr:uid="{00000000-0005-0000-0000-00001B520000}"/>
    <cellStyle name="Normal 5 7 3" xfId="21076" xr:uid="{00000000-0005-0000-0000-00001C520000}"/>
    <cellStyle name="Normal 5 70" xfId="21077" xr:uid="{00000000-0005-0000-0000-00001D520000}"/>
    <cellStyle name="Normal 5 71" xfId="21078" xr:uid="{00000000-0005-0000-0000-00001E520000}"/>
    <cellStyle name="Normal 5 72" xfId="21079" xr:uid="{00000000-0005-0000-0000-00001F520000}"/>
    <cellStyle name="Normal 5 73" xfId="21080" xr:uid="{00000000-0005-0000-0000-000020520000}"/>
    <cellStyle name="Normal 5 74" xfId="21081" xr:uid="{00000000-0005-0000-0000-000021520000}"/>
    <cellStyle name="Normal 5 75" xfId="21082" xr:uid="{00000000-0005-0000-0000-000022520000}"/>
    <cellStyle name="Normal 5 76" xfId="21083" xr:uid="{00000000-0005-0000-0000-000023520000}"/>
    <cellStyle name="Normal 5 77" xfId="21084" xr:uid="{00000000-0005-0000-0000-000024520000}"/>
    <cellStyle name="Normal 5 78" xfId="21085" xr:uid="{00000000-0005-0000-0000-000025520000}"/>
    <cellStyle name="Normal 5 79" xfId="21086" xr:uid="{00000000-0005-0000-0000-000026520000}"/>
    <cellStyle name="Normal 5 8" xfId="21087" xr:uid="{00000000-0005-0000-0000-000027520000}"/>
    <cellStyle name="Normal 5 8 2" xfId="21088" xr:uid="{00000000-0005-0000-0000-000028520000}"/>
    <cellStyle name="Normal 5 80" xfId="21089" xr:uid="{00000000-0005-0000-0000-000029520000}"/>
    <cellStyle name="Normal 5 81" xfId="21090" xr:uid="{00000000-0005-0000-0000-00002A520000}"/>
    <cellStyle name="Normal 5 82" xfId="21091" xr:uid="{00000000-0005-0000-0000-00002B520000}"/>
    <cellStyle name="Normal 5 83" xfId="21092" xr:uid="{00000000-0005-0000-0000-00002C520000}"/>
    <cellStyle name="Normal 5 84" xfId="21093" xr:uid="{00000000-0005-0000-0000-00002D520000}"/>
    <cellStyle name="Normal 5 85" xfId="21094" xr:uid="{00000000-0005-0000-0000-00002E520000}"/>
    <cellStyle name="Normal 5 86" xfId="21095" xr:uid="{00000000-0005-0000-0000-00002F520000}"/>
    <cellStyle name="Normal 5 87" xfId="21096" xr:uid="{00000000-0005-0000-0000-000030520000}"/>
    <cellStyle name="Normal 5 88" xfId="21097" xr:uid="{00000000-0005-0000-0000-000031520000}"/>
    <cellStyle name="Normal 5 89" xfId="21098" xr:uid="{00000000-0005-0000-0000-000032520000}"/>
    <cellStyle name="Normal 5 9" xfId="21099" xr:uid="{00000000-0005-0000-0000-000033520000}"/>
    <cellStyle name="Normal 5 90" xfId="21100" xr:uid="{00000000-0005-0000-0000-000034520000}"/>
    <cellStyle name="Normal 5 91" xfId="21101" xr:uid="{00000000-0005-0000-0000-000035520000}"/>
    <cellStyle name="Normal 5 92" xfId="21102" xr:uid="{00000000-0005-0000-0000-000036520000}"/>
    <cellStyle name="Normal 5 93" xfId="21103" xr:uid="{00000000-0005-0000-0000-000037520000}"/>
    <cellStyle name="Normal 5 94" xfId="21104" xr:uid="{00000000-0005-0000-0000-000038520000}"/>
    <cellStyle name="Normal 5 95" xfId="21105" xr:uid="{00000000-0005-0000-0000-000039520000}"/>
    <cellStyle name="Normal 5 96" xfId="21106" xr:uid="{00000000-0005-0000-0000-00003A520000}"/>
    <cellStyle name="Normal 5 97" xfId="21107" xr:uid="{00000000-0005-0000-0000-00003B520000}"/>
    <cellStyle name="Normal 5 98" xfId="21108" xr:uid="{00000000-0005-0000-0000-00003C520000}"/>
    <cellStyle name="Normal 5 99" xfId="21109" xr:uid="{00000000-0005-0000-0000-00003D520000}"/>
    <cellStyle name="Normal 5_MO-CronPerm" xfId="21110" xr:uid="{00000000-0005-0000-0000-00003E520000}"/>
    <cellStyle name="Normal 50" xfId="21111" xr:uid="{00000000-0005-0000-0000-00003F520000}"/>
    <cellStyle name="Normal 50 2" xfId="21112" xr:uid="{00000000-0005-0000-0000-000040520000}"/>
    <cellStyle name="Normal 50 3" xfId="21113" xr:uid="{00000000-0005-0000-0000-000041520000}"/>
    <cellStyle name="Normal 51" xfId="21114" xr:uid="{00000000-0005-0000-0000-000042520000}"/>
    <cellStyle name="Normal 51 2" xfId="21115" xr:uid="{00000000-0005-0000-0000-000043520000}"/>
    <cellStyle name="Normal 52" xfId="21116" xr:uid="{00000000-0005-0000-0000-000044520000}"/>
    <cellStyle name="Normal 52 2" xfId="21117" xr:uid="{00000000-0005-0000-0000-000045520000}"/>
    <cellStyle name="Normal 53" xfId="21118" xr:uid="{00000000-0005-0000-0000-000046520000}"/>
    <cellStyle name="Normal 53 2" xfId="21119" xr:uid="{00000000-0005-0000-0000-000047520000}"/>
    <cellStyle name="Normal 54" xfId="21120" xr:uid="{00000000-0005-0000-0000-000048520000}"/>
    <cellStyle name="Normal 54 2" xfId="21121" xr:uid="{00000000-0005-0000-0000-000049520000}"/>
    <cellStyle name="Normal 55" xfId="21122" xr:uid="{00000000-0005-0000-0000-00004A520000}"/>
    <cellStyle name="Normal 55 2" xfId="21123" xr:uid="{00000000-0005-0000-0000-00004B520000}"/>
    <cellStyle name="Normal 56" xfId="21124" xr:uid="{00000000-0005-0000-0000-00004C520000}"/>
    <cellStyle name="Normal 56 2" xfId="21125" xr:uid="{00000000-0005-0000-0000-00004D520000}"/>
    <cellStyle name="Normal 57" xfId="21126" xr:uid="{00000000-0005-0000-0000-00004E520000}"/>
    <cellStyle name="Normal 57 2" xfId="21127" xr:uid="{00000000-0005-0000-0000-00004F520000}"/>
    <cellStyle name="Normal 58" xfId="21128" xr:uid="{00000000-0005-0000-0000-000050520000}"/>
    <cellStyle name="Normal 58 2" xfId="21129" xr:uid="{00000000-0005-0000-0000-000051520000}"/>
    <cellStyle name="Normal 59" xfId="21130" xr:uid="{00000000-0005-0000-0000-000052520000}"/>
    <cellStyle name="Normal 59 2" xfId="21131" xr:uid="{00000000-0005-0000-0000-000053520000}"/>
    <cellStyle name="Normal 6" xfId="147" xr:uid="{00000000-0005-0000-0000-000054520000}"/>
    <cellStyle name="Normal 6 10" xfId="21132" xr:uid="{00000000-0005-0000-0000-000055520000}"/>
    <cellStyle name="Normal 6 11" xfId="21133" xr:uid="{00000000-0005-0000-0000-000056520000}"/>
    <cellStyle name="Normal 6 12" xfId="21134" xr:uid="{00000000-0005-0000-0000-000057520000}"/>
    <cellStyle name="Normal 6 13" xfId="21135" xr:uid="{00000000-0005-0000-0000-000058520000}"/>
    <cellStyle name="Normal 6 14" xfId="21136" xr:uid="{00000000-0005-0000-0000-000059520000}"/>
    <cellStyle name="Normal 6 15" xfId="21137" xr:uid="{00000000-0005-0000-0000-00005A520000}"/>
    <cellStyle name="Normal 6 16" xfId="21138" xr:uid="{00000000-0005-0000-0000-00005B520000}"/>
    <cellStyle name="Normal 6 17" xfId="21139" xr:uid="{00000000-0005-0000-0000-00005C520000}"/>
    <cellStyle name="Normal 6 18" xfId="21140" xr:uid="{00000000-0005-0000-0000-00005D520000}"/>
    <cellStyle name="Normal 6 19" xfId="21141" xr:uid="{00000000-0005-0000-0000-00005E520000}"/>
    <cellStyle name="Normal 6 2" xfId="21142" xr:uid="{00000000-0005-0000-0000-00005F520000}"/>
    <cellStyle name="Normal 6 2 2" xfId="21143" xr:uid="{00000000-0005-0000-0000-000060520000}"/>
    <cellStyle name="Normal 6 2 2 2" xfId="21144" xr:uid="{00000000-0005-0000-0000-000061520000}"/>
    <cellStyle name="Normal 6 2 2 2 2" xfId="21145" xr:uid="{00000000-0005-0000-0000-000062520000}"/>
    <cellStyle name="Normal 6 2 2 2 2 2" xfId="21146" xr:uid="{00000000-0005-0000-0000-000063520000}"/>
    <cellStyle name="Normal 6 2 2 2 3" xfId="21147" xr:uid="{00000000-0005-0000-0000-000064520000}"/>
    <cellStyle name="Normal 6 2 2 2 3 2" xfId="21148" xr:uid="{00000000-0005-0000-0000-000065520000}"/>
    <cellStyle name="Normal 6 2 2 2 4" xfId="21149" xr:uid="{00000000-0005-0000-0000-000066520000}"/>
    <cellStyle name="Normal 6 2 2 3" xfId="21150" xr:uid="{00000000-0005-0000-0000-000067520000}"/>
    <cellStyle name="Normal 6 2 2 3 2" xfId="21151" xr:uid="{00000000-0005-0000-0000-000068520000}"/>
    <cellStyle name="Normal 6 2 2 4" xfId="21152" xr:uid="{00000000-0005-0000-0000-000069520000}"/>
    <cellStyle name="Normal 6 2 2 4 2" xfId="21153" xr:uid="{00000000-0005-0000-0000-00006A520000}"/>
    <cellStyle name="Normal 6 2 2 5" xfId="21154" xr:uid="{00000000-0005-0000-0000-00006B520000}"/>
    <cellStyle name="Normal 6 2 3" xfId="21155" xr:uid="{00000000-0005-0000-0000-00006C520000}"/>
    <cellStyle name="Normal 6 2 3 2" xfId="21156" xr:uid="{00000000-0005-0000-0000-00006D520000}"/>
    <cellStyle name="Normal 6 2 3 2 2" xfId="21157" xr:uid="{00000000-0005-0000-0000-00006E520000}"/>
    <cellStyle name="Normal 6 2 3 3" xfId="21158" xr:uid="{00000000-0005-0000-0000-00006F520000}"/>
    <cellStyle name="Normal 6 2 3 3 2" xfId="21159" xr:uid="{00000000-0005-0000-0000-000070520000}"/>
    <cellStyle name="Normal 6 2 3 4" xfId="21160" xr:uid="{00000000-0005-0000-0000-000071520000}"/>
    <cellStyle name="Normal 6 2 4" xfId="21161" xr:uid="{00000000-0005-0000-0000-000072520000}"/>
    <cellStyle name="Normal 6 2 4 2" xfId="21162" xr:uid="{00000000-0005-0000-0000-000073520000}"/>
    <cellStyle name="Normal 6 2 4 2 2" xfId="21163" xr:uid="{00000000-0005-0000-0000-000074520000}"/>
    <cellStyle name="Normal 6 2 4 3" xfId="21164" xr:uid="{00000000-0005-0000-0000-000075520000}"/>
    <cellStyle name="Normal 6 2 5" xfId="21165" xr:uid="{00000000-0005-0000-0000-000076520000}"/>
    <cellStyle name="Normal 6 2 5 2" xfId="21166" xr:uid="{00000000-0005-0000-0000-000077520000}"/>
    <cellStyle name="Normal 6 2 6" xfId="21167" xr:uid="{00000000-0005-0000-0000-000078520000}"/>
    <cellStyle name="Normal 6 20" xfId="21168" xr:uid="{00000000-0005-0000-0000-000079520000}"/>
    <cellStyle name="Normal 6 21" xfId="21169" xr:uid="{00000000-0005-0000-0000-00007A520000}"/>
    <cellStyle name="Normal 6 22" xfId="21170" xr:uid="{00000000-0005-0000-0000-00007B520000}"/>
    <cellStyle name="Normal 6 23" xfId="21171" xr:uid="{00000000-0005-0000-0000-00007C520000}"/>
    <cellStyle name="Normal 6 24" xfId="21172" xr:uid="{00000000-0005-0000-0000-00007D520000}"/>
    <cellStyle name="Normal 6 25" xfId="21173" xr:uid="{00000000-0005-0000-0000-00007E520000}"/>
    <cellStyle name="Normal 6 26" xfId="21174" xr:uid="{00000000-0005-0000-0000-00007F520000}"/>
    <cellStyle name="Normal 6 27" xfId="21175" xr:uid="{00000000-0005-0000-0000-000080520000}"/>
    <cellStyle name="Normal 6 28" xfId="21176" xr:uid="{00000000-0005-0000-0000-000081520000}"/>
    <cellStyle name="Normal 6 29" xfId="21177" xr:uid="{00000000-0005-0000-0000-000082520000}"/>
    <cellStyle name="Normal 6 3" xfId="21178" xr:uid="{00000000-0005-0000-0000-000083520000}"/>
    <cellStyle name="Normal 6 30" xfId="21179" xr:uid="{00000000-0005-0000-0000-000084520000}"/>
    <cellStyle name="Normal 6 31" xfId="21180" xr:uid="{00000000-0005-0000-0000-000085520000}"/>
    <cellStyle name="Normal 6 32" xfId="21181" xr:uid="{00000000-0005-0000-0000-000086520000}"/>
    <cellStyle name="Normal 6 33" xfId="21182" xr:uid="{00000000-0005-0000-0000-000087520000}"/>
    <cellStyle name="Normal 6 34" xfId="21183" xr:uid="{00000000-0005-0000-0000-000088520000}"/>
    <cellStyle name="Normal 6 35" xfId="21184" xr:uid="{00000000-0005-0000-0000-000089520000}"/>
    <cellStyle name="Normal 6 36" xfId="21185" xr:uid="{00000000-0005-0000-0000-00008A520000}"/>
    <cellStyle name="Normal 6 37" xfId="21186" xr:uid="{00000000-0005-0000-0000-00008B520000}"/>
    <cellStyle name="Normal 6 38" xfId="21187" xr:uid="{00000000-0005-0000-0000-00008C520000}"/>
    <cellStyle name="Normal 6 39" xfId="21188" xr:uid="{00000000-0005-0000-0000-00008D520000}"/>
    <cellStyle name="Normal 6 4" xfId="21189" xr:uid="{00000000-0005-0000-0000-00008E520000}"/>
    <cellStyle name="Normal 6 4 2" xfId="21190" xr:uid="{00000000-0005-0000-0000-00008F520000}"/>
    <cellStyle name="Normal 6 4 2 2" xfId="21191" xr:uid="{00000000-0005-0000-0000-000090520000}"/>
    <cellStyle name="Normal 6 4 2 2 2" xfId="21192" xr:uid="{00000000-0005-0000-0000-000091520000}"/>
    <cellStyle name="Normal 6 4 2 3" xfId="21193" xr:uid="{00000000-0005-0000-0000-000092520000}"/>
    <cellStyle name="Normal 6 4 2 3 2" xfId="21194" xr:uid="{00000000-0005-0000-0000-000093520000}"/>
    <cellStyle name="Normal 6 4 2 4" xfId="21195" xr:uid="{00000000-0005-0000-0000-000094520000}"/>
    <cellStyle name="Normal 6 4 3" xfId="21196" xr:uid="{00000000-0005-0000-0000-000095520000}"/>
    <cellStyle name="Normal 6 4 3 2" xfId="21197" xr:uid="{00000000-0005-0000-0000-000096520000}"/>
    <cellStyle name="Normal 6 4 3 2 2" xfId="21198" xr:uid="{00000000-0005-0000-0000-000097520000}"/>
    <cellStyle name="Normal 6 4 3 3" xfId="21199" xr:uid="{00000000-0005-0000-0000-000098520000}"/>
    <cellStyle name="Normal 6 4 3 3 2" xfId="21200" xr:uid="{00000000-0005-0000-0000-000099520000}"/>
    <cellStyle name="Normal 6 4 3 4" xfId="21201" xr:uid="{00000000-0005-0000-0000-00009A520000}"/>
    <cellStyle name="Normal 6 4 4" xfId="21202" xr:uid="{00000000-0005-0000-0000-00009B520000}"/>
    <cellStyle name="Normal 6 4 4 2" xfId="21203" xr:uid="{00000000-0005-0000-0000-00009C520000}"/>
    <cellStyle name="Normal 6 4 5" xfId="21204" xr:uid="{00000000-0005-0000-0000-00009D520000}"/>
    <cellStyle name="Normal 6 4 5 2" xfId="21205" xr:uid="{00000000-0005-0000-0000-00009E520000}"/>
    <cellStyle name="Normal 6 4 6" xfId="21206" xr:uid="{00000000-0005-0000-0000-00009F520000}"/>
    <cellStyle name="Normal 6 40" xfId="21207" xr:uid="{00000000-0005-0000-0000-0000A0520000}"/>
    <cellStyle name="Normal 6 41" xfId="21208" xr:uid="{00000000-0005-0000-0000-0000A1520000}"/>
    <cellStyle name="Normal 6 42" xfId="21209" xr:uid="{00000000-0005-0000-0000-0000A2520000}"/>
    <cellStyle name="Normal 6 43" xfId="21210" xr:uid="{00000000-0005-0000-0000-0000A3520000}"/>
    <cellStyle name="Normal 6 44" xfId="21211" xr:uid="{00000000-0005-0000-0000-0000A4520000}"/>
    <cellStyle name="Normal 6 45" xfId="21212" xr:uid="{00000000-0005-0000-0000-0000A5520000}"/>
    <cellStyle name="Normal 6 46" xfId="21213" xr:uid="{00000000-0005-0000-0000-0000A6520000}"/>
    <cellStyle name="Normal 6 47" xfId="21214" xr:uid="{00000000-0005-0000-0000-0000A7520000}"/>
    <cellStyle name="Normal 6 48" xfId="21215" xr:uid="{00000000-0005-0000-0000-0000A8520000}"/>
    <cellStyle name="Normal 6 49" xfId="21216" xr:uid="{00000000-0005-0000-0000-0000A9520000}"/>
    <cellStyle name="Normal 6 5" xfId="21217" xr:uid="{00000000-0005-0000-0000-0000AA520000}"/>
    <cellStyle name="Normal 6 50" xfId="21218" xr:uid="{00000000-0005-0000-0000-0000AB520000}"/>
    <cellStyle name="Normal 6 51" xfId="21219" xr:uid="{00000000-0005-0000-0000-0000AC520000}"/>
    <cellStyle name="Normal 6 52" xfId="21220" xr:uid="{00000000-0005-0000-0000-0000AD520000}"/>
    <cellStyle name="Normal 6 53" xfId="21221" xr:uid="{00000000-0005-0000-0000-0000AE520000}"/>
    <cellStyle name="Normal 6 54" xfId="21222" xr:uid="{00000000-0005-0000-0000-0000AF520000}"/>
    <cellStyle name="Normal 6 55" xfId="21223" xr:uid="{00000000-0005-0000-0000-0000B0520000}"/>
    <cellStyle name="Normal 6 56" xfId="21224" xr:uid="{00000000-0005-0000-0000-0000B1520000}"/>
    <cellStyle name="Normal 6 57" xfId="21225" xr:uid="{00000000-0005-0000-0000-0000B2520000}"/>
    <cellStyle name="Normal 6 58" xfId="21226" xr:uid="{00000000-0005-0000-0000-0000B3520000}"/>
    <cellStyle name="Normal 6 59" xfId="21227" xr:uid="{00000000-0005-0000-0000-0000B4520000}"/>
    <cellStyle name="Normal 6 6" xfId="21228" xr:uid="{00000000-0005-0000-0000-0000B5520000}"/>
    <cellStyle name="Normal 6 6 2" xfId="21229" xr:uid="{00000000-0005-0000-0000-0000B6520000}"/>
    <cellStyle name="Normal 6 6 2 2" xfId="21230" xr:uid="{00000000-0005-0000-0000-0000B7520000}"/>
    <cellStyle name="Normal 6 6 3" xfId="21231" xr:uid="{00000000-0005-0000-0000-0000B8520000}"/>
    <cellStyle name="Normal 6 60" xfId="21232" xr:uid="{00000000-0005-0000-0000-0000B9520000}"/>
    <cellStyle name="Normal 6 61" xfId="21233" xr:uid="{00000000-0005-0000-0000-0000BA520000}"/>
    <cellStyle name="Normal 6 62" xfId="21234" xr:uid="{00000000-0005-0000-0000-0000BB520000}"/>
    <cellStyle name="Normal 6 63" xfId="21235" xr:uid="{00000000-0005-0000-0000-0000BC520000}"/>
    <cellStyle name="Normal 6 64" xfId="21236" xr:uid="{00000000-0005-0000-0000-0000BD520000}"/>
    <cellStyle name="Normal 6 65" xfId="21237" xr:uid="{00000000-0005-0000-0000-0000BE520000}"/>
    <cellStyle name="Normal 6 66" xfId="21238" xr:uid="{00000000-0005-0000-0000-0000BF520000}"/>
    <cellStyle name="Normal 6 67" xfId="21239" xr:uid="{00000000-0005-0000-0000-0000C0520000}"/>
    <cellStyle name="Normal 6 68" xfId="21240" xr:uid="{00000000-0005-0000-0000-0000C1520000}"/>
    <cellStyle name="Normal 6 69" xfId="21241" xr:uid="{00000000-0005-0000-0000-0000C2520000}"/>
    <cellStyle name="Normal 6 7" xfId="21242" xr:uid="{00000000-0005-0000-0000-0000C3520000}"/>
    <cellStyle name="Normal 6 7 2" xfId="21243" xr:uid="{00000000-0005-0000-0000-0000C4520000}"/>
    <cellStyle name="Normal 6 70" xfId="21244" xr:uid="{00000000-0005-0000-0000-0000C5520000}"/>
    <cellStyle name="Normal 6 71" xfId="21245" xr:uid="{00000000-0005-0000-0000-0000C6520000}"/>
    <cellStyle name="Normal 6 72" xfId="21246" xr:uid="{00000000-0005-0000-0000-0000C7520000}"/>
    <cellStyle name="Normal 6 73" xfId="21247" xr:uid="{00000000-0005-0000-0000-0000C8520000}"/>
    <cellStyle name="Normal 6 74" xfId="21248" xr:uid="{00000000-0005-0000-0000-0000C9520000}"/>
    <cellStyle name="Normal 6 75" xfId="21249" xr:uid="{00000000-0005-0000-0000-0000CA520000}"/>
    <cellStyle name="Normal 6 76" xfId="21250" xr:uid="{00000000-0005-0000-0000-0000CB520000}"/>
    <cellStyle name="Normal 6 77" xfId="21251" xr:uid="{00000000-0005-0000-0000-0000CC520000}"/>
    <cellStyle name="Normal 6 78" xfId="21252" xr:uid="{00000000-0005-0000-0000-0000CD520000}"/>
    <cellStyle name="Normal 6 79" xfId="21253" xr:uid="{00000000-0005-0000-0000-0000CE520000}"/>
    <cellStyle name="Normal 6 8" xfId="21254" xr:uid="{00000000-0005-0000-0000-0000CF520000}"/>
    <cellStyle name="Normal 6 80" xfId="21255" xr:uid="{00000000-0005-0000-0000-0000D0520000}"/>
    <cellStyle name="Normal 6 81" xfId="21256" xr:uid="{00000000-0005-0000-0000-0000D1520000}"/>
    <cellStyle name="Normal 6 82" xfId="21257" xr:uid="{00000000-0005-0000-0000-0000D2520000}"/>
    <cellStyle name="Normal 6 83" xfId="21258" xr:uid="{00000000-0005-0000-0000-0000D3520000}"/>
    <cellStyle name="Normal 6 84" xfId="21259" xr:uid="{00000000-0005-0000-0000-0000D4520000}"/>
    <cellStyle name="Normal 6 85" xfId="21260" xr:uid="{00000000-0005-0000-0000-0000D5520000}"/>
    <cellStyle name="Normal 6 86" xfId="21261" xr:uid="{00000000-0005-0000-0000-0000D6520000}"/>
    <cellStyle name="Normal 6 87" xfId="21262" xr:uid="{00000000-0005-0000-0000-0000D7520000}"/>
    <cellStyle name="Normal 6 88" xfId="21263" xr:uid="{00000000-0005-0000-0000-0000D8520000}"/>
    <cellStyle name="Normal 6 89" xfId="21264" xr:uid="{00000000-0005-0000-0000-0000D9520000}"/>
    <cellStyle name="Normal 6 9" xfId="21265" xr:uid="{00000000-0005-0000-0000-0000DA520000}"/>
    <cellStyle name="Normal 6 90" xfId="21266" xr:uid="{00000000-0005-0000-0000-0000DB520000}"/>
    <cellStyle name="Normal 6 91" xfId="21267" xr:uid="{00000000-0005-0000-0000-0000DC520000}"/>
    <cellStyle name="Normal 6 92" xfId="21268" xr:uid="{00000000-0005-0000-0000-0000DD520000}"/>
    <cellStyle name="Normal 6 93" xfId="21269" xr:uid="{00000000-0005-0000-0000-0000DE520000}"/>
    <cellStyle name="Normal 6 94" xfId="21270" xr:uid="{00000000-0005-0000-0000-0000DF520000}"/>
    <cellStyle name="Normal 6 95" xfId="21271" xr:uid="{00000000-0005-0000-0000-0000E0520000}"/>
    <cellStyle name="Normal 6 96" xfId="21272" xr:uid="{00000000-0005-0000-0000-0000E1520000}"/>
    <cellStyle name="Normal 6 97" xfId="21273" xr:uid="{00000000-0005-0000-0000-0000E2520000}"/>
    <cellStyle name="Normal 6 97 2" xfId="21274" xr:uid="{00000000-0005-0000-0000-0000E3520000}"/>
    <cellStyle name="Normal 6 97_MO-CronPerm" xfId="21275" xr:uid="{00000000-0005-0000-0000-0000E4520000}"/>
    <cellStyle name="Normal 6 98" xfId="21276" xr:uid="{00000000-0005-0000-0000-0000E5520000}"/>
    <cellStyle name="Normal 6_MO-CronPerm" xfId="21277" xr:uid="{00000000-0005-0000-0000-0000E6520000}"/>
    <cellStyle name="Normal 60" xfId="21278" xr:uid="{00000000-0005-0000-0000-0000E7520000}"/>
    <cellStyle name="Normal 60 2" xfId="21279" xr:uid="{00000000-0005-0000-0000-0000E8520000}"/>
    <cellStyle name="Normal 61" xfId="21280" xr:uid="{00000000-0005-0000-0000-0000E9520000}"/>
    <cellStyle name="Normal 61 2" xfId="21281" xr:uid="{00000000-0005-0000-0000-0000EA520000}"/>
    <cellStyle name="Normal 62" xfId="21282" xr:uid="{00000000-0005-0000-0000-0000EB520000}"/>
    <cellStyle name="Normal 63" xfId="21283" xr:uid="{00000000-0005-0000-0000-0000EC520000}"/>
    <cellStyle name="Normal 64" xfId="21284" xr:uid="{00000000-0005-0000-0000-0000ED520000}"/>
    <cellStyle name="Normal 65" xfId="21285" xr:uid="{00000000-0005-0000-0000-0000EE520000}"/>
    <cellStyle name="Normal 66" xfId="21286" xr:uid="{00000000-0005-0000-0000-0000EF520000}"/>
    <cellStyle name="Normal 67" xfId="21287" xr:uid="{00000000-0005-0000-0000-0000F0520000}"/>
    <cellStyle name="Normal 68" xfId="21288" xr:uid="{00000000-0005-0000-0000-0000F1520000}"/>
    <cellStyle name="Normal 69" xfId="21289" xr:uid="{00000000-0005-0000-0000-0000F2520000}"/>
    <cellStyle name="Normal 7" xfId="148" xr:uid="{00000000-0005-0000-0000-0000F3520000}"/>
    <cellStyle name="Normal 7 10" xfId="21290" xr:uid="{00000000-0005-0000-0000-0000F4520000}"/>
    <cellStyle name="Normal 7 10 2" xfId="21291" xr:uid="{00000000-0005-0000-0000-0000F5520000}"/>
    <cellStyle name="Normal 7 10 2 2" xfId="21292" xr:uid="{00000000-0005-0000-0000-0000F6520000}"/>
    <cellStyle name="Normal 7 10 3" xfId="21293" xr:uid="{00000000-0005-0000-0000-0000F7520000}"/>
    <cellStyle name="Normal 7 11" xfId="21294" xr:uid="{00000000-0005-0000-0000-0000F8520000}"/>
    <cellStyle name="Normal 7 11 2" xfId="21295" xr:uid="{00000000-0005-0000-0000-0000F9520000}"/>
    <cellStyle name="Normal 7 12" xfId="21296" xr:uid="{00000000-0005-0000-0000-0000FA520000}"/>
    <cellStyle name="Normal 7 13" xfId="21297" xr:uid="{00000000-0005-0000-0000-0000FB520000}"/>
    <cellStyle name="Normal 7 14" xfId="21298" xr:uid="{00000000-0005-0000-0000-0000FC520000}"/>
    <cellStyle name="Normal 7 15" xfId="21299" xr:uid="{00000000-0005-0000-0000-0000FD520000}"/>
    <cellStyle name="Normal 7 16" xfId="21300" xr:uid="{00000000-0005-0000-0000-0000FE520000}"/>
    <cellStyle name="Normal 7 17" xfId="21301" xr:uid="{00000000-0005-0000-0000-0000FF520000}"/>
    <cellStyle name="Normal 7 18" xfId="21302" xr:uid="{00000000-0005-0000-0000-000000530000}"/>
    <cellStyle name="Normal 7 19" xfId="21303" xr:uid="{00000000-0005-0000-0000-000001530000}"/>
    <cellStyle name="Normal 7 2" xfId="21304" xr:uid="{00000000-0005-0000-0000-000002530000}"/>
    <cellStyle name="Normal 7 2 2" xfId="21305" xr:uid="{00000000-0005-0000-0000-000003530000}"/>
    <cellStyle name="Normal 7 2 2 2" xfId="21306" xr:uid="{00000000-0005-0000-0000-000004530000}"/>
    <cellStyle name="Normal 7 2 2 2 2" xfId="21307" xr:uid="{00000000-0005-0000-0000-000005530000}"/>
    <cellStyle name="Normal 7 2 2 2 2 2" xfId="21308" xr:uid="{00000000-0005-0000-0000-000006530000}"/>
    <cellStyle name="Normal 7 2 2 2 3" xfId="21309" xr:uid="{00000000-0005-0000-0000-000007530000}"/>
    <cellStyle name="Normal 7 2 2 2 3 2" xfId="21310" xr:uid="{00000000-0005-0000-0000-000008530000}"/>
    <cellStyle name="Normal 7 2 2 2 4" xfId="21311" xr:uid="{00000000-0005-0000-0000-000009530000}"/>
    <cellStyle name="Normal 7 2 2 3" xfId="21312" xr:uid="{00000000-0005-0000-0000-00000A530000}"/>
    <cellStyle name="Normal 7 2 2 3 2" xfId="21313" xr:uid="{00000000-0005-0000-0000-00000B530000}"/>
    <cellStyle name="Normal 7 2 2 3 2 2" xfId="21314" xr:uid="{00000000-0005-0000-0000-00000C530000}"/>
    <cellStyle name="Normal 7 2 2 3 3" xfId="21315" xr:uid="{00000000-0005-0000-0000-00000D530000}"/>
    <cellStyle name="Normal 7 2 2 3 3 2" xfId="21316" xr:uid="{00000000-0005-0000-0000-00000E530000}"/>
    <cellStyle name="Normal 7 2 2 3 4" xfId="21317" xr:uid="{00000000-0005-0000-0000-00000F530000}"/>
    <cellStyle name="Normal 7 2 2 4" xfId="21318" xr:uid="{00000000-0005-0000-0000-000010530000}"/>
    <cellStyle name="Normal 7 2 2 4 2" xfId="21319" xr:uid="{00000000-0005-0000-0000-000011530000}"/>
    <cellStyle name="Normal 7 2 2 5" xfId="21320" xr:uid="{00000000-0005-0000-0000-000012530000}"/>
    <cellStyle name="Normal 7 2 2 5 2" xfId="21321" xr:uid="{00000000-0005-0000-0000-000013530000}"/>
    <cellStyle name="Normal 7 2 2 6" xfId="21322" xr:uid="{00000000-0005-0000-0000-000014530000}"/>
    <cellStyle name="Normal 7 2 3" xfId="21323" xr:uid="{00000000-0005-0000-0000-000015530000}"/>
    <cellStyle name="Normal 7 2 3 2" xfId="21324" xr:uid="{00000000-0005-0000-0000-000016530000}"/>
    <cellStyle name="Normal 7 2 3 2 2" xfId="21325" xr:uid="{00000000-0005-0000-0000-000017530000}"/>
    <cellStyle name="Normal 7 2 3 3" xfId="21326" xr:uid="{00000000-0005-0000-0000-000018530000}"/>
    <cellStyle name="Normal 7 2 3 3 2" xfId="21327" xr:uid="{00000000-0005-0000-0000-000019530000}"/>
    <cellStyle name="Normal 7 2 3 4" xfId="21328" xr:uid="{00000000-0005-0000-0000-00001A530000}"/>
    <cellStyle name="Normal 7 2 4" xfId="21329" xr:uid="{00000000-0005-0000-0000-00001B530000}"/>
    <cellStyle name="Normal 7 2 4 2" xfId="21330" xr:uid="{00000000-0005-0000-0000-00001C530000}"/>
    <cellStyle name="Normal 7 2 4 2 2" xfId="21331" xr:uid="{00000000-0005-0000-0000-00001D530000}"/>
    <cellStyle name="Normal 7 2 4 3" xfId="21332" xr:uid="{00000000-0005-0000-0000-00001E530000}"/>
    <cellStyle name="Normal 7 2 5" xfId="21333" xr:uid="{00000000-0005-0000-0000-00001F530000}"/>
    <cellStyle name="Normal 7 2 5 2" xfId="21334" xr:uid="{00000000-0005-0000-0000-000020530000}"/>
    <cellStyle name="Normal 7 2 5 2 2" xfId="21335" xr:uid="{00000000-0005-0000-0000-000021530000}"/>
    <cellStyle name="Normal 7 2 5 3" xfId="21336" xr:uid="{00000000-0005-0000-0000-000022530000}"/>
    <cellStyle name="Normal 7 2 6" xfId="21337" xr:uid="{00000000-0005-0000-0000-000023530000}"/>
    <cellStyle name="Normal 7 2 6 2" xfId="21338" xr:uid="{00000000-0005-0000-0000-000024530000}"/>
    <cellStyle name="Normal 7 2 6 2 2" xfId="21339" xr:uid="{00000000-0005-0000-0000-000025530000}"/>
    <cellStyle name="Normal 7 2 6 3" xfId="21340" xr:uid="{00000000-0005-0000-0000-000026530000}"/>
    <cellStyle name="Normal 7 2 7" xfId="21341" xr:uid="{00000000-0005-0000-0000-000027530000}"/>
    <cellStyle name="Normal 7 2 7 2" xfId="21342" xr:uid="{00000000-0005-0000-0000-000028530000}"/>
    <cellStyle name="Normal 7 2 7 2 2" xfId="21343" xr:uid="{00000000-0005-0000-0000-000029530000}"/>
    <cellStyle name="Normal 7 2 7 3" xfId="21344" xr:uid="{00000000-0005-0000-0000-00002A530000}"/>
    <cellStyle name="Normal 7 2 8" xfId="21345" xr:uid="{00000000-0005-0000-0000-00002B530000}"/>
    <cellStyle name="Normal 7 2 8 2" xfId="21346" xr:uid="{00000000-0005-0000-0000-00002C530000}"/>
    <cellStyle name="Normal 7 2 9" xfId="21347" xr:uid="{00000000-0005-0000-0000-00002D530000}"/>
    <cellStyle name="Normal 7 20" xfId="21348" xr:uid="{00000000-0005-0000-0000-00002E530000}"/>
    <cellStyle name="Normal 7 21" xfId="21349" xr:uid="{00000000-0005-0000-0000-00002F530000}"/>
    <cellStyle name="Normal 7 22" xfId="21350" xr:uid="{00000000-0005-0000-0000-000030530000}"/>
    <cellStyle name="Normal 7 23" xfId="21351" xr:uid="{00000000-0005-0000-0000-000031530000}"/>
    <cellStyle name="Normal 7 24" xfId="21352" xr:uid="{00000000-0005-0000-0000-000032530000}"/>
    <cellStyle name="Normal 7 25" xfId="21353" xr:uid="{00000000-0005-0000-0000-000033530000}"/>
    <cellStyle name="Normal 7 26" xfId="21354" xr:uid="{00000000-0005-0000-0000-000034530000}"/>
    <cellStyle name="Normal 7 27" xfId="21355" xr:uid="{00000000-0005-0000-0000-000035530000}"/>
    <cellStyle name="Normal 7 28" xfId="21356" xr:uid="{00000000-0005-0000-0000-000036530000}"/>
    <cellStyle name="Normal 7 29" xfId="21357" xr:uid="{00000000-0005-0000-0000-000037530000}"/>
    <cellStyle name="Normal 7 3" xfId="21358" xr:uid="{00000000-0005-0000-0000-000038530000}"/>
    <cellStyle name="Normal 7 3 2" xfId="21359" xr:uid="{00000000-0005-0000-0000-000039530000}"/>
    <cellStyle name="Normal 7 3 2 2" xfId="21360" xr:uid="{00000000-0005-0000-0000-00003A530000}"/>
    <cellStyle name="Normal 7 3 2 2 2" xfId="21361" xr:uid="{00000000-0005-0000-0000-00003B530000}"/>
    <cellStyle name="Normal 7 3 2 3" xfId="21362" xr:uid="{00000000-0005-0000-0000-00003C530000}"/>
    <cellStyle name="Normal 7 3 2 3 2" xfId="21363" xr:uid="{00000000-0005-0000-0000-00003D530000}"/>
    <cellStyle name="Normal 7 3 2 4" xfId="21364" xr:uid="{00000000-0005-0000-0000-00003E530000}"/>
    <cellStyle name="Normal 7 3 3" xfId="21365" xr:uid="{00000000-0005-0000-0000-00003F530000}"/>
    <cellStyle name="Normal 7 3 3 2" xfId="21366" xr:uid="{00000000-0005-0000-0000-000040530000}"/>
    <cellStyle name="Normal 7 3 3 2 2" xfId="21367" xr:uid="{00000000-0005-0000-0000-000041530000}"/>
    <cellStyle name="Normal 7 3 3 3" xfId="21368" xr:uid="{00000000-0005-0000-0000-000042530000}"/>
    <cellStyle name="Normal 7 3 3 3 2" xfId="21369" xr:uid="{00000000-0005-0000-0000-000043530000}"/>
    <cellStyle name="Normal 7 3 3 4" xfId="21370" xr:uid="{00000000-0005-0000-0000-000044530000}"/>
    <cellStyle name="Normal 7 3 4" xfId="21371" xr:uid="{00000000-0005-0000-0000-000045530000}"/>
    <cellStyle name="Normal 7 3 4 2" xfId="21372" xr:uid="{00000000-0005-0000-0000-000046530000}"/>
    <cellStyle name="Normal 7 3 5" xfId="21373" xr:uid="{00000000-0005-0000-0000-000047530000}"/>
    <cellStyle name="Normal 7 3 5 2" xfId="21374" xr:uid="{00000000-0005-0000-0000-000048530000}"/>
    <cellStyle name="Normal 7 3 6" xfId="21375" xr:uid="{00000000-0005-0000-0000-000049530000}"/>
    <cellStyle name="Normal 7 30" xfId="21376" xr:uid="{00000000-0005-0000-0000-00004A530000}"/>
    <cellStyle name="Normal 7 31" xfId="21377" xr:uid="{00000000-0005-0000-0000-00004B530000}"/>
    <cellStyle name="Normal 7 32" xfId="21378" xr:uid="{00000000-0005-0000-0000-00004C530000}"/>
    <cellStyle name="Normal 7 33" xfId="21379" xr:uid="{00000000-0005-0000-0000-00004D530000}"/>
    <cellStyle name="Normal 7 34" xfId="21380" xr:uid="{00000000-0005-0000-0000-00004E530000}"/>
    <cellStyle name="Normal 7 35" xfId="21381" xr:uid="{00000000-0005-0000-0000-00004F530000}"/>
    <cellStyle name="Normal 7 36" xfId="21382" xr:uid="{00000000-0005-0000-0000-000050530000}"/>
    <cellStyle name="Normal 7 37" xfId="21383" xr:uid="{00000000-0005-0000-0000-000051530000}"/>
    <cellStyle name="Normal 7 37 2" xfId="21384" xr:uid="{00000000-0005-0000-0000-000052530000}"/>
    <cellStyle name="Normal 7 37 2 2" xfId="21385" xr:uid="{00000000-0005-0000-0000-000053530000}"/>
    <cellStyle name="Normal 7 37 2_MO-CronPerm" xfId="21386" xr:uid="{00000000-0005-0000-0000-000054530000}"/>
    <cellStyle name="Normal 7 37 3" xfId="21387" xr:uid="{00000000-0005-0000-0000-000055530000}"/>
    <cellStyle name="Normal 7 37_MO-CronPerm" xfId="21388" xr:uid="{00000000-0005-0000-0000-000056530000}"/>
    <cellStyle name="Normal 7 38" xfId="21389" xr:uid="{00000000-0005-0000-0000-000057530000}"/>
    <cellStyle name="Normal 7 39" xfId="21390" xr:uid="{00000000-0005-0000-0000-000058530000}"/>
    <cellStyle name="Normal 7 39 2" xfId="21391" xr:uid="{00000000-0005-0000-0000-000059530000}"/>
    <cellStyle name="Normal 7 39 3" xfId="21392" xr:uid="{00000000-0005-0000-0000-00005A530000}"/>
    <cellStyle name="Normal 7 39 4" xfId="21393" xr:uid="{00000000-0005-0000-0000-00005B530000}"/>
    <cellStyle name="Normal 7 4" xfId="21394" xr:uid="{00000000-0005-0000-0000-00005C530000}"/>
    <cellStyle name="Normal 7 4 2" xfId="21395" xr:uid="{00000000-0005-0000-0000-00005D530000}"/>
    <cellStyle name="Normal 7 4 2 2" xfId="21396" xr:uid="{00000000-0005-0000-0000-00005E530000}"/>
    <cellStyle name="Normal 7 4 2 2 2" xfId="21397" xr:uid="{00000000-0005-0000-0000-00005F530000}"/>
    <cellStyle name="Normal 7 4 2 3" xfId="21398" xr:uid="{00000000-0005-0000-0000-000060530000}"/>
    <cellStyle name="Normal 7 4 2 3 2" xfId="21399" xr:uid="{00000000-0005-0000-0000-000061530000}"/>
    <cellStyle name="Normal 7 4 2 4" xfId="21400" xr:uid="{00000000-0005-0000-0000-000062530000}"/>
    <cellStyle name="Normal 7 4 3" xfId="21401" xr:uid="{00000000-0005-0000-0000-000063530000}"/>
    <cellStyle name="Normal 7 4 3 2" xfId="21402" xr:uid="{00000000-0005-0000-0000-000064530000}"/>
    <cellStyle name="Normal 7 4 3 2 2" xfId="21403" xr:uid="{00000000-0005-0000-0000-000065530000}"/>
    <cellStyle name="Normal 7 4 3 3" xfId="21404" xr:uid="{00000000-0005-0000-0000-000066530000}"/>
    <cellStyle name="Normal 7 4 3 3 2" xfId="21405" xr:uid="{00000000-0005-0000-0000-000067530000}"/>
    <cellStyle name="Normal 7 4 3 4" xfId="21406" xr:uid="{00000000-0005-0000-0000-000068530000}"/>
    <cellStyle name="Normal 7 4 4" xfId="21407" xr:uid="{00000000-0005-0000-0000-000069530000}"/>
    <cellStyle name="Normal 7 4 4 2" xfId="21408" xr:uid="{00000000-0005-0000-0000-00006A530000}"/>
    <cellStyle name="Normal 7 4 5" xfId="21409" xr:uid="{00000000-0005-0000-0000-00006B530000}"/>
    <cellStyle name="Normal 7 4 5 2" xfId="21410" xr:uid="{00000000-0005-0000-0000-00006C530000}"/>
    <cellStyle name="Normal 7 4 6" xfId="21411" xr:uid="{00000000-0005-0000-0000-00006D530000}"/>
    <cellStyle name="Normal 7 40" xfId="21412" xr:uid="{00000000-0005-0000-0000-00006E530000}"/>
    <cellStyle name="Normal 7 5" xfId="21413" xr:uid="{00000000-0005-0000-0000-00006F530000}"/>
    <cellStyle name="Normal 7 5 2" xfId="21414" xr:uid="{00000000-0005-0000-0000-000070530000}"/>
    <cellStyle name="Normal 7 5 2 2" xfId="21415" xr:uid="{00000000-0005-0000-0000-000071530000}"/>
    <cellStyle name="Normal 7 5 3" xfId="21416" xr:uid="{00000000-0005-0000-0000-000072530000}"/>
    <cellStyle name="Normal 7 5 3 2" xfId="21417" xr:uid="{00000000-0005-0000-0000-000073530000}"/>
    <cellStyle name="Normal 7 5 4" xfId="21418" xr:uid="{00000000-0005-0000-0000-000074530000}"/>
    <cellStyle name="Normal 7 6" xfId="21419" xr:uid="{00000000-0005-0000-0000-000075530000}"/>
    <cellStyle name="Normal 7 7" xfId="21420" xr:uid="{00000000-0005-0000-0000-000076530000}"/>
    <cellStyle name="Normal 7 7 2" xfId="21421" xr:uid="{00000000-0005-0000-0000-000077530000}"/>
    <cellStyle name="Normal 7 7 2 2" xfId="21422" xr:uid="{00000000-0005-0000-0000-000078530000}"/>
    <cellStyle name="Normal 7 7 3" xfId="21423" xr:uid="{00000000-0005-0000-0000-000079530000}"/>
    <cellStyle name="Normal 7 8" xfId="21424" xr:uid="{00000000-0005-0000-0000-00007A530000}"/>
    <cellStyle name="Normal 7 8 2" xfId="21425" xr:uid="{00000000-0005-0000-0000-00007B530000}"/>
    <cellStyle name="Normal 7 8 2 2" xfId="21426" xr:uid="{00000000-0005-0000-0000-00007C530000}"/>
    <cellStyle name="Normal 7 8 3" xfId="21427" xr:uid="{00000000-0005-0000-0000-00007D530000}"/>
    <cellStyle name="Normal 7 9" xfId="21428" xr:uid="{00000000-0005-0000-0000-00007E530000}"/>
    <cellStyle name="Normal 7 9 2" xfId="21429" xr:uid="{00000000-0005-0000-0000-00007F530000}"/>
    <cellStyle name="Normal 7 9 2 2" xfId="21430" xr:uid="{00000000-0005-0000-0000-000080530000}"/>
    <cellStyle name="Normal 7 9 3" xfId="21431" xr:uid="{00000000-0005-0000-0000-000081530000}"/>
    <cellStyle name="Normal 70" xfId="21432" xr:uid="{00000000-0005-0000-0000-000082530000}"/>
    <cellStyle name="Normal 71" xfId="21433" xr:uid="{00000000-0005-0000-0000-000083530000}"/>
    <cellStyle name="Normal 72" xfId="21434" xr:uid="{00000000-0005-0000-0000-000084530000}"/>
    <cellStyle name="Normal 73" xfId="21435" xr:uid="{00000000-0005-0000-0000-000085530000}"/>
    <cellStyle name="Normal 74" xfId="21436" xr:uid="{00000000-0005-0000-0000-000086530000}"/>
    <cellStyle name="Normal 75" xfId="21437" xr:uid="{00000000-0005-0000-0000-000087530000}"/>
    <cellStyle name="Normal 76" xfId="21438" xr:uid="{00000000-0005-0000-0000-000088530000}"/>
    <cellStyle name="Normal 77" xfId="21439" xr:uid="{00000000-0005-0000-0000-000089530000}"/>
    <cellStyle name="Normal 78" xfId="21440" xr:uid="{00000000-0005-0000-0000-00008A530000}"/>
    <cellStyle name="Normal 79" xfId="21441" xr:uid="{00000000-0005-0000-0000-00008B530000}"/>
    <cellStyle name="Normal 8" xfId="149" xr:uid="{00000000-0005-0000-0000-00008C530000}"/>
    <cellStyle name="Normal 8 10" xfId="21442" xr:uid="{00000000-0005-0000-0000-00008D530000}"/>
    <cellStyle name="Normal 8 10 2" xfId="21443" xr:uid="{00000000-0005-0000-0000-00008E530000}"/>
    <cellStyle name="Normal 8 11" xfId="21444" xr:uid="{00000000-0005-0000-0000-00008F530000}"/>
    <cellStyle name="Normal 8 12" xfId="21445" xr:uid="{00000000-0005-0000-0000-000090530000}"/>
    <cellStyle name="Normal 8 13" xfId="21446" xr:uid="{00000000-0005-0000-0000-000091530000}"/>
    <cellStyle name="Normal 8 14" xfId="21447" xr:uid="{00000000-0005-0000-0000-000092530000}"/>
    <cellStyle name="Normal 8 15" xfId="21448" xr:uid="{00000000-0005-0000-0000-000093530000}"/>
    <cellStyle name="Normal 8 16" xfId="21449" xr:uid="{00000000-0005-0000-0000-000094530000}"/>
    <cellStyle name="Normal 8 17" xfId="21450" xr:uid="{00000000-0005-0000-0000-000095530000}"/>
    <cellStyle name="Normal 8 18" xfId="21451" xr:uid="{00000000-0005-0000-0000-000096530000}"/>
    <cellStyle name="Normal 8 19" xfId="21452" xr:uid="{00000000-0005-0000-0000-000097530000}"/>
    <cellStyle name="Normal 8 2" xfId="21453" xr:uid="{00000000-0005-0000-0000-000098530000}"/>
    <cellStyle name="Normal 8 2 2" xfId="21454" xr:uid="{00000000-0005-0000-0000-000099530000}"/>
    <cellStyle name="Normal 8 2 2 2" xfId="21455" xr:uid="{00000000-0005-0000-0000-00009A530000}"/>
    <cellStyle name="Normal 8 2 2 2 2" xfId="21456" xr:uid="{00000000-0005-0000-0000-00009B530000}"/>
    <cellStyle name="Normal 8 2 2 2 2 2" xfId="21457" xr:uid="{00000000-0005-0000-0000-00009C530000}"/>
    <cellStyle name="Normal 8 2 2 2 3" xfId="21458" xr:uid="{00000000-0005-0000-0000-00009D530000}"/>
    <cellStyle name="Normal 8 2 2 2 3 2" xfId="21459" xr:uid="{00000000-0005-0000-0000-00009E530000}"/>
    <cellStyle name="Normal 8 2 2 2 4" xfId="21460" xr:uid="{00000000-0005-0000-0000-00009F530000}"/>
    <cellStyle name="Normal 8 2 2 3" xfId="21461" xr:uid="{00000000-0005-0000-0000-0000A0530000}"/>
    <cellStyle name="Normal 8 2 2 3 2" xfId="21462" xr:uid="{00000000-0005-0000-0000-0000A1530000}"/>
    <cellStyle name="Normal 8 2 2 3 2 2" xfId="21463" xr:uid="{00000000-0005-0000-0000-0000A2530000}"/>
    <cellStyle name="Normal 8 2 2 3 3" xfId="21464" xr:uid="{00000000-0005-0000-0000-0000A3530000}"/>
    <cellStyle name="Normal 8 2 2 3 3 2" xfId="21465" xr:uid="{00000000-0005-0000-0000-0000A4530000}"/>
    <cellStyle name="Normal 8 2 2 3 4" xfId="21466" xr:uid="{00000000-0005-0000-0000-0000A5530000}"/>
    <cellStyle name="Normal 8 2 2 4" xfId="21467" xr:uid="{00000000-0005-0000-0000-0000A6530000}"/>
    <cellStyle name="Normal 8 2 2 4 2" xfId="21468" xr:uid="{00000000-0005-0000-0000-0000A7530000}"/>
    <cellStyle name="Normal 8 2 2 5" xfId="21469" xr:uid="{00000000-0005-0000-0000-0000A8530000}"/>
    <cellStyle name="Normal 8 2 2 5 2" xfId="21470" xr:uid="{00000000-0005-0000-0000-0000A9530000}"/>
    <cellStyle name="Normal 8 2 2 6" xfId="21471" xr:uid="{00000000-0005-0000-0000-0000AA530000}"/>
    <cellStyle name="Normal 8 2 3" xfId="21472" xr:uid="{00000000-0005-0000-0000-0000AB530000}"/>
    <cellStyle name="Normal 8 2 3 2" xfId="21473" xr:uid="{00000000-0005-0000-0000-0000AC530000}"/>
    <cellStyle name="Normal 8 2 3 2 2" xfId="21474" xr:uid="{00000000-0005-0000-0000-0000AD530000}"/>
    <cellStyle name="Normal 8 2 3 3" xfId="21475" xr:uid="{00000000-0005-0000-0000-0000AE530000}"/>
    <cellStyle name="Normal 8 2 3 3 2" xfId="21476" xr:uid="{00000000-0005-0000-0000-0000AF530000}"/>
    <cellStyle name="Normal 8 2 3 4" xfId="21477" xr:uid="{00000000-0005-0000-0000-0000B0530000}"/>
    <cellStyle name="Normal 8 2 4" xfId="21478" xr:uid="{00000000-0005-0000-0000-0000B1530000}"/>
    <cellStyle name="Normal 8 2 4 2" xfId="21479" xr:uid="{00000000-0005-0000-0000-0000B2530000}"/>
    <cellStyle name="Normal 8 2 4 2 2" xfId="21480" xr:uid="{00000000-0005-0000-0000-0000B3530000}"/>
    <cellStyle name="Normal 8 2 4 3" xfId="21481" xr:uid="{00000000-0005-0000-0000-0000B4530000}"/>
    <cellStyle name="Normal 8 2 5" xfId="21482" xr:uid="{00000000-0005-0000-0000-0000B5530000}"/>
    <cellStyle name="Normal 8 2 5 2" xfId="21483" xr:uid="{00000000-0005-0000-0000-0000B6530000}"/>
    <cellStyle name="Normal 8 2 5 2 2" xfId="21484" xr:uid="{00000000-0005-0000-0000-0000B7530000}"/>
    <cellStyle name="Normal 8 2 5 3" xfId="21485" xr:uid="{00000000-0005-0000-0000-0000B8530000}"/>
    <cellStyle name="Normal 8 2 6" xfId="21486" xr:uid="{00000000-0005-0000-0000-0000B9530000}"/>
    <cellStyle name="Normal 8 2 6 2" xfId="21487" xr:uid="{00000000-0005-0000-0000-0000BA530000}"/>
    <cellStyle name="Normal 8 2 6 2 2" xfId="21488" xr:uid="{00000000-0005-0000-0000-0000BB530000}"/>
    <cellStyle name="Normal 8 2 6 3" xfId="21489" xr:uid="{00000000-0005-0000-0000-0000BC530000}"/>
    <cellStyle name="Normal 8 2 7" xfId="21490" xr:uid="{00000000-0005-0000-0000-0000BD530000}"/>
    <cellStyle name="Normal 8 2 7 2" xfId="21491" xr:uid="{00000000-0005-0000-0000-0000BE530000}"/>
    <cellStyle name="Normal 8 2 7 2 2" xfId="21492" xr:uid="{00000000-0005-0000-0000-0000BF530000}"/>
    <cellStyle name="Normal 8 2 7 3" xfId="21493" xr:uid="{00000000-0005-0000-0000-0000C0530000}"/>
    <cellStyle name="Normal 8 2 8" xfId="21494" xr:uid="{00000000-0005-0000-0000-0000C1530000}"/>
    <cellStyle name="Normal 8 2 8 2" xfId="21495" xr:uid="{00000000-0005-0000-0000-0000C2530000}"/>
    <cellStyle name="Normal 8 2 9" xfId="21496" xr:uid="{00000000-0005-0000-0000-0000C3530000}"/>
    <cellStyle name="Normal 8 20" xfId="21497" xr:uid="{00000000-0005-0000-0000-0000C4530000}"/>
    <cellStyle name="Normal 8 21" xfId="21498" xr:uid="{00000000-0005-0000-0000-0000C5530000}"/>
    <cellStyle name="Normal 8 22" xfId="21499" xr:uid="{00000000-0005-0000-0000-0000C6530000}"/>
    <cellStyle name="Normal 8 23" xfId="21500" xr:uid="{00000000-0005-0000-0000-0000C7530000}"/>
    <cellStyle name="Normal 8 24" xfId="21501" xr:uid="{00000000-0005-0000-0000-0000C8530000}"/>
    <cellStyle name="Normal 8 25" xfId="21502" xr:uid="{00000000-0005-0000-0000-0000C9530000}"/>
    <cellStyle name="Normal 8 26" xfId="21503" xr:uid="{00000000-0005-0000-0000-0000CA530000}"/>
    <cellStyle name="Normal 8 27" xfId="21504" xr:uid="{00000000-0005-0000-0000-0000CB530000}"/>
    <cellStyle name="Normal 8 28" xfId="21505" xr:uid="{00000000-0005-0000-0000-0000CC530000}"/>
    <cellStyle name="Normal 8 3" xfId="21506" xr:uid="{00000000-0005-0000-0000-0000CD530000}"/>
    <cellStyle name="Normal 8 3 2" xfId="21507" xr:uid="{00000000-0005-0000-0000-0000CE530000}"/>
    <cellStyle name="Normal 8 3 2 2" xfId="21508" xr:uid="{00000000-0005-0000-0000-0000CF530000}"/>
    <cellStyle name="Normal 8 3 2 2 2" xfId="21509" xr:uid="{00000000-0005-0000-0000-0000D0530000}"/>
    <cellStyle name="Normal 8 3 2 3" xfId="21510" xr:uid="{00000000-0005-0000-0000-0000D1530000}"/>
    <cellStyle name="Normal 8 3 2 3 2" xfId="21511" xr:uid="{00000000-0005-0000-0000-0000D2530000}"/>
    <cellStyle name="Normal 8 3 2 4" xfId="21512" xr:uid="{00000000-0005-0000-0000-0000D3530000}"/>
    <cellStyle name="Normal 8 3 3" xfId="21513" xr:uid="{00000000-0005-0000-0000-0000D4530000}"/>
    <cellStyle name="Normal 8 3 3 2" xfId="21514" xr:uid="{00000000-0005-0000-0000-0000D5530000}"/>
    <cellStyle name="Normal 8 3 3 2 2" xfId="21515" xr:uid="{00000000-0005-0000-0000-0000D6530000}"/>
    <cellStyle name="Normal 8 3 3 3" xfId="21516" xr:uid="{00000000-0005-0000-0000-0000D7530000}"/>
    <cellStyle name="Normal 8 3 3 3 2" xfId="21517" xr:uid="{00000000-0005-0000-0000-0000D8530000}"/>
    <cellStyle name="Normal 8 3 3 4" xfId="21518" xr:uid="{00000000-0005-0000-0000-0000D9530000}"/>
    <cellStyle name="Normal 8 3 4" xfId="21519" xr:uid="{00000000-0005-0000-0000-0000DA530000}"/>
    <cellStyle name="Normal 8 3 4 2" xfId="21520" xr:uid="{00000000-0005-0000-0000-0000DB530000}"/>
    <cellStyle name="Normal 8 3 5" xfId="21521" xr:uid="{00000000-0005-0000-0000-0000DC530000}"/>
    <cellStyle name="Normal 8 3 5 2" xfId="21522" xr:uid="{00000000-0005-0000-0000-0000DD530000}"/>
    <cellStyle name="Normal 8 3 6" xfId="21523" xr:uid="{00000000-0005-0000-0000-0000DE530000}"/>
    <cellStyle name="Normal 8 4" xfId="21524" xr:uid="{00000000-0005-0000-0000-0000DF530000}"/>
    <cellStyle name="Normal 8 4 2" xfId="21525" xr:uid="{00000000-0005-0000-0000-0000E0530000}"/>
    <cellStyle name="Normal 8 4 2 2" xfId="21526" xr:uid="{00000000-0005-0000-0000-0000E1530000}"/>
    <cellStyle name="Normal 8 4 3" xfId="21527" xr:uid="{00000000-0005-0000-0000-0000E2530000}"/>
    <cellStyle name="Normal 8 4 3 2" xfId="21528" xr:uid="{00000000-0005-0000-0000-0000E3530000}"/>
    <cellStyle name="Normal 8 4 4" xfId="21529" xr:uid="{00000000-0005-0000-0000-0000E4530000}"/>
    <cellStyle name="Normal 8 5" xfId="21530" xr:uid="{00000000-0005-0000-0000-0000E5530000}"/>
    <cellStyle name="Normal 8 6" xfId="21531" xr:uid="{00000000-0005-0000-0000-0000E6530000}"/>
    <cellStyle name="Normal 8 6 2" xfId="21532" xr:uid="{00000000-0005-0000-0000-0000E7530000}"/>
    <cellStyle name="Normal 8 6 2 2" xfId="21533" xr:uid="{00000000-0005-0000-0000-0000E8530000}"/>
    <cellStyle name="Normal 8 6 3" xfId="21534" xr:uid="{00000000-0005-0000-0000-0000E9530000}"/>
    <cellStyle name="Normal 8 7" xfId="21535" xr:uid="{00000000-0005-0000-0000-0000EA530000}"/>
    <cellStyle name="Normal 8 7 2" xfId="21536" xr:uid="{00000000-0005-0000-0000-0000EB530000}"/>
    <cellStyle name="Normal 8 7 2 2" xfId="21537" xr:uid="{00000000-0005-0000-0000-0000EC530000}"/>
    <cellStyle name="Normal 8 7 3" xfId="21538" xr:uid="{00000000-0005-0000-0000-0000ED530000}"/>
    <cellStyle name="Normal 8 8" xfId="21539" xr:uid="{00000000-0005-0000-0000-0000EE530000}"/>
    <cellStyle name="Normal 8 8 2" xfId="21540" xr:uid="{00000000-0005-0000-0000-0000EF530000}"/>
    <cellStyle name="Normal 8 8 2 2" xfId="21541" xr:uid="{00000000-0005-0000-0000-0000F0530000}"/>
    <cellStyle name="Normal 8 8 3" xfId="21542" xr:uid="{00000000-0005-0000-0000-0000F1530000}"/>
    <cellStyle name="Normal 8 9" xfId="21543" xr:uid="{00000000-0005-0000-0000-0000F2530000}"/>
    <cellStyle name="Normal 8 9 2" xfId="21544" xr:uid="{00000000-0005-0000-0000-0000F3530000}"/>
    <cellStyle name="Normal 8 9 2 2" xfId="21545" xr:uid="{00000000-0005-0000-0000-0000F4530000}"/>
    <cellStyle name="Normal 8 9 3" xfId="21546" xr:uid="{00000000-0005-0000-0000-0000F5530000}"/>
    <cellStyle name="Normal 80" xfId="21547" xr:uid="{00000000-0005-0000-0000-0000F6530000}"/>
    <cellStyle name="Normal 81" xfId="21548" xr:uid="{00000000-0005-0000-0000-0000F7530000}"/>
    <cellStyle name="Normal 82" xfId="21549" xr:uid="{00000000-0005-0000-0000-0000F8530000}"/>
    <cellStyle name="Normal 83" xfId="21550" xr:uid="{00000000-0005-0000-0000-0000F9530000}"/>
    <cellStyle name="Normal 84" xfId="21551" xr:uid="{00000000-0005-0000-0000-0000FA530000}"/>
    <cellStyle name="Normal 85" xfId="21552" xr:uid="{00000000-0005-0000-0000-0000FB530000}"/>
    <cellStyle name="Normal 86" xfId="21553" xr:uid="{00000000-0005-0000-0000-0000FC530000}"/>
    <cellStyle name="Normal 87" xfId="21554" xr:uid="{00000000-0005-0000-0000-0000FD530000}"/>
    <cellStyle name="Normal 88" xfId="21555" xr:uid="{00000000-0005-0000-0000-0000FE530000}"/>
    <cellStyle name="Normal 89" xfId="21556" xr:uid="{00000000-0005-0000-0000-0000FF530000}"/>
    <cellStyle name="Normal 9" xfId="150" xr:uid="{00000000-0005-0000-0000-000000540000}"/>
    <cellStyle name="Normal 9 2" xfId="21557" xr:uid="{00000000-0005-0000-0000-000001540000}"/>
    <cellStyle name="Normal 9 3" xfId="21558" xr:uid="{00000000-0005-0000-0000-000002540000}"/>
    <cellStyle name="Normal 9 3 2" xfId="21559" xr:uid="{00000000-0005-0000-0000-000003540000}"/>
    <cellStyle name="Normal 9 3_MO-CronPerm" xfId="21560" xr:uid="{00000000-0005-0000-0000-000004540000}"/>
    <cellStyle name="Normal 9 4" xfId="21561" xr:uid="{00000000-0005-0000-0000-000005540000}"/>
    <cellStyle name="Normal 9 4 2" xfId="21562" xr:uid="{00000000-0005-0000-0000-000006540000}"/>
    <cellStyle name="Normal 9 4 2 2" xfId="21563" xr:uid="{00000000-0005-0000-0000-000007540000}"/>
    <cellStyle name="Normal 9 4 2 2 2" xfId="21564" xr:uid="{00000000-0005-0000-0000-000008540000}"/>
    <cellStyle name="Normal 9 4 2 3" xfId="21565" xr:uid="{00000000-0005-0000-0000-000009540000}"/>
    <cellStyle name="Normal 9 4 2 3 2" xfId="21566" xr:uid="{00000000-0005-0000-0000-00000A540000}"/>
    <cellStyle name="Normal 9 4 2 4" xfId="21567" xr:uid="{00000000-0005-0000-0000-00000B540000}"/>
    <cellStyle name="Normal 9 4 3" xfId="21568" xr:uid="{00000000-0005-0000-0000-00000C540000}"/>
    <cellStyle name="Normal 9 4 3 2" xfId="21569" xr:uid="{00000000-0005-0000-0000-00000D540000}"/>
    <cellStyle name="Normal 9 4 4" xfId="21570" xr:uid="{00000000-0005-0000-0000-00000E540000}"/>
    <cellStyle name="Normal 9 4 4 2" xfId="21571" xr:uid="{00000000-0005-0000-0000-00000F540000}"/>
    <cellStyle name="Normal 9 4 5" xfId="21572" xr:uid="{00000000-0005-0000-0000-000010540000}"/>
    <cellStyle name="Normal 9 5" xfId="21573" xr:uid="{00000000-0005-0000-0000-000011540000}"/>
    <cellStyle name="Normal 9 5 2" xfId="21574" xr:uid="{00000000-0005-0000-0000-000012540000}"/>
    <cellStyle name="Normal 9 5 2 2" xfId="21575" xr:uid="{00000000-0005-0000-0000-000013540000}"/>
    <cellStyle name="Normal 9 5 3" xfId="21576" xr:uid="{00000000-0005-0000-0000-000014540000}"/>
    <cellStyle name="Normal 9 5 3 2" xfId="21577" xr:uid="{00000000-0005-0000-0000-000015540000}"/>
    <cellStyle name="Normal 9 5 4" xfId="21578" xr:uid="{00000000-0005-0000-0000-000016540000}"/>
    <cellStyle name="Normal 9 6" xfId="21579" xr:uid="{00000000-0005-0000-0000-000017540000}"/>
    <cellStyle name="Normal 9_MO-CronPerm" xfId="21580" xr:uid="{00000000-0005-0000-0000-000018540000}"/>
    <cellStyle name="Normal 90" xfId="21581" xr:uid="{00000000-0005-0000-0000-000019540000}"/>
    <cellStyle name="Normal 91" xfId="21582" xr:uid="{00000000-0005-0000-0000-00001A540000}"/>
    <cellStyle name="Normal 92" xfId="21583" xr:uid="{00000000-0005-0000-0000-00001B540000}"/>
    <cellStyle name="Normal 93" xfId="21584" xr:uid="{00000000-0005-0000-0000-00001C540000}"/>
    <cellStyle name="Normal 94" xfId="21585" xr:uid="{00000000-0005-0000-0000-00001D540000}"/>
    <cellStyle name="Normal 95" xfId="21586" xr:uid="{00000000-0005-0000-0000-00001E540000}"/>
    <cellStyle name="Normal 96" xfId="21587" xr:uid="{00000000-0005-0000-0000-00001F540000}"/>
    <cellStyle name="Normal 97" xfId="21588" xr:uid="{00000000-0005-0000-0000-000020540000}"/>
    <cellStyle name="Normal 98" xfId="21589" xr:uid="{00000000-0005-0000-0000-000021540000}"/>
    <cellStyle name="Normal 99" xfId="21590" xr:uid="{00000000-0005-0000-0000-000022540000}"/>
    <cellStyle name="Normal Bold" xfId="21591" xr:uid="{00000000-0005-0000-0000-000023540000}"/>
    <cellStyle name="Normal Bold 2" xfId="21592" xr:uid="{00000000-0005-0000-0000-000024540000}"/>
    <cellStyle name="Normal gras souligné" xfId="21593" xr:uid="{00000000-0005-0000-0000-000025540000}"/>
    <cellStyle name="Normal Pct" xfId="21594" xr:uid="{00000000-0005-0000-0000-000026540000}"/>
    <cellStyle name="Normal Pct 2" xfId="21595" xr:uid="{00000000-0005-0000-0000-000027540000}"/>
    <cellStyle name="normal plan 1 (2)" xfId="21596" xr:uid="{00000000-0005-0000-0000-000028540000}"/>
    <cellStyle name="Normal souligné" xfId="21597" xr:uid="{00000000-0005-0000-0000-000029540000}"/>
    <cellStyle name="Normal_Cabines de Pedágio" xfId="7" xr:uid="{00000000-0005-0000-0000-00002A540000}"/>
    <cellStyle name="Normal_LOTE 01-6.2. Equipamentos e Veículos da Administração" xfId="8" xr:uid="{00000000-0005-0000-0000-00002B540000}"/>
    <cellStyle name="Normal_Lt01-MG-Rev 14-09-Min-R1" xfId="9" xr:uid="{00000000-0005-0000-0000-00002C540000}"/>
    <cellStyle name="Normal_Pedágios" xfId="10" xr:uid="{00000000-0005-0000-0000-00002D540000}"/>
    <cellStyle name="NORMAL1" xfId="118" xr:uid="{00000000-0005-0000-0000-00002E540000}"/>
    <cellStyle name="Normal2" xfId="21598" xr:uid="{00000000-0005-0000-0000-00002F540000}"/>
    <cellStyle name="Normale_Tarif" xfId="21599" xr:uid="{00000000-0005-0000-0000-000030540000}"/>
    <cellStyle name="NormalGB" xfId="21600" xr:uid="{00000000-0005-0000-0000-000031540000}"/>
    <cellStyle name="Normal-HelBold" xfId="21601" xr:uid="{00000000-0005-0000-0000-000032540000}"/>
    <cellStyle name="Normal-HelUnderline" xfId="21602" xr:uid="{00000000-0005-0000-0000-000033540000}"/>
    <cellStyle name="NormalHelv" xfId="21603" xr:uid="{00000000-0005-0000-0000-000034540000}"/>
    <cellStyle name="NormalHelv 2" xfId="21604" xr:uid="{00000000-0005-0000-0000-000035540000}"/>
    <cellStyle name="Normal-Helvetica" xfId="21605" xr:uid="{00000000-0005-0000-0000-000036540000}"/>
    <cellStyle name="Normal-Helvetica 2" xfId="21606" xr:uid="{00000000-0005-0000-0000-000037540000}"/>
    <cellStyle name="NormalMultiple" xfId="21607" xr:uid="{00000000-0005-0000-0000-000038540000}"/>
    <cellStyle name="NormalMultiple 2" xfId="21608" xr:uid="{00000000-0005-0000-0000-000039540000}"/>
    <cellStyle name="Normalny_56.Podstawowe dane o woj.(1)" xfId="21609" xr:uid="{00000000-0005-0000-0000-00003A540000}"/>
    <cellStyle name="NormalX" xfId="21610" xr:uid="{00000000-0005-0000-0000-00003B540000}"/>
    <cellStyle name="Nota 10" xfId="21611" xr:uid="{00000000-0005-0000-0000-00003C540000}"/>
    <cellStyle name="Nota 10 2" xfId="21612" xr:uid="{00000000-0005-0000-0000-00003D540000}"/>
    <cellStyle name="Nota 10 2 2" xfId="21613" xr:uid="{00000000-0005-0000-0000-00003E540000}"/>
    <cellStyle name="Nota 10 2 2 2" xfId="21614" xr:uid="{00000000-0005-0000-0000-00003F540000}"/>
    <cellStyle name="Nota 10 2 2 2 2" xfId="21615" xr:uid="{00000000-0005-0000-0000-000040540000}"/>
    <cellStyle name="Nota 10 2 2 2 2 2" xfId="21616" xr:uid="{00000000-0005-0000-0000-000041540000}"/>
    <cellStyle name="Nota 10 2 2 2 3" xfId="21617" xr:uid="{00000000-0005-0000-0000-000042540000}"/>
    <cellStyle name="Nota 10 2 2 2 3 2" xfId="21618" xr:uid="{00000000-0005-0000-0000-000043540000}"/>
    <cellStyle name="Nota 10 2 2 2 4" xfId="21619" xr:uid="{00000000-0005-0000-0000-000044540000}"/>
    <cellStyle name="Nota 10 2 2 3" xfId="21620" xr:uid="{00000000-0005-0000-0000-000045540000}"/>
    <cellStyle name="Nota 10 2 2 3 2" xfId="21621" xr:uid="{00000000-0005-0000-0000-000046540000}"/>
    <cellStyle name="Nota 10 2 2 4" xfId="21622" xr:uid="{00000000-0005-0000-0000-000047540000}"/>
    <cellStyle name="Nota 10 2 2 4 2" xfId="21623" xr:uid="{00000000-0005-0000-0000-000048540000}"/>
    <cellStyle name="Nota 10 2 2 5" xfId="21624" xr:uid="{00000000-0005-0000-0000-000049540000}"/>
    <cellStyle name="Nota 10 2 3" xfId="21625" xr:uid="{00000000-0005-0000-0000-00004A540000}"/>
    <cellStyle name="Nota 10 2 3 2" xfId="21626" xr:uid="{00000000-0005-0000-0000-00004B540000}"/>
    <cellStyle name="Nota 10 2 3 2 2" xfId="21627" xr:uid="{00000000-0005-0000-0000-00004C540000}"/>
    <cellStyle name="Nota 10 2 3 3" xfId="21628" xr:uid="{00000000-0005-0000-0000-00004D540000}"/>
    <cellStyle name="Nota 10 2 3 3 2" xfId="21629" xr:uid="{00000000-0005-0000-0000-00004E540000}"/>
    <cellStyle name="Nota 10 2 3 4" xfId="21630" xr:uid="{00000000-0005-0000-0000-00004F540000}"/>
    <cellStyle name="Nota 10 2 4" xfId="21631" xr:uid="{00000000-0005-0000-0000-000050540000}"/>
    <cellStyle name="Nota 10 2 4 2" xfId="21632" xr:uid="{00000000-0005-0000-0000-000051540000}"/>
    <cellStyle name="Nota 10 2 4 2 2" xfId="21633" xr:uid="{00000000-0005-0000-0000-000052540000}"/>
    <cellStyle name="Nota 10 2 4 3" xfId="21634" xr:uid="{00000000-0005-0000-0000-000053540000}"/>
    <cellStyle name="Nota 10 2 5" xfId="21635" xr:uid="{00000000-0005-0000-0000-000054540000}"/>
    <cellStyle name="Nota 10 2 5 2" xfId="21636" xr:uid="{00000000-0005-0000-0000-000055540000}"/>
    <cellStyle name="Nota 10 2 6" xfId="21637" xr:uid="{00000000-0005-0000-0000-000056540000}"/>
    <cellStyle name="Nota 10 3" xfId="21638" xr:uid="{00000000-0005-0000-0000-000057540000}"/>
    <cellStyle name="Nota 10 3 2" xfId="21639" xr:uid="{00000000-0005-0000-0000-000058540000}"/>
    <cellStyle name="Nota 10 3 2 2" xfId="21640" xr:uid="{00000000-0005-0000-0000-000059540000}"/>
    <cellStyle name="Nota 10 3 2 2 2" xfId="21641" xr:uid="{00000000-0005-0000-0000-00005A540000}"/>
    <cellStyle name="Nota 10 3 2 3" xfId="21642" xr:uid="{00000000-0005-0000-0000-00005B540000}"/>
    <cellStyle name="Nota 10 3 2 3 2" xfId="21643" xr:uid="{00000000-0005-0000-0000-00005C540000}"/>
    <cellStyle name="Nota 10 3 2 4" xfId="21644" xr:uid="{00000000-0005-0000-0000-00005D540000}"/>
    <cellStyle name="Nota 10 3 3" xfId="21645" xr:uid="{00000000-0005-0000-0000-00005E540000}"/>
    <cellStyle name="Nota 10 3 3 2" xfId="21646" xr:uid="{00000000-0005-0000-0000-00005F540000}"/>
    <cellStyle name="Nota 10 3 4" xfId="21647" xr:uid="{00000000-0005-0000-0000-000060540000}"/>
    <cellStyle name="Nota 10 3 4 2" xfId="21648" xr:uid="{00000000-0005-0000-0000-000061540000}"/>
    <cellStyle name="Nota 10 3 5" xfId="21649" xr:uid="{00000000-0005-0000-0000-000062540000}"/>
    <cellStyle name="Nota 10 4" xfId="21650" xr:uid="{00000000-0005-0000-0000-000063540000}"/>
    <cellStyle name="Nota 10 4 2" xfId="21651" xr:uid="{00000000-0005-0000-0000-000064540000}"/>
    <cellStyle name="Nota 10 4 2 2" xfId="21652" xr:uid="{00000000-0005-0000-0000-000065540000}"/>
    <cellStyle name="Nota 10 4 3" xfId="21653" xr:uid="{00000000-0005-0000-0000-000066540000}"/>
    <cellStyle name="Nota 10 4 3 2" xfId="21654" xr:uid="{00000000-0005-0000-0000-000067540000}"/>
    <cellStyle name="Nota 10 4 4" xfId="21655" xr:uid="{00000000-0005-0000-0000-000068540000}"/>
    <cellStyle name="Nota 10 5" xfId="21656" xr:uid="{00000000-0005-0000-0000-000069540000}"/>
    <cellStyle name="Nota 10 5 2" xfId="21657" xr:uid="{00000000-0005-0000-0000-00006A540000}"/>
    <cellStyle name="Nota 10 5 2 2" xfId="21658" xr:uid="{00000000-0005-0000-0000-00006B540000}"/>
    <cellStyle name="Nota 10 5 3" xfId="21659" xr:uid="{00000000-0005-0000-0000-00006C540000}"/>
    <cellStyle name="Nota 10 6" xfId="21660" xr:uid="{00000000-0005-0000-0000-00006D540000}"/>
    <cellStyle name="Nota 10 6 2" xfId="21661" xr:uid="{00000000-0005-0000-0000-00006E540000}"/>
    <cellStyle name="Nota 10 7" xfId="21662" xr:uid="{00000000-0005-0000-0000-00006F540000}"/>
    <cellStyle name="Nota 11" xfId="21663" xr:uid="{00000000-0005-0000-0000-000070540000}"/>
    <cellStyle name="Nota 11 2" xfId="21664" xr:uid="{00000000-0005-0000-0000-000071540000}"/>
    <cellStyle name="Nota 11 2 2" xfId="21665" xr:uid="{00000000-0005-0000-0000-000072540000}"/>
    <cellStyle name="Nota 11 2 2 2" xfId="21666" xr:uid="{00000000-0005-0000-0000-000073540000}"/>
    <cellStyle name="Nota 11 2 2 2 2" xfId="21667" xr:uid="{00000000-0005-0000-0000-000074540000}"/>
    <cellStyle name="Nota 11 2 2 2 2 2" xfId="21668" xr:uid="{00000000-0005-0000-0000-000075540000}"/>
    <cellStyle name="Nota 11 2 2 2 3" xfId="21669" xr:uid="{00000000-0005-0000-0000-000076540000}"/>
    <cellStyle name="Nota 11 2 2 2 3 2" xfId="21670" xr:uid="{00000000-0005-0000-0000-000077540000}"/>
    <cellStyle name="Nota 11 2 2 2 4" xfId="21671" xr:uid="{00000000-0005-0000-0000-000078540000}"/>
    <cellStyle name="Nota 11 2 2 3" xfId="21672" xr:uid="{00000000-0005-0000-0000-000079540000}"/>
    <cellStyle name="Nota 11 2 2 3 2" xfId="21673" xr:uid="{00000000-0005-0000-0000-00007A540000}"/>
    <cellStyle name="Nota 11 2 2 4" xfId="21674" xr:uid="{00000000-0005-0000-0000-00007B540000}"/>
    <cellStyle name="Nota 11 2 2 4 2" xfId="21675" xr:uid="{00000000-0005-0000-0000-00007C540000}"/>
    <cellStyle name="Nota 11 2 2 5" xfId="21676" xr:uid="{00000000-0005-0000-0000-00007D540000}"/>
    <cellStyle name="Nota 11 2 3" xfId="21677" xr:uid="{00000000-0005-0000-0000-00007E540000}"/>
    <cellStyle name="Nota 11 2 3 2" xfId="21678" xr:uid="{00000000-0005-0000-0000-00007F540000}"/>
    <cellStyle name="Nota 11 2 3 2 2" xfId="21679" xr:uid="{00000000-0005-0000-0000-000080540000}"/>
    <cellStyle name="Nota 11 2 3 3" xfId="21680" xr:uid="{00000000-0005-0000-0000-000081540000}"/>
    <cellStyle name="Nota 11 2 3 3 2" xfId="21681" xr:uid="{00000000-0005-0000-0000-000082540000}"/>
    <cellStyle name="Nota 11 2 3 4" xfId="21682" xr:uid="{00000000-0005-0000-0000-000083540000}"/>
    <cellStyle name="Nota 11 2 4" xfId="21683" xr:uid="{00000000-0005-0000-0000-000084540000}"/>
    <cellStyle name="Nota 11 2 4 2" xfId="21684" xr:uid="{00000000-0005-0000-0000-000085540000}"/>
    <cellStyle name="Nota 11 2 4 2 2" xfId="21685" xr:uid="{00000000-0005-0000-0000-000086540000}"/>
    <cellStyle name="Nota 11 2 4 3" xfId="21686" xr:uid="{00000000-0005-0000-0000-000087540000}"/>
    <cellStyle name="Nota 11 2 5" xfId="21687" xr:uid="{00000000-0005-0000-0000-000088540000}"/>
    <cellStyle name="Nota 11 2 5 2" xfId="21688" xr:uid="{00000000-0005-0000-0000-000089540000}"/>
    <cellStyle name="Nota 11 2 6" xfId="21689" xr:uid="{00000000-0005-0000-0000-00008A540000}"/>
    <cellStyle name="Nota 11 3" xfId="21690" xr:uid="{00000000-0005-0000-0000-00008B540000}"/>
    <cellStyle name="Nota 11 3 2" xfId="21691" xr:uid="{00000000-0005-0000-0000-00008C540000}"/>
    <cellStyle name="Nota 11 3 2 2" xfId="21692" xr:uid="{00000000-0005-0000-0000-00008D540000}"/>
    <cellStyle name="Nota 11 3 2 2 2" xfId="21693" xr:uid="{00000000-0005-0000-0000-00008E540000}"/>
    <cellStyle name="Nota 11 3 2 3" xfId="21694" xr:uid="{00000000-0005-0000-0000-00008F540000}"/>
    <cellStyle name="Nota 11 3 2 3 2" xfId="21695" xr:uid="{00000000-0005-0000-0000-000090540000}"/>
    <cellStyle name="Nota 11 3 2 4" xfId="21696" xr:uid="{00000000-0005-0000-0000-000091540000}"/>
    <cellStyle name="Nota 11 3 3" xfId="21697" xr:uid="{00000000-0005-0000-0000-000092540000}"/>
    <cellStyle name="Nota 11 3 3 2" xfId="21698" xr:uid="{00000000-0005-0000-0000-000093540000}"/>
    <cellStyle name="Nota 11 3 4" xfId="21699" xr:uid="{00000000-0005-0000-0000-000094540000}"/>
    <cellStyle name="Nota 11 3 4 2" xfId="21700" xr:uid="{00000000-0005-0000-0000-000095540000}"/>
    <cellStyle name="Nota 11 3 5" xfId="21701" xr:uid="{00000000-0005-0000-0000-000096540000}"/>
    <cellStyle name="Nota 11 4" xfId="21702" xr:uid="{00000000-0005-0000-0000-000097540000}"/>
    <cellStyle name="Nota 11 4 2" xfId="21703" xr:uid="{00000000-0005-0000-0000-000098540000}"/>
    <cellStyle name="Nota 11 4 2 2" xfId="21704" xr:uid="{00000000-0005-0000-0000-000099540000}"/>
    <cellStyle name="Nota 11 4 3" xfId="21705" xr:uid="{00000000-0005-0000-0000-00009A540000}"/>
    <cellStyle name="Nota 11 4 3 2" xfId="21706" xr:uid="{00000000-0005-0000-0000-00009B540000}"/>
    <cellStyle name="Nota 11 4 4" xfId="21707" xr:uid="{00000000-0005-0000-0000-00009C540000}"/>
    <cellStyle name="Nota 11 5" xfId="21708" xr:uid="{00000000-0005-0000-0000-00009D540000}"/>
    <cellStyle name="Nota 11 5 2" xfId="21709" xr:uid="{00000000-0005-0000-0000-00009E540000}"/>
    <cellStyle name="Nota 11 5 2 2" xfId="21710" xr:uid="{00000000-0005-0000-0000-00009F540000}"/>
    <cellStyle name="Nota 11 5 3" xfId="21711" xr:uid="{00000000-0005-0000-0000-0000A0540000}"/>
    <cellStyle name="Nota 11 6" xfId="21712" xr:uid="{00000000-0005-0000-0000-0000A1540000}"/>
    <cellStyle name="Nota 11 6 2" xfId="21713" xr:uid="{00000000-0005-0000-0000-0000A2540000}"/>
    <cellStyle name="Nota 11 7" xfId="21714" xr:uid="{00000000-0005-0000-0000-0000A3540000}"/>
    <cellStyle name="Nota 12" xfId="21715" xr:uid="{00000000-0005-0000-0000-0000A4540000}"/>
    <cellStyle name="Nota 12 2" xfId="21716" xr:uid="{00000000-0005-0000-0000-0000A5540000}"/>
    <cellStyle name="Nota 12 2 2" xfId="21717" xr:uid="{00000000-0005-0000-0000-0000A6540000}"/>
    <cellStyle name="Nota 12 2 2 2" xfId="21718" xr:uid="{00000000-0005-0000-0000-0000A7540000}"/>
    <cellStyle name="Nota 12 2 2 2 2" xfId="21719" xr:uid="{00000000-0005-0000-0000-0000A8540000}"/>
    <cellStyle name="Nota 12 2 2 3" xfId="21720" xr:uid="{00000000-0005-0000-0000-0000A9540000}"/>
    <cellStyle name="Nota 12 2 2 3 2" xfId="21721" xr:uid="{00000000-0005-0000-0000-0000AA540000}"/>
    <cellStyle name="Nota 12 2 2 4" xfId="21722" xr:uid="{00000000-0005-0000-0000-0000AB540000}"/>
    <cellStyle name="Nota 12 2 3" xfId="21723" xr:uid="{00000000-0005-0000-0000-0000AC540000}"/>
    <cellStyle name="Nota 12 2 3 2" xfId="21724" xr:uid="{00000000-0005-0000-0000-0000AD540000}"/>
    <cellStyle name="Nota 12 2 4" xfId="21725" xr:uid="{00000000-0005-0000-0000-0000AE540000}"/>
    <cellStyle name="Nota 12 2 4 2" xfId="21726" xr:uid="{00000000-0005-0000-0000-0000AF540000}"/>
    <cellStyle name="Nota 12 2 5" xfId="21727" xr:uid="{00000000-0005-0000-0000-0000B0540000}"/>
    <cellStyle name="Nota 12 3" xfId="21728" xr:uid="{00000000-0005-0000-0000-0000B1540000}"/>
    <cellStyle name="Nota 12 3 2" xfId="21729" xr:uid="{00000000-0005-0000-0000-0000B2540000}"/>
    <cellStyle name="Nota 12 3 2 2" xfId="21730" xr:uid="{00000000-0005-0000-0000-0000B3540000}"/>
    <cellStyle name="Nota 12 3 3" xfId="21731" xr:uid="{00000000-0005-0000-0000-0000B4540000}"/>
    <cellStyle name="Nota 12 3 3 2" xfId="21732" xr:uid="{00000000-0005-0000-0000-0000B5540000}"/>
    <cellStyle name="Nota 12 3 4" xfId="21733" xr:uid="{00000000-0005-0000-0000-0000B6540000}"/>
    <cellStyle name="Nota 12 4" xfId="21734" xr:uid="{00000000-0005-0000-0000-0000B7540000}"/>
    <cellStyle name="Nota 12 4 2" xfId="21735" xr:uid="{00000000-0005-0000-0000-0000B8540000}"/>
    <cellStyle name="Nota 12 4 2 2" xfId="21736" xr:uid="{00000000-0005-0000-0000-0000B9540000}"/>
    <cellStyle name="Nota 12 4 3" xfId="21737" xr:uid="{00000000-0005-0000-0000-0000BA540000}"/>
    <cellStyle name="Nota 12 5" xfId="21738" xr:uid="{00000000-0005-0000-0000-0000BB540000}"/>
    <cellStyle name="Nota 12 5 2" xfId="21739" xr:uid="{00000000-0005-0000-0000-0000BC540000}"/>
    <cellStyle name="Nota 12 6" xfId="21740" xr:uid="{00000000-0005-0000-0000-0000BD540000}"/>
    <cellStyle name="Nota 13" xfId="21741" xr:uid="{00000000-0005-0000-0000-0000BE540000}"/>
    <cellStyle name="Nota 13 2" xfId="21742" xr:uid="{00000000-0005-0000-0000-0000BF540000}"/>
    <cellStyle name="Nota 13 2 2" xfId="21743" xr:uid="{00000000-0005-0000-0000-0000C0540000}"/>
    <cellStyle name="Nota 13 2 2 2" xfId="21744" xr:uid="{00000000-0005-0000-0000-0000C1540000}"/>
    <cellStyle name="Nota 13 2 3" xfId="21745" xr:uid="{00000000-0005-0000-0000-0000C2540000}"/>
    <cellStyle name="Nota 13 2 3 2" xfId="21746" xr:uid="{00000000-0005-0000-0000-0000C3540000}"/>
    <cellStyle name="Nota 13 2 4" xfId="21747" xr:uid="{00000000-0005-0000-0000-0000C4540000}"/>
    <cellStyle name="Nota 13 3" xfId="21748" xr:uid="{00000000-0005-0000-0000-0000C5540000}"/>
    <cellStyle name="Nota 13 3 2" xfId="21749" xr:uid="{00000000-0005-0000-0000-0000C6540000}"/>
    <cellStyle name="Nota 13 3 2 2" xfId="21750" xr:uid="{00000000-0005-0000-0000-0000C7540000}"/>
    <cellStyle name="Nota 13 3 3" xfId="21751" xr:uid="{00000000-0005-0000-0000-0000C8540000}"/>
    <cellStyle name="Nota 13 3 3 2" xfId="21752" xr:uid="{00000000-0005-0000-0000-0000C9540000}"/>
    <cellStyle name="Nota 13 3 4" xfId="21753" xr:uid="{00000000-0005-0000-0000-0000CA540000}"/>
    <cellStyle name="Nota 13 4" xfId="21754" xr:uid="{00000000-0005-0000-0000-0000CB540000}"/>
    <cellStyle name="Nota 13 4 2" xfId="21755" xr:uid="{00000000-0005-0000-0000-0000CC540000}"/>
    <cellStyle name="Nota 13 5" xfId="21756" xr:uid="{00000000-0005-0000-0000-0000CD540000}"/>
    <cellStyle name="Nota 13 5 2" xfId="21757" xr:uid="{00000000-0005-0000-0000-0000CE540000}"/>
    <cellStyle name="Nota 13 6" xfId="21758" xr:uid="{00000000-0005-0000-0000-0000CF540000}"/>
    <cellStyle name="Nota 14" xfId="21759" xr:uid="{00000000-0005-0000-0000-0000D0540000}"/>
    <cellStyle name="Nota 14 2" xfId="21760" xr:uid="{00000000-0005-0000-0000-0000D1540000}"/>
    <cellStyle name="Nota 14 2 2" xfId="21761" xr:uid="{00000000-0005-0000-0000-0000D2540000}"/>
    <cellStyle name="Nota 14 3" xfId="21762" xr:uid="{00000000-0005-0000-0000-0000D3540000}"/>
    <cellStyle name="Nota 14 3 2" xfId="21763" xr:uid="{00000000-0005-0000-0000-0000D4540000}"/>
    <cellStyle name="Nota 14 4" xfId="21764" xr:uid="{00000000-0005-0000-0000-0000D5540000}"/>
    <cellStyle name="Nota 15" xfId="21765" xr:uid="{00000000-0005-0000-0000-0000D6540000}"/>
    <cellStyle name="Nota 15 2" xfId="21766" xr:uid="{00000000-0005-0000-0000-0000D7540000}"/>
    <cellStyle name="Nota 15 2 2" xfId="21767" xr:uid="{00000000-0005-0000-0000-0000D8540000}"/>
    <cellStyle name="Nota 15 3" xfId="21768" xr:uid="{00000000-0005-0000-0000-0000D9540000}"/>
    <cellStyle name="Nota 16" xfId="21769" xr:uid="{00000000-0005-0000-0000-0000DA540000}"/>
    <cellStyle name="Nota 16 2" xfId="21770" xr:uid="{00000000-0005-0000-0000-0000DB540000}"/>
    <cellStyle name="Nota 16 2 2" xfId="21771" xr:uid="{00000000-0005-0000-0000-0000DC540000}"/>
    <cellStyle name="Nota 16 3" xfId="21772" xr:uid="{00000000-0005-0000-0000-0000DD540000}"/>
    <cellStyle name="Nota 17" xfId="21773" xr:uid="{00000000-0005-0000-0000-0000DE540000}"/>
    <cellStyle name="Nota 17 2" xfId="21774" xr:uid="{00000000-0005-0000-0000-0000DF540000}"/>
    <cellStyle name="Nota 17 2 2" xfId="21775" xr:uid="{00000000-0005-0000-0000-0000E0540000}"/>
    <cellStyle name="Nota 17 3" xfId="21776" xr:uid="{00000000-0005-0000-0000-0000E1540000}"/>
    <cellStyle name="Nota 18" xfId="21777" xr:uid="{00000000-0005-0000-0000-0000E2540000}"/>
    <cellStyle name="Nota 18 2" xfId="21778" xr:uid="{00000000-0005-0000-0000-0000E3540000}"/>
    <cellStyle name="Nota 18 2 2" xfId="21779" xr:uid="{00000000-0005-0000-0000-0000E4540000}"/>
    <cellStyle name="Nota 18 3" xfId="21780" xr:uid="{00000000-0005-0000-0000-0000E5540000}"/>
    <cellStyle name="Nota 19" xfId="21781" xr:uid="{00000000-0005-0000-0000-0000E6540000}"/>
    <cellStyle name="Nota 19 2" xfId="21782" xr:uid="{00000000-0005-0000-0000-0000E7540000}"/>
    <cellStyle name="Nota 19 2 2" xfId="21783" xr:uid="{00000000-0005-0000-0000-0000E8540000}"/>
    <cellStyle name="Nota 19 3" xfId="21784" xr:uid="{00000000-0005-0000-0000-0000E9540000}"/>
    <cellStyle name="Nota 2" xfId="21785" xr:uid="{00000000-0005-0000-0000-0000EA540000}"/>
    <cellStyle name="Nota 2 10" xfId="21786" xr:uid="{00000000-0005-0000-0000-0000EB540000}"/>
    <cellStyle name="Nota 2 10 2" xfId="21787" xr:uid="{00000000-0005-0000-0000-0000EC540000}"/>
    <cellStyle name="Nota 2 10 2 2" xfId="21788" xr:uid="{00000000-0005-0000-0000-0000ED540000}"/>
    <cellStyle name="Nota 2 10 3" xfId="21789" xr:uid="{00000000-0005-0000-0000-0000EE540000}"/>
    <cellStyle name="Nota 2 10 3 2" xfId="21790" xr:uid="{00000000-0005-0000-0000-0000EF540000}"/>
    <cellStyle name="Nota 2 10 4" xfId="21791" xr:uid="{00000000-0005-0000-0000-0000F0540000}"/>
    <cellStyle name="Nota 2 11" xfId="21792" xr:uid="{00000000-0005-0000-0000-0000F1540000}"/>
    <cellStyle name="Nota 2 11 2" xfId="21793" xr:uid="{00000000-0005-0000-0000-0000F2540000}"/>
    <cellStyle name="Nota 2 11 2 2" xfId="21794" xr:uid="{00000000-0005-0000-0000-0000F3540000}"/>
    <cellStyle name="Nota 2 11 3" xfId="21795" xr:uid="{00000000-0005-0000-0000-0000F4540000}"/>
    <cellStyle name="Nota 2 12" xfId="21796" xr:uid="{00000000-0005-0000-0000-0000F5540000}"/>
    <cellStyle name="Nota 2 12 2" xfId="21797" xr:uid="{00000000-0005-0000-0000-0000F6540000}"/>
    <cellStyle name="Nota 2 12 2 2" xfId="21798" xr:uid="{00000000-0005-0000-0000-0000F7540000}"/>
    <cellStyle name="Nota 2 12 3" xfId="21799" xr:uid="{00000000-0005-0000-0000-0000F8540000}"/>
    <cellStyle name="Nota 2 13" xfId="21800" xr:uid="{00000000-0005-0000-0000-0000F9540000}"/>
    <cellStyle name="Nota 2 13 2" xfId="21801" xr:uid="{00000000-0005-0000-0000-0000FA540000}"/>
    <cellStyle name="Nota 2 13 2 2" xfId="21802" xr:uid="{00000000-0005-0000-0000-0000FB540000}"/>
    <cellStyle name="Nota 2 13 3" xfId="21803" xr:uid="{00000000-0005-0000-0000-0000FC540000}"/>
    <cellStyle name="Nota 2 14" xfId="21804" xr:uid="{00000000-0005-0000-0000-0000FD540000}"/>
    <cellStyle name="Nota 2 14 2" xfId="21805" xr:uid="{00000000-0005-0000-0000-0000FE540000}"/>
    <cellStyle name="Nota 2 14 2 2" xfId="21806" xr:uid="{00000000-0005-0000-0000-0000FF540000}"/>
    <cellStyle name="Nota 2 14 3" xfId="21807" xr:uid="{00000000-0005-0000-0000-000000550000}"/>
    <cellStyle name="Nota 2 15" xfId="21808" xr:uid="{00000000-0005-0000-0000-000001550000}"/>
    <cellStyle name="Nota 2 15 2" xfId="21809" xr:uid="{00000000-0005-0000-0000-000002550000}"/>
    <cellStyle name="Nota 2 16" xfId="21810" xr:uid="{00000000-0005-0000-0000-000003550000}"/>
    <cellStyle name="Nota 2 2" xfId="21811" xr:uid="{00000000-0005-0000-0000-000004550000}"/>
    <cellStyle name="Nota 2 2 2" xfId="21812" xr:uid="{00000000-0005-0000-0000-000005550000}"/>
    <cellStyle name="Nota 2 2 2 2" xfId="21813" xr:uid="{00000000-0005-0000-0000-000006550000}"/>
    <cellStyle name="Nota 2 2 2 2 2" xfId="21814" xr:uid="{00000000-0005-0000-0000-000007550000}"/>
    <cellStyle name="Nota 2 2 2 2 2 2" xfId="21815" xr:uid="{00000000-0005-0000-0000-000008550000}"/>
    <cellStyle name="Nota 2 2 2 2 3" xfId="21816" xr:uid="{00000000-0005-0000-0000-000009550000}"/>
    <cellStyle name="Nota 2 2 2 2 3 2" xfId="21817" xr:uid="{00000000-0005-0000-0000-00000A550000}"/>
    <cellStyle name="Nota 2 2 2 2 4" xfId="21818" xr:uid="{00000000-0005-0000-0000-00000B550000}"/>
    <cellStyle name="Nota 2 2 2 3" xfId="21819" xr:uid="{00000000-0005-0000-0000-00000C550000}"/>
    <cellStyle name="Nota 2 2 2 3 2" xfId="21820" xr:uid="{00000000-0005-0000-0000-00000D550000}"/>
    <cellStyle name="Nota 2 2 2 3 2 2" xfId="21821" xr:uid="{00000000-0005-0000-0000-00000E550000}"/>
    <cellStyle name="Nota 2 2 2 3 3" xfId="21822" xr:uid="{00000000-0005-0000-0000-00000F550000}"/>
    <cellStyle name="Nota 2 2 2 4" xfId="21823" xr:uid="{00000000-0005-0000-0000-000010550000}"/>
    <cellStyle name="Nota 2 2 2 4 2" xfId="21824" xr:uid="{00000000-0005-0000-0000-000011550000}"/>
    <cellStyle name="Nota 2 2 2 4 2 2" xfId="21825" xr:uid="{00000000-0005-0000-0000-000012550000}"/>
    <cellStyle name="Nota 2 2 2 4 3" xfId="21826" xr:uid="{00000000-0005-0000-0000-000013550000}"/>
    <cellStyle name="Nota 2 2 2 5" xfId="21827" xr:uid="{00000000-0005-0000-0000-000014550000}"/>
    <cellStyle name="Nota 2 2 2 5 2" xfId="21828" xr:uid="{00000000-0005-0000-0000-000015550000}"/>
    <cellStyle name="Nota 2 2 2 5 2 2" xfId="21829" xr:uid="{00000000-0005-0000-0000-000016550000}"/>
    <cellStyle name="Nota 2 2 2 5 3" xfId="21830" xr:uid="{00000000-0005-0000-0000-000017550000}"/>
    <cellStyle name="Nota 2 2 2 6" xfId="21831" xr:uid="{00000000-0005-0000-0000-000018550000}"/>
    <cellStyle name="Nota 2 2 2 6 2" xfId="21832" xr:uid="{00000000-0005-0000-0000-000019550000}"/>
    <cellStyle name="Nota 2 2 2 7" xfId="21833" xr:uid="{00000000-0005-0000-0000-00001A550000}"/>
    <cellStyle name="Nota 2 2 3" xfId="21834" xr:uid="{00000000-0005-0000-0000-00001B550000}"/>
    <cellStyle name="Nota 2 2 3 2" xfId="21835" xr:uid="{00000000-0005-0000-0000-00001C550000}"/>
    <cellStyle name="Nota 2 2 3 2 2" xfId="21836" xr:uid="{00000000-0005-0000-0000-00001D550000}"/>
    <cellStyle name="Nota 2 2 3 2 2 2" xfId="21837" xr:uid="{00000000-0005-0000-0000-00001E550000}"/>
    <cellStyle name="Nota 2 2 3 2 3" xfId="21838" xr:uid="{00000000-0005-0000-0000-00001F550000}"/>
    <cellStyle name="Nota 2 2 3 2 3 2" xfId="21839" xr:uid="{00000000-0005-0000-0000-000020550000}"/>
    <cellStyle name="Nota 2 2 3 2 4" xfId="21840" xr:uid="{00000000-0005-0000-0000-000021550000}"/>
    <cellStyle name="Nota 2 2 3 3" xfId="21841" xr:uid="{00000000-0005-0000-0000-000022550000}"/>
    <cellStyle name="Nota 2 2 3 3 2" xfId="21842" xr:uid="{00000000-0005-0000-0000-000023550000}"/>
    <cellStyle name="Nota 2 2 3 3 2 2" xfId="21843" xr:uid="{00000000-0005-0000-0000-000024550000}"/>
    <cellStyle name="Nota 2 2 3 3 3" xfId="21844" xr:uid="{00000000-0005-0000-0000-000025550000}"/>
    <cellStyle name="Nota 2 2 3 3 3 2" xfId="21845" xr:uid="{00000000-0005-0000-0000-000026550000}"/>
    <cellStyle name="Nota 2 2 3 3 4" xfId="21846" xr:uid="{00000000-0005-0000-0000-000027550000}"/>
    <cellStyle name="Nota 2 2 3 4" xfId="21847" xr:uid="{00000000-0005-0000-0000-000028550000}"/>
    <cellStyle name="Nota 2 2 3 4 2" xfId="21848" xr:uid="{00000000-0005-0000-0000-000029550000}"/>
    <cellStyle name="Nota 2 2 3 5" xfId="21849" xr:uid="{00000000-0005-0000-0000-00002A550000}"/>
    <cellStyle name="Nota 2 2 3 5 2" xfId="21850" xr:uid="{00000000-0005-0000-0000-00002B550000}"/>
    <cellStyle name="Nota 2 2 3 6" xfId="21851" xr:uid="{00000000-0005-0000-0000-00002C550000}"/>
    <cellStyle name="Nota 2 2 4" xfId="21852" xr:uid="{00000000-0005-0000-0000-00002D550000}"/>
    <cellStyle name="Nota 2 2 5" xfId="21853" xr:uid="{00000000-0005-0000-0000-00002E550000}"/>
    <cellStyle name="Nota 2 2 5 2" xfId="21854" xr:uid="{00000000-0005-0000-0000-00002F550000}"/>
    <cellStyle name="Nota 2 2 5 2 2" xfId="21855" xr:uid="{00000000-0005-0000-0000-000030550000}"/>
    <cellStyle name="Nota 2 2 5 3" xfId="21856" xr:uid="{00000000-0005-0000-0000-000031550000}"/>
    <cellStyle name="Nota 2 2 5 3 2" xfId="21857" xr:uid="{00000000-0005-0000-0000-000032550000}"/>
    <cellStyle name="Nota 2 2 5 4" xfId="21858" xr:uid="{00000000-0005-0000-0000-000033550000}"/>
    <cellStyle name="Nota 2 2 6" xfId="21859" xr:uid="{00000000-0005-0000-0000-000034550000}"/>
    <cellStyle name="Nota 2 2 6 2" xfId="21860" xr:uid="{00000000-0005-0000-0000-000035550000}"/>
    <cellStyle name="Nota 2 2 6 2 2" xfId="21861" xr:uid="{00000000-0005-0000-0000-000036550000}"/>
    <cellStyle name="Nota 2 2 6 3" xfId="21862" xr:uid="{00000000-0005-0000-0000-000037550000}"/>
    <cellStyle name="Nota 2 2 7" xfId="21863" xr:uid="{00000000-0005-0000-0000-000038550000}"/>
    <cellStyle name="Nota 2 2 7 2" xfId="21864" xr:uid="{00000000-0005-0000-0000-000039550000}"/>
    <cellStyle name="Nota 2 2 7 2 2" xfId="21865" xr:uid="{00000000-0005-0000-0000-00003A550000}"/>
    <cellStyle name="Nota 2 2 7 3" xfId="21866" xr:uid="{00000000-0005-0000-0000-00003B550000}"/>
    <cellStyle name="Nota 2 2 8" xfId="21867" xr:uid="{00000000-0005-0000-0000-00003C550000}"/>
    <cellStyle name="Nota 2 2 8 2" xfId="21868" xr:uid="{00000000-0005-0000-0000-00003D550000}"/>
    <cellStyle name="Nota 2 2 8 2 2" xfId="21869" xr:uid="{00000000-0005-0000-0000-00003E550000}"/>
    <cellStyle name="Nota 2 2 8 3" xfId="21870" xr:uid="{00000000-0005-0000-0000-00003F550000}"/>
    <cellStyle name="Nota 2 3" xfId="21871" xr:uid="{00000000-0005-0000-0000-000040550000}"/>
    <cellStyle name="Nota 2 3 2" xfId="21872" xr:uid="{00000000-0005-0000-0000-000041550000}"/>
    <cellStyle name="Nota 2 3 2 2" xfId="21873" xr:uid="{00000000-0005-0000-0000-000042550000}"/>
    <cellStyle name="Nota 2 3 2 2 2" xfId="21874" xr:uid="{00000000-0005-0000-0000-000043550000}"/>
    <cellStyle name="Nota 2 3 2 2 2 2" xfId="21875" xr:uid="{00000000-0005-0000-0000-000044550000}"/>
    <cellStyle name="Nota 2 3 2 2 3" xfId="21876" xr:uid="{00000000-0005-0000-0000-000045550000}"/>
    <cellStyle name="Nota 2 3 2 2 3 2" xfId="21877" xr:uid="{00000000-0005-0000-0000-000046550000}"/>
    <cellStyle name="Nota 2 3 2 2 4" xfId="21878" xr:uid="{00000000-0005-0000-0000-000047550000}"/>
    <cellStyle name="Nota 2 3 2 3" xfId="21879" xr:uid="{00000000-0005-0000-0000-000048550000}"/>
    <cellStyle name="Nota 2 3 2 3 2" xfId="21880" xr:uid="{00000000-0005-0000-0000-000049550000}"/>
    <cellStyle name="Nota 2 3 2 3 2 2" xfId="21881" xr:uid="{00000000-0005-0000-0000-00004A550000}"/>
    <cellStyle name="Nota 2 3 2 3 3" xfId="21882" xr:uid="{00000000-0005-0000-0000-00004B550000}"/>
    <cellStyle name="Nota 2 3 2 4" xfId="21883" xr:uid="{00000000-0005-0000-0000-00004C550000}"/>
    <cellStyle name="Nota 2 3 2 4 2" xfId="21884" xr:uid="{00000000-0005-0000-0000-00004D550000}"/>
    <cellStyle name="Nota 2 3 2 4 2 2" xfId="21885" xr:uid="{00000000-0005-0000-0000-00004E550000}"/>
    <cellStyle name="Nota 2 3 2 4 3" xfId="21886" xr:uid="{00000000-0005-0000-0000-00004F550000}"/>
    <cellStyle name="Nota 2 3 2 5" xfId="21887" xr:uid="{00000000-0005-0000-0000-000050550000}"/>
    <cellStyle name="Nota 2 3 2 5 2" xfId="21888" xr:uid="{00000000-0005-0000-0000-000051550000}"/>
    <cellStyle name="Nota 2 3 2 5 2 2" xfId="21889" xr:uid="{00000000-0005-0000-0000-000052550000}"/>
    <cellStyle name="Nota 2 3 2 5 3" xfId="21890" xr:uid="{00000000-0005-0000-0000-000053550000}"/>
    <cellStyle name="Nota 2 3 2 6" xfId="21891" xr:uid="{00000000-0005-0000-0000-000054550000}"/>
    <cellStyle name="Nota 2 3 2 6 2" xfId="21892" xr:uid="{00000000-0005-0000-0000-000055550000}"/>
    <cellStyle name="Nota 2 3 2 7" xfId="21893" xr:uid="{00000000-0005-0000-0000-000056550000}"/>
    <cellStyle name="Nota 2 3 3" xfId="21894" xr:uid="{00000000-0005-0000-0000-000057550000}"/>
    <cellStyle name="Nota 2 3 3 2" xfId="21895" xr:uid="{00000000-0005-0000-0000-000058550000}"/>
    <cellStyle name="Nota 2 3 3 2 2" xfId="21896" xr:uid="{00000000-0005-0000-0000-000059550000}"/>
    <cellStyle name="Nota 2 3 3 2 2 2" xfId="21897" xr:uid="{00000000-0005-0000-0000-00005A550000}"/>
    <cellStyle name="Nota 2 3 3 2 3" xfId="21898" xr:uid="{00000000-0005-0000-0000-00005B550000}"/>
    <cellStyle name="Nota 2 3 3 2 3 2" xfId="21899" xr:uid="{00000000-0005-0000-0000-00005C550000}"/>
    <cellStyle name="Nota 2 3 3 2 4" xfId="21900" xr:uid="{00000000-0005-0000-0000-00005D550000}"/>
    <cellStyle name="Nota 2 3 3 3" xfId="21901" xr:uid="{00000000-0005-0000-0000-00005E550000}"/>
    <cellStyle name="Nota 2 3 3 3 2" xfId="21902" xr:uid="{00000000-0005-0000-0000-00005F550000}"/>
    <cellStyle name="Nota 2 3 3 3 2 2" xfId="21903" xr:uid="{00000000-0005-0000-0000-000060550000}"/>
    <cellStyle name="Nota 2 3 3 3 3" xfId="21904" xr:uid="{00000000-0005-0000-0000-000061550000}"/>
    <cellStyle name="Nota 2 3 3 3 3 2" xfId="21905" xr:uid="{00000000-0005-0000-0000-000062550000}"/>
    <cellStyle name="Nota 2 3 3 3 4" xfId="21906" xr:uid="{00000000-0005-0000-0000-000063550000}"/>
    <cellStyle name="Nota 2 3 3 4" xfId="21907" xr:uid="{00000000-0005-0000-0000-000064550000}"/>
    <cellStyle name="Nota 2 3 3 4 2" xfId="21908" xr:uid="{00000000-0005-0000-0000-000065550000}"/>
    <cellStyle name="Nota 2 3 3 5" xfId="21909" xr:uid="{00000000-0005-0000-0000-000066550000}"/>
    <cellStyle name="Nota 2 3 3 5 2" xfId="21910" xr:uid="{00000000-0005-0000-0000-000067550000}"/>
    <cellStyle name="Nota 2 3 3 6" xfId="21911" xr:uid="{00000000-0005-0000-0000-000068550000}"/>
    <cellStyle name="Nota 2 3 4" xfId="21912" xr:uid="{00000000-0005-0000-0000-000069550000}"/>
    <cellStyle name="Nota 2 3 5" xfId="21913" xr:uid="{00000000-0005-0000-0000-00006A550000}"/>
    <cellStyle name="Nota 2 3 5 2" xfId="21914" xr:uid="{00000000-0005-0000-0000-00006B550000}"/>
    <cellStyle name="Nota 2 3 5 2 2" xfId="21915" xr:uid="{00000000-0005-0000-0000-00006C550000}"/>
    <cellStyle name="Nota 2 3 5 3" xfId="21916" xr:uid="{00000000-0005-0000-0000-00006D550000}"/>
    <cellStyle name="Nota 2 3 5 3 2" xfId="21917" xr:uid="{00000000-0005-0000-0000-00006E550000}"/>
    <cellStyle name="Nota 2 3 5 4" xfId="21918" xr:uid="{00000000-0005-0000-0000-00006F550000}"/>
    <cellStyle name="Nota 2 3 6" xfId="21919" xr:uid="{00000000-0005-0000-0000-000070550000}"/>
    <cellStyle name="Nota 2 3 6 2" xfId="21920" xr:uid="{00000000-0005-0000-0000-000071550000}"/>
    <cellStyle name="Nota 2 3 6 2 2" xfId="21921" xr:uid="{00000000-0005-0000-0000-000072550000}"/>
    <cellStyle name="Nota 2 3 6 3" xfId="21922" xr:uid="{00000000-0005-0000-0000-000073550000}"/>
    <cellStyle name="Nota 2 3 7" xfId="21923" xr:uid="{00000000-0005-0000-0000-000074550000}"/>
    <cellStyle name="Nota 2 3 7 2" xfId="21924" xr:uid="{00000000-0005-0000-0000-000075550000}"/>
    <cellStyle name="Nota 2 3 7 2 2" xfId="21925" xr:uid="{00000000-0005-0000-0000-000076550000}"/>
    <cellStyle name="Nota 2 3 7 3" xfId="21926" xr:uid="{00000000-0005-0000-0000-000077550000}"/>
    <cellStyle name="Nota 2 3 8" xfId="21927" xr:uid="{00000000-0005-0000-0000-000078550000}"/>
    <cellStyle name="Nota 2 3 8 2" xfId="21928" xr:uid="{00000000-0005-0000-0000-000079550000}"/>
    <cellStyle name="Nota 2 3 8 2 2" xfId="21929" xr:uid="{00000000-0005-0000-0000-00007A550000}"/>
    <cellStyle name="Nota 2 3 8 3" xfId="21930" xr:uid="{00000000-0005-0000-0000-00007B550000}"/>
    <cellStyle name="Nota 2 4" xfId="21931" xr:uid="{00000000-0005-0000-0000-00007C550000}"/>
    <cellStyle name="Nota 2 4 2" xfId="21932" xr:uid="{00000000-0005-0000-0000-00007D550000}"/>
    <cellStyle name="Nota 2 4 2 2" xfId="21933" xr:uid="{00000000-0005-0000-0000-00007E550000}"/>
    <cellStyle name="Nota 2 4 2 2 2" xfId="21934" xr:uid="{00000000-0005-0000-0000-00007F550000}"/>
    <cellStyle name="Nota 2 4 2 2 2 2" xfId="21935" xr:uid="{00000000-0005-0000-0000-000080550000}"/>
    <cellStyle name="Nota 2 4 2 2 3" xfId="21936" xr:uid="{00000000-0005-0000-0000-000081550000}"/>
    <cellStyle name="Nota 2 4 2 2 3 2" xfId="21937" xr:uid="{00000000-0005-0000-0000-000082550000}"/>
    <cellStyle name="Nota 2 4 2 2 4" xfId="21938" xr:uid="{00000000-0005-0000-0000-000083550000}"/>
    <cellStyle name="Nota 2 4 2 3" xfId="21939" xr:uid="{00000000-0005-0000-0000-000084550000}"/>
    <cellStyle name="Nota 2 4 2 3 2" xfId="21940" xr:uid="{00000000-0005-0000-0000-000085550000}"/>
    <cellStyle name="Nota 2 4 2 3 2 2" xfId="21941" xr:uid="{00000000-0005-0000-0000-000086550000}"/>
    <cellStyle name="Nota 2 4 2 3 3" xfId="21942" xr:uid="{00000000-0005-0000-0000-000087550000}"/>
    <cellStyle name="Nota 2 4 2 3 3 2" xfId="21943" xr:uid="{00000000-0005-0000-0000-000088550000}"/>
    <cellStyle name="Nota 2 4 2 3 4" xfId="21944" xr:uid="{00000000-0005-0000-0000-000089550000}"/>
    <cellStyle name="Nota 2 4 2 4" xfId="21945" xr:uid="{00000000-0005-0000-0000-00008A550000}"/>
    <cellStyle name="Nota 2 4 2 4 2" xfId="21946" xr:uid="{00000000-0005-0000-0000-00008B550000}"/>
    <cellStyle name="Nota 2 4 2 5" xfId="21947" xr:uid="{00000000-0005-0000-0000-00008C550000}"/>
    <cellStyle name="Nota 2 4 2 5 2" xfId="21948" xr:uid="{00000000-0005-0000-0000-00008D550000}"/>
    <cellStyle name="Nota 2 4 2 6" xfId="21949" xr:uid="{00000000-0005-0000-0000-00008E550000}"/>
    <cellStyle name="Nota 2 4 3" xfId="21950" xr:uid="{00000000-0005-0000-0000-00008F550000}"/>
    <cellStyle name="Nota 2 4 3 2" xfId="21951" xr:uid="{00000000-0005-0000-0000-000090550000}"/>
    <cellStyle name="Nota 2 4 3 2 2" xfId="21952" xr:uid="{00000000-0005-0000-0000-000091550000}"/>
    <cellStyle name="Nota 2 4 3 3" xfId="21953" xr:uid="{00000000-0005-0000-0000-000092550000}"/>
    <cellStyle name="Nota 2 4 3 3 2" xfId="21954" xr:uid="{00000000-0005-0000-0000-000093550000}"/>
    <cellStyle name="Nota 2 4 3 4" xfId="21955" xr:uid="{00000000-0005-0000-0000-000094550000}"/>
    <cellStyle name="Nota 2 4 4" xfId="21956" xr:uid="{00000000-0005-0000-0000-000095550000}"/>
    <cellStyle name="Nota 2 4 4 2" xfId="21957" xr:uid="{00000000-0005-0000-0000-000096550000}"/>
    <cellStyle name="Nota 2 4 4 2 2" xfId="21958" xr:uid="{00000000-0005-0000-0000-000097550000}"/>
    <cellStyle name="Nota 2 4 4 3" xfId="21959" xr:uid="{00000000-0005-0000-0000-000098550000}"/>
    <cellStyle name="Nota 2 4 5" xfId="21960" xr:uid="{00000000-0005-0000-0000-000099550000}"/>
    <cellStyle name="Nota 2 4 5 2" xfId="21961" xr:uid="{00000000-0005-0000-0000-00009A550000}"/>
    <cellStyle name="Nota 2 4 5 2 2" xfId="21962" xr:uid="{00000000-0005-0000-0000-00009B550000}"/>
    <cellStyle name="Nota 2 4 5 3" xfId="21963" xr:uid="{00000000-0005-0000-0000-00009C550000}"/>
    <cellStyle name="Nota 2 4 6" xfId="21964" xr:uid="{00000000-0005-0000-0000-00009D550000}"/>
    <cellStyle name="Nota 2 4 6 2" xfId="21965" xr:uid="{00000000-0005-0000-0000-00009E550000}"/>
    <cellStyle name="Nota 2 4 6 2 2" xfId="21966" xr:uid="{00000000-0005-0000-0000-00009F550000}"/>
    <cellStyle name="Nota 2 4 6 3" xfId="21967" xr:uid="{00000000-0005-0000-0000-0000A0550000}"/>
    <cellStyle name="Nota 2 5" xfId="21968" xr:uid="{00000000-0005-0000-0000-0000A1550000}"/>
    <cellStyle name="Nota 2 6" xfId="21969" xr:uid="{00000000-0005-0000-0000-0000A2550000}"/>
    <cellStyle name="Nota 2 6 2" xfId="21970" xr:uid="{00000000-0005-0000-0000-0000A3550000}"/>
    <cellStyle name="Nota 2 6 2 2" xfId="21971" xr:uid="{00000000-0005-0000-0000-0000A4550000}"/>
    <cellStyle name="Nota 2 6 2 2 2" xfId="21972" xr:uid="{00000000-0005-0000-0000-0000A5550000}"/>
    <cellStyle name="Nota 2 6 2 2 2 2" xfId="21973" xr:uid="{00000000-0005-0000-0000-0000A6550000}"/>
    <cellStyle name="Nota 2 6 2 2 2 2 2" xfId="21974" xr:uid="{00000000-0005-0000-0000-0000A7550000}"/>
    <cellStyle name="Nota 2 6 2 2 2 3" xfId="21975" xr:uid="{00000000-0005-0000-0000-0000A8550000}"/>
    <cellStyle name="Nota 2 6 2 2 2 3 2" xfId="21976" xr:uid="{00000000-0005-0000-0000-0000A9550000}"/>
    <cellStyle name="Nota 2 6 2 2 2 4" xfId="21977" xr:uid="{00000000-0005-0000-0000-0000AA550000}"/>
    <cellStyle name="Nota 2 6 2 2 3" xfId="21978" xr:uid="{00000000-0005-0000-0000-0000AB550000}"/>
    <cellStyle name="Nota 2 6 2 2 3 2" xfId="21979" xr:uid="{00000000-0005-0000-0000-0000AC550000}"/>
    <cellStyle name="Nota 2 6 2 2 4" xfId="21980" xr:uid="{00000000-0005-0000-0000-0000AD550000}"/>
    <cellStyle name="Nota 2 6 2 2 4 2" xfId="21981" xr:uid="{00000000-0005-0000-0000-0000AE550000}"/>
    <cellStyle name="Nota 2 6 2 2 5" xfId="21982" xr:uid="{00000000-0005-0000-0000-0000AF550000}"/>
    <cellStyle name="Nota 2 6 2 3" xfId="21983" xr:uid="{00000000-0005-0000-0000-0000B0550000}"/>
    <cellStyle name="Nota 2 6 2 3 2" xfId="21984" xr:uid="{00000000-0005-0000-0000-0000B1550000}"/>
    <cellStyle name="Nota 2 6 2 3 2 2" xfId="21985" xr:uid="{00000000-0005-0000-0000-0000B2550000}"/>
    <cellStyle name="Nota 2 6 2 3 3" xfId="21986" xr:uid="{00000000-0005-0000-0000-0000B3550000}"/>
    <cellStyle name="Nota 2 6 2 3 3 2" xfId="21987" xr:uid="{00000000-0005-0000-0000-0000B4550000}"/>
    <cellStyle name="Nota 2 6 2 3 4" xfId="21988" xr:uid="{00000000-0005-0000-0000-0000B5550000}"/>
    <cellStyle name="Nota 2 6 2 4" xfId="21989" xr:uid="{00000000-0005-0000-0000-0000B6550000}"/>
    <cellStyle name="Nota 2 6 2 4 2" xfId="21990" xr:uid="{00000000-0005-0000-0000-0000B7550000}"/>
    <cellStyle name="Nota 2 6 2 4 2 2" xfId="21991" xr:uid="{00000000-0005-0000-0000-0000B8550000}"/>
    <cellStyle name="Nota 2 6 2 4 3" xfId="21992" xr:uid="{00000000-0005-0000-0000-0000B9550000}"/>
    <cellStyle name="Nota 2 6 2 5" xfId="21993" xr:uid="{00000000-0005-0000-0000-0000BA550000}"/>
    <cellStyle name="Nota 2 6 2 5 2" xfId="21994" xr:uid="{00000000-0005-0000-0000-0000BB550000}"/>
    <cellStyle name="Nota 2 6 2 6" xfId="21995" xr:uid="{00000000-0005-0000-0000-0000BC550000}"/>
    <cellStyle name="Nota 2 6 3" xfId="21996" xr:uid="{00000000-0005-0000-0000-0000BD550000}"/>
    <cellStyle name="Nota 2 6 3 2" xfId="21997" xr:uid="{00000000-0005-0000-0000-0000BE550000}"/>
    <cellStyle name="Nota 2 6 3 2 2" xfId="21998" xr:uid="{00000000-0005-0000-0000-0000BF550000}"/>
    <cellStyle name="Nota 2 6 3 2 2 2" xfId="21999" xr:uid="{00000000-0005-0000-0000-0000C0550000}"/>
    <cellStyle name="Nota 2 6 3 2 3" xfId="22000" xr:uid="{00000000-0005-0000-0000-0000C1550000}"/>
    <cellStyle name="Nota 2 6 3 2 3 2" xfId="22001" xr:uid="{00000000-0005-0000-0000-0000C2550000}"/>
    <cellStyle name="Nota 2 6 3 2 4" xfId="22002" xr:uid="{00000000-0005-0000-0000-0000C3550000}"/>
    <cellStyle name="Nota 2 6 3 3" xfId="22003" xr:uid="{00000000-0005-0000-0000-0000C4550000}"/>
    <cellStyle name="Nota 2 6 3 3 2" xfId="22004" xr:uid="{00000000-0005-0000-0000-0000C5550000}"/>
    <cellStyle name="Nota 2 6 3 4" xfId="22005" xr:uid="{00000000-0005-0000-0000-0000C6550000}"/>
    <cellStyle name="Nota 2 6 3 4 2" xfId="22006" xr:uid="{00000000-0005-0000-0000-0000C7550000}"/>
    <cellStyle name="Nota 2 6 3 5" xfId="22007" xr:uid="{00000000-0005-0000-0000-0000C8550000}"/>
    <cellStyle name="Nota 2 6 4" xfId="22008" xr:uid="{00000000-0005-0000-0000-0000C9550000}"/>
    <cellStyle name="Nota 2 6 4 2" xfId="22009" xr:uid="{00000000-0005-0000-0000-0000CA550000}"/>
    <cellStyle name="Nota 2 6 4 2 2" xfId="22010" xr:uid="{00000000-0005-0000-0000-0000CB550000}"/>
    <cellStyle name="Nota 2 6 4 3" xfId="22011" xr:uid="{00000000-0005-0000-0000-0000CC550000}"/>
    <cellStyle name="Nota 2 6 4 3 2" xfId="22012" xr:uid="{00000000-0005-0000-0000-0000CD550000}"/>
    <cellStyle name="Nota 2 6 4 4" xfId="22013" xr:uid="{00000000-0005-0000-0000-0000CE550000}"/>
    <cellStyle name="Nota 2 6 5" xfId="22014" xr:uid="{00000000-0005-0000-0000-0000CF550000}"/>
    <cellStyle name="Nota 2 6 5 2" xfId="22015" xr:uid="{00000000-0005-0000-0000-0000D0550000}"/>
    <cellStyle name="Nota 2 6 5 2 2" xfId="22016" xr:uid="{00000000-0005-0000-0000-0000D1550000}"/>
    <cellStyle name="Nota 2 6 5 3" xfId="22017" xr:uid="{00000000-0005-0000-0000-0000D2550000}"/>
    <cellStyle name="Nota 2 6 6" xfId="22018" xr:uid="{00000000-0005-0000-0000-0000D3550000}"/>
    <cellStyle name="Nota 2 6 6 2" xfId="22019" xr:uid="{00000000-0005-0000-0000-0000D4550000}"/>
    <cellStyle name="Nota 2 6 7" xfId="22020" xr:uid="{00000000-0005-0000-0000-0000D5550000}"/>
    <cellStyle name="Nota 2 7" xfId="22021" xr:uid="{00000000-0005-0000-0000-0000D6550000}"/>
    <cellStyle name="Nota 2 7 2" xfId="22022" xr:uid="{00000000-0005-0000-0000-0000D7550000}"/>
    <cellStyle name="Nota 2 7 2 2" xfId="22023" xr:uid="{00000000-0005-0000-0000-0000D8550000}"/>
    <cellStyle name="Nota 2 7 2 2 2" xfId="22024" xr:uid="{00000000-0005-0000-0000-0000D9550000}"/>
    <cellStyle name="Nota 2 7 2 2 2 2" xfId="22025" xr:uid="{00000000-0005-0000-0000-0000DA550000}"/>
    <cellStyle name="Nota 2 7 2 2 3" xfId="22026" xr:uid="{00000000-0005-0000-0000-0000DB550000}"/>
    <cellStyle name="Nota 2 7 2 2 3 2" xfId="22027" xr:uid="{00000000-0005-0000-0000-0000DC550000}"/>
    <cellStyle name="Nota 2 7 2 2 4" xfId="22028" xr:uid="{00000000-0005-0000-0000-0000DD550000}"/>
    <cellStyle name="Nota 2 7 2 3" xfId="22029" xr:uid="{00000000-0005-0000-0000-0000DE550000}"/>
    <cellStyle name="Nota 2 7 2 3 2" xfId="22030" xr:uid="{00000000-0005-0000-0000-0000DF550000}"/>
    <cellStyle name="Nota 2 7 2 4" xfId="22031" xr:uid="{00000000-0005-0000-0000-0000E0550000}"/>
    <cellStyle name="Nota 2 7 2 4 2" xfId="22032" xr:uid="{00000000-0005-0000-0000-0000E1550000}"/>
    <cellStyle name="Nota 2 7 2 5" xfId="22033" xr:uid="{00000000-0005-0000-0000-0000E2550000}"/>
    <cellStyle name="Nota 2 7 3" xfId="22034" xr:uid="{00000000-0005-0000-0000-0000E3550000}"/>
    <cellStyle name="Nota 2 7 3 2" xfId="22035" xr:uid="{00000000-0005-0000-0000-0000E4550000}"/>
    <cellStyle name="Nota 2 7 3 2 2" xfId="22036" xr:uid="{00000000-0005-0000-0000-0000E5550000}"/>
    <cellStyle name="Nota 2 7 3 3" xfId="22037" xr:uid="{00000000-0005-0000-0000-0000E6550000}"/>
    <cellStyle name="Nota 2 7 3 3 2" xfId="22038" xr:uid="{00000000-0005-0000-0000-0000E7550000}"/>
    <cellStyle name="Nota 2 7 3 4" xfId="22039" xr:uid="{00000000-0005-0000-0000-0000E8550000}"/>
    <cellStyle name="Nota 2 7 4" xfId="22040" xr:uid="{00000000-0005-0000-0000-0000E9550000}"/>
    <cellStyle name="Nota 2 7 4 2" xfId="22041" xr:uid="{00000000-0005-0000-0000-0000EA550000}"/>
    <cellStyle name="Nota 2 7 4 2 2" xfId="22042" xr:uid="{00000000-0005-0000-0000-0000EB550000}"/>
    <cellStyle name="Nota 2 7 4 3" xfId="22043" xr:uid="{00000000-0005-0000-0000-0000EC550000}"/>
    <cellStyle name="Nota 2 7 5" xfId="22044" xr:uid="{00000000-0005-0000-0000-0000ED550000}"/>
    <cellStyle name="Nota 2 7 5 2" xfId="22045" xr:uid="{00000000-0005-0000-0000-0000EE550000}"/>
    <cellStyle name="Nota 2 7 6" xfId="22046" xr:uid="{00000000-0005-0000-0000-0000EF550000}"/>
    <cellStyle name="Nota 2 8" xfId="22047" xr:uid="{00000000-0005-0000-0000-0000F0550000}"/>
    <cellStyle name="Nota 2 8 2" xfId="22048" xr:uid="{00000000-0005-0000-0000-0000F1550000}"/>
    <cellStyle name="Nota 2 8 2 2" xfId="22049" xr:uid="{00000000-0005-0000-0000-0000F2550000}"/>
    <cellStyle name="Nota 2 8 2 2 2" xfId="22050" xr:uid="{00000000-0005-0000-0000-0000F3550000}"/>
    <cellStyle name="Nota 2 8 2 3" xfId="22051" xr:uid="{00000000-0005-0000-0000-0000F4550000}"/>
    <cellStyle name="Nota 2 8 2 3 2" xfId="22052" xr:uid="{00000000-0005-0000-0000-0000F5550000}"/>
    <cellStyle name="Nota 2 8 2 4" xfId="22053" xr:uid="{00000000-0005-0000-0000-0000F6550000}"/>
    <cellStyle name="Nota 2 8 3" xfId="22054" xr:uid="{00000000-0005-0000-0000-0000F7550000}"/>
    <cellStyle name="Nota 2 8 3 2" xfId="22055" xr:uid="{00000000-0005-0000-0000-0000F8550000}"/>
    <cellStyle name="Nota 2 8 3 2 2" xfId="22056" xr:uid="{00000000-0005-0000-0000-0000F9550000}"/>
    <cellStyle name="Nota 2 8 3 3" xfId="22057" xr:uid="{00000000-0005-0000-0000-0000FA550000}"/>
    <cellStyle name="Nota 2 8 3 3 2" xfId="22058" xr:uid="{00000000-0005-0000-0000-0000FB550000}"/>
    <cellStyle name="Nota 2 8 3 4" xfId="22059" xr:uid="{00000000-0005-0000-0000-0000FC550000}"/>
    <cellStyle name="Nota 2 8 4" xfId="22060" xr:uid="{00000000-0005-0000-0000-0000FD550000}"/>
    <cellStyle name="Nota 2 8 4 2" xfId="22061" xr:uid="{00000000-0005-0000-0000-0000FE550000}"/>
    <cellStyle name="Nota 2 8 5" xfId="22062" xr:uid="{00000000-0005-0000-0000-0000FF550000}"/>
    <cellStyle name="Nota 2 8 5 2" xfId="22063" xr:uid="{00000000-0005-0000-0000-000000560000}"/>
    <cellStyle name="Nota 2 8 6" xfId="22064" xr:uid="{00000000-0005-0000-0000-000001560000}"/>
    <cellStyle name="Nota 2 9" xfId="22065" xr:uid="{00000000-0005-0000-0000-000002560000}"/>
    <cellStyle name="Nota 2 9 2" xfId="22066" xr:uid="{00000000-0005-0000-0000-000003560000}"/>
    <cellStyle name="Nota 2 9 2 2" xfId="22067" xr:uid="{00000000-0005-0000-0000-000004560000}"/>
    <cellStyle name="Nota 2 9 2 2 2" xfId="22068" xr:uid="{00000000-0005-0000-0000-000005560000}"/>
    <cellStyle name="Nota 2 9 2 3" xfId="22069" xr:uid="{00000000-0005-0000-0000-000006560000}"/>
    <cellStyle name="Nota 2 9 2 3 2" xfId="22070" xr:uid="{00000000-0005-0000-0000-000007560000}"/>
    <cellStyle name="Nota 2 9 2 4" xfId="22071" xr:uid="{00000000-0005-0000-0000-000008560000}"/>
    <cellStyle name="Nota 2 9 3" xfId="22072" xr:uid="{00000000-0005-0000-0000-000009560000}"/>
    <cellStyle name="Nota 2 9 3 2" xfId="22073" xr:uid="{00000000-0005-0000-0000-00000A560000}"/>
    <cellStyle name="Nota 2 9 3 2 2" xfId="22074" xr:uid="{00000000-0005-0000-0000-00000B560000}"/>
    <cellStyle name="Nota 2 9 3 3" xfId="22075" xr:uid="{00000000-0005-0000-0000-00000C560000}"/>
    <cellStyle name="Nota 2 9 3 3 2" xfId="22076" xr:uid="{00000000-0005-0000-0000-00000D560000}"/>
    <cellStyle name="Nota 2 9 3 4" xfId="22077" xr:uid="{00000000-0005-0000-0000-00000E560000}"/>
    <cellStyle name="Nota 2 9 4" xfId="22078" xr:uid="{00000000-0005-0000-0000-00000F560000}"/>
    <cellStyle name="Nota 2 9 4 2" xfId="22079" xr:uid="{00000000-0005-0000-0000-000010560000}"/>
    <cellStyle name="Nota 2 9 5" xfId="22080" xr:uid="{00000000-0005-0000-0000-000011560000}"/>
    <cellStyle name="Nota 2 9 5 2" xfId="22081" xr:uid="{00000000-0005-0000-0000-000012560000}"/>
    <cellStyle name="Nota 2 9 6" xfId="22082" xr:uid="{00000000-0005-0000-0000-000013560000}"/>
    <cellStyle name="Nota 20" xfId="22083" xr:uid="{00000000-0005-0000-0000-000014560000}"/>
    <cellStyle name="Nota 20 2" xfId="22084" xr:uid="{00000000-0005-0000-0000-000015560000}"/>
    <cellStyle name="Nota 20 2 2" xfId="22085" xr:uid="{00000000-0005-0000-0000-000016560000}"/>
    <cellStyle name="Nota 20 3" xfId="22086" xr:uid="{00000000-0005-0000-0000-000017560000}"/>
    <cellStyle name="Nota 21" xfId="22087" xr:uid="{00000000-0005-0000-0000-000018560000}"/>
    <cellStyle name="Nota 21 2" xfId="22088" xr:uid="{00000000-0005-0000-0000-000019560000}"/>
    <cellStyle name="Nota 21 2 2" xfId="22089" xr:uid="{00000000-0005-0000-0000-00001A560000}"/>
    <cellStyle name="Nota 21 3" xfId="22090" xr:uid="{00000000-0005-0000-0000-00001B560000}"/>
    <cellStyle name="Nota 22" xfId="22091" xr:uid="{00000000-0005-0000-0000-00001C560000}"/>
    <cellStyle name="Nota 22 2" xfId="22092" xr:uid="{00000000-0005-0000-0000-00001D560000}"/>
    <cellStyle name="Nota 22 2 2" xfId="22093" xr:uid="{00000000-0005-0000-0000-00001E560000}"/>
    <cellStyle name="Nota 22 3" xfId="22094" xr:uid="{00000000-0005-0000-0000-00001F560000}"/>
    <cellStyle name="Nota 23" xfId="22095" xr:uid="{00000000-0005-0000-0000-000020560000}"/>
    <cellStyle name="Nota 23 2" xfId="22096" xr:uid="{00000000-0005-0000-0000-000021560000}"/>
    <cellStyle name="Nota 23 2 2" xfId="22097" xr:uid="{00000000-0005-0000-0000-000022560000}"/>
    <cellStyle name="Nota 23 3" xfId="22098" xr:uid="{00000000-0005-0000-0000-000023560000}"/>
    <cellStyle name="Nota 24" xfId="22099" xr:uid="{00000000-0005-0000-0000-000024560000}"/>
    <cellStyle name="Nota 24 2" xfId="22100" xr:uid="{00000000-0005-0000-0000-000025560000}"/>
    <cellStyle name="Nota 24 2 2" xfId="22101" xr:uid="{00000000-0005-0000-0000-000026560000}"/>
    <cellStyle name="Nota 24 3" xfId="22102" xr:uid="{00000000-0005-0000-0000-000027560000}"/>
    <cellStyle name="Nota 25" xfId="22103" xr:uid="{00000000-0005-0000-0000-000028560000}"/>
    <cellStyle name="Nota 26" xfId="22104" xr:uid="{00000000-0005-0000-0000-000029560000}"/>
    <cellStyle name="Nota 27" xfId="22105" xr:uid="{00000000-0005-0000-0000-00002A560000}"/>
    <cellStyle name="Nota 28" xfId="22106" xr:uid="{00000000-0005-0000-0000-00002B560000}"/>
    <cellStyle name="Nota 29" xfId="22107" xr:uid="{00000000-0005-0000-0000-00002C560000}"/>
    <cellStyle name="Nota 3" xfId="22108" xr:uid="{00000000-0005-0000-0000-00002D560000}"/>
    <cellStyle name="Nota 3 10" xfId="22109" xr:uid="{00000000-0005-0000-0000-00002E560000}"/>
    <cellStyle name="Nota 3 10 2" xfId="22110" xr:uid="{00000000-0005-0000-0000-00002F560000}"/>
    <cellStyle name="Nota 3 10 2 2" xfId="22111" xr:uid="{00000000-0005-0000-0000-000030560000}"/>
    <cellStyle name="Nota 3 10 3" xfId="22112" xr:uid="{00000000-0005-0000-0000-000031560000}"/>
    <cellStyle name="Nota 3 2" xfId="22113" xr:uid="{00000000-0005-0000-0000-000032560000}"/>
    <cellStyle name="Nota 3 2 10" xfId="22114" xr:uid="{00000000-0005-0000-0000-000033560000}"/>
    <cellStyle name="Nota 3 2 10 2" xfId="22115" xr:uid="{00000000-0005-0000-0000-000034560000}"/>
    <cellStyle name="Nota 3 2 11" xfId="22116" xr:uid="{00000000-0005-0000-0000-000035560000}"/>
    <cellStyle name="Nota 3 2 2" xfId="22117" xr:uid="{00000000-0005-0000-0000-000036560000}"/>
    <cellStyle name="Nota 3 2 2 2" xfId="22118" xr:uid="{00000000-0005-0000-0000-000037560000}"/>
    <cellStyle name="Nota 3 2 2 2 2" xfId="22119" xr:uid="{00000000-0005-0000-0000-000038560000}"/>
    <cellStyle name="Nota 3 2 2 2 2 2" xfId="22120" xr:uid="{00000000-0005-0000-0000-000039560000}"/>
    <cellStyle name="Nota 3 2 2 2 2 2 2" xfId="22121" xr:uid="{00000000-0005-0000-0000-00003A560000}"/>
    <cellStyle name="Nota 3 2 2 2 2 3" xfId="22122" xr:uid="{00000000-0005-0000-0000-00003B560000}"/>
    <cellStyle name="Nota 3 2 2 2 2 3 2" xfId="22123" xr:uid="{00000000-0005-0000-0000-00003C560000}"/>
    <cellStyle name="Nota 3 2 2 2 2 4" xfId="22124" xr:uid="{00000000-0005-0000-0000-00003D560000}"/>
    <cellStyle name="Nota 3 2 2 2 3" xfId="22125" xr:uid="{00000000-0005-0000-0000-00003E560000}"/>
    <cellStyle name="Nota 3 2 2 2 3 2" xfId="22126" xr:uid="{00000000-0005-0000-0000-00003F560000}"/>
    <cellStyle name="Nota 3 2 2 2 3 2 2" xfId="22127" xr:uid="{00000000-0005-0000-0000-000040560000}"/>
    <cellStyle name="Nota 3 2 2 2 3 3" xfId="22128" xr:uid="{00000000-0005-0000-0000-000041560000}"/>
    <cellStyle name="Nota 3 2 2 2 3 3 2" xfId="22129" xr:uid="{00000000-0005-0000-0000-000042560000}"/>
    <cellStyle name="Nota 3 2 2 2 3 4" xfId="22130" xr:uid="{00000000-0005-0000-0000-000043560000}"/>
    <cellStyle name="Nota 3 2 2 2 4" xfId="22131" xr:uid="{00000000-0005-0000-0000-000044560000}"/>
    <cellStyle name="Nota 3 2 2 2 4 2" xfId="22132" xr:uid="{00000000-0005-0000-0000-000045560000}"/>
    <cellStyle name="Nota 3 2 2 2 5" xfId="22133" xr:uid="{00000000-0005-0000-0000-000046560000}"/>
    <cellStyle name="Nota 3 2 2 2 5 2" xfId="22134" xr:uid="{00000000-0005-0000-0000-000047560000}"/>
    <cellStyle name="Nota 3 2 2 2 6" xfId="22135" xr:uid="{00000000-0005-0000-0000-000048560000}"/>
    <cellStyle name="Nota 3 2 2 3" xfId="22136" xr:uid="{00000000-0005-0000-0000-000049560000}"/>
    <cellStyle name="Nota 3 2 2 3 2" xfId="22137" xr:uid="{00000000-0005-0000-0000-00004A560000}"/>
    <cellStyle name="Nota 3 2 2 3 2 2" xfId="22138" xr:uid="{00000000-0005-0000-0000-00004B560000}"/>
    <cellStyle name="Nota 3 2 2 3 3" xfId="22139" xr:uid="{00000000-0005-0000-0000-00004C560000}"/>
    <cellStyle name="Nota 3 2 2 3 3 2" xfId="22140" xr:uid="{00000000-0005-0000-0000-00004D560000}"/>
    <cellStyle name="Nota 3 2 2 3 4" xfId="22141" xr:uid="{00000000-0005-0000-0000-00004E560000}"/>
    <cellStyle name="Nota 3 2 2 4" xfId="22142" xr:uid="{00000000-0005-0000-0000-00004F560000}"/>
    <cellStyle name="Nota 3 2 2 4 2" xfId="22143" xr:uid="{00000000-0005-0000-0000-000050560000}"/>
    <cellStyle name="Nota 3 2 2 4 2 2" xfId="22144" xr:uid="{00000000-0005-0000-0000-000051560000}"/>
    <cellStyle name="Nota 3 2 2 4 3" xfId="22145" xr:uid="{00000000-0005-0000-0000-000052560000}"/>
    <cellStyle name="Nota 3 2 2 5" xfId="22146" xr:uid="{00000000-0005-0000-0000-000053560000}"/>
    <cellStyle name="Nota 3 2 2 5 2" xfId="22147" xr:uid="{00000000-0005-0000-0000-000054560000}"/>
    <cellStyle name="Nota 3 2 2 5 2 2" xfId="22148" xr:uid="{00000000-0005-0000-0000-000055560000}"/>
    <cellStyle name="Nota 3 2 2 5 3" xfId="22149" xr:uid="{00000000-0005-0000-0000-000056560000}"/>
    <cellStyle name="Nota 3 2 2 6" xfId="22150" xr:uid="{00000000-0005-0000-0000-000057560000}"/>
    <cellStyle name="Nota 3 2 2 6 2" xfId="22151" xr:uid="{00000000-0005-0000-0000-000058560000}"/>
    <cellStyle name="Nota 3 2 2 6 2 2" xfId="22152" xr:uid="{00000000-0005-0000-0000-000059560000}"/>
    <cellStyle name="Nota 3 2 2 6 3" xfId="22153" xr:uid="{00000000-0005-0000-0000-00005A560000}"/>
    <cellStyle name="Nota 3 2 2 7" xfId="22154" xr:uid="{00000000-0005-0000-0000-00005B560000}"/>
    <cellStyle name="Nota 3 2 2 7 2" xfId="22155" xr:uid="{00000000-0005-0000-0000-00005C560000}"/>
    <cellStyle name="Nota 3 2 2 7 2 2" xfId="22156" xr:uid="{00000000-0005-0000-0000-00005D560000}"/>
    <cellStyle name="Nota 3 2 2 7 3" xfId="22157" xr:uid="{00000000-0005-0000-0000-00005E560000}"/>
    <cellStyle name="Nota 3 2 2 8" xfId="22158" xr:uid="{00000000-0005-0000-0000-00005F560000}"/>
    <cellStyle name="Nota 3 2 2 8 2" xfId="22159" xr:uid="{00000000-0005-0000-0000-000060560000}"/>
    <cellStyle name="Nota 3 2 2 9" xfId="22160" xr:uid="{00000000-0005-0000-0000-000061560000}"/>
    <cellStyle name="Nota 3 2 3" xfId="22161" xr:uid="{00000000-0005-0000-0000-000062560000}"/>
    <cellStyle name="Nota 3 2 3 2" xfId="22162" xr:uid="{00000000-0005-0000-0000-000063560000}"/>
    <cellStyle name="Nota 3 2 3 2 2" xfId="22163" xr:uid="{00000000-0005-0000-0000-000064560000}"/>
    <cellStyle name="Nota 3 2 3 2 2 2" xfId="22164" xr:uid="{00000000-0005-0000-0000-000065560000}"/>
    <cellStyle name="Nota 3 2 3 2 3" xfId="22165" xr:uid="{00000000-0005-0000-0000-000066560000}"/>
    <cellStyle name="Nota 3 2 3 2 3 2" xfId="22166" xr:uid="{00000000-0005-0000-0000-000067560000}"/>
    <cellStyle name="Nota 3 2 3 2 4" xfId="22167" xr:uid="{00000000-0005-0000-0000-000068560000}"/>
    <cellStyle name="Nota 3 2 3 3" xfId="22168" xr:uid="{00000000-0005-0000-0000-000069560000}"/>
    <cellStyle name="Nota 3 2 3 3 2" xfId="22169" xr:uid="{00000000-0005-0000-0000-00006A560000}"/>
    <cellStyle name="Nota 3 2 3 3 2 2" xfId="22170" xr:uid="{00000000-0005-0000-0000-00006B560000}"/>
    <cellStyle name="Nota 3 2 3 3 3" xfId="22171" xr:uid="{00000000-0005-0000-0000-00006C560000}"/>
    <cellStyle name="Nota 3 2 3 3 3 2" xfId="22172" xr:uid="{00000000-0005-0000-0000-00006D560000}"/>
    <cellStyle name="Nota 3 2 3 3 4" xfId="22173" xr:uid="{00000000-0005-0000-0000-00006E560000}"/>
    <cellStyle name="Nota 3 2 3 4" xfId="22174" xr:uid="{00000000-0005-0000-0000-00006F560000}"/>
    <cellStyle name="Nota 3 2 3 4 2" xfId="22175" xr:uid="{00000000-0005-0000-0000-000070560000}"/>
    <cellStyle name="Nota 3 2 3 5" xfId="22176" xr:uid="{00000000-0005-0000-0000-000071560000}"/>
    <cellStyle name="Nota 3 2 3 5 2" xfId="22177" xr:uid="{00000000-0005-0000-0000-000072560000}"/>
    <cellStyle name="Nota 3 2 3 6" xfId="22178" xr:uid="{00000000-0005-0000-0000-000073560000}"/>
    <cellStyle name="Nota 3 2 4" xfId="22179" xr:uid="{00000000-0005-0000-0000-000074560000}"/>
    <cellStyle name="Nota 3 2 4 2" xfId="22180" xr:uid="{00000000-0005-0000-0000-000075560000}"/>
    <cellStyle name="Nota 3 2 4 2 2" xfId="22181" xr:uid="{00000000-0005-0000-0000-000076560000}"/>
    <cellStyle name="Nota 3 2 4 2 2 2" xfId="22182" xr:uid="{00000000-0005-0000-0000-000077560000}"/>
    <cellStyle name="Nota 3 2 4 2 3" xfId="22183" xr:uid="{00000000-0005-0000-0000-000078560000}"/>
    <cellStyle name="Nota 3 2 4 2 3 2" xfId="22184" xr:uid="{00000000-0005-0000-0000-000079560000}"/>
    <cellStyle name="Nota 3 2 4 2 4" xfId="22185" xr:uid="{00000000-0005-0000-0000-00007A560000}"/>
    <cellStyle name="Nota 3 2 4 3" xfId="22186" xr:uid="{00000000-0005-0000-0000-00007B560000}"/>
    <cellStyle name="Nota 3 2 4 3 2" xfId="22187" xr:uid="{00000000-0005-0000-0000-00007C560000}"/>
    <cellStyle name="Nota 3 2 4 3 2 2" xfId="22188" xr:uid="{00000000-0005-0000-0000-00007D560000}"/>
    <cellStyle name="Nota 3 2 4 3 3" xfId="22189" xr:uid="{00000000-0005-0000-0000-00007E560000}"/>
    <cellStyle name="Nota 3 2 4 3 3 2" xfId="22190" xr:uid="{00000000-0005-0000-0000-00007F560000}"/>
    <cellStyle name="Nota 3 2 4 3 4" xfId="22191" xr:uid="{00000000-0005-0000-0000-000080560000}"/>
    <cellStyle name="Nota 3 2 4 4" xfId="22192" xr:uid="{00000000-0005-0000-0000-000081560000}"/>
    <cellStyle name="Nota 3 2 4 4 2" xfId="22193" xr:uid="{00000000-0005-0000-0000-000082560000}"/>
    <cellStyle name="Nota 3 2 4 5" xfId="22194" xr:uid="{00000000-0005-0000-0000-000083560000}"/>
    <cellStyle name="Nota 3 2 4 5 2" xfId="22195" xr:uid="{00000000-0005-0000-0000-000084560000}"/>
    <cellStyle name="Nota 3 2 4 6" xfId="22196" xr:uid="{00000000-0005-0000-0000-000085560000}"/>
    <cellStyle name="Nota 3 2 5" xfId="22197" xr:uid="{00000000-0005-0000-0000-000086560000}"/>
    <cellStyle name="Nota 3 2 5 2" xfId="22198" xr:uid="{00000000-0005-0000-0000-000087560000}"/>
    <cellStyle name="Nota 3 2 5 2 2" xfId="22199" xr:uid="{00000000-0005-0000-0000-000088560000}"/>
    <cellStyle name="Nota 3 2 5 3" xfId="22200" xr:uid="{00000000-0005-0000-0000-000089560000}"/>
    <cellStyle name="Nota 3 2 5 3 2" xfId="22201" xr:uid="{00000000-0005-0000-0000-00008A560000}"/>
    <cellStyle name="Nota 3 2 5 4" xfId="22202" xr:uid="{00000000-0005-0000-0000-00008B560000}"/>
    <cellStyle name="Nota 3 2 6" xfId="22203" xr:uid="{00000000-0005-0000-0000-00008C560000}"/>
    <cellStyle name="Nota 3 2 6 2" xfId="22204" xr:uid="{00000000-0005-0000-0000-00008D560000}"/>
    <cellStyle name="Nota 3 2 6 2 2" xfId="22205" xr:uid="{00000000-0005-0000-0000-00008E560000}"/>
    <cellStyle name="Nota 3 2 6 3" xfId="22206" xr:uid="{00000000-0005-0000-0000-00008F560000}"/>
    <cellStyle name="Nota 3 2 7" xfId="22207" xr:uid="{00000000-0005-0000-0000-000090560000}"/>
    <cellStyle name="Nota 3 2 7 2" xfId="22208" xr:uid="{00000000-0005-0000-0000-000091560000}"/>
    <cellStyle name="Nota 3 2 7 2 2" xfId="22209" xr:uid="{00000000-0005-0000-0000-000092560000}"/>
    <cellStyle name="Nota 3 2 7 3" xfId="22210" xr:uid="{00000000-0005-0000-0000-000093560000}"/>
    <cellStyle name="Nota 3 2 8" xfId="22211" xr:uid="{00000000-0005-0000-0000-000094560000}"/>
    <cellStyle name="Nota 3 2 8 2" xfId="22212" xr:uid="{00000000-0005-0000-0000-000095560000}"/>
    <cellStyle name="Nota 3 2 8 2 2" xfId="22213" xr:uid="{00000000-0005-0000-0000-000096560000}"/>
    <cellStyle name="Nota 3 2 8 3" xfId="22214" xr:uid="{00000000-0005-0000-0000-000097560000}"/>
    <cellStyle name="Nota 3 2 9" xfId="22215" xr:uid="{00000000-0005-0000-0000-000098560000}"/>
    <cellStyle name="Nota 3 2 9 2" xfId="22216" xr:uid="{00000000-0005-0000-0000-000099560000}"/>
    <cellStyle name="Nota 3 2 9 2 2" xfId="22217" xr:uid="{00000000-0005-0000-0000-00009A560000}"/>
    <cellStyle name="Nota 3 2 9 3" xfId="22218" xr:uid="{00000000-0005-0000-0000-00009B560000}"/>
    <cellStyle name="Nota 3 3" xfId="22219" xr:uid="{00000000-0005-0000-0000-00009C560000}"/>
    <cellStyle name="Nota 3 3 2" xfId="22220" xr:uid="{00000000-0005-0000-0000-00009D560000}"/>
    <cellStyle name="Nota 3 3 2 2" xfId="22221" xr:uid="{00000000-0005-0000-0000-00009E560000}"/>
    <cellStyle name="Nota 3 3 2 2 2" xfId="22222" xr:uid="{00000000-0005-0000-0000-00009F560000}"/>
    <cellStyle name="Nota 3 3 2 2 2 2" xfId="22223" xr:uid="{00000000-0005-0000-0000-0000A0560000}"/>
    <cellStyle name="Nota 3 3 2 2 3" xfId="22224" xr:uid="{00000000-0005-0000-0000-0000A1560000}"/>
    <cellStyle name="Nota 3 3 2 2 3 2" xfId="22225" xr:uid="{00000000-0005-0000-0000-0000A2560000}"/>
    <cellStyle name="Nota 3 3 2 2 4" xfId="22226" xr:uid="{00000000-0005-0000-0000-0000A3560000}"/>
    <cellStyle name="Nota 3 3 2 3" xfId="22227" xr:uid="{00000000-0005-0000-0000-0000A4560000}"/>
    <cellStyle name="Nota 3 3 2 3 2" xfId="22228" xr:uid="{00000000-0005-0000-0000-0000A5560000}"/>
    <cellStyle name="Nota 3 3 2 3 2 2" xfId="22229" xr:uid="{00000000-0005-0000-0000-0000A6560000}"/>
    <cellStyle name="Nota 3 3 2 3 3" xfId="22230" xr:uid="{00000000-0005-0000-0000-0000A7560000}"/>
    <cellStyle name="Nota 3 3 2 4" xfId="22231" xr:uid="{00000000-0005-0000-0000-0000A8560000}"/>
    <cellStyle name="Nota 3 3 2 4 2" xfId="22232" xr:uid="{00000000-0005-0000-0000-0000A9560000}"/>
    <cellStyle name="Nota 3 3 2 4 2 2" xfId="22233" xr:uid="{00000000-0005-0000-0000-0000AA560000}"/>
    <cellStyle name="Nota 3 3 2 4 3" xfId="22234" xr:uid="{00000000-0005-0000-0000-0000AB560000}"/>
    <cellStyle name="Nota 3 3 2 5" xfId="22235" xr:uid="{00000000-0005-0000-0000-0000AC560000}"/>
    <cellStyle name="Nota 3 3 2 5 2" xfId="22236" xr:uid="{00000000-0005-0000-0000-0000AD560000}"/>
    <cellStyle name="Nota 3 3 2 5 2 2" xfId="22237" xr:uid="{00000000-0005-0000-0000-0000AE560000}"/>
    <cellStyle name="Nota 3 3 2 5 3" xfId="22238" xr:uid="{00000000-0005-0000-0000-0000AF560000}"/>
    <cellStyle name="Nota 3 3 2 6" xfId="22239" xr:uid="{00000000-0005-0000-0000-0000B0560000}"/>
    <cellStyle name="Nota 3 3 2 6 2" xfId="22240" xr:uid="{00000000-0005-0000-0000-0000B1560000}"/>
    <cellStyle name="Nota 3 3 2 7" xfId="22241" xr:uid="{00000000-0005-0000-0000-0000B2560000}"/>
    <cellStyle name="Nota 3 3 3" xfId="22242" xr:uid="{00000000-0005-0000-0000-0000B3560000}"/>
    <cellStyle name="Nota 3 3 3 2" xfId="22243" xr:uid="{00000000-0005-0000-0000-0000B4560000}"/>
    <cellStyle name="Nota 3 3 3 2 2" xfId="22244" xr:uid="{00000000-0005-0000-0000-0000B5560000}"/>
    <cellStyle name="Nota 3 3 3 2 2 2" xfId="22245" xr:uid="{00000000-0005-0000-0000-0000B6560000}"/>
    <cellStyle name="Nota 3 3 3 2 3" xfId="22246" xr:uid="{00000000-0005-0000-0000-0000B7560000}"/>
    <cellStyle name="Nota 3 3 3 2 3 2" xfId="22247" xr:uid="{00000000-0005-0000-0000-0000B8560000}"/>
    <cellStyle name="Nota 3 3 3 2 4" xfId="22248" xr:uid="{00000000-0005-0000-0000-0000B9560000}"/>
    <cellStyle name="Nota 3 3 3 3" xfId="22249" xr:uid="{00000000-0005-0000-0000-0000BA560000}"/>
    <cellStyle name="Nota 3 3 3 3 2" xfId="22250" xr:uid="{00000000-0005-0000-0000-0000BB560000}"/>
    <cellStyle name="Nota 3 3 3 3 2 2" xfId="22251" xr:uid="{00000000-0005-0000-0000-0000BC560000}"/>
    <cellStyle name="Nota 3 3 3 3 3" xfId="22252" xr:uid="{00000000-0005-0000-0000-0000BD560000}"/>
    <cellStyle name="Nota 3 3 3 3 3 2" xfId="22253" xr:uid="{00000000-0005-0000-0000-0000BE560000}"/>
    <cellStyle name="Nota 3 3 3 3 4" xfId="22254" xr:uid="{00000000-0005-0000-0000-0000BF560000}"/>
    <cellStyle name="Nota 3 3 3 4" xfId="22255" xr:uid="{00000000-0005-0000-0000-0000C0560000}"/>
    <cellStyle name="Nota 3 3 3 4 2" xfId="22256" xr:uid="{00000000-0005-0000-0000-0000C1560000}"/>
    <cellStyle name="Nota 3 3 3 5" xfId="22257" xr:uid="{00000000-0005-0000-0000-0000C2560000}"/>
    <cellStyle name="Nota 3 3 3 5 2" xfId="22258" xr:uid="{00000000-0005-0000-0000-0000C3560000}"/>
    <cellStyle name="Nota 3 3 3 6" xfId="22259" xr:uid="{00000000-0005-0000-0000-0000C4560000}"/>
    <cellStyle name="Nota 3 3 4" xfId="22260" xr:uid="{00000000-0005-0000-0000-0000C5560000}"/>
    <cellStyle name="Nota 3 3 4 2" xfId="22261" xr:uid="{00000000-0005-0000-0000-0000C6560000}"/>
    <cellStyle name="Nota 3 3 4 2 2" xfId="22262" xr:uid="{00000000-0005-0000-0000-0000C7560000}"/>
    <cellStyle name="Nota 3 3 4 3" xfId="22263" xr:uid="{00000000-0005-0000-0000-0000C8560000}"/>
    <cellStyle name="Nota 3 3 4 3 2" xfId="22264" xr:uid="{00000000-0005-0000-0000-0000C9560000}"/>
    <cellStyle name="Nota 3 3 4 4" xfId="22265" xr:uid="{00000000-0005-0000-0000-0000CA560000}"/>
    <cellStyle name="Nota 3 3 5" xfId="22266" xr:uid="{00000000-0005-0000-0000-0000CB560000}"/>
    <cellStyle name="Nota 3 3 5 2" xfId="22267" xr:uid="{00000000-0005-0000-0000-0000CC560000}"/>
    <cellStyle name="Nota 3 3 5 2 2" xfId="22268" xr:uid="{00000000-0005-0000-0000-0000CD560000}"/>
    <cellStyle name="Nota 3 3 5 3" xfId="22269" xr:uid="{00000000-0005-0000-0000-0000CE560000}"/>
    <cellStyle name="Nota 3 3 6" xfId="22270" xr:uid="{00000000-0005-0000-0000-0000CF560000}"/>
    <cellStyle name="Nota 3 3 6 2" xfId="22271" xr:uid="{00000000-0005-0000-0000-0000D0560000}"/>
    <cellStyle name="Nota 3 3 6 2 2" xfId="22272" xr:uid="{00000000-0005-0000-0000-0000D1560000}"/>
    <cellStyle name="Nota 3 3 6 3" xfId="22273" xr:uid="{00000000-0005-0000-0000-0000D2560000}"/>
    <cellStyle name="Nota 3 3 7" xfId="22274" xr:uid="{00000000-0005-0000-0000-0000D3560000}"/>
    <cellStyle name="Nota 3 3 7 2" xfId="22275" xr:uid="{00000000-0005-0000-0000-0000D4560000}"/>
    <cellStyle name="Nota 3 3 7 2 2" xfId="22276" xr:uid="{00000000-0005-0000-0000-0000D5560000}"/>
    <cellStyle name="Nota 3 3 7 3" xfId="22277" xr:uid="{00000000-0005-0000-0000-0000D6560000}"/>
    <cellStyle name="Nota 3 3 8" xfId="22278" xr:uid="{00000000-0005-0000-0000-0000D7560000}"/>
    <cellStyle name="Nota 3 3 8 2" xfId="22279" xr:uid="{00000000-0005-0000-0000-0000D8560000}"/>
    <cellStyle name="Nota 3 3 9" xfId="22280" xr:uid="{00000000-0005-0000-0000-0000D9560000}"/>
    <cellStyle name="Nota 3 4" xfId="22281" xr:uid="{00000000-0005-0000-0000-0000DA560000}"/>
    <cellStyle name="Nota 3 4 2" xfId="22282" xr:uid="{00000000-0005-0000-0000-0000DB560000}"/>
    <cellStyle name="Nota 3 4 2 2" xfId="22283" xr:uid="{00000000-0005-0000-0000-0000DC560000}"/>
    <cellStyle name="Nota 3 4 2 2 2" xfId="22284" xr:uid="{00000000-0005-0000-0000-0000DD560000}"/>
    <cellStyle name="Nota 3 4 2 3" xfId="22285" xr:uid="{00000000-0005-0000-0000-0000DE560000}"/>
    <cellStyle name="Nota 3 4 2 3 2" xfId="22286" xr:uid="{00000000-0005-0000-0000-0000DF560000}"/>
    <cellStyle name="Nota 3 4 2 4" xfId="22287" xr:uid="{00000000-0005-0000-0000-0000E0560000}"/>
    <cellStyle name="Nota 3 4 3" xfId="22288" xr:uid="{00000000-0005-0000-0000-0000E1560000}"/>
    <cellStyle name="Nota 3 4 3 2" xfId="22289" xr:uid="{00000000-0005-0000-0000-0000E2560000}"/>
    <cellStyle name="Nota 3 4 3 2 2" xfId="22290" xr:uid="{00000000-0005-0000-0000-0000E3560000}"/>
    <cellStyle name="Nota 3 4 3 3" xfId="22291" xr:uid="{00000000-0005-0000-0000-0000E4560000}"/>
    <cellStyle name="Nota 3 4 4" xfId="22292" xr:uid="{00000000-0005-0000-0000-0000E5560000}"/>
    <cellStyle name="Nota 3 4 4 2" xfId="22293" xr:uid="{00000000-0005-0000-0000-0000E6560000}"/>
    <cellStyle name="Nota 3 4 4 2 2" xfId="22294" xr:uid="{00000000-0005-0000-0000-0000E7560000}"/>
    <cellStyle name="Nota 3 4 4 3" xfId="22295" xr:uid="{00000000-0005-0000-0000-0000E8560000}"/>
    <cellStyle name="Nota 3 4 5" xfId="22296" xr:uid="{00000000-0005-0000-0000-0000E9560000}"/>
    <cellStyle name="Nota 3 4 5 2" xfId="22297" xr:uid="{00000000-0005-0000-0000-0000EA560000}"/>
    <cellStyle name="Nota 3 4 5 2 2" xfId="22298" xr:uid="{00000000-0005-0000-0000-0000EB560000}"/>
    <cellStyle name="Nota 3 4 5 3" xfId="22299" xr:uid="{00000000-0005-0000-0000-0000EC560000}"/>
    <cellStyle name="Nota 3 4 6" xfId="22300" xr:uid="{00000000-0005-0000-0000-0000ED560000}"/>
    <cellStyle name="Nota 3 4 6 2" xfId="22301" xr:uid="{00000000-0005-0000-0000-0000EE560000}"/>
    <cellStyle name="Nota 3 4 7" xfId="22302" xr:uid="{00000000-0005-0000-0000-0000EF560000}"/>
    <cellStyle name="Nota 3 5" xfId="22303" xr:uid="{00000000-0005-0000-0000-0000F0560000}"/>
    <cellStyle name="Nota 3 5 2" xfId="22304" xr:uid="{00000000-0005-0000-0000-0000F1560000}"/>
    <cellStyle name="Nota 3 5 2 2" xfId="22305" xr:uid="{00000000-0005-0000-0000-0000F2560000}"/>
    <cellStyle name="Nota 3 5 2 2 2" xfId="22306" xr:uid="{00000000-0005-0000-0000-0000F3560000}"/>
    <cellStyle name="Nota 3 5 2 3" xfId="22307" xr:uid="{00000000-0005-0000-0000-0000F4560000}"/>
    <cellStyle name="Nota 3 5 2 3 2" xfId="22308" xr:uid="{00000000-0005-0000-0000-0000F5560000}"/>
    <cellStyle name="Nota 3 5 2 4" xfId="22309" xr:uid="{00000000-0005-0000-0000-0000F6560000}"/>
    <cellStyle name="Nota 3 5 3" xfId="22310" xr:uid="{00000000-0005-0000-0000-0000F7560000}"/>
    <cellStyle name="Nota 3 5 3 2" xfId="22311" xr:uid="{00000000-0005-0000-0000-0000F8560000}"/>
    <cellStyle name="Nota 3 5 3 2 2" xfId="22312" xr:uid="{00000000-0005-0000-0000-0000F9560000}"/>
    <cellStyle name="Nota 3 5 3 3" xfId="22313" xr:uid="{00000000-0005-0000-0000-0000FA560000}"/>
    <cellStyle name="Nota 3 5 3 3 2" xfId="22314" xr:uid="{00000000-0005-0000-0000-0000FB560000}"/>
    <cellStyle name="Nota 3 5 3 4" xfId="22315" xr:uid="{00000000-0005-0000-0000-0000FC560000}"/>
    <cellStyle name="Nota 3 5 4" xfId="22316" xr:uid="{00000000-0005-0000-0000-0000FD560000}"/>
    <cellStyle name="Nota 3 5 4 2" xfId="22317" xr:uid="{00000000-0005-0000-0000-0000FE560000}"/>
    <cellStyle name="Nota 3 5 5" xfId="22318" xr:uid="{00000000-0005-0000-0000-0000FF560000}"/>
    <cellStyle name="Nota 3 5 5 2" xfId="22319" xr:uid="{00000000-0005-0000-0000-000000570000}"/>
    <cellStyle name="Nota 3 5 6" xfId="22320" xr:uid="{00000000-0005-0000-0000-000001570000}"/>
    <cellStyle name="Nota 3 6" xfId="22321" xr:uid="{00000000-0005-0000-0000-000002570000}"/>
    <cellStyle name="Nota 3 7" xfId="22322" xr:uid="{00000000-0005-0000-0000-000003570000}"/>
    <cellStyle name="Nota 3 7 2" xfId="22323" xr:uid="{00000000-0005-0000-0000-000004570000}"/>
    <cellStyle name="Nota 3 7 2 2" xfId="22324" xr:uid="{00000000-0005-0000-0000-000005570000}"/>
    <cellStyle name="Nota 3 7 3" xfId="22325" xr:uid="{00000000-0005-0000-0000-000006570000}"/>
    <cellStyle name="Nota 3 7 3 2" xfId="22326" xr:uid="{00000000-0005-0000-0000-000007570000}"/>
    <cellStyle name="Nota 3 7 4" xfId="22327" xr:uid="{00000000-0005-0000-0000-000008570000}"/>
    <cellStyle name="Nota 3 8" xfId="22328" xr:uid="{00000000-0005-0000-0000-000009570000}"/>
    <cellStyle name="Nota 3 8 2" xfId="22329" xr:uid="{00000000-0005-0000-0000-00000A570000}"/>
    <cellStyle name="Nota 3 8 2 2" xfId="22330" xr:uid="{00000000-0005-0000-0000-00000B570000}"/>
    <cellStyle name="Nota 3 8 3" xfId="22331" xr:uid="{00000000-0005-0000-0000-00000C570000}"/>
    <cellStyle name="Nota 3 9" xfId="22332" xr:uid="{00000000-0005-0000-0000-00000D570000}"/>
    <cellStyle name="Nota 3 9 2" xfId="22333" xr:uid="{00000000-0005-0000-0000-00000E570000}"/>
    <cellStyle name="Nota 3 9 2 2" xfId="22334" xr:uid="{00000000-0005-0000-0000-00000F570000}"/>
    <cellStyle name="Nota 3 9 3" xfId="22335" xr:uid="{00000000-0005-0000-0000-000010570000}"/>
    <cellStyle name="Nota 4" xfId="22336" xr:uid="{00000000-0005-0000-0000-000011570000}"/>
    <cellStyle name="Nota 4 2" xfId="22337" xr:uid="{00000000-0005-0000-0000-000012570000}"/>
    <cellStyle name="Nota 4 2 10" xfId="22338" xr:uid="{00000000-0005-0000-0000-000013570000}"/>
    <cellStyle name="Nota 4 2 2" xfId="22339" xr:uid="{00000000-0005-0000-0000-000014570000}"/>
    <cellStyle name="Nota 4 2 2 2" xfId="22340" xr:uid="{00000000-0005-0000-0000-000015570000}"/>
    <cellStyle name="Nota 4 2 2 2 2" xfId="22341" xr:uid="{00000000-0005-0000-0000-000016570000}"/>
    <cellStyle name="Nota 4 2 2 2 2 2" xfId="22342" xr:uid="{00000000-0005-0000-0000-000017570000}"/>
    <cellStyle name="Nota 4 2 2 2 2 2 2" xfId="22343" xr:uid="{00000000-0005-0000-0000-000018570000}"/>
    <cellStyle name="Nota 4 2 2 2 2 3" xfId="22344" xr:uid="{00000000-0005-0000-0000-000019570000}"/>
    <cellStyle name="Nota 4 2 2 2 2 3 2" xfId="22345" xr:uid="{00000000-0005-0000-0000-00001A570000}"/>
    <cellStyle name="Nota 4 2 2 2 2 4" xfId="22346" xr:uid="{00000000-0005-0000-0000-00001B570000}"/>
    <cellStyle name="Nota 4 2 2 2 3" xfId="22347" xr:uid="{00000000-0005-0000-0000-00001C570000}"/>
    <cellStyle name="Nota 4 2 2 2 3 2" xfId="22348" xr:uid="{00000000-0005-0000-0000-00001D570000}"/>
    <cellStyle name="Nota 4 2 2 2 4" xfId="22349" xr:uid="{00000000-0005-0000-0000-00001E570000}"/>
    <cellStyle name="Nota 4 2 2 2 4 2" xfId="22350" xr:uid="{00000000-0005-0000-0000-00001F570000}"/>
    <cellStyle name="Nota 4 2 2 2 5" xfId="22351" xr:uid="{00000000-0005-0000-0000-000020570000}"/>
    <cellStyle name="Nota 4 2 2 3" xfId="22352" xr:uid="{00000000-0005-0000-0000-000021570000}"/>
    <cellStyle name="Nota 4 2 2 3 2" xfId="22353" xr:uid="{00000000-0005-0000-0000-000022570000}"/>
    <cellStyle name="Nota 4 2 2 3 2 2" xfId="22354" xr:uid="{00000000-0005-0000-0000-000023570000}"/>
    <cellStyle name="Nota 4 2 2 3 3" xfId="22355" xr:uid="{00000000-0005-0000-0000-000024570000}"/>
    <cellStyle name="Nota 4 2 2 3 3 2" xfId="22356" xr:uid="{00000000-0005-0000-0000-000025570000}"/>
    <cellStyle name="Nota 4 2 2 3 4" xfId="22357" xr:uid="{00000000-0005-0000-0000-000026570000}"/>
    <cellStyle name="Nota 4 2 2 4" xfId="22358" xr:uid="{00000000-0005-0000-0000-000027570000}"/>
    <cellStyle name="Nota 4 2 2 4 2" xfId="22359" xr:uid="{00000000-0005-0000-0000-000028570000}"/>
    <cellStyle name="Nota 4 2 2 4 2 2" xfId="22360" xr:uid="{00000000-0005-0000-0000-000029570000}"/>
    <cellStyle name="Nota 4 2 2 4 3" xfId="22361" xr:uid="{00000000-0005-0000-0000-00002A570000}"/>
    <cellStyle name="Nota 4 2 2 5" xfId="22362" xr:uid="{00000000-0005-0000-0000-00002B570000}"/>
    <cellStyle name="Nota 4 2 2 5 2" xfId="22363" xr:uid="{00000000-0005-0000-0000-00002C570000}"/>
    <cellStyle name="Nota 4 2 2 6" xfId="22364" xr:uid="{00000000-0005-0000-0000-00002D570000}"/>
    <cellStyle name="Nota 4 2 3" xfId="22365" xr:uid="{00000000-0005-0000-0000-00002E570000}"/>
    <cellStyle name="Nota 4 2 3 2" xfId="22366" xr:uid="{00000000-0005-0000-0000-00002F570000}"/>
    <cellStyle name="Nota 4 2 3 2 2" xfId="22367" xr:uid="{00000000-0005-0000-0000-000030570000}"/>
    <cellStyle name="Nota 4 2 3 2 2 2" xfId="22368" xr:uid="{00000000-0005-0000-0000-000031570000}"/>
    <cellStyle name="Nota 4 2 3 2 3" xfId="22369" xr:uid="{00000000-0005-0000-0000-000032570000}"/>
    <cellStyle name="Nota 4 2 3 2 3 2" xfId="22370" xr:uid="{00000000-0005-0000-0000-000033570000}"/>
    <cellStyle name="Nota 4 2 3 2 4" xfId="22371" xr:uid="{00000000-0005-0000-0000-000034570000}"/>
    <cellStyle name="Nota 4 2 3 3" xfId="22372" xr:uid="{00000000-0005-0000-0000-000035570000}"/>
    <cellStyle name="Nota 4 2 3 3 2" xfId="22373" xr:uid="{00000000-0005-0000-0000-000036570000}"/>
    <cellStyle name="Nota 4 2 3 3 2 2" xfId="22374" xr:uid="{00000000-0005-0000-0000-000037570000}"/>
    <cellStyle name="Nota 4 2 3 3 3" xfId="22375" xr:uid="{00000000-0005-0000-0000-000038570000}"/>
    <cellStyle name="Nota 4 2 3 3 3 2" xfId="22376" xr:uid="{00000000-0005-0000-0000-000039570000}"/>
    <cellStyle name="Nota 4 2 3 3 4" xfId="22377" xr:uid="{00000000-0005-0000-0000-00003A570000}"/>
    <cellStyle name="Nota 4 2 3 4" xfId="22378" xr:uid="{00000000-0005-0000-0000-00003B570000}"/>
    <cellStyle name="Nota 4 2 3 4 2" xfId="22379" xr:uid="{00000000-0005-0000-0000-00003C570000}"/>
    <cellStyle name="Nota 4 2 3 5" xfId="22380" xr:uid="{00000000-0005-0000-0000-00003D570000}"/>
    <cellStyle name="Nota 4 2 3 5 2" xfId="22381" xr:uid="{00000000-0005-0000-0000-00003E570000}"/>
    <cellStyle name="Nota 4 2 3 6" xfId="22382" xr:uid="{00000000-0005-0000-0000-00003F570000}"/>
    <cellStyle name="Nota 4 2 4" xfId="22383" xr:uid="{00000000-0005-0000-0000-000040570000}"/>
    <cellStyle name="Nota 4 2 4 2" xfId="22384" xr:uid="{00000000-0005-0000-0000-000041570000}"/>
    <cellStyle name="Nota 4 2 4 2 2" xfId="22385" xr:uid="{00000000-0005-0000-0000-000042570000}"/>
    <cellStyle name="Nota 4 2 4 3" xfId="22386" xr:uid="{00000000-0005-0000-0000-000043570000}"/>
    <cellStyle name="Nota 4 2 4 3 2" xfId="22387" xr:uid="{00000000-0005-0000-0000-000044570000}"/>
    <cellStyle name="Nota 4 2 4 4" xfId="22388" xr:uid="{00000000-0005-0000-0000-000045570000}"/>
    <cellStyle name="Nota 4 2 5" xfId="22389" xr:uid="{00000000-0005-0000-0000-000046570000}"/>
    <cellStyle name="Nota 4 2 5 2" xfId="22390" xr:uid="{00000000-0005-0000-0000-000047570000}"/>
    <cellStyle name="Nota 4 2 5 2 2" xfId="22391" xr:uid="{00000000-0005-0000-0000-000048570000}"/>
    <cellStyle name="Nota 4 2 5 3" xfId="22392" xr:uid="{00000000-0005-0000-0000-000049570000}"/>
    <cellStyle name="Nota 4 2 6" xfId="22393" xr:uid="{00000000-0005-0000-0000-00004A570000}"/>
    <cellStyle name="Nota 4 2 6 2" xfId="22394" xr:uid="{00000000-0005-0000-0000-00004B570000}"/>
    <cellStyle name="Nota 4 2 6 2 2" xfId="22395" xr:uid="{00000000-0005-0000-0000-00004C570000}"/>
    <cellStyle name="Nota 4 2 6 3" xfId="22396" xr:uid="{00000000-0005-0000-0000-00004D570000}"/>
    <cellStyle name="Nota 4 2 7" xfId="22397" xr:uid="{00000000-0005-0000-0000-00004E570000}"/>
    <cellStyle name="Nota 4 2 7 2" xfId="22398" xr:uid="{00000000-0005-0000-0000-00004F570000}"/>
    <cellStyle name="Nota 4 2 7 2 2" xfId="22399" xr:uid="{00000000-0005-0000-0000-000050570000}"/>
    <cellStyle name="Nota 4 2 7 3" xfId="22400" xr:uid="{00000000-0005-0000-0000-000051570000}"/>
    <cellStyle name="Nota 4 2 8" xfId="22401" xr:uid="{00000000-0005-0000-0000-000052570000}"/>
    <cellStyle name="Nota 4 2 8 2" xfId="22402" xr:uid="{00000000-0005-0000-0000-000053570000}"/>
    <cellStyle name="Nota 4 2 8 2 2" xfId="22403" xr:uid="{00000000-0005-0000-0000-000054570000}"/>
    <cellStyle name="Nota 4 2 8 3" xfId="22404" xr:uid="{00000000-0005-0000-0000-000055570000}"/>
    <cellStyle name="Nota 4 2 9" xfId="22405" xr:uid="{00000000-0005-0000-0000-000056570000}"/>
    <cellStyle name="Nota 4 2 9 2" xfId="22406" xr:uid="{00000000-0005-0000-0000-000057570000}"/>
    <cellStyle name="Nota 4 3" xfId="22407" xr:uid="{00000000-0005-0000-0000-000058570000}"/>
    <cellStyle name="Nota 4 3 2" xfId="22408" xr:uid="{00000000-0005-0000-0000-000059570000}"/>
    <cellStyle name="Nota 4 3 2 2" xfId="22409" xr:uid="{00000000-0005-0000-0000-00005A570000}"/>
    <cellStyle name="Nota 4 3 2 2 2" xfId="22410" xr:uid="{00000000-0005-0000-0000-00005B570000}"/>
    <cellStyle name="Nota 4 3 2 3" xfId="22411" xr:uid="{00000000-0005-0000-0000-00005C570000}"/>
    <cellStyle name="Nota 4 3 2 3 2" xfId="22412" xr:uid="{00000000-0005-0000-0000-00005D570000}"/>
    <cellStyle name="Nota 4 3 2 4" xfId="22413" xr:uid="{00000000-0005-0000-0000-00005E570000}"/>
    <cellStyle name="Nota 4 3 3" xfId="22414" xr:uid="{00000000-0005-0000-0000-00005F570000}"/>
    <cellStyle name="Nota 4 3 3 2" xfId="22415" xr:uid="{00000000-0005-0000-0000-000060570000}"/>
    <cellStyle name="Nota 4 3 3 2 2" xfId="22416" xr:uid="{00000000-0005-0000-0000-000061570000}"/>
    <cellStyle name="Nota 4 3 3 3" xfId="22417" xr:uid="{00000000-0005-0000-0000-000062570000}"/>
    <cellStyle name="Nota 4 3 3 3 2" xfId="22418" xr:uid="{00000000-0005-0000-0000-000063570000}"/>
    <cellStyle name="Nota 4 3 3 4" xfId="22419" xr:uid="{00000000-0005-0000-0000-000064570000}"/>
    <cellStyle name="Nota 4 3 4" xfId="22420" xr:uid="{00000000-0005-0000-0000-000065570000}"/>
    <cellStyle name="Nota 4 3 4 2" xfId="22421" xr:uid="{00000000-0005-0000-0000-000066570000}"/>
    <cellStyle name="Nota 4 3 5" xfId="22422" xr:uid="{00000000-0005-0000-0000-000067570000}"/>
    <cellStyle name="Nota 4 3 5 2" xfId="22423" xr:uid="{00000000-0005-0000-0000-000068570000}"/>
    <cellStyle name="Nota 4 3 6" xfId="22424" xr:uid="{00000000-0005-0000-0000-000069570000}"/>
    <cellStyle name="Nota 4 4" xfId="22425" xr:uid="{00000000-0005-0000-0000-00006A570000}"/>
    <cellStyle name="Nota 4 5" xfId="22426" xr:uid="{00000000-0005-0000-0000-00006B570000}"/>
    <cellStyle name="Nota 4 5 2" xfId="22427" xr:uid="{00000000-0005-0000-0000-00006C570000}"/>
    <cellStyle name="Nota 4 5 2 2" xfId="22428" xr:uid="{00000000-0005-0000-0000-00006D570000}"/>
    <cellStyle name="Nota 4 5 3" xfId="22429" xr:uid="{00000000-0005-0000-0000-00006E570000}"/>
    <cellStyle name="Nota 4 5 3 2" xfId="22430" xr:uid="{00000000-0005-0000-0000-00006F570000}"/>
    <cellStyle name="Nota 4 5 4" xfId="22431" xr:uid="{00000000-0005-0000-0000-000070570000}"/>
    <cellStyle name="Nota 4 6" xfId="22432" xr:uid="{00000000-0005-0000-0000-000071570000}"/>
    <cellStyle name="Nota 4 6 2" xfId="22433" xr:uid="{00000000-0005-0000-0000-000072570000}"/>
    <cellStyle name="Nota 4 6 2 2" xfId="22434" xr:uid="{00000000-0005-0000-0000-000073570000}"/>
    <cellStyle name="Nota 4 6 3" xfId="22435" xr:uid="{00000000-0005-0000-0000-000074570000}"/>
    <cellStyle name="Nota 4 7" xfId="22436" xr:uid="{00000000-0005-0000-0000-000075570000}"/>
    <cellStyle name="Nota 4 7 2" xfId="22437" xr:uid="{00000000-0005-0000-0000-000076570000}"/>
    <cellStyle name="Nota 4 7 2 2" xfId="22438" xr:uid="{00000000-0005-0000-0000-000077570000}"/>
    <cellStyle name="Nota 4 7 3" xfId="22439" xr:uid="{00000000-0005-0000-0000-000078570000}"/>
    <cellStyle name="Nota 4 8" xfId="22440" xr:uid="{00000000-0005-0000-0000-000079570000}"/>
    <cellStyle name="Nota 4 8 2" xfId="22441" xr:uid="{00000000-0005-0000-0000-00007A570000}"/>
    <cellStyle name="Nota 4 8 2 2" xfId="22442" xr:uid="{00000000-0005-0000-0000-00007B570000}"/>
    <cellStyle name="Nota 4 8 3" xfId="22443" xr:uid="{00000000-0005-0000-0000-00007C570000}"/>
    <cellStyle name="Nota 5" xfId="22444" xr:uid="{00000000-0005-0000-0000-00007D570000}"/>
    <cellStyle name="Nota 5 10" xfId="22445" xr:uid="{00000000-0005-0000-0000-00007E570000}"/>
    <cellStyle name="Nota 5 2" xfId="22446" xr:uid="{00000000-0005-0000-0000-00007F570000}"/>
    <cellStyle name="Nota 5 2 2" xfId="22447" xr:uid="{00000000-0005-0000-0000-000080570000}"/>
    <cellStyle name="Nota 5 2 2 2" xfId="22448" xr:uid="{00000000-0005-0000-0000-000081570000}"/>
    <cellStyle name="Nota 5 2 2 2 2" xfId="22449" xr:uid="{00000000-0005-0000-0000-000082570000}"/>
    <cellStyle name="Nota 5 2 2 2 2 2" xfId="22450" xr:uid="{00000000-0005-0000-0000-000083570000}"/>
    <cellStyle name="Nota 5 2 2 2 3" xfId="22451" xr:uid="{00000000-0005-0000-0000-000084570000}"/>
    <cellStyle name="Nota 5 2 2 2 3 2" xfId="22452" xr:uid="{00000000-0005-0000-0000-000085570000}"/>
    <cellStyle name="Nota 5 2 2 2 4" xfId="22453" xr:uid="{00000000-0005-0000-0000-000086570000}"/>
    <cellStyle name="Nota 5 2 2 3" xfId="22454" xr:uid="{00000000-0005-0000-0000-000087570000}"/>
    <cellStyle name="Nota 5 2 2 3 2" xfId="22455" xr:uid="{00000000-0005-0000-0000-000088570000}"/>
    <cellStyle name="Nota 5 2 2 4" xfId="22456" xr:uid="{00000000-0005-0000-0000-000089570000}"/>
    <cellStyle name="Nota 5 2 2 4 2" xfId="22457" xr:uid="{00000000-0005-0000-0000-00008A570000}"/>
    <cellStyle name="Nota 5 2 2 5" xfId="22458" xr:uid="{00000000-0005-0000-0000-00008B570000}"/>
    <cellStyle name="Nota 5 2 3" xfId="22459" xr:uid="{00000000-0005-0000-0000-00008C570000}"/>
    <cellStyle name="Nota 5 2 3 2" xfId="22460" xr:uid="{00000000-0005-0000-0000-00008D570000}"/>
    <cellStyle name="Nota 5 2 3 2 2" xfId="22461" xr:uid="{00000000-0005-0000-0000-00008E570000}"/>
    <cellStyle name="Nota 5 2 3 3" xfId="22462" xr:uid="{00000000-0005-0000-0000-00008F570000}"/>
    <cellStyle name="Nota 5 2 3 3 2" xfId="22463" xr:uid="{00000000-0005-0000-0000-000090570000}"/>
    <cellStyle name="Nota 5 2 3 4" xfId="22464" xr:uid="{00000000-0005-0000-0000-000091570000}"/>
    <cellStyle name="Nota 5 2 4" xfId="22465" xr:uid="{00000000-0005-0000-0000-000092570000}"/>
    <cellStyle name="Nota 5 2 4 2" xfId="22466" xr:uid="{00000000-0005-0000-0000-000093570000}"/>
    <cellStyle name="Nota 5 2 4 2 2" xfId="22467" xr:uid="{00000000-0005-0000-0000-000094570000}"/>
    <cellStyle name="Nota 5 2 4 3" xfId="22468" xr:uid="{00000000-0005-0000-0000-000095570000}"/>
    <cellStyle name="Nota 5 2 5" xfId="22469" xr:uid="{00000000-0005-0000-0000-000096570000}"/>
    <cellStyle name="Nota 5 2 5 2" xfId="22470" xr:uid="{00000000-0005-0000-0000-000097570000}"/>
    <cellStyle name="Nota 5 2 6" xfId="22471" xr:uid="{00000000-0005-0000-0000-000098570000}"/>
    <cellStyle name="Nota 5 3" xfId="22472" xr:uid="{00000000-0005-0000-0000-000099570000}"/>
    <cellStyle name="Nota 5 3 2" xfId="22473" xr:uid="{00000000-0005-0000-0000-00009A570000}"/>
    <cellStyle name="Nota 5 3 2 2" xfId="22474" xr:uid="{00000000-0005-0000-0000-00009B570000}"/>
    <cellStyle name="Nota 5 3 2 2 2" xfId="22475" xr:uid="{00000000-0005-0000-0000-00009C570000}"/>
    <cellStyle name="Nota 5 3 2 3" xfId="22476" xr:uid="{00000000-0005-0000-0000-00009D570000}"/>
    <cellStyle name="Nota 5 3 2 3 2" xfId="22477" xr:uid="{00000000-0005-0000-0000-00009E570000}"/>
    <cellStyle name="Nota 5 3 2 4" xfId="22478" xr:uid="{00000000-0005-0000-0000-00009F570000}"/>
    <cellStyle name="Nota 5 3 3" xfId="22479" xr:uid="{00000000-0005-0000-0000-0000A0570000}"/>
    <cellStyle name="Nota 5 3 3 2" xfId="22480" xr:uid="{00000000-0005-0000-0000-0000A1570000}"/>
    <cellStyle name="Nota 5 3 3 2 2" xfId="22481" xr:uid="{00000000-0005-0000-0000-0000A2570000}"/>
    <cellStyle name="Nota 5 3 3 3" xfId="22482" xr:uid="{00000000-0005-0000-0000-0000A3570000}"/>
    <cellStyle name="Nota 5 3 3 3 2" xfId="22483" xr:uid="{00000000-0005-0000-0000-0000A4570000}"/>
    <cellStyle name="Nota 5 3 3 4" xfId="22484" xr:uid="{00000000-0005-0000-0000-0000A5570000}"/>
    <cellStyle name="Nota 5 3 4" xfId="22485" xr:uid="{00000000-0005-0000-0000-0000A6570000}"/>
    <cellStyle name="Nota 5 3 4 2" xfId="22486" xr:uid="{00000000-0005-0000-0000-0000A7570000}"/>
    <cellStyle name="Nota 5 3 5" xfId="22487" xr:uid="{00000000-0005-0000-0000-0000A8570000}"/>
    <cellStyle name="Nota 5 3 5 2" xfId="22488" xr:uid="{00000000-0005-0000-0000-0000A9570000}"/>
    <cellStyle name="Nota 5 3 6" xfId="22489" xr:uid="{00000000-0005-0000-0000-0000AA570000}"/>
    <cellStyle name="Nota 5 4" xfId="22490" xr:uid="{00000000-0005-0000-0000-0000AB570000}"/>
    <cellStyle name="Nota 5 4 2" xfId="22491" xr:uid="{00000000-0005-0000-0000-0000AC570000}"/>
    <cellStyle name="Nota 5 4 2 2" xfId="22492" xr:uid="{00000000-0005-0000-0000-0000AD570000}"/>
    <cellStyle name="Nota 5 4 3" xfId="22493" xr:uid="{00000000-0005-0000-0000-0000AE570000}"/>
    <cellStyle name="Nota 5 4 3 2" xfId="22494" xr:uid="{00000000-0005-0000-0000-0000AF570000}"/>
    <cellStyle name="Nota 5 4 4" xfId="22495" xr:uid="{00000000-0005-0000-0000-0000B0570000}"/>
    <cellStyle name="Nota 5 5" xfId="22496" xr:uid="{00000000-0005-0000-0000-0000B1570000}"/>
    <cellStyle name="Nota 5 5 2" xfId="22497" xr:uid="{00000000-0005-0000-0000-0000B2570000}"/>
    <cellStyle name="Nota 5 5 2 2" xfId="22498" xr:uid="{00000000-0005-0000-0000-0000B3570000}"/>
    <cellStyle name="Nota 5 5 3" xfId="22499" xr:uid="{00000000-0005-0000-0000-0000B4570000}"/>
    <cellStyle name="Nota 5 6" xfId="22500" xr:uid="{00000000-0005-0000-0000-0000B5570000}"/>
    <cellStyle name="Nota 5 6 2" xfId="22501" xr:uid="{00000000-0005-0000-0000-0000B6570000}"/>
    <cellStyle name="Nota 5 6 2 2" xfId="22502" xr:uid="{00000000-0005-0000-0000-0000B7570000}"/>
    <cellStyle name="Nota 5 6 3" xfId="22503" xr:uid="{00000000-0005-0000-0000-0000B8570000}"/>
    <cellStyle name="Nota 5 7" xfId="22504" xr:uid="{00000000-0005-0000-0000-0000B9570000}"/>
    <cellStyle name="Nota 5 7 2" xfId="22505" xr:uid="{00000000-0005-0000-0000-0000BA570000}"/>
    <cellStyle name="Nota 5 7 2 2" xfId="22506" xr:uid="{00000000-0005-0000-0000-0000BB570000}"/>
    <cellStyle name="Nota 5 7 3" xfId="22507" xr:uid="{00000000-0005-0000-0000-0000BC570000}"/>
    <cellStyle name="Nota 5 8" xfId="22508" xr:uid="{00000000-0005-0000-0000-0000BD570000}"/>
    <cellStyle name="Nota 5 8 2" xfId="22509" xr:uid="{00000000-0005-0000-0000-0000BE570000}"/>
    <cellStyle name="Nota 5 8 2 2" xfId="22510" xr:uid="{00000000-0005-0000-0000-0000BF570000}"/>
    <cellStyle name="Nota 5 8 3" xfId="22511" xr:uid="{00000000-0005-0000-0000-0000C0570000}"/>
    <cellStyle name="Nota 5 9" xfId="22512" xr:uid="{00000000-0005-0000-0000-0000C1570000}"/>
    <cellStyle name="Nota 5 9 2" xfId="22513" xr:uid="{00000000-0005-0000-0000-0000C2570000}"/>
    <cellStyle name="Nota 6" xfId="22514" xr:uid="{00000000-0005-0000-0000-0000C3570000}"/>
    <cellStyle name="Nota 6 2" xfId="22515" xr:uid="{00000000-0005-0000-0000-0000C4570000}"/>
    <cellStyle name="Nota 6 2 2" xfId="22516" xr:uid="{00000000-0005-0000-0000-0000C5570000}"/>
    <cellStyle name="Nota 6 2 2 2" xfId="22517" xr:uid="{00000000-0005-0000-0000-0000C6570000}"/>
    <cellStyle name="Nota 6 2 2 2 2" xfId="22518" xr:uid="{00000000-0005-0000-0000-0000C7570000}"/>
    <cellStyle name="Nota 6 2 2 2 2 2" xfId="22519" xr:uid="{00000000-0005-0000-0000-0000C8570000}"/>
    <cellStyle name="Nota 6 2 2 2 3" xfId="22520" xr:uid="{00000000-0005-0000-0000-0000C9570000}"/>
    <cellStyle name="Nota 6 2 2 2 3 2" xfId="22521" xr:uid="{00000000-0005-0000-0000-0000CA570000}"/>
    <cellStyle name="Nota 6 2 2 2 4" xfId="22522" xr:uid="{00000000-0005-0000-0000-0000CB570000}"/>
    <cellStyle name="Nota 6 2 2 3" xfId="22523" xr:uid="{00000000-0005-0000-0000-0000CC570000}"/>
    <cellStyle name="Nota 6 2 2 3 2" xfId="22524" xr:uid="{00000000-0005-0000-0000-0000CD570000}"/>
    <cellStyle name="Nota 6 2 2 4" xfId="22525" xr:uid="{00000000-0005-0000-0000-0000CE570000}"/>
    <cellStyle name="Nota 6 2 2 4 2" xfId="22526" xr:uid="{00000000-0005-0000-0000-0000CF570000}"/>
    <cellStyle name="Nota 6 2 2 5" xfId="22527" xr:uid="{00000000-0005-0000-0000-0000D0570000}"/>
    <cellStyle name="Nota 6 2 3" xfId="22528" xr:uid="{00000000-0005-0000-0000-0000D1570000}"/>
    <cellStyle name="Nota 6 2 3 2" xfId="22529" xr:uid="{00000000-0005-0000-0000-0000D2570000}"/>
    <cellStyle name="Nota 6 2 3 2 2" xfId="22530" xr:uid="{00000000-0005-0000-0000-0000D3570000}"/>
    <cellStyle name="Nota 6 2 3 3" xfId="22531" xr:uid="{00000000-0005-0000-0000-0000D4570000}"/>
    <cellStyle name="Nota 6 2 3 3 2" xfId="22532" xr:uid="{00000000-0005-0000-0000-0000D5570000}"/>
    <cellStyle name="Nota 6 2 3 4" xfId="22533" xr:uid="{00000000-0005-0000-0000-0000D6570000}"/>
    <cellStyle name="Nota 6 2 4" xfId="22534" xr:uid="{00000000-0005-0000-0000-0000D7570000}"/>
    <cellStyle name="Nota 6 2 4 2" xfId="22535" xr:uid="{00000000-0005-0000-0000-0000D8570000}"/>
    <cellStyle name="Nota 6 2 4 2 2" xfId="22536" xr:uid="{00000000-0005-0000-0000-0000D9570000}"/>
    <cellStyle name="Nota 6 2 4 3" xfId="22537" xr:uid="{00000000-0005-0000-0000-0000DA570000}"/>
    <cellStyle name="Nota 6 2 5" xfId="22538" xr:uid="{00000000-0005-0000-0000-0000DB570000}"/>
    <cellStyle name="Nota 6 2 5 2" xfId="22539" xr:uid="{00000000-0005-0000-0000-0000DC570000}"/>
    <cellStyle name="Nota 6 2 6" xfId="22540" xr:uid="{00000000-0005-0000-0000-0000DD570000}"/>
    <cellStyle name="Nota 6 3" xfId="22541" xr:uid="{00000000-0005-0000-0000-0000DE570000}"/>
    <cellStyle name="Nota 6 3 2" xfId="22542" xr:uid="{00000000-0005-0000-0000-0000DF570000}"/>
    <cellStyle name="Nota 6 3 2 2" xfId="22543" xr:uid="{00000000-0005-0000-0000-0000E0570000}"/>
    <cellStyle name="Nota 6 3 2 2 2" xfId="22544" xr:uid="{00000000-0005-0000-0000-0000E1570000}"/>
    <cellStyle name="Nota 6 3 2 3" xfId="22545" xr:uid="{00000000-0005-0000-0000-0000E2570000}"/>
    <cellStyle name="Nota 6 3 2 3 2" xfId="22546" xr:uid="{00000000-0005-0000-0000-0000E3570000}"/>
    <cellStyle name="Nota 6 3 2 4" xfId="22547" xr:uid="{00000000-0005-0000-0000-0000E4570000}"/>
    <cellStyle name="Nota 6 3 3" xfId="22548" xr:uid="{00000000-0005-0000-0000-0000E5570000}"/>
    <cellStyle name="Nota 6 3 3 2" xfId="22549" xr:uid="{00000000-0005-0000-0000-0000E6570000}"/>
    <cellStyle name="Nota 6 3 4" xfId="22550" xr:uid="{00000000-0005-0000-0000-0000E7570000}"/>
    <cellStyle name="Nota 6 3 4 2" xfId="22551" xr:uid="{00000000-0005-0000-0000-0000E8570000}"/>
    <cellStyle name="Nota 6 3 5" xfId="22552" xr:uid="{00000000-0005-0000-0000-0000E9570000}"/>
    <cellStyle name="Nota 6 4" xfId="22553" xr:uid="{00000000-0005-0000-0000-0000EA570000}"/>
    <cellStyle name="Nota 6 4 2" xfId="22554" xr:uid="{00000000-0005-0000-0000-0000EB570000}"/>
    <cellStyle name="Nota 6 4 2 2" xfId="22555" xr:uid="{00000000-0005-0000-0000-0000EC570000}"/>
    <cellStyle name="Nota 6 4 3" xfId="22556" xr:uid="{00000000-0005-0000-0000-0000ED570000}"/>
    <cellStyle name="Nota 6 4 3 2" xfId="22557" xr:uid="{00000000-0005-0000-0000-0000EE570000}"/>
    <cellStyle name="Nota 6 4 4" xfId="22558" xr:uid="{00000000-0005-0000-0000-0000EF570000}"/>
    <cellStyle name="Nota 6 5" xfId="22559" xr:uid="{00000000-0005-0000-0000-0000F0570000}"/>
    <cellStyle name="Nota 6 5 2" xfId="22560" xr:uid="{00000000-0005-0000-0000-0000F1570000}"/>
    <cellStyle name="Nota 6 5 2 2" xfId="22561" xr:uid="{00000000-0005-0000-0000-0000F2570000}"/>
    <cellStyle name="Nota 6 5 3" xfId="22562" xr:uid="{00000000-0005-0000-0000-0000F3570000}"/>
    <cellStyle name="Nota 6 6" xfId="22563" xr:uid="{00000000-0005-0000-0000-0000F4570000}"/>
    <cellStyle name="Nota 6 6 2" xfId="22564" xr:uid="{00000000-0005-0000-0000-0000F5570000}"/>
    <cellStyle name="Nota 6 7" xfId="22565" xr:uid="{00000000-0005-0000-0000-0000F6570000}"/>
    <cellStyle name="Nota 7" xfId="22566" xr:uid="{00000000-0005-0000-0000-0000F7570000}"/>
    <cellStyle name="Nota 7 2" xfId="22567" xr:uid="{00000000-0005-0000-0000-0000F8570000}"/>
    <cellStyle name="Nota 7 2 2" xfId="22568" xr:uid="{00000000-0005-0000-0000-0000F9570000}"/>
    <cellStyle name="Nota 7 2 2 2" xfId="22569" xr:uid="{00000000-0005-0000-0000-0000FA570000}"/>
    <cellStyle name="Nota 7 2 2 2 2" xfId="22570" xr:uid="{00000000-0005-0000-0000-0000FB570000}"/>
    <cellStyle name="Nota 7 2 2 2 2 2" xfId="22571" xr:uid="{00000000-0005-0000-0000-0000FC570000}"/>
    <cellStyle name="Nota 7 2 2 2 3" xfId="22572" xr:uid="{00000000-0005-0000-0000-0000FD570000}"/>
    <cellStyle name="Nota 7 2 2 2 3 2" xfId="22573" xr:uid="{00000000-0005-0000-0000-0000FE570000}"/>
    <cellStyle name="Nota 7 2 2 2 4" xfId="22574" xr:uid="{00000000-0005-0000-0000-0000FF570000}"/>
    <cellStyle name="Nota 7 2 2 3" xfId="22575" xr:uid="{00000000-0005-0000-0000-000000580000}"/>
    <cellStyle name="Nota 7 2 2 3 2" xfId="22576" xr:uid="{00000000-0005-0000-0000-000001580000}"/>
    <cellStyle name="Nota 7 2 2 4" xfId="22577" xr:uid="{00000000-0005-0000-0000-000002580000}"/>
    <cellStyle name="Nota 7 2 2 4 2" xfId="22578" xr:uid="{00000000-0005-0000-0000-000003580000}"/>
    <cellStyle name="Nota 7 2 2 5" xfId="22579" xr:uid="{00000000-0005-0000-0000-000004580000}"/>
    <cellStyle name="Nota 7 2 3" xfId="22580" xr:uid="{00000000-0005-0000-0000-000005580000}"/>
    <cellStyle name="Nota 7 2 3 2" xfId="22581" xr:uid="{00000000-0005-0000-0000-000006580000}"/>
    <cellStyle name="Nota 7 2 3 2 2" xfId="22582" xr:uid="{00000000-0005-0000-0000-000007580000}"/>
    <cellStyle name="Nota 7 2 3 3" xfId="22583" xr:uid="{00000000-0005-0000-0000-000008580000}"/>
    <cellStyle name="Nota 7 2 3 3 2" xfId="22584" xr:uid="{00000000-0005-0000-0000-000009580000}"/>
    <cellStyle name="Nota 7 2 3 4" xfId="22585" xr:uid="{00000000-0005-0000-0000-00000A580000}"/>
    <cellStyle name="Nota 7 2 4" xfId="22586" xr:uid="{00000000-0005-0000-0000-00000B580000}"/>
    <cellStyle name="Nota 7 2 4 2" xfId="22587" xr:uid="{00000000-0005-0000-0000-00000C580000}"/>
    <cellStyle name="Nota 7 2 4 2 2" xfId="22588" xr:uid="{00000000-0005-0000-0000-00000D580000}"/>
    <cellStyle name="Nota 7 2 4 3" xfId="22589" xr:uid="{00000000-0005-0000-0000-00000E580000}"/>
    <cellStyle name="Nota 7 2 5" xfId="22590" xr:uid="{00000000-0005-0000-0000-00000F580000}"/>
    <cellStyle name="Nota 7 2 5 2" xfId="22591" xr:uid="{00000000-0005-0000-0000-000010580000}"/>
    <cellStyle name="Nota 7 2 6" xfId="22592" xr:uid="{00000000-0005-0000-0000-000011580000}"/>
    <cellStyle name="Nota 7 3" xfId="22593" xr:uid="{00000000-0005-0000-0000-000012580000}"/>
    <cellStyle name="Nota 7 3 2" xfId="22594" xr:uid="{00000000-0005-0000-0000-000013580000}"/>
    <cellStyle name="Nota 7 3 2 2" xfId="22595" xr:uid="{00000000-0005-0000-0000-000014580000}"/>
    <cellStyle name="Nota 7 3 2 2 2" xfId="22596" xr:uid="{00000000-0005-0000-0000-000015580000}"/>
    <cellStyle name="Nota 7 3 2 3" xfId="22597" xr:uid="{00000000-0005-0000-0000-000016580000}"/>
    <cellStyle name="Nota 7 3 2 3 2" xfId="22598" xr:uid="{00000000-0005-0000-0000-000017580000}"/>
    <cellStyle name="Nota 7 3 2 4" xfId="22599" xr:uid="{00000000-0005-0000-0000-000018580000}"/>
    <cellStyle name="Nota 7 3 3" xfId="22600" xr:uid="{00000000-0005-0000-0000-000019580000}"/>
    <cellStyle name="Nota 7 3 3 2" xfId="22601" xr:uid="{00000000-0005-0000-0000-00001A580000}"/>
    <cellStyle name="Nota 7 3 4" xfId="22602" xr:uid="{00000000-0005-0000-0000-00001B580000}"/>
    <cellStyle name="Nota 7 3 4 2" xfId="22603" xr:uid="{00000000-0005-0000-0000-00001C580000}"/>
    <cellStyle name="Nota 7 3 5" xfId="22604" xr:uid="{00000000-0005-0000-0000-00001D580000}"/>
    <cellStyle name="Nota 7 4" xfId="22605" xr:uid="{00000000-0005-0000-0000-00001E580000}"/>
    <cellStyle name="Nota 7 4 2" xfId="22606" xr:uid="{00000000-0005-0000-0000-00001F580000}"/>
    <cellStyle name="Nota 7 4 2 2" xfId="22607" xr:uid="{00000000-0005-0000-0000-000020580000}"/>
    <cellStyle name="Nota 7 4 3" xfId="22608" xr:uid="{00000000-0005-0000-0000-000021580000}"/>
    <cellStyle name="Nota 7 4 3 2" xfId="22609" xr:uid="{00000000-0005-0000-0000-000022580000}"/>
    <cellStyle name="Nota 7 4 4" xfId="22610" xr:uid="{00000000-0005-0000-0000-000023580000}"/>
    <cellStyle name="Nota 7 5" xfId="22611" xr:uid="{00000000-0005-0000-0000-000024580000}"/>
    <cellStyle name="Nota 7 5 2" xfId="22612" xr:uid="{00000000-0005-0000-0000-000025580000}"/>
    <cellStyle name="Nota 7 5 2 2" xfId="22613" xr:uid="{00000000-0005-0000-0000-000026580000}"/>
    <cellStyle name="Nota 7 5 3" xfId="22614" xr:uid="{00000000-0005-0000-0000-000027580000}"/>
    <cellStyle name="Nota 7 6" xfId="22615" xr:uid="{00000000-0005-0000-0000-000028580000}"/>
    <cellStyle name="Nota 7 6 2" xfId="22616" xr:uid="{00000000-0005-0000-0000-000029580000}"/>
    <cellStyle name="Nota 7 7" xfId="22617" xr:uid="{00000000-0005-0000-0000-00002A580000}"/>
    <cellStyle name="Nota 8" xfId="22618" xr:uid="{00000000-0005-0000-0000-00002B580000}"/>
    <cellStyle name="Nota 8 2" xfId="22619" xr:uid="{00000000-0005-0000-0000-00002C580000}"/>
    <cellStyle name="Nota 8 2 2" xfId="22620" xr:uid="{00000000-0005-0000-0000-00002D580000}"/>
    <cellStyle name="Nota 8 2 2 2" xfId="22621" xr:uid="{00000000-0005-0000-0000-00002E580000}"/>
    <cellStyle name="Nota 8 2 2 2 2" xfId="22622" xr:uid="{00000000-0005-0000-0000-00002F580000}"/>
    <cellStyle name="Nota 8 2 2 2 2 2" xfId="22623" xr:uid="{00000000-0005-0000-0000-000030580000}"/>
    <cellStyle name="Nota 8 2 2 2 3" xfId="22624" xr:uid="{00000000-0005-0000-0000-000031580000}"/>
    <cellStyle name="Nota 8 2 2 2 3 2" xfId="22625" xr:uid="{00000000-0005-0000-0000-000032580000}"/>
    <cellStyle name="Nota 8 2 2 2 4" xfId="22626" xr:uid="{00000000-0005-0000-0000-000033580000}"/>
    <cellStyle name="Nota 8 2 2 3" xfId="22627" xr:uid="{00000000-0005-0000-0000-000034580000}"/>
    <cellStyle name="Nota 8 2 2 3 2" xfId="22628" xr:uid="{00000000-0005-0000-0000-000035580000}"/>
    <cellStyle name="Nota 8 2 2 4" xfId="22629" xr:uid="{00000000-0005-0000-0000-000036580000}"/>
    <cellStyle name="Nota 8 2 2 4 2" xfId="22630" xr:uid="{00000000-0005-0000-0000-000037580000}"/>
    <cellStyle name="Nota 8 2 2 5" xfId="22631" xr:uid="{00000000-0005-0000-0000-000038580000}"/>
    <cellStyle name="Nota 8 2 3" xfId="22632" xr:uid="{00000000-0005-0000-0000-000039580000}"/>
    <cellStyle name="Nota 8 2 3 2" xfId="22633" xr:uid="{00000000-0005-0000-0000-00003A580000}"/>
    <cellStyle name="Nota 8 2 3 2 2" xfId="22634" xr:uid="{00000000-0005-0000-0000-00003B580000}"/>
    <cellStyle name="Nota 8 2 3 3" xfId="22635" xr:uid="{00000000-0005-0000-0000-00003C580000}"/>
    <cellStyle name="Nota 8 2 3 3 2" xfId="22636" xr:uid="{00000000-0005-0000-0000-00003D580000}"/>
    <cellStyle name="Nota 8 2 3 4" xfId="22637" xr:uid="{00000000-0005-0000-0000-00003E580000}"/>
    <cellStyle name="Nota 8 2 4" xfId="22638" xr:uid="{00000000-0005-0000-0000-00003F580000}"/>
    <cellStyle name="Nota 8 2 4 2" xfId="22639" xr:uid="{00000000-0005-0000-0000-000040580000}"/>
    <cellStyle name="Nota 8 2 4 2 2" xfId="22640" xr:uid="{00000000-0005-0000-0000-000041580000}"/>
    <cellStyle name="Nota 8 2 4 3" xfId="22641" xr:uid="{00000000-0005-0000-0000-000042580000}"/>
    <cellStyle name="Nota 8 2 5" xfId="22642" xr:uid="{00000000-0005-0000-0000-000043580000}"/>
    <cellStyle name="Nota 8 2 5 2" xfId="22643" xr:uid="{00000000-0005-0000-0000-000044580000}"/>
    <cellStyle name="Nota 8 2 6" xfId="22644" xr:uid="{00000000-0005-0000-0000-000045580000}"/>
    <cellStyle name="Nota 8 3" xfId="22645" xr:uid="{00000000-0005-0000-0000-000046580000}"/>
    <cellStyle name="Nota 8 3 2" xfId="22646" xr:uid="{00000000-0005-0000-0000-000047580000}"/>
    <cellStyle name="Nota 8 3 2 2" xfId="22647" xr:uid="{00000000-0005-0000-0000-000048580000}"/>
    <cellStyle name="Nota 8 3 2 2 2" xfId="22648" xr:uid="{00000000-0005-0000-0000-000049580000}"/>
    <cellStyle name="Nota 8 3 2 3" xfId="22649" xr:uid="{00000000-0005-0000-0000-00004A580000}"/>
    <cellStyle name="Nota 8 3 2 3 2" xfId="22650" xr:uid="{00000000-0005-0000-0000-00004B580000}"/>
    <cellStyle name="Nota 8 3 2 4" xfId="22651" xr:uid="{00000000-0005-0000-0000-00004C580000}"/>
    <cellStyle name="Nota 8 3 3" xfId="22652" xr:uid="{00000000-0005-0000-0000-00004D580000}"/>
    <cellStyle name="Nota 8 3 3 2" xfId="22653" xr:uid="{00000000-0005-0000-0000-00004E580000}"/>
    <cellStyle name="Nota 8 3 4" xfId="22654" xr:uid="{00000000-0005-0000-0000-00004F580000}"/>
    <cellStyle name="Nota 8 3 4 2" xfId="22655" xr:uid="{00000000-0005-0000-0000-000050580000}"/>
    <cellStyle name="Nota 8 3 5" xfId="22656" xr:uid="{00000000-0005-0000-0000-000051580000}"/>
    <cellStyle name="Nota 8 4" xfId="22657" xr:uid="{00000000-0005-0000-0000-000052580000}"/>
    <cellStyle name="Nota 8 4 2" xfId="22658" xr:uid="{00000000-0005-0000-0000-000053580000}"/>
    <cellStyle name="Nota 8 4 2 2" xfId="22659" xr:uid="{00000000-0005-0000-0000-000054580000}"/>
    <cellStyle name="Nota 8 4 3" xfId="22660" xr:uid="{00000000-0005-0000-0000-000055580000}"/>
    <cellStyle name="Nota 8 4 3 2" xfId="22661" xr:uid="{00000000-0005-0000-0000-000056580000}"/>
    <cellStyle name="Nota 8 4 4" xfId="22662" xr:uid="{00000000-0005-0000-0000-000057580000}"/>
    <cellStyle name="Nota 8 5" xfId="22663" xr:uid="{00000000-0005-0000-0000-000058580000}"/>
    <cellStyle name="Nota 8 5 2" xfId="22664" xr:uid="{00000000-0005-0000-0000-000059580000}"/>
    <cellStyle name="Nota 8 5 2 2" xfId="22665" xr:uid="{00000000-0005-0000-0000-00005A580000}"/>
    <cellStyle name="Nota 8 5 3" xfId="22666" xr:uid="{00000000-0005-0000-0000-00005B580000}"/>
    <cellStyle name="Nota 8 6" xfId="22667" xr:uid="{00000000-0005-0000-0000-00005C580000}"/>
    <cellStyle name="Nota 8 6 2" xfId="22668" xr:uid="{00000000-0005-0000-0000-00005D580000}"/>
    <cellStyle name="Nota 8 7" xfId="22669" xr:uid="{00000000-0005-0000-0000-00005E580000}"/>
    <cellStyle name="Nota 9" xfId="22670" xr:uid="{00000000-0005-0000-0000-00005F580000}"/>
    <cellStyle name="Nota 9 2" xfId="22671" xr:uid="{00000000-0005-0000-0000-000060580000}"/>
    <cellStyle name="Nota 9 2 2" xfId="22672" xr:uid="{00000000-0005-0000-0000-000061580000}"/>
    <cellStyle name="Nota 9 2 2 2" xfId="22673" xr:uid="{00000000-0005-0000-0000-000062580000}"/>
    <cellStyle name="Nota 9 2 2 2 2" xfId="22674" xr:uid="{00000000-0005-0000-0000-000063580000}"/>
    <cellStyle name="Nota 9 2 2 2 2 2" xfId="22675" xr:uid="{00000000-0005-0000-0000-000064580000}"/>
    <cellStyle name="Nota 9 2 2 2 3" xfId="22676" xr:uid="{00000000-0005-0000-0000-000065580000}"/>
    <cellStyle name="Nota 9 2 2 2 3 2" xfId="22677" xr:uid="{00000000-0005-0000-0000-000066580000}"/>
    <cellStyle name="Nota 9 2 2 2 4" xfId="22678" xr:uid="{00000000-0005-0000-0000-000067580000}"/>
    <cellStyle name="Nota 9 2 2 3" xfId="22679" xr:uid="{00000000-0005-0000-0000-000068580000}"/>
    <cellStyle name="Nota 9 2 2 3 2" xfId="22680" xr:uid="{00000000-0005-0000-0000-000069580000}"/>
    <cellStyle name="Nota 9 2 2 4" xfId="22681" xr:uid="{00000000-0005-0000-0000-00006A580000}"/>
    <cellStyle name="Nota 9 2 2 4 2" xfId="22682" xr:uid="{00000000-0005-0000-0000-00006B580000}"/>
    <cellStyle name="Nota 9 2 2 5" xfId="22683" xr:uid="{00000000-0005-0000-0000-00006C580000}"/>
    <cellStyle name="Nota 9 2 3" xfId="22684" xr:uid="{00000000-0005-0000-0000-00006D580000}"/>
    <cellStyle name="Nota 9 2 3 2" xfId="22685" xr:uid="{00000000-0005-0000-0000-00006E580000}"/>
    <cellStyle name="Nota 9 2 3 2 2" xfId="22686" xr:uid="{00000000-0005-0000-0000-00006F580000}"/>
    <cellStyle name="Nota 9 2 3 3" xfId="22687" xr:uid="{00000000-0005-0000-0000-000070580000}"/>
    <cellStyle name="Nota 9 2 3 3 2" xfId="22688" xr:uid="{00000000-0005-0000-0000-000071580000}"/>
    <cellStyle name="Nota 9 2 3 4" xfId="22689" xr:uid="{00000000-0005-0000-0000-000072580000}"/>
    <cellStyle name="Nota 9 2 4" xfId="22690" xr:uid="{00000000-0005-0000-0000-000073580000}"/>
    <cellStyle name="Nota 9 2 4 2" xfId="22691" xr:uid="{00000000-0005-0000-0000-000074580000}"/>
    <cellStyle name="Nota 9 2 4 2 2" xfId="22692" xr:uid="{00000000-0005-0000-0000-000075580000}"/>
    <cellStyle name="Nota 9 2 4 3" xfId="22693" xr:uid="{00000000-0005-0000-0000-000076580000}"/>
    <cellStyle name="Nota 9 2 5" xfId="22694" xr:uid="{00000000-0005-0000-0000-000077580000}"/>
    <cellStyle name="Nota 9 2 5 2" xfId="22695" xr:uid="{00000000-0005-0000-0000-000078580000}"/>
    <cellStyle name="Nota 9 2 6" xfId="22696" xr:uid="{00000000-0005-0000-0000-000079580000}"/>
    <cellStyle name="Nota 9 3" xfId="22697" xr:uid="{00000000-0005-0000-0000-00007A580000}"/>
    <cellStyle name="Nota 9 3 2" xfId="22698" xr:uid="{00000000-0005-0000-0000-00007B580000}"/>
    <cellStyle name="Nota 9 3 2 2" xfId="22699" xr:uid="{00000000-0005-0000-0000-00007C580000}"/>
    <cellStyle name="Nota 9 3 2 2 2" xfId="22700" xr:uid="{00000000-0005-0000-0000-00007D580000}"/>
    <cellStyle name="Nota 9 3 2 3" xfId="22701" xr:uid="{00000000-0005-0000-0000-00007E580000}"/>
    <cellStyle name="Nota 9 3 2 3 2" xfId="22702" xr:uid="{00000000-0005-0000-0000-00007F580000}"/>
    <cellStyle name="Nota 9 3 2 4" xfId="22703" xr:uid="{00000000-0005-0000-0000-000080580000}"/>
    <cellStyle name="Nota 9 3 3" xfId="22704" xr:uid="{00000000-0005-0000-0000-000081580000}"/>
    <cellStyle name="Nota 9 3 3 2" xfId="22705" xr:uid="{00000000-0005-0000-0000-000082580000}"/>
    <cellStyle name="Nota 9 3 4" xfId="22706" xr:uid="{00000000-0005-0000-0000-000083580000}"/>
    <cellStyle name="Nota 9 3 4 2" xfId="22707" xr:uid="{00000000-0005-0000-0000-000084580000}"/>
    <cellStyle name="Nota 9 3 5" xfId="22708" xr:uid="{00000000-0005-0000-0000-000085580000}"/>
    <cellStyle name="Nota 9 4" xfId="22709" xr:uid="{00000000-0005-0000-0000-000086580000}"/>
    <cellStyle name="Nota 9 4 2" xfId="22710" xr:uid="{00000000-0005-0000-0000-000087580000}"/>
    <cellStyle name="Nota 9 4 2 2" xfId="22711" xr:uid="{00000000-0005-0000-0000-000088580000}"/>
    <cellStyle name="Nota 9 4 3" xfId="22712" xr:uid="{00000000-0005-0000-0000-000089580000}"/>
    <cellStyle name="Nota 9 4 3 2" xfId="22713" xr:uid="{00000000-0005-0000-0000-00008A580000}"/>
    <cellStyle name="Nota 9 4 4" xfId="22714" xr:uid="{00000000-0005-0000-0000-00008B580000}"/>
    <cellStyle name="Nota 9 5" xfId="22715" xr:uid="{00000000-0005-0000-0000-00008C580000}"/>
    <cellStyle name="Nota 9 5 2" xfId="22716" xr:uid="{00000000-0005-0000-0000-00008D580000}"/>
    <cellStyle name="Nota 9 5 2 2" xfId="22717" xr:uid="{00000000-0005-0000-0000-00008E580000}"/>
    <cellStyle name="Nota 9 5 3" xfId="22718" xr:uid="{00000000-0005-0000-0000-00008F580000}"/>
    <cellStyle name="Nota 9 6" xfId="22719" xr:uid="{00000000-0005-0000-0000-000090580000}"/>
    <cellStyle name="Nota 9 6 2" xfId="22720" xr:uid="{00000000-0005-0000-0000-000091580000}"/>
    <cellStyle name="Nota 9 7" xfId="22721" xr:uid="{00000000-0005-0000-0000-000092580000}"/>
    <cellStyle name="Notas 2" xfId="22722" xr:uid="{00000000-0005-0000-0000-000093580000}"/>
    <cellStyle name="Notas 3" xfId="22723" xr:uid="{00000000-0005-0000-0000-000094580000}"/>
    <cellStyle name="Notas 3 2" xfId="22724" xr:uid="{00000000-0005-0000-0000-000095580000}"/>
    <cellStyle name="Notas 4" xfId="22725" xr:uid="{00000000-0005-0000-0000-000096580000}"/>
    <cellStyle name="Notas 4 2" xfId="22726" xr:uid="{00000000-0005-0000-0000-000097580000}"/>
    <cellStyle name="Notas 5" xfId="22727" xr:uid="{00000000-0005-0000-0000-000098580000}"/>
    <cellStyle name="Notas 5 2" xfId="22728" xr:uid="{00000000-0005-0000-0000-000099580000}"/>
    <cellStyle name="Notas 6" xfId="22729" xr:uid="{00000000-0005-0000-0000-00009A580000}"/>
    <cellStyle name="Notas 6 2" xfId="22730" xr:uid="{00000000-0005-0000-0000-00009B580000}"/>
    <cellStyle name="Notas 7" xfId="22731" xr:uid="{00000000-0005-0000-0000-00009C580000}"/>
    <cellStyle name="Notas 7 2" xfId="22732" xr:uid="{00000000-0005-0000-0000-00009D580000}"/>
    <cellStyle name="Note" xfId="61" xr:uid="{00000000-0005-0000-0000-00009E580000}"/>
    <cellStyle name="Note 2" xfId="22733" xr:uid="{00000000-0005-0000-0000-00009F580000}"/>
    <cellStyle name="Note 3" xfId="22734" xr:uid="{00000000-0005-0000-0000-0000A0580000}"/>
    <cellStyle name="NPPESalesPct" xfId="22735" xr:uid="{00000000-0005-0000-0000-0000A1580000}"/>
    <cellStyle name="NPPESalesPct 2" xfId="22736" xr:uid="{00000000-0005-0000-0000-0000A2580000}"/>
    <cellStyle name="Number" xfId="22737" xr:uid="{00000000-0005-0000-0000-0000A3580000}"/>
    <cellStyle name="Number [0]" xfId="119" xr:uid="{00000000-0005-0000-0000-0000A4580000}"/>
    <cellStyle name="Number [1]" xfId="120" xr:uid="{00000000-0005-0000-0000-0000A5580000}"/>
    <cellStyle name="Number [2]" xfId="121" xr:uid="{00000000-0005-0000-0000-0000A6580000}"/>
    <cellStyle name="Number 2" xfId="22738" xr:uid="{00000000-0005-0000-0000-0000A7580000}"/>
    <cellStyle name="Numberi" xfId="22739" xr:uid="{00000000-0005-0000-0000-0000A8580000}"/>
    <cellStyle name="Numbers" xfId="22740" xr:uid="{00000000-0005-0000-0000-0000A9580000}"/>
    <cellStyle name="Numbers - Bold" xfId="22741" xr:uid="{00000000-0005-0000-0000-0000AA580000}"/>
    <cellStyle name="Numbers_Changed Comps 2.11.04" xfId="22742" xr:uid="{00000000-0005-0000-0000-0000AB580000}"/>
    <cellStyle name="NUMEROS" xfId="22743" xr:uid="{00000000-0005-0000-0000-0000AC580000}"/>
    <cellStyle name="NWI%S" xfId="22744" xr:uid="{00000000-0005-0000-0000-0000AD580000}"/>
    <cellStyle name="NWI%S 2" xfId="22745" xr:uid="{00000000-0005-0000-0000-0000AE580000}"/>
    <cellStyle name="Œ…‹æØ‚è [0.00]_COST_SUM" xfId="22746" xr:uid="{00000000-0005-0000-0000-0000AF580000}"/>
    <cellStyle name="Œ…‹æØ‚è_COST_SUM" xfId="22747" xr:uid="{00000000-0005-0000-0000-0000B0580000}"/>
    <cellStyle name="Onedec" xfId="22748" xr:uid="{00000000-0005-0000-0000-0000B1580000}"/>
    <cellStyle name="onedec 2" xfId="22749" xr:uid="{00000000-0005-0000-0000-0000B2580000}"/>
    <cellStyle name="Out_range" xfId="22750" xr:uid="{00000000-0005-0000-0000-0000B3580000}"/>
    <cellStyle name="Output" xfId="62" xr:uid="{00000000-0005-0000-0000-0000B4580000}"/>
    <cellStyle name="Output 2" xfId="22751" xr:uid="{00000000-0005-0000-0000-0000B5580000}"/>
    <cellStyle name="P&amp;L Numbers" xfId="22752" xr:uid="{00000000-0005-0000-0000-0000B6580000}"/>
    <cellStyle name="P&amp;L Numbers 2" xfId="22753" xr:uid="{00000000-0005-0000-0000-0000B7580000}"/>
    <cellStyle name="Page Heading" xfId="22754" xr:uid="{00000000-0005-0000-0000-0000B8580000}"/>
    <cellStyle name="Page Heading 2" xfId="22755" xr:uid="{00000000-0005-0000-0000-0000B9580000}"/>
    <cellStyle name="Page Heading Large" xfId="22756" xr:uid="{00000000-0005-0000-0000-0000BA580000}"/>
    <cellStyle name="Page Heading Large 2" xfId="22757" xr:uid="{00000000-0005-0000-0000-0000BB580000}"/>
    <cellStyle name="Page Heading Small" xfId="22758" xr:uid="{00000000-0005-0000-0000-0000BC580000}"/>
    <cellStyle name="Page Heading Small 2" xfId="22759" xr:uid="{00000000-0005-0000-0000-0000BD580000}"/>
    <cellStyle name="Page Number" xfId="22760" xr:uid="{00000000-0005-0000-0000-0000BE580000}"/>
    <cellStyle name="Page_Header" xfId="22761" xr:uid="{00000000-0005-0000-0000-0000BF580000}"/>
    <cellStyle name="pc1" xfId="22762" xr:uid="{00000000-0005-0000-0000-0000C0580000}"/>
    <cellStyle name="pc1 2" xfId="22763" xr:uid="{00000000-0005-0000-0000-0000C1580000}"/>
    <cellStyle name="pcent" xfId="22764" xr:uid="{00000000-0005-0000-0000-0000C2580000}"/>
    <cellStyle name="pcent 2" xfId="22765" xr:uid="{00000000-0005-0000-0000-0000C3580000}"/>
    <cellStyle name="pct_sub" xfId="22766" xr:uid="{00000000-0005-0000-0000-0000C4580000}"/>
    <cellStyle name="Percen - Estilo1" xfId="22767" xr:uid="{00000000-0005-0000-0000-0000C5580000}"/>
    <cellStyle name="Percen - Estilo2" xfId="22768" xr:uid="{00000000-0005-0000-0000-0000C6580000}"/>
    <cellStyle name="Percent" xfId="22769" xr:uid="{00000000-0005-0000-0000-0000C7580000}"/>
    <cellStyle name="Percent (0)" xfId="22770" xr:uid="{00000000-0005-0000-0000-0000C8580000}"/>
    <cellStyle name="Percent [0%]" xfId="22771" xr:uid="{00000000-0005-0000-0000-0000C9580000}"/>
    <cellStyle name="Percent [0%] 2" xfId="22772" xr:uid="{00000000-0005-0000-0000-0000CA580000}"/>
    <cellStyle name="Percent [0.00%]" xfId="22773" xr:uid="{00000000-0005-0000-0000-0000CB580000}"/>
    <cellStyle name="Percent [0.00%] 2" xfId="22774" xr:uid="{00000000-0005-0000-0000-0000CC580000}"/>
    <cellStyle name="Percent [0]" xfId="122" xr:uid="{00000000-0005-0000-0000-0000CD580000}"/>
    <cellStyle name="Percent [0] 2" xfId="22775" xr:uid="{00000000-0005-0000-0000-0000CE580000}"/>
    <cellStyle name="Percent [1]" xfId="123" xr:uid="{00000000-0005-0000-0000-0000CF580000}"/>
    <cellStyle name="Percent [1] 2" xfId="22776" xr:uid="{00000000-0005-0000-0000-0000D0580000}"/>
    <cellStyle name="Percent [2]" xfId="124" xr:uid="{00000000-0005-0000-0000-0000D1580000}"/>
    <cellStyle name="Percent [2] 2" xfId="22777" xr:uid="{00000000-0005-0000-0000-0000D2580000}"/>
    <cellStyle name="Percent 10" xfId="22778" xr:uid="{00000000-0005-0000-0000-0000D3580000}"/>
    <cellStyle name="Percent 10 10" xfId="22779" xr:uid="{00000000-0005-0000-0000-0000D4580000}"/>
    <cellStyle name="Percent 10 11" xfId="22780" xr:uid="{00000000-0005-0000-0000-0000D5580000}"/>
    <cellStyle name="Percent 10 12" xfId="22781" xr:uid="{00000000-0005-0000-0000-0000D6580000}"/>
    <cellStyle name="Percent 10 13" xfId="22782" xr:uid="{00000000-0005-0000-0000-0000D7580000}"/>
    <cellStyle name="Percent 10 14" xfId="22783" xr:uid="{00000000-0005-0000-0000-0000D8580000}"/>
    <cellStyle name="Percent 10 15" xfId="22784" xr:uid="{00000000-0005-0000-0000-0000D9580000}"/>
    <cellStyle name="Percent 10 2" xfId="22785" xr:uid="{00000000-0005-0000-0000-0000DA580000}"/>
    <cellStyle name="Percent 10 3" xfId="22786" xr:uid="{00000000-0005-0000-0000-0000DB580000}"/>
    <cellStyle name="Percent 10 4" xfId="22787" xr:uid="{00000000-0005-0000-0000-0000DC580000}"/>
    <cellStyle name="Percent 10 5" xfId="22788" xr:uid="{00000000-0005-0000-0000-0000DD580000}"/>
    <cellStyle name="Percent 10 6" xfId="22789" xr:uid="{00000000-0005-0000-0000-0000DE580000}"/>
    <cellStyle name="Percent 10 7" xfId="22790" xr:uid="{00000000-0005-0000-0000-0000DF580000}"/>
    <cellStyle name="Percent 10 8" xfId="22791" xr:uid="{00000000-0005-0000-0000-0000E0580000}"/>
    <cellStyle name="Percent 10 9" xfId="22792" xr:uid="{00000000-0005-0000-0000-0000E1580000}"/>
    <cellStyle name="Percent 11" xfId="22793" xr:uid="{00000000-0005-0000-0000-0000E2580000}"/>
    <cellStyle name="Percent 2" xfId="22794" xr:uid="{00000000-0005-0000-0000-0000E3580000}"/>
    <cellStyle name="Percent 2 10" xfId="22795" xr:uid="{00000000-0005-0000-0000-0000E4580000}"/>
    <cellStyle name="Percent 2 11" xfId="22796" xr:uid="{00000000-0005-0000-0000-0000E5580000}"/>
    <cellStyle name="Percent 2 12" xfId="22797" xr:uid="{00000000-0005-0000-0000-0000E6580000}"/>
    <cellStyle name="Percent 2 13" xfId="22798" xr:uid="{00000000-0005-0000-0000-0000E7580000}"/>
    <cellStyle name="Percent 2 14" xfId="22799" xr:uid="{00000000-0005-0000-0000-0000E8580000}"/>
    <cellStyle name="Percent 2 15" xfId="22800" xr:uid="{00000000-0005-0000-0000-0000E9580000}"/>
    <cellStyle name="Percent 2 16" xfId="22801" xr:uid="{00000000-0005-0000-0000-0000EA580000}"/>
    <cellStyle name="Percent 2 17" xfId="22802" xr:uid="{00000000-0005-0000-0000-0000EB580000}"/>
    <cellStyle name="Percent 2 18" xfId="22803" xr:uid="{00000000-0005-0000-0000-0000EC580000}"/>
    <cellStyle name="Percent 2 2" xfId="22804" xr:uid="{00000000-0005-0000-0000-0000ED580000}"/>
    <cellStyle name="Percent 2 3" xfId="22805" xr:uid="{00000000-0005-0000-0000-0000EE580000}"/>
    <cellStyle name="Percent 2 4" xfId="22806" xr:uid="{00000000-0005-0000-0000-0000EF580000}"/>
    <cellStyle name="Percent 2 5" xfId="22807" xr:uid="{00000000-0005-0000-0000-0000F0580000}"/>
    <cellStyle name="Percent 2 6" xfId="22808" xr:uid="{00000000-0005-0000-0000-0000F1580000}"/>
    <cellStyle name="Percent 2 7" xfId="22809" xr:uid="{00000000-0005-0000-0000-0000F2580000}"/>
    <cellStyle name="Percent 2 8" xfId="22810" xr:uid="{00000000-0005-0000-0000-0000F3580000}"/>
    <cellStyle name="Percent 2 9" xfId="22811" xr:uid="{00000000-0005-0000-0000-0000F4580000}"/>
    <cellStyle name="Percent 21" xfId="22812" xr:uid="{00000000-0005-0000-0000-0000F5580000}"/>
    <cellStyle name="Percent 22" xfId="22813" xr:uid="{00000000-0005-0000-0000-0000F6580000}"/>
    <cellStyle name="Percent 3" xfId="22814" xr:uid="{00000000-0005-0000-0000-0000F7580000}"/>
    <cellStyle name="Percent 3 2" xfId="22815" xr:uid="{00000000-0005-0000-0000-0000F8580000}"/>
    <cellStyle name="Percent 3 5" xfId="22816" xr:uid="{00000000-0005-0000-0000-0000F9580000}"/>
    <cellStyle name="Percent 4" xfId="22817" xr:uid="{00000000-0005-0000-0000-0000FA580000}"/>
    <cellStyle name="Percent 4 2" xfId="22818" xr:uid="{00000000-0005-0000-0000-0000FB580000}"/>
    <cellStyle name="Percent 5" xfId="22819" xr:uid="{00000000-0005-0000-0000-0000FC580000}"/>
    <cellStyle name="Percent 5 10" xfId="22820" xr:uid="{00000000-0005-0000-0000-0000FD580000}"/>
    <cellStyle name="Percent 5 11" xfId="22821" xr:uid="{00000000-0005-0000-0000-0000FE580000}"/>
    <cellStyle name="Percent 5 12" xfId="22822" xr:uid="{00000000-0005-0000-0000-0000FF580000}"/>
    <cellStyle name="Percent 5 13" xfId="22823" xr:uid="{00000000-0005-0000-0000-000000590000}"/>
    <cellStyle name="Percent 5 14" xfId="22824" xr:uid="{00000000-0005-0000-0000-000001590000}"/>
    <cellStyle name="Percent 5 15" xfId="22825" xr:uid="{00000000-0005-0000-0000-000002590000}"/>
    <cellStyle name="Percent 5 16" xfId="22826" xr:uid="{00000000-0005-0000-0000-000003590000}"/>
    <cellStyle name="Percent 5 2" xfId="22827" xr:uid="{00000000-0005-0000-0000-000004590000}"/>
    <cellStyle name="Percent 5 2 10" xfId="22828" xr:uid="{00000000-0005-0000-0000-000005590000}"/>
    <cellStyle name="Percent 5 2 11" xfId="22829" xr:uid="{00000000-0005-0000-0000-000006590000}"/>
    <cellStyle name="Percent 5 2 12" xfId="22830" xr:uid="{00000000-0005-0000-0000-000007590000}"/>
    <cellStyle name="Percent 5 2 13" xfId="22831" xr:uid="{00000000-0005-0000-0000-000008590000}"/>
    <cellStyle name="Percent 5 2 14" xfId="22832" xr:uid="{00000000-0005-0000-0000-000009590000}"/>
    <cellStyle name="Percent 5 2 15" xfId="22833" xr:uid="{00000000-0005-0000-0000-00000A590000}"/>
    <cellStyle name="Percent 5 2 2" xfId="22834" xr:uid="{00000000-0005-0000-0000-00000B590000}"/>
    <cellStyle name="Percent 5 2 3" xfId="22835" xr:uid="{00000000-0005-0000-0000-00000C590000}"/>
    <cellStyle name="Percent 5 2 4" xfId="22836" xr:uid="{00000000-0005-0000-0000-00000D590000}"/>
    <cellStyle name="Percent 5 2 5" xfId="22837" xr:uid="{00000000-0005-0000-0000-00000E590000}"/>
    <cellStyle name="Percent 5 2 6" xfId="22838" xr:uid="{00000000-0005-0000-0000-00000F590000}"/>
    <cellStyle name="Percent 5 2 7" xfId="22839" xr:uid="{00000000-0005-0000-0000-000010590000}"/>
    <cellStyle name="Percent 5 2 8" xfId="22840" xr:uid="{00000000-0005-0000-0000-000011590000}"/>
    <cellStyle name="Percent 5 2 9" xfId="22841" xr:uid="{00000000-0005-0000-0000-000012590000}"/>
    <cellStyle name="Percent 5 3" xfId="22842" xr:uid="{00000000-0005-0000-0000-000013590000}"/>
    <cellStyle name="Percent 5 4" xfId="22843" xr:uid="{00000000-0005-0000-0000-000014590000}"/>
    <cellStyle name="Percent 5 5" xfId="22844" xr:uid="{00000000-0005-0000-0000-000015590000}"/>
    <cellStyle name="Percent 5 6" xfId="22845" xr:uid="{00000000-0005-0000-0000-000016590000}"/>
    <cellStyle name="Percent 5 7" xfId="22846" xr:uid="{00000000-0005-0000-0000-000017590000}"/>
    <cellStyle name="Percent 5 8" xfId="22847" xr:uid="{00000000-0005-0000-0000-000018590000}"/>
    <cellStyle name="Percent 5 9" xfId="22848" xr:uid="{00000000-0005-0000-0000-000019590000}"/>
    <cellStyle name="Percent 6" xfId="22849" xr:uid="{00000000-0005-0000-0000-00001A590000}"/>
    <cellStyle name="Percent 7" xfId="22850" xr:uid="{00000000-0005-0000-0000-00001B590000}"/>
    <cellStyle name="Percent 7 2" xfId="22851" xr:uid="{00000000-0005-0000-0000-00001C590000}"/>
    <cellStyle name="Percent 7 3" xfId="22852" xr:uid="{00000000-0005-0000-0000-00001D590000}"/>
    <cellStyle name="Percent 8" xfId="22853" xr:uid="{00000000-0005-0000-0000-00001E590000}"/>
    <cellStyle name="Percent 9" xfId="22854" xr:uid="{00000000-0005-0000-0000-00001F590000}"/>
    <cellStyle name="Percent Comma" xfId="22855" xr:uid="{00000000-0005-0000-0000-000020590000}"/>
    <cellStyle name="Percent Hard" xfId="22856" xr:uid="{00000000-0005-0000-0000-000021590000}"/>
    <cellStyle name="Percent Hard 2" xfId="22857" xr:uid="{00000000-0005-0000-0000-000022590000}"/>
    <cellStyle name="Percent_GrupoRohr_ModeloAvalEconFin_v.80" xfId="22858" xr:uid="{00000000-0005-0000-0000-000023590000}"/>
    <cellStyle name="Percent1" xfId="22859" xr:uid="{00000000-0005-0000-0000-000024590000}"/>
    <cellStyle name="Percentage" xfId="22860" xr:uid="{00000000-0005-0000-0000-000025590000}"/>
    <cellStyle name="Percentagem 2" xfId="22861" xr:uid="{00000000-0005-0000-0000-000026590000}"/>
    <cellStyle name="Percentagem 3" xfId="22862" xr:uid="{00000000-0005-0000-0000-000027590000}"/>
    <cellStyle name="Percenti" xfId="22863" xr:uid="{00000000-0005-0000-0000-000028590000}"/>
    <cellStyle name="PercentSales" xfId="22864" xr:uid="{00000000-0005-0000-0000-000029590000}"/>
    <cellStyle name="PercentSales 2" xfId="22865" xr:uid="{00000000-0005-0000-0000-00002A590000}"/>
    <cellStyle name="Percentual" xfId="11" xr:uid="{00000000-0005-0000-0000-00002B590000}"/>
    <cellStyle name="Perlong" xfId="22866" xr:uid="{00000000-0005-0000-0000-00002C590000}"/>
    <cellStyle name="pk" xfId="125" xr:uid="{00000000-0005-0000-0000-00002D590000}"/>
    <cellStyle name="Ponto" xfId="12" xr:uid="{00000000-0005-0000-0000-00002E590000}"/>
    <cellStyle name="Porcentagem" xfId="13" builtinId="5"/>
    <cellStyle name="Porcentagem 10" xfId="22867" xr:uid="{00000000-0005-0000-0000-000030590000}"/>
    <cellStyle name="Porcentagem 10 2" xfId="22868" xr:uid="{00000000-0005-0000-0000-000031590000}"/>
    <cellStyle name="Porcentagem 10 3" xfId="22869" xr:uid="{00000000-0005-0000-0000-000032590000}"/>
    <cellStyle name="Porcentagem 11" xfId="22870" xr:uid="{00000000-0005-0000-0000-000033590000}"/>
    <cellStyle name="Porcentagem 11 2" xfId="22871" xr:uid="{00000000-0005-0000-0000-000034590000}"/>
    <cellStyle name="Porcentagem 12" xfId="22872" xr:uid="{00000000-0005-0000-0000-000035590000}"/>
    <cellStyle name="Porcentagem 13" xfId="22873" xr:uid="{00000000-0005-0000-0000-000036590000}"/>
    <cellStyle name="Porcentagem 13 2" xfId="22874" xr:uid="{00000000-0005-0000-0000-000037590000}"/>
    <cellStyle name="Porcentagem 13 2 2" xfId="22875" xr:uid="{00000000-0005-0000-0000-000038590000}"/>
    <cellStyle name="Porcentagem 13 3" xfId="22876" xr:uid="{00000000-0005-0000-0000-000039590000}"/>
    <cellStyle name="Porcentagem 14" xfId="22877" xr:uid="{00000000-0005-0000-0000-00003A590000}"/>
    <cellStyle name="Porcentagem 15" xfId="22878" xr:uid="{00000000-0005-0000-0000-00003B590000}"/>
    <cellStyle name="Porcentagem 16" xfId="22879" xr:uid="{00000000-0005-0000-0000-00003C590000}"/>
    <cellStyle name="Porcentagem 16 2" xfId="22880" xr:uid="{00000000-0005-0000-0000-00003D590000}"/>
    <cellStyle name="Porcentagem 17" xfId="22881" xr:uid="{00000000-0005-0000-0000-00003E590000}"/>
    <cellStyle name="Porcentagem 18" xfId="22882" xr:uid="{00000000-0005-0000-0000-00003F590000}"/>
    <cellStyle name="Porcentagem 19" xfId="22883" xr:uid="{00000000-0005-0000-0000-000040590000}"/>
    <cellStyle name="Porcentagem 2" xfId="22" xr:uid="{00000000-0005-0000-0000-000041590000}"/>
    <cellStyle name="Porcentagem 2 10" xfId="22884" xr:uid="{00000000-0005-0000-0000-000042590000}"/>
    <cellStyle name="Porcentagem 2 11" xfId="22885" xr:uid="{00000000-0005-0000-0000-000043590000}"/>
    <cellStyle name="Porcentagem 2 12" xfId="22886" xr:uid="{00000000-0005-0000-0000-000044590000}"/>
    <cellStyle name="Porcentagem 2 13" xfId="22887" xr:uid="{00000000-0005-0000-0000-000045590000}"/>
    <cellStyle name="Porcentagem 2 14" xfId="22888" xr:uid="{00000000-0005-0000-0000-000046590000}"/>
    <cellStyle name="Porcentagem 2 15" xfId="22889" xr:uid="{00000000-0005-0000-0000-000047590000}"/>
    <cellStyle name="Porcentagem 2 16" xfId="22890" xr:uid="{00000000-0005-0000-0000-000048590000}"/>
    <cellStyle name="Porcentagem 2 17" xfId="22891" xr:uid="{00000000-0005-0000-0000-000049590000}"/>
    <cellStyle name="Porcentagem 2 18" xfId="22892" xr:uid="{00000000-0005-0000-0000-00004A590000}"/>
    <cellStyle name="Porcentagem 2 19" xfId="22893" xr:uid="{00000000-0005-0000-0000-00004B590000}"/>
    <cellStyle name="Porcentagem 2 2" xfId="143" xr:uid="{00000000-0005-0000-0000-00004C590000}"/>
    <cellStyle name="Porcentagem 2 2 2" xfId="22894" xr:uid="{00000000-0005-0000-0000-00004D590000}"/>
    <cellStyle name="Porcentagem 2 2 2 2" xfId="22895" xr:uid="{00000000-0005-0000-0000-00004E590000}"/>
    <cellStyle name="Porcentagem 2 2 2 2 2" xfId="22896" xr:uid="{00000000-0005-0000-0000-00004F590000}"/>
    <cellStyle name="Porcentagem 2 2 2 2 2 2" xfId="22897" xr:uid="{00000000-0005-0000-0000-000050590000}"/>
    <cellStyle name="Porcentagem 2 2 2 2 3" xfId="22898" xr:uid="{00000000-0005-0000-0000-000051590000}"/>
    <cellStyle name="Porcentagem 2 2 2 2 3 2" xfId="22899" xr:uid="{00000000-0005-0000-0000-000052590000}"/>
    <cellStyle name="Porcentagem 2 2 2 2 4" xfId="22900" xr:uid="{00000000-0005-0000-0000-000053590000}"/>
    <cellStyle name="Porcentagem 2 2 2 3" xfId="22901" xr:uid="{00000000-0005-0000-0000-000054590000}"/>
    <cellStyle name="Porcentagem 2 2 2 3 2" xfId="22902" xr:uid="{00000000-0005-0000-0000-000055590000}"/>
    <cellStyle name="Porcentagem 2 2 2 3 2 2" xfId="22903" xr:uid="{00000000-0005-0000-0000-000056590000}"/>
    <cellStyle name="Porcentagem 2 2 2 3 3" xfId="22904" xr:uid="{00000000-0005-0000-0000-000057590000}"/>
    <cellStyle name="Porcentagem 2 2 2 4" xfId="22905" xr:uid="{00000000-0005-0000-0000-000058590000}"/>
    <cellStyle name="Porcentagem 2 2 2 4 2" xfId="22906" xr:uid="{00000000-0005-0000-0000-000059590000}"/>
    <cellStyle name="Porcentagem 2 2 2 4 2 2" xfId="22907" xr:uid="{00000000-0005-0000-0000-00005A590000}"/>
    <cellStyle name="Porcentagem 2 2 2 4 3" xfId="22908" xr:uid="{00000000-0005-0000-0000-00005B590000}"/>
    <cellStyle name="Porcentagem 2 2 2 5" xfId="22909" xr:uid="{00000000-0005-0000-0000-00005C590000}"/>
    <cellStyle name="Porcentagem 2 2 2 5 2" xfId="22910" xr:uid="{00000000-0005-0000-0000-00005D590000}"/>
    <cellStyle name="Porcentagem 2 2 2 5 2 2" xfId="22911" xr:uid="{00000000-0005-0000-0000-00005E590000}"/>
    <cellStyle name="Porcentagem 2 2 2 5 3" xfId="22912" xr:uid="{00000000-0005-0000-0000-00005F590000}"/>
    <cellStyle name="Porcentagem 2 2 2 6" xfId="22913" xr:uid="{00000000-0005-0000-0000-000060590000}"/>
    <cellStyle name="Porcentagem 2 2 2 6 2" xfId="22914" xr:uid="{00000000-0005-0000-0000-000061590000}"/>
    <cellStyle name="Porcentagem 2 2 2 7" xfId="22915" xr:uid="{00000000-0005-0000-0000-000062590000}"/>
    <cellStyle name="Porcentagem 2 2 3" xfId="22916" xr:uid="{00000000-0005-0000-0000-000063590000}"/>
    <cellStyle name="Porcentagem 2 2 3 2" xfId="22917" xr:uid="{00000000-0005-0000-0000-000064590000}"/>
    <cellStyle name="Porcentagem 2 2 3 2 2" xfId="22918" xr:uid="{00000000-0005-0000-0000-000065590000}"/>
    <cellStyle name="Porcentagem 2 2 3 2 2 2" xfId="22919" xr:uid="{00000000-0005-0000-0000-000066590000}"/>
    <cellStyle name="Porcentagem 2 2 3 2 3" xfId="22920" xr:uid="{00000000-0005-0000-0000-000067590000}"/>
    <cellStyle name="Porcentagem 2 2 3 2 3 2" xfId="22921" xr:uid="{00000000-0005-0000-0000-000068590000}"/>
    <cellStyle name="Porcentagem 2 2 3 2 4" xfId="22922" xr:uid="{00000000-0005-0000-0000-000069590000}"/>
    <cellStyle name="Porcentagem 2 2 3 3" xfId="22923" xr:uid="{00000000-0005-0000-0000-00006A590000}"/>
    <cellStyle name="Porcentagem 2 2 3 3 2" xfId="22924" xr:uid="{00000000-0005-0000-0000-00006B590000}"/>
    <cellStyle name="Porcentagem 2 2 3 3 2 2" xfId="22925" xr:uid="{00000000-0005-0000-0000-00006C590000}"/>
    <cellStyle name="Porcentagem 2 2 3 3 3" xfId="22926" xr:uid="{00000000-0005-0000-0000-00006D590000}"/>
    <cellStyle name="Porcentagem 2 2 3 3 3 2" xfId="22927" xr:uid="{00000000-0005-0000-0000-00006E590000}"/>
    <cellStyle name="Porcentagem 2 2 3 3 4" xfId="22928" xr:uid="{00000000-0005-0000-0000-00006F590000}"/>
    <cellStyle name="Porcentagem 2 2 3 4" xfId="22929" xr:uid="{00000000-0005-0000-0000-000070590000}"/>
    <cellStyle name="Porcentagem 2 2 3 4 2" xfId="22930" xr:uid="{00000000-0005-0000-0000-000071590000}"/>
    <cellStyle name="Porcentagem 2 2 3 5" xfId="22931" xr:uid="{00000000-0005-0000-0000-000072590000}"/>
    <cellStyle name="Porcentagem 2 2 3 5 2" xfId="22932" xr:uid="{00000000-0005-0000-0000-000073590000}"/>
    <cellStyle name="Porcentagem 2 2 3 6" xfId="22933" xr:uid="{00000000-0005-0000-0000-000074590000}"/>
    <cellStyle name="Porcentagem 2 2 4" xfId="22934" xr:uid="{00000000-0005-0000-0000-000075590000}"/>
    <cellStyle name="Porcentagem 2 2 4 2" xfId="22935" xr:uid="{00000000-0005-0000-0000-000076590000}"/>
    <cellStyle name="Porcentagem 2 2 4 2 2" xfId="22936" xr:uid="{00000000-0005-0000-0000-000077590000}"/>
    <cellStyle name="Porcentagem 2 2 4 3" xfId="22937" xr:uid="{00000000-0005-0000-0000-000078590000}"/>
    <cellStyle name="Porcentagem 2 2 4 3 2" xfId="22938" xr:uid="{00000000-0005-0000-0000-000079590000}"/>
    <cellStyle name="Porcentagem 2 2 4 4" xfId="22939" xr:uid="{00000000-0005-0000-0000-00007A590000}"/>
    <cellStyle name="Porcentagem 2 2 5" xfId="22940" xr:uid="{00000000-0005-0000-0000-00007B590000}"/>
    <cellStyle name="Porcentagem 2 2 5 2" xfId="22941" xr:uid="{00000000-0005-0000-0000-00007C590000}"/>
    <cellStyle name="Porcentagem 2 2 5 2 2" xfId="22942" xr:uid="{00000000-0005-0000-0000-00007D590000}"/>
    <cellStyle name="Porcentagem 2 2 5 3" xfId="22943" xr:uid="{00000000-0005-0000-0000-00007E590000}"/>
    <cellStyle name="Porcentagem 2 2 6" xfId="22944" xr:uid="{00000000-0005-0000-0000-00007F590000}"/>
    <cellStyle name="Porcentagem 2 2 6 2" xfId="22945" xr:uid="{00000000-0005-0000-0000-000080590000}"/>
    <cellStyle name="Porcentagem 2 2 6 2 2" xfId="22946" xr:uid="{00000000-0005-0000-0000-000081590000}"/>
    <cellStyle name="Porcentagem 2 2 6 3" xfId="22947" xr:uid="{00000000-0005-0000-0000-000082590000}"/>
    <cellStyle name="Porcentagem 2 2 7" xfId="22948" xr:uid="{00000000-0005-0000-0000-000083590000}"/>
    <cellStyle name="Porcentagem 2 2 7 2" xfId="22949" xr:uid="{00000000-0005-0000-0000-000084590000}"/>
    <cellStyle name="Porcentagem 2 2 7 2 2" xfId="22950" xr:uid="{00000000-0005-0000-0000-000085590000}"/>
    <cellStyle name="Porcentagem 2 2 7 3" xfId="22951" xr:uid="{00000000-0005-0000-0000-000086590000}"/>
    <cellStyle name="Porcentagem 2 2 8" xfId="22952" xr:uid="{00000000-0005-0000-0000-000087590000}"/>
    <cellStyle name="Porcentagem 2 2 8 2" xfId="22953" xr:uid="{00000000-0005-0000-0000-000088590000}"/>
    <cellStyle name="Porcentagem 2 2 9" xfId="22954" xr:uid="{00000000-0005-0000-0000-000089590000}"/>
    <cellStyle name="Porcentagem 2 20" xfId="22955" xr:uid="{00000000-0005-0000-0000-00008A590000}"/>
    <cellStyle name="Porcentagem 2 21" xfId="22956" xr:uid="{00000000-0005-0000-0000-00008B590000}"/>
    <cellStyle name="Porcentagem 2 22" xfId="22957" xr:uid="{00000000-0005-0000-0000-00008C590000}"/>
    <cellStyle name="Porcentagem 2 23" xfId="22958" xr:uid="{00000000-0005-0000-0000-00008D590000}"/>
    <cellStyle name="Porcentagem 2 24" xfId="22959" xr:uid="{00000000-0005-0000-0000-00008E590000}"/>
    <cellStyle name="Porcentagem 2 25" xfId="22960" xr:uid="{00000000-0005-0000-0000-00008F590000}"/>
    <cellStyle name="Porcentagem 2 26" xfId="22961" xr:uid="{00000000-0005-0000-0000-000090590000}"/>
    <cellStyle name="Porcentagem 2 27" xfId="22962" xr:uid="{00000000-0005-0000-0000-000091590000}"/>
    <cellStyle name="Porcentagem 2 28" xfId="22963" xr:uid="{00000000-0005-0000-0000-000092590000}"/>
    <cellStyle name="Porcentagem 2 29" xfId="22964" xr:uid="{00000000-0005-0000-0000-000093590000}"/>
    <cellStyle name="Porcentagem 2 3" xfId="22965" xr:uid="{00000000-0005-0000-0000-000094590000}"/>
    <cellStyle name="Porcentagem 2 30" xfId="22966" xr:uid="{00000000-0005-0000-0000-000095590000}"/>
    <cellStyle name="Porcentagem 2 31" xfId="22967" xr:uid="{00000000-0005-0000-0000-000096590000}"/>
    <cellStyle name="Porcentagem 2 32" xfId="22968" xr:uid="{00000000-0005-0000-0000-000097590000}"/>
    <cellStyle name="Porcentagem 2 33" xfId="22969" xr:uid="{00000000-0005-0000-0000-000098590000}"/>
    <cellStyle name="Porcentagem 2 34" xfId="22970" xr:uid="{00000000-0005-0000-0000-000099590000}"/>
    <cellStyle name="Porcentagem 2 35" xfId="22971" xr:uid="{00000000-0005-0000-0000-00009A590000}"/>
    <cellStyle name="Porcentagem 2 36" xfId="22972" xr:uid="{00000000-0005-0000-0000-00009B590000}"/>
    <cellStyle name="Porcentagem 2 37" xfId="22973" xr:uid="{00000000-0005-0000-0000-00009C590000}"/>
    <cellStyle name="Porcentagem 2 38" xfId="22974" xr:uid="{00000000-0005-0000-0000-00009D590000}"/>
    <cellStyle name="Porcentagem 2 39" xfId="22975" xr:uid="{00000000-0005-0000-0000-00009E590000}"/>
    <cellStyle name="Porcentagem 2 4" xfId="22976" xr:uid="{00000000-0005-0000-0000-00009F590000}"/>
    <cellStyle name="Porcentagem 2 40" xfId="22977" xr:uid="{00000000-0005-0000-0000-0000A0590000}"/>
    <cellStyle name="Porcentagem 2 41" xfId="22978" xr:uid="{00000000-0005-0000-0000-0000A1590000}"/>
    <cellStyle name="Porcentagem 2 42" xfId="22979" xr:uid="{00000000-0005-0000-0000-0000A2590000}"/>
    <cellStyle name="Porcentagem 2 43" xfId="22980" xr:uid="{00000000-0005-0000-0000-0000A3590000}"/>
    <cellStyle name="Porcentagem 2 44" xfId="22981" xr:uid="{00000000-0005-0000-0000-0000A4590000}"/>
    <cellStyle name="Porcentagem 2 45" xfId="22982" xr:uid="{00000000-0005-0000-0000-0000A5590000}"/>
    <cellStyle name="Porcentagem 2 46" xfId="22983" xr:uid="{00000000-0005-0000-0000-0000A6590000}"/>
    <cellStyle name="Porcentagem 2 47" xfId="22984" xr:uid="{00000000-0005-0000-0000-0000A7590000}"/>
    <cellStyle name="Porcentagem 2 48" xfId="22985" xr:uid="{00000000-0005-0000-0000-0000A8590000}"/>
    <cellStyle name="Porcentagem 2 49" xfId="22986" xr:uid="{00000000-0005-0000-0000-0000A9590000}"/>
    <cellStyle name="Porcentagem 2 5" xfId="22987" xr:uid="{00000000-0005-0000-0000-0000AA590000}"/>
    <cellStyle name="Porcentagem 2 50" xfId="22988" xr:uid="{00000000-0005-0000-0000-0000AB590000}"/>
    <cellStyle name="Porcentagem 2 51" xfId="24039" xr:uid="{00000000-0005-0000-0000-0000AC590000}"/>
    <cellStyle name="Porcentagem 2 6" xfId="22989" xr:uid="{00000000-0005-0000-0000-0000AD590000}"/>
    <cellStyle name="Porcentagem 2 7" xfId="22990" xr:uid="{00000000-0005-0000-0000-0000AE590000}"/>
    <cellStyle name="Porcentagem 2 8" xfId="22991" xr:uid="{00000000-0005-0000-0000-0000AF590000}"/>
    <cellStyle name="Porcentagem 2 9" xfId="22992" xr:uid="{00000000-0005-0000-0000-0000B0590000}"/>
    <cellStyle name="Porcentagem 20" xfId="22993" xr:uid="{00000000-0005-0000-0000-0000B1590000}"/>
    <cellStyle name="Porcentagem 21" xfId="22994" xr:uid="{00000000-0005-0000-0000-0000B2590000}"/>
    <cellStyle name="Porcentagem 21 2" xfId="22995" xr:uid="{00000000-0005-0000-0000-0000B3590000}"/>
    <cellStyle name="Porcentagem 22" xfId="22996" xr:uid="{00000000-0005-0000-0000-0000B4590000}"/>
    <cellStyle name="Porcentagem 23" xfId="22997" xr:uid="{00000000-0005-0000-0000-0000B5590000}"/>
    <cellStyle name="Porcentagem 24" xfId="22998" xr:uid="{00000000-0005-0000-0000-0000B6590000}"/>
    <cellStyle name="Porcentagem 25" xfId="22999" xr:uid="{00000000-0005-0000-0000-0000B7590000}"/>
    <cellStyle name="Porcentagem 26" xfId="23000" xr:uid="{00000000-0005-0000-0000-0000B8590000}"/>
    <cellStyle name="Porcentagem 3" xfId="70" xr:uid="{00000000-0005-0000-0000-0000B9590000}"/>
    <cellStyle name="Porcentagem 3 2" xfId="23001" xr:uid="{00000000-0005-0000-0000-0000BA590000}"/>
    <cellStyle name="Porcentagem 3 2 2" xfId="23002" xr:uid="{00000000-0005-0000-0000-0000BB590000}"/>
    <cellStyle name="Porcentagem 3 2 2 2" xfId="23003" xr:uid="{00000000-0005-0000-0000-0000BC590000}"/>
    <cellStyle name="Porcentagem 3 2 2 2 2" xfId="23004" xr:uid="{00000000-0005-0000-0000-0000BD590000}"/>
    <cellStyle name="Porcentagem 3 2 2 2 2 2" xfId="23005" xr:uid="{00000000-0005-0000-0000-0000BE590000}"/>
    <cellStyle name="Porcentagem 3 2 2 2 3" xfId="23006" xr:uid="{00000000-0005-0000-0000-0000BF590000}"/>
    <cellStyle name="Porcentagem 3 2 2 2 3 2" xfId="23007" xr:uid="{00000000-0005-0000-0000-0000C0590000}"/>
    <cellStyle name="Porcentagem 3 2 2 2 4" xfId="23008" xr:uid="{00000000-0005-0000-0000-0000C1590000}"/>
    <cellStyle name="Porcentagem 3 2 2 3" xfId="23009" xr:uid="{00000000-0005-0000-0000-0000C2590000}"/>
    <cellStyle name="Porcentagem 3 2 2 3 2" xfId="23010" xr:uid="{00000000-0005-0000-0000-0000C3590000}"/>
    <cellStyle name="Porcentagem 3 2 2 3 2 2" xfId="23011" xr:uid="{00000000-0005-0000-0000-0000C4590000}"/>
    <cellStyle name="Porcentagem 3 2 2 3 3" xfId="23012" xr:uid="{00000000-0005-0000-0000-0000C5590000}"/>
    <cellStyle name="Porcentagem 3 2 2 3 3 2" xfId="23013" xr:uid="{00000000-0005-0000-0000-0000C6590000}"/>
    <cellStyle name="Porcentagem 3 2 2 3 4" xfId="23014" xr:uid="{00000000-0005-0000-0000-0000C7590000}"/>
    <cellStyle name="Porcentagem 3 2 2 4" xfId="23015" xr:uid="{00000000-0005-0000-0000-0000C8590000}"/>
    <cellStyle name="Porcentagem 3 2 2 4 2" xfId="23016" xr:uid="{00000000-0005-0000-0000-0000C9590000}"/>
    <cellStyle name="Porcentagem 3 2 2 5" xfId="23017" xr:uid="{00000000-0005-0000-0000-0000CA590000}"/>
    <cellStyle name="Porcentagem 3 2 2 5 2" xfId="23018" xr:uid="{00000000-0005-0000-0000-0000CB590000}"/>
    <cellStyle name="Porcentagem 3 2 2 6" xfId="23019" xr:uid="{00000000-0005-0000-0000-0000CC590000}"/>
    <cellStyle name="Porcentagem 3 2 3" xfId="23020" xr:uid="{00000000-0005-0000-0000-0000CD590000}"/>
    <cellStyle name="Porcentagem 3 2 3 2" xfId="23021" xr:uid="{00000000-0005-0000-0000-0000CE590000}"/>
    <cellStyle name="Porcentagem 3 2 3 3" xfId="23022" xr:uid="{00000000-0005-0000-0000-0000CF590000}"/>
    <cellStyle name="Porcentagem 3 2 3 3 2" xfId="23023" xr:uid="{00000000-0005-0000-0000-0000D0590000}"/>
    <cellStyle name="Porcentagem 3 2 3 3 2 2" xfId="23024" xr:uid="{00000000-0005-0000-0000-0000D1590000}"/>
    <cellStyle name="Porcentagem 3 2 3 3 3" xfId="23025" xr:uid="{00000000-0005-0000-0000-0000D2590000}"/>
    <cellStyle name="Porcentagem 3 2 3 3 3 2" xfId="23026" xr:uid="{00000000-0005-0000-0000-0000D3590000}"/>
    <cellStyle name="Porcentagem 3 2 3 3 4" xfId="23027" xr:uid="{00000000-0005-0000-0000-0000D4590000}"/>
    <cellStyle name="Porcentagem 3 2 4" xfId="23028" xr:uid="{00000000-0005-0000-0000-0000D5590000}"/>
    <cellStyle name="Porcentagem 3 2 4 2" xfId="23029" xr:uid="{00000000-0005-0000-0000-0000D6590000}"/>
    <cellStyle name="Porcentagem 3 2 4 2 2" xfId="23030" xr:uid="{00000000-0005-0000-0000-0000D7590000}"/>
    <cellStyle name="Porcentagem 3 2 4 3" xfId="23031" xr:uid="{00000000-0005-0000-0000-0000D8590000}"/>
    <cellStyle name="Porcentagem 3 2 4 3 2" xfId="23032" xr:uid="{00000000-0005-0000-0000-0000D9590000}"/>
    <cellStyle name="Porcentagem 3 2 4 4" xfId="23033" xr:uid="{00000000-0005-0000-0000-0000DA590000}"/>
    <cellStyle name="Porcentagem 3 2 5" xfId="23034" xr:uid="{00000000-0005-0000-0000-0000DB590000}"/>
    <cellStyle name="Porcentagem 3 2 5 2" xfId="23035" xr:uid="{00000000-0005-0000-0000-0000DC590000}"/>
    <cellStyle name="Porcentagem 3 2 5 2 2" xfId="23036" xr:uid="{00000000-0005-0000-0000-0000DD590000}"/>
    <cellStyle name="Porcentagem 3 2 5 3" xfId="23037" xr:uid="{00000000-0005-0000-0000-0000DE590000}"/>
    <cellStyle name="Porcentagem 3 2 6" xfId="23038" xr:uid="{00000000-0005-0000-0000-0000DF590000}"/>
    <cellStyle name="Porcentagem 3 2 6 2" xfId="23039" xr:uid="{00000000-0005-0000-0000-0000E0590000}"/>
    <cellStyle name="Porcentagem 3 2 6 2 2" xfId="23040" xr:uid="{00000000-0005-0000-0000-0000E1590000}"/>
    <cellStyle name="Porcentagem 3 2 6 3" xfId="23041" xr:uid="{00000000-0005-0000-0000-0000E2590000}"/>
    <cellStyle name="Porcentagem 3 2 7" xfId="23042" xr:uid="{00000000-0005-0000-0000-0000E3590000}"/>
    <cellStyle name="Porcentagem 3 2 7 2" xfId="23043" xr:uid="{00000000-0005-0000-0000-0000E4590000}"/>
    <cellStyle name="Porcentagem 3 2 7 2 2" xfId="23044" xr:uid="{00000000-0005-0000-0000-0000E5590000}"/>
    <cellStyle name="Porcentagem 3 2 7 3" xfId="23045" xr:uid="{00000000-0005-0000-0000-0000E6590000}"/>
    <cellStyle name="Porcentagem 3 2 8" xfId="23046" xr:uid="{00000000-0005-0000-0000-0000E7590000}"/>
    <cellStyle name="Porcentagem 3 2 8 2" xfId="23047" xr:uid="{00000000-0005-0000-0000-0000E8590000}"/>
    <cellStyle name="Porcentagem 3 2 9" xfId="23048" xr:uid="{00000000-0005-0000-0000-0000E9590000}"/>
    <cellStyle name="Porcentagem 3 3" xfId="23049" xr:uid="{00000000-0005-0000-0000-0000EA590000}"/>
    <cellStyle name="Porcentagem 3 3 2" xfId="23050" xr:uid="{00000000-0005-0000-0000-0000EB590000}"/>
    <cellStyle name="Porcentagem 3 3 2 2" xfId="23051" xr:uid="{00000000-0005-0000-0000-0000EC590000}"/>
    <cellStyle name="Porcentagem 3 3 2 2 2" xfId="23052" xr:uid="{00000000-0005-0000-0000-0000ED590000}"/>
    <cellStyle name="Porcentagem 3 3 2 3" xfId="23053" xr:uid="{00000000-0005-0000-0000-0000EE590000}"/>
    <cellStyle name="Porcentagem 3 3 2 3 2" xfId="23054" xr:uid="{00000000-0005-0000-0000-0000EF590000}"/>
    <cellStyle name="Porcentagem 3 3 2 4" xfId="23055" xr:uid="{00000000-0005-0000-0000-0000F0590000}"/>
    <cellStyle name="Porcentagem 3 3 3" xfId="23056" xr:uid="{00000000-0005-0000-0000-0000F1590000}"/>
    <cellStyle name="Porcentagem 3 3 3 2" xfId="23057" xr:uid="{00000000-0005-0000-0000-0000F2590000}"/>
    <cellStyle name="Porcentagem 3 3 3 2 2" xfId="23058" xr:uid="{00000000-0005-0000-0000-0000F3590000}"/>
    <cellStyle name="Porcentagem 3 3 3 3" xfId="23059" xr:uid="{00000000-0005-0000-0000-0000F4590000}"/>
    <cellStyle name="Porcentagem 3 3 3 3 2" xfId="23060" xr:uid="{00000000-0005-0000-0000-0000F5590000}"/>
    <cellStyle name="Porcentagem 3 3 3 4" xfId="23061" xr:uid="{00000000-0005-0000-0000-0000F6590000}"/>
    <cellStyle name="Porcentagem 3 3 4" xfId="23062" xr:uid="{00000000-0005-0000-0000-0000F7590000}"/>
    <cellStyle name="Porcentagem 3 3 4 2" xfId="23063" xr:uid="{00000000-0005-0000-0000-0000F8590000}"/>
    <cellStyle name="Porcentagem 3 3 5" xfId="23064" xr:uid="{00000000-0005-0000-0000-0000F9590000}"/>
    <cellStyle name="Porcentagem 3 3 5 2" xfId="23065" xr:uid="{00000000-0005-0000-0000-0000FA590000}"/>
    <cellStyle name="Porcentagem 3 3 6" xfId="23066" xr:uid="{00000000-0005-0000-0000-0000FB590000}"/>
    <cellStyle name="Porcentagem 3 4" xfId="23067" xr:uid="{00000000-0005-0000-0000-0000FC590000}"/>
    <cellStyle name="Porcentagem 3 4 2" xfId="23068" xr:uid="{00000000-0005-0000-0000-0000FD590000}"/>
    <cellStyle name="Porcentagem 3 4 2 2" xfId="23069" xr:uid="{00000000-0005-0000-0000-0000FE590000}"/>
    <cellStyle name="Porcentagem 3 4 3" xfId="23070" xr:uid="{00000000-0005-0000-0000-0000FF590000}"/>
    <cellStyle name="Porcentagem 3 4 3 2" xfId="23071" xr:uid="{00000000-0005-0000-0000-0000005A0000}"/>
    <cellStyle name="Porcentagem 3 4 4" xfId="23072" xr:uid="{00000000-0005-0000-0000-0000015A0000}"/>
    <cellStyle name="Porcentagem 3 5" xfId="23073" xr:uid="{00000000-0005-0000-0000-0000025A0000}"/>
    <cellStyle name="Porcentagem 3 5 2" xfId="23074" xr:uid="{00000000-0005-0000-0000-0000035A0000}"/>
    <cellStyle name="Porcentagem 3 5 2 2" xfId="23075" xr:uid="{00000000-0005-0000-0000-0000045A0000}"/>
    <cellStyle name="Porcentagem 3 5 3" xfId="23076" xr:uid="{00000000-0005-0000-0000-0000055A0000}"/>
    <cellStyle name="Porcentagem 3 6" xfId="23077" xr:uid="{00000000-0005-0000-0000-0000065A0000}"/>
    <cellStyle name="Porcentagem 3 6 2" xfId="23078" xr:uid="{00000000-0005-0000-0000-0000075A0000}"/>
    <cellStyle name="Porcentagem 3 6 2 2" xfId="23079" xr:uid="{00000000-0005-0000-0000-0000085A0000}"/>
    <cellStyle name="Porcentagem 3 6 3" xfId="23080" xr:uid="{00000000-0005-0000-0000-0000095A0000}"/>
    <cellStyle name="Porcentagem 3 7" xfId="23081" xr:uid="{00000000-0005-0000-0000-00000A5A0000}"/>
    <cellStyle name="Porcentagem 3 7 2" xfId="23082" xr:uid="{00000000-0005-0000-0000-00000B5A0000}"/>
    <cellStyle name="Porcentagem 3 7 2 2" xfId="23083" xr:uid="{00000000-0005-0000-0000-00000C5A0000}"/>
    <cellStyle name="Porcentagem 3 7 3" xfId="23084" xr:uid="{00000000-0005-0000-0000-00000D5A0000}"/>
    <cellStyle name="Porcentagem 3 8" xfId="23085" xr:uid="{00000000-0005-0000-0000-00000E5A0000}"/>
    <cellStyle name="Porcentagem 3 8 2" xfId="23086" xr:uid="{00000000-0005-0000-0000-00000F5A0000}"/>
    <cellStyle name="Porcentagem 3 8 2 2" xfId="23087" xr:uid="{00000000-0005-0000-0000-0000105A0000}"/>
    <cellStyle name="Porcentagem 3 8 3" xfId="23088" xr:uid="{00000000-0005-0000-0000-0000115A0000}"/>
    <cellStyle name="Porcentagem 35" xfId="23089" xr:uid="{00000000-0005-0000-0000-0000125A0000}"/>
    <cellStyle name="Porcentagem 4" xfId="73" xr:uid="{00000000-0005-0000-0000-0000135A0000}"/>
    <cellStyle name="Porcentagem 4 2" xfId="23090" xr:uid="{00000000-0005-0000-0000-0000145A0000}"/>
    <cellStyle name="Porcentagem 4 2 2" xfId="23091" xr:uid="{00000000-0005-0000-0000-0000155A0000}"/>
    <cellStyle name="Porcentagem 4 2 3" xfId="23092" xr:uid="{00000000-0005-0000-0000-0000165A0000}"/>
    <cellStyle name="Porcentagem 4 2 3 2" xfId="23093" xr:uid="{00000000-0005-0000-0000-0000175A0000}"/>
    <cellStyle name="Porcentagem 4 2 4" xfId="23094" xr:uid="{00000000-0005-0000-0000-0000185A0000}"/>
    <cellStyle name="Porcentagem 4 3" xfId="23095" xr:uid="{00000000-0005-0000-0000-0000195A0000}"/>
    <cellStyle name="Porcentagem 4 3 2" xfId="23096" xr:uid="{00000000-0005-0000-0000-00001A5A0000}"/>
    <cellStyle name="Porcentagem 4 3 3" xfId="23097" xr:uid="{00000000-0005-0000-0000-00001B5A0000}"/>
    <cellStyle name="Porcentagem 4 3 3 2" xfId="23098" xr:uid="{00000000-0005-0000-0000-00001C5A0000}"/>
    <cellStyle name="Porcentagem 4 3 4" xfId="23099" xr:uid="{00000000-0005-0000-0000-00001D5A0000}"/>
    <cellStyle name="Porcentagem 4 4" xfId="23100" xr:uid="{00000000-0005-0000-0000-00001E5A0000}"/>
    <cellStyle name="Porcentagem 4 4 2" xfId="23101" xr:uid="{00000000-0005-0000-0000-00001F5A0000}"/>
    <cellStyle name="Porcentagem 4 4 3" xfId="23102" xr:uid="{00000000-0005-0000-0000-0000205A0000}"/>
    <cellStyle name="Porcentagem 4 4 3 2" xfId="23103" xr:uid="{00000000-0005-0000-0000-0000215A0000}"/>
    <cellStyle name="Porcentagem 4 4 4" xfId="23104" xr:uid="{00000000-0005-0000-0000-0000225A0000}"/>
    <cellStyle name="Porcentagem 4 5" xfId="23105" xr:uid="{00000000-0005-0000-0000-0000235A0000}"/>
    <cellStyle name="Porcentagem 4 5 2" xfId="23106" xr:uid="{00000000-0005-0000-0000-0000245A0000}"/>
    <cellStyle name="Porcentagem 4 5 3" xfId="23107" xr:uid="{00000000-0005-0000-0000-0000255A0000}"/>
    <cellStyle name="Porcentagem 4 5 3 2" xfId="23108" xr:uid="{00000000-0005-0000-0000-0000265A0000}"/>
    <cellStyle name="Porcentagem 4 5 4" xfId="23109" xr:uid="{00000000-0005-0000-0000-0000275A0000}"/>
    <cellStyle name="Porcentagem 4 6" xfId="23110" xr:uid="{00000000-0005-0000-0000-0000285A0000}"/>
    <cellStyle name="Porcentagem 4 6 2" xfId="23111" xr:uid="{00000000-0005-0000-0000-0000295A0000}"/>
    <cellStyle name="Porcentagem 4 7" xfId="23112" xr:uid="{00000000-0005-0000-0000-00002A5A0000}"/>
    <cellStyle name="Porcentagem 5" xfId="126" xr:uid="{00000000-0005-0000-0000-00002B5A0000}"/>
    <cellStyle name="Porcentagem 5 2" xfId="23113" xr:uid="{00000000-0005-0000-0000-00002C5A0000}"/>
    <cellStyle name="Porcentagem 5 3" xfId="23114" xr:uid="{00000000-0005-0000-0000-00002D5A0000}"/>
    <cellStyle name="Porcentagem 5 3 2" xfId="23115" xr:uid="{00000000-0005-0000-0000-00002E5A0000}"/>
    <cellStyle name="Porcentagem 5 4" xfId="23116" xr:uid="{00000000-0005-0000-0000-00002F5A0000}"/>
    <cellStyle name="Porcentagem 6" xfId="127" xr:uid="{00000000-0005-0000-0000-0000305A0000}"/>
    <cellStyle name="Porcentagem 6 2" xfId="23117" xr:uid="{00000000-0005-0000-0000-0000315A0000}"/>
    <cellStyle name="Porcentagem 6 3" xfId="23118" xr:uid="{00000000-0005-0000-0000-0000325A0000}"/>
    <cellStyle name="Porcentagem 6 4" xfId="23119" xr:uid="{00000000-0005-0000-0000-0000335A0000}"/>
    <cellStyle name="Porcentagem 6 5" xfId="23120" xr:uid="{00000000-0005-0000-0000-0000345A0000}"/>
    <cellStyle name="Porcentagem 6 6" xfId="23121" xr:uid="{00000000-0005-0000-0000-0000355A0000}"/>
    <cellStyle name="Porcentagem 7" xfId="151" xr:uid="{00000000-0005-0000-0000-0000365A0000}"/>
    <cellStyle name="Porcentagem 7 2" xfId="23122" xr:uid="{00000000-0005-0000-0000-0000375A0000}"/>
    <cellStyle name="Porcentagem 7 2 2" xfId="23123" xr:uid="{00000000-0005-0000-0000-0000385A0000}"/>
    <cellStyle name="Porcentagem 7 3" xfId="23124" xr:uid="{00000000-0005-0000-0000-0000395A0000}"/>
    <cellStyle name="Porcentagem 8" xfId="159" xr:uid="{00000000-0005-0000-0000-00003A5A0000}"/>
    <cellStyle name="Porcentagem 8 2" xfId="23125" xr:uid="{00000000-0005-0000-0000-00003B5A0000}"/>
    <cellStyle name="Porcentagem 9" xfId="23126" xr:uid="{00000000-0005-0000-0000-00003C5A0000}"/>
    <cellStyle name="Porcentagem 9 2" xfId="23127" xr:uid="{00000000-0005-0000-0000-00003D5A0000}"/>
    <cellStyle name="Porcentaje" xfId="23128" xr:uid="{00000000-0005-0000-0000-00003E5A0000}"/>
    <cellStyle name="Porcentaje 2" xfId="23129" xr:uid="{00000000-0005-0000-0000-00003F5A0000}"/>
    <cellStyle name="Porcentaje 3" xfId="23130" xr:uid="{00000000-0005-0000-0000-0000405A0000}"/>
    <cellStyle name="Porcentaje 3 2" xfId="23131" xr:uid="{00000000-0005-0000-0000-0000415A0000}"/>
    <cellStyle name="Porcentaje 3 3" xfId="23132" xr:uid="{00000000-0005-0000-0000-0000425A0000}"/>
    <cellStyle name="Porcentaje 4" xfId="23133" xr:uid="{00000000-0005-0000-0000-0000435A0000}"/>
    <cellStyle name="Porcentaje 4 2" xfId="23134" xr:uid="{00000000-0005-0000-0000-0000445A0000}"/>
    <cellStyle name="Porcentaje 5" xfId="23135" xr:uid="{00000000-0005-0000-0000-0000455A0000}"/>
    <cellStyle name="Porcentaje 6" xfId="23136" xr:uid="{00000000-0005-0000-0000-0000465A0000}"/>
    <cellStyle name="Porcentual [0]" xfId="128" xr:uid="{00000000-0005-0000-0000-0000475A0000}"/>
    <cellStyle name="Porcentual [0] 2" xfId="23137" xr:uid="{00000000-0005-0000-0000-0000485A0000}"/>
    <cellStyle name="Porcentual 2" xfId="23138" xr:uid="{00000000-0005-0000-0000-0000495A0000}"/>
    <cellStyle name="Porcentual 2 10" xfId="23139" xr:uid="{00000000-0005-0000-0000-00004A5A0000}"/>
    <cellStyle name="Porcentual 2 11" xfId="23140" xr:uid="{00000000-0005-0000-0000-00004B5A0000}"/>
    <cellStyle name="Porcentual 2 12" xfId="23141" xr:uid="{00000000-0005-0000-0000-00004C5A0000}"/>
    <cellStyle name="Porcentual 2 13" xfId="23142" xr:uid="{00000000-0005-0000-0000-00004D5A0000}"/>
    <cellStyle name="Porcentual 2 14" xfId="23143" xr:uid="{00000000-0005-0000-0000-00004E5A0000}"/>
    <cellStyle name="Porcentual 2 2" xfId="23144" xr:uid="{00000000-0005-0000-0000-00004F5A0000}"/>
    <cellStyle name="Porcentual 2 3" xfId="23145" xr:uid="{00000000-0005-0000-0000-0000505A0000}"/>
    <cellStyle name="Porcentual 2 4" xfId="23146" xr:uid="{00000000-0005-0000-0000-0000515A0000}"/>
    <cellStyle name="Porcentual 2 5" xfId="23147" xr:uid="{00000000-0005-0000-0000-0000525A0000}"/>
    <cellStyle name="Porcentual 2 6" xfId="23148" xr:uid="{00000000-0005-0000-0000-0000535A0000}"/>
    <cellStyle name="Porcentual 2 7" xfId="23149" xr:uid="{00000000-0005-0000-0000-0000545A0000}"/>
    <cellStyle name="Porcentual 2 8" xfId="23150" xr:uid="{00000000-0005-0000-0000-0000555A0000}"/>
    <cellStyle name="Porcentual 2 9" xfId="23151" xr:uid="{00000000-0005-0000-0000-0000565A0000}"/>
    <cellStyle name="Porcentual_ADELBCO" xfId="129" xr:uid="{00000000-0005-0000-0000-0000575A0000}"/>
    <cellStyle name="Pounds" xfId="23152" xr:uid="{00000000-0005-0000-0000-0000585A0000}"/>
    <cellStyle name="Pounds (0)" xfId="23153" xr:uid="{00000000-0005-0000-0000-0000595A0000}"/>
    <cellStyle name="Pounds (0) 2" xfId="23154" xr:uid="{00000000-0005-0000-0000-00005A5A0000}"/>
    <cellStyle name="Pounds 2" xfId="23155" xr:uid="{00000000-0005-0000-0000-00005B5A0000}"/>
    <cellStyle name="Pounds 3" xfId="23156" xr:uid="{00000000-0005-0000-0000-00005C5A0000}"/>
    <cellStyle name="Pounds_Cópia de Projeções Termocauca-COLfin" xfId="23157" xr:uid="{00000000-0005-0000-0000-00005D5A0000}"/>
    <cellStyle name="Premissas" xfId="23158" xr:uid="{00000000-0005-0000-0000-00005E5A0000}"/>
    <cellStyle name="Premissas 2" xfId="23159" xr:uid="{00000000-0005-0000-0000-00005F5A0000}"/>
    <cellStyle name="Price" xfId="23160" xr:uid="{00000000-0005-0000-0000-0000605A0000}"/>
    <cellStyle name="Private" xfId="23161" xr:uid="{00000000-0005-0000-0000-0000615A0000}"/>
    <cellStyle name="Private 2" xfId="23162" xr:uid="{00000000-0005-0000-0000-0000625A0000}"/>
    <cellStyle name="Private1" xfId="23163" xr:uid="{00000000-0005-0000-0000-0000635A0000}"/>
    <cellStyle name="Private1 2" xfId="23164" xr:uid="{00000000-0005-0000-0000-0000645A0000}"/>
    <cellStyle name="Projeções" xfId="23165" xr:uid="{00000000-0005-0000-0000-0000655A0000}"/>
    <cellStyle name="Prozent_Anadat" xfId="23166" xr:uid="{00000000-0005-0000-0000-0000665A0000}"/>
    <cellStyle name="PSChar" xfId="23167" xr:uid="{00000000-0005-0000-0000-0000675A0000}"/>
    <cellStyle name="PSDate" xfId="23168" xr:uid="{00000000-0005-0000-0000-0000685A0000}"/>
    <cellStyle name="PSDec" xfId="23169" xr:uid="{00000000-0005-0000-0000-0000695A0000}"/>
    <cellStyle name="PSHeading" xfId="23170" xr:uid="{00000000-0005-0000-0000-00006A5A0000}"/>
    <cellStyle name="PSInt" xfId="23171" xr:uid="{00000000-0005-0000-0000-00006B5A0000}"/>
    <cellStyle name="PSSpacer" xfId="23172" xr:uid="{00000000-0005-0000-0000-00006C5A0000}"/>
    <cellStyle name="Punto0" xfId="130" xr:uid="{00000000-0005-0000-0000-00006D5A0000}"/>
    <cellStyle name="r" xfId="23173" xr:uid="{00000000-0005-0000-0000-00006E5A0000}"/>
    <cellStyle name="r_Public Comps 1.1.02" xfId="23174" xr:uid="{00000000-0005-0000-0000-00006F5A0000}"/>
    <cellStyle name="rate" xfId="23175" xr:uid="{00000000-0005-0000-0000-0000705A0000}"/>
    <cellStyle name="Ratio" xfId="23176" xr:uid="{00000000-0005-0000-0000-0000715A0000}"/>
    <cellStyle name="Ratio Comma" xfId="23177" xr:uid="{00000000-0005-0000-0000-0000725A0000}"/>
    <cellStyle name="Ratio_bigtexmodel14" xfId="23178" xr:uid="{00000000-0005-0000-0000-0000735A0000}"/>
    <cellStyle name="Red" xfId="131" xr:uid="{00000000-0005-0000-0000-0000745A0000}"/>
    <cellStyle name="Red font" xfId="23179" xr:uid="{00000000-0005-0000-0000-0000755A0000}"/>
    <cellStyle name="Red font 2" xfId="23180" xr:uid="{00000000-0005-0000-0000-0000765A0000}"/>
    <cellStyle name="Red Text" xfId="23181" xr:uid="{00000000-0005-0000-0000-0000775A0000}"/>
    <cellStyle name="results" xfId="23182" xr:uid="{00000000-0005-0000-0000-0000785A0000}"/>
    <cellStyle name="Results % 3 dp" xfId="23183" xr:uid="{00000000-0005-0000-0000-0000795A0000}"/>
    <cellStyle name="Results % 3 dp 2" xfId="23184" xr:uid="{00000000-0005-0000-0000-00007A5A0000}"/>
    <cellStyle name="results 2" xfId="23185" xr:uid="{00000000-0005-0000-0000-00007B5A0000}"/>
    <cellStyle name="results 3" xfId="23186" xr:uid="{00000000-0005-0000-0000-00007C5A0000}"/>
    <cellStyle name="Results 3 dp" xfId="23187" xr:uid="{00000000-0005-0000-0000-00007D5A0000}"/>
    <cellStyle name="Results 3 dp 2" xfId="23188" xr:uid="{00000000-0005-0000-0000-00007E5A0000}"/>
    <cellStyle name="results_estrategia_equity_20101004" xfId="23189" xr:uid="{00000000-0005-0000-0000-00007F5A0000}"/>
    <cellStyle name="Ricardo" xfId="132" xr:uid="{00000000-0005-0000-0000-0000805A0000}"/>
    <cellStyle name="Right" xfId="23190" xr:uid="{00000000-0005-0000-0000-0000815A0000}"/>
    <cellStyle name="Right 2" xfId="23191" xr:uid="{00000000-0005-0000-0000-0000825A0000}"/>
    <cellStyle name="RM" xfId="23192" xr:uid="{00000000-0005-0000-0000-0000835A0000}"/>
    <cellStyle name="rodape" xfId="133" xr:uid="{00000000-0005-0000-0000-0000845A0000}"/>
    <cellStyle name="Rouge" xfId="23193" xr:uid="{00000000-0005-0000-0000-0000855A0000}"/>
    <cellStyle name="Row Headings" xfId="23194" xr:uid="{00000000-0005-0000-0000-0000865A0000}"/>
    <cellStyle name="Row Headings 2" xfId="23195" xr:uid="{00000000-0005-0000-0000-0000875A0000}"/>
    <cellStyle name="s]_x000d__x000a_spooler=yes_x000d__x000a_load=nwpopup.exe_x000d__x000a_run=_x000d__x000a_Beep=No_x000d__x000a_NullPort=None_x000d__x000a_BorderWidth=3_x000d__x000a_CursorBlinkRate=345_x000d__x000a_DoubleClickSpeed=3" xfId="23196" xr:uid="{00000000-0005-0000-0000-0000885A0000}"/>
    <cellStyle name="Saída 2" xfId="23197" xr:uid="{00000000-0005-0000-0000-0000895A0000}"/>
    <cellStyle name="Saída 2 2" xfId="23198" xr:uid="{00000000-0005-0000-0000-00008A5A0000}"/>
    <cellStyle name="Saída 3" xfId="23199" xr:uid="{00000000-0005-0000-0000-00008B5A0000}"/>
    <cellStyle name="Saída 4" xfId="23200" xr:uid="{00000000-0005-0000-0000-00008C5A0000}"/>
    <cellStyle name="Salomon Logo" xfId="23201" xr:uid="{00000000-0005-0000-0000-00008D5A0000}"/>
    <cellStyle name="Section" xfId="23202" xr:uid="{00000000-0005-0000-0000-00008E5A0000}"/>
    <cellStyle name="Section name" xfId="23203" xr:uid="{00000000-0005-0000-0000-00008F5A0000}"/>
    <cellStyle name="sem virg." xfId="23204" xr:uid="{00000000-0005-0000-0000-0000905A0000}"/>
    <cellStyle name="Sensitivity" xfId="23205" xr:uid="{00000000-0005-0000-0000-0000915A0000}"/>
    <cellStyle name="Sensitivity 2" xfId="23206" xr:uid="{00000000-0005-0000-0000-0000925A0000}"/>
    <cellStyle name="sensitivity format" xfId="23207" xr:uid="{00000000-0005-0000-0000-0000935A0000}"/>
    <cellStyle name="sensitivity format 2" xfId="23208" xr:uid="{00000000-0005-0000-0000-0000945A0000}"/>
    <cellStyle name="Sep. milhar [0]" xfId="134" xr:uid="{00000000-0005-0000-0000-0000955A0000}"/>
    <cellStyle name="Separador de m" xfId="23209" xr:uid="{00000000-0005-0000-0000-0000965A0000}"/>
    <cellStyle name="Separador de m 2" xfId="23210" xr:uid="{00000000-0005-0000-0000-0000975A0000}"/>
    <cellStyle name="Separador de m 3" xfId="23211" xr:uid="{00000000-0005-0000-0000-0000985A0000}"/>
    <cellStyle name="Separador de milhares 10" xfId="23212" xr:uid="{00000000-0005-0000-0000-0000995A0000}"/>
    <cellStyle name="Separador de milhares 10 2" xfId="23213" xr:uid="{00000000-0005-0000-0000-00009A5A0000}"/>
    <cellStyle name="Separador de milhares 10 2 2" xfId="23214" xr:uid="{00000000-0005-0000-0000-00009B5A0000}"/>
    <cellStyle name="Separador de milhares 11" xfId="23215" xr:uid="{00000000-0005-0000-0000-00009C5A0000}"/>
    <cellStyle name="Separador de milhares 11 2" xfId="23216" xr:uid="{00000000-0005-0000-0000-00009D5A0000}"/>
    <cellStyle name="Separador de milhares 12" xfId="23217" xr:uid="{00000000-0005-0000-0000-00009E5A0000}"/>
    <cellStyle name="Separador de milhares 12 2" xfId="23218" xr:uid="{00000000-0005-0000-0000-00009F5A0000}"/>
    <cellStyle name="Separador de milhares 13" xfId="23219" xr:uid="{00000000-0005-0000-0000-0000A05A0000}"/>
    <cellStyle name="Separador de milhares 14" xfId="23220" xr:uid="{00000000-0005-0000-0000-0000A15A0000}"/>
    <cellStyle name="Separador de milhares 15" xfId="23221" xr:uid="{00000000-0005-0000-0000-0000A25A0000}"/>
    <cellStyle name="Separador de milhares 16" xfId="23222" xr:uid="{00000000-0005-0000-0000-0000A35A0000}"/>
    <cellStyle name="Separador de milhares 16 2" xfId="23223" xr:uid="{00000000-0005-0000-0000-0000A45A0000}"/>
    <cellStyle name="Separador de milhares 17" xfId="23224" xr:uid="{00000000-0005-0000-0000-0000A55A0000}"/>
    <cellStyle name="Separador de milhares 18" xfId="23225" xr:uid="{00000000-0005-0000-0000-0000A65A0000}"/>
    <cellStyle name="Separador de milhares 19" xfId="23226" xr:uid="{00000000-0005-0000-0000-0000A75A0000}"/>
    <cellStyle name="Separador de milhares 2" xfId="135" xr:uid="{00000000-0005-0000-0000-0000A85A0000}"/>
    <cellStyle name="Separador de milhares 2 10" xfId="23227" xr:uid="{00000000-0005-0000-0000-0000A95A0000}"/>
    <cellStyle name="Separador de milhares 2 11" xfId="23228" xr:uid="{00000000-0005-0000-0000-0000AA5A0000}"/>
    <cellStyle name="Separador de milhares 2 12" xfId="23229" xr:uid="{00000000-0005-0000-0000-0000AB5A0000}"/>
    <cellStyle name="Separador de milhares 2 13" xfId="23230" xr:uid="{00000000-0005-0000-0000-0000AC5A0000}"/>
    <cellStyle name="Separador de milhares 2 14" xfId="23231" xr:uid="{00000000-0005-0000-0000-0000AD5A0000}"/>
    <cellStyle name="Separador de milhares 2 15" xfId="23232" xr:uid="{00000000-0005-0000-0000-0000AE5A0000}"/>
    <cellStyle name="Separador de milhares 2 16" xfId="23233" xr:uid="{00000000-0005-0000-0000-0000AF5A0000}"/>
    <cellStyle name="Separador de milhares 2 17" xfId="23234" xr:uid="{00000000-0005-0000-0000-0000B05A0000}"/>
    <cellStyle name="Separador de milhares 2 18" xfId="23235" xr:uid="{00000000-0005-0000-0000-0000B15A0000}"/>
    <cellStyle name="Separador de milhares 2 19" xfId="23236" xr:uid="{00000000-0005-0000-0000-0000B25A0000}"/>
    <cellStyle name="Separador de milhares 2 2" xfId="23237" xr:uid="{00000000-0005-0000-0000-0000B35A0000}"/>
    <cellStyle name="Separador de milhares 2 2 2" xfId="23238" xr:uid="{00000000-0005-0000-0000-0000B45A0000}"/>
    <cellStyle name="Separador de milhares 2 2 2 2" xfId="23239" xr:uid="{00000000-0005-0000-0000-0000B55A0000}"/>
    <cellStyle name="Separador de milhares 2 2 3" xfId="23240" xr:uid="{00000000-0005-0000-0000-0000B65A0000}"/>
    <cellStyle name="Separador de milhares 2 2 4" xfId="23241" xr:uid="{00000000-0005-0000-0000-0000B75A0000}"/>
    <cellStyle name="Separador de milhares 2 20" xfId="23242" xr:uid="{00000000-0005-0000-0000-0000B85A0000}"/>
    <cellStyle name="Separador de milhares 2 21" xfId="23243" xr:uid="{00000000-0005-0000-0000-0000B95A0000}"/>
    <cellStyle name="Separador de milhares 2 22" xfId="23244" xr:uid="{00000000-0005-0000-0000-0000BA5A0000}"/>
    <cellStyle name="Separador de milhares 2 23" xfId="23245" xr:uid="{00000000-0005-0000-0000-0000BB5A0000}"/>
    <cellStyle name="Separador de milhares 2 24" xfId="23246" xr:uid="{00000000-0005-0000-0000-0000BC5A0000}"/>
    <cellStyle name="Separador de milhares 2 25" xfId="23247" xr:uid="{00000000-0005-0000-0000-0000BD5A0000}"/>
    <cellStyle name="Separador de milhares 2 26" xfId="23248" xr:uid="{00000000-0005-0000-0000-0000BE5A0000}"/>
    <cellStyle name="Separador de milhares 2 27" xfId="23249" xr:uid="{00000000-0005-0000-0000-0000BF5A0000}"/>
    <cellStyle name="Separador de milhares 2 28" xfId="23250" xr:uid="{00000000-0005-0000-0000-0000C05A0000}"/>
    <cellStyle name="Separador de milhares 2 29" xfId="23251" xr:uid="{00000000-0005-0000-0000-0000C15A0000}"/>
    <cellStyle name="Separador de milhares 2 3" xfId="23252" xr:uid="{00000000-0005-0000-0000-0000C25A0000}"/>
    <cellStyle name="Separador de milhares 2 30" xfId="23253" xr:uid="{00000000-0005-0000-0000-0000C35A0000}"/>
    <cellStyle name="Separador de milhares 2 31" xfId="23254" xr:uid="{00000000-0005-0000-0000-0000C45A0000}"/>
    <cellStyle name="Separador de milhares 2 32" xfId="23255" xr:uid="{00000000-0005-0000-0000-0000C55A0000}"/>
    <cellStyle name="Separador de milhares 2 33" xfId="23256" xr:uid="{00000000-0005-0000-0000-0000C65A0000}"/>
    <cellStyle name="Separador de milhares 2 34" xfId="23257" xr:uid="{00000000-0005-0000-0000-0000C75A0000}"/>
    <cellStyle name="Separador de milhares 2 35" xfId="23258" xr:uid="{00000000-0005-0000-0000-0000C85A0000}"/>
    <cellStyle name="Separador de milhares 2 36" xfId="23259" xr:uid="{00000000-0005-0000-0000-0000C95A0000}"/>
    <cellStyle name="Separador de milhares 2 37" xfId="23260" xr:uid="{00000000-0005-0000-0000-0000CA5A0000}"/>
    <cellStyle name="Separador de milhares 2 38" xfId="23261" xr:uid="{00000000-0005-0000-0000-0000CB5A0000}"/>
    <cellStyle name="Separador de milhares 2 39" xfId="23262" xr:uid="{00000000-0005-0000-0000-0000CC5A0000}"/>
    <cellStyle name="Separador de milhares 2 4" xfId="23263" xr:uid="{00000000-0005-0000-0000-0000CD5A0000}"/>
    <cellStyle name="Separador de milhares 2 4 2" xfId="23264" xr:uid="{00000000-0005-0000-0000-0000CE5A0000}"/>
    <cellStyle name="Separador de milhares 2 40" xfId="23265" xr:uid="{00000000-0005-0000-0000-0000CF5A0000}"/>
    <cellStyle name="Separador de milhares 2 41" xfId="23266" xr:uid="{00000000-0005-0000-0000-0000D05A0000}"/>
    <cellStyle name="Separador de milhares 2 42" xfId="23267" xr:uid="{00000000-0005-0000-0000-0000D15A0000}"/>
    <cellStyle name="Separador de milhares 2 43" xfId="23268" xr:uid="{00000000-0005-0000-0000-0000D25A0000}"/>
    <cellStyle name="Separador de milhares 2 44" xfId="23269" xr:uid="{00000000-0005-0000-0000-0000D35A0000}"/>
    <cellStyle name="Separador de milhares 2 45" xfId="23270" xr:uid="{00000000-0005-0000-0000-0000D45A0000}"/>
    <cellStyle name="Separador de milhares 2 46" xfId="23271" xr:uid="{00000000-0005-0000-0000-0000D55A0000}"/>
    <cellStyle name="Separador de milhares 2 47" xfId="23272" xr:uid="{00000000-0005-0000-0000-0000D65A0000}"/>
    <cellStyle name="Separador de milhares 2 48" xfId="23273" xr:uid="{00000000-0005-0000-0000-0000D75A0000}"/>
    <cellStyle name="Separador de milhares 2 49" xfId="23274" xr:uid="{00000000-0005-0000-0000-0000D85A0000}"/>
    <cellStyle name="Separador de milhares 2 5" xfId="23275" xr:uid="{00000000-0005-0000-0000-0000D95A0000}"/>
    <cellStyle name="Separador de milhares 2 50" xfId="23276" xr:uid="{00000000-0005-0000-0000-0000DA5A0000}"/>
    <cellStyle name="Separador de milhares 2 6" xfId="23277" xr:uid="{00000000-0005-0000-0000-0000DB5A0000}"/>
    <cellStyle name="Separador de milhares 2 7" xfId="23278" xr:uid="{00000000-0005-0000-0000-0000DC5A0000}"/>
    <cellStyle name="Separador de milhares 2 8" xfId="23279" xr:uid="{00000000-0005-0000-0000-0000DD5A0000}"/>
    <cellStyle name="Separador de milhares 2 9" xfId="23280" xr:uid="{00000000-0005-0000-0000-0000DE5A0000}"/>
    <cellStyle name="Separador de milhares 2_Modelo - Manuel_Salvador 2014.v2" xfId="23281" xr:uid="{00000000-0005-0000-0000-0000DF5A0000}"/>
    <cellStyle name="Separador de milhares 20" xfId="23282" xr:uid="{00000000-0005-0000-0000-0000E05A0000}"/>
    <cellStyle name="Separador de milhares 21" xfId="23283" xr:uid="{00000000-0005-0000-0000-0000E15A0000}"/>
    <cellStyle name="Separador de milhares 22" xfId="23284" xr:uid="{00000000-0005-0000-0000-0000E25A0000}"/>
    <cellStyle name="Separador de milhares 23" xfId="23285" xr:uid="{00000000-0005-0000-0000-0000E35A0000}"/>
    <cellStyle name="Separador de milhares 24" xfId="23286" xr:uid="{00000000-0005-0000-0000-0000E45A0000}"/>
    <cellStyle name="Separador de milhares 25" xfId="23287" xr:uid="{00000000-0005-0000-0000-0000E55A0000}"/>
    <cellStyle name="Separador de milhares 26" xfId="23288" xr:uid="{00000000-0005-0000-0000-0000E65A0000}"/>
    <cellStyle name="Separador de milhares 27" xfId="23289" xr:uid="{00000000-0005-0000-0000-0000E75A0000}"/>
    <cellStyle name="Separador de milhares 28" xfId="23290" xr:uid="{00000000-0005-0000-0000-0000E85A0000}"/>
    <cellStyle name="Separador de milhares 29" xfId="23291" xr:uid="{00000000-0005-0000-0000-0000E95A0000}"/>
    <cellStyle name="Separador de milhares 3" xfId="136" xr:uid="{00000000-0005-0000-0000-0000EA5A0000}"/>
    <cellStyle name="Separador de milhares 3 2" xfId="23292" xr:uid="{00000000-0005-0000-0000-0000EB5A0000}"/>
    <cellStyle name="Separador de milhares 3 2 2" xfId="23293" xr:uid="{00000000-0005-0000-0000-0000EC5A0000}"/>
    <cellStyle name="Separador de milhares 3 2 3" xfId="23294" xr:uid="{00000000-0005-0000-0000-0000ED5A0000}"/>
    <cellStyle name="Separador de milhares 3 2 4" xfId="23295" xr:uid="{00000000-0005-0000-0000-0000EE5A0000}"/>
    <cellStyle name="Separador de milhares 3 3" xfId="23296" xr:uid="{00000000-0005-0000-0000-0000EF5A0000}"/>
    <cellStyle name="Separador de milhares 3 4" xfId="23297" xr:uid="{00000000-0005-0000-0000-0000F05A0000}"/>
    <cellStyle name="Separador de milhares 3 5" xfId="23298" xr:uid="{00000000-0005-0000-0000-0000F15A0000}"/>
    <cellStyle name="Separador de milhares 3 6" xfId="23299" xr:uid="{00000000-0005-0000-0000-0000F25A0000}"/>
    <cellStyle name="Separador de milhares 3 7" xfId="23300" xr:uid="{00000000-0005-0000-0000-0000F35A0000}"/>
    <cellStyle name="Separador de milhares 3 8" xfId="23301" xr:uid="{00000000-0005-0000-0000-0000F45A0000}"/>
    <cellStyle name="Separador de milhares 30" xfId="23302" xr:uid="{00000000-0005-0000-0000-0000F55A0000}"/>
    <cellStyle name="Separador de milhares 31" xfId="23303" xr:uid="{00000000-0005-0000-0000-0000F65A0000}"/>
    <cellStyle name="Separador de milhares 32" xfId="23304" xr:uid="{00000000-0005-0000-0000-0000F75A0000}"/>
    <cellStyle name="Separador de milhares 33" xfId="23305" xr:uid="{00000000-0005-0000-0000-0000F85A0000}"/>
    <cellStyle name="Separador de milhares 34" xfId="23306" xr:uid="{00000000-0005-0000-0000-0000F95A0000}"/>
    <cellStyle name="Separador de milhares 35" xfId="23307" xr:uid="{00000000-0005-0000-0000-0000FA5A0000}"/>
    <cellStyle name="Separador de milhares 36" xfId="23308" xr:uid="{00000000-0005-0000-0000-0000FB5A0000}"/>
    <cellStyle name="Separador de milhares 37" xfId="23309" xr:uid="{00000000-0005-0000-0000-0000FC5A0000}"/>
    <cellStyle name="Separador de milhares 38" xfId="23310" xr:uid="{00000000-0005-0000-0000-0000FD5A0000}"/>
    <cellStyle name="Separador de milhares 39" xfId="23311" xr:uid="{00000000-0005-0000-0000-0000FE5A0000}"/>
    <cellStyle name="Separador de milhares 4" xfId="152" xr:uid="{00000000-0005-0000-0000-0000FF5A0000}"/>
    <cellStyle name="Separador de milhares 4 10" xfId="23312" xr:uid="{00000000-0005-0000-0000-0000005B0000}"/>
    <cellStyle name="Separador de milhares 4 2" xfId="23313" xr:uid="{00000000-0005-0000-0000-0000015B0000}"/>
    <cellStyle name="Separador de milhares 4 2 2" xfId="23314" xr:uid="{00000000-0005-0000-0000-0000025B0000}"/>
    <cellStyle name="Separador de milhares 4 2 3" xfId="23315" xr:uid="{00000000-0005-0000-0000-0000035B0000}"/>
    <cellStyle name="Separador de milhares 4 2 3 2" xfId="23316" xr:uid="{00000000-0005-0000-0000-0000045B0000}"/>
    <cellStyle name="Separador de milhares 4 2 4" xfId="23317" xr:uid="{00000000-0005-0000-0000-0000055B0000}"/>
    <cellStyle name="Separador de milhares 4 3" xfId="23318" xr:uid="{00000000-0005-0000-0000-0000065B0000}"/>
    <cellStyle name="Separador de milhares 4 3 2" xfId="23319" xr:uid="{00000000-0005-0000-0000-0000075B0000}"/>
    <cellStyle name="Separador de milhares 4 3 3" xfId="23320" xr:uid="{00000000-0005-0000-0000-0000085B0000}"/>
    <cellStyle name="Separador de milhares 4 3 3 2" xfId="23321" xr:uid="{00000000-0005-0000-0000-0000095B0000}"/>
    <cellStyle name="Separador de milhares 4 3 4" xfId="23322" xr:uid="{00000000-0005-0000-0000-00000A5B0000}"/>
    <cellStyle name="Separador de milhares 4 4" xfId="23323" xr:uid="{00000000-0005-0000-0000-00000B5B0000}"/>
    <cellStyle name="Separador de milhares 4 4 2" xfId="23324" xr:uid="{00000000-0005-0000-0000-00000C5B0000}"/>
    <cellStyle name="Separador de milhares 4 4 3" xfId="23325" xr:uid="{00000000-0005-0000-0000-00000D5B0000}"/>
    <cellStyle name="Separador de milhares 4 4 3 2" xfId="23326" xr:uid="{00000000-0005-0000-0000-00000E5B0000}"/>
    <cellStyle name="Separador de milhares 4 4 4" xfId="23327" xr:uid="{00000000-0005-0000-0000-00000F5B0000}"/>
    <cellStyle name="Separador de milhares 4 5" xfId="23328" xr:uid="{00000000-0005-0000-0000-0000105B0000}"/>
    <cellStyle name="Separador de milhares 4 5 2" xfId="23329" xr:uid="{00000000-0005-0000-0000-0000115B0000}"/>
    <cellStyle name="Separador de milhares 4 5 3" xfId="23330" xr:uid="{00000000-0005-0000-0000-0000125B0000}"/>
    <cellStyle name="Separador de milhares 4 5 3 2" xfId="23331" xr:uid="{00000000-0005-0000-0000-0000135B0000}"/>
    <cellStyle name="Separador de milhares 4 5 4" xfId="23332" xr:uid="{00000000-0005-0000-0000-0000145B0000}"/>
    <cellStyle name="Separador de milhares 4 6" xfId="23333" xr:uid="{00000000-0005-0000-0000-0000155B0000}"/>
    <cellStyle name="Separador de milhares 4 7" xfId="23334" xr:uid="{00000000-0005-0000-0000-0000165B0000}"/>
    <cellStyle name="Separador de milhares 4 8" xfId="23335" xr:uid="{00000000-0005-0000-0000-0000175B0000}"/>
    <cellStyle name="Separador de milhares 4 9" xfId="23336" xr:uid="{00000000-0005-0000-0000-0000185B0000}"/>
    <cellStyle name="Separador de milhares 4 9 2" xfId="23337" xr:uid="{00000000-0005-0000-0000-0000195B0000}"/>
    <cellStyle name="Separador de milhares 40" xfId="23338" xr:uid="{00000000-0005-0000-0000-00001A5B0000}"/>
    <cellStyle name="Separador de milhares 41" xfId="23339" xr:uid="{00000000-0005-0000-0000-00001B5B0000}"/>
    <cellStyle name="Separador de milhares 42" xfId="23340" xr:uid="{00000000-0005-0000-0000-00001C5B0000}"/>
    <cellStyle name="Separador de milhares 43" xfId="23341" xr:uid="{00000000-0005-0000-0000-00001D5B0000}"/>
    <cellStyle name="Separador de milhares 44" xfId="23342" xr:uid="{00000000-0005-0000-0000-00001E5B0000}"/>
    <cellStyle name="Separador de milhares 45" xfId="23343" xr:uid="{00000000-0005-0000-0000-00001F5B0000}"/>
    <cellStyle name="Separador de milhares 46" xfId="23344" xr:uid="{00000000-0005-0000-0000-0000205B0000}"/>
    <cellStyle name="Separador de milhares 5" xfId="23345" xr:uid="{00000000-0005-0000-0000-0000215B0000}"/>
    <cellStyle name="Separador de milhares 5 2" xfId="23346" xr:uid="{00000000-0005-0000-0000-0000225B0000}"/>
    <cellStyle name="Separador de milhares 5 3" xfId="23347" xr:uid="{00000000-0005-0000-0000-0000235B0000}"/>
    <cellStyle name="Separador de milhares 5 4" xfId="23348" xr:uid="{00000000-0005-0000-0000-0000245B0000}"/>
    <cellStyle name="Separador de milhares 5 5" xfId="23349" xr:uid="{00000000-0005-0000-0000-0000255B0000}"/>
    <cellStyle name="Separador de milhares 5 6" xfId="23350" xr:uid="{00000000-0005-0000-0000-0000265B0000}"/>
    <cellStyle name="Separador de milhares 51" xfId="23351" xr:uid="{00000000-0005-0000-0000-0000275B0000}"/>
    <cellStyle name="Separador de milhares 51 2" xfId="23352" xr:uid="{00000000-0005-0000-0000-0000285B0000}"/>
    <cellStyle name="Separador de milhares 6" xfId="23353" xr:uid="{00000000-0005-0000-0000-0000295B0000}"/>
    <cellStyle name="Separador de milhares 6 2" xfId="23354" xr:uid="{00000000-0005-0000-0000-00002A5B0000}"/>
    <cellStyle name="Separador de milhares 6 3" xfId="23355" xr:uid="{00000000-0005-0000-0000-00002B5B0000}"/>
    <cellStyle name="Separador de milhares 6 4" xfId="23356" xr:uid="{00000000-0005-0000-0000-00002C5B0000}"/>
    <cellStyle name="Separador de milhares 6 4 2" xfId="23357" xr:uid="{00000000-0005-0000-0000-00002D5B0000}"/>
    <cellStyle name="Separador de milhares 6 5" xfId="23358" xr:uid="{00000000-0005-0000-0000-00002E5B0000}"/>
    <cellStyle name="Separador de milhares 7" xfId="23359" xr:uid="{00000000-0005-0000-0000-00002F5B0000}"/>
    <cellStyle name="Separador de milhares 7 2" xfId="23360" xr:uid="{00000000-0005-0000-0000-0000305B0000}"/>
    <cellStyle name="Separador de milhares 7 2 2" xfId="23361" xr:uid="{00000000-0005-0000-0000-0000315B0000}"/>
    <cellStyle name="Separador de milhares 7 2 3" xfId="23362" xr:uid="{00000000-0005-0000-0000-0000325B0000}"/>
    <cellStyle name="Separador de milhares 7 3" xfId="23363" xr:uid="{00000000-0005-0000-0000-0000335B0000}"/>
    <cellStyle name="Separador de milhares 7 3 2" xfId="23364" xr:uid="{00000000-0005-0000-0000-0000345B0000}"/>
    <cellStyle name="Separador de milhares 7 4" xfId="23365" xr:uid="{00000000-0005-0000-0000-0000355B0000}"/>
    <cellStyle name="Separador de milhares 7 5" xfId="23366" xr:uid="{00000000-0005-0000-0000-0000365B0000}"/>
    <cellStyle name="Separador de milhares 7 6" xfId="23367" xr:uid="{00000000-0005-0000-0000-0000375B0000}"/>
    <cellStyle name="Separador de milhares 7 7" xfId="23368" xr:uid="{00000000-0005-0000-0000-0000385B0000}"/>
    <cellStyle name="Separador de milhares 7 8" xfId="23369" xr:uid="{00000000-0005-0000-0000-0000395B0000}"/>
    <cellStyle name="Separador de milhares 8" xfId="23370" xr:uid="{00000000-0005-0000-0000-00003A5B0000}"/>
    <cellStyle name="Separador de milhares 8 2" xfId="23371" xr:uid="{00000000-0005-0000-0000-00003B5B0000}"/>
    <cellStyle name="Separador de milhares 8 3" xfId="23372" xr:uid="{00000000-0005-0000-0000-00003C5B0000}"/>
    <cellStyle name="Separador de milhares 9" xfId="23373" xr:uid="{00000000-0005-0000-0000-00003D5B0000}"/>
    <cellStyle name="Separador de milhares 9 2" xfId="23374" xr:uid="{00000000-0005-0000-0000-00003E5B0000}"/>
    <cellStyle name="shade" xfId="23375" xr:uid="{00000000-0005-0000-0000-00003F5B0000}"/>
    <cellStyle name="Shaded" xfId="23376" xr:uid="{00000000-0005-0000-0000-0000405B0000}"/>
    <cellStyle name="Shaded 2" xfId="23377" xr:uid="{00000000-0005-0000-0000-0000415B0000}"/>
    <cellStyle name="Shaded 3" xfId="23378" xr:uid="{00000000-0005-0000-0000-0000425B0000}"/>
    <cellStyle name="Sheetmult" xfId="23379" xr:uid="{00000000-0005-0000-0000-0000435B0000}"/>
    <cellStyle name="Shtmultx" xfId="23380" xr:uid="{00000000-0005-0000-0000-0000445B0000}"/>
    <cellStyle name="Single Accounting" xfId="23381" xr:uid="{00000000-0005-0000-0000-0000455B0000}"/>
    <cellStyle name="Standaard_2 clubs MW-09.215 Business model Estádio Fonte Nova" xfId="23382" xr:uid="{00000000-0005-0000-0000-0000465B0000}"/>
    <cellStyle name="Standard__Utopia Index Index und Guidance (Deutsch)" xfId="23383" xr:uid="{00000000-0005-0000-0000-0000475B0000}"/>
    <cellStyle name="Stock Comma" xfId="23384" xr:uid="{00000000-0005-0000-0000-0000485B0000}"/>
    <cellStyle name="Stock Price" xfId="23385" xr:uid="{00000000-0005-0000-0000-0000495B0000}"/>
    <cellStyle name="STYL1 - Estilo8" xfId="23386" xr:uid="{00000000-0005-0000-0000-00004A5B0000}"/>
    <cellStyle name="STYL1 - Style1" xfId="23387" xr:uid="{00000000-0005-0000-0000-00004B5B0000}"/>
    <cellStyle name="Style 1" xfId="23388" xr:uid="{00000000-0005-0000-0000-00004C5B0000}"/>
    <cellStyle name="Style 1 2" xfId="23389" xr:uid="{00000000-0005-0000-0000-00004D5B0000}"/>
    <cellStyle name="Style 1 3" xfId="23390" xr:uid="{00000000-0005-0000-0000-00004E5B0000}"/>
    <cellStyle name="Style 34" xfId="23391" xr:uid="{00000000-0005-0000-0000-00004F5B0000}"/>
    <cellStyle name="subhead" xfId="23392" xr:uid="{00000000-0005-0000-0000-0000505B0000}"/>
    <cellStyle name="SUBTOTAIS" xfId="23393" xr:uid="{00000000-0005-0000-0000-0000515B0000}"/>
    <cellStyle name="Sum" xfId="23394" xr:uid="{00000000-0005-0000-0000-0000525B0000}"/>
    <cellStyle name="Sum 2" xfId="23395" xr:uid="{00000000-0005-0000-0000-0000535B0000}"/>
    <cellStyle name="Sum 3" xfId="23396" xr:uid="{00000000-0005-0000-0000-0000545B0000}"/>
    <cellStyle name="SUMA PARCIAL" xfId="23397" xr:uid="{00000000-0005-0000-0000-0000555B0000}"/>
    <cellStyle name="Summary" xfId="23398" xr:uid="{00000000-0005-0000-0000-0000565B0000}"/>
    <cellStyle name="Summary 2" xfId="23399" xr:uid="{00000000-0005-0000-0000-0000575B0000}"/>
    <cellStyle name="t2" xfId="23400" xr:uid="{00000000-0005-0000-0000-0000585B0000}"/>
    <cellStyle name="Table Col Head" xfId="23401" xr:uid="{00000000-0005-0000-0000-0000595B0000}"/>
    <cellStyle name="Table Col Head 2" xfId="23402" xr:uid="{00000000-0005-0000-0000-00005A5B0000}"/>
    <cellStyle name="Table Head" xfId="23403" xr:uid="{00000000-0005-0000-0000-00005B5B0000}"/>
    <cellStyle name="Table Head Aligned" xfId="23404" xr:uid="{00000000-0005-0000-0000-00005C5B0000}"/>
    <cellStyle name="Table Head Aligned 2" xfId="23405" xr:uid="{00000000-0005-0000-0000-00005D5B0000}"/>
    <cellStyle name="Table Head Aligned 3" xfId="23406" xr:uid="{00000000-0005-0000-0000-00005E5B0000}"/>
    <cellStyle name="Table Head Aligned 4" xfId="23407" xr:uid="{00000000-0005-0000-0000-00005F5B0000}"/>
    <cellStyle name="Table Head Blue" xfId="23408" xr:uid="{00000000-0005-0000-0000-0000605B0000}"/>
    <cellStyle name="Table Head Green" xfId="23409" xr:uid="{00000000-0005-0000-0000-0000615B0000}"/>
    <cellStyle name="Table Head Green 2" xfId="23410" xr:uid="{00000000-0005-0000-0000-0000625B0000}"/>
    <cellStyle name="Table Head Green 3" xfId="23411" xr:uid="{00000000-0005-0000-0000-0000635B0000}"/>
    <cellStyle name="Table Head_AES LatAm v12" xfId="23412" xr:uid="{00000000-0005-0000-0000-0000645B0000}"/>
    <cellStyle name="Table Heading" xfId="23413" xr:uid="{00000000-0005-0000-0000-0000655B0000}"/>
    <cellStyle name="Table Sub Head" xfId="23414" xr:uid="{00000000-0005-0000-0000-0000665B0000}"/>
    <cellStyle name="Table Sub Head 2" xfId="23415" xr:uid="{00000000-0005-0000-0000-0000675B0000}"/>
    <cellStyle name="Table Text" xfId="23416" xr:uid="{00000000-0005-0000-0000-0000685B0000}"/>
    <cellStyle name="Table Title" xfId="23417" xr:uid="{00000000-0005-0000-0000-0000695B0000}"/>
    <cellStyle name="Table Title 2" xfId="23418" xr:uid="{00000000-0005-0000-0000-00006A5B0000}"/>
    <cellStyle name="Table Units" xfId="23419" xr:uid="{00000000-0005-0000-0000-00006B5B0000}"/>
    <cellStyle name="Table Units 10" xfId="23420" xr:uid="{00000000-0005-0000-0000-00006C5B0000}"/>
    <cellStyle name="Table Units 11" xfId="23421" xr:uid="{00000000-0005-0000-0000-00006D5B0000}"/>
    <cellStyle name="Table Units 2" xfId="23422" xr:uid="{00000000-0005-0000-0000-00006E5B0000}"/>
    <cellStyle name="Table Units 3" xfId="23423" xr:uid="{00000000-0005-0000-0000-00006F5B0000}"/>
    <cellStyle name="Table Units 4" xfId="23424" xr:uid="{00000000-0005-0000-0000-0000705B0000}"/>
    <cellStyle name="Table Units 5" xfId="23425" xr:uid="{00000000-0005-0000-0000-0000715B0000}"/>
    <cellStyle name="Table Units 6" xfId="23426" xr:uid="{00000000-0005-0000-0000-0000725B0000}"/>
    <cellStyle name="Table Units 7" xfId="23427" xr:uid="{00000000-0005-0000-0000-0000735B0000}"/>
    <cellStyle name="Table Units 8" xfId="23428" xr:uid="{00000000-0005-0000-0000-0000745B0000}"/>
    <cellStyle name="Table Units 9" xfId="23429" xr:uid="{00000000-0005-0000-0000-0000755B0000}"/>
    <cellStyle name="Table_Header" xfId="23430" xr:uid="{00000000-0005-0000-0000-0000765B0000}"/>
    <cellStyle name="TableBase" xfId="23431" xr:uid="{00000000-0005-0000-0000-0000775B0000}"/>
    <cellStyle name="TableBase 2" xfId="23432" xr:uid="{00000000-0005-0000-0000-0000785B0000}"/>
    <cellStyle name="TableHead" xfId="23433" xr:uid="{00000000-0005-0000-0000-0000795B0000}"/>
    <cellStyle name="TableHead 2" xfId="23434" xr:uid="{00000000-0005-0000-0000-00007A5B0000}"/>
    <cellStyle name="Tag" xfId="23435" xr:uid="{00000000-0005-0000-0000-00007B5B0000}"/>
    <cellStyle name="taples Plaza" xfId="23436" xr:uid="{00000000-0005-0000-0000-00007C5B0000}"/>
    <cellStyle name="taples Plaza 2" xfId="23437" xr:uid="{00000000-0005-0000-0000-00007D5B0000}"/>
    <cellStyle name="test" xfId="23438" xr:uid="{00000000-0005-0000-0000-00007E5B0000}"/>
    <cellStyle name="Test 2" xfId="23439" xr:uid="{00000000-0005-0000-0000-00007F5B0000}"/>
    <cellStyle name="Text" xfId="23440" xr:uid="{00000000-0005-0000-0000-0000805B0000}"/>
    <cellStyle name="Text 1" xfId="23441" xr:uid="{00000000-0005-0000-0000-0000815B0000}"/>
    <cellStyle name="Text 10" xfId="23442" xr:uid="{00000000-0005-0000-0000-0000825B0000}"/>
    <cellStyle name="Text 11" xfId="23443" xr:uid="{00000000-0005-0000-0000-0000835B0000}"/>
    <cellStyle name="TEXT 12" xfId="23444" xr:uid="{00000000-0005-0000-0000-0000845B0000}"/>
    <cellStyle name="TEXT 13" xfId="23445" xr:uid="{00000000-0005-0000-0000-0000855B0000}"/>
    <cellStyle name="TEXT 14" xfId="23446" xr:uid="{00000000-0005-0000-0000-0000865B0000}"/>
    <cellStyle name="TEXT 15" xfId="23447" xr:uid="{00000000-0005-0000-0000-0000875B0000}"/>
    <cellStyle name="TEXT 16" xfId="23448" xr:uid="{00000000-0005-0000-0000-0000885B0000}"/>
    <cellStyle name="TEXT 17" xfId="23449" xr:uid="{00000000-0005-0000-0000-0000895B0000}"/>
    <cellStyle name="TEXT 18" xfId="23450" xr:uid="{00000000-0005-0000-0000-00008A5B0000}"/>
    <cellStyle name="TEXT 19" xfId="23451" xr:uid="{00000000-0005-0000-0000-00008B5B0000}"/>
    <cellStyle name="Text 2" xfId="23452" xr:uid="{00000000-0005-0000-0000-00008C5B0000}"/>
    <cellStyle name="TEXT 20" xfId="23453" xr:uid="{00000000-0005-0000-0000-00008D5B0000}"/>
    <cellStyle name="TEXT 21" xfId="23454" xr:uid="{00000000-0005-0000-0000-00008E5B0000}"/>
    <cellStyle name="TEXT 22" xfId="23455" xr:uid="{00000000-0005-0000-0000-00008F5B0000}"/>
    <cellStyle name="TEXT 23" xfId="23456" xr:uid="{00000000-0005-0000-0000-0000905B0000}"/>
    <cellStyle name="TEXT 24" xfId="23457" xr:uid="{00000000-0005-0000-0000-0000915B0000}"/>
    <cellStyle name="TEXT 25" xfId="23458" xr:uid="{00000000-0005-0000-0000-0000925B0000}"/>
    <cellStyle name="Text 3" xfId="23459" xr:uid="{00000000-0005-0000-0000-0000935B0000}"/>
    <cellStyle name="Text 4" xfId="23460" xr:uid="{00000000-0005-0000-0000-0000945B0000}"/>
    <cellStyle name="Text 5" xfId="23461" xr:uid="{00000000-0005-0000-0000-0000955B0000}"/>
    <cellStyle name="Text 6" xfId="23462" xr:uid="{00000000-0005-0000-0000-0000965B0000}"/>
    <cellStyle name="Text 7" xfId="23463" xr:uid="{00000000-0005-0000-0000-0000975B0000}"/>
    <cellStyle name="Text 8" xfId="23464" xr:uid="{00000000-0005-0000-0000-0000985B0000}"/>
    <cellStyle name="Text 9" xfId="23465" xr:uid="{00000000-0005-0000-0000-0000995B0000}"/>
    <cellStyle name="Text Head" xfId="23466" xr:uid="{00000000-0005-0000-0000-00009A5B0000}"/>
    <cellStyle name="Text Head 1" xfId="23467" xr:uid="{00000000-0005-0000-0000-00009B5B0000}"/>
    <cellStyle name="TextNormal" xfId="23468" xr:uid="{00000000-0005-0000-0000-00009C5B0000}"/>
    <cellStyle name="Texto de advertencia 2" xfId="23469" xr:uid="{00000000-0005-0000-0000-00009D5B0000}"/>
    <cellStyle name="Texto de Aviso 2" xfId="23470" xr:uid="{00000000-0005-0000-0000-00009E5B0000}"/>
    <cellStyle name="Texto de Aviso 3" xfId="23471" xr:uid="{00000000-0005-0000-0000-00009F5B0000}"/>
    <cellStyle name="Texto Explicativo 2" xfId="23472" xr:uid="{00000000-0005-0000-0000-0000A05B0000}"/>
    <cellStyle name="Texto Explicativo 3" xfId="23473" xr:uid="{00000000-0005-0000-0000-0000A15B0000}"/>
    <cellStyle name="TFCF" xfId="23474" xr:uid="{00000000-0005-0000-0000-0000A25B0000}"/>
    <cellStyle name="þ_x001d_ð'" xfId="23475" xr:uid="{00000000-0005-0000-0000-0000A35B0000}"/>
    <cellStyle name="þ_x001d_ð'_x000c_ïþ÷_x000c_âþU_x0001_o_x0014_x_x001c__x0007__x0001__x0001_" xfId="137" xr:uid="{00000000-0005-0000-0000-0000A45B0000}"/>
    <cellStyle name="þ_x001d_ð'_x000c_ïþ÷_x000c_âþU_x0001_o_x0014_x_x001c__x0007__x0001__x0001_ 2" xfId="23476" xr:uid="{00000000-0005-0000-0000-0000A55B0000}"/>
    <cellStyle name="Tickmark" xfId="23477" xr:uid="{00000000-0005-0000-0000-0000A65B0000}"/>
    <cellStyle name="Time" xfId="23478" xr:uid="{00000000-0005-0000-0000-0000A75B0000}"/>
    <cellStyle name="Time 2" xfId="23479" xr:uid="{00000000-0005-0000-0000-0000A85B0000}"/>
    <cellStyle name="times" xfId="23480" xr:uid="{00000000-0005-0000-0000-0000A95B0000}"/>
    <cellStyle name="Times 10" xfId="23481" xr:uid="{00000000-0005-0000-0000-0000AA5B0000}"/>
    <cellStyle name="Times 10 2" xfId="23482" xr:uid="{00000000-0005-0000-0000-0000AB5B0000}"/>
    <cellStyle name="Times 12" xfId="23483" xr:uid="{00000000-0005-0000-0000-0000AC5B0000}"/>
    <cellStyle name="Times 12 2" xfId="23484" xr:uid="{00000000-0005-0000-0000-0000AD5B0000}"/>
    <cellStyle name="Title" xfId="63" xr:uid="{00000000-0005-0000-0000-0000AE5B0000}"/>
    <cellStyle name="Title - Underline" xfId="23485" xr:uid="{00000000-0005-0000-0000-0000AF5B0000}"/>
    <cellStyle name="Title 2" xfId="23486" xr:uid="{00000000-0005-0000-0000-0000B05B0000}"/>
    <cellStyle name="Titles" xfId="23487" xr:uid="{00000000-0005-0000-0000-0000B15B0000}"/>
    <cellStyle name="Titles - Other" xfId="23488" xr:uid="{00000000-0005-0000-0000-0000B25B0000}"/>
    <cellStyle name="Titles 2" xfId="23489" xr:uid="{00000000-0005-0000-0000-0000B35B0000}"/>
    <cellStyle name="Titre 1" xfId="23490" xr:uid="{00000000-0005-0000-0000-0000B45B0000}"/>
    <cellStyle name="Titre_6194 G 0002 E EST -AE annexe A-1-2 -solution prog- invest-02_11_CHIFFRAGE ENGAGEMENT au 22-01-10" xfId="23491" xr:uid="{00000000-0005-0000-0000-0000B55B0000}"/>
    <cellStyle name="Titulo" xfId="138" xr:uid="{00000000-0005-0000-0000-0000B65B0000}"/>
    <cellStyle name="Título 1 1" xfId="23492" xr:uid="{00000000-0005-0000-0000-0000B75B0000}"/>
    <cellStyle name="Título 1 2" xfId="23493" xr:uid="{00000000-0005-0000-0000-0000B85B0000}"/>
    <cellStyle name="Título 1 3" xfId="23494" xr:uid="{00000000-0005-0000-0000-0000B95B0000}"/>
    <cellStyle name="Título 2 2" xfId="23495" xr:uid="{00000000-0005-0000-0000-0000BA5B0000}"/>
    <cellStyle name="Título 2 3" xfId="23496" xr:uid="{00000000-0005-0000-0000-0000BB5B0000}"/>
    <cellStyle name="Título 3 2" xfId="23497" xr:uid="{00000000-0005-0000-0000-0000BC5B0000}"/>
    <cellStyle name="Título 3 3" xfId="23498" xr:uid="{00000000-0005-0000-0000-0000BD5B0000}"/>
    <cellStyle name="Título 4 2" xfId="23499" xr:uid="{00000000-0005-0000-0000-0000BE5B0000}"/>
    <cellStyle name="Título 4 3" xfId="23500" xr:uid="{00000000-0005-0000-0000-0000BF5B0000}"/>
    <cellStyle name="Título 5" xfId="23501" xr:uid="{00000000-0005-0000-0000-0000C05B0000}"/>
    <cellStyle name="Título datas" xfId="23502" xr:uid="{00000000-0005-0000-0000-0000C15B0000}"/>
    <cellStyle name="Título totais" xfId="23503" xr:uid="{00000000-0005-0000-0000-0000C25B0000}"/>
    <cellStyle name="Titulo_Abertura_Despesas (3)" xfId="23504" xr:uid="{00000000-0005-0000-0000-0000C35B0000}"/>
    <cellStyle name="Titulo1" xfId="15" xr:uid="{00000000-0005-0000-0000-0000C45B0000}"/>
    <cellStyle name="Titulo1 2" xfId="23505" xr:uid="{00000000-0005-0000-0000-0000C55B0000}"/>
    <cellStyle name="Titulo2" xfId="16" xr:uid="{00000000-0005-0000-0000-0000C65B0000}"/>
    <cellStyle name="Titulo2 2" xfId="23506" xr:uid="{00000000-0005-0000-0000-0000C75B0000}"/>
    <cellStyle name="TITULOS" xfId="23507" xr:uid="{00000000-0005-0000-0000-0000C85B0000}"/>
    <cellStyle name="To Financials" xfId="23508" xr:uid="{00000000-0005-0000-0000-0000C95B0000}"/>
    <cellStyle name="To_Financial_statements" xfId="23509" xr:uid="{00000000-0005-0000-0000-0000CA5B0000}"/>
    <cellStyle name="Tocopilla" xfId="23510" xr:uid="{00000000-0005-0000-0000-0000CB5B0000}"/>
    <cellStyle name="Top Edge" xfId="23511" xr:uid="{00000000-0005-0000-0000-0000CC5B0000}"/>
    <cellStyle name="TopGrey" xfId="23512" xr:uid="{00000000-0005-0000-0000-0000CD5B0000}"/>
    <cellStyle name="Topline" xfId="23513" xr:uid="{00000000-0005-0000-0000-0000CE5B0000}"/>
    <cellStyle name="Topline 2" xfId="23514" xr:uid="{00000000-0005-0000-0000-0000CF5B0000}"/>
    <cellStyle name="Topline 3" xfId="23515" xr:uid="{00000000-0005-0000-0000-0000D05B0000}"/>
    <cellStyle name="topline x2" xfId="23516" xr:uid="{00000000-0005-0000-0000-0000D15B0000}"/>
    <cellStyle name="Topline_Abertura_Despesas (3)" xfId="23517" xr:uid="{00000000-0005-0000-0000-0000D25B0000}"/>
    <cellStyle name="Total" xfId="17" builtinId="25" customBuiltin="1"/>
    <cellStyle name="Total 2" xfId="23518" xr:uid="{00000000-0005-0000-0000-0000D45B0000}"/>
    <cellStyle name="Total 2 2" xfId="23519" xr:uid="{00000000-0005-0000-0000-0000D55B0000}"/>
    <cellStyle name="Total 3" xfId="23520" xr:uid="{00000000-0005-0000-0000-0000D65B0000}"/>
    <cellStyle name="Total 4" xfId="23521" xr:uid="{00000000-0005-0000-0000-0000D75B0000}"/>
    <cellStyle name="TotalCurrency" xfId="23522" xr:uid="{00000000-0005-0000-0000-0000D85B0000}"/>
    <cellStyle name="TOTALSl" xfId="23523" xr:uid="{00000000-0005-0000-0000-0000D95B0000}"/>
    <cellStyle name="ubordinated Debt" xfId="23524" xr:uid="{00000000-0005-0000-0000-0000DA5B0000}"/>
    <cellStyle name="Uhrzeit" xfId="23525" xr:uid="{00000000-0005-0000-0000-0000DB5B0000}"/>
    <cellStyle name="Undefined" xfId="23526" xr:uid="{00000000-0005-0000-0000-0000DC5B0000}"/>
    <cellStyle name="Undefined 2" xfId="23527" xr:uid="{00000000-0005-0000-0000-0000DD5B0000}"/>
    <cellStyle name="Underline_Single" xfId="23528" xr:uid="{00000000-0005-0000-0000-0000DE5B0000}"/>
    <cellStyle name="UNITS" xfId="23529" xr:uid="{00000000-0005-0000-0000-0000DF5B0000}"/>
    <cellStyle name="UNITS 2" xfId="23530" xr:uid="{00000000-0005-0000-0000-0000E05B0000}"/>
    <cellStyle name="Unlocked" xfId="23531" xr:uid="{00000000-0005-0000-0000-0000E15B0000}"/>
    <cellStyle name="Unlocked 2" xfId="23532" xr:uid="{00000000-0005-0000-0000-0000E25B0000}"/>
    <cellStyle name="Unprot" xfId="23533" xr:uid="{00000000-0005-0000-0000-0000E35B0000}"/>
    <cellStyle name="Unprot 2" xfId="23534" xr:uid="{00000000-0005-0000-0000-0000E45B0000}"/>
    <cellStyle name="Unprot$" xfId="23535" xr:uid="{00000000-0005-0000-0000-0000E55B0000}"/>
    <cellStyle name="Unprot$ 2" xfId="23536" xr:uid="{00000000-0005-0000-0000-0000E65B0000}"/>
    <cellStyle name="Unprot_COPE DIS Sep 14" xfId="23537" xr:uid="{00000000-0005-0000-0000-0000E75B0000}"/>
    <cellStyle name="Unprotect" xfId="23538" xr:uid="{00000000-0005-0000-0000-0000E85B0000}"/>
    <cellStyle name="User_Defined_A" xfId="23539" xr:uid="{00000000-0005-0000-0000-0000E95B0000}"/>
    <cellStyle name="V¡rgula" xfId="18" xr:uid="{00000000-0005-0000-0000-0000EA5B0000}"/>
    <cellStyle name="V¡rgula 2" xfId="23540" xr:uid="{00000000-0005-0000-0000-0000EB5B0000}"/>
    <cellStyle name="V¡rgula0" xfId="19" xr:uid="{00000000-0005-0000-0000-0000EC5B0000}"/>
    <cellStyle name="V¡rgula0 2" xfId="23541" xr:uid="{00000000-0005-0000-0000-0000ED5B0000}"/>
    <cellStyle name="Valuta [0]_Blad1" xfId="23542" xr:uid="{00000000-0005-0000-0000-0000EE5B0000}"/>
    <cellStyle name="Valuta_Blad1" xfId="23543" xr:uid="{00000000-0005-0000-0000-0000EF5B0000}"/>
    <cellStyle name="VENDOR" xfId="23544" xr:uid="{00000000-0005-0000-0000-0000F05B0000}"/>
    <cellStyle name="ventas" xfId="23545" xr:uid="{00000000-0005-0000-0000-0000F15B0000}"/>
    <cellStyle name="Vírgula" xfId="14" builtinId="3"/>
    <cellStyle name="Vírgula 10" xfId="23546" xr:uid="{00000000-0005-0000-0000-0000F35B0000}"/>
    <cellStyle name="Vírgula 11" xfId="23547" xr:uid="{00000000-0005-0000-0000-0000F45B0000}"/>
    <cellStyle name="Vírgula 11 2" xfId="23548" xr:uid="{00000000-0005-0000-0000-0000F55B0000}"/>
    <cellStyle name="Vírgula 11 2 2" xfId="23549" xr:uid="{00000000-0005-0000-0000-0000F65B0000}"/>
    <cellStyle name="Vírgula 11 3" xfId="23550" xr:uid="{00000000-0005-0000-0000-0000F75B0000}"/>
    <cellStyle name="Vírgula 12" xfId="23551" xr:uid="{00000000-0005-0000-0000-0000F85B0000}"/>
    <cellStyle name="Vírgula 12 2" xfId="23552" xr:uid="{00000000-0005-0000-0000-0000F95B0000}"/>
    <cellStyle name="Vírgula 12 2 2" xfId="23553" xr:uid="{00000000-0005-0000-0000-0000FA5B0000}"/>
    <cellStyle name="Vírgula 12 3" xfId="23554" xr:uid="{00000000-0005-0000-0000-0000FB5B0000}"/>
    <cellStyle name="Vírgula 13" xfId="23555" xr:uid="{00000000-0005-0000-0000-0000FC5B0000}"/>
    <cellStyle name="Vírgula 13 2" xfId="23556" xr:uid="{00000000-0005-0000-0000-0000FD5B0000}"/>
    <cellStyle name="Vírgula 13 2 2" xfId="23557" xr:uid="{00000000-0005-0000-0000-0000FE5B0000}"/>
    <cellStyle name="Vírgula 13 3" xfId="23558" xr:uid="{00000000-0005-0000-0000-0000FF5B0000}"/>
    <cellStyle name="Vírgula 14" xfId="23559" xr:uid="{00000000-0005-0000-0000-0000005C0000}"/>
    <cellStyle name="Vírgula 14 2" xfId="23560" xr:uid="{00000000-0005-0000-0000-0000015C0000}"/>
    <cellStyle name="Vírgula 14 2 2" xfId="23561" xr:uid="{00000000-0005-0000-0000-0000025C0000}"/>
    <cellStyle name="Vírgula 14 3" xfId="23562" xr:uid="{00000000-0005-0000-0000-0000035C0000}"/>
    <cellStyle name="Vírgula 15" xfId="23563" xr:uid="{00000000-0005-0000-0000-0000045C0000}"/>
    <cellStyle name="Vírgula 15 2" xfId="23564" xr:uid="{00000000-0005-0000-0000-0000055C0000}"/>
    <cellStyle name="Vírgula 15 2 2" xfId="23565" xr:uid="{00000000-0005-0000-0000-0000065C0000}"/>
    <cellStyle name="Vírgula 15 3" xfId="23566" xr:uid="{00000000-0005-0000-0000-0000075C0000}"/>
    <cellStyle name="Vírgula 16" xfId="23567" xr:uid="{00000000-0005-0000-0000-0000085C0000}"/>
    <cellStyle name="Vírgula 16 2" xfId="23568" xr:uid="{00000000-0005-0000-0000-0000095C0000}"/>
    <cellStyle name="Vírgula 16 2 2" xfId="23569" xr:uid="{00000000-0005-0000-0000-00000A5C0000}"/>
    <cellStyle name="Vírgula 16 3" xfId="23570" xr:uid="{00000000-0005-0000-0000-00000B5C0000}"/>
    <cellStyle name="Vírgula 17" xfId="23571" xr:uid="{00000000-0005-0000-0000-00000C5C0000}"/>
    <cellStyle name="Vírgula 17 2" xfId="23572" xr:uid="{00000000-0005-0000-0000-00000D5C0000}"/>
    <cellStyle name="Vírgula 17 2 2" xfId="23573" xr:uid="{00000000-0005-0000-0000-00000E5C0000}"/>
    <cellStyle name="Vírgula 17 3" xfId="23574" xr:uid="{00000000-0005-0000-0000-00000F5C0000}"/>
    <cellStyle name="Vírgula 18" xfId="23575" xr:uid="{00000000-0005-0000-0000-0000105C0000}"/>
    <cellStyle name="Vírgula 19" xfId="23576" xr:uid="{00000000-0005-0000-0000-0000115C0000}"/>
    <cellStyle name="Vírgula 2" xfId="64" xr:uid="{00000000-0005-0000-0000-0000125C0000}"/>
    <cellStyle name="Vírgula 2 2" xfId="139" xr:uid="{00000000-0005-0000-0000-0000135C0000}"/>
    <cellStyle name="Vírgula 2 2 2" xfId="23577" xr:uid="{00000000-0005-0000-0000-0000145C0000}"/>
    <cellStyle name="Vírgula 2 2 2 2" xfId="23578" xr:uid="{00000000-0005-0000-0000-0000155C0000}"/>
    <cellStyle name="Vírgula 2 2 2 2 2" xfId="23579" xr:uid="{00000000-0005-0000-0000-0000165C0000}"/>
    <cellStyle name="Vírgula 2 2 2 2 2 2" xfId="23580" xr:uid="{00000000-0005-0000-0000-0000175C0000}"/>
    <cellStyle name="Vírgula 2 2 2 2 3" xfId="23581" xr:uid="{00000000-0005-0000-0000-0000185C0000}"/>
    <cellStyle name="Vírgula 2 2 2 2 3 2" xfId="23582" xr:uid="{00000000-0005-0000-0000-0000195C0000}"/>
    <cellStyle name="Vírgula 2 2 2 2 4" xfId="23583" xr:uid="{00000000-0005-0000-0000-00001A5C0000}"/>
    <cellStyle name="Vírgula 2 2 2 3" xfId="23584" xr:uid="{00000000-0005-0000-0000-00001B5C0000}"/>
    <cellStyle name="Vírgula 2 2 2 3 2" xfId="23585" xr:uid="{00000000-0005-0000-0000-00001C5C0000}"/>
    <cellStyle name="Vírgula 2 2 2 3 2 2" xfId="23586" xr:uid="{00000000-0005-0000-0000-00001D5C0000}"/>
    <cellStyle name="Vírgula 2 2 2 3 3" xfId="23587" xr:uid="{00000000-0005-0000-0000-00001E5C0000}"/>
    <cellStyle name="Vírgula 2 2 2 4" xfId="23588" xr:uid="{00000000-0005-0000-0000-00001F5C0000}"/>
    <cellStyle name="Vírgula 2 2 2 4 2" xfId="23589" xr:uid="{00000000-0005-0000-0000-0000205C0000}"/>
    <cellStyle name="Vírgula 2 2 2 4 2 2" xfId="23590" xr:uid="{00000000-0005-0000-0000-0000215C0000}"/>
    <cellStyle name="Vírgula 2 2 2 4 3" xfId="23591" xr:uid="{00000000-0005-0000-0000-0000225C0000}"/>
    <cellStyle name="Vírgula 2 2 2 5" xfId="23592" xr:uid="{00000000-0005-0000-0000-0000235C0000}"/>
    <cellStyle name="Vírgula 2 2 2 5 2" xfId="23593" xr:uid="{00000000-0005-0000-0000-0000245C0000}"/>
    <cellStyle name="Vírgula 2 2 2 5 2 2" xfId="23594" xr:uid="{00000000-0005-0000-0000-0000255C0000}"/>
    <cellStyle name="Vírgula 2 2 2 5 3" xfId="23595" xr:uid="{00000000-0005-0000-0000-0000265C0000}"/>
    <cellStyle name="Vírgula 2 2 2 6" xfId="23596" xr:uid="{00000000-0005-0000-0000-0000275C0000}"/>
    <cellStyle name="Vírgula 2 2 2 6 2" xfId="23597" xr:uid="{00000000-0005-0000-0000-0000285C0000}"/>
    <cellStyle name="Vírgula 2 2 2 7" xfId="23598" xr:uid="{00000000-0005-0000-0000-0000295C0000}"/>
    <cellStyle name="Vírgula 2 2 3" xfId="23599" xr:uid="{00000000-0005-0000-0000-00002A5C0000}"/>
    <cellStyle name="Vírgula 2 2 3 2" xfId="23600" xr:uid="{00000000-0005-0000-0000-00002B5C0000}"/>
    <cellStyle name="Vírgula 2 2 3 2 2" xfId="23601" xr:uid="{00000000-0005-0000-0000-00002C5C0000}"/>
    <cellStyle name="Vírgula 2 2 3 2 2 2" xfId="23602" xr:uid="{00000000-0005-0000-0000-00002D5C0000}"/>
    <cellStyle name="Vírgula 2 2 3 2 3" xfId="23603" xr:uid="{00000000-0005-0000-0000-00002E5C0000}"/>
    <cellStyle name="Vírgula 2 2 3 2 3 2" xfId="23604" xr:uid="{00000000-0005-0000-0000-00002F5C0000}"/>
    <cellStyle name="Vírgula 2 2 3 2 4" xfId="23605" xr:uid="{00000000-0005-0000-0000-0000305C0000}"/>
    <cellStyle name="Vírgula 2 2 3 3" xfId="23606" xr:uid="{00000000-0005-0000-0000-0000315C0000}"/>
    <cellStyle name="Vírgula 2 2 3 3 2" xfId="23607" xr:uid="{00000000-0005-0000-0000-0000325C0000}"/>
    <cellStyle name="Vírgula 2 2 3 3 2 2" xfId="23608" xr:uid="{00000000-0005-0000-0000-0000335C0000}"/>
    <cellStyle name="Vírgula 2 2 3 3 3" xfId="23609" xr:uid="{00000000-0005-0000-0000-0000345C0000}"/>
    <cellStyle name="Vírgula 2 2 3 3 3 2" xfId="23610" xr:uid="{00000000-0005-0000-0000-0000355C0000}"/>
    <cellStyle name="Vírgula 2 2 3 3 4" xfId="23611" xr:uid="{00000000-0005-0000-0000-0000365C0000}"/>
    <cellStyle name="Vírgula 2 2 3 4" xfId="23612" xr:uid="{00000000-0005-0000-0000-0000375C0000}"/>
    <cellStyle name="Vírgula 2 2 3 4 2" xfId="23613" xr:uid="{00000000-0005-0000-0000-0000385C0000}"/>
    <cellStyle name="Vírgula 2 2 3 5" xfId="23614" xr:uid="{00000000-0005-0000-0000-0000395C0000}"/>
    <cellStyle name="Vírgula 2 2 3 5 2" xfId="23615" xr:uid="{00000000-0005-0000-0000-00003A5C0000}"/>
    <cellStyle name="Vírgula 2 2 3 6" xfId="23616" xr:uid="{00000000-0005-0000-0000-00003B5C0000}"/>
    <cellStyle name="Vírgula 2 2 4" xfId="23617" xr:uid="{00000000-0005-0000-0000-00003C5C0000}"/>
    <cellStyle name="Vírgula 2 2 5" xfId="23618" xr:uid="{00000000-0005-0000-0000-00003D5C0000}"/>
    <cellStyle name="Vírgula 2 2 5 2" xfId="23619" xr:uid="{00000000-0005-0000-0000-00003E5C0000}"/>
    <cellStyle name="Vírgula 2 2 5 2 2" xfId="23620" xr:uid="{00000000-0005-0000-0000-00003F5C0000}"/>
    <cellStyle name="Vírgula 2 2 5 3" xfId="23621" xr:uid="{00000000-0005-0000-0000-0000405C0000}"/>
    <cellStyle name="Vírgula 2 2 5 3 2" xfId="23622" xr:uid="{00000000-0005-0000-0000-0000415C0000}"/>
    <cellStyle name="Vírgula 2 2 5 4" xfId="23623" xr:uid="{00000000-0005-0000-0000-0000425C0000}"/>
    <cellStyle name="Vírgula 2 2 6" xfId="23624" xr:uid="{00000000-0005-0000-0000-0000435C0000}"/>
    <cellStyle name="Vírgula 2 2 6 2" xfId="23625" xr:uid="{00000000-0005-0000-0000-0000445C0000}"/>
    <cellStyle name="Vírgula 2 2 6 2 2" xfId="23626" xr:uid="{00000000-0005-0000-0000-0000455C0000}"/>
    <cellStyle name="Vírgula 2 2 6 3" xfId="23627" xr:uid="{00000000-0005-0000-0000-0000465C0000}"/>
    <cellStyle name="Vírgula 2 2 7" xfId="23628" xr:uid="{00000000-0005-0000-0000-0000475C0000}"/>
    <cellStyle name="Vírgula 2 2 7 2" xfId="23629" xr:uid="{00000000-0005-0000-0000-0000485C0000}"/>
    <cellStyle name="Vírgula 2 2 7 2 2" xfId="23630" xr:uid="{00000000-0005-0000-0000-0000495C0000}"/>
    <cellStyle name="Vírgula 2 2 7 3" xfId="23631" xr:uid="{00000000-0005-0000-0000-00004A5C0000}"/>
    <cellStyle name="Vírgula 2 2 8" xfId="23632" xr:uid="{00000000-0005-0000-0000-00004B5C0000}"/>
    <cellStyle name="Vírgula 2 2 8 2" xfId="23633" xr:uid="{00000000-0005-0000-0000-00004C5C0000}"/>
    <cellStyle name="Vírgula 2 2 8 2 2" xfId="23634" xr:uid="{00000000-0005-0000-0000-00004D5C0000}"/>
    <cellStyle name="Vírgula 2 2 8 3" xfId="23635" xr:uid="{00000000-0005-0000-0000-00004E5C0000}"/>
    <cellStyle name="Vírgula 2 3" xfId="23636" xr:uid="{00000000-0005-0000-0000-00004F5C0000}"/>
    <cellStyle name="Vírgula 2 3 2" xfId="23637" xr:uid="{00000000-0005-0000-0000-0000505C0000}"/>
    <cellStyle name="Vírgula 2 3 2 2" xfId="23638" xr:uid="{00000000-0005-0000-0000-0000515C0000}"/>
    <cellStyle name="Vírgula 2 3 2 2 2" xfId="23639" xr:uid="{00000000-0005-0000-0000-0000525C0000}"/>
    <cellStyle name="Vírgula 2 3 2 2 2 2" xfId="23640" xr:uid="{00000000-0005-0000-0000-0000535C0000}"/>
    <cellStyle name="Vírgula 2 3 2 2 3" xfId="23641" xr:uid="{00000000-0005-0000-0000-0000545C0000}"/>
    <cellStyle name="Vírgula 2 3 2 2 3 2" xfId="23642" xr:uid="{00000000-0005-0000-0000-0000555C0000}"/>
    <cellStyle name="Vírgula 2 3 2 2 4" xfId="23643" xr:uid="{00000000-0005-0000-0000-0000565C0000}"/>
    <cellStyle name="Vírgula 2 3 2 3" xfId="23644" xr:uid="{00000000-0005-0000-0000-0000575C0000}"/>
    <cellStyle name="Vírgula 2 3 2 3 2" xfId="23645" xr:uid="{00000000-0005-0000-0000-0000585C0000}"/>
    <cellStyle name="Vírgula 2 3 2 3 2 2" xfId="23646" xr:uid="{00000000-0005-0000-0000-0000595C0000}"/>
    <cellStyle name="Vírgula 2 3 2 3 3" xfId="23647" xr:uid="{00000000-0005-0000-0000-00005A5C0000}"/>
    <cellStyle name="Vírgula 2 3 2 4" xfId="23648" xr:uid="{00000000-0005-0000-0000-00005B5C0000}"/>
    <cellStyle name="Vírgula 2 3 2 4 2" xfId="23649" xr:uid="{00000000-0005-0000-0000-00005C5C0000}"/>
    <cellStyle name="Vírgula 2 3 2 4 2 2" xfId="23650" xr:uid="{00000000-0005-0000-0000-00005D5C0000}"/>
    <cellStyle name="Vírgula 2 3 2 4 3" xfId="23651" xr:uid="{00000000-0005-0000-0000-00005E5C0000}"/>
    <cellStyle name="Vírgula 2 3 2 5" xfId="23652" xr:uid="{00000000-0005-0000-0000-00005F5C0000}"/>
    <cellStyle name="Vírgula 2 3 2 5 2" xfId="23653" xr:uid="{00000000-0005-0000-0000-0000605C0000}"/>
    <cellStyle name="Vírgula 2 3 2 5 2 2" xfId="23654" xr:uid="{00000000-0005-0000-0000-0000615C0000}"/>
    <cellStyle name="Vírgula 2 3 2 5 3" xfId="23655" xr:uid="{00000000-0005-0000-0000-0000625C0000}"/>
    <cellStyle name="Vírgula 2 3 2 6" xfId="23656" xr:uid="{00000000-0005-0000-0000-0000635C0000}"/>
    <cellStyle name="Vírgula 2 3 2 6 2" xfId="23657" xr:uid="{00000000-0005-0000-0000-0000645C0000}"/>
    <cellStyle name="Vírgula 2 3 2 7" xfId="23658" xr:uid="{00000000-0005-0000-0000-0000655C0000}"/>
    <cellStyle name="Vírgula 2 3 3" xfId="23659" xr:uid="{00000000-0005-0000-0000-0000665C0000}"/>
    <cellStyle name="Vírgula 2 3 3 2" xfId="23660" xr:uid="{00000000-0005-0000-0000-0000675C0000}"/>
    <cellStyle name="Vírgula 2 3 3 2 2" xfId="23661" xr:uid="{00000000-0005-0000-0000-0000685C0000}"/>
    <cellStyle name="Vírgula 2 3 3 2 2 2" xfId="23662" xr:uid="{00000000-0005-0000-0000-0000695C0000}"/>
    <cellStyle name="Vírgula 2 3 3 2 3" xfId="23663" xr:uid="{00000000-0005-0000-0000-00006A5C0000}"/>
    <cellStyle name="Vírgula 2 3 3 2 3 2" xfId="23664" xr:uid="{00000000-0005-0000-0000-00006B5C0000}"/>
    <cellStyle name="Vírgula 2 3 3 2 4" xfId="23665" xr:uid="{00000000-0005-0000-0000-00006C5C0000}"/>
    <cellStyle name="Vírgula 2 3 3 3" xfId="23666" xr:uid="{00000000-0005-0000-0000-00006D5C0000}"/>
    <cellStyle name="Vírgula 2 3 3 3 2" xfId="23667" xr:uid="{00000000-0005-0000-0000-00006E5C0000}"/>
    <cellStyle name="Vírgula 2 3 3 3 2 2" xfId="23668" xr:uid="{00000000-0005-0000-0000-00006F5C0000}"/>
    <cellStyle name="Vírgula 2 3 3 3 3" xfId="23669" xr:uid="{00000000-0005-0000-0000-0000705C0000}"/>
    <cellStyle name="Vírgula 2 3 3 3 3 2" xfId="23670" xr:uid="{00000000-0005-0000-0000-0000715C0000}"/>
    <cellStyle name="Vírgula 2 3 3 3 4" xfId="23671" xr:uid="{00000000-0005-0000-0000-0000725C0000}"/>
    <cellStyle name="Vírgula 2 3 3 4" xfId="23672" xr:uid="{00000000-0005-0000-0000-0000735C0000}"/>
    <cellStyle name="Vírgula 2 3 3 4 2" xfId="23673" xr:uid="{00000000-0005-0000-0000-0000745C0000}"/>
    <cellStyle name="Vírgula 2 3 3 5" xfId="23674" xr:uid="{00000000-0005-0000-0000-0000755C0000}"/>
    <cellStyle name="Vírgula 2 3 3 5 2" xfId="23675" xr:uid="{00000000-0005-0000-0000-0000765C0000}"/>
    <cellStyle name="Vírgula 2 3 3 6" xfId="23676" xr:uid="{00000000-0005-0000-0000-0000775C0000}"/>
    <cellStyle name="Vírgula 2 3 4" xfId="23677" xr:uid="{00000000-0005-0000-0000-0000785C0000}"/>
    <cellStyle name="Vírgula 2 3 5" xfId="23678" xr:uid="{00000000-0005-0000-0000-0000795C0000}"/>
    <cellStyle name="Vírgula 2 3 5 2" xfId="23679" xr:uid="{00000000-0005-0000-0000-00007A5C0000}"/>
    <cellStyle name="Vírgula 2 3 5 2 2" xfId="23680" xr:uid="{00000000-0005-0000-0000-00007B5C0000}"/>
    <cellStyle name="Vírgula 2 3 5 3" xfId="23681" xr:uid="{00000000-0005-0000-0000-00007C5C0000}"/>
    <cellStyle name="Vírgula 2 3 5 3 2" xfId="23682" xr:uid="{00000000-0005-0000-0000-00007D5C0000}"/>
    <cellStyle name="Vírgula 2 3 5 4" xfId="23683" xr:uid="{00000000-0005-0000-0000-00007E5C0000}"/>
    <cellStyle name="Vírgula 2 3 6" xfId="23684" xr:uid="{00000000-0005-0000-0000-00007F5C0000}"/>
    <cellStyle name="Vírgula 2 3 6 2" xfId="23685" xr:uid="{00000000-0005-0000-0000-0000805C0000}"/>
    <cellStyle name="Vírgula 2 3 6 2 2" xfId="23686" xr:uid="{00000000-0005-0000-0000-0000815C0000}"/>
    <cellStyle name="Vírgula 2 3 6 3" xfId="23687" xr:uid="{00000000-0005-0000-0000-0000825C0000}"/>
    <cellStyle name="Vírgula 2 3 7" xfId="23688" xr:uid="{00000000-0005-0000-0000-0000835C0000}"/>
    <cellStyle name="Vírgula 2 3 7 2" xfId="23689" xr:uid="{00000000-0005-0000-0000-0000845C0000}"/>
    <cellStyle name="Vírgula 2 3 7 2 2" xfId="23690" xr:uid="{00000000-0005-0000-0000-0000855C0000}"/>
    <cellStyle name="Vírgula 2 3 7 3" xfId="23691" xr:uid="{00000000-0005-0000-0000-0000865C0000}"/>
    <cellStyle name="Vírgula 2 3 8" xfId="23692" xr:uid="{00000000-0005-0000-0000-0000875C0000}"/>
    <cellStyle name="Vírgula 2 3 8 2" xfId="23693" xr:uid="{00000000-0005-0000-0000-0000885C0000}"/>
    <cellStyle name="Vírgula 2 3 8 2 2" xfId="23694" xr:uid="{00000000-0005-0000-0000-0000895C0000}"/>
    <cellStyle name="Vírgula 2 3 8 3" xfId="23695" xr:uid="{00000000-0005-0000-0000-00008A5C0000}"/>
    <cellStyle name="Vírgula 2 4" xfId="23696" xr:uid="{00000000-0005-0000-0000-00008B5C0000}"/>
    <cellStyle name="Vírgula 2 5" xfId="23697" xr:uid="{00000000-0005-0000-0000-00008C5C0000}"/>
    <cellStyle name="Vírgula 2 6" xfId="23698" xr:uid="{00000000-0005-0000-0000-00008D5C0000}"/>
    <cellStyle name="Vírgula 2 7" xfId="23699" xr:uid="{00000000-0005-0000-0000-00008E5C0000}"/>
    <cellStyle name="Vírgula 2 8" xfId="23700" xr:uid="{00000000-0005-0000-0000-00008F5C0000}"/>
    <cellStyle name="Vírgula 2 9" xfId="23701" xr:uid="{00000000-0005-0000-0000-0000905C0000}"/>
    <cellStyle name="Vírgula 2 9 2" xfId="23702" xr:uid="{00000000-0005-0000-0000-0000915C0000}"/>
    <cellStyle name="Vírgula 2_RECUPERAÇÃO" xfId="23703" xr:uid="{00000000-0005-0000-0000-0000925C0000}"/>
    <cellStyle name="Vírgula 20" xfId="23704" xr:uid="{00000000-0005-0000-0000-0000935C0000}"/>
    <cellStyle name="Vírgula 3" xfId="65" xr:uid="{00000000-0005-0000-0000-0000945C0000}"/>
    <cellStyle name="Vírgula 3 10" xfId="23705" xr:uid="{00000000-0005-0000-0000-0000955C0000}"/>
    <cellStyle name="Vírgula 3 10 2" xfId="23706" xr:uid="{00000000-0005-0000-0000-0000965C0000}"/>
    <cellStyle name="Vírgula 3 11" xfId="23707" xr:uid="{00000000-0005-0000-0000-0000975C0000}"/>
    <cellStyle name="Vírgula 3 12" xfId="24040" xr:uid="{00000000-0005-0000-0000-0000985C0000}"/>
    <cellStyle name="Vírgula 3 2" xfId="23708" xr:uid="{00000000-0005-0000-0000-0000995C0000}"/>
    <cellStyle name="Vírgula 3 2 2" xfId="23709" xr:uid="{00000000-0005-0000-0000-00009A5C0000}"/>
    <cellStyle name="Vírgula 3 2 2 2" xfId="23710" xr:uid="{00000000-0005-0000-0000-00009B5C0000}"/>
    <cellStyle name="Vírgula 3 2 2 2 2" xfId="23711" xr:uid="{00000000-0005-0000-0000-00009C5C0000}"/>
    <cellStyle name="Vírgula 3 2 2 2 2 2" xfId="23712" xr:uid="{00000000-0005-0000-0000-00009D5C0000}"/>
    <cellStyle name="Vírgula 3 2 2 2 3" xfId="23713" xr:uid="{00000000-0005-0000-0000-00009E5C0000}"/>
    <cellStyle name="Vírgula 3 2 2 2 3 2" xfId="23714" xr:uid="{00000000-0005-0000-0000-00009F5C0000}"/>
    <cellStyle name="Vírgula 3 2 2 2 4" xfId="23715" xr:uid="{00000000-0005-0000-0000-0000A05C0000}"/>
    <cellStyle name="Vírgula 3 2 2 3" xfId="23716" xr:uid="{00000000-0005-0000-0000-0000A15C0000}"/>
    <cellStyle name="Vírgula 3 2 2 3 2" xfId="23717" xr:uid="{00000000-0005-0000-0000-0000A25C0000}"/>
    <cellStyle name="Vírgula 3 2 2 3 2 2" xfId="23718" xr:uid="{00000000-0005-0000-0000-0000A35C0000}"/>
    <cellStyle name="Vírgula 3 2 2 3 3" xfId="23719" xr:uid="{00000000-0005-0000-0000-0000A45C0000}"/>
    <cellStyle name="Vírgula 3 2 2 3 3 2" xfId="23720" xr:uid="{00000000-0005-0000-0000-0000A55C0000}"/>
    <cellStyle name="Vírgula 3 2 2 3 4" xfId="23721" xr:uid="{00000000-0005-0000-0000-0000A65C0000}"/>
    <cellStyle name="Vírgula 3 2 2 4" xfId="23722" xr:uid="{00000000-0005-0000-0000-0000A75C0000}"/>
    <cellStyle name="Vírgula 3 2 2 4 2" xfId="23723" xr:uid="{00000000-0005-0000-0000-0000A85C0000}"/>
    <cellStyle name="Vírgula 3 2 2 5" xfId="23724" xr:uid="{00000000-0005-0000-0000-0000A95C0000}"/>
    <cellStyle name="Vírgula 3 2 2 5 2" xfId="23725" xr:uid="{00000000-0005-0000-0000-0000AA5C0000}"/>
    <cellStyle name="Vírgula 3 2 2 6" xfId="23726" xr:uid="{00000000-0005-0000-0000-0000AB5C0000}"/>
    <cellStyle name="Vírgula 3 2 3" xfId="23727" xr:uid="{00000000-0005-0000-0000-0000AC5C0000}"/>
    <cellStyle name="Vírgula 3 2 3 2" xfId="23728" xr:uid="{00000000-0005-0000-0000-0000AD5C0000}"/>
    <cellStyle name="Vírgula 3 2 3 2 2" xfId="23729" xr:uid="{00000000-0005-0000-0000-0000AE5C0000}"/>
    <cellStyle name="Vírgula 3 2 3 3" xfId="23730" xr:uid="{00000000-0005-0000-0000-0000AF5C0000}"/>
    <cellStyle name="Vírgula 3 2 3 3 2" xfId="23731" xr:uid="{00000000-0005-0000-0000-0000B05C0000}"/>
    <cellStyle name="Vírgula 3 2 3 4" xfId="23732" xr:uid="{00000000-0005-0000-0000-0000B15C0000}"/>
    <cellStyle name="Vírgula 3 2 4" xfId="23733" xr:uid="{00000000-0005-0000-0000-0000B25C0000}"/>
    <cellStyle name="Vírgula 3 2 4 2" xfId="23734" xr:uid="{00000000-0005-0000-0000-0000B35C0000}"/>
    <cellStyle name="Vírgula 3 2 4 2 2" xfId="23735" xr:uid="{00000000-0005-0000-0000-0000B45C0000}"/>
    <cellStyle name="Vírgula 3 2 4 3" xfId="23736" xr:uid="{00000000-0005-0000-0000-0000B55C0000}"/>
    <cellStyle name="Vírgula 3 2 5" xfId="23737" xr:uid="{00000000-0005-0000-0000-0000B65C0000}"/>
    <cellStyle name="Vírgula 3 2 5 2" xfId="23738" xr:uid="{00000000-0005-0000-0000-0000B75C0000}"/>
    <cellStyle name="Vírgula 3 2 5 2 2" xfId="23739" xr:uid="{00000000-0005-0000-0000-0000B85C0000}"/>
    <cellStyle name="Vírgula 3 2 5 3" xfId="23740" xr:uid="{00000000-0005-0000-0000-0000B95C0000}"/>
    <cellStyle name="Vírgula 3 2 6" xfId="23741" xr:uid="{00000000-0005-0000-0000-0000BA5C0000}"/>
    <cellStyle name="Vírgula 3 2 6 2" xfId="23742" xr:uid="{00000000-0005-0000-0000-0000BB5C0000}"/>
    <cellStyle name="Vírgula 3 2 6 2 2" xfId="23743" xr:uid="{00000000-0005-0000-0000-0000BC5C0000}"/>
    <cellStyle name="Vírgula 3 2 6 3" xfId="23744" xr:uid="{00000000-0005-0000-0000-0000BD5C0000}"/>
    <cellStyle name="Vírgula 3 2 7" xfId="23745" xr:uid="{00000000-0005-0000-0000-0000BE5C0000}"/>
    <cellStyle name="Vírgula 3 2 7 2" xfId="23746" xr:uid="{00000000-0005-0000-0000-0000BF5C0000}"/>
    <cellStyle name="Vírgula 3 2 7 2 2" xfId="23747" xr:uid="{00000000-0005-0000-0000-0000C05C0000}"/>
    <cellStyle name="Vírgula 3 2 7 3" xfId="23748" xr:uid="{00000000-0005-0000-0000-0000C15C0000}"/>
    <cellStyle name="Vírgula 3 2 8" xfId="23749" xr:uid="{00000000-0005-0000-0000-0000C25C0000}"/>
    <cellStyle name="Vírgula 3 2 8 2" xfId="23750" xr:uid="{00000000-0005-0000-0000-0000C35C0000}"/>
    <cellStyle name="Vírgula 3 2 9" xfId="23751" xr:uid="{00000000-0005-0000-0000-0000C45C0000}"/>
    <cellStyle name="Vírgula 3 3" xfId="23752" xr:uid="{00000000-0005-0000-0000-0000C55C0000}"/>
    <cellStyle name="Vírgula 3 3 2" xfId="23753" xr:uid="{00000000-0005-0000-0000-0000C65C0000}"/>
    <cellStyle name="Vírgula 3 3 2 2" xfId="23754" xr:uid="{00000000-0005-0000-0000-0000C75C0000}"/>
    <cellStyle name="Vírgula 3 3 2 2 2" xfId="23755" xr:uid="{00000000-0005-0000-0000-0000C85C0000}"/>
    <cellStyle name="Vírgula 3 3 2 3" xfId="23756" xr:uid="{00000000-0005-0000-0000-0000C95C0000}"/>
    <cellStyle name="Vírgula 3 3 2 3 2" xfId="23757" xr:uid="{00000000-0005-0000-0000-0000CA5C0000}"/>
    <cellStyle name="Vírgula 3 3 2 4" xfId="23758" xr:uid="{00000000-0005-0000-0000-0000CB5C0000}"/>
    <cellStyle name="Vírgula 3 3 3" xfId="23759" xr:uid="{00000000-0005-0000-0000-0000CC5C0000}"/>
    <cellStyle name="Vírgula 3 3 3 2" xfId="23760" xr:uid="{00000000-0005-0000-0000-0000CD5C0000}"/>
    <cellStyle name="Vírgula 3 3 3 2 2" xfId="23761" xr:uid="{00000000-0005-0000-0000-0000CE5C0000}"/>
    <cellStyle name="Vírgula 3 3 3 3" xfId="23762" xr:uid="{00000000-0005-0000-0000-0000CF5C0000}"/>
    <cellStyle name="Vírgula 3 3 3 3 2" xfId="23763" xr:uid="{00000000-0005-0000-0000-0000D05C0000}"/>
    <cellStyle name="Vírgula 3 3 3 4" xfId="23764" xr:uid="{00000000-0005-0000-0000-0000D15C0000}"/>
    <cellStyle name="Vírgula 3 3 4" xfId="23765" xr:uid="{00000000-0005-0000-0000-0000D25C0000}"/>
    <cellStyle name="Vírgula 3 3 4 2" xfId="23766" xr:uid="{00000000-0005-0000-0000-0000D35C0000}"/>
    <cellStyle name="Vírgula 3 3 5" xfId="23767" xr:uid="{00000000-0005-0000-0000-0000D45C0000}"/>
    <cellStyle name="Vírgula 3 3 5 2" xfId="23768" xr:uid="{00000000-0005-0000-0000-0000D55C0000}"/>
    <cellStyle name="Vírgula 3 3 6" xfId="23769" xr:uid="{00000000-0005-0000-0000-0000D65C0000}"/>
    <cellStyle name="Vírgula 3 4" xfId="23770" xr:uid="{00000000-0005-0000-0000-0000D75C0000}"/>
    <cellStyle name="Vírgula 3 4 2" xfId="23771" xr:uid="{00000000-0005-0000-0000-0000D85C0000}"/>
    <cellStyle name="Vírgula 3 4 2 2" xfId="23772" xr:uid="{00000000-0005-0000-0000-0000D95C0000}"/>
    <cellStyle name="Vírgula 3 4 2 2 2" xfId="23773" xr:uid="{00000000-0005-0000-0000-0000DA5C0000}"/>
    <cellStyle name="Vírgula 3 4 2 3" xfId="23774" xr:uid="{00000000-0005-0000-0000-0000DB5C0000}"/>
    <cellStyle name="Vírgula 3 4 2 3 2" xfId="23775" xr:uid="{00000000-0005-0000-0000-0000DC5C0000}"/>
    <cellStyle name="Vírgula 3 4 2 4" xfId="23776" xr:uid="{00000000-0005-0000-0000-0000DD5C0000}"/>
    <cellStyle name="Vírgula 3 4 3" xfId="23777" xr:uid="{00000000-0005-0000-0000-0000DE5C0000}"/>
    <cellStyle name="Vírgula 3 4 3 2" xfId="23778" xr:uid="{00000000-0005-0000-0000-0000DF5C0000}"/>
    <cellStyle name="Vírgula 3 4 3 2 2" xfId="23779" xr:uid="{00000000-0005-0000-0000-0000E05C0000}"/>
    <cellStyle name="Vírgula 3 4 3 3" xfId="23780" xr:uid="{00000000-0005-0000-0000-0000E15C0000}"/>
    <cellStyle name="Vírgula 3 4 3 3 2" xfId="23781" xr:uid="{00000000-0005-0000-0000-0000E25C0000}"/>
    <cellStyle name="Vírgula 3 4 3 4" xfId="23782" xr:uid="{00000000-0005-0000-0000-0000E35C0000}"/>
    <cellStyle name="Vírgula 3 4 4" xfId="23783" xr:uid="{00000000-0005-0000-0000-0000E45C0000}"/>
    <cellStyle name="Vírgula 3 4 4 2" xfId="23784" xr:uid="{00000000-0005-0000-0000-0000E55C0000}"/>
    <cellStyle name="Vírgula 3 4 5" xfId="23785" xr:uid="{00000000-0005-0000-0000-0000E65C0000}"/>
    <cellStyle name="Vírgula 3 4 5 2" xfId="23786" xr:uid="{00000000-0005-0000-0000-0000E75C0000}"/>
    <cellStyle name="Vírgula 3 4 6" xfId="23787" xr:uid="{00000000-0005-0000-0000-0000E85C0000}"/>
    <cellStyle name="Vírgula 3 5" xfId="23788" xr:uid="{00000000-0005-0000-0000-0000E95C0000}"/>
    <cellStyle name="Vírgula 3 5 2" xfId="23789" xr:uid="{00000000-0005-0000-0000-0000EA5C0000}"/>
    <cellStyle name="Vírgula 3 5 2 2" xfId="23790" xr:uid="{00000000-0005-0000-0000-0000EB5C0000}"/>
    <cellStyle name="Vírgula 3 5 3" xfId="23791" xr:uid="{00000000-0005-0000-0000-0000EC5C0000}"/>
    <cellStyle name="Vírgula 3 5 3 2" xfId="23792" xr:uid="{00000000-0005-0000-0000-0000ED5C0000}"/>
    <cellStyle name="Vírgula 3 5 4" xfId="23793" xr:uid="{00000000-0005-0000-0000-0000EE5C0000}"/>
    <cellStyle name="Vírgula 3 6" xfId="23794" xr:uid="{00000000-0005-0000-0000-0000EF5C0000}"/>
    <cellStyle name="Vírgula 3 6 2" xfId="23795" xr:uid="{00000000-0005-0000-0000-0000F05C0000}"/>
    <cellStyle name="Vírgula 3 6 2 2" xfId="23796" xr:uid="{00000000-0005-0000-0000-0000F15C0000}"/>
    <cellStyle name="Vírgula 3 6 3" xfId="23797" xr:uid="{00000000-0005-0000-0000-0000F25C0000}"/>
    <cellStyle name="Vírgula 3 7" xfId="23798" xr:uid="{00000000-0005-0000-0000-0000F35C0000}"/>
    <cellStyle name="Vírgula 3 7 2" xfId="23799" xr:uid="{00000000-0005-0000-0000-0000F45C0000}"/>
    <cellStyle name="Vírgula 3 7 2 2" xfId="23800" xr:uid="{00000000-0005-0000-0000-0000F55C0000}"/>
    <cellStyle name="Vírgula 3 7 3" xfId="23801" xr:uid="{00000000-0005-0000-0000-0000F65C0000}"/>
    <cellStyle name="Vírgula 3 8" xfId="23802" xr:uid="{00000000-0005-0000-0000-0000F75C0000}"/>
    <cellStyle name="Vírgula 3 8 2" xfId="23803" xr:uid="{00000000-0005-0000-0000-0000F85C0000}"/>
    <cellStyle name="Vírgula 3 8 2 2" xfId="23804" xr:uid="{00000000-0005-0000-0000-0000F95C0000}"/>
    <cellStyle name="Vírgula 3 8 3" xfId="23805" xr:uid="{00000000-0005-0000-0000-0000FA5C0000}"/>
    <cellStyle name="Vírgula 3 9" xfId="23806" xr:uid="{00000000-0005-0000-0000-0000FB5C0000}"/>
    <cellStyle name="Vírgula 3 9 2" xfId="23807" xr:uid="{00000000-0005-0000-0000-0000FC5C0000}"/>
    <cellStyle name="Vírgula 3 9 2 2" xfId="23808" xr:uid="{00000000-0005-0000-0000-0000FD5C0000}"/>
    <cellStyle name="Vírgula 3 9 3" xfId="23809" xr:uid="{00000000-0005-0000-0000-0000FE5C0000}"/>
    <cellStyle name="Vírgula 4" xfId="68" xr:uid="{00000000-0005-0000-0000-0000FF5C0000}"/>
    <cellStyle name="Vírgula 4 2" xfId="140" xr:uid="{00000000-0005-0000-0000-0000005D0000}"/>
    <cellStyle name="Vírgula 4 2 2" xfId="23810" xr:uid="{00000000-0005-0000-0000-0000015D0000}"/>
    <cellStyle name="Vírgula 4 2 2 2" xfId="23811" xr:uid="{00000000-0005-0000-0000-0000025D0000}"/>
    <cellStyle name="Vírgula 4 2 2 2 2" xfId="23812" xr:uid="{00000000-0005-0000-0000-0000035D0000}"/>
    <cellStyle name="Vírgula 4 2 2 2 2 2" xfId="23813" xr:uid="{00000000-0005-0000-0000-0000045D0000}"/>
    <cellStyle name="Vírgula 4 2 2 2 3" xfId="23814" xr:uid="{00000000-0005-0000-0000-0000055D0000}"/>
    <cellStyle name="Vírgula 4 2 2 2 3 2" xfId="23815" xr:uid="{00000000-0005-0000-0000-0000065D0000}"/>
    <cellStyle name="Vírgula 4 2 2 2 4" xfId="23816" xr:uid="{00000000-0005-0000-0000-0000075D0000}"/>
    <cellStyle name="Vírgula 4 2 2 3" xfId="23817" xr:uid="{00000000-0005-0000-0000-0000085D0000}"/>
    <cellStyle name="Vírgula 4 2 2 3 2" xfId="23818" xr:uid="{00000000-0005-0000-0000-0000095D0000}"/>
    <cellStyle name="Vírgula 4 2 2 4" xfId="23819" xr:uid="{00000000-0005-0000-0000-00000A5D0000}"/>
    <cellStyle name="Vírgula 4 2 2 4 2" xfId="23820" xr:uid="{00000000-0005-0000-0000-00000B5D0000}"/>
    <cellStyle name="Vírgula 4 2 2 5" xfId="23821" xr:uid="{00000000-0005-0000-0000-00000C5D0000}"/>
    <cellStyle name="Vírgula 4 2 3" xfId="23822" xr:uid="{00000000-0005-0000-0000-00000D5D0000}"/>
    <cellStyle name="Vírgula 4 2 3 2" xfId="23823" xr:uid="{00000000-0005-0000-0000-00000E5D0000}"/>
    <cellStyle name="Vírgula 4 2 3 2 2" xfId="23824" xr:uid="{00000000-0005-0000-0000-00000F5D0000}"/>
    <cellStyle name="Vírgula 4 2 3 3" xfId="23825" xr:uid="{00000000-0005-0000-0000-0000105D0000}"/>
    <cellStyle name="Vírgula 4 2 3 3 2" xfId="23826" xr:uid="{00000000-0005-0000-0000-0000115D0000}"/>
    <cellStyle name="Vírgula 4 2 3 4" xfId="23827" xr:uid="{00000000-0005-0000-0000-0000125D0000}"/>
    <cellStyle name="Vírgula 4 2 4" xfId="23828" xr:uid="{00000000-0005-0000-0000-0000135D0000}"/>
    <cellStyle name="Vírgula 4 2 4 2" xfId="23829" xr:uid="{00000000-0005-0000-0000-0000145D0000}"/>
    <cellStyle name="Vírgula 4 2 4 2 2" xfId="23830" xr:uid="{00000000-0005-0000-0000-0000155D0000}"/>
    <cellStyle name="Vírgula 4 2 4 3" xfId="23831" xr:uid="{00000000-0005-0000-0000-0000165D0000}"/>
    <cellStyle name="Vírgula 4 2 5" xfId="23832" xr:uid="{00000000-0005-0000-0000-0000175D0000}"/>
    <cellStyle name="Vírgula 4 2 5 2" xfId="23833" xr:uid="{00000000-0005-0000-0000-0000185D0000}"/>
    <cellStyle name="Vírgula 4 2 6" xfId="23834" xr:uid="{00000000-0005-0000-0000-0000195D0000}"/>
    <cellStyle name="Vírgula 4 3" xfId="23835" xr:uid="{00000000-0005-0000-0000-00001A5D0000}"/>
    <cellStyle name="Vírgula 4 4" xfId="23836" xr:uid="{00000000-0005-0000-0000-00001B5D0000}"/>
    <cellStyle name="Vírgula 4 4 2" xfId="23837" xr:uid="{00000000-0005-0000-0000-00001C5D0000}"/>
    <cellStyle name="Vírgula 4 4 2 2" xfId="23838" xr:uid="{00000000-0005-0000-0000-00001D5D0000}"/>
    <cellStyle name="Vírgula 4 4 2 2 2" xfId="23839" xr:uid="{00000000-0005-0000-0000-00001E5D0000}"/>
    <cellStyle name="Vírgula 4 4 2 3" xfId="23840" xr:uid="{00000000-0005-0000-0000-00001F5D0000}"/>
    <cellStyle name="Vírgula 4 4 2 3 2" xfId="23841" xr:uid="{00000000-0005-0000-0000-0000205D0000}"/>
    <cellStyle name="Vírgula 4 4 2 4" xfId="23842" xr:uid="{00000000-0005-0000-0000-0000215D0000}"/>
    <cellStyle name="Vírgula 4 4 3" xfId="23843" xr:uid="{00000000-0005-0000-0000-0000225D0000}"/>
    <cellStyle name="Vírgula 4 4 3 2" xfId="23844" xr:uid="{00000000-0005-0000-0000-0000235D0000}"/>
    <cellStyle name="Vírgula 4 4 3 2 2" xfId="23845" xr:uid="{00000000-0005-0000-0000-0000245D0000}"/>
    <cellStyle name="Vírgula 4 4 3 3" xfId="23846" xr:uid="{00000000-0005-0000-0000-0000255D0000}"/>
    <cellStyle name="Vírgula 4 4 3 3 2" xfId="23847" xr:uid="{00000000-0005-0000-0000-0000265D0000}"/>
    <cellStyle name="Vírgula 4 4 3 4" xfId="23848" xr:uid="{00000000-0005-0000-0000-0000275D0000}"/>
    <cellStyle name="Vírgula 4 4 4" xfId="23849" xr:uid="{00000000-0005-0000-0000-0000285D0000}"/>
    <cellStyle name="Vírgula 4 4 4 2" xfId="23850" xr:uid="{00000000-0005-0000-0000-0000295D0000}"/>
    <cellStyle name="Vírgula 4 4 5" xfId="23851" xr:uid="{00000000-0005-0000-0000-00002A5D0000}"/>
    <cellStyle name="Vírgula 4 4 5 2" xfId="23852" xr:uid="{00000000-0005-0000-0000-00002B5D0000}"/>
    <cellStyle name="Vírgula 4 4 6" xfId="23853" xr:uid="{00000000-0005-0000-0000-00002C5D0000}"/>
    <cellStyle name="Vírgula 4 5" xfId="23854" xr:uid="{00000000-0005-0000-0000-00002D5D0000}"/>
    <cellStyle name="Vírgula 4 5 2" xfId="23855" xr:uid="{00000000-0005-0000-0000-00002E5D0000}"/>
    <cellStyle name="Vírgula 4 5 2 2" xfId="23856" xr:uid="{00000000-0005-0000-0000-00002F5D0000}"/>
    <cellStyle name="Vírgula 4 5 3" xfId="23857" xr:uid="{00000000-0005-0000-0000-0000305D0000}"/>
    <cellStyle name="Vírgula 4 6" xfId="23858" xr:uid="{00000000-0005-0000-0000-0000315D0000}"/>
    <cellStyle name="Vírgula 4 6 2" xfId="23859" xr:uid="{00000000-0005-0000-0000-0000325D0000}"/>
    <cellStyle name="Vírgula 4 7" xfId="23860" xr:uid="{00000000-0005-0000-0000-0000335D0000}"/>
    <cellStyle name="Vírgula 5" xfId="141" xr:uid="{00000000-0005-0000-0000-0000345D0000}"/>
    <cellStyle name="Vírgula 5 2" xfId="23861" xr:uid="{00000000-0005-0000-0000-0000355D0000}"/>
    <cellStyle name="Vírgula 5 2 2" xfId="23862" xr:uid="{00000000-0005-0000-0000-0000365D0000}"/>
    <cellStyle name="Vírgula 5 2 2 2" xfId="23863" xr:uid="{00000000-0005-0000-0000-0000375D0000}"/>
    <cellStyle name="Vírgula 5 2 2 2 2" xfId="23864" xr:uid="{00000000-0005-0000-0000-0000385D0000}"/>
    <cellStyle name="Vírgula 5 2 2 3" xfId="23865" xr:uid="{00000000-0005-0000-0000-0000395D0000}"/>
    <cellStyle name="Vírgula 5 2 2 3 2" xfId="23866" xr:uid="{00000000-0005-0000-0000-00003A5D0000}"/>
    <cellStyle name="Vírgula 5 2 2 4" xfId="23867" xr:uid="{00000000-0005-0000-0000-00003B5D0000}"/>
    <cellStyle name="Vírgula 5 2 3" xfId="23868" xr:uid="{00000000-0005-0000-0000-00003C5D0000}"/>
    <cellStyle name="Vírgula 5 2 3 2" xfId="23869" xr:uid="{00000000-0005-0000-0000-00003D5D0000}"/>
    <cellStyle name="Vírgula 5 2 3 2 2" xfId="23870" xr:uid="{00000000-0005-0000-0000-00003E5D0000}"/>
    <cellStyle name="Vírgula 5 2 3 3" xfId="23871" xr:uid="{00000000-0005-0000-0000-00003F5D0000}"/>
    <cellStyle name="Vírgula 5 2 4" xfId="23872" xr:uid="{00000000-0005-0000-0000-0000405D0000}"/>
    <cellStyle name="Vírgula 5 2 4 2" xfId="23873" xr:uid="{00000000-0005-0000-0000-0000415D0000}"/>
    <cellStyle name="Vírgula 5 2 4 2 2" xfId="23874" xr:uid="{00000000-0005-0000-0000-0000425D0000}"/>
    <cellStyle name="Vírgula 5 2 4 3" xfId="23875" xr:uid="{00000000-0005-0000-0000-0000435D0000}"/>
    <cellStyle name="Vírgula 5 2 5" xfId="23876" xr:uid="{00000000-0005-0000-0000-0000445D0000}"/>
    <cellStyle name="Vírgula 5 2 5 2" xfId="23877" xr:uid="{00000000-0005-0000-0000-0000455D0000}"/>
    <cellStyle name="Vírgula 5 2 5 2 2" xfId="23878" xr:uid="{00000000-0005-0000-0000-0000465D0000}"/>
    <cellStyle name="Vírgula 5 2 5 3" xfId="23879" xr:uid="{00000000-0005-0000-0000-0000475D0000}"/>
    <cellStyle name="Vírgula 5 2 6" xfId="23880" xr:uid="{00000000-0005-0000-0000-0000485D0000}"/>
    <cellStyle name="Vírgula 5 2 6 2" xfId="23881" xr:uid="{00000000-0005-0000-0000-0000495D0000}"/>
    <cellStyle name="Vírgula 5 2 7" xfId="23882" xr:uid="{00000000-0005-0000-0000-00004A5D0000}"/>
    <cellStyle name="Vírgula 5 3" xfId="23883" xr:uid="{00000000-0005-0000-0000-00004B5D0000}"/>
    <cellStyle name="Vírgula 5 3 2" xfId="23884" xr:uid="{00000000-0005-0000-0000-00004C5D0000}"/>
    <cellStyle name="Vírgula 5 3 2 2" xfId="23885" xr:uid="{00000000-0005-0000-0000-00004D5D0000}"/>
    <cellStyle name="Vírgula 5 3 2 2 2" xfId="23886" xr:uid="{00000000-0005-0000-0000-00004E5D0000}"/>
    <cellStyle name="Vírgula 5 3 2 3" xfId="23887" xr:uid="{00000000-0005-0000-0000-00004F5D0000}"/>
    <cellStyle name="Vírgula 5 3 2 3 2" xfId="23888" xr:uid="{00000000-0005-0000-0000-0000505D0000}"/>
    <cellStyle name="Vírgula 5 3 2 4" xfId="23889" xr:uid="{00000000-0005-0000-0000-0000515D0000}"/>
    <cellStyle name="Vírgula 5 3 3" xfId="23890" xr:uid="{00000000-0005-0000-0000-0000525D0000}"/>
    <cellStyle name="Vírgula 5 3 3 2" xfId="23891" xr:uid="{00000000-0005-0000-0000-0000535D0000}"/>
    <cellStyle name="Vírgula 5 3 3 2 2" xfId="23892" xr:uid="{00000000-0005-0000-0000-0000545D0000}"/>
    <cellStyle name="Vírgula 5 3 3 3" xfId="23893" xr:uid="{00000000-0005-0000-0000-0000555D0000}"/>
    <cellStyle name="Vírgula 5 3 3 3 2" xfId="23894" xr:uid="{00000000-0005-0000-0000-0000565D0000}"/>
    <cellStyle name="Vírgula 5 3 3 4" xfId="23895" xr:uid="{00000000-0005-0000-0000-0000575D0000}"/>
    <cellStyle name="Vírgula 5 3 4" xfId="23896" xr:uid="{00000000-0005-0000-0000-0000585D0000}"/>
    <cellStyle name="Vírgula 5 3 4 2" xfId="23897" xr:uid="{00000000-0005-0000-0000-0000595D0000}"/>
    <cellStyle name="Vírgula 5 3 5" xfId="23898" xr:uid="{00000000-0005-0000-0000-00005A5D0000}"/>
    <cellStyle name="Vírgula 5 3 5 2" xfId="23899" xr:uid="{00000000-0005-0000-0000-00005B5D0000}"/>
    <cellStyle name="Vírgula 5 3 6" xfId="23900" xr:uid="{00000000-0005-0000-0000-00005C5D0000}"/>
    <cellStyle name="Vírgula 5 4" xfId="23901" xr:uid="{00000000-0005-0000-0000-00005D5D0000}"/>
    <cellStyle name="Vírgula 5 5" xfId="23902" xr:uid="{00000000-0005-0000-0000-00005E5D0000}"/>
    <cellStyle name="Vírgula 5 5 2" xfId="23903" xr:uid="{00000000-0005-0000-0000-00005F5D0000}"/>
    <cellStyle name="Vírgula 5 5 2 2" xfId="23904" xr:uid="{00000000-0005-0000-0000-0000605D0000}"/>
    <cellStyle name="Vírgula 5 5 3" xfId="23905" xr:uid="{00000000-0005-0000-0000-0000615D0000}"/>
    <cellStyle name="Vírgula 5 5 3 2" xfId="23906" xr:uid="{00000000-0005-0000-0000-0000625D0000}"/>
    <cellStyle name="Vírgula 5 5 4" xfId="23907" xr:uid="{00000000-0005-0000-0000-0000635D0000}"/>
    <cellStyle name="Vírgula 5 6" xfId="23908" xr:uid="{00000000-0005-0000-0000-0000645D0000}"/>
    <cellStyle name="Vírgula 5 6 2" xfId="23909" xr:uid="{00000000-0005-0000-0000-0000655D0000}"/>
    <cellStyle name="Vírgula 5 6 2 2" xfId="23910" xr:uid="{00000000-0005-0000-0000-0000665D0000}"/>
    <cellStyle name="Vírgula 5 6 3" xfId="23911" xr:uid="{00000000-0005-0000-0000-0000675D0000}"/>
    <cellStyle name="Vírgula 5 7" xfId="23912" xr:uid="{00000000-0005-0000-0000-0000685D0000}"/>
    <cellStyle name="Vírgula 5 7 2" xfId="23913" xr:uid="{00000000-0005-0000-0000-0000695D0000}"/>
    <cellStyle name="Vírgula 5 7 2 2" xfId="23914" xr:uid="{00000000-0005-0000-0000-00006A5D0000}"/>
    <cellStyle name="Vírgula 5 7 3" xfId="23915" xr:uid="{00000000-0005-0000-0000-00006B5D0000}"/>
    <cellStyle name="Vírgula 5 8" xfId="23916" xr:uid="{00000000-0005-0000-0000-00006C5D0000}"/>
    <cellStyle name="Vírgula 5 8 2" xfId="23917" xr:uid="{00000000-0005-0000-0000-00006D5D0000}"/>
    <cellStyle name="Vírgula 5 8 2 2" xfId="23918" xr:uid="{00000000-0005-0000-0000-00006E5D0000}"/>
    <cellStyle name="Vírgula 5 8 3" xfId="23919" xr:uid="{00000000-0005-0000-0000-00006F5D0000}"/>
    <cellStyle name="Vírgula 6" xfId="142" xr:uid="{00000000-0005-0000-0000-0000705D0000}"/>
    <cellStyle name="Vírgula 6 2" xfId="23920" xr:uid="{00000000-0005-0000-0000-0000715D0000}"/>
    <cellStyle name="Vírgula 6 3" xfId="23921" xr:uid="{00000000-0005-0000-0000-0000725D0000}"/>
    <cellStyle name="Vírgula 6 3 2" xfId="23922" xr:uid="{00000000-0005-0000-0000-0000735D0000}"/>
    <cellStyle name="Vírgula 6 3 2 2" xfId="23923" xr:uid="{00000000-0005-0000-0000-0000745D0000}"/>
    <cellStyle name="Vírgula 6 3 2 2 2" xfId="23924" xr:uid="{00000000-0005-0000-0000-0000755D0000}"/>
    <cellStyle name="Vírgula 6 3 2 3" xfId="23925" xr:uid="{00000000-0005-0000-0000-0000765D0000}"/>
    <cellStyle name="Vírgula 6 3 2 3 2" xfId="23926" xr:uid="{00000000-0005-0000-0000-0000775D0000}"/>
    <cellStyle name="Vírgula 6 3 2 4" xfId="23927" xr:uid="{00000000-0005-0000-0000-0000785D0000}"/>
    <cellStyle name="Vírgula 6 3 3" xfId="23928" xr:uid="{00000000-0005-0000-0000-0000795D0000}"/>
    <cellStyle name="Vírgula 6 3 3 2" xfId="23929" xr:uid="{00000000-0005-0000-0000-00007A5D0000}"/>
    <cellStyle name="Vírgula 6 3 4" xfId="23930" xr:uid="{00000000-0005-0000-0000-00007B5D0000}"/>
    <cellStyle name="Vírgula 6 3 4 2" xfId="23931" xr:uid="{00000000-0005-0000-0000-00007C5D0000}"/>
    <cellStyle name="Vírgula 6 3 5" xfId="23932" xr:uid="{00000000-0005-0000-0000-00007D5D0000}"/>
    <cellStyle name="Vírgula 6 4" xfId="23933" xr:uid="{00000000-0005-0000-0000-00007E5D0000}"/>
    <cellStyle name="Vírgula 6 4 2" xfId="23934" xr:uid="{00000000-0005-0000-0000-00007F5D0000}"/>
    <cellStyle name="Vírgula 6 4 2 2" xfId="23935" xr:uid="{00000000-0005-0000-0000-0000805D0000}"/>
    <cellStyle name="Vírgula 6 4 3" xfId="23936" xr:uid="{00000000-0005-0000-0000-0000815D0000}"/>
    <cellStyle name="Vírgula 6 4 3 2" xfId="23937" xr:uid="{00000000-0005-0000-0000-0000825D0000}"/>
    <cellStyle name="Vírgula 6 4 4" xfId="23938" xr:uid="{00000000-0005-0000-0000-0000835D0000}"/>
    <cellStyle name="Vírgula 6 5" xfId="23939" xr:uid="{00000000-0005-0000-0000-0000845D0000}"/>
    <cellStyle name="Vírgula 6 5 2" xfId="23940" xr:uid="{00000000-0005-0000-0000-0000855D0000}"/>
    <cellStyle name="Vírgula 6 5 2 2" xfId="23941" xr:uid="{00000000-0005-0000-0000-0000865D0000}"/>
    <cellStyle name="Vírgula 6 5 3" xfId="23942" xr:uid="{00000000-0005-0000-0000-0000875D0000}"/>
    <cellStyle name="Vírgula 6 6" xfId="23943" xr:uid="{00000000-0005-0000-0000-0000885D0000}"/>
    <cellStyle name="Vírgula 6 6 2" xfId="23944" xr:uid="{00000000-0005-0000-0000-0000895D0000}"/>
    <cellStyle name="Vírgula 6 7" xfId="23945" xr:uid="{00000000-0005-0000-0000-00008A5D0000}"/>
    <cellStyle name="Vírgula 7" xfId="156" xr:uid="{00000000-0005-0000-0000-00008B5D0000}"/>
    <cellStyle name="Vírgula 7 2" xfId="23946" xr:uid="{00000000-0005-0000-0000-00008C5D0000}"/>
    <cellStyle name="Vírgula 7 2 2" xfId="23947" xr:uid="{00000000-0005-0000-0000-00008D5D0000}"/>
    <cellStyle name="Vírgula 7 2 2 2" xfId="23948" xr:uid="{00000000-0005-0000-0000-00008E5D0000}"/>
    <cellStyle name="Vírgula 7 2 2 2 2" xfId="23949" xr:uid="{00000000-0005-0000-0000-00008F5D0000}"/>
    <cellStyle name="Vírgula 7 2 2 3" xfId="23950" xr:uid="{00000000-0005-0000-0000-0000905D0000}"/>
    <cellStyle name="Vírgula 7 2 2 3 2" xfId="23951" xr:uid="{00000000-0005-0000-0000-0000915D0000}"/>
    <cellStyle name="Vírgula 7 2 2 4" xfId="23952" xr:uid="{00000000-0005-0000-0000-0000925D0000}"/>
    <cellStyle name="Vírgula 7 2 3" xfId="23953" xr:uid="{00000000-0005-0000-0000-0000935D0000}"/>
    <cellStyle name="Vírgula 7 2 3 2" xfId="23954" xr:uid="{00000000-0005-0000-0000-0000945D0000}"/>
    <cellStyle name="Vírgula 7 2 3 2 2" xfId="23955" xr:uid="{00000000-0005-0000-0000-0000955D0000}"/>
    <cellStyle name="Vírgula 7 2 3 3" xfId="23956" xr:uid="{00000000-0005-0000-0000-0000965D0000}"/>
    <cellStyle name="Vírgula 7 2 3 3 2" xfId="23957" xr:uid="{00000000-0005-0000-0000-0000975D0000}"/>
    <cellStyle name="Vírgula 7 2 3 4" xfId="23958" xr:uid="{00000000-0005-0000-0000-0000985D0000}"/>
    <cellStyle name="Vírgula 7 2 4" xfId="23959" xr:uid="{00000000-0005-0000-0000-0000995D0000}"/>
    <cellStyle name="Vírgula 7 2 4 2" xfId="23960" xr:uid="{00000000-0005-0000-0000-00009A5D0000}"/>
    <cellStyle name="Vírgula 7 2 5" xfId="23961" xr:uid="{00000000-0005-0000-0000-00009B5D0000}"/>
    <cellStyle name="Vírgula 7 2 5 2" xfId="23962" xr:uid="{00000000-0005-0000-0000-00009C5D0000}"/>
    <cellStyle name="Vírgula 7 2 6" xfId="23963" xr:uid="{00000000-0005-0000-0000-00009D5D0000}"/>
    <cellStyle name="Vírgula 7 3" xfId="23964" xr:uid="{00000000-0005-0000-0000-00009E5D0000}"/>
    <cellStyle name="Vírgula 7 3 2" xfId="23965" xr:uid="{00000000-0005-0000-0000-00009F5D0000}"/>
    <cellStyle name="Vírgula 7 3 2 2" xfId="23966" xr:uid="{00000000-0005-0000-0000-0000A05D0000}"/>
    <cellStyle name="Vírgula 7 3 3" xfId="23967" xr:uid="{00000000-0005-0000-0000-0000A15D0000}"/>
    <cellStyle name="Vírgula 7 3 3 2" xfId="23968" xr:uid="{00000000-0005-0000-0000-0000A25D0000}"/>
    <cellStyle name="Vírgula 7 3 4" xfId="23969" xr:uid="{00000000-0005-0000-0000-0000A35D0000}"/>
    <cellStyle name="Vírgula 7 4" xfId="23970" xr:uid="{00000000-0005-0000-0000-0000A45D0000}"/>
    <cellStyle name="Vírgula 7 4 2" xfId="23971" xr:uid="{00000000-0005-0000-0000-0000A55D0000}"/>
    <cellStyle name="Vírgula 7 4 2 2" xfId="23972" xr:uid="{00000000-0005-0000-0000-0000A65D0000}"/>
    <cellStyle name="Vírgula 7 4 3" xfId="23973" xr:uid="{00000000-0005-0000-0000-0000A75D0000}"/>
    <cellStyle name="Vírgula 7 5" xfId="23974" xr:uid="{00000000-0005-0000-0000-0000A85D0000}"/>
    <cellStyle name="Vírgula 7 5 2" xfId="23975" xr:uid="{00000000-0005-0000-0000-0000A95D0000}"/>
    <cellStyle name="Vírgula 7 5 2 2" xfId="23976" xr:uid="{00000000-0005-0000-0000-0000AA5D0000}"/>
    <cellStyle name="Vírgula 7 5 3" xfId="23977" xr:uid="{00000000-0005-0000-0000-0000AB5D0000}"/>
    <cellStyle name="Vírgula 7 6" xfId="23978" xr:uid="{00000000-0005-0000-0000-0000AC5D0000}"/>
    <cellStyle name="Vírgula 7 6 2" xfId="23979" xr:uid="{00000000-0005-0000-0000-0000AD5D0000}"/>
    <cellStyle name="Vírgula 7 6 2 2" xfId="23980" xr:uid="{00000000-0005-0000-0000-0000AE5D0000}"/>
    <cellStyle name="Vírgula 7 6 3" xfId="23981" xr:uid="{00000000-0005-0000-0000-0000AF5D0000}"/>
    <cellStyle name="Vírgula 7 7" xfId="23982" xr:uid="{00000000-0005-0000-0000-0000B05D0000}"/>
    <cellStyle name="Vírgula 7 7 2" xfId="23983" xr:uid="{00000000-0005-0000-0000-0000B15D0000}"/>
    <cellStyle name="Vírgula 7 8" xfId="23984" xr:uid="{00000000-0005-0000-0000-0000B25D0000}"/>
    <cellStyle name="Vírgula 8" xfId="23985" xr:uid="{00000000-0005-0000-0000-0000B35D0000}"/>
    <cellStyle name="Vírgula 8 2" xfId="23986" xr:uid="{00000000-0005-0000-0000-0000B45D0000}"/>
    <cellStyle name="Vírgula 8 2 2" xfId="23987" xr:uid="{00000000-0005-0000-0000-0000B55D0000}"/>
    <cellStyle name="Vírgula 8 2 2 2" xfId="23988" xr:uid="{00000000-0005-0000-0000-0000B65D0000}"/>
    <cellStyle name="Vírgula 8 2 3" xfId="23989" xr:uid="{00000000-0005-0000-0000-0000B75D0000}"/>
    <cellStyle name="Vírgula 8 2 3 2" xfId="23990" xr:uid="{00000000-0005-0000-0000-0000B85D0000}"/>
    <cellStyle name="Vírgula 8 2 4" xfId="23991" xr:uid="{00000000-0005-0000-0000-0000B95D0000}"/>
    <cellStyle name="Vírgula 8 3" xfId="23992" xr:uid="{00000000-0005-0000-0000-0000BA5D0000}"/>
    <cellStyle name="Vírgula 8 3 2" xfId="23993" xr:uid="{00000000-0005-0000-0000-0000BB5D0000}"/>
    <cellStyle name="Vírgula 8 3 2 2" xfId="23994" xr:uid="{00000000-0005-0000-0000-0000BC5D0000}"/>
    <cellStyle name="Vírgula 8 3 3" xfId="23995" xr:uid="{00000000-0005-0000-0000-0000BD5D0000}"/>
    <cellStyle name="Vírgula 8 3 3 2" xfId="23996" xr:uid="{00000000-0005-0000-0000-0000BE5D0000}"/>
    <cellStyle name="Vírgula 8 3 4" xfId="23997" xr:uid="{00000000-0005-0000-0000-0000BF5D0000}"/>
    <cellStyle name="Vírgula 8 4" xfId="23998" xr:uid="{00000000-0005-0000-0000-0000C05D0000}"/>
    <cellStyle name="Vírgula 8 4 2" xfId="23999" xr:uid="{00000000-0005-0000-0000-0000C15D0000}"/>
    <cellStyle name="Vírgula 8 5" xfId="24000" xr:uid="{00000000-0005-0000-0000-0000C25D0000}"/>
    <cellStyle name="Vírgula 8 5 2" xfId="24001" xr:uid="{00000000-0005-0000-0000-0000C35D0000}"/>
    <cellStyle name="Vírgula 8 6" xfId="24002" xr:uid="{00000000-0005-0000-0000-0000C45D0000}"/>
    <cellStyle name="Vírgula 9" xfId="24003" xr:uid="{00000000-0005-0000-0000-0000C55D0000}"/>
    <cellStyle name="Vírgula 9 2" xfId="24004" xr:uid="{00000000-0005-0000-0000-0000C65D0000}"/>
    <cellStyle name="Vírgula 9 2 2" xfId="24005" xr:uid="{00000000-0005-0000-0000-0000C75D0000}"/>
    <cellStyle name="Vírgula 9 3" xfId="24006" xr:uid="{00000000-0005-0000-0000-0000C85D0000}"/>
    <cellStyle name="Vírgula 9 3 2" xfId="24007" xr:uid="{00000000-0005-0000-0000-0000C95D0000}"/>
    <cellStyle name="Vírgula 9 4" xfId="24008" xr:uid="{00000000-0005-0000-0000-0000CA5D0000}"/>
    <cellStyle name="Vírgula0" xfId="24009" xr:uid="{00000000-0005-0000-0000-0000CB5D0000}"/>
    <cellStyle name="Vírgula0 2" xfId="24010" xr:uid="{00000000-0005-0000-0000-0000CC5D0000}"/>
    <cellStyle name="Vírgula0_Dados" xfId="24011" xr:uid="{00000000-0005-0000-0000-0000CD5D0000}"/>
    <cellStyle name="Währung [0]_revenue" xfId="24012" xr:uid="{00000000-0005-0000-0000-0000CE5D0000}"/>
    <cellStyle name="Währung_airt-rev" xfId="24013" xr:uid="{00000000-0005-0000-0000-0000CF5D0000}"/>
    <cellStyle name="Warning Text" xfId="66" xr:uid="{00000000-0005-0000-0000-0000D05D0000}"/>
    <cellStyle name="Warning Text 2" xfId="24014" xr:uid="{00000000-0005-0000-0000-0000D15D0000}"/>
    <cellStyle name="White" xfId="24015" xr:uid="{00000000-0005-0000-0000-0000D25D0000}"/>
    <cellStyle name="White 2" xfId="24016" xr:uid="{00000000-0005-0000-0000-0000D35D0000}"/>
    <cellStyle name="WhitePattern" xfId="24017" xr:uid="{00000000-0005-0000-0000-0000D45D0000}"/>
    <cellStyle name="WhitePattern 2" xfId="24018" xr:uid="{00000000-0005-0000-0000-0000D55D0000}"/>
    <cellStyle name="WhitePattern1" xfId="24019" xr:uid="{00000000-0005-0000-0000-0000D65D0000}"/>
    <cellStyle name="WhitePattern1 2" xfId="24020" xr:uid="{00000000-0005-0000-0000-0000D75D0000}"/>
    <cellStyle name="WhiteText" xfId="24021" xr:uid="{00000000-0005-0000-0000-0000D85D0000}"/>
    <cellStyle name="WhiteText 2" xfId="24022" xr:uid="{00000000-0005-0000-0000-0000D95D0000}"/>
    <cellStyle name="year" xfId="24023" xr:uid="{00000000-0005-0000-0000-0000DA5D0000}"/>
    <cellStyle name="Year 10" xfId="24024" xr:uid="{00000000-0005-0000-0000-0000DB5D0000}"/>
    <cellStyle name="year 2" xfId="24025" xr:uid="{00000000-0005-0000-0000-0000DC5D0000}"/>
    <cellStyle name="year 3" xfId="24026" xr:uid="{00000000-0005-0000-0000-0000DD5D0000}"/>
    <cellStyle name="year 4" xfId="24027" xr:uid="{00000000-0005-0000-0000-0000DE5D0000}"/>
    <cellStyle name="Year 5" xfId="24028" xr:uid="{00000000-0005-0000-0000-0000DF5D0000}"/>
    <cellStyle name="Year 6" xfId="24029" xr:uid="{00000000-0005-0000-0000-0000E05D0000}"/>
    <cellStyle name="Year 7" xfId="24030" xr:uid="{00000000-0005-0000-0000-0000E15D0000}"/>
    <cellStyle name="Year 8" xfId="24031" xr:uid="{00000000-0005-0000-0000-0000E25D0000}"/>
    <cellStyle name="Year 9" xfId="24032" xr:uid="{00000000-0005-0000-0000-0000E35D0000}"/>
    <cellStyle name="YearlyColumn" xfId="24033" xr:uid="{00000000-0005-0000-0000-0000E45D0000}"/>
    <cellStyle name="Years" xfId="24034" xr:uid="{00000000-0005-0000-0000-0000E55D0000}"/>
    <cellStyle name="Yen" xfId="24035" xr:uid="{00000000-0005-0000-0000-0000E65D0000}"/>
    <cellStyle name="Обычный_AmoTotApr" xfId="24036" xr:uid="{00000000-0005-0000-0000-0000E75D0000}"/>
    <cellStyle name="常规_91038_B0Q-1" xfId="24037" xr:uid="{00000000-0005-0000-0000-0000E85D0000}"/>
  </cellStyles>
  <dxfs count="41"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theme="8" tint="0.59996337778862885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>
          <bgColor theme="8" tint="0.59996337778862885"/>
        </patternFill>
      </fill>
    </dxf>
    <dxf>
      <font>
        <condense val="0"/>
        <extend val="0"/>
        <color indexed="9"/>
      </font>
    </dxf>
    <dxf>
      <fill>
        <patternFill>
          <bgColor theme="8" tint="0.59996337778862885"/>
        </patternFill>
      </fill>
    </dxf>
    <dxf>
      <font>
        <condense val="0"/>
        <extend val="0"/>
        <color indexed="9"/>
      </font>
    </dxf>
    <dxf>
      <fill>
        <patternFill>
          <bgColor theme="8" tint="0.59996337778862885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>
          <bgColor theme="8" tint="0.59996337778862885"/>
        </patternFill>
      </fill>
    </dxf>
    <dxf>
      <font>
        <condense val="0"/>
        <extend val="0"/>
        <color indexed="9"/>
      </font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colors>
    <mruColors>
      <color rgb="FFFF5050"/>
      <color rgb="FFFF00FF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40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81</xdr:col>
      <xdr:colOff>200025</xdr:colOff>
      <xdr:row>61</xdr:row>
      <xdr:rowOff>57150</xdr:rowOff>
    </xdr:from>
    <xdr:to>
      <xdr:col>84</xdr:col>
      <xdr:colOff>523604</xdr:colOff>
      <xdr:row>77</xdr:row>
      <xdr:rowOff>37754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132325" y="10010775"/>
          <a:ext cx="2171429" cy="27714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57151</xdr:colOff>
      <xdr:row>3</xdr:row>
      <xdr:rowOff>66675</xdr:rowOff>
    </xdr:from>
    <xdr:to>
      <xdr:col>8</xdr:col>
      <xdr:colOff>762001</xdr:colOff>
      <xdr:row>3</xdr:row>
      <xdr:rowOff>321965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2F4C842-DFFB-4695-AD94-A12327795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29276" y="409575"/>
          <a:ext cx="704850" cy="25529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</xdr:colOff>
      <xdr:row>37</xdr:row>
      <xdr:rowOff>85725</xdr:rowOff>
    </xdr:from>
    <xdr:to>
      <xdr:col>7</xdr:col>
      <xdr:colOff>9525</xdr:colOff>
      <xdr:row>43</xdr:row>
      <xdr:rowOff>37985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0075" y="5915025"/>
          <a:ext cx="6143625" cy="9238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1"/>
  <dimension ref="A1:JE131"/>
  <sheetViews>
    <sheetView showGridLines="0" zoomScale="90" zoomScaleNormal="90" workbookViewId="0">
      <pane xSplit="5" topLeftCell="F1" activePane="topRight" state="frozen"/>
      <selection activeCell="D14" sqref="D14"/>
      <selection pane="topRight" activeCell="D14" sqref="D14"/>
    </sheetView>
  </sheetViews>
  <sheetFormatPr defaultColWidth="8.85546875" defaultRowHeight="12.75"/>
  <cols>
    <col min="1" max="1" width="1.7109375" style="175" customWidth="1"/>
    <col min="2" max="2" width="9" style="175" customWidth="1"/>
    <col min="3" max="3" width="8.85546875" style="176"/>
    <col min="4" max="4" width="59.28515625" style="175" customWidth="1"/>
    <col min="5" max="5" width="15.140625" style="557" customWidth="1"/>
    <col min="6" max="6" width="13.42578125" style="557" customWidth="1"/>
    <col min="7" max="9" width="13.28515625" style="557" customWidth="1"/>
    <col min="10" max="10" width="13.42578125" style="557" customWidth="1"/>
    <col min="11" max="11" width="13.5703125" style="557" customWidth="1"/>
    <col min="12" max="35" width="12.7109375" style="557" customWidth="1"/>
    <col min="36" max="36" width="15.28515625" style="557" customWidth="1"/>
    <col min="37" max="37" width="1.7109375" style="818" customWidth="1"/>
    <col min="38" max="68" width="10.7109375" style="175" customWidth="1"/>
    <col min="69" max="69" width="1.7109375" style="175" customWidth="1"/>
    <col min="70" max="70" width="19.42578125" style="502" customWidth="1"/>
    <col min="71" max="71" width="23.7109375" style="502" customWidth="1"/>
    <col min="72" max="74" width="15.140625" style="175" customWidth="1"/>
    <col min="75" max="75" width="16.5703125" style="175" customWidth="1"/>
    <col min="76" max="76" width="7.5703125" style="175" customWidth="1"/>
    <col min="77" max="77" width="16.5703125" style="175" customWidth="1"/>
    <col min="78" max="78" width="13.7109375" style="175" customWidth="1"/>
    <col min="79" max="79" width="16.42578125" style="175" customWidth="1"/>
    <col min="80" max="80" width="17.5703125" style="175" customWidth="1"/>
    <col min="81" max="81" width="8.85546875" style="175"/>
    <col min="82" max="82" width="10" style="175" bestFit="1" customWidth="1"/>
    <col min="83" max="86" width="8.85546875" style="175"/>
    <col min="87" max="87" width="17.28515625" style="175" customWidth="1"/>
    <col min="88" max="16384" width="8.85546875" style="175"/>
  </cols>
  <sheetData>
    <row r="1" spans="2:77" ht="6" customHeight="1"/>
    <row r="2" spans="2:77" s="179" customFormat="1">
      <c r="B2" s="177"/>
      <c r="C2" s="178"/>
      <c r="E2" s="573"/>
      <c r="F2" s="573"/>
      <c r="G2" s="573"/>
      <c r="H2" s="573"/>
      <c r="I2" s="573"/>
      <c r="J2" s="573"/>
      <c r="K2" s="573"/>
      <c r="L2" s="573"/>
      <c r="M2" s="573"/>
      <c r="N2" s="573"/>
      <c r="O2" s="573"/>
      <c r="P2" s="573"/>
      <c r="Q2" s="573"/>
      <c r="R2" s="573"/>
      <c r="S2" s="573"/>
      <c r="T2" s="573"/>
      <c r="U2" s="573"/>
      <c r="V2" s="573"/>
      <c r="W2" s="573"/>
      <c r="X2" s="573"/>
      <c r="Y2" s="573"/>
      <c r="Z2" s="573"/>
      <c r="AA2" s="573"/>
      <c r="AB2" s="573"/>
      <c r="AC2" s="573"/>
      <c r="AD2" s="573"/>
      <c r="AE2" s="573"/>
      <c r="AF2" s="573"/>
      <c r="AG2" s="573"/>
      <c r="AH2" s="573"/>
      <c r="AI2" s="573"/>
      <c r="AJ2" s="573"/>
      <c r="AK2" s="819"/>
      <c r="BR2" s="503"/>
      <c r="BS2" s="503"/>
    </row>
    <row r="3" spans="2:77" s="179" customFormat="1">
      <c r="B3" s="177"/>
      <c r="C3" s="178"/>
      <c r="E3" s="573"/>
      <c r="F3" s="573"/>
      <c r="G3" s="574"/>
      <c r="H3" s="574"/>
      <c r="I3" s="574"/>
      <c r="J3" s="574"/>
      <c r="K3" s="574"/>
      <c r="L3" s="574"/>
      <c r="M3" s="574"/>
      <c r="N3" s="574"/>
      <c r="O3" s="574"/>
      <c r="P3" s="574"/>
      <c r="Q3" s="574"/>
      <c r="R3" s="574"/>
      <c r="S3" s="574"/>
      <c r="T3" s="574"/>
      <c r="U3" s="574"/>
      <c r="V3" s="574"/>
      <c r="W3" s="574"/>
      <c r="X3" s="574"/>
      <c r="Y3" s="574"/>
      <c r="Z3" s="574"/>
      <c r="AA3" s="574"/>
      <c r="AB3" s="574"/>
      <c r="AC3" s="574"/>
      <c r="AD3" s="574"/>
      <c r="AE3" s="574"/>
      <c r="AF3" s="574"/>
      <c r="AG3" s="574"/>
      <c r="AH3" s="574"/>
      <c r="AI3" s="574"/>
      <c r="AJ3" s="574"/>
      <c r="AK3" s="819"/>
      <c r="BR3" s="503"/>
      <c r="BS3" s="503"/>
    </row>
    <row r="4" spans="2:77" s="179" customFormat="1">
      <c r="B4" s="177"/>
      <c r="C4" s="178"/>
      <c r="E4" s="573"/>
      <c r="F4" s="573"/>
      <c r="G4" s="573"/>
      <c r="H4" s="573"/>
      <c r="I4" s="573"/>
      <c r="J4" s="573"/>
      <c r="K4" s="573"/>
      <c r="L4" s="573"/>
      <c r="M4" s="573"/>
      <c r="N4" s="573"/>
      <c r="O4" s="573"/>
      <c r="P4" s="573"/>
      <c r="Q4" s="573"/>
      <c r="R4" s="573"/>
      <c r="S4" s="573"/>
      <c r="T4" s="573"/>
      <c r="U4" s="573"/>
      <c r="V4" s="573"/>
      <c r="W4" s="573"/>
      <c r="X4" s="573"/>
      <c r="Y4" s="573"/>
      <c r="Z4" s="573"/>
      <c r="AA4" s="573"/>
      <c r="AB4" s="573"/>
      <c r="AC4" s="573"/>
      <c r="AD4" s="573"/>
      <c r="AE4" s="573"/>
      <c r="AF4" s="573"/>
      <c r="AG4" s="573"/>
      <c r="AH4" s="573"/>
      <c r="AI4" s="573"/>
      <c r="AJ4" s="573"/>
      <c r="AK4" s="819"/>
      <c r="BR4" s="503"/>
      <c r="BS4" s="503"/>
    </row>
    <row r="5" spans="2:77" s="179" customFormat="1">
      <c r="B5" s="177" t="s">
        <v>0</v>
      </c>
      <c r="C5" s="178"/>
      <c r="E5" s="573"/>
      <c r="F5" s="573"/>
      <c r="G5" s="573"/>
      <c r="H5" s="573"/>
      <c r="I5" s="573"/>
      <c r="J5" s="573"/>
      <c r="K5" s="573"/>
      <c r="L5" s="573"/>
      <c r="M5" s="573"/>
      <c r="N5" s="573"/>
      <c r="O5" s="573"/>
      <c r="P5" s="573"/>
      <c r="Q5" s="573"/>
      <c r="R5" s="573"/>
      <c r="S5" s="573"/>
      <c r="T5" s="573"/>
      <c r="U5" s="573"/>
      <c r="V5" s="573"/>
      <c r="W5" s="573"/>
      <c r="X5" s="573"/>
      <c r="Y5" s="573"/>
      <c r="Z5" s="573"/>
      <c r="AA5" s="573"/>
      <c r="AB5" s="573"/>
      <c r="AC5" s="573"/>
      <c r="AD5" s="573"/>
      <c r="AE5" s="573"/>
      <c r="AF5" s="573"/>
      <c r="AG5" s="573"/>
      <c r="AH5" s="573"/>
      <c r="AI5" s="573"/>
      <c r="AJ5" s="573"/>
      <c r="AK5" s="819"/>
      <c r="BR5" s="503"/>
      <c r="BS5" s="512"/>
    </row>
    <row r="6" spans="2:77" s="179" customFormat="1" ht="6" customHeight="1">
      <c r="B6" s="180"/>
      <c r="C6" s="178"/>
      <c r="E6" s="573"/>
      <c r="F6" s="573"/>
      <c r="G6" s="573"/>
      <c r="H6" s="573"/>
      <c r="I6" s="573"/>
      <c r="J6" s="573"/>
      <c r="K6" s="573"/>
      <c r="L6" s="573"/>
      <c r="M6" s="573"/>
      <c r="N6" s="573"/>
      <c r="O6" s="573"/>
      <c r="P6" s="573"/>
      <c r="Q6" s="573"/>
      <c r="R6" s="573"/>
      <c r="S6" s="573"/>
      <c r="T6" s="573"/>
      <c r="U6" s="573"/>
      <c r="V6" s="573"/>
      <c r="W6" s="573"/>
      <c r="X6" s="573"/>
      <c r="Y6" s="573"/>
      <c r="Z6" s="573"/>
      <c r="AA6" s="573"/>
      <c r="AB6" s="573"/>
      <c r="AC6" s="573"/>
      <c r="AD6" s="573"/>
      <c r="AE6" s="573"/>
      <c r="AF6" s="573"/>
      <c r="AG6" s="573"/>
      <c r="AH6" s="573"/>
      <c r="AI6" s="573"/>
      <c r="AJ6" s="573"/>
      <c r="AK6" s="819"/>
      <c r="BR6" s="503"/>
      <c r="BS6" s="503"/>
    </row>
    <row r="7" spans="2:77">
      <c r="C7" s="181"/>
      <c r="D7" s="182"/>
    </row>
    <row r="8" spans="2:77" ht="6" customHeight="1">
      <c r="C8" s="183"/>
      <c r="D8" s="182"/>
    </row>
    <row r="9" spans="2:77" s="184" customFormat="1" ht="13.5" thickBot="1">
      <c r="C9" s="185"/>
      <c r="D9" s="185"/>
      <c r="E9" s="575"/>
      <c r="F9" s="1834" t="s">
        <v>1</v>
      </c>
      <c r="G9" s="1834"/>
      <c r="H9" s="1834"/>
      <c r="I9" s="1834"/>
      <c r="J9" s="1834"/>
      <c r="K9" s="1834"/>
      <c r="L9" s="1834"/>
      <c r="M9" s="1834"/>
      <c r="N9" s="1834" t="s">
        <v>1</v>
      </c>
      <c r="O9" s="1834"/>
      <c r="P9" s="1834"/>
      <c r="Q9" s="1834"/>
      <c r="R9" s="1834"/>
      <c r="S9" s="1834"/>
      <c r="T9" s="1834"/>
      <c r="U9" s="1834"/>
      <c r="V9" s="1834"/>
      <c r="W9" s="1834" t="s">
        <v>1</v>
      </c>
      <c r="X9" s="1834"/>
      <c r="Y9" s="1834"/>
      <c r="Z9" s="1834"/>
      <c r="AA9" s="1834"/>
      <c r="AB9" s="1834"/>
      <c r="AC9" s="1834"/>
      <c r="AD9" s="1834"/>
      <c r="AE9" s="1834"/>
      <c r="AF9" s="1834"/>
      <c r="AG9" s="1834"/>
      <c r="AH9" s="1834"/>
      <c r="AI9" s="1834"/>
      <c r="AJ9" s="1834"/>
      <c r="AK9" s="820"/>
      <c r="AL9" s="1823" t="s">
        <v>2</v>
      </c>
      <c r="AM9" s="1823"/>
      <c r="AN9" s="1823"/>
      <c r="AO9" s="1823"/>
      <c r="AP9" s="1823"/>
      <c r="AQ9" s="1823"/>
      <c r="AR9" s="1823"/>
      <c r="AS9" s="1823"/>
      <c r="AT9" s="1823"/>
      <c r="AU9" s="1823"/>
      <c r="AV9" s="1823"/>
      <c r="AW9" s="1823"/>
      <c r="AX9" s="1823"/>
      <c r="AY9" s="1823" t="s">
        <v>2</v>
      </c>
      <c r="AZ9" s="1823"/>
      <c r="BA9" s="1823"/>
      <c r="BB9" s="1823"/>
      <c r="BC9" s="1823"/>
      <c r="BD9" s="1823"/>
      <c r="BE9" s="1823"/>
      <c r="BF9" s="1823"/>
      <c r="BG9" s="1823"/>
      <c r="BH9" s="1823"/>
      <c r="BI9" s="1823"/>
      <c r="BJ9" s="1823"/>
      <c r="BK9" s="1823"/>
      <c r="BL9" s="1823"/>
      <c r="BM9" s="1823"/>
      <c r="BN9" s="1823"/>
      <c r="BO9" s="1823"/>
      <c r="BP9" s="1823"/>
      <c r="BR9" s="504"/>
      <c r="BS9" s="504"/>
    </row>
    <row r="10" spans="2:77" s="186" customFormat="1">
      <c r="B10" s="1824"/>
      <c r="C10" s="1825" t="s">
        <v>3</v>
      </c>
      <c r="D10" s="1827" t="s">
        <v>4</v>
      </c>
      <c r="E10" s="1830" t="s">
        <v>5</v>
      </c>
      <c r="F10" s="877" t="s">
        <v>6</v>
      </c>
      <c r="G10" s="878"/>
      <c r="H10" s="878"/>
      <c r="I10" s="878"/>
      <c r="J10" s="878"/>
      <c r="K10" s="878"/>
      <c r="L10" s="878"/>
      <c r="M10" s="878"/>
      <c r="N10" s="878"/>
      <c r="O10" s="879"/>
      <c r="P10" s="878" t="s">
        <v>6</v>
      </c>
      <c r="Q10" s="878"/>
      <c r="R10" s="878"/>
      <c r="S10" s="878"/>
      <c r="T10" s="878"/>
      <c r="U10" s="878"/>
      <c r="V10" s="878"/>
      <c r="W10" s="878"/>
      <c r="X10" s="878"/>
      <c r="Y10" s="879"/>
      <c r="Z10" s="878" t="s">
        <v>6</v>
      </c>
      <c r="AA10" s="878"/>
      <c r="AB10" s="878"/>
      <c r="AC10" s="878"/>
      <c r="AD10" s="878"/>
      <c r="AE10" s="878"/>
      <c r="AF10" s="878"/>
      <c r="AG10" s="878"/>
      <c r="AH10" s="878"/>
      <c r="AI10" s="878"/>
      <c r="AJ10" s="880"/>
      <c r="AK10" s="821"/>
      <c r="AL10" s="881" t="s">
        <v>7</v>
      </c>
      <c r="AM10" s="882"/>
      <c r="AN10" s="882"/>
      <c r="AO10" s="882"/>
      <c r="AP10" s="882"/>
      <c r="AQ10" s="882"/>
      <c r="AR10" s="882"/>
      <c r="AS10" s="882"/>
      <c r="AT10" s="882"/>
      <c r="AU10" s="882"/>
      <c r="AV10" s="882"/>
      <c r="AW10" s="882"/>
      <c r="AX10" s="882"/>
      <c r="AY10" s="882"/>
      <c r="AZ10" s="883"/>
      <c r="BA10" s="882" t="s">
        <v>7</v>
      </c>
      <c r="BB10" s="882"/>
      <c r="BC10" s="882"/>
      <c r="BD10" s="882"/>
      <c r="BE10" s="882"/>
      <c r="BF10" s="882"/>
      <c r="BG10" s="882"/>
      <c r="BH10" s="882"/>
      <c r="BI10" s="882"/>
      <c r="BJ10" s="882"/>
      <c r="BK10" s="882"/>
      <c r="BL10" s="882"/>
      <c r="BM10" s="882"/>
      <c r="BN10" s="882"/>
      <c r="BO10" s="882"/>
      <c r="BP10" s="884"/>
      <c r="BR10" s="505"/>
      <c r="BS10" s="505"/>
    </row>
    <row r="11" spans="2:77" s="186" customFormat="1">
      <c r="B11" s="1824"/>
      <c r="C11" s="1826"/>
      <c r="D11" s="1828"/>
      <c r="E11" s="1831"/>
      <c r="F11" s="1832" t="s">
        <v>8</v>
      </c>
      <c r="G11" s="1819" t="s">
        <v>9</v>
      </c>
      <c r="H11" s="1819" t="s">
        <v>10</v>
      </c>
      <c r="I11" s="1819" t="s">
        <v>11</v>
      </c>
      <c r="J11" s="1819" t="s">
        <v>12</v>
      </c>
      <c r="K11" s="1819" t="s">
        <v>13</v>
      </c>
      <c r="L11" s="1819" t="s">
        <v>14</v>
      </c>
      <c r="M11" s="1819" t="s">
        <v>15</v>
      </c>
      <c r="N11" s="1819" t="s">
        <v>16</v>
      </c>
      <c r="O11" s="1819" t="s">
        <v>17</v>
      </c>
      <c r="P11" s="1821" t="s">
        <v>18</v>
      </c>
      <c r="Q11" s="1819" t="s">
        <v>19</v>
      </c>
      <c r="R11" s="1819" t="s">
        <v>20</v>
      </c>
      <c r="S11" s="1819" t="s">
        <v>21</v>
      </c>
      <c r="T11" s="1819" t="s">
        <v>22</v>
      </c>
      <c r="U11" s="1819" t="s">
        <v>23</v>
      </c>
      <c r="V11" s="1819" t="s">
        <v>24</v>
      </c>
      <c r="W11" s="1819" t="s">
        <v>25</v>
      </c>
      <c r="X11" s="1819" t="s">
        <v>26</v>
      </c>
      <c r="Y11" s="1819" t="s">
        <v>27</v>
      </c>
      <c r="Z11" s="1821" t="s">
        <v>28</v>
      </c>
      <c r="AA11" s="1819" t="s">
        <v>29</v>
      </c>
      <c r="AB11" s="1819" t="s">
        <v>30</v>
      </c>
      <c r="AC11" s="1819" t="s">
        <v>31</v>
      </c>
      <c r="AD11" s="1819" t="s">
        <v>32</v>
      </c>
      <c r="AE11" s="1819" t="s">
        <v>33</v>
      </c>
      <c r="AF11" s="1819" t="s">
        <v>34</v>
      </c>
      <c r="AG11" s="1819" t="s">
        <v>35</v>
      </c>
      <c r="AH11" s="1819" t="s">
        <v>36</v>
      </c>
      <c r="AI11" s="1819" t="s">
        <v>37</v>
      </c>
      <c r="AJ11" s="1817" t="s">
        <v>38</v>
      </c>
      <c r="AK11" s="821"/>
      <c r="AL11" s="1815" t="s">
        <v>8</v>
      </c>
      <c r="AM11" s="1811" t="s">
        <v>9</v>
      </c>
      <c r="AN11" s="1811" t="s">
        <v>10</v>
      </c>
      <c r="AO11" s="1811" t="s">
        <v>11</v>
      </c>
      <c r="AP11" s="1811" t="s">
        <v>12</v>
      </c>
      <c r="AQ11" s="1811" t="s">
        <v>13</v>
      </c>
      <c r="AR11" s="1811" t="s">
        <v>14</v>
      </c>
      <c r="AS11" s="1811" t="s">
        <v>15</v>
      </c>
      <c r="AT11" s="1811" t="s">
        <v>16</v>
      </c>
      <c r="AU11" s="1811" t="s">
        <v>17</v>
      </c>
      <c r="AV11" s="1811" t="s">
        <v>18</v>
      </c>
      <c r="AW11" s="1811" t="s">
        <v>19</v>
      </c>
      <c r="AX11" s="1811" t="s">
        <v>20</v>
      </c>
      <c r="AY11" s="1811" t="s">
        <v>21</v>
      </c>
      <c r="AZ11" s="1811" t="s">
        <v>22</v>
      </c>
      <c r="BA11" s="1813" t="s">
        <v>23</v>
      </c>
      <c r="BB11" s="1811" t="s">
        <v>24</v>
      </c>
      <c r="BC11" s="1811" t="s">
        <v>25</v>
      </c>
      <c r="BD11" s="1811" t="s">
        <v>26</v>
      </c>
      <c r="BE11" s="1811" t="s">
        <v>27</v>
      </c>
      <c r="BF11" s="1811" t="s">
        <v>28</v>
      </c>
      <c r="BG11" s="1811" t="s">
        <v>29</v>
      </c>
      <c r="BH11" s="1811" t="s">
        <v>30</v>
      </c>
      <c r="BI11" s="1811" t="s">
        <v>31</v>
      </c>
      <c r="BJ11" s="1811" t="s">
        <v>32</v>
      </c>
      <c r="BK11" s="1811" t="s">
        <v>33</v>
      </c>
      <c r="BL11" s="1811" t="s">
        <v>34</v>
      </c>
      <c r="BM11" s="1811" t="s">
        <v>35</v>
      </c>
      <c r="BN11" s="1811" t="s">
        <v>36</v>
      </c>
      <c r="BO11" s="1811" t="s">
        <v>37</v>
      </c>
      <c r="BP11" s="1809" t="s">
        <v>38</v>
      </c>
      <c r="BR11" s="505"/>
      <c r="BS11" s="505"/>
    </row>
    <row r="12" spans="2:77" s="186" customFormat="1" ht="13.5" thickBot="1">
      <c r="B12" s="1824"/>
      <c r="C12" s="1810"/>
      <c r="D12" s="1829"/>
      <c r="E12" s="1818"/>
      <c r="F12" s="1833"/>
      <c r="G12" s="1820"/>
      <c r="H12" s="1820"/>
      <c r="I12" s="1820"/>
      <c r="J12" s="1820"/>
      <c r="K12" s="1820"/>
      <c r="L12" s="1820"/>
      <c r="M12" s="1820"/>
      <c r="N12" s="1820"/>
      <c r="O12" s="1820"/>
      <c r="P12" s="1822"/>
      <c r="Q12" s="1820"/>
      <c r="R12" s="1820"/>
      <c r="S12" s="1820"/>
      <c r="T12" s="1820"/>
      <c r="U12" s="1820"/>
      <c r="V12" s="1820"/>
      <c r="W12" s="1820"/>
      <c r="X12" s="1820"/>
      <c r="Y12" s="1820"/>
      <c r="Z12" s="1822"/>
      <c r="AA12" s="1820"/>
      <c r="AB12" s="1820"/>
      <c r="AC12" s="1820"/>
      <c r="AD12" s="1820"/>
      <c r="AE12" s="1820"/>
      <c r="AF12" s="1820"/>
      <c r="AG12" s="1820"/>
      <c r="AH12" s="1820"/>
      <c r="AI12" s="1820"/>
      <c r="AJ12" s="1818"/>
      <c r="AK12" s="821"/>
      <c r="AL12" s="1816"/>
      <c r="AM12" s="1812"/>
      <c r="AN12" s="1812"/>
      <c r="AO12" s="1812"/>
      <c r="AP12" s="1812"/>
      <c r="AQ12" s="1812"/>
      <c r="AR12" s="1812"/>
      <c r="AS12" s="1812"/>
      <c r="AT12" s="1812"/>
      <c r="AU12" s="1812"/>
      <c r="AV12" s="1812"/>
      <c r="AW12" s="1812"/>
      <c r="AX12" s="1812"/>
      <c r="AY12" s="1812"/>
      <c r="AZ12" s="1812"/>
      <c r="BA12" s="1814"/>
      <c r="BB12" s="1812"/>
      <c r="BC12" s="1812"/>
      <c r="BD12" s="1812"/>
      <c r="BE12" s="1812"/>
      <c r="BF12" s="1812"/>
      <c r="BG12" s="1812"/>
      <c r="BH12" s="1812"/>
      <c r="BI12" s="1812"/>
      <c r="BJ12" s="1812"/>
      <c r="BK12" s="1812"/>
      <c r="BL12" s="1812"/>
      <c r="BM12" s="1812"/>
      <c r="BN12" s="1812"/>
      <c r="BO12" s="1812"/>
      <c r="BP12" s="1810"/>
      <c r="BR12" s="505"/>
      <c r="BS12" s="505"/>
    </row>
    <row r="13" spans="2:77" s="188" customFormat="1" ht="19.899999999999999" customHeight="1" thickBot="1">
      <c r="B13" s="187"/>
      <c r="C13" s="781" t="s">
        <v>39</v>
      </c>
      <c r="D13" s="782" t="s">
        <v>40</v>
      </c>
      <c r="E13" s="783" t="e">
        <f t="shared" ref="E13:AI13" ca="1" si="0">E14+E26+E38+E46+E67+E70</f>
        <v>#N/A</v>
      </c>
      <c r="F13" s="784" t="e">
        <f t="shared" ca="1" si="0"/>
        <v>#N/A</v>
      </c>
      <c r="G13" s="785" t="e">
        <f t="shared" ca="1" si="0"/>
        <v>#N/A</v>
      </c>
      <c r="H13" s="785" t="e">
        <f t="shared" ca="1" si="0"/>
        <v>#N/A</v>
      </c>
      <c r="I13" s="785" t="e">
        <f t="shared" ca="1" si="0"/>
        <v>#N/A</v>
      </c>
      <c r="J13" s="785" t="e">
        <f t="shared" ca="1" si="0"/>
        <v>#N/A</v>
      </c>
      <c r="K13" s="785" t="e">
        <f t="shared" ca="1" si="0"/>
        <v>#N/A</v>
      </c>
      <c r="L13" s="785" t="e">
        <f t="shared" ca="1" si="0"/>
        <v>#N/A</v>
      </c>
      <c r="M13" s="785" t="e">
        <f t="shared" ca="1" si="0"/>
        <v>#N/A</v>
      </c>
      <c r="N13" s="785" t="e">
        <f t="shared" ca="1" si="0"/>
        <v>#N/A</v>
      </c>
      <c r="O13" s="785" t="e">
        <f t="shared" ca="1" si="0"/>
        <v>#N/A</v>
      </c>
      <c r="P13" s="885" t="e">
        <f t="shared" ca="1" si="0"/>
        <v>#N/A</v>
      </c>
      <c r="Q13" s="785" t="e">
        <f t="shared" ca="1" si="0"/>
        <v>#N/A</v>
      </c>
      <c r="R13" s="785" t="e">
        <f t="shared" ca="1" si="0"/>
        <v>#N/A</v>
      </c>
      <c r="S13" s="785" t="e">
        <f t="shared" ca="1" si="0"/>
        <v>#N/A</v>
      </c>
      <c r="T13" s="785" t="e">
        <f t="shared" ca="1" si="0"/>
        <v>#N/A</v>
      </c>
      <c r="U13" s="785" t="e">
        <f t="shared" ca="1" si="0"/>
        <v>#N/A</v>
      </c>
      <c r="V13" s="785" t="e">
        <f t="shared" ca="1" si="0"/>
        <v>#N/A</v>
      </c>
      <c r="W13" s="785" t="e">
        <f t="shared" ca="1" si="0"/>
        <v>#N/A</v>
      </c>
      <c r="X13" s="785" t="e">
        <f t="shared" ca="1" si="0"/>
        <v>#N/A</v>
      </c>
      <c r="Y13" s="785" t="e">
        <f t="shared" ca="1" si="0"/>
        <v>#N/A</v>
      </c>
      <c r="Z13" s="885" t="e">
        <f t="shared" ca="1" si="0"/>
        <v>#N/A</v>
      </c>
      <c r="AA13" s="785" t="e">
        <f t="shared" ca="1" si="0"/>
        <v>#N/A</v>
      </c>
      <c r="AB13" s="785" t="e">
        <f t="shared" ca="1" si="0"/>
        <v>#N/A</v>
      </c>
      <c r="AC13" s="785" t="e">
        <f t="shared" ca="1" si="0"/>
        <v>#N/A</v>
      </c>
      <c r="AD13" s="785" t="e">
        <f t="shared" ca="1" si="0"/>
        <v>#N/A</v>
      </c>
      <c r="AE13" s="785" t="e">
        <f t="shared" ca="1" si="0"/>
        <v>#N/A</v>
      </c>
      <c r="AF13" s="785" t="e">
        <f t="shared" ca="1" si="0"/>
        <v>#N/A</v>
      </c>
      <c r="AG13" s="785" t="e">
        <f t="shared" ca="1" si="0"/>
        <v>#N/A</v>
      </c>
      <c r="AH13" s="785" t="e">
        <f t="shared" ca="1" si="0"/>
        <v>#N/A</v>
      </c>
      <c r="AI13" s="786" t="e">
        <f t="shared" ca="1" si="0"/>
        <v>#N/A</v>
      </c>
      <c r="AJ13" s="783" t="e">
        <f t="shared" ref="AJ13:AJ44" ca="1" si="1">SUM(F13:AI13)</f>
        <v>#N/A</v>
      </c>
      <c r="AK13" s="821"/>
      <c r="AL13" s="787" t="e">
        <f t="shared" ref="AL13:BO13" ca="1" si="2">F13/$E13</f>
        <v>#N/A</v>
      </c>
      <c r="AM13" s="788" t="e">
        <f t="shared" ca="1" si="2"/>
        <v>#N/A</v>
      </c>
      <c r="AN13" s="788" t="e">
        <f t="shared" ca="1" si="2"/>
        <v>#N/A</v>
      </c>
      <c r="AO13" s="788" t="e">
        <f t="shared" ca="1" si="2"/>
        <v>#N/A</v>
      </c>
      <c r="AP13" s="788" t="e">
        <f t="shared" ca="1" si="2"/>
        <v>#N/A</v>
      </c>
      <c r="AQ13" s="788" t="e">
        <f t="shared" ca="1" si="2"/>
        <v>#N/A</v>
      </c>
      <c r="AR13" s="788" t="e">
        <f t="shared" ca="1" si="2"/>
        <v>#N/A</v>
      </c>
      <c r="AS13" s="788" t="e">
        <f t="shared" ca="1" si="2"/>
        <v>#N/A</v>
      </c>
      <c r="AT13" s="788" t="e">
        <f t="shared" ca="1" si="2"/>
        <v>#N/A</v>
      </c>
      <c r="AU13" s="788" t="e">
        <f t="shared" ca="1" si="2"/>
        <v>#N/A</v>
      </c>
      <c r="AV13" s="788" t="e">
        <f t="shared" ca="1" si="2"/>
        <v>#N/A</v>
      </c>
      <c r="AW13" s="788" t="e">
        <f t="shared" ca="1" si="2"/>
        <v>#N/A</v>
      </c>
      <c r="AX13" s="788" t="e">
        <f t="shared" ca="1" si="2"/>
        <v>#N/A</v>
      </c>
      <c r="AY13" s="788" t="e">
        <f t="shared" ca="1" si="2"/>
        <v>#N/A</v>
      </c>
      <c r="AZ13" s="788" t="e">
        <f t="shared" ca="1" si="2"/>
        <v>#N/A</v>
      </c>
      <c r="BA13" s="886" t="e">
        <f t="shared" ca="1" si="2"/>
        <v>#N/A</v>
      </c>
      <c r="BB13" s="788" t="e">
        <f t="shared" ca="1" si="2"/>
        <v>#N/A</v>
      </c>
      <c r="BC13" s="788" t="e">
        <f t="shared" ca="1" si="2"/>
        <v>#N/A</v>
      </c>
      <c r="BD13" s="788" t="e">
        <f t="shared" ca="1" si="2"/>
        <v>#N/A</v>
      </c>
      <c r="BE13" s="788" t="e">
        <f t="shared" ca="1" si="2"/>
        <v>#N/A</v>
      </c>
      <c r="BF13" s="788" t="e">
        <f t="shared" ca="1" si="2"/>
        <v>#N/A</v>
      </c>
      <c r="BG13" s="788" t="e">
        <f t="shared" ca="1" si="2"/>
        <v>#N/A</v>
      </c>
      <c r="BH13" s="788" t="e">
        <f t="shared" ca="1" si="2"/>
        <v>#N/A</v>
      </c>
      <c r="BI13" s="788" t="e">
        <f t="shared" ca="1" si="2"/>
        <v>#N/A</v>
      </c>
      <c r="BJ13" s="788" t="e">
        <f t="shared" ca="1" si="2"/>
        <v>#N/A</v>
      </c>
      <c r="BK13" s="788" t="e">
        <f t="shared" ca="1" si="2"/>
        <v>#N/A</v>
      </c>
      <c r="BL13" s="788" t="e">
        <f t="shared" ca="1" si="2"/>
        <v>#N/A</v>
      </c>
      <c r="BM13" s="788" t="e">
        <f t="shared" ca="1" si="2"/>
        <v>#N/A</v>
      </c>
      <c r="BN13" s="788" t="e">
        <f t="shared" ca="1" si="2"/>
        <v>#N/A</v>
      </c>
      <c r="BO13" s="788" t="e">
        <f t="shared" ca="1" si="2"/>
        <v>#N/A</v>
      </c>
      <c r="BP13" s="789" t="e">
        <f t="shared" ref="BP13:BP76" ca="1" si="3">SUM(AL13:BO13)</f>
        <v>#N/A</v>
      </c>
      <c r="BR13" s="508"/>
      <c r="BS13" s="505"/>
      <c r="BT13" s="188">
        <v>1.66</v>
      </c>
    </row>
    <row r="14" spans="2:77" s="184" customFormat="1" ht="15" customHeight="1" thickBot="1">
      <c r="B14" s="176"/>
      <c r="C14" s="790">
        <v>1</v>
      </c>
      <c r="D14" s="791" t="s">
        <v>41</v>
      </c>
      <c r="E14" s="792">
        <f t="shared" ref="E14:AI14" si="4">SUM(E15:E25)</f>
        <v>17933282.808817569</v>
      </c>
      <c r="F14" s="887">
        <f t="shared" si="4"/>
        <v>17933282.808817569</v>
      </c>
      <c r="G14" s="888">
        <f t="shared" si="4"/>
        <v>0</v>
      </c>
      <c r="H14" s="888">
        <f t="shared" si="4"/>
        <v>0</v>
      </c>
      <c r="I14" s="888">
        <f t="shared" si="4"/>
        <v>0</v>
      </c>
      <c r="J14" s="888">
        <f t="shared" si="4"/>
        <v>0</v>
      </c>
      <c r="K14" s="888">
        <f t="shared" si="4"/>
        <v>0</v>
      </c>
      <c r="L14" s="888">
        <f t="shared" si="4"/>
        <v>0</v>
      </c>
      <c r="M14" s="888">
        <f t="shared" si="4"/>
        <v>0</v>
      </c>
      <c r="N14" s="888">
        <f t="shared" si="4"/>
        <v>0</v>
      </c>
      <c r="O14" s="888">
        <f t="shared" si="4"/>
        <v>0</v>
      </c>
      <c r="P14" s="889">
        <f t="shared" si="4"/>
        <v>0</v>
      </c>
      <c r="Q14" s="888">
        <f t="shared" si="4"/>
        <v>0</v>
      </c>
      <c r="R14" s="888">
        <f t="shared" si="4"/>
        <v>0</v>
      </c>
      <c r="S14" s="888">
        <f t="shared" si="4"/>
        <v>0</v>
      </c>
      <c r="T14" s="888">
        <f t="shared" si="4"/>
        <v>0</v>
      </c>
      <c r="U14" s="888">
        <f t="shared" si="4"/>
        <v>0</v>
      </c>
      <c r="V14" s="888">
        <f t="shared" si="4"/>
        <v>0</v>
      </c>
      <c r="W14" s="888">
        <f t="shared" si="4"/>
        <v>0</v>
      </c>
      <c r="X14" s="888">
        <f t="shared" si="4"/>
        <v>0</v>
      </c>
      <c r="Y14" s="888">
        <f t="shared" si="4"/>
        <v>0</v>
      </c>
      <c r="Z14" s="889">
        <f t="shared" si="4"/>
        <v>0</v>
      </c>
      <c r="AA14" s="888">
        <f t="shared" si="4"/>
        <v>0</v>
      </c>
      <c r="AB14" s="888">
        <f t="shared" si="4"/>
        <v>0</v>
      </c>
      <c r="AC14" s="888">
        <f t="shared" si="4"/>
        <v>0</v>
      </c>
      <c r="AD14" s="888">
        <f t="shared" si="4"/>
        <v>0</v>
      </c>
      <c r="AE14" s="888">
        <f t="shared" si="4"/>
        <v>0</v>
      </c>
      <c r="AF14" s="888">
        <f t="shared" si="4"/>
        <v>0</v>
      </c>
      <c r="AG14" s="888">
        <f t="shared" si="4"/>
        <v>0</v>
      </c>
      <c r="AH14" s="888">
        <f t="shared" si="4"/>
        <v>0</v>
      </c>
      <c r="AI14" s="890">
        <f t="shared" si="4"/>
        <v>0</v>
      </c>
      <c r="AJ14" s="792">
        <f t="shared" si="1"/>
        <v>17933282.808817569</v>
      </c>
      <c r="AK14" s="822"/>
      <c r="AL14" s="891">
        <f>F14/$E14</f>
        <v>1</v>
      </c>
      <c r="AM14" s="892"/>
      <c r="AN14" s="892"/>
      <c r="AO14" s="892"/>
      <c r="AP14" s="892"/>
      <c r="AQ14" s="892"/>
      <c r="AR14" s="892"/>
      <c r="AS14" s="892"/>
      <c r="AT14" s="892"/>
      <c r="AU14" s="892"/>
      <c r="AV14" s="892"/>
      <c r="AW14" s="892"/>
      <c r="AX14" s="892"/>
      <c r="AY14" s="892"/>
      <c r="AZ14" s="892"/>
      <c r="BA14" s="893"/>
      <c r="BB14" s="892"/>
      <c r="BC14" s="892"/>
      <c r="BD14" s="892"/>
      <c r="BE14" s="892"/>
      <c r="BF14" s="892"/>
      <c r="BG14" s="892"/>
      <c r="BH14" s="892"/>
      <c r="BI14" s="892"/>
      <c r="BJ14" s="892"/>
      <c r="BK14" s="892"/>
      <c r="BL14" s="892"/>
      <c r="BM14" s="892"/>
      <c r="BN14" s="892"/>
      <c r="BO14" s="892"/>
      <c r="BP14" s="793">
        <f t="shared" si="3"/>
        <v>1</v>
      </c>
      <c r="BR14" s="508"/>
      <c r="BS14" s="506"/>
      <c r="BW14" s="504"/>
      <c r="BY14" s="530"/>
    </row>
    <row r="15" spans="2:77" ht="13.15" customHeight="1">
      <c r="B15" s="176" t="s">
        <v>42</v>
      </c>
      <c r="C15" s="189" t="s">
        <v>43</v>
      </c>
      <c r="D15" s="190" t="s">
        <v>44</v>
      </c>
      <c r="E15" s="191">
        <f>BS15</f>
        <v>14526265.466501521</v>
      </c>
      <c r="F15" s="894">
        <f t="shared" ref="F15:F25" si="5">$E15*AL15</f>
        <v>14526265.466501521</v>
      </c>
      <c r="G15" s="894"/>
      <c r="H15" s="894"/>
      <c r="I15" s="894"/>
      <c r="J15" s="894"/>
      <c r="K15" s="894"/>
      <c r="L15" s="894"/>
      <c r="M15" s="894"/>
      <c r="N15" s="894"/>
      <c r="O15" s="894"/>
      <c r="P15" s="894"/>
      <c r="Q15" s="894"/>
      <c r="R15" s="894"/>
      <c r="S15" s="894"/>
      <c r="T15" s="894"/>
      <c r="U15" s="894"/>
      <c r="V15" s="894"/>
      <c r="W15" s="894"/>
      <c r="X15" s="894"/>
      <c r="Y15" s="894"/>
      <c r="Z15" s="894"/>
      <c r="AA15" s="894"/>
      <c r="AB15" s="894"/>
      <c r="AC15" s="894"/>
      <c r="AD15" s="894"/>
      <c r="AE15" s="894"/>
      <c r="AF15" s="894"/>
      <c r="AG15" s="894"/>
      <c r="AH15" s="894"/>
      <c r="AI15" s="894"/>
      <c r="AJ15" s="192">
        <f t="shared" si="1"/>
        <v>14526265.466501521</v>
      </c>
      <c r="AL15" s="895">
        <v>1</v>
      </c>
      <c r="AM15" s="896"/>
      <c r="AN15" s="896"/>
      <c r="AO15" s="896"/>
      <c r="AP15" s="896"/>
      <c r="AQ15" s="896"/>
      <c r="AR15" s="896"/>
      <c r="AS15" s="896"/>
      <c r="AT15" s="896"/>
      <c r="AU15" s="896"/>
      <c r="AV15" s="896"/>
      <c r="AW15" s="896"/>
      <c r="AX15" s="896"/>
      <c r="AY15" s="896"/>
      <c r="AZ15" s="896"/>
      <c r="BA15" s="897"/>
      <c r="BB15" s="896"/>
      <c r="BC15" s="896"/>
      <c r="BD15" s="896"/>
      <c r="BE15" s="896"/>
      <c r="BF15" s="896"/>
      <c r="BG15" s="896"/>
      <c r="BH15" s="896"/>
      <c r="BI15" s="896"/>
      <c r="BJ15" s="896"/>
      <c r="BK15" s="896"/>
      <c r="BL15" s="896"/>
      <c r="BM15" s="896"/>
      <c r="BN15" s="896"/>
      <c r="BO15" s="896"/>
      <c r="BP15" s="193">
        <f t="shared" si="3"/>
        <v>1</v>
      </c>
      <c r="BR15" s="508">
        <v>14806322.406874998</v>
      </c>
      <c r="BS15" s="506">
        <f>(BR15/$BT$16*$BT$15*3)*BT13</f>
        <v>14526265.466501521</v>
      </c>
      <c r="BT15" s="175">
        <v>71.7</v>
      </c>
      <c r="BU15" s="175" t="s">
        <v>45</v>
      </c>
    </row>
    <row r="16" spans="2:77" ht="15">
      <c r="B16" s="176" t="s">
        <v>42</v>
      </c>
      <c r="C16" s="194" t="s">
        <v>46</v>
      </c>
      <c r="D16" s="195" t="s">
        <v>47</v>
      </c>
      <c r="E16" s="196">
        <f t="shared" ref="E16:E22" si="6">BS16</f>
        <v>617169.59663180425</v>
      </c>
      <c r="F16" s="894">
        <f t="shared" si="5"/>
        <v>617169.59663180425</v>
      </c>
      <c r="G16" s="894"/>
      <c r="H16" s="894"/>
      <c r="I16" s="894"/>
      <c r="J16" s="894"/>
      <c r="K16" s="894"/>
      <c r="L16" s="894"/>
      <c r="M16" s="894"/>
      <c r="N16" s="894"/>
      <c r="O16" s="894"/>
      <c r="P16" s="894"/>
      <c r="Q16" s="894"/>
      <c r="R16" s="894"/>
      <c r="S16" s="894"/>
      <c r="T16" s="894"/>
      <c r="U16" s="894"/>
      <c r="V16" s="894"/>
      <c r="W16" s="894"/>
      <c r="X16" s="894"/>
      <c r="Y16" s="894"/>
      <c r="Z16" s="894"/>
      <c r="AA16" s="894"/>
      <c r="AB16" s="894"/>
      <c r="AC16" s="894"/>
      <c r="AD16" s="894"/>
      <c r="AE16" s="894"/>
      <c r="AF16" s="894"/>
      <c r="AG16" s="894"/>
      <c r="AH16" s="894"/>
      <c r="AI16" s="894"/>
      <c r="AJ16" s="197">
        <f t="shared" si="1"/>
        <v>617169.59663180425</v>
      </c>
      <c r="AL16" s="895">
        <v>1</v>
      </c>
      <c r="AM16" s="898"/>
      <c r="AN16" s="898"/>
      <c r="AO16" s="898"/>
      <c r="AP16" s="898"/>
      <c r="AQ16" s="898"/>
      <c r="AR16" s="898"/>
      <c r="AS16" s="898"/>
      <c r="AT16" s="898"/>
      <c r="AU16" s="898"/>
      <c r="AV16" s="898"/>
      <c r="AW16" s="898"/>
      <c r="AX16" s="898"/>
      <c r="AY16" s="898"/>
      <c r="AZ16" s="898"/>
      <c r="BA16" s="899"/>
      <c r="BB16" s="898"/>
      <c r="BC16" s="898"/>
      <c r="BD16" s="898"/>
      <c r="BE16" s="898"/>
      <c r="BF16" s="898"/>
      <c r="BG16" s="898"/>
      <c r="BH16" s="898"/>
      <c r="BI16" s="898"/>
      <c r="BJ16" s="898"/>
      <c r="BK16" s="898"/>
      <c r="BL16" s="898"/>
      <c r="BM16" s="898"/>
      <c r="BN16" s="898"/>
      <c r="BO16" s="898"/>
      <c r="BP16" s="199">
        <f t="shared" si="3"/>
        <v>1</v>
      </c>
      <c r="BR16" s="508">
        <v>629068.2246255459</v>
      </c>
      <c r="BS16" s="506">
        <f>(BR16/$BT$16*$BT$15*3)*BT13</f>
        <v>617169.59663180425</v>
      </c>
      <c r="BT16" s="531">
        <v>363.95</v>
      </c>
      <c r="BU16" s="513" t="s">
        <v>48</v>
      </c>
      <c r="BV16" s="502"/>
    </row>
    <row r="17" spans="2:265" ht="15">
      <c r="B17" s="176" t="s">
        <v>42</v>
      </c>
      <c r="C17" s="194" t="s">
        <v>49</v>
      </c>
      <c r="D17" s="195" t="s">
        <v>50</v>
      </c>
      <c r="E17" s="196">
        <f t="shared" si="6"/>
        <v>264743.1516815038</v>
      </c>
      <c r="F17" s="894">
        <f t="shared" si="5"/>
        <v>264743.1516815038</v>
      </c>
      <c r="G17" s="894"/>
      <c r="H17" s="894"/>
      <c r="I17" s="894"/>
      <c r="J17" s="894"/>
      <c r="K17" s="894"/>
      <c r="L17" s="894"/>
      <c r="M17" s="894"/>
      <c r="N17" s="894"/>
      <c r="O17" s="894"/>
      <c r="P17" s="894"/>
      <c r="Q17" s="894"/>
      <c r="R17" s="894"/>
      <c r="S17" s="894"/>
      <c r="T17" s="894"/>
      <c r="U17" s="894"/>
      <c r="V17" s="894"/>
      <c r="W17" s="894"/>
      <c r="X17" s="894"/>
      <c r="Y17" s="894"/>
      <c r="Z17" s="894"/>
      <c r="AA17" s="894"/>
      <c r="AB17" s="894"/>
      <c r="AC17" s="894"/>
      <c r="AD17" s="894"/>
      <c r="AE17" s="894"/>
      <c r="AF17" s="894"/>
      <c r="AG17" s="894"/>
      <c r="AH17" s="894"/>
      <c r="AI17" s="894"/>
      <c r="AJ17" s="197">
        <f t="shared" si="1"/>
        <v>264743.1516815038</v>
      </c>
      <c r="AL17" s="895">
        <v>1</v>
      </c>
      <c r="AM17" s="898"/>
      <c r="AN17" s="898"/>
      <c r="AO17" s="898"/>
      <c r="AP17" s="898"/>
      <c r="AQ17" s="898"/>
      <c r="AR17" s="898"/>
      <c r="AS17" s="898"/>
      <c r="AT17" s="898"/>
      <c r="AU17" s="898"/>
      <c r="AV17" s="898"/>
      <c r="AW17" s="898"/>
      <c r="AX17" s="898"/>
      <c r="AY17" s="898"/>
      <c r="AZ17" s="898"/>
      <c r="BA17" s="899"/>
      <c r="BB17" s="898"/>
      <c r="BC17" s="898"/>
      <c r="BD17" s="898"/>
      <c r="BE17" s="898"/>
      <c r="BF17" s="898"/>
      <c r="BG17" s="898"/>
      <c r="BH17" s="898"/>
      <c r="BI17" s="898"/>
      <c r="BJ17" s="898"/>
      <c r="BK17" s="898"/>
      <c r="BL17" s="898"/>
      <c r="BM17" s="898"/>
      <c r="BN17" s="898"/>
      <c r="BO17" s="898"/>
      <c r="BP17" s="199">
        <f t="shared" si="3"/>
        <v>1</v>
      </c>
      <c r="BR17" s="508">
        <v>269847.22727586306</v>
      </c>
      <c r="BS17" s="506">
        <f>(BR17/$BT$16*$BT$15*3)*BT13</f>
        <v>264743.1516815038</v>
      </c>
      <c r="BU17" s="513"/>
      <c r="BV17" s="502"/>
    </row>
    <row r="18" spans="2:265" ht="15">
      <c r="B18" s="176" t="s">
        <v>42</v>
      </c>
      <c r="C18" s="194" t="s">
        <v>51</v>
      </c>
      <c r="D18" s="195" t="s">
        <v>52</v>
      </c>
      <c r="E18" s="196">
        <f t="shared" si="6"/>
        <v>852410.55582472763</v>
      </c>
      <c r="F18" s="894">
        <f t="shared" si="5"/>
        <v>852410.55582472763</v>
      </c>
      <c r="G18" s="894"/>
      <c r="H18" s="894"/>
      <c r="I18" s="894"/>
      <c r="J18" s="894"/>
      <c r="K18" s="894"/>
      <c r="L18" s="894"/>
      <c r="M18" s="894"/>
      <c r="N18" s="894"/>
      <c r="O18" s="894"/>
      <c r="P18" s="894"/>
      <c r="Q18" s="894"/>
      <c r="R18" s="894"/>
      <c r="S18" s="894"/>
      <c r="T18" s="894"/>
      <c r="U18" s="894"/>
      <c r="V18" s="894"/>
      <c r="W18" s="894"/>
      <c r="X18" s="894"/>
      <c r="Y18" s="894"/>
      <c r="Z18" s="894"/>
      <c r="AA18" s="894"/>
      <c r="AB18" s="894"/>
      <c r="AC18" s="894"/>
      <c r="AD18" s="894"/>
      <c r="AE18" s="894"/>
      <c r="AF18" s="894"/>
      <c r="AG18" s="894"/>
      <c r="AH18" s="894"/>
      <c r="AI18" s="894"/>
      <c r="AJ18" s="197">
        <f t="shared" si="1"/>
        <v>852410.55582472763</v>
      </c>
      <c r="AL18" s="895">
        <v>1</v>
      </c>
      <c r="AM18" s="898"/>
      <c r="AN18" s="898"/>
      <c r="AO18" s="898"/>
      <c r="AP18" s="898"/>
      <c r="AQ18" s="898"/>
      <c r="AR18" s="898"/>
      <c r="AS18" s="898"/>
      <c r="AT18" s="898"/>
      <c r="AU18" s="898"/>
      <c r="AV18" s="898"/>
      <c r="AW18" s="898"/>
      <c r="AX18" s="898"/>
      <c r="AY18" s="898"/>
      <c r="AZ18" s="898"/>
      <c r="BA18" s="899"/>
      <c r="BB18" s="898"/>
      <c r="BC18" s="898"/>
      <c r="BD18" s="898"/>
      <c r="BE18" s="898"/>
      <c r="BF18" s="898"/>
      <c r="BG18" s="898"/>
      <c r="BH18" s="898"/>
      <c r="BI18" s="898"/>
      <c r="BJ18" s="898"/>
      <c r="BK18" s="898"/>
      <c r="BL18" s="898"/>
      <c r="BM18" s="898"/>
      <c r="BN18" s="898"/>
      <c r="BO18" s="898"/>
      <c r="BP18" s="199">
        <f t="shared" si="3"/>
        <v>1</v>
      </c>
      <c r="BR18" s="508">
        <v>868844.47635005764</v>
      </c>
      <c r="BS18" s="506">
        <f>(BR18/$BT$16*$BT$15*3)*BT13</f>
        <v>852410.55582472763</v>
      </c>
      <c r="BU18" s="513"/>
      <c r="BV18" s="502"/>
    </row>
    <row r="19" spans="2:265" ht="15">
      <c r="B19" s="176" t="s">
        <v>42</v>
      </c>
      <c r="C19" s="194" t="s">
        <v>53</v>
      </c>
      <c r="D19" s="195" t="s">
        <v>54</v>
      </c>
      <c r="E19" s="196">
        <f t="shared" si="6"/>
        <v>1008514.1803263561</v>
      </c>
      <c r="F19" s="894">
        <f t="shared" si="5"/>
        <v>1008514.1803263561</v>
      </c>
      <c r="G19" s="894"/>
      <c r="H19" s="894"/>
      <c r="I19" s="894"/>
      <c r="J19" s="894"/>
      <c r="K19" s="894"/>
      <c r="L19" s="894"/>
      <c r="M19" s="894"/>
      <c r="N19" s="894"/>
      <c r="O19" s="894"/>
      <c r="P19" s="894"/>
      <c r="Q19" s="894"/>
      <c r="R19" s="894"/>
      <c r="S19" s="894"/>
      <c r="T19" s="894"/>
      <c r="U19" s="894"/>
      <c r="V19" s="894"/>
      <c r="W19" s="894"/>
      <c r="X19" s="894"/>
      <c r="Y19" s="894"/>
      <c r="Z19" s="894"/>
      <c r="AA19" s="894"/>
      <c r="AB19" s="894"/>
      <c r="AC19" s="894"/>
      <c r="AD19" s="894"/>
      <c r="AE19" s="894"/>
      <c r="AF19" s="894"/>
      <c r="AG19" s="894"/>
      <c r="AH19" s="894"/>
      <c r="AI19" s="894"/>
      <c r="AJ19" s="197">
        <f t="shared" si="1"/>
        <v>1008514.1803263561</v>
      </c>
      <c r="AL19" s="895">
        <v>1</v>
      </c>
      <c r="AM19" s="898"/>
      <c r="AN19" s="898"/>
      <c r="AO19" s="898"/>
      <c r="AP19" s="898"/>
      <c r="AQ19" s="898"/>
      <c r="AR19" s="898"/>
      <c r="AS19" s="898"/>
      <c r="AT19" s="898"/>
      <c r="AU19" s="898"/>
      <c r="AV19" s="898"/>
      <c r="AW19" s="898"/>
      <c r="AX19" s="898"/>
      <c r="AY19" s="898"/>
      <c r="AZ19" s="898"/>
      <c r="BA19" s="899"/>
      <c r="BB19" s="898"/>
      <c r="BC19" s="898"/>
      <c r="BD19" s="898"/>
      <c r="BE19" s="898"/>
      <c r="BF19" s="898"/>
      <c r="BG19" s="898"/>
      <c r="BH19" s="898"/>
      <c r="BI19" s="898"/>
      <c r="BJ19" s="898"/>
      <c r="BK19" s="898"/>
      <c r="BL19" s="898"/>
      <c r="BM19" s="898"/>
      <c r="BN19" s="898"/>
      <c r="BO19" s="898"/>
      <c r="BP19" s="199">
        <f t="shared" si="3"/>
        <v>1</v>
      </c>
      <c r="BR19" s="508">
        <v>1027957.6770954872</v>
      </c>
      <c r="BS19" s="506">
        <f>(BR19/$BT$16*$BT$15*3)*BT13</f>
        <v>1008514.1803263561</v>
      </c>
      <c r="BU19" s="513"/>
      <c r="BV19" s="502"/>
      <c r="BW19" s="528"/>
      <c r="BY19" s="502"/>
    </row>
    <row r="20" spans="2:265" ht="15">
      <c r="B20" s="176" t="s">
        <v>42</v>
      </c>
      <c r="C20" s="194" t="s">
        <v>55</v>
      </c>
      <c r="D20" s="195" t="s">
        <v>56</v>
      </c>
      <c r="E20" s="196">
        <f t="shared" si="6"/>
        <v>367870.78245188639</v>
      </c>
      <c r="F20" s="894">
        <f t="shared" si="5"/>
        <v>367870.78245188639</v>
      </c>
      <c r="G20" s="894"/>
      <c r="H20" s="894"/>
      <c r="I20" s="894"/>
      <c r="J20" s="894"/>
      <c r="K20" s="894"/>
      <c r="L20" s="894"/>
      <c r="M20" s="894"/>
      <c r="N20" s="894"/>
      <c r="O20" s="894"/>
      <c r="P20" s="894"/>
      <c r="Q20" s="894"/>
      <c r="R20" s="894"/>
      <c r="S20" s="894"/>
      <c r="T20" s="894"/>
      <c r="U20" s="894"/>
      <c r="V20" s="894"/>
      <c r="W20" s="894"/>
      <c r="X20" s="894"/>
      <c r="Y20" s="894"/>
      <c r="Z20" s="894"/>
      <c r="AA20" s="894"/>
      <c r="AB20" s="894"/>
      <c r="AC20" s="894"/>
      <c r="AD20" s="894"/>
      <c r="AE20" s="894"/>
      <c r="AF20" s="894"/>
      <c r="AG20" s="894"/>
      <c r="AH20" s="894"/>
      <c r="AI20" s="894"/>
      <c r="AJ20" s="197">
        <f t="shared" si="1"/>
        <v>367870.78245188639</v>
      </c>
      <c r="AL20" s="895">
        <v>1</v>
      </c>
      <c r="AM20" s="898"/>
      <c r="AN20" s="898"/>
      <c r="AO20" s="898"/>
      <c r="AP20" s="898"/>
      <c r="AQ20" s="898"/>
      <c r="AR20" s="898"/>
      <c r="AS20" s="898"/>
      <c r="AT20" s="898"/>
      <c r="AU20" s="898"/>
      <c r="AV20" s="898"/>
      <c r="AW20" s="898"/>
      <c r="AX20" s="898"/>
      <c r="AY20" s="898"/>
      <c r="AZ20" s="898"/>
      <c r="BA20" s="899"/>
      <c r="BB20" s="898"/>
      <c r="BC20" s="898"/>
      <c r="BD20" s="898"/>
      <c r="BE20" s="898"/>
      <c r="BF20" s="898"/>
      <c r="BG20" s="898"/>
      <c r="BH20" s="898"/>
      <c r="BI20" s="898"/>
      <c r="BJ20" s="898"/>
      <c r="BK20" s="898"/>
      <c r="BL20" s="898"/>
      <c r="BM20" s="898"/>
      <c r="BN20" s="898"/>
      <c r="BO20" s="898"/>
      <c r="BP20" s="199">
        <f t="shared" si="3"/>
        <v>1</v>
      </c>
      <c r="BR20" s="508">
        <v>374963.0916227366</v>
      </c>
      <c r="BS20" s="506">
        <f>(BR20/$BT$16*$BT$15*3)*BT13</f>
        <v>367870.78245188639</v>
      </c>
      <c r="BU20" s="513"/>
      <c r="BV20" s="502"/>
      <c r="BW20" s="528"/>
      <c r="BX20" s="502"/>
      <c r="BY20" s="502"/>
    </row>
    <row r="21" spans="2:265" ht="15">
      <c r="B21" s="176" t="s">
        <v>42</v>
      </c>
      <c r="C21" s="194" t="s">
        <v>57</v>
      </c>
      <c r="D21" s="200" t="s">
        <v>58</v>
      </c>
      <c r="E21" s="196">
        <f t="shared" si="6"/>
        <v>91488.73232209972</v>
      </c>
      <c r="F21" s="894">
        <f t="shared" si="5"/>
        <v>91488.73232209972</v>
      </c>
      <c r="G21" s="894"/>
      <c r="H21" s="894"/>
      <c r="I21" s="894"/>
      <c r="J21" s="894"/>
      <c r="K21" s="894"/>
      <c r="L21" s="894"/>
      <c r="M21" s="894"/>
      <c r="N21" s="894"/>
      <c r="O21" s="894"/>
      <c r="P21" s="894"/>
      <c r="Q21" s="894"/>
      <c r="R21" s="894"/>
      <c r="S21" s="894"/>
      <c r="T21" s="894"/>
      <c r="U21" s="894"/>
      <c r="V21" s="894"/>
      <c r="W21" s="894"/>
      <c r="X21" s="894"/>
      <c r="Y21" s="894"/>
      <c r="Z21" s="894"/>
      <c r="AA21" s="894"/>
      <c r="AB21" s="894"/>
      <c r="AC21" s="894"/>
      <c r="AD21" s="894"/>
      <c r="AE21" s="894"/>
      <c r="AF21" s="894"/>
      <c r="AG21" s="894"/>
      <c r="AH21" s="894"/>
      <c r="AI21" s="894"/>
      <c r="AJ21" s="192">
        <f t="shared" si="1"/>
        <v>91488.73232209972</v>
      </c>
      <c r="AL21" s="895">
        <v>1</v>
      </c>
      <c r="AM21" s="898"/>
      <c r="AN21" s="898"/>
      <c r="AO21" s="898"/>
      <c r="AP21" s="898"/>
      <c r="AQ21" s="898"/>
      <c r="AR21" s="898"/>
      <c r="AS21" s="898"/>
      <c r="AT21" s="898"/>
      <c r="AU21" s="898"/>
      <c r="AV21" s="898"/>
      <c r="AW21" s="898"/>
      <c r="AX21" s="898"/>
      <c r="AY21" s="898"/>
      <c r="AZ21" s="898"/>
      <c r="BA21" s="899"/>
      <c r="BB21" s="898"/>
      <c r="BC21" s="898"/>
      <c r="BD21" s="898"/>
      <c r="BE21" s="898"/>
      <c r="BF21" s="898"/>
      <c r="BG21" s="898"/>
      <c r="BH21" s="898"/>
      <c r="BI21" s="898"/>
      <c r="BJ21" s="898"/>
      <c r="BK21" s="898"/>
      <c r="BL21" s="898"/>
      <c r="BM21" s="898"/>
      <c r="BN21" s="898"/>
      <c r="BO21" s="898"/>
      <c r="BP21" s="202">
        <f t="shared" si="3"/>
        <v>1</v>
      </c>
      <c r="BR21" s="508">
        <v>93252.575514409633</v>
      </c>
      <c r="BS21" s="506">
        <f>(BR21/$BT$16*$BT$15*3)*BT13</f>
        <v>91488.73232209972</v>
      </c>
      <c r="BU21" s="513"/>
      <c r="BV21" s="502"/>
    </row>
    <row r="22" spans="2:265" ht="15">
      <c r="B22" s="176" t="s">
        <v>42</v>
      </c>
      <c r="C22" s="203" t="s">
        <v>59</v>
      </c>
      <c r="D22" s="200" t="s">
        <v>60</v>
      </c>
      <c r="E22" s="196">
        <f t="shared" si="6"/>
        <v>204820.34307767145</v>
      </c>
      <c r="F22" s="894">
        <f t="shared" si="5"/>
        <v>204820.34307767145</v>
      </c>
      <c r="G22" s="894"/>
      <c r="H22" s="894"/>
      <c r="I22" s="894"/>
      <c r="J22" s="894"/>
      <c r="K22" s="894"/>
      <c r="L22" s="894"/>
      <c r="M22" s="894"/>
      <c r="N22" s="894"/>
      <c r="O22" s="894"/>
      <c r="P22" s="894"/>
      <c r="Q22" s="894"/>
      <c r="R22" s="894"/>
      <c r="S22" s="894"/>
      <c r="T22" s="894"/>
      <c r="U22" s="894"/>
      <c r="V22" s="894"/>
      <c r="W22" s="894"/>
      <c r="X22" s="894"/>
      <c r="Y22" s="894"/>
      <c r="Z22" s="894"/>
      <c r="AA22" s="894"/>
      <c r="AB22" s="894"/>
      <c r="AC22" s="894"/>
      <c r="AD22" s="894"/>
      <c r="AE22" s="894"/>
      <c r="AF22" s="894"/>
      <c r="AG22" s="894"/>
      <c r="AH22" s="894"/>
      <c r="AI22" s="894"/>
      <c r="AJ22" s="192">
        <f t="shared" si="1"/>
        <v>204820.34307767145</v>
      </c>
      <c r="AL22" s="895">
        <v>1</v>
      </c>
      <c r="AM22" s="900"/>
      <c r="AN22" s="900"/>
      <c r="AO22" s="900"/>
      <c r="AP22" s="900"/>
      <c r="AQ22" s="900"/>
      <c r="AR22" s="900"/>
      <c r="AS22" s="900"/>
      <c r="AT22" s="900"/>
      <c r="AU22" s="900"/>
      <c r="AV22" s="900"/>
      <c r="AW22" s="900"/>
      <c r="AX22" s="900"/>
      <c r="AY22" s="900"/>
      <c r="AZ22" s="900"/>
      <c r="BA22" s="901"/>
      <c r="BB22" s="900"/>
      <c r="BC22" s="900"/>
      <c r="BD22" s="900"/>
      <c r="BE22" s="900"/>
      <c r="BF22" s="900"/>
      <c r="BG22" s="900"/>
      <c r="BH22" s="900"/>
      <c r="BI22" s="900"/>
      <c r="BJ22" s="900"/>
      <c r="BK22" s="900"/>
      <c r="BL22" s="900"/>
      <c r="BM22" s="900"/>
      <c r="BN22" s="900"/>
      <c r="BO22" s="900"/>
      <c r="BP22" s="202">
        <f t="shared" si="3"/>
        <v>1</v>
      </c>
      <c r="BR22" s="508">
        <v>0</v>
      </c>
      <c r="BS22" s="502">
        <f>BS15*1.41%</f>
        <v>204820.34307767145</v>
      </c>
      <c r="BU22" s="475"/>
    </row>
    <row r="23" spans="2:265" ht="15">
      <c r="B23" s="176" t="s">
        <v>42</v>
      </c>
      <c r="C23" s="194" t="s">
        <v>61</v>
      </c>
      <c r="D23" s="200" t="s">
        <v>62</v>
      </c>
      <c r="E23" s="201"/>
      <c r="F23" s="894">
        <f t="shared" si="5"/>
        <v>0</v>
      </c>
      <c r="G23" s="894"/>
      <c r="H23" s="894"/>
      <c r="I23" s="894"/>
      <c r="J23" s="894"/>
      <c r="K23" s="894"/>
      <c r="L23" s="894"/>
      <c r="M23" s="894"/>
      <c r="N23" s="894"/>
      <c r="O23" s="894"/>
      <c r="P23" s="894"/>
      <c r="Q23" s="894"/>
      <c r="R23" s="894"/>
      <c r="S23" s="894"/>
      <c r="T23" s="894"/>
      <c r="U23" s="894"/>
      <c r="V23" s="894"/>
      <c r="W23" s="894"/>
      <c r="X23" s="894"/>
      <c r="Y23" s="894"/>
      <c r="Z23" s="894"/>
      <c r="AA23" s="894"/>
      <c r="AB23" s="894"/>
      <c r="AC23" s="894"/>
      <c r="AD23" s="894"/>
      <c r="AE23" s="894"/>
      <c r="AF23" s="894"/>
      <c r="AG23" s="894"/>
      <c r="AH23" s="894"/>
      <c r="AI23" s="894"/>
      <c r="AJ23" s="192">
        <f t="shared" si="1"/>
        <v>0</v>
      </c>
      <c r="AL23" s="198"/>
      <c r="AM23" s="898"/>
      <c r="AN23" s="898"/>
      <c r="AO23" s="898"/>
      <c r="AP23" s="898"/>
      <c r="AQ23" s="898"/>
      <c r="AR23" s="898"/>
      <c r="AS23" s="898"/>
      <c r="AT23" s="898"/>
      <c r="AU23" s="898"/>
      <c r="AV23" s="898"/>
      <c r="AW23" s="898"/>
      <c r="AX23" s="898"/>
      <c r="AY23" s="898"/>
      <c r="AZ23" s="898"/>
      <c r="BA23" s="899"/>
      <c r="BB23" s="898"/>
      <c r="BC23" s="898"/>
      <c r="BD23" s="898"/>
      <c r="BE23" s="898"/>
      <c r="BF23" s="898"/>
      <c r="BG23" s="898"/>
      <c r="BH23" s="898"/>
      <c r="BI23" s="898"/>
      <c r="BJ23" s="898"/>
      <c r="BK23" s="898"/>
      <c r="BL23" s="898"/>
      <c r="BM23" s="898"/>
      <c r="BN23" s="898"/>
      <c r="BO23" s="898"/>
      <c r="BP23" s="202">
        <f t="shared" si="3"/>
        <v>0</v>
      </c>
      <c r="BR23" s="508">
        <v>0</v>
      </c>
    </row>
    <row r="24" spans="2:265" ht="15">
      <c r="B24" s="176" t="s">
        <v>42</v>
      </c>
      <c r="C24" s="194" t="s">
        <v>63</v>
      </c>
      <c r="D24" s="200" t="s">
        <v>62</v>
      </c>
      <c r="E24" s="201"/>
      <c r="F24" s="894">
        <f t="shared" si="5"/>
        <v>0</v>
      </c>
      <c r="G24" s="894"/>
      <c r="H24" s="894"/>
      <c r="I24" s="894"/>
      <c r="J24" s="894"/>
      <c r="K24" s="894"/>
      <c r="L24" s="894"/>
      <c r="M24" s="894"/>
      <c r="N24" s="894"/>
      <c r="O24" s="894"/>
      <c r="P24" s="894"/>
      <c r="Q24" s="894"/>
      <c r="R24" s="894"/>
      <c r="S24" s="894"/>
      <c r="T24" s="894"/>
      <c r="U24" s="894"/>
      <c r="V24" s="894"/>
      <c r="W24" s="894"/>
      <c r="X24" s="894"/>
      <c r="Y24" s="894"/>
      <c r="Z24" s="894"/>
      <c r="AA24" s="894"/>
      <c r="AB24" s="894"/>
      <c r="AC24" s="894"/>
      <c r="AD24" s="894"/>
      <c r="AE24" s="894"/>
      <c r="AF24" s="894"/>
      <c r="AG24" s="894"/>
      <c r="AH24" s="894"/>
      <c r="AI24" s="894"/>
      <c r="AJ24" s="192">
        <f t="shared" si="1"/>
        <v>0</v>
      </c>
      <c r="AL24" s="198"/>
      <c r="AM24" s="898"/>
      <c r="AN24" s="898"/>
      <c r="AO24" s="898"/>
      <c r="AP24" s="898"/>
      <c r="AQ24" s="898"/>
      <c r="AR24" s="898"/>
      <c r="AS24" s="898"/>
      <c r="AT24" s="898"/>
      <c r="AU24" s="898"/>
      <c r="AV24" s="898"/>
      <c r="AW24" s="898"/>
      <c r="AX24" s="898"/>
      <c r="AY24" s="898"/>
      <c r="AZ24" s="898"/>
      <c r="BA24" s="899"/>
      <c r="BB24" s="898"/>
      <c r="BC24" s="898"/>
      <c r="BD24" s="898"/>
      <c r="BE24" s="898"/>
      <c r="BF24" s="898"/>
      <c r="BG24" s="898"/>
      <c r="BH24" s="898"/>
      <c r="BI24" s="898"/>
      <c r="BJ24" s="898"/>
      <c r="BK24" s="898"/>
      <c r="BL24" s="898"/>
      <c r="BM24" s="898"/>
      <c r="BN24" s="898"/>
      <c r="BO24" s="898"/>
      <c r="BP24" s="202">
        <f t="shared" si="3"/>
        <v>0</v>
      </c>
      <c r="BR24" s="508">
        <v>0</v>
      </c>
    </row>
    <row r="25" spans="2:265" ht="15.75" thickBot="1">
      <c r="B25" s="176" t="s">
        <v>42</v>
      </c>
      <c r="C25" s="194" t="s">
        <v>64</v>
      </c>
      <c r="D25" s="200" t="s">
        <v>62</v>
      </c>
      <c r="E25" s="201"/>
      <c r="F25" s="894">
        <f t="shared" si="5"/>
        <v>0</v>
      </c>
      <c r="G25" s="894"/>
      <c r="H25" s="894"/>
      <c r="I25" s="894"/>
      <c r="J25" s="894"/>
      <c r="K25" s="894"/>
      <c r="L25" s="894"/>
      <c r="M25" s="894"/>
      <c r="N25" s="894"/>
      <c r="O25" s="894"/>
      <c r="P25" s="894"/>
      <c r="Q25" s="894"/>
      <c r="R25" s="894"/>
      <c r="S25" s="894"/>
      <c r="T25" s="894"/>
      <c r="U25" s="894"/>
      <c r="V25" s="894"/>
      <c r="W25" s="894"/>
      <c r="X25" s="894"/>
      <c r="Y25" s="894"/>
      <c r="Z25" s="894"/>
      <c r="AA25" s="894"/>
      <c r="AB25" s="894"/>
      <c r="AC25" s="894"/>
      <c r="AD25" s="894"/>
      <c r="AE25" s="894"/>
      <c r="AF25" s="894"/>
      <c r="AG25" s="894"/>
      <c r="AH25" s="894"/>
      <c r="AI25" s="894"/>
      <c r="AJ25" s="204">
        <f t="shared" si="1"/>
        <v>0</v>
      </c>
      <c r="AL25" s="198"/>
      <c r="AM25" s="898"/>
      <c r="AN25" s="898"/>
      <c r="AO25" s="898"/>
      <c r="AP25" s="898"/>
      <c r="AQ25" s="898"/>
      <c r="AR25" s="898"/>
      <c r="AS25" s="898"/>
      <c r="AT25" s="898"/>
      <c r="AU25" s="898"/>
      <c r="AV25" s="898"/>
      <c r="AW25" s="898"/>
      <c r="AX25" s="898"/>
      <c r="AY25" s="898"/>
      <c r="AZ25" s="898"/>
      <c r="BA25" s="899"/>
      <c r="BB25" s="898"/>
      <c r="BC25" s="898"/>
      <c r="BD25" s="898"/>
      <c r="BE25" s="898"/>
      <c r="BF25" s="898"/>
      <c r="BG25" s="898"/>
      <c r="BH25" s="898"/>
      <c r="BI25" s="898"/>
      <c r="BJ25" s="898"/>
      <c r="BK25" s="898"/>
      <c r="BL25" s="898"/>
      <c r="BM25" s="898"/>
      <c r="BN25" s="898"/>
      <c r="BO25" s="898"/>
      <c r="BP25" s="202">
        <f t="shared" si="3"/>
        <v>0</v>
      </c>
      <c r="BR25" s="508">
        <v>0</v>
      </c>
    </row>
    <row r="26" spans="2:265" s="184" customFormat="1" ht="15" customHeight="1" thickBot="1">
      <c r="B26" s="176"/>
      <c r="C26" s="790">
        <v>2</v>
      </c>
      <c r="D26" s="791" t="s">
        <v>65</v>
      </c>
      <c r="E26" s="792">
        <f t="shared" ref="E26:AI26" si="7">SUM(E27:E37)</f>
        <v>59943045.524840549</v>
      </c>
      <c r="F26" s="794">
        <f t="shared" si="7"/>
        <v>0</v>
      </c>
      <c r="G26" s="794">
        <f t="shared" si="7"/>
        <v>15265994.396185476</v>
      </c>
      <c r="H26" s="794">
        <f t="shared" si="7"/>
        <v>12202631.144960022</v>
      </c>
      <c r="I26" s="794">
        <f t="shared" si="7"/>
        <v>15717352.787605021</v>
      </c>
      <c r="J26" s="794">
        <f t="shared" si="7"/>
        <v>16757067.196090043</v>
      </c>
      <c r="K26" s="794">
        <f t="shared" si="7"/>
        <v>0</v>
      </c>
      <c r="L26" s="794">
        <f t="shared" si="7"/>
        <v>0</v>
      </c>
      <c r="M26" s="794">
        <f t="shared" si="7"/>
        <v>0</v>
      </c>
      <c r="N26" s="794">
        <f t="shared" si="7"/>
        <v>0</v>
      </c>
      <c r="O26" s="794">
        <f t="shared" si="7"/>
        <v>0</v>
      </c>
      <c r="P26" s="902">
        <f t="shared" si="7"/>
        <v>0</v>
      </c>
      <c r="Q26" s="794">
        <f t="shared" si="7"/>
        <v>0</v>
      </c>
      <c r="R26" s="794">
        <f t="shared" si="7"/>
        <v>0</v>
      </c>
      <c r="S26" s="794">
        <f t="shared" si="7"/>
        <v>0</v>
      </c>
      <c r="T26" s="794">
        <f t="shared" si="7"/>
        <v>0</v>
      </c>
      <c r="U26" s="794">
        <f t="shared" si="7"/>
        <v>0</v>
      </c>
      <c r="V26" s="794">
        <f t="shared" si="7"/>
        <v>0</v>
      </c>
      <c r="W26" s="794">
        <f t="shared" si="7"/>
        <v>0</v>
      </c>
      <c r="X26" s="794">
        <f t="shared" si="7"/>
        <v>0</v>
      </c>
      <c r="Y26" s="794">
        <f t="shared" si="7"/>
        <v>0</v>
      </c>
      <c r="Z26" s="902">
        <f t="shared" si="7"/>
        <v>0</v>
      </c>
      <c r="AA26" s="794">
        <f t="shared" si="7"/>
        <v>0</v>
      </c>
      <c r="AB26" s="794">
        <f t="shared" si="7"/>
        <v>0</v>
      </c>
      <c r="AC26" s="794">
        <f t="shared" si="7"/>
        <v>0</v>
      </c>
      <c r="AD26" s="794">
        <f t="shared" si="7"/>
        <v>0</v>
      </c>
      <c r="AE26" s="794">
        <f t="shared" si="7"/>
        <v>0</v>
      </c>
      <c r="AF26" s="794">
        <f t="shared" si="7"/>
        <v>0</v>
      </c>
      <c r="AG26" s="794">
        <f t="shared" si="7"/>
        <v>0</v>
      </c>
      <c r="AH26" s="794">
        <f t="shared" si="7"/>
        <v>0</v>
      </c>
      <c r="AI26" s="795">
        <f t="shared" si="7"/>
        <v>0</v>
      </c>
      <c r="AJ26" s="792">
        <f t="shared" si="1"/>
        <v>59943045.524840564</v>
      </c>
      <c r="AK26" s="822"/>
      <c r="AL26" s="796"/>
      <c r="AM26" s="797">
        <f t="shared" ref="AM26:AS26" si="8">G26/$E26</f>
        <v>0.25467498794099824</v>
      </c>
      <c r="AN26" s="797">
        <f t="shared" si="8"/>
        <v>0.20357042319284929</v>
      </c>
      <c r="AO26" s="797">
        <f t="shared" si="8"/>
        <v>0.26220477538285425</v>
      </c>
      <c r="AP26" s="797">
        <f t="shared" si="8"/>
        <v>0.27954981348329844</v>
      </c>
      <c r="AQ26" s="797">
        <f t="shared" si="8"/>
        <v>0</v>
      </c>
      <c r="AR26" s="797">
        <f t="shared" si="8"/>
        <v>0</v>
      </c>
      <c r="AS26" s="797">
        <f t="shared" si="8"/>
        <v>0</v>
      </c>
      <c r="AT26" s="797"/>
      <c r="AU26" s="797"/>
      <c r="AV26" s="797"/>
      <c r="AW26" s="797"/>
      <c r="AX26" s="797"/>
      <c r="AY26" s="797"/>
      <c r="AZ26" s="797"/>
      <c r="BA26" s="903"/>
      <c r="BB26" s="797"/>
      <c r="BC26" s="797"/>
      <c r="BD26" s="797"/>
      <c r="BE26" s="797"/>
      <c r="BF26" s="797"/>
      <c r="BG26" s="797"/>
      <c r="BH26" s="797"/>
      <c r="BI26" s="797"/>
      <c r="BJ26" s="797"/>
      <c r="BK26" s="797"/>
      <c r="BL26" s="797"/>
      <c r="BM26" s="797"/>
      <c r="BN26" s="797"/>
      <c r="BO26" s="797"/>
      <c r="BP26" s="798">
        <f t="shared" si="3"/>
        <v>1.0000000000000002</v>
      </c>
      <c r="BQ26" s="175"/>
      <c r="BR26" s="508"/>
      <c r="BS26" s="502"/>
      <c r="BT26" s="184">
        <v>1.52</v>
      </c>
      <c r="BU26" s="175"/>
      <c r="BV26" s="175"/>
      <c r="BW26" s="175"/>
      <c r="BX26" s="175"/>
      <c r="BY26" s="175"/>
      <c r="BZ26" s="175"/>
      <c r="CA26" s="175"/>
      <c r="CB26" s="175"/>
      <c r="CC26" s="175"/>
      <c r="CD26" s="175"/>
      <c r="CE26" s="175"/>
      <c r="CF26" s="175"/>
      <c r="CG26" s="175"/>
      <c r="CH26" s="175"/>
      <c r="CI26" s="175"/>
      <c r="CJ26" s="175"/>
      <c r="CK26" s="175"/>
      <c r="CL26" s="175"/>
      <c r="CM26" s="175"/>
      <c r="CN26" s="175"/>
      <c r="CO26" s="175"/>
      <c r="CP26" s="175"/>
      <c r="CQ26" s="175"/>
      <c r="CR26" s="175"/>
      <c r="CS26" s="175"/>
      <c r="CT26" s="175"/>
      <c r="CU26" s="175"/>
      <c r="CV26" s="175"/>
      <c r="CW26" s="175"/>
      <c r="CX26" s="175"/>
      <c r="CY26" s="175"/>
      <c r="CZ26" s="175"/>
      <c r="DA26" s="175"/>
      <c r="DB26" s="175"/>
      <c r="DC26" s="175"/>
      <c r="DD26" s="175"/>
      <c r="DE26" s="175"/>
      <c r="DF26" s="175"/>
      <c r="DG26" s="175"/>
      <c r="DH26" s="175"/>
      <c r="DI26" s="175"/>
      <c r="DJ26" s="175"/>
      <c r="DK26" s="175"/>
      <c r="DL26" s="175"/>
      <c r="DM26" s="175"/>
      <c r="DN26" s="175"/>
      <c r="DO26" s="175"/>
      <c r="DP26" s="175"/>
      <c r="DQ26" s="175"/>
      <c r="DR26" s="175"/>
      <c r="DS26" s="175"/>
      <c r="DT26" s="175"/>
      <c r="DU26" s="175"/>
      <c r="DV26" s="175"/>
      <c r="DW26" s="175"/>
      <c r="DX26" s="175"/>
      <c r="DY26" s="175"/>
      <c r="DZ26" s="175"/>
      <c r="EA26" s="175"/>
      <c r="EB26" s="175"/>
      <c r="EC26" s="175"/>
      <c r="ED26" s="175"/>
      <c r="EE26" s="175"/>
      <c r="EF26" s="175"/>
      <c r="EG26" s="175"/>
      <c r="EH26" s="175"/>
      <c r="EI26" s="175"/>
      <c r="EJ26" s="175"/>
      <c r="EK26" s="175"/>
      <c r="EL26" s="175"/>
      <c r="EM26" s="175"/>
      <c r="EN26" s="175"/>
      <c r="EO26" s="175"/>
      <c r="EP26" s="175"/>
      <c r="EQ26" s="175"/>
      <c r="ER26" s="175"/>
      <c r="ES26" s="175"/>
      <c r="ET26" s="175"/>
      <c r="EU26" s="175"/>
      <c r="EV26" s="175"/>
      <c r="EW26" s="175"/>
      <c r="EX26" s="175"/>
      <c r="EY26" s="175"/>
      <c r="EZ26" s="175"/>
      <c r="FA26" s="175"/>
      <c r="FB26" s="175"/>
      <c r="FC26" s="175"/>
      <c r="FD26" s="175"/>
      <c r="FE26" s="175"/>
      <c r="FF26" s="175"/>
      <c r="FG26" s="175"/>
      <c r="FH26" s="175"/>
      <c r="FI26" s="175"/>
      <c r="FJ26" s="175"/>
      <c r="FK26" s="175"/>
      <c r="FL26" s="175"/>
      <c r="FM26" s="175"/>
      <c r="FN26" s="175"/>
      <c r="FO26" s="175"/>
      <c r="FP26" s="175"/>
      <c r="FQ26" s="175"/>
      <c r="FR26" s="175"/>
      <c r="FS26" s="175"/>
      <c r="FT26" s="175"/>
      <c r="FU26" s="175"/>
      <c r="FV26" s="175"/>
      <c r="FW26" s="175"/>
      <c r="FX26" s="175"/>
      <c r="FY26" s="175"/>
      <c r="FZ26" s="175"/>
      <c r="GA26" s="175"/>
      <c r="GB26" s="175"/>
      <c r="GC26" s="175"/>
      <c r="GD26" s="175"/>
      <c r="GE26" s="175"/>
      <c r="GF26" s="175"/>
      <c r="GG26" s="175"/>
      <c r="GH26" s="175"/>
      <c r="GI26" s="175"/>
      <c r="GJ26" s="175"/>
      <c r="GK26" s="175"/>
      <c r="GL26" s="175"/>
      <c r="GM26" s="175"/>
      <c r="GN26" s="175"/>
      <c r="GO26" s="175"/>
      <c r="GP26" s="175"/>
      <c r="GQ26" s="175"/>
      <c r="GR26" s="175"/>
      <c r="GS26" s="175"/>
      <c r="GT26" s="175"/>
      <c r="GU26" s="175"/>
      <c r="GV26" s="175"/>
      <c r="GW26" s="175"/>
      <c r="GX26" s="175"/>
      <c r="GY26" s="175"/>
      <c r="GZ26" s="175"/>
      <c r="HA26" s="175"/>
      <c r="HB26" s="175"/>
      <c r="HC26" s="175"/>
      <c r="HD26" s="175"/>
      <c r="HE26" s="175"/>
      <c r="HF26" s="175"/>
      <c r="HG26" s="175"/>
      <c r="HH26" s="175"/>
      <c r="HI26" s="175"/>
      <c r="HJ26" s="175"/>
      <c r="HK26" s="175"/>
      <c r="HL26" s="175"/>
      <c r="HM26" s="175"/>
      <c r="HN26" s="175"/>
      <c r="HO26" s="175"/>
      <c r="HP26" s="175"/>
      <c r="HQ26" s="175"/>
      <c r="HR26" s="175"/>
      <c r="HS26" s="175"/>
      <c r="HT26" s="175"/>
      <c r="HU26" s="175"/>
      <c r="HV26" s="175"/>
      <c r="HW26" s="175"/>
      <c r="HX26" s="175"/>
      <c r="HY26" s="175"/>
      <c r="HZ26" s="175"/>
      <c r="IA26" s="175"/>
      <c r="IB26" s="175"/>
      <c r="IC26" s="175"/>
      <c r="ID26" s="175"/>
      <c r="IE26" s="175"/>
      <c r="IF26" s="175"/>
      <c r="IG26" s="175"/>
      <c r="IH26" s="175"/>
      <c r="II26" s="175"/>
      <c r="IJ26" s="175"/>
      <c r="IK26" s="175"/>
      <c r="IL26" s="175"/>
      <c r="IM26" s="175"/>
      <c r="IN26" s="175"/>
      <c r="IO26" s="175"/>
      <c r="IP26" s="175"/>
      <c r="IQ26" s="175"/>
      <c r="IR26" s="175"/>
      <c r="IS26" s="175"/>
      <c r="IT26" s="175"/>
      <c r="IU26" s="175"/>
      <c r="IV26" s="175"/>
      <c r="IW26" s="175"/>
      <c r="IX26" s="175"/>
      <c r="IY26" s="175"/>
      <c r="IZ26" s="175"/>
      <c r="JA26" s="175"/>
      <c r="JB26" s="175"/>
      <c r="JC26" s="175"/>
      <c r="JD26" s="175"/>
      <c r="JE26" s="175"/>
    </row>
    <row r="27" spans="2:265" ht="15">
      <c r="B27" s="176" t="s">
        <v>42</v>
      </c>
      <c r="C27" s="189" t="s">
        <v>66</v>
      </c>
      <c r="D27" s="190" t="s">
        <v>44</v>
      </c>
      <c r="E27" s="191">
        <f t="shared" ref="E27:E34" si="9">BS27</f>
        <v>42316524.809366018</v>
      </c>
      <c r="F27" s="894"/>
      <c r="G27" s="894">
        <f t="shared" ref="G27:J32" si="10">$E27*AM27</f>
        <v>10190977.838088831</v>
      </c>
      <c r="H27" s="894">
        <f t="shared" si="10"/>
        <v>8774442.1379044577</v>
      </c>
      <c r="I27" s="894">
        <f t="shared" si="10"/>
        <v>11301743.120608227</v>
      </c>
      <c r="J27" s="894">
        <f t="shared" si="10"/>
        <v>12049361.712764507</v>
      </c>
      <c r="K27" s="894"/>
      <c r="L27" s="894"/>
      <c r="M27" s="894"/>
      <c r="N27" s="894"/>
      <c r="O27" s="894"/>
      <c r="P27" s="894"/>
      <c r="Q27" s="894"/>
      <c r="R27" s="894"/>
      <c r="S27" s="894"/>
      <c r="T27" s="894"/>
      <c r="U27" s="894"/>
      <c r="V27" s="894"/>
      <c r="W27" s="894"/>
      <c r="X27" s="894"/>
      <c r="Y27" s="894"/>
      <c r="Z27" s="894"/>
      <c r="AA27" s="894"/>
      <c r="AB27" s="894"/>
      <c r="AC27" s="894"/>
      <c r="AD27" s="894"/>
      <c r="AE27" s="894"/>
      <c r="AF27" s="894"/>
      <c r="AG27" s="894"/>
      <c r="AH27" s="894"/>
      <c r="AI27" s="894"/>
      <c r="AJ27" s="197">
        <f t="shared" si="1"/>
        <v>42316524.809366025</v>
      </c>
      <c r="AL27" s="895"/>
      <c r="AM27" s="895">
        <v>0.24082738088722347</v>
      </c>
      <c r="AN27" s="895">
        <v>0.20735261644080918</v>
      </c>
      <c r="AO27" s="895">
        <v>0.26707635306826483</v>
      </c>
      <c r="AP27" s="895">
        <v>0.28474364960370263</v>
      </c>
      <c r="AQ27" s="895"/>
      <c r="AR27" s="895"/>
      <c r="AS27" s="895"/>
      <c r="AT27" s="895"/>
      <c r="AU27" s="895"/>
      <c r="AV27" s="895"/>
      <c r="AW27" s="895"/>
      <c r="AX27" s="895"/>
      <c r="AY27" s="895"/>
      <c r="AZ27" s="895"/>
      <c r="BA27" s="895"/>
      <c r="BB27" s="895"/>
      <c r="BC27" s="895"/>
      <c r="BD27" s="895"/>
      <c r="BE27" s="895"/>
      <c r="BF27" s="895"/>
      <c r="BG27" s="895"/>
      <c r="BH27" s="895"/>
      <c r="BI27" s="895"/>
      <c r="BJ27" s="895"/>
      <c r="BK27" s="895"/>
      <c r="BL27" s="895"/>
      <c r="BM27" s="895"/>
      <c r="BN27" s="895"/>
      <c r="BO27" s="895"/>
      <c r="BP27" s="193">
        <f t="shared" si="3"/>
        <v>1</v>
      </c>
      <c r="BR27" s="508">
        <f>BW27/1.25*1.2</f>
        <v>176802712.07399997</v>
      </c>
      <c r="BS27" s="502">
        <f>(BR27/$BT$28*$BT$27)*$BT$26</f>
        <v>42316524.809366018</v>
      </c>
      <c r="BT27" s="175">
        <v>74.989999999999995</v>
      </c>
      <c r="BU27" s="175" t="s">
        <v>45</v>
      </c>
      <c r="BW27" s="175">
        <v>184169491.74374998</v>
      </c>
    </row>
    <row r="28" spans="2:265" ht="15">
      <c r="B28" s="176" t="s">
        <v>42</v>
      </c>
      <c r="C28" s="194" t="s">
        <v>67</v>
      </c>
      <c r="D28" s="195" t="s">
        <v>47</v>
      </c>
      <c r="E28" s="196">
        <f t="shared" si="9"/>
        <v>1814048.9507801593</v>
      </c>
      <c r="F28" s="894"/>
      <c r="G28" s="894">
        <f t="shared" si="10"/>
        <v>436872.65761760151</v>
      </c>
      <c r="H28" s="894">
        <f t="shared" si="10"/>
        <v>376147.79629597074</v>
      </c>
      <c r="I28" s="894">
        <f t="shared" si="10"/>
        <v>484489.57806167722</v>
      </c>
      <c r="J28" s="894">
        <f t="shared" si="10"/>
        <v>516538.91880491009</v>
      </c>
      <c r="K28" s="894">
        <f>$E28*AQ28</f>
        <v>0</v>
      </c>
      <c r="L28" s="894">
        <f>$E28*AR28</f>
        <v>0</v>
      </c>
      <c r="M28" s="894"/>
      <c r="N28" s="894"/>
      <c r="O28" s="894"/>
      <c r="P28" s="894"/>
      <c r="Q28" s="894"/>
      <c r="R28" s="894"/>
      <c r="S28" s="894"/>
      <c r="T28" s="894"/>
      <c r="U28" s="894"/>
      <c r="V28" s="894"/>
      <c r="W28" s="894"/>
      <c r="X28" s="894"/>
      <c r="Y28" s="894"/>
      <c r="Z28" s="894"/>
      <c r="AA28" s="894"/>
      <c r="AB28" s="894"/>
      <c r="AC28" s="894"/>
      <c r="AD28" s="894"/>
      <c r="AE28" s="894"/>
      <c r="AF28" s="894"/>
      <c r="AG28" s="894"/>
      <c r="AH28" s="894"/>
      <c r="AI28" s="894"/>
      <c r="AJ28" s="192">
        <f t="shared" si="1"/>
        <v>1814048.9507801596</v>
      </c>
      <c r="AL28" s="895"/>
      <c r="AM28" s="895">
        <v>0.24082738088722347</v>
      </c>
      <c r="AN28" s="895">
        <v>0.20735261644080918</v>
      </c>
      <c r="AO28" s="895">
        <v>0.26707635306826483</v>
      </c>
      <c r="AP28" s="895">
        <v>0.28474364960370263</v>
      </c>
      <c r="AQ28" s="895"/>
      <c r="AR28" s="895"/>
      <c r="AS28" s="895"/>
      <c r="AT28" s="895"/>
      <c r="AU28" s="895"/>
      <c r="AV28" s="895"/>
      <c r="AW28" s="895"/>
      <c r="AX28" s="895"/>
      <c r="AY28" s="895"/>
      <c r="AZ28" s="895"/>
      <c r="BA28" s="895"/>
      <c r="BB28" s="895"/>
      <c r="BC28" s="895"/>
      <c r="BD28" s="895"/>
      <c r="BE28" s="895"/>
      <c r="BF28" s="895"/>
      <c r="BG28" s="895"/>
      <c r="BH28" s="895"/>
      <c r="BI28" s="895"/>
      <c r="BJ28" s="895"/>
      <c r="BK28" s="895"/>
      <c r="BL28" s="895"/>
      <c r="BM28" s="895"/>
      <c r="BN28" s="895"/>
      <c r="BO28" s="895"/>
      <c r="BP28" s="199">
        <f t="shared" si="3"/>
        <v>1</v>
      </c>
      <c r="BR28" s="508">
        <f t="shared" ref="BR28:BR33" si="11">BW28/1.25*1.2</f>
        <v>7579279.6260513961</v>
      </c>
      <c r="BS28" s="502">
        <f t="shared" ref="BS28:BS33" si="12">(BR28/$BT$28*$BT$27)*$BT$26</f>
        <v>1814048.9507801593</v>
      </c>
      <c r="BT28" s="175">
        <v>476.24</v>
      </c>
      <c r="BU28" s="513" t="s">
        <v>48</v>
      </c>
      <c r="BV28" s="502"/>
      <c r="BW28" s="502">
        <v>7895082.9438035376</v>
      </c>
      <c r="BY28" s="502"/>
      <c r="CA28" s="527"/>
      <c r="CB28" s="527"/>
    </row>
    <row r="29" spans="2:265" ht="15">
      <c r="B29" s="176" t="s">
        <v>42</v>
      </c>
      <c r="C29" s="194" t="s">
        <v>68</v>
      </c>
      <c r="D29" s="195" t="s">
        <v>50</v>
      </c>
      <c r="E29" s="196">
        <f t="shared" si="9"/>
        <v>758608.78998333879</v>
      </c>
      <c r="F29" s="894"/>
      <c r="G29" s="894">
        <f t="shared" si="10"/>
        <v>182693.76800971324</v>
      </c>
      <c r="H29" s="894">
        <f t="shared" si="10"/>
        <v>157299.51745804161</v>
      </c>
      <c r="I29" s="894">
        <f t="shared" si="10"/>
        <v>202606.46903427935</v>
      </c>
      <c r="J29" s="894">
        <f t="shared" si="10"/>
        <v>216009.03548130466</v>
      </c>
      <c r="K29" s="894"/>
      <c r="L29" s="894"/>
      <c r="M29" s="894"/>
      <c r="N29" s="894"/>
      <c r="O29" s="894"/>
      <c r="P29" s="894"/>
      <c r="Q29" s="894"/>
      <c r="R29" s="894"/>
      <c r="S29" s="894"/>
      <c r="T29" s="894"/>
      <c r="U29" s="894"/>
      <c r="V29" s="894"/>
      <c r="W29" s="894"/>
      <c r="X29" s="894"/>
      <c r="Y29" s="894"/>
      <c r="Z29" s="894"/>
      <c r="AA29" s="894"/>
      <c r="AB29" s="894"/>
      <c r="AC29" s="894"/>
      <c r="AD29" s="894"/>
      <c r="AE29" s="894"/>
      <c r="AF29" s="894"/>
      <c r="AG29" s="894"/>
      <c r="AH29" s="894"/>
      <c r="AI29" s="894"/>
      <c r="AJ29" s="192">
        <f t="shared" si="1"/>
        <v>758608.78998333879</v>
      </c>
      <c r="AL29" s="895"/>
      <c r="AM29" s="895">
        <v>0.24082738088722347</v>
      </c>
      <c r="AN29" s="895">
        <v>0.20735261644080918</v>
      </c>
      <c r="AO29" s="895">
        <v>0.26707635306826483</v>
      </c>
      <c r="AP29" s="895">
        <v>0.28474364960370263</v>
      </c>
      <c r="AQ29" s="895"/>
      <c r="AR29" s="895"/>
      <c r="AS29" s="895"/>
      <c r="AT29" s="895"/>
      <c r="AU29" s="895"/>
      <c r="AV29" s="895"/>
      <c r="AW29" s="895"/>
      <c r="AX29" s="895"/>
      <c r="AY29" s="895"/>
      <c r="AZ29" s="895"/>
      <c r="BA29" s="895"/>
      <c r="BB29" s="895"/>
      <c r="BC29" s="895"/>
      <c r="BD29" s="895"/>
      <c r="BE29" s="895"/>
      <c r="BF29" s="895"/>
      <c r="BG29" s="895"/>
      <c r="BH29" s="895"/>
      <c r="BI29" s="895"/>
      <c r="BJ29" s="895"/>
      <c r="BK29" s="895"/>
      <c r="BL29" s="895"/>
      <c r="BM29" s="895"/>
      <c r="BN29" s="895"/>
      <c r="BO29" s="895"/>
      <c r="BP29" s="199">
        <f t="shared" si="3"/>
        <v>1</v>
      </c>
      <c r="BR29" s="508">
        <f t="shared" si="11"/>
        <v>3169544.0983505282</v>
      </c>
      <c r="BS29" s="502">
        <f t="shared" si="12"/>
        <v>758608.78998333879</v>
      </c>
      <c r="BU29" s="513"/>
      <c r="BV29" s="502"/>
      <c r="BW29" s="502">
        <v>3301608.4357818002</v>
      </c>
      <c r="BY29" s="502"/>
      <c r="CA29" s="527"/>
      <c r="CB29" s="527"/>
    </row>
    <row r="30" spans="2:265" ht="15">
      <c r="B30" s="176" t="s">
        <v>42</v>
      </c>
      <c r="C30" s="194" t="s">
        <v>69</v>
      </c>
      <c r="D30" s="195" t="s">
        <v>52</v>
      </c>
      <c r="E30" s="196">
        <f t="shared" si="9"/>
        <v>2442541.5207761978</v>
      </c>
      <c r="F30" s="894"/>
      <c r="G30" s="894">
        <f t="shared" si="10"/>
        <v>588230.87715682748</v>
      </c>
      <c r="H30" s="894">
        <f t="shared" si="10"/>
        <v>506467.37509825767</v>
      </c>
      <c r="I30" s="894">
        <f t="shared" si="10"/>
        <v>652345.08158672031</v>
      </c>
      <c r="J30" s="894">
        <f t="shared" si="10"/>
        <v>695498.18693439267</v>
      </c>
      <c r="K30" s="894"/>
      <c r="L30" s="894"/>
      <c r="M30" s="894"/>
      <c r="N30" s="894"/>
      <c r="O30" s="894"/>
      <c r="P30" s="894"/>
      <c r="Q30" s="894"/>
      <c r="R30" s="894"/>
      <c r="S30" s="894"/>
      <c r="T30" s="894"/>
      <c r="U30" s="894"/>
      <c r="V30" s="894"/>
      <c r="W30" s="894"/>
      <c r="X30" s="894"/>
      <c r="Y30" s="894"/>
      <c r="Z30" s="894"/>
      <c r="AA30" s="894"/>
      <c r="AB30" s="894"/>
      <c r="AC30" s="894"/>
      <c r="AD30" s="894"/>
      <c r="AE30" s="894"/>
      <c r="AF30" s="894"/>
      <c r="AG30" s="894"/>
      <c r="AH30" s="894"/>
      <c r="AI30" s="894"/>
      <c r="AJ30" s="192">
        <f t="shared" si="1"/>
        <v>2442541.5207761982</v>
      </c>
      <c r="AL30" s="895"/>
      <c r="AM30" s="895">
        <v>0.24082738088722347</v>
      </c>
      <c r="AN30" s="895">
        <v>0.20735261644080918</v>
      </c>
      <c r="AO30" s="895">
        <v>0.26707635306826483</v>
      </c>
      <c r="AP30" s="895">
        <v>0.28474364960370263</v>
      </c>
      <c r="AQ30" s="895"/>
      <c r="AR30" s="895"/>
      <c r="AS30" s="895"/>
      <c r="AT30" s="895"/>
      <c r="AU30" s="895"/>
      <c r="AV30" s="895"/>
      <c r="AW30" s="895"/>
      <c r="AX30" s="895"/>
      <c r="AY30" s="895"/>
      <c r="AZ30" s="895"/>
      <c r="BA30" s="895"/>
      <c r="BB30" s="895"/>
      <c r="BC30" s="895"/>
      <c r="BD30" s="895"/>
      <c r="BE30" s="895"/>
      <c r="BF30" s="895"/>
      <c r="BG30" s="895"/>
      <c r="BH30" s="895"/>
      <c r="BI30" s="895"/>
      <c r="BJ30" s="895"/>
      <c r="BK30" s="895"/>
      <c r="BL30" s="895"/>
      <c r="BM30" s="895"/>
      <c r="BN30" s="895"/>
      <c r="BO30" s="895"/>
      <c r="BP30" s="199">
        <f t="shared" si="3"/>
        <v>1</v>
      </c>
      <c r="BR30" s="508">
        <f t="shared" si="11"/>
        <v>10205185.023393089</v>
      </c>
      <c r="BS30" s="502">
        <f t="shared" si="12"/>
        <v>2442541.5207761978</v>
      </c>
      <c r="BU30" s="513"/>
      <c r="BV30" s="502"/>
      <c r="BW30" s="502">
        <v>10630401.06603447</v>
      </c>
      <c r="BY30" s="502"/>
      <c r="CA30" s="527"/>
      <c r="CB30" s="527"/>
    </row>
    <row r="31" spans="2:265" ht="15">
      <c r="B31" s="176" t="s">
        <v>42</v>
      </c>
      <c r="C31" s="194" t="s">
        <v>70</v>
      </c>
      <c r="D31" s="195" t="s">
        <v>54</v>
      </c>
      <c r="E31" s="196">
        <f t="shared" si="9"/>
        <v>2889848.9617545344</v>
      </c>
      <c r="F31" s="894"/>
      <c r="G31" s="894">
        <f t="shared" si="10"/>
        <v>695954.75661900651</v>
      </c>
      <c r="H31" s="894">
        <f t="shared" si="10"/>
        <v>599217.74333855859</v>
      </c>
      <c r="I31" s="894">
        <f t="shared" si="10"/>
        <v>771810.32162351254</v>
      </c>
      <c r="J31" s="894">
        <f t="shared" si="10"/>
        <v>822866.14017345698</v>
      </c>
      <c r="K31" s="894"/>
      <c r="L31" s="894"/>
      <c r="M31" s="894"/>
      <c r="N31" s="894"/>
      <c r="O31" s="894"/>
      <c r="P31" s="894"/>
      <c r="Q31" s="894"/>
      <c r="R31" s="894"/>
      <c r="S31" s="894"/>
      <c r="T31" s="894"/>
      <c r="U31" s="894"/>
      <c r="V31" s="894"/>
      <c r="W31" s="894"/>
      <c r="X31" s="894"/>
      <c r="Y31" s="894"/>
      <c r="Z31" s="894"/>
      <c r="AA31" s="894"/>
      <c r="AB31" s="894"/>
      <c r="AC31" s="894"/>
      <c r="AD31" s="894"/>
      <c r="AE31" s="894"/>
      <c r="AF31" s="894"/>
      <c r="AG31" s="894"/>
      <c r="AH31" s="894"/>
      <c r="AI31" s="894"/>
      <c r="AJ31" s="192">
        <f t="shared" si="1"/>
        <v>2889848.9617545349</v>
      </c>
      <c r="AL31" s="895"/>
      <c r="AM31" s="895">
        <v>0.24082738088722347</v>
      </c>
      <c r="AN31" s="895">
        <v>0.20735261644080918</v>
      </c>
      <c r="AO31" s="895">
        <v>0.26707635306826483</v>
      </c>
      <c r="AP31" s="895">
        <v>0.28474364960370263</v>
      </c>
      <c r="AQ31" s="895"/>
      <c r="AR31" s="895"/>
      <c r="AS31" s="895"/>
      <c r="AT31" s="895"/>
      <c r="AU31" s="895"/>
      <c r="AV31" s="895"/>
      <c r="AW31" s="895"/>
      <c r="AX31" s="895"/>
      <c r="AY31" s="895"/>
      <c r="AZ31" s="895"/>
      <c r="BA31" s="895"/>
      <c r="BB31" s="895"/>
      <c r="BC31" s="895"/>
      <c r="BD31" s="895"/>
      <c r="BE31" s="895"/>
      <c r="BF31" s="895"/>
      <c r="BG31" s="895"/>
      <c r="BH31" s="895"/>
      <c r="BI31" s="895"/>
      <c r="BJ31" s="895"/>
      <c r="BK31" s="895"/>
      <c r="BL31" s="895"/>
      <c r="BM31" s="895"/>
      <c r="BN31" s="895"/>
      <c r="BO31" s="895"/>
      <c r="BP31" s="199">
        <f t="shared" si="3"/>
        <v>1</v>
      </c>
      <c r="BR31" s="508">
        <f t="shared" si="11"/>
        <v>12074080.662912771</v>
      </c>
      <c r="BS31" s="502">
        <f t="shared" si="12"/>
        <v>2889848.9617545344</v>
      </c>
      <c r="BU31" s="513"/>
      <c r="BV31" s="502"/>
      <c r="BW31" s="528">
        <v>12577167.357200803</v>
      </c>
      <c r="BY31" s="502"/>
      <c r="CA31" s="527"/>
      <c r="CB31" s="527"/>
    </row>
    <row r="32" spans="2:265" ht="15">
      <c r="B32" s="176" t="s">
        <v>42</v>
      </c>
      <c r="C32" s="194" t="s">
        <v>71</v>
      </c>
      <c r="D32" s="195" t="s">
        <v>56</v>
      </c>
      <c r="E32" s="196">
        <f t="shared" si="9"/>
        <v>4396435.2932798211</v>
      </c>
      <c r="F32" s="894"/>
      <c r="G32" s="894">
        <f t="shared" si="10"/>
        <v>1058781.9969207314</v>
      </c>
      <c r="H32" s="894">
        <f t="shared" si="10"/>
        <v>911612.36107428721</v>
      </c>
      <c r="I32" s="894">
        <f t="shared" si="10"/>
        <v>1174183.9046297818</v>
      </c>
      <c r="J32" s="894">
        <f t="shared" si="10"/>
        <v>1251857.0306550211</v>
      </c>
      <c r="K32" s="894"/>
      <c r="L32" s="894"/>
      <c r="M32" s="894"/>
      <c r="N32" s="894"/>
      <c r="O32" s="894"/>
      <c r="P32" s="894"/>
      <c r="Q32" s="894"/>
      <c r="R32" s="894"/>
      <c r="S32" s="894"/>
      <c r="T32" s="894"/>
      <c r="U32" s="894"/>
      <c r="V32" s="894"/>
      <c r="W32" s="894"/>
      <c r="X32" s="894"/>
      <c r="Y32" s="894"/>
      <c r="Z32" s="894"/>
      <c r="AA32" s="894"/>
      <c r="AB32" s="894"/>
      <c r="AC32" s="894"/>
      <c r="AD32" s="894"/>
      <c r="AE32" s="894"/>
      <c r="AF32" s="894"/>
      <c r="AG32" s="894"/>
      <c r="AH32" s="894"/>
      <c r="AI32" s="894"/>
      <c r="AJ32" s="192">
        <f t="shared" si="1"/>
        <v>4396435.2932798211</v>
      </c>
      <c r="AL32" s="895"/>
      <c r="AM32" s="895">
        <v>0.24082738088722347</v>
      </c>
      <c r="AN32" s="895">
        <v>0.20735261644080918</v>
      </c>
      <c r="AO32" s="895">
        <v>0.26707635306826483</v>
      </c>
      <c r="AP32" s="895">
        <v>0.28474364960370263</v>
      </c>
      <c r="AQ32" s="895"/>
      <c r="AR32" s="895"/>
      <c r="AS32" s="895"/>
      <c r="AT32" s="895"/>
      <c r="AU32" s="895"/>
      <c r="AV32" s="895"/>
      <c r="AW32" s="895"/>
      <c r="AX32" s="895"/>
      <c r="AY32" s="895"/>
      <c r="AZ32" s="895"/>
      <c r="BA32" s="895"/>
      <c r="BB32" s="895"/>
      <c r="BC32" s="895"/>
      <c r="BD32" s="895"/>
      <c r="BE32" s="895"/>
      <c r="BF32" s="895"/>
      <c r="BG32" s="895"/>
      <c r="BH32" s="895"/>
      <c r="BI32" s="895"/>
      <c r="BJ32" s="895"/>
      <c r="BK32" s="895"/>
      <c r="BL32" s="895"/>
      <c r="BM32" s="895"/>
      <c r="BN32" s="895"/>
      <c r="BO32" s="895"/>
      <c r="BP32" s="199">
        <f t="shared" si="3"/>
        <v>1</v>
      </c>
      <c r="BR32" s="508">
        <f t="shared" si="11"/>
        <v>18368750.430509876</v>
      </c>
      <c r="BS32" s="502">
        <f t="shared" si="12"/>
        <v>4396435.2932798211</v>
      </c>
      <c r="BU32" s="513"/>
      <c r="BV32" s="502"/>
      <c r="BW32" s="528">
        <v>19134115.031781122</v>
      </c>
      <c r="BY32" s="502"/>
      <c r="CA32" s="527"/>
      <c r="CB32" s="527"/>
    </row>
    <row r="33" spans="2:87" ht="15">
      <c r="B33" s="176" t="s">
        <v>42</v>
      </c>
      <c r="C33" s="194" t="s">
        <v>72</v>
      </c>
      <c r="D33" s="200" t="s">
        <v>58</v>
      </c>
      <c r="E33" s="196">
        <f t="shared" si="9"/>
        <v>1093384.7179638841</v>
      </c>
      <c r="F33" s="894"/>
      <c r="G33" s="894">
        <f t="shared" ref="G33" si="13">$E33*AM33</f>
        <v>1093384.7179638841</v>
      </c>
      <c r="H33" s="894">
        <f t="shared" ref="H33" si="14">$E33*AN33</f>
        <v>0</v>
      </c>
      <c r="I33" s="894">
        <f t="shared" ref="I33" si="15">$E33*AO33</f>
        <v>0</v>
      </c>
      <c r="J33" s="894">
        <f t="shared" ref="J33" si="16">$E33*AP33</f>
        <v>0</v>
      </c>
      <c r="K33" s="894"/>
      <c r="L33" s="894"/>
      <c r="M33" s="894"/>
      <c r="N33" s="894"/>
      <c r="O33" s="894"/>
      <c r="P33" s="894"/>
      <c r="Q33" s="894"/>
      <c r="R33" s="894"/>
      <c r="S33" s="894"/>
      <c r="T33" s="894"/>
      <c r="U33" s="894"/>
      <c r="V33" s="894"/>
      <c r="W33" s="894"/>
      <c r="X33" s="894"/>
      <c r="Y33" s="894"/>
      <c r="Z33" s="894"/>
      <c r="AA33" s="894"/>
      <c r="AB33" s="894"/>
      <c r="AC33" s="894"/>
      <c r="AD33" s="894"/>
      <c r="AE33" s="894"/>
      <c r="AF33" s="894"/>
      <c r="AG33" s="894"/>
      <c r="AH33" s="894"/>
      <c r="AI33" s="894"/>
      <c r="AJ33" s="192">
        <f t="shared" si="1"/>
        <v>1093384.7179638841</v>
      </c>
      <c r="AL33" s="895"/>
      <c r="AM33" s="895">
        <v>1</v>
      </c>
      <c r="AN33" s="895"/>
      <c r="AO33" s="895"/>
      <c r="AP33" s="895"/>
      <c r="AQ33" s="895"/>
      <c r="AR33" s="895"/>
      <c r="AS33" s="895"/>
      <c r="AT33" s="895"/>
      <c r="AU33" s="895"/>
      <c r="AV33" s="895"/>
      <c r="AW33" s="895"/>
      <c r="AX33" s="895"/>
      <c r="AY33" s="895"/>
      <c r="AZ33" s="895"/>
      <c r="BA33" s="895"/>
      <c r="BB33" s="895"/>
      <c r="BC33" s="895"/>
      <c r="BD33" s="895"/>
      <c r="BE33" s="895"/>
      <c r="BF33" s="895"/>
      <c r="BG33" s="895"/>
      <c r="BH33" s="895"/>
      <c r="BI33" s="895"/>
      <c r="BJ33" s="895"/>
      <c r="BK33" s="895"/>
      <c r="BL33" s="895"/>
      <c r="BM33" s="895"/>
      <c r="BN33" s="895"/>
      <c r="BO33" s="895"/>
      <c r="BP33" s="199">
        <f t="shared" si="3"/>
        <v>1</v>
      </c>
      <c r="BR33" s="508">
        <f t="shared" si="11"/>
        <v>4568271.7176599009</v>
      </c>
      <c r="BS33" s="502">
        <f t="shared" si="12"/>
        <v>1093384.7179638841</v>
      </c>
      <c r="BU33" s="513"/>
      <c r="BV33" s="502"/>
      <c r="BW33" s="502">
        <v>4758616.3725623963</v>
      </c>
      <c r="BY33" s="502"/>
      <c r="CA33" s="527"/>
      <c r="CB33" s="527"/>
    </row>
    <row r="34" spans="2:87" ht="15">
      <c r="B34" s="176" t="s">
        <v>42</v>
      </c>
      <c r="C34" s="194" t="s">
        <v>73</v>
      </c>
      <c r="D34" s="200" t="s">
        <v>60</v>
      </c>
      <c r="E34" s="196">
        <f t="shared" si="9"/>
        <v>4231652.4809366018</v>
      </c>
      <c r="F34" s="894"/>
      <c r="G34" s="894">
        <f>$E34*AM34</f>
        <v>1019097.7838088832</v>
      </c>
      <c r="H34" s="894">
        <f t="shared" ref="H34:J37" si="17">$E34*AN34</f>
        <v>877444.21379044582</v>
      </c>
      <c r="I34" s="894">
        <f t="shared" si="17"/>
        <v>1130174.3120608227</v>
      </c>
      <c r="J34" s="894">
        <f t="shared" si="17"/>
        <v>1204936.1712764506</v>
      </c>
      <c r="K34" s="894"/>
      <c r="L34" s="894"/>
      <c r="M34" s="894"/>
      <c r="N34" s="894"/>
      <c r="O34" s="894"/>
      <c r="P34" s="894"/>
      <c r="Q34" s="894"/>
      <c r="R34" s="894"/>
      <c r="S34" s="894"/>
      <c r="T34" s="894"/>
      <c r="U34" s="894"/>
      <c r="V34" s="894"/>
      <c r="W34" s="894"/>
      <c r="X34" s="894"/>
      <c r="Y34" s="894"/>
      <c r="Z34" s="894"/>
      <c r="AA34" s="894"/>
      <c r="AB34" s="894"/>
      <c r="AC34" s="894"/>
      <c r="AD34" s="894"/>
      <c r="AE34" s="894"/>
      <c r="AF34" s="894"/>
      <c r="AG34" s="894"/>
      <c r="AH34" s="894"/>
      <c r="AI34" s="894"/>
      <c r="AJ34" s="192">
        <f t="shared" si="1"/>
        <v>4231652.4809366018</v>
      </c>
      <c r="AL34" s="895"/>
      <c r="AM34" s="895">
        <v>0.24082738088722347</v>
      </c>
      <c r="AN34" s="895">
        <v>0.20735261644080918</v>
      </c>
      <c r="AO34" s="895">
        <v>0.26707635306826483</v>
      </c>
      <c r="AP34" s="895">
        <v>0.28474364960370263</v>
      </c>
      <c r="AQ34" s="895"/>
      <c r="AR34" s="895"/>
      <c r="AS34" s="895"/>
      <c r="AT34" s="895"/>
      <c r="AU34" s="895"/>
      <c r="AV34" s="895"/>
      <c r="AW34" s="895"/>
      <c r="AX34" s="895"/>
      <c r="AY34" s="895"/>
      <c r="AZ34" s="895"/>
      <c r="BA34" s="895"/>
      <c r="BB34" s="895"/>
      <c r="BC34" s="895"/>
      <c r="BD34" s="895"/>
      <c r="BE34" s="895"/>
      <c r="BF34" s="895"/>
      <c r="BG34" s="895"/>
      <c r="BH34" s="895"/>
      <c r="BI34" s="895"/>
      <c r="BJ34" s="895"/>
      <c r="BK34" s="895"/>
      <c r="BL34" s="895"/>
      <c r="BM34" s="895"/>
      <c r="BN34" s="895"/>
      <c r="BO34" s="895"/>
      <c r="BP34" s="199">
        <f t="shared" si="3"/>
        <v>1</v>
      </c>
      <c r="BR34" s="508">
        <v>0</v>
      </c>
      <c r="BS34" s="502">
        <f>BS27*10%</f>
        <v>4231652.4809366018</v>
      </c>
      <c r="CA34" s="513"/>
    </row>
    <row r="35" spans="2:87" ht="15">
      <c r="B35" s="176" t="s">
        <v>42</v>
      </c>
      <c r="C35" s="194" t="s">
        <v>74</v>
      </c>
      <c r="D35" s="200" t="s">
        <v>62</v>
      </c>
      <c r="E35" s="196"/>
      <c r="F35" s="894"/>
      <c r="G35" s="894">
        <f>$E35*AM35</f>
        <v>0</v>
      </c>
      <c r="H35" s="894">
        <f t="shared" si="17"/>
        <v>0</v>
      </c>
      <c r="I35" s="894">
        <f t="shared" si="17"/>
        <v>0</v>
      </c>
      <c r="J35" s="894">
        <f t="shared" si="17"/>
        <v>0</v>
      </c>
      <c r="K35" s="894"/>
      <c r="L35" s="894"/>
      <c r="M35" s="894"/>
      <c r="N35" s="894"/>
      <c r="O35" s="894"/>
      <c r="P35" s="894"/>
      <c r="Q35" s="894"/>
      <c r="R35" s="894"/>
      <c r="S35" s="894"/>
      <c r="T35" s="894"/>
      <c r="U35" s="894"/>
      <c r="V35" s="894"/>
      <c r="W35" s="894"/>
      <c r="X35" s="894"/>
      <c r="Y35" s="894"/>
      <c r="Z35" s="894"/>
      <c r="AA35" s="894"/>
      <c r="AB35" s="894"/>
      <c r="AC35" s="894"/>
      <c r="AD35" s="894"/>
      <c r="AE35" s="894"/>
      <c r="AF35" s="894"/>
      <c r="AG35" s="894"/>
      <c r="AH35" s="894"/>
      <c r="AI35" s="894"/>
      <c r="AJ35" s="192">
        <f t="shared" si="1"/>
        <v>0</v>
      </c>
      <c r="AL35" s="895"/>
      <c r="AM35" s="895"/>
      <c r="AN35" s="895"/>
      <c r="AO35" s="895"/>
      <c r="AP35" s="895"/>
      <c r="AQ35" s="895"/>
      <c r="AR35" s="895"/>
      <c r="AS35" s="895"/>
      <c r="AT35" s="895"/>
      <c r="AU35" s="895"/>
      <c r="AV35" s="895"/>
      <c r="AW35" s="895"/>
      <c r="AX35" s="895"/>
      <c r="AY35" s="895"/>
      <c r="AZ35" s="895"/>
      <c r="BA35" s="895"/>
      <c r="BB35" s="895"/>
      <c r="BC35" s="895"/>
      <c r="BD35" s="895"/>
      <c r="BE35" s="895"/>
      <c r="BF35" s="895"/>
      <c r="BG35" s="895"/>
      <c r="BH35" s="895"/>
      <c r="BI35" s="895"/>
      <c r="BJ35" s="895"/>
      <c r="BK35" s="895"/>
      <c r="BL35" s="895"/>
      <c r="BM35" s="895"/>
      <c r="BN35" s="895"/>
      <c r="BO35" s="895"/>
      <c r="BP35" s="199">
        <f t="shared" si="3"/>
        <v>0</v>
      </c>
      <c r="BR35" s="508">
        <v>0</v>
      </c>
      <c r="CA35" s="513"/>
    </row>
    <row r="36" spans="2:87" ht="15">
      <c r="B36" s="176" t="s">
        <v>42</v>
      </c>
      <c r="C36" s="194" t="s">
        <v>75</v>
      </c>
      <c r="D36" s="200" t="s">
        <v>62</v>
      </c>
      <c r="E36" s="196"/>
      <c r="F36" s="894"/>
      <c r="G36" s="894">
        <f>$E36*AM36</f>
        <v>0</v>
      </c>
      <c r="H36" s="894">
        <f t="shared" si="17"/>
        <v>0</v>
      </c>
      <c r="I36" s="894">
        <f t="shared" si="17"/>
        <v>0</v>
      </c>
      <c r="J36" s="894">
        <f t="shared" si="17"/>
        <v>0</v>
      </c>
      <c r="K36" s="894"/>
      <c r="L36" s="894"/>
      <c r="M36" s="894"/>
      <c r="N36" s="894"/>
      <c r="O36" s="894"/>
      <c r="P36" s="894"/>
      <c r="Q36" s="894"/>
      <c r="R36" s="894"/>
      <c r="S36" s="894"/>
      <c r="T36" s="894"/>
      <c r="U36" s="894"/>
      <c r="V36" s="894"/>
      <c r="W36" s="894"/>
      <c r="X36" s="894"/>
      <c r="Y36" s="894"/>
      <c r="Z36" s="894"/>
      <c r="AA36" s="894"/>
      <c r="AB36" s="894"/>
      <c r="AC36" s="894"/>
      <c r="AD36" s="894"/>
      <c r="AE36" s="894"/>
      <c r="AF36" s="894"/>
      <c r="AG36" s="894"/>
      <c r="AH36" s="894"/>
      <c r="AI36" s="894"/>
      <c r="AJ36" s="192">
        <f t="shared" si="1"/>
        <v>0</v>
      </c>
      <c r="AL36" s="895"/>
      <c r="AM36" s="895"/>
      <c r="AN36" s="895"/>
      <c r="AO36" s="895"/>
      <c r="AP36" s="895"/>
      <c r="AQ36" s="895"/>
      <c r="AR36" s="895"/>
      <c r="AS36" s="895"/>
      <c r="AT36" s="895"/>
      <c r="AU36" s="895"/>
      <c r="AV36" s="895"/>
      <c r="AW36" s="895"/>
      <c r="AX36" s="895"/>
      <c r="AY36" s="895"/>
      <c r="AZ36" s="895"/>
      <c r="BA36" s="895"/>
      <c r="BB36" s="895"/>
      <c r="BC36" s="895"/>
      <c r="BD36" s="895"/>
      <c r="BE36" s="895"/>
      <c r="BF36" s="895"/>
      <c r="BG36" s="895"/>
      <c r="BH36" s="895"/>
      <c r="BI36" s="895"/>
      <c r="BJ36" s="895"/>
      <c r="BK36" s="895"/>
      <c r="BL36" s="895"/>
      <c r="BM36" s="895"/>
      <c r="BN36" s="895"/>
      <c r="BO36" s="895"/>
      <c r="BP36" s="199">
        <f t="shared" si="3"/>
        <v>0</v>
      </c>
      <c r="BR36" s="508">
        <v>0</v>
      </c>
      <c r="CA36" s="513"/>
    </row>
    <row r="37" spans="2:87" ht="15.75" thickBot="1">
      <c r="B37" s="176" t="s">
        <v>42</v>
      </c>
      <c r="C37" s="194" t="s">
        <v>76</v>
      </c>
      <c r="D37" s="200" t="s">
        <v>62</v>
      </c>
      <c r="E37" s="196"/>
      <c r="F37" s="894"/>
      <c r="G37" s="894">
        <f>$E37*AM37</f>
        <v>0</v>
      </c>
      <c r="H37" s="894">
        <f t="shared" si="17"/>
        <v>0</v>
      </c>
      <c r="I37" s="894">
        <f t="shared" si="17"/>
        <v>0</v>
      </c>
      <c r="J37" s="894">
        <f t="shared" si="17"/>
        <v>0</v>
      </c>
      <c r="K37" s="894"/>
      <c r="L37" s="894"/>
      <c r="M37" s="894"/>
      <c r="N37" s="894"/>
      <c r="O37" s="894"/>
      <c r="P37" s="894"/>
      <c r="Q37" s="894"/>
      <c r="R37" s="894"/>
      <c r="S37" s="894"/>
      <c r="T37" s="894"/>
      <c r="U37" s="894"/>
      <c r="V37" s="894"/>
      <c r="W37" s="894"/>
      <c r="X37" s="894"/>
      <c r="Y37" s="894"/>
      <c r="Z37" s="894"/>
      <c r="AA37" s="894"/>
      <c r="AB37" s="894"/>
      <c r="AC37" s="894"/>
      <c r="AD37" s="894"/>
      <c r="AE37" s="894"/>
      <c r="AF37" s="894"/>
      <c r="AG37" s="894"/>
      <c r="AH37" s="894"/>
      <c r="AI37" s="894"/>
      <c r="AJ37" s="192">
        <f t="shared" si="1"/>
        <v>0</v>
      </c>
      <c r="AL37" s="895"/>
      <c r="AM37" s="895"/>
      <c r="AN37" s="895"/>
      <c r="AO37" s="895"/>
      <c r="AP37" s="895"/>
      <c r="AQ37" s="895"/>
      <c r="AR37" s="895"/>
      <c r="AS37" s="895"/>
      <c r="AT37" s="895"/>
      <c r="AU37" s="895"/>
      <c r="AV37" s="895"/>
      <c r="AW37" s="895"/>
      <c r="AX37" s="895"/>
      <c r="AY37" s="895"/>
      <c r="AZ37" s="895"/>
      <c r="BA37" s="895"/>
      <c r="BB37" s="895"/>
      <c r="BC37" s="895"/>
      <c r="BD37" s="895"/>
      <c r="BE37" s="895"/>
      <c r="BF37" s="895"/>
      <c r="BG37" s="895"/>
      <c r="BH37" s="895"/>
      <c r="BI37" s="895"/>
      <c r="BJ37" s="895"/>
      <c r="BK37" s="895"/>
      <c r="BL37" s="895"/>
      <c r="BM37" s="895"/>
      <c r="BN37" s="895"/>
      <c r="BO37" s="895"/>
      <c r="BP37" s="199">
        <f t="shared" si="3"/>
        <v>0</v>
      </c>
      <c r="BR37" s="508">
        <v>0</v>
      </c>
      <c r="CA37" s="502"/>
    </row>
    <row r="38" spans="2:87" s="184" customFormat="1" ht="15" customHeight="1" thickBot="1">
      <c r="B38" s="176"/>
      <c r="C38" s="790">
        <v>3</v>
      </c>
      <c r="D38" s="791" t="s">
        <v>77</v>
      </c>
      <c r="E38" s="792">
        <f t="shared" ref="E38:AI38" si="18">SUM(E39:E45)</f>
        <v>120635411.87062395</v>
      </c>
      <c r="F38" s="799">
        <f t="shared" si="18"/>
        <v>0</v>
      </c>
      <c r="G38" s="794">
        <f t="shared" si="18"/>
        <v>0</v>
      </c>
      <c r="H38" s="794">
        <f t="shared" si="18"/>
        <v>0</v>
      </c>
      <c r="I38" s="794">
        <f t="shared" si="18"/>
        <v>229238.13928212094</v>
      </c>
      <c r="J38" s="794">
        <f t="shared" si="18"/>
        <v>327483.05611731566</v>
      </c>
      <c r="K38" s="794">
        <f t="shared" si="18"/>
        <v>1879975.5955982157</v>
      </c>
      <c r="L38" s="794">
        <f t="shared" si="18"/>
        <v>1103619.7878681701</v>
      </c>
      <c r="M38" s="794">
        <f t="shared" si="18"/>
        <v>1879975.5955982157</v>
      </c>
      <c r="N38" s="794">
        <f t="shared" si="18"/>
        <v>4705933.4051586417</v>
      </c>
      <c r="O38" s="794">
        <f t="shared" si="18"/>
        <v>1901807.7993393703</v>
      </c>
      <c r="P38" s="902">
        <f t="shared" si="18"/>
        <v>1169116.3990916335</v>
      </c>
      <c r="Q38" s="794">
        <f t="shared" si="18"/>
        <v>4226937.4977723118</v>
      </c>
      <c r="R38" s="794">
        <f t="shared" si="18"/>
        <v>3254091.8563718763</v>
      </c>
      <c r="S38" s="794">
        <f t="shared" si="18"/>
        <v>5460457.0091475323</v>
      </c>
      <c r="T38" s="794">
        <f t="shared" si="18"/>
        <v>3079434.2264426411</v>
      </c>
      <c r="U38" s="794">
        <f t="shared" si="18"/>
        <v>1945472.2068216791</v>
      </c>
      <c r="V38" s="794">
        <f t="shared" si="18"/>
        <v>2042404.5487378086</v>
      </c>
      <c r="W38" s="794">
        <f t="shared" si="18"/>
        <v>11737215.584729416</v>
      </c>
      <c r="X38" s="794">
        <f t="shared" si="18"/>
        <v>11419336.055563614</v>
      </c>
      <c r="Y38" s="794">
        <f t="shared" si="18"/>
        <v>13123560.52229272</v>
      </c>
      <c r="Z38" s="902">
        <f t="shared" si="18"/>
        <v>6616251.2325096494</v>
      </c>
      <c r="AA38" s="794">
        <f t="shared" si="18"/>
        <v>10077968.100401683</v>
      </c>
      <c r="AB38" s="794">
        <f t="shared" si="18"/>
        <v>6910985.9830152327</v>
      </c>
      <c r="AC38" s="794">
        <f t="shared" si="18"/>
        <v>1956388.3086922562</v>
      </c>
      <c r="AD38" s="794">
        <f t="shared" si="18"/>
        <v>1180032.5009622106</v>
      </c>
      <c r="AE38" s="794">
        <f t="shared" si="18"/>
        <v>2043717.1236568738</v>
      </c>
      <c r="AF38" s="794">
        <f t="shared" si="18"/>
        <v>2642790.1516195536</v>
      </c>
      <c r="AG38" s="794">
        <f t="shared" si="18"/>
        <v>5929849.3895823527</v>
      </c>
      <c r="AH38" s="794">
        <f t="shared" si="18"/>
        <v>5011584.2575348038</v>
      </c>
      <c r="AI38" s="795">
        <f t="shared" si="18"/>
        <v>8779785.5367160421</v>
      </c>
      <c r="AJ38" s="792">
        <f t="shared" si="1"/>
        <v>120635411.87062395</v>
      </c>
      <c r="AK38" s="822"/>
      <c r="AL38" s="797">
        <f>F38/$E38</f>
        <v>0</v>
      </c>
      <c r="AM38" s="797">
        <f t="shared" ref="AM38" si="19">G38/$E38</f>
        <v>0</v>
      </c>
      <c r="AN38" s="797">
        <f t="shared" ref="AN38" si="20">H38/$E38</f>
        <v>0</v>
      </c>
      <c r="AO38" s="797">
        <f t="shared" ref="AO38" si="21">I38/$E38</f>
        <v>1.9002557849926234E-3</v>
      </c>
      <c r="AP38" s="797">
        <f t="shared" ref="AP38" si="22">J38/$E38</f>
        <v>2.7146511214180338E-3</v>
      </c>
      <c r="AQ38" s="797">
        <f t="shared" ref="AQ38" si="23">K38/$E38</f>
        <v>1.5583944767514906E-2</v>
      </c>
      <c r="AR38" s="797">
        <f t="shared" ref="AR38" si="24">L38/$E38</f>
        <v>9.1483899358817851E-3</v>
      </c>
      <c r="AS38" s="797">
        <f t="shared" ref="AS38" si="25">M38/$E38</f>
        <v>1.5583944767514906E-2</v>
      </c>
      <c r="AT38" s="797">
        <f t="shared" ref="AT38" si="26">N38/$E38</f>
        <v>3.9009552271480147E-2</v>
      </c>
      <c r="AU38" s="797">
        <f t="shared" ref="AU38" si="27">O38/$E38</f>
        <v>1.5764921508942778E-2</v>
      </c>
      <c r="AV38" s="797">
        <f t="shared" ref="AV38" si="28">P38/$E38</f>
        <v>9.6913201601653929E-3</v>
      </c>
      <c r="AW38" s="797">
        <f t="shared" ref="AW38" si="29">Q38/$E38</f>
        <v>3.5038944471010816E-2</v>
      </c>
      <c r="AX38" s="797">
        <f t="shared" ref="AX38" si="30">R38/$E38</f>
        <v>2.6974598966526871E-2</v>
      </c>
      <c r="AY38" s="797">
        <f t="shared" ref="AY38" si="31">S38/$E38</f>
        <v>4.5264130361685397E-2</v>
      </c>
      <c r="AZ38" s="797">
        <f t="shared" ref="AZ38" si="32">T38/$E38</f>
        <v>2.552678503510392E-2</v>
      </c>
      <c r="BA38" s="797">
        <f t="shared" ref="BA38" si="33">U38/$E38</f>
        <v>1.6126874991798514E-2</v>
      </c>
      <c r="BB38" s="797">
        <f t="shared" ref="BB38" si="34">V38/$E38</f>
        <v>1.693038981728015E-2</v>
      </c>
      <c r="BC38" s="797">
        <f t="shared" ref="BC38" si="35">W38/$E38</f>
        <v>9.729494352219771E-2</v>
      </c>
      <c r="BD38" s="797">
        <f t="shared" ref="BD38" si="36">X38/$E38</f>
        <v>9.4659900260549851E-2</v>
      </c>
      <c r="BE38" s="797">
        <f t="shared" ref="BE38" si="37">Y38/$E38</f>
        <v>0.10878696660286739</v>
      </c>
      <c r="BF38" s="797">
        <f t="shared" ref="BF38" si="38">Z38/$E38</f>
        <v>5.4845017146418679E-2</v>
      </c>
      <c r="BG38" s="797">
        <f t="shared" ref="BG38" si="39">AA38/$E38</f>
        <v>8.3540711173679671E-2</v>
      </c>
      <c r="BH38" s="797">
        <f t="shared" ref="BH38" si="40">AB38/$E38</f>
        <v>5.7288203155694897E-2</v>
      </c>
      <c r="BI38" s="797">
        <f t="shared" ref="BI38" si="41">AC38/$E38</f>
        <v>1.6217363362512449E-2</v>
      </c>
      <c r="BJ38" s="797">
        <f t="shared" ref="BJ38" si="42">AD38/$E38</f>
        <v>9.7818085308793278E-3</v>
      </c>
      <c r="BK38" s="797">
        <f t="shared" ref="BK38" si="43">AE38/$E38</f>
        <v>1.6941270328223925E-2</v>
      </c>
      <c r="BL38" s="797">
        <f t="shared" ref="BL38" si="44">AF38/$E38</f>
        <v>2.190725020654654E-2</v>
      </c>
      <c r="BM38" s="797">
        <f t="shared" ref="BM38" si="45">AG38/$E38</f>
        <v>4.9155130302384588E-2</v>
      </c>
      <c r="BN38" s="797">
        <f t="shared" ref="BN38" si="46">AH38/$E38</f>
        <v>4.1543226651470318E-2</v>
      </c>
      <c r="BO38" s="797">
        <f>(AI38/$E38)</f>
        <v>7.2779504795258354E-2</v>
      </c>
      <c r="BP38" s="798">
        <f t="shared" si="3"/>
        <v>0.99999999999999978</v>
      </c>
      <c r="BR38" s="508"/>
      <c r="BS38" s="502"/>
      <c r="CA38" s="502"/>
    </row>
    <row r="39" spans="2:87" ht="15">
      <c r="B39" s="176" t="s">
        <v>42</v>
      </c>
      <c r="C39" s="189" t="s">
        <v>78</v>
      </c>
      <c r="D39" s="190" t="s">
        <v>44</v>
      </c>
      <c r="E39" s="196">
        <f t="shared" ref="E39:E42" si="47">BS39</f>
        <v>109161018.70577188</v>
      </c>
      <c r="F39" s="894">
        <f t="shared" ref="F39:F42" si="48">$E39*AL39</f>
        <v>0</v>
      </c>
      <c r="G39" s="894">
        <f t="shared" ref="G39:G42" si="49">$E39*AM39</f>
        <v>0</v>
      </c>
      <c r="H39" s="894">
        <f t="shared" ref="H39:H42" si="50">$E39*AN39</f>
        <v>0</v>
      </c>
      <c r="I39" s="894">
        <f t="shared" ref="I39:X45" si="51">$E39*AO39</f>
        <v>229238.13928212094</v>
      </c>
      <c r="J39" s="894">
        <f t="shared" si="51"/>
        <v>327483.05611731566</v>
      </c>
      <c r="K39" s="894">
        <f t="shared" si="51"/>
        <v>1047945.7795754099</v>
      </c>
      <c r="L39" s="894">
        <f t="shared" si="51"/>
        <v>1047945.7795754099</v>
      </c>
      <c r="M39" s="894">
        <f t="shared" si="51"/>
        <v>1047945.7795754099</v>
      </c>
      <c r="N39" s="894">
        <f t="shared" si="51"/>
        <v>4650259.396865882</v>
      </c>
      <c r="O39" s="894">
        <f t="shared" si="51"/>
        <v>1069777.9833165645</v>
      </c>
      <c r="P39" s="894">
        <f t="shared" si="51"/>
        <v>1113442.3907988733</v>
      </c>
      <c r="Q39" s="894">
        <f t="shared" si="51"/>
        <v>3394907.6817495055</v>
      </c>
      <c r="R39" s="894">
        <f t="shared" si="51"/>
        <v>3198417.8480791161</v>
      </c>
      <c r="S39" s="894">
        <f t="shared" si="51"/>
        <v>4628427.1931247273</v>
      </c>
      <c r="T39" s="894">
        <f t="shared" si="51"/>
        <v>3023760.2181498809</v>
      </c>
      <c r="U39" s="894">
        <f t="shared" si="51"/>
        <v>1113442.3907988733</v>
      </c>
      <c r="V39" s="894">
        <f t="shared" si="51"/>
        <v>1986730.5404450484</v>
      </c>
      <c r="W39" s="894">
        <f t="shared" si="51"/>
        <v>10905185.76870661</v>
      </c>
      <c r="X39" s="894">
        <f t="shared" si="51"/>
        <v>11363662.047270853</v>
      </c>
      <c r="Y39" s="894">
        <f t="shared" ref="Y39:AI45" si="52">$E39*BE39</f>
        <v>12291530.706269914</v>
      </c>
      <c r="Z39" s="894">
        <f t="shared" si="52"/>
        <v>6560577.2242168896</v>
      </c>
      <c r="AA39" s="894">
        <f t="shared" si="52"/>
        <v>9245938.2843788769</v>
      </c>
      <c r="AB39" s="894">
        <f t="shared" si="52"/>
        <v>6855311.974722473</v>
      </c>
      <c r="AC39" s="894">
        <f t="shared" si="52"/>
        <v>1124358.4926694504</v>
      </c>
      <c r="AD39" s="894">
        <f t="shared" si="52"/>
        <v>1124358.4926694504</v>
      </c>
      <c r="AE39" s="894">
        <f t="shared" si="52"/>
        <v>1211687.307634068</v>
      </c>
      <c r="AF39" s="894">
        <f t="shared" si="52"/>
        <v>2587116.1433267933</v>
      </c>
      <c r="AG39" s="894">
        <f t="shared" si="52"/>
        <v>5097819.5735595468</v>
      </c>
      <c r="AH39" s="894">
        <f t="shared" si="52"/>
        <v>4955910.2492420441</v>
      </c>
      <c r="AI39" s="894">
        <f t="shared" si="52"/>
        <v>7957838.2636507703</v>
      </c>
      <c r="AJ39" s="197">
        <f t="shared" si="1"/>
        <v>109161018.70577186</v>
      </c>
      <c r="AL39" s="895">
        <v>0</v>
      </c>
      <c r="AM39" s="895">
        <v>0</v>
      </c>
      <c r="AN39" s="895">
        <v>0</v>
      </c>
      <c r="AO39" s="895">
        <v>2.0999999999999999E-3</v>
      </c>
      <c r="AP39" s="895">
        <v>3.0000000000000001E-3</v>
      </c>
      <c r="AQ39" s="895">
        <v>9.5999999999999992E-3</v>
      </c>
      <c r="AR39" s="895">
        <v>9.5999999999999992E-3</v>
      </c>
      <c r="AS39" s="895">
        <v>9.5999999999999992E-3</v>
      </c>
      <c r="AT39" s="895">
        <v>4.2599999999999999E-2</v>
      </c>
      <c r="AU39" s="895">
        <v>9.7999999999999997E-3</v>
      </c>
      <c r="AV39" s="895">
        <v>1.0200000000000001E-2</v>
      </c>
      <c r="AW39" s="895">
        <v>3.1099999999999999E-2</v>
      </c>
      <c r="AX39" s="895">
        <v>2.93E-2</v>
      </c>
      <c r="AY39" s="895">
        <v>4.24E-2</v>
      </c>
      <c r="AZ39" s="895">
        <v>2.7699999999999999E-2</v>
      </c>
      <c r="BA39" s="895">
        <v>1.0200000000000001E-2</v>
      </c>
      <c r="BB39" s="895">
        <v>1.8200000000000001E-2</v>
      </c>
      <c r="BC39" s="895">
        <v>9.9900000000000003E-2</v>
      </c>
      <c r="BD39" s="895">
        <v>0.1041</v>
      </c>
      <c r="BE39" s="895">
        <v>0.11260000000000001</v>
      </c>
      <c r="BF39" s="895">
        <v>6.0100000000000001E-2</v>
      </c>
      <c r="BG39" s="895">
        <v>8.4699999999999998E-2</v>
      </c>
      <c r="BH39" s="895">
        <v>6.2799999999999995E-2</v>
      </c>
      <c r="BI39" s="895">
        <v>1.03E-2</v>
      </c>
      <c r="BJ39" s="895">
        <v>1.03E-2</v>
      </c>
      <c r="BK39" s="895">
        <v>1.11E-2</v>
      </c>
      <c r="BL39" s="895">
        <v>2.3699999999999999E-2</v>
      </c>
      <c r="BM39" s="895">
        <v>4.6699999999999998E-2</v>
      </c>
      <c r="BN39" s="895">
        <v>4.5400000000000003E-2</v>
      </c>
      <c r="BO39" s="895">
        <v>7.2900000000000006E-2</v>
      </c>
      <c r="BP39" s="193">
        <f t="shared" si="3"/>
        <v>0.99999999999999989</v>
      </c>
      <c r="BR39" s="508">
        <f t="shared" ref="BR39:BR42" si="53">BW39/1.25*1.2</f>
        <v>546319695.05700004</v>
      </c>
      <c r="BS39" s="502">
        <f>BR39/$BT$40*$BT$39</f>
        <v>109161018.70577188</v>
      </c>
      <c r="BT39" s="475">
        <v>116.67</v>
      </c>
      <c r="BU39" s="175" t="s">
        <v>45</v>
      </c>
      <c r="BW39" s="175">
        <v>569083015.68437505</v>
      </c>
    </row>
    <row r="40" spans="2:87" ht="15">
      <c r="B40" s="176" t="s">
        <v>42</v>
      </c>
      <c r="C40" s="189" t="s">
        <v>79</v>
      </c>
      <c r="D40" s="195" t="s">
        <v>47</v>
      </c>
      <c r="E40" s="196">
        <f t="shared" si="47"/>
        <v>1060629.7655148765</v>
      </c>
      <c r="F40" s="894">
        <f t="shared" si="48"/>
        <v>0</v>
      </c>
      <c r="G40" s="894">
        <f t="shared" si="49"/>
        <v>0</v>
      </c>
      <c r="H40" s="894">
        <f t="shared" si="50"/>
        <v>0</v>
      </c>
      <c r="I40" s="894">
        <f t="shared" si="51"/>
        <v>0</v>
      </c>
      <c r="J40" s="894">
        <f t="shared" si="51"/>
        <v>0</v>
      </c>
      <c r="K40" s="894">
        <f t="shared" si="51"/>
        <v>42425.190620595058</v>
      </c>
      <c r="L40" s="894">
        <f t="shared" si="51"/>
        <v>42425.190620595058</v>
      </c>
      <c r="M40" s="894">
        <f t="shared" si="51"/>
        <v>42425.190620595058</v>
      </c>
      <c r="N40" s="894">
        <f t="shared" si="51"/>
        <v>42425.190620595058</v>
      </c>
      <c r="O40" s="894">
        <f t="shared" si="51"/>
        <v>42425.190620595058</v>
      </c>
      <c r="P40" s="894">
        <f t="shared" si="51"/>
        <v>42425.190620595058</v>
      </c>
      <c r="Q40" s="894">
        <f t="shared" si="51"/>
        <v>42425.190620595058</v>
      </c>
      <c r="R40" s="894">
        <f t="shared" si="51"/>
        <v>42425.190620595058</v>
      </c>
      <c r="S40" s="894">
        <f t="shared" si="51"/>
        <v>42425.190620595058</v>
      </c>
      <c r="T40" s="894">
        <f t="shared" si="51"/>
        <v>42425.190620595058</v>
      </c>
      <c r="U40" s="894">
        <f t="shared" si="51"/>
        <v>42425.190620595058</v>
      </c>
      <c r="V40" s="894">
        <f t="shared" si="51"/>
        <v>42425.190620595058</v>
      </c>
      <c r="W40" s="894">
        <f t="shared" si="51"/>
        <v>42425.190620595058</v>
      </c>
      <c r="X40" s="894">
        <f t="shared" si="51"/>
        <v>42425.190620595058</v>
      </c>
      <c r="Y40" s="894">
        <f t="shared" si="52"/>
        <v>42425.190620595058</v>
      </c>
      <c r="Z40" s="894">
        <f t="shared" si="52"/>
        <v>42425.190620595058</v>
      </c>
      <c r="AA40" s="894">
        <f t="shared" si="52"/>
        <v>42425.190620595058</v>
      </c>
      <c r="AB40" s="894">
        <f t="shared" si="52"/>
        <v>42425.190620595058</v>
      </c>
      <c r="AC40" s="894">
        <f t="shared" si="52"/>
        <v>42425.190620595058</v>
      </c>
      <c r="AD40" s="894">
        <f t="shared" si="52"/>
        <v>42425.190620595058</v>
      </c>
      <c r="AE40" s="894">
        <f t="shared" si="52"/>
        <v>42425.190620595058</v>
      </c>
      <c r="AF40" s="894">
        <f t="shared" si="52"/>
        <v>42425.190620595058</v>
      </c>
      <c r="AG40" s="894">
        <f t="shared" si="52"/>
        <v>42425.190620595058</v>
      </c>
      <c r="AH40" s="894">
        <f t="shared" si="52"/>
        <v>42425.190620595058</v>
      </c>
      <c r="AI40" s="894">
        <f t="shared" si="52"/>
        <v>42425.190620595058</v>
      </c>
      <c r="AJ40" s="192">
        <f t="shared" si="1"/>
        <v>1060629.765514876</v>
      </c>
      <c r="AL40" s="895">
        <v>0</v>
      </c>
      <c r="AM40" s="895">
        <v>0</v>
      </c>
      <c r="AN40" s="895">
        <v>0</v>
      </c>
      <c r="AO40" s="895">
        <v>0</v>
      </c>
      <c r="AP40" s="895">
        <v>0</v>
      </c>
      <c r="AQ40" s="895">
        <v>0.04</v>
      </c>
      <c r="AR40" s="895">
        <v>0.04</v>
      </c>
      <c r="AS40" s="895">
        <v>0.04</v>
      </c>
      <c r="AT40" s="895">
        <v>0.04</v>
      </c>
      <c r="AU40" s="895">
        <v>0.04</v>
      </c>
      <c r="AV40" s="895">
        <v>0.04</v>
      </c>
      <c r="AW40" s="895">
        <v>0.04</v>
      </c>
      <c r="AX40" s="895">
        <v>0.04</v>
      </c>
      <c r="AY40" s="895">
        <v>0.04</v>
      </c>
      <c r="AZ40" s="895">
        <v>0.04</v>
      </c>
      <c r="BA40" s="895">
        <v>0.04</v>
      </c>
      <c r="BB40" s="895">
        <v>0.04</v>
      </c>
      <c r="BC40" s="895">
        <v>0.04</v>
      </c>
      <c r="BD40" s="895">
        <v>0.04</v>
      </c>
      <c r="BE40" s="895">
        <v>0.04</v>
      </c>
      <c r="BF40" s="895">
        <v>0.04</v>
      </c>
      <c r="BG40" s="895">
        <v>0.04</v>
      </c>
      <c r="BH40" s="895">
        <v>0.04</v>
      </c>
      <c r="BI40" s="895">
        <v>0.04</v>
      </c>
      <c r="BJ40" s="895">
        <v>0.04</v>
      </c>
      <c r="BK40" s="895">
        <v>0.04</v>
      </c>
      <c r="BL40" s="895">
        <v>0.04</v>
      </c>
      <c r="BM40" s="895">
        <v>0.04</v>
      </c>
      <c r="BN40" s="895">
        <v>0.04</v>
      </c>
      <c r="BO40" s="895">
        <v>0.04</v>
      </c>
      <c r="BP40" s="199">
        <f t="shared" si="3"/>
        <v>1.0000000000000002</v>
      </c>
      <c r="BR40" s="508">
        <f t="shared" si="53"/>
        <v>5308148.7964698402</v>
      </c>
      <c r="BS40" s="502">
        <f t="shared" ref="BS40:BS42" si="54">BR40/$BT$40*$BT$39</f>
        <v>1060629.7655148765</v>
      </c>
      <c r="BT40" s="502">
        <v>583.9</v>
      </c>
      <c r="BU40" s="513" t="s">
        <v>48</v>
      </c>
      <c r="BV40" s="527"/>
      <c r="BW40" s="528">
        <v>5529321.6629894171</v>
      </c>
      <c r="BY40" s="502"/>
      <c r="BZ40" s="502"/>
    </row>
    <row r="41" spans="2:87" ht="15">
      <c r="B41" s="176" t="s">
        <v>42</v>
      </c>
      <c r="C41" s="189" t="s">
        <v>80</v>
      </c>
      <c r="D41" s="195" t="s">
        <v>50</v>
      </c>
      <c r="E41" s="196">
        <f t="shared" si="47"/>
        <v>331220.4418041273</v>
      </c>
      <c r="F41" s="894">
        <f t="shared" si="48"/>
        <v>0</v>
      </c>
      <c r="G41" s="894">
        <f t="shared" si="49"/>
        <v>0</v>
      </c>
      <c r="H41" s="894">
        <f t="shared" si="50"/>
        <v>0</v>
      </c>
      <c r="I41" s="894">
        <f t="shared" si="51"/>
        <v>0</v>
      </c>
      <c r="J41" s="894">
        <f t="shared" si="51"/>
        <v>0</v>
      </c>
      <c r="K41" s="894">
        <f t="shared" si="51"/>
        <v>13248.817672165091</v>
      </c>
      <c r="L41" s="894">
        <f t="shared" si="51"/>
        <v>13248.817672165091</v>
      </c>
      <c r="M41" s="894">
        <f t="shared" si="51"/>
        <v>13248.817672165091</v>
      </c>
      <c r="N41" s="894">
        <f t="shared" si="51"/>
        <v>13248.817672165091</v>
      </c>
      <c r="O41" s="894">
        <f t="shared" si="51"/>
        <v>13248.817672165091</v>
      </c>
      <c r="P41" s="894">
        <f t="shared" si="51"/>
        <v>13248.817672165091</v>
      </c>
      <c r="Q41" s="894">
        <f t="shared" si="51"/>
        <v>13248.817672165091</v>
      </c>
      <c r="R41" s="894">
        <f t="shared" si="51"/>
        <v>13248.817672165091</v>
      </c>
      <c r="S41" s="894">
        <f t="shared" si="51"/>
        <v>13248.817672165091</v>
      </c>
      <c r="T41" s="894">
        <f t="shared" si="51"/>
        <v>13248.817672165091</v>
      </c>
      <c r="U41" s="894">
        <f t="shared" si="51"/>
        <v>13248.817672165091</v>
      </c>
      <c r="V41" s="894">
        <f t="shared" si="51"/>
        <v>13248.817672165091</v>
      </c>
      <c r="W41" s="894">
        <f t="shared" si="51"/>
        <v>13248.817672165091</v>
      </c>
      <c r="X41" s="894">
        <f t="shared" si="51"/>
        <v>13248.817672165091</v>
      </c>
      <c r="Y41" s="894">
        <f t="shared" si="52"/>
        <v>13248.817672165091</v>
      </c>
      <c r="Z41" s="894">
        <f t="shared" si="52"/>
        <v>13248.817672165091</v>
      </c>
      <c r="AA41" s="894">
        <f t="shared" si="52"/>
        <v>13248.817672165091</v>
      </c>
      <c r="AB41" s="894">
        <f t="shared" si="52"/>
        <v>13248.817672165091</v>
      </c>
      <c r="AC41" s="894">
        <f t="shared" si="52"/>
        <v>13248.817672165091</v>
      </c>
      <c r="AD41" s="894">
        <f t="shared" si="52"/>
        <v>13248.817672165091</v>
      </c>
      <c r="AE41" s="894">
        <f t="shared" si="52"/>
        <v>13248.817672165091</v>
      </c>
      <c r="AF41" s="894">
        <f t="shared" si="52"/>
        <v>13248.817672165091</v>
      </c>
      <c r="AG41" s="894">
        <f t="shared" si="52"/>
        <v>13248.817672165091</v>
      </c>
      <c r="AH41" s="894">
        <f t="shared" si="52"/>
        <v>13248.817672165091</v>
      </c>
      <c r="AI41" s="894">
        <f t="shared" si="52"/>
        <v>13248.817672165091</v>
      </c>
      <c r="AJ41" s="192">
        <f t="shared" si="1"/>
        <v>331220.4418041273</v>
      </c>
      <c r="AL41" s="895">
        <v>0</v>
      </c>
      <c r="AM41" s="895">
        <v>0</v>
      </c>
      <c r="AN41" s="895">
        <v>0</v>
      </c>
      <c r="AO41" s="895">
        <v>0</v>
      </c>
      <c r="AP41" s="895">
        <v>0</v>
      </c>
      <c r="AQ41" s="895">
        <v>3.9999999999999994E-2</v>
      </c>
      <c r="AR41" s="895">
        <v>3.9999999999999994E-2</v>
      </c>
      <c r="AS41" s="895">
        <v>3.9999999999999994E-2</v>
      </c>
      <c r="AT41" s="895">
        <v>3.9999999999999994E-2</v>
      </c>
      <c r="AU41" s="895">
        <v>3.9999999999999994E-2</v>
      </c>
      <c r="AV41" s="895">
        <v>3.9999999999999994E-2</v>
      </c>
      <c r="AW41" s="895">
        <v>3.9999999999999994E-2</v>
      </c>
      <c r="AX41" s="895">
        <v>3.9999999999999994E-2</v>
      </c>
      <c r="AY41" s="895">
        <v>3.9999999999999994E-2</v>
      </c>
      <c r="AZ41" s="895">
        <v>3.9999999999999994E-2</v>
      </c>
      <c r="BA41" s="895">
        <v>3.9999999999999994E-2</v>
      </c>
      <c r="BB41" s="895">
        <v>3.9999999999999994E-2</v>
      </c>
      <c r="BC41" s="895">
        <v>3.9999999999999994E-2</v>
      </c>
      <c r="BD41" s="895">
        <v>3.9999999999999994E-2</v>
      </c>
      <c r="BE41" s="895">
        <v>3.9999999999999994E-2</v>
      </c>
      <c r="BF41" s="895">
        <v>3.9999999999999994E-2</v>
      </c>
      <c r="BG41" s="895">
        <v>3.9999999999999994E-2</v>
      </c>
      <c r="BH41" s="895">
        <v>3.9999999999999994E-2</v>
      </c>
      <c r="BI41" s="895">
        <v>3.9999999999999994E-2</v>
      </c>
      <c r="BJ41" s="895">
        <v>3.9999999999999994E-2</v>
      </c>
      <c r="BK41" s="895">
        <v>3.9999999999999994E-2</v>
      </c>
      <c r="BL41" s="895">
        <v>3.9999999999999994E-2</v>
      </c>
      <c r="BM41" s="895">
        <v>3.9999999999999994E-2</v>
      </c>
      <c r="BN41" s="895">
        <v>3.9999999999999994E-2</v>
      </c>
      <c r="BO41" s="895">
        <v>3.9999999999999994E-2</v>
      </c>
      <c r="BP41" s="199">
        <f t="shared" si="3"/>
        <v>1.0000000000000002</v>
      </c>
      <c r="BR41" s="508">
        <f t="shared" si="53"/>
        <v>1657663.632205622</v>
      </c>
      <c r="BS41" s="502">
        <f t="shared" si="54"/>
        <v>331220.4418041273</v>
      </c>
      <c r="BT41" s="502"/>
      <c r="BU41" s="513"/>
      <c r="BV41" s="527"/>
      <c r="BW41" s="528">
        <v>1726732.9502141897</v>
      </c>
      <c r="BY41" s="502"/>
      <c r="BZ41" s="502"/>
    </row>
    <row r="42" spans="2:87" ht="15">
      <c r="B42" s="176" t="s">
        <v>42</v>
      </c>
      <c r="C42" s="189" t="s">
        <v>81</v>
      </c>
      <c r="D42" s="195" t="s">
        <v>52</v>
      </c>
      <c r="E42" s="196">
        <f t="shared" si="47"/>
        <v>10082542.95753306</v>
      </c>
      <c r="F42" s="894">
        <f t="shared" si="48"/>
        <v>0</v>
      </c>
      <c r="G42" s="894">
        <f t="shared" si="49"/>
        <v>0</v>
      </c>
      <c r="H42" s="894">
        <f t="shared" si="50"/>
        <v>0</v>
      </c>
      <c r="I42" s="894">
        <f t="shared" si="51"/>
        <v>0</v>
      </c>
      <c r="J42" s="894">
        <f t="shared" si="51"/>
        <v>0</v>
      </c>
      <c r="K42" s="894">
        <f t="shared" si="51"/>
        <v>776355.80773004564</v>
      </c>
      <c r="L42" s="894">
        <f t="shared" si="51"/>
        <v>0</v>
      </c>
      <c r="M42" s="894">
        <f t="shared" si="51"/>
        <v>776355.80773004564</v>
      </c>
      <c r="N42" s="894">
        <f t="shared" si="51"/>
        <v>0</v>
      </c>
      <c r="O42" s="894">
        <f t="shared" si="51"/>
        <v>776355.80773004564</v>
      </c>
      <c r="P42" s="894">
        <f t="shared" si="51"/>
        <v>0</v>
      </c>
      <c r="Q42" s="894">
        <f t="shared" si="51"/>
        <v>776355.80773004564</v>
      </c>
      <c r="R42" s="894">
        <f t="shared" si="51"/>
        <v>0</v>
      </c>
      <c r="S42" s="894">
        <f t="shared" si="51"/>
        <v>776355.80773004564</v>
      </c>
      <c r="T42" s="894">
        <f t="shared" si="51"/>
        <v>0</v>
      </c>
      <c r="U42" s="894">
        <f t="shared" si="51"/>
        <v>776355.80773004564</v>
      </c>
      <c r="V42" s="894">
        <f t="shared" si="51"/>
        <v>0</v>
      </c>
      <c r="W42" s="894">
        <f t="shared" si="51"/>
        <v>776355.80773004564</v>
      </c>
      <c r="X42" s="894">
        <f t="shared" si="51"/>
        <v>0</v>
      </c>
      <c r="Y42" s="894">
        <f t="shared" si="52"/>
        <v>776355.80773004564</v>
      </c>
      <c r="Z42" s="894">
        <f t="shared" si="52"/>
        <v>0</v>
      </c>
      <c r="AA42" s="894">
        <f t="shared" si="52"/>
        <v>776355.80773004564</v>
      </c>
      <c r="AB42" s="894">
        <f t="shared" si="52"/>
        <v>0</v>
      </c>
      <c r="AC42" s="894">
        <f t="shared" si="52"/>
        <v>776355.80773004564</v>
      </c>
      <c r="AD42" s="894">
        <f t="shared" si="52"/>
        <v>0</v>
      </c>
      <c r="AE42" s="894">
        <f t="shared" si="52"/>
        <v>776355.80773004564</v>
      </c>
      <c r="AF42" s="894">
        <f t="shared" si="52"/>
        <v>0</v>
      </c>
      <c r="AG42" s="894">
        <f t="shared" si="52"/>
        <v>776355.80773004564</v>
      </c>
      <c r="AH42" s="894">
        <f t="shared" si="52"/>
        <v>0</v>
      </c>
      <c r="AI42" s="894">
        <f t="shared" si="52"/>
        <v>766273.26477251248</v>
      </c>
      <c r="AJ42" s="192">
        <f t="shared" si="1"/>
        <v>10082542.957533058</v>
      </c>
      <c r="AL42" s="895">
        <v>0</v>
      </c>
      <c r="AM42" s="895">
        <v>0</v>
      </c>
      <c r="AN42" s="895">
        <v>0</v>
      </c>
      <c r="AO42" s="895">
        <v>0</v>
      </c>
      <c r="AP42" s="895">
        <v>0</v>
      </c>
      <c r="AQ42" s="895">
        <v>7.6999999999999999E-2</v>
      </c>
      <c r="AR42" s="895">
        <v>0</v>
      </c>
      <c r="AS42" s="895">
        <v>7.6999999999999999E-2</v>
      </c>
      <c r="AT42" s="895">
        <v>0</v>
      </c>
      <c r="AU42" s="895">
        <v>7.6999999999999999E-2</v>
      </c>
      <c r="AV42" s="895">
        <v>0</v>
      </c>
      <c r="AW42" s="895">
        <v>7.6999999999999999E-2</v>
      </c>
      <c r="AX42" s="895">
        <v>0</v>
      </c>
      <c r="AY42" s="895">
        <v>7.6999999999999999E-2</v>
      </c>
      <c r="AZ42" s="895">
        <v>0</v>
      </c>
      <c r="BA42" s="895">
        <v>7.6999999999999999E-2</v>
      </c>
      <c r="BB42" s="895">
        <v>0</v>
      </c>
      <c r="BC42" s="895">
        <v>7.6999999999999999E-2</v>
      </c>
      <c r="BD42" s="895">
        <v>0</v>
      </c>
      <c r="BE42" s="895">
        <v>7.6999999999999999E-2</v>
      </c>
      <c r="BF42" s="895">
        <v>0</v>
      </c>
      <c r="BG42" s="895">
        <v>7.6999999999999999E-2</v>
      </c>
      <c r="BH42" s="895">
        <v>0</v>
      </c>
      <c r="BI42" s="895">
        <v>7.6999999999999999E-2</v>
      </c>
      <c r="BJ42" s="895">
        <v>0</v>
      </c>
      <c r="BK42" s="895">
        <v>7.6999999999999999E-2</v>
      </c>
      <c r="BL42" s="895">
        <v>0</v>
      </c>
      <c r="BM42" s="895">
        <v>7.6999999999999999E-2</v>
      </c>
      <c r="BN42" s="895">
        <v>0</v>
      </c>
      <c r="BO42" s="895">
        <v>7.5999999999999998E-2</v>
      </c>
      <c r="BP42" s="199">
        <f t="shared" si="3"/>
        <v>0.99999999999999978</v>
      </c>
      <c r="BR42" s="508">
        <f t="shared" si="53"/>
        <v>50460245.417875655</v>
      </c>
      <c r="BS42" s="502">
        <f t="shared" si="54"/>
        <v>10082542.95753306</v>
      </c>
      <c r="BT42" s="502"/>
      <c r="BU42" s="513"/>
      <c r="BV42" s="527"/>
      <c r="BW42" s="528">
        <v>52562755.643620476</v>
      </c>
      <c r="BY42" s="502"/>
      <c r="BZ42" s="502"/>
    </row>
    <row r="43" spans="2:87" ht="15">
      <c r="B43" s="176" t="s">
        <v>42</v>
      </c>
      <c r="C43" s="189" t="s">
        <v>82</v>
      </c>
      <c r="D43" s="200" t="s">
        <v>62</v>
      </c>
      <c r="E43" s="196"/>
      <c r="F43" s="894"/>
      <c r="G43" s="894"/>
      <c r="H43" s="894"/>
      <c r="I43" s="894">
        <f t="shared" si="51"/>
        <v>0</v>
      </c>
      <c r="J43" s="894">
        <f t="shared" si="51"/>
        <v>0</v>
      </c>
      <c r="K43" s="894">
        <f t="shared" si="51"/>
        <v>0</v>
      </c>
      <c r="L43" s="894">
        <f t="shared" si="51"/>
        <v>0</v>
      </c>
      <c r="M43" s="894">
        <f t="shared" si="51"/>
        <v>0</v>
      </c>
      <c r="N43" s="894">
        <f t="shared" si="51"/>
        <v>0</v>
      </c>
      <c r="O43" s="894">
        <f t="shared" si="51"/>
        <v>0</v>
      </c>
      <c r="P43" s="894">
        <f t="shared" si="51"/>
        <v>0</v>
      </c>
      <c r="Q43" s="894">
        <f t="shared" si="51"/>
        <v>0</v>
      </c>
      <c r="R43" s="894">
        <f t="shared" si="51"/>
        <v>0</v>
      </c>
      <c r="S43" s="894">
        <f t="shared" si="51"/>
        <v>0</v>
      </c>
      <c r="T43" s="894">
        <f t="shared" si="51"/>
        <v>0</v>
      </c>
      <c r="U43" s="894">
        <f t="shared" si="51"/>
        <v>0</v>
      </c>
      <c r="V43" s="894">
        <f t="shared" si="51"/>
        <v>0</v>
      </c>
      <c r="W43" s="894">
        <f t="shared" si="51"/>
        <v>0</v>
      </c>
      <c r="X43" s="894">
        <f t="shared" si="51"/>
        <v>0</v>
      </c>
      <c r="Y43" s="894">
        <f t="shared" si="52"/>
        <v>0</v>
      </c>
      <c r="Z43" s="894">
        <f t="shared" si="52"/>
        <v>0</v>
      </c>
      <c r="AA43" s="894">
        <f t="shared" si="52"/>
        <v>0</v>
      </c>
      <c r="AB43" s="894">
        <f t="shared" si="52"/>
        <v>0</v>
      </c>
      <c r="AC43" s="894">
        <f t="shared" si="52"/>
        <v>0</v>
      </c>
      <c r="AD43" s="894">
        <f t="shared" si="52"/>
        <v>0</v>
      </c>
      <c r="AE43" s="894">
        <f t="shared" si="52"/>
        <v>0</v>
      </c>
      <c r="AF43" s="894">
        <f t="shared" si="52"/>
        <v>0</v>
      </c>
      <c r="AG43" s="894">
        <f t="shared" si="52"/>
        <v>0</v>
      </c>
      <c r="AH43" s="894">
        <f t="shared" si="52"/>
        <v>0</v>
      </c>
      <c r="AI43" s="894">
        <f t="shared" si="52"/>
        <v>0</v>
      </c>
      <c r="AJ43" s="192">
        <f t="shared" si="1"/>
        <v>0</v>
      </c>
      <c r="AL43" s="895"/>
      <c r="AM43" s="895"/>
      <c r="AN43" s="895"/>
      <c r="AO43" s="895"/>
      <c r="AP43" s="895"/>
      <c r="AQ43" s="895"/>
      <c r="AR43" s="895"/>
      <c r="AS43" s="895"/>
      <c r="AT43" s="895"/>
      <c r="AU43" s="895"/>
      <c r="AV43" s="895"/>
      <c r="AW43" s="895"/>
      <c r="AX43" s="895"/>
      <c r="AY43" s="895"/>
      <c r="AZ43" s="895"/>
      <c r="BA43" s="895"/>
      <c r="BB43" s="895"/>
      <c r="BC43" s="895"/>
      <c r="BD43" s="895"/>
      <c r="BE43" s="895"/>
      <c r="BF43" s="895"/>
      <c r="BG43" s="895"/>
      <c r="BH43" s="895"/>
      <c r="BI43" s="895"/>
      <c r="BJ43" s="895"/>
      <c r="BK43" s="895"/>
      <c r="BL43" s="895"/>
      <c r="BM43" s="895"/>
      <c r="BN43" s="895"/>
      <c r="BO43" s="895"/>
      <c r="BP43" s="199">
        <f t="shared" si="3"/>
        <v>0</v>
      </c>
      <c r="BR43" s="508">
        <v>0</v>
      </c>
    </row>
    <row r="44" spans="2:87" ht="13.15" customHeight="1">
      <c r="B44" s="176" t="s">
        <v>42</v>
      </c>
      <c r="C44" s="189" t="s">
        <v>83</v>
      </c>
      <c r="D44" s="200" t="s">
        <v>62</v>
      </c>
      <c r="E44" s="196"/>
      <c r="F44" s="894"/>
      <c r="G44" s="894"/>
      <c r="H44" s="894"/>
      <c r="I44" s="894">
        <f t="shared" si="51"/>
        <v>0</v>
      </c>
      <c r="J44" s="894">
        <f t="shared" si="51"/>
        <v>0</v>
      </c>
      <c r="K44" s="894">
        <f t="shared" si="51"/>
        <v>0</v>
      </c>
      <c r="L44" s="894">
        <f t="shared" si="51"/>
        <v>0</v>
      </c>
      <c r="M44" s="894">
        <f t="shared" si="51"/>
        <v>0</v>
      </c>
      <c r="N44" s="894">
        <f t="shared" si="51"/>
        <v>0</v>
      </c>
      <c r="O44" s="894">
        <f t="shared" si="51"/>
        <v>0</v>
      </c>
      <c r="P44" s="894">
        <f t="shared" si="51"/>
        <v>0</v>
      </c>
      <c r="Q44" s="894">
        <f t="shared" si="51"/>
        <v>0</v>
      </c>
      <c r="R44" s="894">
        <f t="shared" si="51"/>
        <v>0</v>
      </c>
      <c r="S44" s="894">
        <f t="shared" si="51"/>
        <v>0</v>
      </c>
      <c r="T44" s="894">
        <f t="shared" si="51"/>
        <v>0</v>
      </c>
      <c r="U44" s="894">
        <f t="shared" si="51"/>
        <v>0</v>
      </c>
      <c r="V44" s="894">
        <f t="shared" si="51"/>
        <v>0</v>
      </c>
      <c r="W44" s="894">
        <f t="shared" si="51"/>
        <v>0</v>
      </c>
      <c r="X44" s="894">
        <f t="shared" si="51"/>
        <v>0</v>
      </c>
      <c r="Y44" s="894">
        <f t="shared" si="52"/>
        <v>0</v>
      </c>
      <c r="Z44" s="894">
        <f t="shared" si="52"/>
        <v>0</v>
      </c>
      <c r="AA44" s="894">
        <f t="shared" si="52"/>
        <v>0</v>
      </c>
      <c r="AB44" s="894">
        <f t="shared" si="52"/>
        <v>0</v>
      </c>
      <c r="AC44" s="894">
        <f t="shared" si="52"/>
        <v>0</v>
      </c>
      <c r="AD44" s="894">
        <f t="shared" si="52"/>
        <v>0</v>
      </c>
      <c r="AE44" s="894">
        <f t="shared" si="52"/>
        <v>0</v>
      </c>
      <c r="AF44" s="894">
        <f t="shared" si="52"/>
        <v>0</v>
      </c>
      <c r="AG44" s="894">
        <f t="shared" si="52"/>
        <v>0</v>
      </c>
      <c r="AH44" s="894">
        <f t="shared" si="52"/>
        <v>0</v>
      </c>
      <c r="AI44" s="894">
        <f t="shared" si="52"/>
        <v>0</v>
      </c>
      <c r="AJ44" s="192">
        <f t="shared" si="1"/>
        <v>0</v>
      </c>
      <c r="AL44" s="895"/>
      <c r="AM44" s="895"/>
      <c r="AN44" s="895"/>
      <c r="AO44" s="895"/>
      <c r="AP44" s="895"/>
      <c r="AQ44" s="895"/>
      <c r="AR44" s="895"/>
      <c r="AS44" s="895"/>
      <c r="AT44" s="895"/>
      <c r="AU44" s="895"/>
      <c r="AV44" s="895"/>
      <c r="AW44" s="895"/>
      <c r="AX44" s="895"/>
      <c r="AY44" s="895"/>
      <c r="AZ44" s="895"/>
      <c r="BA44" s="895"/>
      <c r="BB44" s="895"/>
      <c r="BC44" s="895"/>
      <c r="BD44" s="895"/>
      <c r="BE44" s="895"/>
      <c r="BF44" s="895"/>
      <c r="BG44" s="895"/>
      <c r="BH44" s="895"/>
      <c r="BI44" s="895"/>
      <c r="BJ44" s="895"/>
      <c r="BK44" s="895"/>
      <c r="BL44" s="895"/>
      <c r="BM44" s="895"/>
      <c r="BN44" s="895"/>
      <c r="BO44" s="895"/>
      <c r="BP44" s="202">
        <f t="shared" si="3"/>
        <v>0</v>
      </c>
      <c r="BR44" s="508">
        <v>0</v>
      </c>
      <c r="CA44" s="475"/>
    </row>
    <row r="45" spans="2:87" ht="15.75" thickBot="1">
      <c r="B45" s="176" t="s">
        <v>42</v>
      </c>
      <c r="C45" s="189" t="s">
        <v>84</v>
      </c>
      <c r="D45" s="200" t="s">
        <v>62</v>
      </c>
      <c r="E45" s="196"/>
      <c r="F45" s="894"/>
      <c r="G45" s="894"/>
      <c r="H45" s="894"/>
      <c r="I45" s="894">
        <f t="shared" si="51"/>
        <v>0</v>
      </c>
      <c r="J45" s="894">
        <f t="shared" si="51"/>
        <v>0</v>
      </c>
      <c r="K45" s="894">
        <f t="shared" si="51"/>
        <v>0</v>
      </c>
      <c r="L45" s="894">
        <f t="shared" si="51"/>
        <v>0</v>
      </c>
      <c r="M45" s="894">
        <f t="shared" si="51"/>
        <v>0</v>
      </c>
      <c r="N45" s="894">
        <f t="shared" si="51"/>
        <v>0</v>
      </c>
      <c r="O45" s="894">
        <f t="shared" si="51"/>
        <v>0</v>
      </c>
      <c r="P45" s="894">
        <f t="shared" si="51"/>
        <v>0</v>
      </c>
      <c r="Q45" s="894">
        <f t="shared" si="51"/>
        <v>0</v>
      </c>
      <c r="R45" s="894">
        <f t="shared" si="51"/>
        <v>0</v>
      </c>
      <c r="S45" s="894">
        <f t="shared" si="51"/>
        <v>0</v>
      </c>
      <c r="T45" s="894">
        <f t="shared" si="51"/>
        <v>0</v>
      </c>
      <c r="U45" s="894">
        <f t="shared" si="51"/>
        <v>0</v>
      </c>
      <c r="V45" s="894">
        <f t="shared" si="51"/>
        <v>0</v>
      </c>
      <c r="W45" s="894">
        <f t="shared" si="51"/>
        <v>0</v>
      </c>
      <c r="X45" s="894">
        <f t="shared" si="51"/>
        <v>0</v>
      </c>
      <c r="Y45" s="894">
        <f t="shared" si="52"/>
        <v>0</v>
      </c>
      <c r="Z45" s="894">
        <f t="shared" si="52"/>
        <v>0</v>
      </c>
      <c r="AA45" s="894">
        <f t="shared" si="52"/>
        <v>0</v>
      </c>
      <c r="AB45" s="894">
        <f t="shared" si="52"/>
        <v>0</v>
      </c>
      <c r="AC45" s="894">
        <f t="shared" si="52"/>
        <v>0</v>
      </c>
      <c r="AD45" s="894">
        <f t="shared" si="52"/>
        <v>0</v>
      </c>
      <c r="AE45" s="894">
        <f t="shared" si="52"/>
        <v>0</v>
      </c>
      <c r="AF45" s="894">
        <f t="shared" si="52"/>
        <v>0</v>
      </c>
      <c r="AG45" s="894">
        <f t="shared" si="52"/>
        <v>0</v>
      </c>
      <c r="AH45" s="894">
        <f t="shared" si="52"/>
        <v>0</v>
      </c>
      <c r="AI45" s="894">
        <f t="shared" si="52"/>
        <v>0</v>
      </c>
      <c r="AJ45" s="192">
        <f t="shared" ref="AJ45:AJ108" si="55">SUM(F45:AI45)</f>
        <v>0</v>
      </c>
      <c r="AL45" s="895"/>
      <c r="AM45" s="895"/>
      <c r="AN45" s="895"/>
      <c r="AO45" s="895"/>
      <c r="AP45" s="895"/>
      <c r="AQ45" s="895"/>
      <c r="AR45" s="895"/>
      <c r="AS45" s="895"/>
      <c r="AT45" s="895"/>
      <c r="AU45" s="895"/>
      <c r="AV45" s="895"/>
      <c r="AW45" s="895"/>
      <c r="AX45" s="895"/>
      <c r="AY45" s="895"/>
      <c r="AZ45" s="895"/>
      <c r="BA45" s="895"/>
      <c r="BB45" s="895"/>
      <c r="BC45" s="895"/>
      <c r="BD45" s="895"/>
      <c r="BE45" s="895"/>
      <c r="BF45" s="895"/>
      <c r="BG45" s="895"/>
      <c r="BH45" s="895"/>
      <c r="BI45" s="895"/>
      <c r="BJ45" s="895"/>
      <c r="BK45" s="895"/>
      <c r="BL45" s="895"/>
      <c r="BM45" s="895"/>
      <c r="BN45" s="895"/>
      <c r="BO45" s="895"/>
      <c r="BP45" s="202">
        <f t="shared" si="3"/>
        <v>0</v>
      </c>
      <c r="BR45" s="508">
        <v>0</v>
      </c>
    </row>
    <row r="46" spans="2:87" s="184" customFormat="1" ht="21.75" customHeight="1" thickBot="1">
      <c r="B46" s="583"/>
      <c r="C46" s="790">
        <v>4</v>
      </c>
      <c r="D46" s="800" t="s">
        <v>85</v>
      </c>
      <c r="E46" s="792" t="e">
        <f t="shared" ref="E46:AI46" si="56">SUM(E47:E66)</f>
        <v>#N/A</v>
      </c>
      <c r="F46" s="799" t="e">
        <f>SUM(F47:F61)</f>
        <v>#N/A</v>
      </c>
      <c r="G46" s="794" t="e">
        <f t="shared" si="56"/>
        <v>#N/A</v>
      </c>
      <c r="H46" s="794" t="e">
        <f t="shared" si="56"/>
        <v>#N/A</v>
      </c>
      <c r="I46" s="794" t="e">
        <f t="shared" si="56"/>
        <v>#N/A</v>
      </c>
      <c r="J46" s="794" t="e">
        <f t="shared" si="56"/>
        <v>#N/A</v>
      </c>
      <c r="K46" s="794" t="e">
        <f t="shared" si="56"/>
        <v>#N/A</v>
      </c>
      <c r="L46" s="794" t="e">
        <f t="shared" si="56"/>
        <v>#N/A</v>
      </c>
      <c r="M46" s="794" t="e">
        <f t="shared" si="56"/>
        <v>#N/A</v>
      </c>
      <c r="N46" s="794" t="e">
        <f t="shared" si="56"/>
        <v>#N/A</v>
      </c>
      <c r="O46" s="794" t="e">
        <f t="shared" si="56"/>
        <v>#N/A</v>
      </c>
      <c r="P46" s="902" t="e">
        <f t="shared" si="56"/>
        <v>#N/A</v>
      </c>
      <c r="Q46" s="794" t="e">
        <f t="shared" si="56"/>
        <v>#N/A</v>
      </c>
      <c r="R46" s="794" t="e">
        <f t="shared" si="56"/>
        <v>#N/A</v>
      </c>
      <c r="S46" s="794" t="e">
        <f t="shared" si="56"/>
        <v>#N/A</v>
      </c>
      <c r="T46" s="794" t="e">
        <f t="shared" si="56"/>
        <v>#N/A</v>
      </c>
      <c r="U46" s="794" t="e">
        <f t="shared" si="56"/>
        <v>#N/A</v>
      </c>
      <c r="V46" s="794" t="e">
        <f t="shared" si="56"/>
        <v>#N/A</v>
      </c>
      <c r="W46" s="794" t="e">
        <f t="shared" si="56"/>
        <v>#N/A</v>
      </c>
      <c r="X46" s="794" t="e">
        <f t="shared" si="56"/>
        <v>#N/A</v>
      </c>
      <c r="Y46" s="794" t="e">
        <f t="shared" si="56"/>
        <v>#N/A</v>
      </c>
      <c r="Z46" s="902" t="e">
        <f t="shared" si="56"/>
        <v>#N/A</v>
      </c>
      <c r="AA46" s="794" t="e">
        <f t="shared" si="56"/>
        <v>#N/A</v>
      </c>
      <c r="AB46" s="794" t="e">
        <f t="shared" si="56"/>
        <v>#N/A</v>
      </c>
      <c r="AC46" s="794" t="e">
        <f t="shared" si="56"/>
        <v>#N/A</v>
      </c>
      <c r="AD46" s="794" t="e">
        <f t="shared" si="56"/>
        <v>#N/A</v>
      </c>
      <c r="AE46" s="794" t="e">
        <f t="shared" si="56"/>
        <v>#N/A</v>
      </c>
      <c r="AF46" s="794" t="e">
        <f t="shared" si="56"/>
        <v>#N/A</v>
      </c>
      <c r="AG46" s="794" t="e">
        <f t="shared" si="56"/>
        <v>#N/A</v>
      </c>
      <c r="AH46" s="794" t="e">
        <f t="shared" si="56"/>
        <v>#N/A</v>
      </c>
      <c r="AI46" s="795" t="e">
        <f t="shared" si="56"/>
        <v>#N/A</v>
      </c>
      <c r="AJ46" s="792" t="e">
        <f t="shared" si="55"/>
        <v>#N/A</v>
      </c>
      <c r="AK46" s="822"/>
      <c r="AL46" s="796" t="e">
        <f t="shared" ref="AL46:BO46" si="57">F46/$E46</f>
        <v>#N/A</v>
      </c>
      <c r="AM46" s="797" t="e">
        <f t="shared" si="57"/>
        <v>#N/A</v>
      </c>
      <c r="AN46" s="797" t="e">
        <f t="shared" si="57"/>
        <v>#N/A</v>
      </c>
      <c r="AO46" s="797" t="e">
        <f t="shared" si="57"/>
        <v>#N/A</v>
      </c>
      <c r="AP46" s="797" t="e">
        <f t="shared" si="57"/>
        <v>#N/A</v>
      </c>
      <c r="AQ46" s="797" t="e">
        <f t="shared" si="57"/>
        <v>#N/A</v>
      </c>
      <c r="AR46" s="797" t="e">
        <f t="shared" si="57"/>
        <v>#N/A</v>
      </c>
      <c r="AS46" s="797" t="e">
        <f t="shared" si="57"/>
        <v>#N/A</v>
      </c>
      <c r="AT46" s="797" t="e">
        <f t="shared" si="57"/>
        <v>#N/A</v>
      </c>
      <c r="AU46" s="797" t="e">
        <f t="shared" si="57"/>
        <v>#N/A</v>
      </c>
      <c r="AV46" s="797" t="e">
        <f t="shared" si="57"/>
        <v>#N/A</v>
      </c>
      <c r="AW46" s="797" t="e">
        <f t="shared" si="57"/>
        <v>#N/A</v>
      </c>
      <c r="AX46" s="797" t="e">
        <f t="shared" si="57"/>
        <v>#N/A</v>
      </c>
      <c r="AY46" s="797" t="e">
        <f t="shared" si="57"/>
        <v>#N/A</v>
      </c>
      <c r="AZ46" s="797" t="e">
        <f t="shared" si="57"/>
        <v>#N/A</v>
      </c>
      <c r="BA46" s="903" t="e">
        <f t="shared" si="57"/>
        <v>#N/A</v>
      </c>
      <c r="BB46" s="797" t="e">
        <f t="shared" si="57"/>
        <v>#N/A</v>
      </c>
      <c r="BC46" s="797" t="e">
        <f t="shared" si="57"/>
        <v>#N/A</v>
      </c>
      <c r="BD46" s="797" t="e">
        <f t="shared" si="57"/>
        <v>#N/A</v>
      </c>
      <c r="BE46" s="797" t="e">
        <f t="shared" si="57"/>
        <v>#N/A</v>
      </c>
      <c r="BF46" s="797" t="e">
        <f t="shared" si="57"/>
        <v>#N/A</v>
      </c>
      <c r="BG46" s="797" t="e">
        <f t="shared" si="57"/>
        <v>#N/A</v>
      </c>
      <c r="BH46" s="797" t="e">
        <f t="shared" si="57"/>
        <v>#N/A</v>
      </c>
      <c r="BI46" s="797" t="e">
        <f t="shared" si="57"/>
        <v>#N/A</v>
      </c>
      <c r="BJ46" s="797" t="e">
        <f t="shared" si="57"/>
        <v>#N/A</v>
      </c>
      <c r="BK46" s="797" t="e">
        <f t="shared" si="57"/>
        <v>#N/A</v>
      </c>
      <c r="BL46" s="797" t="e">
        <f t="shared" si="57"/>
        <v>#N/A</v>
      </c>
      <c r="BM46" s="797" t="e">
        <f t="shared" si="57"/>
        <v>#N/A</v>
      </c>
      <c r="BN46" s="797" t="e">
        <f t="shared" si="57"/>
        <v>#N/A</v>
      </c>
      <c r="BO46" s="797" t="e">
        <f t="shared" si="57"/>
        <v>#N/A</v>
      </c>
      <c r="BP46" s="798" t="e">
        <f>SUM(AL46:BO46)</f>
        <v>#N/A</v>
      </c>
      <c r="BR46" s="508"/>
      <c r="BS46" s="502"/>
      <c r="BT46" s="564" t="s">
        <v>86</v>
      </c>
      <c r="BU46" s="564" t="s">
        <v>87</v>
      </c>
      <c r="CA46" s="564"/>
      <c r="CB46" s="564"/>
    </row>
    <row r="47" spans="2:87" ht="15">
      <c r="B47" s="176" t="s">
        <v>42</v>
      </c>
      <c r="C47" s="904" t="s">
        <v>88</v>
      </c>
      <c r="D47" s="905" t="s">
        <v>89</v>
      </c>
      <c r="E47" s="196">
        <f>BS47</f>
        <v>8935404.8619974982</v>
      </c>
      <c r="F47" s="894">
        <f t="shared" ref="F47:F66" si="58">$E47*AL47</f>
        <v>0</v>
      </c>
      <c r="G47" s="894">
        <f>$E47*AM47</f>
        <v>0</v>
      </c>
      <c r="H47" s="894">
        <f t="shared" ref="H47:H66" si="59">$E47*AN47</f>
        <v>0</v>
      </c>
      <c r="I47" s="894">
        <f t="shared" ref="I47:I66" si="60">$E47*AO47</f>
        <v>0</v>
      </c>
      <c r="J47" s="894">
        <f t="shared" ref="J47:J66" si="61">$E47*AP47</f>
        <v>0</v>
      </c>
      <c r="K47" s="894">
        <f t="shared" ref="K47:K66" si="62">$E47*AQ47</f>
        <v>8935404.8619974982</v>
      </c>
      <c r="L47" s="894">
        <f t="shared" ref="L47:L66" si="63">$E47*AR47</f>
        <v>0</v>
      </c>
      <c r="M47" s="894">
        <f t="shared" ref="M47:M66" si="64">$E47*AS47</f>
        <v>0</v>
      </c>
      <c r="N47" s="894">
        <f t="shared" ref="N47:N66" si="65">$E47*AT47</f>
        <v>0</v>
      </c>
      <c r="O47" s="894">
        <f t="shared" ref="O47:O66" si="66">$E47*AU47</f>
        <v>0</v>
      </c>
      <c r="P47" s="894">
        <f t="shared" ref="P47:P66" si="67">$E47*AV47</f>
        <v>0</v>
      </c>
      <c r="Q47" s="894">
        <f t="shared" ref="Q47:Q66" si="68">$E47*AW47</f>
        <v>0</v>
      </c>
      <c r="R47" s="894">
        <f t="shared" ref="R47:R66" si="69">$E47*AX47</f>
        <v>0</v>
      </c>
      <c r="S47" s="894">
        <f t="shared" ref="S47:S66" si="70">$E47*AY47</f>
        <v>0</v>
      </c>
      <c r="T47" s="894">
        <f t="shared" ref="T47:T66" si="71">$E47*AZ47</f>
        <v>0</v>
      </c>
      <c r="U47" s="894">
        <f t="shared" ref="U47:U66" si="72">$E47*BA47</f>
        <v>0</v>
      </c>
      <c r="V47" s="894">
        <f t="shared" ref="V47:V66" si="73">$E47*BB47</f>
        <v>0</v>
      </c>
      <c r="W47" s="894">
        <f t="shared" ref="W47:W66" si="74">$E47*BC47</f>
        <v>0</v>
      </c>
      <c r="X47" s="894">
        <f t="shared" ref="X47:X66" si="75">$E47*BD47</f>
        <v>0</v>
      </c>
      <c r="Y47" s="894">
        <f t="shared" ref="Y47:Y66" si="76">$E47*BE47</f>
        <v>0</v>
      </c>
      <c r="Z47" s="894">
        <f t="shared" ref="Z47:Z66" si="77">$E47*BF47</f>
        <v>0</v>
      </c>
      <c r="AA47" s="894">
        <f t="shared" ref="AA47:AA66" si="78">$E47*BG47</f>
        <v>0</v>
      </c>
      <c r="AB47" s="894">
        <f t="shared" ref="AB47:AB66" si="79">$E47*BH47</f>
        <v>0</v>
      </c>
      <c r="AC47" s="894">
        <f t="shared" ref="AC47:AC66" si="80">$E47*BI47</f>
        <v>0</v>
      </c>
      <c r="AD47" s="894">
        <f t="shared" ref="AD47:AD66" si="81">$E47*BJ47</f>
        <v>0</v>
      </c>
      <c r="AE47" s="894">
        <f t="shared" ref="AE47:AE66" si="82">$E47*BK47</f>
        <v>0</v>
      </c>
      <c r="AF47" s="894">
        <f t="shared" ref="AF47:AF66" si="83">$E47*BL47</f>
        <v>0</v>
      </c>
      <c r="AG47" s="894">
        <f t="shared" ref="AG47:AG66" si="84">$E47*BM47</f>
        <v>0</v>
      </c>
      <c r="AH47" s="894">
        <f t="shared" ref="AH47:AH66" si="85">$E47*BN47</f>
        <v>0</v>
      </c>
      <c r="AI47" s="894">
        <f t="shared" ref="AI47:AI66" si="86">$E47*BO47</f>
        <v>0</v>
      </c>
      <c r="AJ47" s="906">
        <f>SUM(F47:AI47)</f>
        <v>8935404.8619974982</v>
      </c>
      <c r="AK47" s="820"/>
      <c r="AL47" s="895"/>
      <c r="AM47" s="895"/>
      <c r="AN47" s="895"/>
      <c r="AO47" s="895"/>
      <c r="AP47" s="895"/>
      <c r="AQ47" s="895">
        <v>1</v>
      </c>
      <c r="AR47" s="895">
        <v>0</v>
      </c>
      <c r="AS47" s="895"/>
      <c r="AT47" s="895"/>
      <c r="AU47" s="895"/>
      <c r="AV47" s="895"/>
      <c r="AW47" s="895"/>
      <c r="AX47" s="895"/>
      <c r="AY47" s="895"/>
      <c r="AZ47" s="895"/>
      <c r="BA47" s="895"/>
      <c r="BB47" s="895"/>
      <c r="BC47" s="895"/>
      <c r="BD47" s="895"/>
      <c r="BE47" s="895"/>
      <c r="BF47" s="895"/>
      <c r="BG47" s="895"/>
      <c r="BH47" s="895"/>
      <c r="BI47" s="895"/>
      <c r="BJ47" s="895"/>
      <c r="BK47" s="895"/>
      <c r="BL47" s="895"/>
      <c r="BM47" s="895">
        <v>0</v>
      </c>
      <c r="BN47" s="895">
        <v>0</v>
      </c>
      <c r="BO47" s="895">
        <v>0</v>
      </c>
      <c r="BP47" s="907">
        <f t="shared" si="3"/>
        <v>1</v>
      </c>
      <c r="BR47" s="508">
        <f t="shared" ref="BR47:BR60" si="87">BW47/1.25*1.2</f>
        <v>37230853.591656245</v>
      </c>
      <c r="BS47" s="502">
        <f>BR47/BU47*BT47</f>
        <v>8935404.8619974982</v>
      </c>
      <c r="BT47" s="176">
        <v>6</v>
      </c>
      <c r="BU47" s="176">
        <v>25</v>
      </c>
      <c r="BV47" s="526"/>
      <c r="BW47" s="529">
        <v>38782139.157975256</v>
      </c>
      <c r="BX47" s="526"/>
      <c r="BY47" s="502"/>
      <c r="BZ47" s="526"/>
      <c r="CA47" s="566"/>
      <c r="CB47" s="502"/>
      <c r="CI47" s="531"/>
    </row>
    <row r="48" spans="2:87" ht="15">
      <c r="B48" s="176" t="s">
        <v>42</v>
      </c>
      <c r="C48" s="194" t="s">
        <v>90</v>
      </c>
      <c r="D48" s="582" t="s">
        <v>91</v>
      </c>
      <c r="E48" s="196">
        <f t="shared" ref="E48:E63" si="88">BS48</f>
        <v>41440068.092137247</v>
      </c>
      <c r="F48" s="894">
        <f t="shared" si="58"/>
        <v>0</v>
      </c>
      <c r="G48" s="894">
        <f t="shared" ref="G48:G66" si="89">$E48*AM48</f>
        <v>0</v>
      </c>
      <c r="H48" s="894">
        <f t="shared" si="59"/>
        <v>0</v>
      </c>
      <c r="I48" s="894">
        <f t="shared" si="60"/>
        <v>0</v>
      </c>
      <c r="J48" s="894">
        <f t="shared" si="61"/>
        <v>0</v>
      </c>
      <c r="K48" s="894">
        <f t="shared" si="62"/>
        <v>41440068.092137247</v>
      </c>
      <c r="L48" s="894">
        <f t="shared" si="63"/>
        <v>0</v>
      </c>
      <c r="M48" s="894">
        <f t="shared" si="64"/>
        <v>0</v>
      </c>
      <c r="N48" s="894">
        <f t="shared" si="65"/>
        <v>0</v>
      </c>
      <c r="O48" s="894">
        <f t="shared" si="66"/>
        <v>0</v>
      </c>
      <c r="P48" s="894">
        <f t="shared" si="67"/>
        <v>0</v>
      </c>
      <c r="Q48" s="894">
        <f t="shared" si="68"/>
        <v>0</v>
      </c>
      <c r="R48" s="894">
        <f t="shared" si="69"/>
        <v>0</v>
      </c>
      <c r="S48" s="894">
        <f t="shared" si="70"/>
        <v>0</v>
      </c>
      <c r="T48" s="894">
        <f t="shared" si="71"/>
        <v>0</v>
      </c>
      <c r="U48" s="894">
        <f t="shared" si="72"/>
        <v>0</v>
      </c>
      <c r="V48" s="894">
        <f t="shared" si="73"/>
        <v>0</v>
      </c>
      <c r="W48" s="894">
        <f t="shared" si="74"/>
        <v>0</v>
      </c>
      <c r="X48" s="894">
        <f t="shared" si="75"/>
        <v>0</v>
      </c>
      <c r="Y48" s="894">
        <f t="shared" si="76"/>
        <v>0</v>
      </c>
      <c r="Z48" s="894">
        <f t="shared" si="77"/>
        <v>0</v>
      </c>
      <c r="AA48" s="894">
        <f t="shared" si="78"/>
        <v>0</v>
      </c>
      <c r="AB48" s="894">
        <f t="shared" si="79"/>
        <v>0</v>
      </c>
      <c r="AC48" s="894">
        <f t="shared" si="80"/>
        <v>0</v>
      </c>
      <c r="AD48" s="894">
        <f t="shared" si="81"/>
        <v>0</v>
      </c>
      <c r="AE48" s="894">
        <f t="shared" si="82"/>
        <v>0</v>
      </c>
      <c r="AF48" s="894">
        <f t="shared" si="83"/>
        <v>0</v>
      </c>
      <c r="AG48" s="894">
        <f t="shared" si="84"/>
        <v>0</v>
      </c>
      <c r="AH48" s="894">
        <f t="shared" si="85"/>
        <v>0</v>
      </c>
      <c r="AI48" s="894">
        <f t="shared" si="86"/>
        <v>0</v>
      </c>
      <c r="AJ48" s="205">
        <f t="shared" ref="AJ48:AJ61" si="90">SUM(F48:AI48)</f>
        <v>41440068.092137247</v>
      </c>
      <c r="AK48" s="823"/>
      <c r="AL48" s="895"/>
      <c r="AM48" s="895"/>
      <c r="AN48" s="895"/>
      <c r="AO48" s="895"/>
      <c r="AP48" s="895"/>
      <c r="AQ48" s="895">
        <v>1</v>
      </c>
      <c r="AR48" s="895">
        <v>0</v>
      </c>
      <c r="AS48" s="895"/>
      <c r="AT48" s="895"/>
      <c r="AU48" s="895"/>
      <c r="AV48" s="895"/>
      <c r="AW48" s="895"/>
      <c r="AX48" s="895"/>
      <c r="AY48" s="895"/>
      <c r="AZ48" s="895"/>
      <c r="BA48" s="895"/>
      <c r="BB48" s="895"/>
      <c r="BC48" s="895"/>
      <c r="BD48" s="895"/>
      <c r="BE48" s="895"/>
      <c r="BF48" s="895"/>
      <c r="BG48" s="895"/>
      <c r="BH48" s="895"/>
      <c r="BI48" s="895"/>
      <c r="BJ48" s="895"/>
      <c r="BK48" s="895"/>
      <c r="BL48" s="895"/>
      <c r="BM48" s="895">
        <v>0</v>
      </c>
      <c r="BN48" s="895">
        <v>0</v>
      </c>
      <c r="BO48" s="895">
        <v>0</v>
      </c>
      <c r="BP48" s="206">
        <f t="shared" si="3"/>
        <v>1</v>
      </c>
      <c r="BR48" s="508">
        <f t="shared" si="87"/>
        <v>55253424.122849658</v>
      </c>
      <c r="BS48" s="502">
        <f t="shared" ref="BS48:BS60" si="91">BR48/BU48*BT48</f>
        <v>41440068.092137247</v>
      </c>
      <c r="BT48" s="176">
        <v>6</v>
      </c>
      <c r="BU48" s="176">
        <v>8</v>
      </c>
      <c r="BV48" s="526"/>
      <c r="BW48" s="529">
        <v>57555650.127968393</v>
      </c>
      <c r="BX48" s="526"/>
      <c r="BY48" s="502"/>
      <c r="BZ48" s="526"/>
      <c r="CA48" s="566"/>
      <c r="CB48" s="502"/>
      <c r="CI48" s="531"/>
    </row>
    <row r="49" spans="2:87" ht="15">
      <c r="B49" s="176" t="s">
        <v>42</v>
      </c>
      <c r="C49" s="194" t="s">
        <v>92</v>
      </c>
      <c r="D49" s="582" t="s">
        <v>93</v>
      </c>
      <c r="E49" s="196">
        <f t="shared" si="88"/>
        <v>0</v>
      </c>
      <c r="F49" s="894">
        <f t="shared" si="58"/>
        <v>0</v>
      </c>
      <c r="G49" s="894">
        <f t="shared" si="89"/>
        <v>0</v>
      </c>
      <c r="H49" s="894">
        <f t="shared" si="59"/>
        <v>0</v>
      </c>
      <c r="I49" s="894">
        <f t="shared" si="60"/>
        <v>0</v>
      </c>
      <c r="J49" s="894">
        <f t="shared" si="61"/>
        <v>0</v>
      </c>
      <c r="K49" s="894">
        <f t="shared" si="62"/>
        <v>0</v>
      </c>
      <c r="L49" s="894">
        <f t="shared" si="63"/>
        <v>0</v>
      </c>
      <c r="M49" s="894">
        <f t="shared" si="64"/>
        <v>0</v>
      </c>
      <c r="N49" s="894">
        <f t="shared" si="65"/>
        <v>0</v>
      </c>
      <c r="O49" s="894">
        <f t="shared" si="66"/>
        <v>0</v>
      </c>
      <c r="P49" s="894">
        <f t="shared" si="67"/>
        <v>0</v>
      </c>
      <c r="Q49" s="894">
        <f t="shared" si="68"/>
        <v>0</v>
      </c>
      <c r="R49" s="894">
        <f t="shared" si="69"/>
        <v>0</v>
      </c>
      <c r="S49" s="894">
        <f t="shared" si="70"/>
        <v>0</v>
      </c>
      <c r="T49" s="894">
        <f t="shared" si="71"/>
        <v>0</v>
      </c>
      <c r="U49" s="894">
        <f t="shared" si="72"/>
        <v>0</v>
      </c>
      <c r="V49" s="894">
        <f t="shared" si="73"/>
        <v>0</v>
      </c>
      <c r="W49" s="894">
        <f t="shared" si="74"/>
        <v>0</v>
      </c>
      <c r="X49" s="894">
        <f t="shared" si="75"/>
        <v>0</v>
      </c>
      <c r="Y49" s="894">
        <f t="shared" si="76"/>
        <v>0</v>
      </c>
      <c r="Z49" s="894">
        <f t="shared" si="77"/>
        <v>0</v>
      </c>
      <c r="AA49" s="894">
        <f t="shared" si="78"/>
        <v>0</v>
      </c>
      <c r="AB49" s="894">
        <f t="shared" si="79"/>
        <v>0</v>
      </c>
      <c r="AC49" s="894">
        <f t="shared" si="80"/>
        <v>0</v>
      </c>
      <c r="AD49" s="894">
        <f t="shared" si="81"/>
        <v>0</v>
      </c>
      <c r="AE49" s="894">
        <f t="shared" si="82"/>
        <v>0</v>
      </c>
      <c r="AF49" s="894">
        <f t="shared" si="83"/>
        <v>0</v>
      </c>
      <c r="AG49" s="894">
        <f t="shared" si="84"/>
        <v>0</v>
      </c>
      <c r="AH49" s="894">
        <f t="shared" si="85"/>
        <v>0</v>
      </c>
      <c r="AI49" s="894">
        <f t="shared" si="86"/>
        <v>0</v>
      </c>
      <c r="AJ49" s="205">
        <f t="shared" si="90"/>
        <v>0</v>
      </c>
      <c r="AK49" s="823"/>
      <c r="AL49" s="895"/>
      <c r="AM49" s="895"/>
      <c r="AN49" s="895"/>
      <c r="AO49" s="895"/>
      <c r="AP49" s="895"/>
      <c r="AQ49" s="895"/>
      <c r="AR49" s="895">
        <v>0</v>
      </c>
      <c r="AS49" s="895"/>
      <c r="AT49" s="895"/>
      <c r="AU49" s="895"/>
      <c r="AV49" s="895"/>
      <c r="AW49" s="895"/>
      <c r="AX49" s="895"/>
      <c r="AY49" s="895"/>
      <c r="AZ49" s="895"/>
      <c r="BA49" s="895"/>
      <c r="BB49" s="895"/>
      <c r="BC49" s="895"/>
      <c r="BD49" s="895"/>
      <c r="BE49" s="895"/>
      <c r="BF49" s="895"/>
      <c r="BG49" s="895"/>
      <c r="BH49" s="895"/>
      <c r="BI49" s="895"/>
      <c r="BJ49" s="895"/>
      <c r="BK49" s="895"/>
      <c r="BL49" s="895"/>
      <c r="BM49" s="895">
        <v>0</v>
      </c>
      <c r="BN49" s="895">
        <v>0</v>
      </c>
      <c r="BO49" s="895">
        <v>0</v>
      </c>
      <c r="BP49" s="206">
        <f t="shared" si="3"/>
        <v>0</v>
      </c>
      <c r="BR49" s="508">
        <f t="shared" si="87"/>
        <v>6116884.5107536074</v>
      </c>
      <c r="BT49" s="176"/>
      <c r="BU49" s="176"/>
      <c r="BV49" s="526"/>
      <c r="BW49" s="529">
        <v>6371754.6987016741</v>
      </c>
      <c r="BX49" s="526"/>
      <c r="BY49" s="502"/>
      <c r="BZ49" s="526"/>
      <c r="CA49" s="566"/>
      <c r="CB49" s="502"/>
      <c r="CI49" s="531"/>
    </row>
    <row r="50" spans="2:87" ht="15">
      <c r="B50" s="176" t="s">
        <v>42</v>
      </c>
      <c r="C50" s="194" t="s">
        <v>94</v>
      </c>
      <c r="D50" s="582" t="s">
        <v>95</v>
      </c>
      <c r="E50" s="196">
        <f t="shared" si="88"/>
        <v>0</v>
      </c>
      <c r="F50" s="894">
        <f t="shared" si="58"/>
        <v>0</v>
      </c>
      <c r="G50" s="894">
        <f t="shared" si="89"/>
        <v>0</v>
      </c>
      <c r="H50" s="894">
        <f t="shared" si="59"/>
        <v>0</v>
      </c>
      <c r="I50" s="894">
        <f t="shared" si="60"/>
        <v>0</v>
      </c>
      <c r="J50" s="894">
        <f t="shared" si="61"/>
        <v>0</v>
      </c>
      <c r="K50" s="894">
        <f t="shared" si="62"/>
        <v>0</v>
      </c>
      <c r="L50" s="894">
        <f t="shared" si="63"/>
        <v>0</v>
      </c>
      <c r="M50" s="894">
        <f t="shared" si="64"/>
        <v>0</v>
      </c>
      <c r="N50" s="894">
        <f t="shared" si="65"/>
        <v>0</v>
      </c>
      <c r="O50" s="894">
        <f t="shared" si="66"/>
        <v>0</v>
      </c>
      <c r="P50" s="894">
        <f t="shared" si="67"/>
        <v>0</v>
      </c>
      <c r="Q50" s="894">
        <f t="shared" si="68"/>
        <v>0</v>
      </c>
      <c r="R50" s="894">
        <f t="shared" si="69"/>
        <v>0</v>
      </c>
      <c r="S50" s="894">
        <f t="shared" si="70"/>
        <v>0</v>
      </c>
      <c r="T50" s="894">
        <f t="shared" si="71"/>
        <v>0</v>
      </c>
      <c r="U50" s="894">
        <f t="shared" si="72"/>
        <v>0</v>
      </c>
      <c r="V50" s="894">
        <f t="shared" si="73"/>
        <v>0</v>
      </c>
      <c r="W50" s="894">
        <f t="shared" si="74"/>
        <v>0</v>
      </c>
      <c r="X50" s="894">
        <f t="shared" si="75"/>
        <v>0</v>
      </c>
      <c r="Y50" s="894">
        <f t="shared" si="76"/>
        <v>0</v>
      </c>
      <c r="Z50" s="894">
        <f t="shared" si="77"/>
        <v>0</v>
      </c>
      <c r="AA50" s="894">
        <f t="shared" si="78"/>
        <v>0</v>
      </c>
      <c r="AB50" s="894">
        <f t="shared" si="79"/>
        <v>0</v>
      </c>
      <c r="AC50" s="894">
        <f t="shared" si="80"/>
        <v>0</v>
      </c>
      <c r="AD50" s="894">
        <f t="shared" si="81"/>
        <v>0</v>
      </c>
      <c r="AE50" s="894">
        <f t="shared" si="82"/>
        <v>0</v>
      </c>
      <c r="AF50" s="894">
        <f t="shared" si="83"/>
        <v>0</v>
      </c>
      <c r="AG50" s="894">
        <f t="shared" si="84"/>
        <v>0</v>
      </c>
      <c r="AH50" s="894">
        <f t="shared" si="85"/>
        <v>0</v>
      </c>
      <c r="AI50" s="894">
        <f t="shared" si="86"/>
        <v>0</v>
      </c>
      <c r="AJ50" s="192">
        <f t="shared" si="90"/>
        <v>0</v>
      </c>
      <c r="AK50" s="824"/>
      <c r="AL50" s="895"/>
      <c r="AM50" s="895"/>
      <c r="AN50" s="895"/>
      <c r="AO50" s="895"/>
      <c r="AP50" s="895"/>
      <c r="AQ50" s="895"/>
      <c r="AR50" s="895">
        <v>0</v>
      </c>
      <c r="AS50" s="895"/>
      <c r="AT50" s="895"/>
      <c r="AU50" s="895"/>
      <c r="AV50" s="895"/>
      <c r="AW50" s="895"/>
      <c r="AX50" s="895"/>
      <c r="AY50" s="895"/>
      <c r="AZ50" s="895"/>
      <c r="BA50" s="895"/>
      <c r="BB50" s="895"/>
      <c r="BC50" s="895"/>
      <c r="BD50" s="895"/>
      <c r="BE50" s="895"/>
      <c r="BF50" s="895"/>
      <c r="BG50" s="895"/>
      <c r="BH50" s="895"/>
      <c r="BI50" s="895"/>
      <c r="BJ50" s="895"/>
      <c r="BK50" s="895"/>
      <c r="BL50" s="895"/>
      <c r="BM50" s="895">
        <v>0</v>
      </c>
      <c r="BN50" s="895">
        <v>0</v>
      </c>
      <c r="BO50" s="895">
        <v>0</v>
      </c>
      <c r="BP50" s="199">
        <f t="shared" si="3"/>
        <v>0</v>
      </c>
      <c r="BR50" s="508">
        <f t="shared" si="87"/>
        <v>2623196.7196423584</v>
      </c>
      <c r="BT50" s="176"/>
      <c r="BU50" s="176"/>
      <c r="BV50" s="526"/>
      <c r="BW50" s="529">
        <v>2732496.58296079</v>
      </c>
      <c r="BX50" s="526"/>
      <c r="BY50" s="502"/>
      <c r="BZ50" s="526"/>
      <c r="CA50" s="566"/>
      <c r="CB50" s="502"/>
      <c r="CI50" s="531"/>
    </row>
    <row r="51" spans="2:87" ht="15">
      <c r="B51" s="176" t="s">
        <v>42</v>
      </c>
      <c r="C51" s="194" t="s">
        <v>96</v>
      </c>
      <c r="D51" s="207" t="s">
        <v>97</v>
      </c>
      <c r="E51" s="196">
        <f t="shared" si="88"/>
        <v>674461.74719999998</v>
      </c>
      <c r="F51" s="894">
        <f t="shared" si="58"/>
        <v>0</v>
      </c>
      <c r="G51" s="894">
        <f t="shared" si="89"/>
        <v>0</v>
      </c>
      <c r="H51" s="894">
        <f t="shared" si="59"/>
        <v>0</v>
      </c>
      <c r="I51" s="894">
        <f t="shared" si="60"/>
        <v>0</v>
      </c>
      <c r="J51" s="894">
        <f t="shared" si="61"/>
        <v>0</v>
      </c>
      <c r="K51" s="894">
        <f t="shared" si="62"/>
        <v>674461.74719999998</v>
      </c>
      <c r="L51" s="894">
        <f t="shared" si="63"/>
        <v>0</v>
      </c>
      <c r="M51" s="894">
        <f t="shared" si="64"/>
        <v>0</v>
      </c>
      <c r="N51" s="894">
        <f t="shared" si="65"/>
        <v>0</v>
      </c>
      <c r="O51" s="894">
        <f t="shared" si="66"/>
        <v>0</v>
      </c>
      <c r="P51" s="894">
        <f t="shared" si="67"/>
        <v>0</v>
      </c>
      <c r="Q51" s="894">
        <f t="shared" si="68"/>
        <v>0</v>
      </c>
      <c r="R51" s="894">
        <f t="shared" si="69"/>
        <v>0</v>
      </c>
      <c r="S51" s="894">
        <f t="shared" si="70"/>
        <v>0</v>
      </c>
      <c r="T51" s="894">
        <f t="shared" si="71"/>
        <v>0</v>
      </c>
      <c r="U51" s="894">
        <f t="shared" si="72"/>
        <v>0</v>
      </c>
      <c r="V51" s="894">
        <f t="shared" si="73"/>
        <v>0</v>
      </c>
      <c r="W51" s="894">
        <f t="shared" si="74"/>
        <v>0</v>
      </c>
      <c r="X51" s="894">
        <f t="shared" si="75"/>
        <v>0</v>
      </c>
      <c r="Y51" s="894">
        <f t="shared" si="76"/>
        <v>0</v>
      </c>
      <c r="Z51" s="894">
        <f t="shared" si="77"/>
        <v>0</v>
      </c>
      <c r="AA51" s="894">
        <f t="shared" si="78"/>
        <v>0</v>
      </c>
      <c r="AB51" s="894">
        <f t="shared" si="79"/>
        <v>0</v>
      </c>
      <c r="AC51" s="894">
        <f t="shared" si="80"/>
        <v>0</v>
      </c>
      <c r="AD51" s="894">
        <f t="shared" si="81"/>
        <v>0</v>
      </c>
      <c r="AE51" s="894">
        <f t="shared" si="82"/>
        <v>0</v>
      </c>
      <c r="AF51" s="894">
        <f t="shared" si="83"/>
        <v>0</v>
      </c>
      <c r="AG51" s="894">
        <f t="shared" si="84"/>
        <v>0</v>
      </c>
      <c r="AH51" s="894">
        <f t="shared" si="85"/>
        <v>0</v>
      </c>
      <c r="AI51" s="894">
        <f t="shared" si="86"/>
        <v>0</v>
      </c>
      <c r="AJ51" s="192">
        <f t="shared" si="90"/>
        <v>674461.74719999998</v>
      </c>
      <c r="AK51" s="824"/>
      <c r="AL51" s="895"/>
      <c r="AM51" s="895"/>
      <c r="AN51" s="895"/>
      <c r="AO51" s="895"/>
      <c r="AP51" s="895"/>
      <c r="AQ51" s="895">
        <v>1</v>
      </c>
      <c r="AR51" s="895"/>
      <c r="AS51" s="895"/>
      <c r="AT51" s="895"/>
      <c r="AU51" s="895"/>
      <c r="AV51" s="895"/>
      <c r="AW51" s="895"/>
      <c r="AX51" s="895"/>
      <c r="AY51" s="895"/>
      <c r="AZ51" s="895"/>
      <c r="BA51" s="895"/>
      <c r="BB51" s="895"/>
      <c r="BC51" s="895"/>
      <c r="BD51" s="895"/>
      <c r="BE51" s="895"/>
      <c r="BF51" s="895"/>
      <c r="BG51" s="895"/>
      <c r="BH51" s="895"/>
      <c r="BI51" s="895"/>
      <c r="BJ51" s="895"/>
      <c r="BK51" s="895"/>
      <c r="BL51" s="895"/>
      <c r="BM51" s="895"/>
      <c r="BN51" s="895"/>
      <c r="BO51" s="895"/>
      <c r="BP51" s="199">
        <f t="shared" si="3"/>
        <v>1</v>
      </c>
      <c r="BR51" s="508">
        <f t="shared" si="87"/>
        <v>674461.74719999998</v>
      </c>
      <c r="BS51" s="502">
        <f t="shared" si="91"/>
        <v>674461.74719999998</v>
      </c>
      <c r="BT51" s="176">
        <v>2</v>
      </c>
      <c r="BU51" s="176">
        <v>2</v>
      </c>
      <c r="BV51" s="526"/>
      <c r="BW51" s="529">
        <v>702564.32</v>
      </c>
      <c r="BX51" s="526"/>
      <c r="BY51" s="502"/>
      <c r="BZ51" s="526"/>
      <c r="CA51" s="502"/>
      <c r="CB51" s="502"/>
      <c r="CI51" s="531"/>
    </row>
    <row r="52" spans="2:87" ht="15">
      <c r="B52" s="176" t="s">
        <v>42</v>
      </c>
      <c r="C52" s="194" t="s">
        <v>98</v>
      </c>
      <c r="D52" s="207" t="s">
        <v>99</v>
      </c>
      <c r="E52" s="196">
        <f t="shared" si="88"/>
        <v>3960008.9552225592</v>
      </c>
      <c r="F52" s="894">
        <f t="shared" si="58"/>
        <v>0</v>
      </c>
      <c r="G52" s="894">
        <f t="shared" si="89"/>
        <v>0</v>
      </c>
      <c r="H52" s="894">
        <f t="shared" si="59"/>
        <v>0</v>
      </c>
      <c r="I52" s="894">
        <f t="shared" si="60"/>
        <v>0</v>
      </c>
      <c r="J52" s="894">
        <f t="shared" si="61"/>
        <v>0</v>
      </c>
      <c r="K52" s="894">
        <f t="shared" si="62"/>
        <v>3960008.9552225592</v>
      </c>
      <c r="L52" s="894">
        <f t="shared" si="63"/>
        <v>0</v>
      </c>
      <c r="M52" s="894">
        <f t="shared" si="64"/>
        <v>0</v>
      </c>
      <c r="N52" s="894">
        <f t="shared" si="65"/>
        <v>0</v>
      </c>
      <c r="O52" s="894">
        <f t="shared" si="66"/>
        <v>0</v>
      </c>
      <c r="P52" s="894">
        <f t="shared" si="67"/>
        <v>0</v>
      </c>
      <c r="Q52" s="894">
        <f t="shared" si="68"/>
        <v>0</v>
      </c>
      <c r="R52" s="894">
        <f t="shared" si="69"/>
        <v>0</v>
      </c>
      <c r="S52" s="894">
        <f t="shared" si="70"/>
        <v>0</v>
      </c>
      <c r="T52" s="894">
        <f t="shared" si="71"/>
        <v>0</v>
      </c>
      <c r="U52" s="894">
        <f t="shared" si="72"/>
        <v>0</v>
      </c>
      <c r="V52" s="894">
        <f t="shared" si="73"/>
        <v>0</v>
      </c>
      <c r="W52" s="894">
        <f t="shared" si="74"/>
        <v>0</v>
      </c>
      <c r="X52" s="894">
        <f t="shared" si="75"/>
        <v>0</v>
      </c>
      <c r="Y52" s="894">
        <f t="shared" si="76"/>
        <v>0</v>
      </c>
      <c r="Z52" s="894">
        <f t="shared" si="77"/>
        <v>0</v>
      </c>
      <c r="AA52" s="894">
        <f t="shared" si="78"/>
        <v>0</v>
      </c>
      <c r="AB52" s="894">
        <f t="shared" si="79"/>
        <v>0</v>
      </c>
      <c r="AC52" s="894">
        <f t="shared" si="80"/>
        <v>0</v>
      </c>
      <c r="AD52" s="894">
        <f t="shared" si="81"/>
        <v>0</v>
      </c>
      <c r="AE52" s="894">
        <f t="shared" si="82"/>
        <v>0</v>
      </c>
      <c r="AF52" s="894">
        <f t="shared" si="83"/>
        <v>0</v>
      </c>
      <c r="AG52" s="894">
        <f t="shared" si="84"/>
        <v>0</v>
      </c>
      <c r="AH52" s="894">
        <f t="shared" si="85"/>
        <v>0</v>
      </c>
      <c r="AI52" s="894">
        <f t="shared" si="86"/>
        <v>0</v>
      </c>
      <c r="AJ52" s="192">
        <f t="shared" si="90"/>
        <v>3960008.9552225592</v>
      </c>
      <c r="AK52" s="824"/>
      <c r="AL52" s="895"/>
      <c r="AM52" s="895"/>
      <c r="AN52" s="895"/>
      <c r="AO52" s="895"/>
      <c r="AP52" s="895"/>
      <c r="AQ52" s="895">
        <v>1</v>
      </c>
      <c r="AR52" s="895">
        <v>0</v>
      </c>
      <c r="AS52" s="895"/>
      <c r="AT52" s="895"/>
      <c r="AU52" s="895"/>
      <c r="AV52" s="895"/>
      <c r="AW52" s="895"/>
      <c r="AX52" s="895"/>
      <c r="AY52" s="895"/>
      <c r="AZ52" s="895"/>
      <c r="BA52" s="895"/>
      <c r="BB52" s="895"/>
      <c r="BC52" s="895"/>
      <c r="BD52" s="895"/>
      <c r="BE52" s="895"/>
      <c r="BF52" s="895"/>
      <c r="BG52" s="895"/>
      <c r="BH52" s="895"/>
      <c r="BI52" s="895"/>
      <c r="BJ52" s="895"/>
      <c r="BK52" s="895"/>
      <c r="BL52" s="895"/>
      <c r="BM52" s="895">
        <v>0</v>
      </c>
      <c r="BN52" s="895">
        <v>0</v>
      </c>
      <c r="BO52" s="895">
        <v>0</v>
      </c>
      <c r="BP52" s="199">
        <f t="shared" si="3"/>
        <v>1</v>
      </c>
      <c r="BR52" s="508">
        <f t="shared" si="87"/>
        <v>25010582.875089847</v>
      </c>
      <c r="BS52" s="502">
        <f t="shared" si="91"/>
        <v>3960008.9552225592</v>
      </c>
      <c r="BT52" s="176">
        <v>19</v>
      </c>
      <c r="BU52" s="176">
        <v>120</v>
      </c>
      <c r="BV52" s="526"/>
      <c r="BW52" s="529">
        <v>26052690.494885258</v>
      </c>
      <c r="BX52" s="526"/>
      <c r="BY52" s="502"/>
      <c r="BZ52" s="526"/>
      <c r="CA52" s="566"/>
      <c r="CB52" s="502"/>
      <c r="CI52" s="531"/>
    </row>
    <row r="53" spans="2:87" ht="15">
      <c r="B53" s="176" t="s">
        <v>42</v>
      </c>
      <c r="C53" s="194" t="s">
        <v>100</v>
      </c>
      <c r="D53" s="207" t="s">
        <v>101</v>
      </c>
      <c r="E53" s="196">
        <f t="shared" si="88"/>
        <v>17370843.766449068</v>
      </c>
      <c r="F53" s="894">
        <f t="shared" si="58"/>
        <v>0</v>
      </c>
      <c r="G53" s="894">
        <f t="shared" si="89"/>
        <v>0</v>
      </c>
      <c r="H53" s="894">
        <f t="shared" si="59"/>
        <v>0</v>
      </c>
      <c r="I53" s="894">
        <f t="shared" si="60"/>
        <v>0</v>
      </c>
      <c r="J53" s="894">
        <f t="shared" si="61"/>
        <v>0</v>
      </c>
      <c r="K53" s="894">
        <f t="shared" si="62"/>
        <v>5211253.1299347198</v>
      </c>
      <c r="L53" s="894">
        <f t="shared" si="63"/>
        <v>0</v>
      </c>
      <c r="M53" s="894">
        <f t="shared" si="64"/>
        <v>0</v>
      </c>
      <c r="N53" s="894">
        <f t="shared" si="65"/>
        <v>0</v>
      </c>
      <c r="O53" s="894">
        <f t="shared" si="66"/>
        <v>0</v>
      </c>
      <c r="P53" s="894">
        <f t="shared" si="67"/>
        <v>0</v>
      </c>
      <c r="Q53" s="894">
        <f t="shared" si="68"/>
        <v>0</v>
      </c>
      <c r="R53" s="894">
        <f t="shared" si="69"/>
        <v>0</v>
      </c>
      <c r="S53" s="894">
        <f t="shared" si="70"/>
        <v>0</v>
      </c>
      <c r="T53" s="894">
        <f t="shared" si="71"/>
        <v>3474168.7532898136</v>
      </c>
      <c r="U53" s="894">
        <f t="shared" si="72"/>
        <v>0</v>
      </c>
      <c r="V53" s="894">
        <f t="shared" si="73"/>
        <v>0</v>
      </c>
      <c r="W53" s="894">
        <f t="shared" si="74"/>
        <v>0</v>
      </c>
      <c r="X53" s="894">
        <f t="shared" si="75"/>
        <v>0</v>
      </c>
      <c r="Y53" s="894">
        <f t="shared" si="76"/>
        <v>6948337.5065796273</v>
      </c>
      <c r="Z53" s="894">
        <f t="shared" si="77"/>
        <v>0</v>
      </c>
      <c r="AA53" s="894">
        <f t="shared" si="78"/>
        <v>0</v>
      </c>
      <c r="AB53" s="894">
        <f t="shared" si="79"/>
        <v>0</v>
      </c>
      <c r="AC53" s="894">
        <f t="shared" si="80"/>
        <v>0</v>
      </c>
      <c r="AD53" s="894">
        <f t="shared" si="81"/>
        <v>1737084.3766449068</v>
      </c>
      <c r="AE53" s="894">
        <f t="shared" si="82"/>
        <v>0</v>
      </c>
      <c r="AF53" s="894">
        <f t="shared" si="83"/>
        <v>0</v>
      </c>
      <c r="AG53" s="894">
        <f t="shared" si="84"/>
        <v>0</v>
      </c>
      <c r="AH53" s="894">
        <f t="shared" si="85"/>
        <v>0</v>
      </c>
      <c r="AI53" s="894">
        <f t="shared" si="86"/>
        <v>0</v>
      </c>
      <c r="AJ53" s="192">
        <f t="shared" si="90"/>
        <v>17370843.766449068</v>
      </c>
      <c r="AK53" s="824"/>
      <c r="AL53" s="895"/>
      <c r="AM53" s="895"/>
      <c r="AN53" s="895"/>
      <c r="AO53" s="895"/>
      <c r="AP53" s="895"/>
      <c r="AQ53" s="895">
        <v>0.3</v>
      </c>
      <c r="AR53" s="895">
        <v>0</v>
      </c>
      <c r="AS53" s="895"/>
      <c r="AT53" s="895"/>
      <c r="AU53" s="895"/>
      <c r="AV53" s="895"/>
      <c r="AW53" s="895"/>
      <c r="AX53" s="895"/>
      <c r="AY53" s="895"/>
      <c r="AZ53" s="895">
        <v>0.2</v>
      </c>
      <c r="BA53" s="895"/>
      <c r="BB53" s="895"/>
      <c r="BC53" s="895"/>
      <c r="BD53" s="895"/>
      <c r="BE53" s="895">
        <v>0.4</v>
      </c>
      <c r="BF53" s="895"/>
      <c r="BG53" s="895"/>
      <c r="BH53" s="895"/>
      <c r="BI53" s="895"/>
      <c r="BJ53" s="895">
        <v>0.1</v>
      </c>
      <c r="BK53" s="895"/>
      <c r="BL53" s="895"/>
      <c r="BM53" s="895">
        <v>0</v>
      </c>
      <c r="BN53" s="895">
        <v>0</v>
      </c>
      <c r="BO53" s="895">
        <v>0</v>
      </c>
      <c r="BP53" s="199">
        <f t="shared" si="3"/>
        <v>1</v>
      </c>
      <c r="BR53" s="508">
        <f t="shared" si="87"/>
        <v>92219730.420337722</v>
      </c>
      <c r="BS53" s="502">
        <f>(BR53/BU53*BT53)*0.7</f>
        <v>17370843.766449068</v>
      </c>
      <c r="BT53" s="176">
        <v>29.6</v>
      </c>
      <c r="BU53" s="176">
        <v>110</v>
      </c>
      <c r="BV53" s="526" t="s">
        <v>102</v>
      </c>
      <c r="BW53" s="529">
        <v>96062219.187851787</v>
      </c>
      <c r="BX53" s="526"/>
      <c r="BY53" s="502"/>
      <c r="BZ53" s="526"/>
      <c r="CA53" s="566"/>
      <c r="CB53" s="502"/>
      <c r="CH53" s="567"/>
      <c r="CI53" s="531"/>
    </row>
    <row r="54" spans="2:87" ht="15">
      <c r="B54" s="176" t="s">
        <v>42</v>
      </c>
      <c r="C54" s="194" t="s">
        <v>103</v>
      </c>
      <c r="D54" s="207" t="s">
        <v>104</v>
      </c>
      <c r="E54" s="196">
        <f t="shared" si="88"/>
        <v>3248574.8297480354</v>
      </c>
      <c r="F54" s="894">
        <f t="shared" si="58"/>
        <v>0</v>
      </c>
      <c r="G54" s="894">
        <f t="shared" si="89"/>
        <v>0</v>
      </c>
      <c r="H54" s="894">
        <f t="shared" si="59"/>
        <v>0</v>
      </c>
      <c r="I54" s="894">
        <f t="shared" si="60"/>
        <v>0</v>
      </c>
      <c r="J54" s="894">
        <f t="shared" si="61"/>
        <v>0</v>
      </c>
      <c r="K54" s="894">
        <f t="shared" si="62"/>
        <v>3248574.8297480354</v>
      </c>
      <c r="L54" s="894">
        <f t="shared" si="63"/>
        <v>0</v>
      </c>
      <c r="M54" s="894">
        <f t="shared" si="64"/>
        <v>0</v>
      </c>
      <c r="N54" s="894">
        <f t="shared" si="65"/>
        <v>0</v>
      </c>
      <c r="O54" s="894">
        <f t="shared" si="66"/>
        <v>0</v>
      </c>
      <c r="P54" s="894">
        <f t="shared" si="67"/>
        <v>0</v>
      </c>
      <c r="Q54" s="894">
        <f t="shared" si="68"/>
        <v>0</v>
      </c>
      <c r="R54" s="894">
        <f t="shared" si="69"/>
        <v>0</v>
      </c>
      <c r="S54" s="894">
        <f t="shared" si="70"/>
        <v>0</v>
      </c>
      <c r="T54" s="894">
        <f t="shared" si="71"/>
        <v>0</v>
      </c>
      <c r="U54" s="894">
        <f t="shared" si="72"/>
        <v>0</v>
      </c>
      <c r="V54" s="894">
        <f t="shared" si="73"/>
        <v>0</v>
      </c>
      <c r="W54" s="894">
        <f t="shared" si="74"/>
        <v>0</v>
      </c>
      <c r="X54" s="894">
        <f t="shared" si="75"/>
        <v>0</v>
      </c>
      <c r="Y54" s="894">
        <f t="shared" si="76"/>
        <v>0</v>
      </c>
      <c r="Z54" s="894">
        <f t="shared" si="77"/>
        <v>0</v>
      </c>
      <c r="AA54" s="894">
        <f t="shared" si="78"/>
        <v>0</v>
      </c>
      <c r="AB54" s="894">
        <f t="shared" si="79"/>
        <v>0</v>
      </c>
      <c r="AC54" s="894">
        <f t="shared" si="80"/>
        <v>0</v>
      </c>
      <c r="AD54" s="894">
        <f t="shared" si="81"/>
        <v>0</v>
      </c>
      <c r="AE54" s="894">
        <f t="shared" si="82"/>
        <v>0</v>
      </c>
      <c r="AF54" s="894">
        <f t="shared" si="83"/>
        <v>0</v>
      </c>
      <c r="AG54" s="894">
        <f t="shared" si="84"/>
        <v>0</v>
      </c>
      <c r="AH54" s="894">
        <f t="shared" si="85"/>
        <v>0</v>
      </c>
      <c r="AI54" s="894">
        <f t="shared" si="86"/>
        <v>0</v>
      </c>
      <c r="AJ54" s="192">
        <f t="shared" si="90"/>
        <v>3248574.8297480354</v>
      </c>
      <c r="AK54" s="824"/>
      <c r="AL54" s="895"/>
      <c r="AM54" s="895"/>
      <c r="AN54" s="895"/>
      <c r="AO54" s="895"/>
      <c r="AP54" s="895"/>
      <c r="AQ54" s="895">
        <v>1</v>
      </c>
      <c r="AR54" s="895">
        <v>0</v>
      </c>
      <c r="AS54" s="895">
        <v>0</v>
      </c>
      <c r="AT54" s="895"/>
      <c r="AU54" s="895"/>
      <c r="AV54" s="895">
        <v>0</v>
      </c>
      <c r="AW54" s="895">
        <v>0</v>
      </c>
      <c r="AX54" s="895">
        <v>0</v>
      </c>
      <c r="AY54" s="895">
        <v>0</v>
      </c>
      <c r="AZ54" s="895">
        <v>0</v>
      </c>
      <c r="BA54" s="895">
        <v>0</v>
      </c>
      <c r="BB54" s="895">
        <v>0</v>
      </c>
      <c r="BC54" s="895">
        <v>0</v>
      </c>
      <c r="BD54" s="895">
        <v>0</v>
      </c>
      <c r="BE54" s="895">
        <v>0</v>
      </c>
      <c r="BF54" s="895">
        <v>0</v>
      </c>
      <c r="BG54" s="895">
        <v>0</v>
      </c>
      <c r="BH54" s="895">
        <v>0</v>
      </c>
      <c r="BI54" s="895">
        <v>0</v>
      </c>
      <c r="BJ54" s="895">
        <v>0</v>
      </c>
      <c r="BK54" s="895">
        <v>0</v>
      </c>
      <c r="BL54" s="895">
        <v>0</v>
      </c>
      <c r="BM54" s="895">
        <v>0</v>
      </c>
      <c r="BN54" s="895">
        <v>0</v>
      </c>
      <c r="BO54" s="895">
        <v>0</v>
      </c>
      <c r="BP54" s="199">
        <f t="shared" si="3"/>
        <v>1</v>
      </c>
      <c r="BR54" s="508">
        <f t="shared" si="87"/>
        <v>39970209.915037103</v>
      </c>
      <c r="BS54" s="502">
        <f t="shared" si="91"/>
        <v>3248574.8297480354</v>
      </c>
      <c r="BT54" s="176">
        <v>10.199999999999999</v>
      </c>
      <c r="BU54" s="176">
        <v>125.5</v>
      </c>
      <c r="BV54" s="526" t="s">
        <v>102</v>
      </c>
      <c r="BW54" s="529">
        <v>41635635.328163654</v>
      </c>
      <c r="BX54" s="526"/>
      <c r="BY54" s="502"/>
      <c r="BZ54" s="526"/>
      <c r="CA54" s="566"/>
      <c r="CB54" s="566"/>
      <c r="CI54" s="531"/>
    </row>
    <row r="55" spans="2:87" ht="15">
      <c r="B55" s="176" t="s">
        <v>42</v>
      </c>
      <c r="C55" s="194" t="s">
        <v>105</v>
      </c>
      <c r="D55" s="207" t="s">
        <v>106</v>
      </c>
      <c r="E55" s="196">
        <f t="shared" si="88"/>
        <v>32558384.626492508</v>
      </c>
      <c r="F55" s="894">
        <f t="shared" si="58"/>
        <v>0</v>
      </c>
      <c r="G55" s="894">
        <f t="shared" si="89"/>
        <v>0</v>
      </c>
      <c r="H55" s="894">
        <f t="shared" si="59"/>
        <v>0</v>
      </c>
      <c r="I55" s="894">
        <f t="shared" si="60"/>
        <v>0</v>
      </c>
      <c r="J55" s="894">
        <f t="shared" si="61"/>
        <v>0</v>
      </c>
      <c r="K55" s="894">
        <f t="shared" si="62"/>
        <v>19535030.775895502</v>
      </c>
      <c r="L55" s="894">
        <f t="shared" si="63"/>
        <v>0</v>
      </c>
      <c r="M55" s="894">
        <f t="shared" si="64"/>
        <v>0</v>
      </c>
      <c r="N55" s="894">
        <f t="shared" si="65"/>
        <v>0</v>
      </c>
      <c r="O55" s="894">
        <f t="shared" si="66"/>
        <v>0</v>
      </c>
      <c r="P55" s="894">
        <f t="shared" si="67"/>
        <v>0</v>
      </c>
      <c r="Q55" s="894">
        <f t="shared" si="68"/>
        <v>0</v>
      </c>
      <c r="R55" s="894">
        <f t="shared" si="69"/>
        <v>0</v>
      </c>
      <c r="S55" s="894">
        <f t="shared" si="70"/>
        <v>0</v>
      </c>
      <c r="T55" s="894">
        <f t="shared" si="71"/>
        <v>0</v>
      </c>
      <c r="U55" s="894">
        <f t="shared" si="72"/>
        <v>0</v>
      </c>
      <c r="V55" s="894">
        <f t="shared" si="73"/>
        <v>0</v>
      </c>
      <c r="W55" s="894">
        <f t="shared" si="74"/>
        <v>0</v>
      </c>
      <c r="X55" s="894">
        <f t="shared" si="75"/>
        <v>0</v>
      </c>
      <c r="Y55" s="894">
        <f t="shared" si="76"/>
        <v>13023353.850597003</v>
      </c>
      <c r="Z55" s="894">
        <f t="shared" si="77"/>
        <v>0</v>
      </c>
      <c r="AA55" s="894">
        <f t="shared" si="78"/>
        <v>0</v>
      </c>
      <c r="AB55" s="894">
        <f t="shared" si="79"/>
        <v>0</v>
      </c>
      <c r="AC55" s="894">
        <f t="shared" si="80"/>
        <v>0</v>
      </c>
      <c r="AD55" s="894">
        <f t="shared" si="81"/>
        <v>0</v>
      </c>
      <c r="AE55" s="894">
        <f t="shared" si="82"/>
        <v>0</v>
      </c>
      <c r="AF55" s="894">
        <f t="shared" si="83"/>
        <v>0</v>
      </c>
      <c r="AG55" s="894">
        <f t="shared" si="84"/>
        <v>0</v>
      </c>
      <c r="AH55" s="894">
        <f t="shared" si="85"/>
        <v>0</v>
      </c>
      <c r="AI55" s="894">
        <f t="shared" si="86"/>
        <v>0</v>
      </c>
      <c r="AJ55" s="192">
        <f t="shared" si="90"/>
        <v>32558384.626492508</v>
      </c>
      <c r="AK55" s="824"/>
      <c r="AL55" s="895"/>
      <c r="AM55" s="895"/>
      <c r="AN55" s="895"/>
      <c r="AO55" s="895"/>
      <c r="AP55" s="895"/>
      <c r="AQ55" s="895">
        <v>0.6</v>
      </c>
      <c r="AR55" s="895">
        <v>0</v>
      </c>
      <c r="AS55" s="895">
        <v>0</v>
      </c>
      <c r="AT55" s="895">
        <v>0</v>
      </c>
      <c r="AU55" s="895">
        <v>0</v>
      </c>
      <c r="AV55" s="895">
        <v>0</v>
      </c>
      <c r="AW55" s="895">
        <v>0</v>
      </c>
      <c r="AX55" s="895">
        <v>0</v>
      </c>
      <c r="AY55" s="895">
        <v>0</v>
      </c>
      <c r="AZ55" s="895">
        <v>0</v>
      </c>
      <c r="BA55" s="895">
        <v>0</v>
      </c>
      <c r="BB55" s="895">
        <v>0</v>
      </c>
      <c r="BC55" s="895">
        <v>0</v>
      </c>
      <c r="BD55" s="895">
        <v>0</v>
      </c>
      <c r="BE55" s="895">
        <v>0.4</v>
      </c>
      <c r="BF55" s="895">
        <v>0</v>
      </c>
      <c r="BG55" s="895">
        <v>0</v>
      </c>
      <c r="BH55" s="895">
        <v>0</v>
      </c>
      <c r="BI55" s="895">
        <v>0</v>
      </c>
      <c r="BJ55" s="895">
        <v>0</v>
      </c>
      <c r="BK55" s="895">
        <v>0</v>
      </c>
      <c r="BL55" s="895">
        <v>0</v>
      </c>
      <c r="BM55" s="895">
        <v>0</v>
      </c>
      <c r="BN55" s="895">
        <v>0</v>
      </c>
      <c r="BO55" s="895">
        <v>0</v>
      </c>
      <c r="BP55" s="199">
        <f t="shared" si="3"/>
        <v>1</v>
      </c>
      <c r="BR55" s="508">
        <f t="shared" si="87"/>
        <v>292961273.85548908</v>
      </c>
      <c r="BS55" s="502">
        <f>(BR55/BU55*BT55)*1.1958</f>
        <v>32558384.626492508</v>
      </c>
      <c r="BT55" s="176">
        <v>12.7</v>
      </c>
      <c r="BU55" s="176">
        <v>136.65</v>
      </c>
      <c r="BV55" s="526" t="s">
        <v>102</v>
      </c>
      <c r="BW55" s="529">
        <v>305167993.59946781</v>
      </c>
      <c r="BX55" s="526"/>
      <c r="BY55" s="502"/>
      <c r="BZ55" s="526"/>
      <c r="CA55" s="566"/>
      <c r="CB55" s="502"/>
      <c r="CH55" s="567"/>
      <c r="CI55" s="531"/>
    </row>
    <row r="56" spans="2:87" ht="15">
      <c r="B56" s="176" t="s">
        <v>42</v>
      </c>
      <c r="C56" s="194" t="s">
        <v>107</v>
      </c>
      <c r="D56" s="207" t="s">
        <v>108</v>
      </c>
      <c r="E56" s="196">
        <f t="shared" si="88"/>
        <v>6999062.3068253808</v>
      </c>
      <c r="F56" s="894">
        <f t="shared" si="58"/>
        <v>0</v>
      </c>
      <c r="G56" s="894">
        <f t="shared" si="89"/>
        <v>0</v>
      </c>
      <c r="H56" s="894">
        <f t="shared" si="59"/>
        <v>0</v>
      </c>
      <c r="I56" s="894">
        <f t="shared" si="60"/>
        <v>0</v>
      </c>
      <c r="J56" s="894">
        <f t="shared" si="61"/>
        <v>0</v>
      </c>
      <c r="K56" s="894">
        <f t="shared" si="62"/>
        <v>6999062.3068253808</v>
      </c>
      <c r="L56" s="894">
        <f t="shared" si="63"/>
        <v>0</v>
      </c>
      <c r="M56" s="894">
        <f t="shared" si="64"/>
        <v>0</v>
      </c>
      <c r="N56" s="894">
        <f t="shared" si="65"/>
        <v>0</v>
      </c>
      <c r="O56" s="894">
        <f t="shared" si="66"/>
        <v>0</v>
      </c>
      <c r="P56" s="894">
        <f t="shared" si="67"/>
        <v>0</v>
      </c>
      <c r="Q56" s="894">
        <f t="shared" si="68"/>
        <v>0</v>
      </c>
      <c r="R56" s="894">
        <f t="shared" si="69"/>
        <v>0</v>
      </c>
      <c r="S56" s="894">
        <f t="shared" si="70"/>
        <v>0</v>
      </c>
      <c r="T56" s="894">
        <f t="shared" si="71"/>
        <v>0</v>
      </c>
      <c r="U56" s="894">
        <f t="shared" si="72"/>
        <v>0</v>
      </c>
      <c r="V56" s="894">
        <f t="shared" si="73"/>
        <v>0</v>
      </c>
      <c r="W56" s="894">
        <f t="shared" si="74"/>
        <v>0</v>
      </c>
      <c r="X56" s="894">
        <f t="shared" si="75"/>
        <v>0</v>
      </c>
      <c r="Y56" s="894">
        <f t="shared" si="76"/>
        <v>0</v>
      </c>
      <c r="Z56" s="894">
        <f t="shared" si="77"/>
        <v>0</v>
      </c>
      <c r="AA56" s="894">
        <f t="shared" si="78"/>
        <v>0</v>
      </c>
      <c r="AB56" s="894">
        <f t="shared" si="79"/>
        <v>0</v>
      </c>
      <c r="AC56" s="894">
        <f t="shared" si="80"/>
        <v>0</v>
      </c>
      <c r="AD56" s="894">
        <f t="shared" si="81"/>
        <v>0</v>
      </c>
      <c r="AE56" s="894">
        <f t="shared" si="82"/>
        <v>0</v>
      </c>
      <c r="AF56" s="894">
        <f t="shared" si="83"/>
        <v>0</v>
      </c>
      <c r="AG56" s="894">
        <f t="shared" si="84"/>
        <v>0</v>
      </c>
      <c r="AH56" s="894">
        <f t="shared" si="85"/>
        <v>0</v>
      </c>
      <c r="AI56" s="894">
        <f t="shared" si="86"/>
        <v>0</v>
      </c>
      <c r="AJ56" s="192">
        <f t="shared" si="90"/>
        <v>6999062.3068253808</v>
      </c>
      <c r="AK56" s="824"/>
      <c r="AL56" s="895"/>
      <c r="AM56" s="895"/>
      <c r="AN56" s="895"/>
      <c r="AO56" s="895"/>
      <c r="AP56" s="895"/>
      <c r="AQ56" s="895">
        <v>1</v>
      </c>
      <c r="AR56" s="895">
        <v>0</v>
      </c>
      <c r="AS56" s="895">
        <v>0</v>
      </c>
      <c r="AT56" s="895">
        <v>0</v>
      </c>
      <c r="AU56" s="895">
        <v>0</v>
      </c>
      <c r="AV56" s="895">
        <v>0</v>
      </c>
      <c r="AW56" s="895">
        <v>0</v>
      </c>
      <c r="AX56" s="895">
        <v>0</v>
      </c>
      <c r="AY56" s="895">
        <v>0</v>
      </c>
      <c r="AZ56" s="895">
        <v>0</v>
      </c>
      <c r="BA56" s="895">
        <v>0</v>
      </c>
      <c r="BB56" s="895">
        <v>0</v>
      </c>
      <c r="BC56" s="895">
        <v>0</v>
      </c>
      <c r="BD56" s="895">
        <v>0</v>
      </c>
      <c r="BE56" s="895">
        <v>0</v>
      </c>
      <c r="BF56" s="895">
        <v>0</v>
      </c>
      <c r="BG56" s="895">
        <v>0</v>
      </c>
      <c r="BH56" s="895">
        <v>0</v>
      </c>
      <c r="BI56" s="895">
        <v>0</v>
      </c>
      <c r="BJ56" s="895">
        <v>0</v>
      </c>
      <c r="BK56" s="895">
        <v>0</v>
      </c>
      <c r="BL56" s="895">
        <v>0</v>
      </c>
      <c r="BM56" s="895">
        <v>0</v>
      </c>
      <c r="BN56" s="895">
        <v>0</v>
      </c>
      <c r="BO56" s="895">
        <v>0</v>
      </c>
      <c r="BP56" s="199">
        <f t="shared" si="3"/>
        <v>1</v>
      </c>
      <c r="BR56" s="508">
        <f t="shared" si="87"/>
        <v>12490951.904511372</v>
      </c>
      <c r="BS56" s="502">
        <f t="shared" si="91"/>
        <v>6999062.3068253808</v>
      </c>
      <c r="BT56" s="176">
        <v>3.39</v>
      </c>
      <c r="BU56" s="176">
        <v>6.05</v>
      </c>
      <c r="BV56" s="526" t="s">
        <v>102</v>
      </c>
      <c r="BW56" s="529">
        <v>13011408.233866012</v>
      </c>
      <c r="BX56" s="526"/>
      <c r="BY56" s="502"/>
      <c r="BZ56" s="526"/>
      <c r="CA56" s="566"/>
      <c r="CB56" s="502"/>
      <c r="CI56" s="531"/>
    </row>
    <row r="57" spans="2:87" ht="15">
      <c r="B57" s="176" t="s">
        <v>42</v>
      </c>
      <c r="C57" s="194" t="s">
        <v>109</v>
      </c>
      <c r="D57" s="207" t="s">
        <v>110</v>
      </c>
      <c r="E57" s="196" t="e">
        <f t="shared" si="88"/>
        <v>#N/A</v>
      </c>
      <c r="F57" s="894" t="e">
        <f t="shared" si="58"/>
        <v>#N/A</v>
      </c>
      <c r="G57" s="894" t="e">
        <f t="shared" si="89"/>
        <v>#N/A</v>
      </c>
      <c r="H57" s="894" t="e">
        <f t="shared" si="59"/>
        <v>#N/A</v>
      </c>
      <c r="I57" s="894" t="e">
        <f t="shared" si="60"/>
        <v>#N/A</v>
      </c>
      <c r="J57" s="894" t="e">
        <f t="shared" si="61"/>
        <v>#N/A</v>
      </c>
      <c r="K57" s="894" t="e">
        <f t="shared" si="62"/>
        <v>#N/A</v>
      </c>
      <c r="L57" s="894" t="e">
        <f t="shared" si="63"/>
        <v>#N/A</v>
      </c>
      <c r="M57" s="894" t="e">
        <f t="shared" si="64"/>
        <v>#N/A</v>
      </c>
      <c r="N57" s="894" t="e">
        <f t="shared" si="65"/>
        <v>#N/A</v>
      </c>
      <c r="O57" s="894" t="e">
        <f t="shared" si="66"/>
        <v>#N/A</v>
      </c>
      <c r="P57" s="894" t="e">
        <f t="shared" si="67"/>
        <v>#N/A</v>
      </c>
      <c r="Q57" s="894" t="e">
        <f t="shared" si="68"/>
        <v>#N/A</v>
      </c>
      <c r="R57" s="894" t="e">
        <f t="shared" si="69"/>
        <v>#N/A</v>
      </c>
      <c r="S57" s="894" t="e">
        <f t="shared" si="70"/>
        <v>#N/A</v>
      </c>
      <c r="T57" s="894" t="e">
        <f t="shared" si="71"/>
        <v>#N/A</v>
      </c>
      <c r="U57" s="894" t="e">
        <f t="shared" si="72"/>
        <v>#N/A</v>
      </c>
      <c r="V57" s="894" t="e">
        <f t="shared" si="73"/>
        <v>#N/A</v>
      </c>
      <c r="W57" s="894" t="e">
        <f t="shared" si="74"/>
        <v>#N/A</v>
      </c>
      <c r="X57" s="894" t="e">
        <f t="shared" si="75"/>
        <v>#N/A</v>
      </c>
      <c r="Y57" s="894" t="e">
        <f t="shared" si="76"/>
        <v>#N/A</v>
      </c>
      <c r="Z57" s="894" t="e">
        <f t="shared" si="77"/>
        <v>#N/A</v>
      </c>
      <c r="AA57" s="894" t="e">
        <f t="shared" si="78"/>
        <v>#N/A</v>
      </c>
      <c r="AB57" s="894" t="e">
        <f t="shared" si="79"/>
        <v>#N/A</v>
      </c>
      <c r="AC57" s="894" t="e">
        <f t="shared" si="80"/>
        <v>#N/A</v>
      </c>
      <c r="AD57" s="894" t="e">
        <f t="shared" si="81"/>
        <v>#N/A</v>
      </c>
      <c r="AE57" s="894" t="e">
        <f t="shared" si="82"/>
        <v>#N/A</v>
      </c>
      <c r="AF57" s="894" t="e">
        <f t="shared" si="83"/>
        <v>#N/A</v>
      </c>
      <c r="AG57" s="894" t="e">
        <f t="shared" si="84"/>
        <v>#N/A</v>
      </c>
      <c r="AH57" s="894" t="e">
        <f t="shared" si="85"/>
        <v>#N/A</v>
      </c>
      <c r="AI57" s="894" t="e">
        <f t="shared" si="86"/>
        <v>#N/A</v>
      </c>
      <c r="AJ57" s="192" t="e">
        <f t="shared" si="90"/>
        <v>#N/A</v>
      </c>
      <c r="AK57" s="824"/>
      <c r="AL57" s="895">
        <v>1</v>
      </c>
      <c r="AM57" s="895"/>
      <c r="AN57" s="895"/>
      <c r="AO57" s="895"/>
      <c r="AP57" s="895"/>
      <c r="AQ57" s="895">
        <v>0</v>
      </c>
      <c r="AR57" s="895">
        <v>0</v>
      </c>
      <c r="AS57" s="895">
        <v>0</v>
      </c>
      <c r="AT57" s="895">
        <v>0</v>
      </c>
      <c r="AU57" s="895">
        <v>0</v>
      </c>
      <c r="AV57" s="895">
        <v>0</v>
      </c>
      <c r="AW57" s="895">
        <v>0</v>
      </c>
      <c r="AX57" s="895">
        <v>0</v>
      </c>
      <c r="AY57" s="895">
        <v>0</v>
      </c>
      <c r="AZ57" s="895">
        <v>0</v>
      </c>
      <c r="BA57" s="895">
        <v>0</v>
      </c>
      <c r="BB57" s="895">
        <v>0</v>
      </c>
      <c r="BC57" s="895">
        <v>0</v>
      </c>
      <c r="BD57" s="895">
        <v>0</v>
      </c>
      <c r="BE57" s="895">
        <v>0</v>
      </c>
      <c r="BF57" s="895">
        <v>0</v>
      </c>
      <c r="BG57" s="895">
        <v>0</v>
      </c>
      <c r="BH57" s="895">
        <v>0</v>
      </c>
      <c r="BI57" s="895">
        <v>0</v>
      </c>
      <c r="BJ57" s="895">
        <v>0</v>
      </c>
      <c r="BK57" s="895">
        <v>0</v>
      </c>
      <c r="BL57" s="895">
        <v>0</v>
      </c>
      <c r="BM57" s="895">
        <v>0</v>
      </c>
      <c r="BN57" s="895">
        <v>0</v>
      </c>
      <c r="BO57" s="895">
        <v>0</v>
      </c>
      <c r="BP57" s="199">
        <f t="shared" si="3"/>
        <v>1</v>
      </c>
      <c r="BR57" s="508" t="e">
        <f t="shared" si="87"/>
        <v>#N/A</v>
      </c>
      <c r="BS57" s="502" t="e">
        <f>BR57</f>
        <v>#N/A</v>
      </c>
      <c r="BT57" s="176">
        <v>8</v>
      </c>
      <c r="BU57" s="176">
        <v>27</v>
      </c>
      <c r="BV57" s="526"/>
      <c r="BW57" s="529" t="e">
        <f>'Obras - Operação'!J427</f>
        <v>#N/A</v>
      </c>
      <c r="BX57" s="526"/>
      <c r="BY57" s="502"/>
      <c r="BZ57" s="526"/>
      <c r="CA57" s="502"/>
      <c r="CB57" s="502"/>
      <c r="CI57" s="531"/>
    </row>
    <row r="58" spans="2:87" ht="15">
      <c r="B58" s="176" t="s">
        <v>42</v>
      </c>
      <c r="C58" s="194" t="s">
        <v>111</v>
      </c>
      <c r="D58" s="207" t="s">
        <v>112</v>
      </c>
      <c r="E58" s="196">
        <f t="shared" si="88"/>
        <v>47798206.846818723</v>
      </c>
      <c r="F58" s="894">
        <f t="shared" si="58"/>
        <v>0</v>
      </c>
      <c r="G58" s="894">
        <f t="shared" si="89"/>
        <v>0</v>
      </c>
      <c r="H58" s="894">
        <f t="shared" si="59"/>
        <v>0</v>
      </c>
      <c r="I58" s="894">
        <f t="shared" si="60"/>
        <v>0</v>
      </c>
      <c r="J58" s="894">
        <f t="shared" si="61"/>
        <v>0</v>
      </c>
      <c r="K58" s="894">
        <f t="shared" si="62"/>
        <v>47798206.846818723</v>
      </c>
      <c r="L58" s="894">
        <f t="shared" si="63"/>
        <v>0</v>
      </c>
      <c r="M58" s="894">
        <f t="shared" si="64"/>
        <v>0</v>
      </c>
      <c r="N58" s="894">
        <f t="shared" si="65"/>
        <v>0</v>
      </c>
      <c r="O58" s="894">
        <f t="shared" si="66"/>
        <v>0</v>
      </c>
      <c r="P58" s="894">
        <f t="shared" si="67"/>
        <v>0</v>
      </c>
      <c r="Q58" s="894">
        <f t="shared" si="68"/>
        <v>0</v>
      </c>
      <c r="R58" s="894">
        <f t="shared" si="69"/>
        <v>0</v>
      </c>
      <c r="S58" s="894">
        <f t="shared" si="70"/>
        <v>0</v>
      </c>
      <c r="T58" s="894">
        <f t="shared" si="71"/>
        <v>0</v>
      </c>
      <c r="U58" s="894">
        <f t="shared" si="72"/>
        <v>0</v>
      </c>
      <c r="V58" s="894">
        <f t="shared" si="73"/>
        <v>0</v>
      </c>
      <c r="W58" s="894">
        <f t="shared" si="74"/>
        <v>0</v>
      </c>
      <c r="X58" s="894">
        <f t="shared" si="75"/>
        <v>0</v>
      </c>
      <c r="Y58" s="894">
        <f t="shared" si="76"/>
        <v>0</v>
      </c>
      <c r="Z58" s="894">
        <f t="shared" si="77"/>
        <v>0</v>
      </c>
      <c r="AA58" s="894">
        <f t="shared" si="78"/>
        <v>0</v>
      </c>
      <c r="AB58" s="894">
        <f t="shared" si="79"/>
        <v>0</v>
      </c>
      <c r="AC58" s="894">
        <f t="shared" si="80"/>
        <v>0</v>
      </c>
      <c r="AD58" s="894">
        <f t="shared" si="81"/>
        <v>0</v>
      </c>
      <c r="AE58" s="894">
        <f t="shared" si="82"/>
        <v>0</v>
      </c>
      <c r="AF58" s="894">
        <f t="shared" si="83"/>
        <v>0</v>
      </c>
      <c r="AG58" s="894">
        <f t="shared" si="84"/>
        <v>0</v>
      </c>
      <c r="AH58" s="894">
        <f t="shared" si="85"/>
        <v>0</v>
      </c>
      <c r="AI58" s="894">
        <f t="shared" si="86"/>
        <v>0</v>
      </c>
      <c r="AJ58" s="192">
        <f t="shared" si="90"/>
        <v>47798206.846818723</v>
      </c>
      <c r="AK58" s="824"/>
      <c r="AL58" s="895"/>
      <c r="AM58" s="895"/>
      <c r="AN58" s="895"/>
      <c r="AO58" s="895"/>
      <c r="AP58" s="895"/>
      <c r="AQ58" s="895">
        <v>1</v>
      </c>
      <c r="AR58" s="895">
        <v>0</v>
      </c>
      <c r="AS58" s="895">
        <v>0</v>
      </c>
      <c r="AT58" s="895">
        <v>0</v>
      </c>
      <c r="AU58" s="895">
        <v>0</v>
      </c>
      <c r="AV58" s="895">
        <v>0</v>
      </c>
      <c r="AW58" s="895">
        <v>0</v>
      </c>
      <c r="AX58" s="895">
        <v>0</v>
      </c>
      <c r="AY58" s="895">
        <v>0</v>
      </c>
      <c r="AZ58" s="895">
        <v>0</v>
      </c>
      <c r="BA58" s="895">
        <v>0</v>
      </c>
      <c r="BB58" s="895">
        <v>0</v>
      </c>
      <c r="BC58" s="895">
        <v>0</v>
      </c>
      <c r="BD58" s="895">
        <v>0</v>
      </c>
      <c r="BE58" s="895">
        <v>0</v>
      </c>
      <c r="BF58" s="895">
        <v>0</v>
      </c>
      <c r="BG58" s="895">
        <v>0</v>
      </c>
      <c r="BH58" s="895">
        <v>0</v>
      </c>
      <c r="BI58" s="895">
        <v>0</v>
      </c>
      <c r="BJ58" s="895">
        <v>0</v>
      </c>
      <c r="BK58" s="895">
        <v>0</v>
      </c>
      <c r="BL58" s="895">
        <v>0</v>
      </c>
      <c r="BM58" s="895">
        <v>0</v>
      </c>
      <c r="BN58" s="895">
        <v>0</v>
      </c>
      <c r="BO58" s="895">
        <v>0</v>
      </c>
      <c r="BP58" s="199">
        <f t="shared" si="3"/>
        <v>1</v>
      </c>
      <c r="BR58" s="508">
        <f t="shared" si="87"/>
        <v>7947118.7508857958</v>
      </c>
      <c r="BS58" s="502">
        <f>(BR58/BU58*BT58)*1.1385</f>
        <v>47798206.846818723</v>
      </c>
      <c r="BT58" s="176">
        <v>18.489999999999998</v>
      </c>
      <c r="BU58" s="176">
        <v>3.5</v>
      </c>
      <c r="BV58" s="526" t="s">
        <v>102</v>
      </c>
      <c r="BW58" s="529">
        <v>8278248.6988393711</v>
      </c>
      <c r="BX58" s="526"/>
      <c r="BY58" s="502"/>
      <c r="BZ58" s="526"/>
      <c r="CA58" s="566"/>
      <c r="CB58" s="502"/>
      <c r="CI58" s="531"/>
    </row>
    <row r="59" spans="2:87" ht="15">
      <c r="B59" s="176" t="s">
        <v>42</v>
      </c>
      <c r="C59" s="194" t="s">
        <v>113</v>
      </c>
      <c r="D59" s="207" t="s">
        <v>114</v>
      </c>
      <c r="E59" s="196">
        <f t="shared" si="88"/>
        <v>2904606.2524114284</v>
      </c>
      <c r="F59" s="894">
        <f t="shared" si="58"/>
        <v>0</v>
      </c>
      <c r="G59" s="894">
        <f t="shared" si="89"/>
        <v>0</v>
      </c>
      <c r="H59" s="894">
        <f t="shared" si="59"/>
        <v>0</v>
      </c>
      <c r="I59" s="894">
        <f t="shared" si="60"/>
        <v>0</v>
      </c>
      <c r="J59" s="894">
        <f t="shared" si="61"/>
        <v>0</v>
      </c>
      <c r="K59" s="894">
        <f t="shared" si="62"/>
        <v>2904606.2524114284</v>
      </c>
      <c r="L59" s="894">
        <f t="shared" si="63"/>
        <v>0</v>
      </c>
      <c r="M59" s="894">
        <f t="shared" si="64"/>
        <v>0</v>
      </c>
      <c r="N59" s="894">
        <f t="shared" si="65"/>
        <v>0</v>
      </c>
      <c r="O59" s="894">
        <f t="shared" si="66"/>
        <v>0</v>
      </c>
      <c r="P59" s="894">
        <f t="shared" si="67"/>
        <v>0</v>
      </c>
      <c r="Q59" s="894">
        <f t="shared" si="68"/>
        <v>0</v>
      </c>
      <c r="R59" s="894">
        <f t="shared" si="69"/>
        <v>0</v>
      </c>
      <c r="S59" s="894">
        <f t="shared" si="70"/>
        <v>0</v>
      </c>
      <c r="T59" s="894">
        <f t="shared" si="71"/>
        <v>0</v>
      </c>
      <c r="U59" s="894">
        <f t="shared" si="72"/>
        <v>0</v>
      </c>
      <c r="V59" s="894">
        <f t="shared" si="73"/>
        <v>0</v>
      </c>
      <c r="W59" s="894">
        <f t="shared" si="74"/>
        <v>0</v>
      </c>
      <c r="X59" s="894">
        <f t="shared" si="75"/>
        <v>0</v>
      </c>
      <c r="Y59" s="894">
        <f t="shared" si="76"/>
        <v>0</v>
      </c>
      <c r="Z59" s="894">
        <f t="shared" si="77"/>
        <v>0</v>
      </c>
      <c r="AA59" s="894">
        <f t="shared" si="78"/>
        <v>0</v>
      </c>
      <c r="AB59" s="894">
        <f t="shared" si="79"/>
        <v>0</v>
      </c>
      <c r="AC59" s="894">
        <f t="shared" si="80"/>
        <v>0</v>
      </c>
      <c r="AD59" s="894">
        <f t="shared" si="81"/>
        <v>0</v>
      </c>
      <c r="AE59" s="894">
        <f t="shared" si="82"/>
        <v>0</v>
      </c>
      <c r="AF59" s="894">
        <f t="shared" si="83"/>
        <v>0</v>
      </c>
      <c r="AG59" s="894">
        <f t="shared" si="84"/>
        <v>0</v>
      </c>
      <c r="AH59" s="894">
        <f t="shared" si="85"/>
        <v>0</v>
      </c>
      <c r="AI59" s="894">
        <f t="shared" si="86"/>
        <v>0</v>
      </c>
      <c r="AJ59" s="192">
        <f t="shared" si="90"/>
        <v>2904606.2524114284</v>
      </c>
      <c r="AK59" s="824"/>
      <c r="AL59" s="895"/>
      <c r="AM59" s="895"/>
      <c r="AN59" s="895"/>
      <c r="AO59" s="895"/>
      <c r="AP59" s="895"/>
      <c r="AQ59" s="895">
        <v>1</v>
      </c>
      <c r="AR59" s="895">
        <v>0</v>
      </c>
      <c r="AS59" s="895">
        <v>0</v>
      </c>
      <c r="AT59" s="895">
        <v>0</v>
      </c>
      <c r="AU59" s="895">
        <v>0</v>
      </c>
      <c r="AV59" s="895">
        <v>0</v>
      </c>
      <c r="AW59" s="895">
        <v>0</v>
      </c>
      <c r="AX59" s="895">
        <v>0</v>
      </c>
      <c r="AY59" s="895">
        <v>0</v>
      </c>
      <c r="AZ59" s="895">
        <v>0</v>
      </c>
      <c r="BA59" s="895">
        <v>0</v>
      </c>
      <c r="BB59" s="895">
        <v>0</v>
      </c>
      <c r="BC59" s="895">
        <v>0</v>
      </c>
      <c r="BD59" s="895">
        <v>0</v>
      </c>
      <c r="BE59" s="895">
        <v>0</v>
      </c>
      <c r="BF59" s="895">
        <v>0</v>
      </c>
      <c r="BG59" s="895">
        <v>0</v>
      </c>
      <c r="BH59" s="895">
        <v>0</v>
      </c>
      <c r="BI59" s="895">
        <v>0</v>
      </c>
      <c r="BJ59" s="895">
        <v>0</v>
      </c>
      <c r="BK59" s="895">
        <v>0</v>
      </c>
      <c r="BL59" s="895">
        <v>0</v>
      </c>
      <c r="BM59" s="895">
        <v>0</v>
      </c>
      <c r="BN59" s="895">
        <v>0</v>
      </c>
      <c r="BO59" s="895">
        <v>0</v>
      </c>
      <c r="BP59" s="199">
        <f t="shared" si="3"/>
        <v>1</v>
      </c>
      <c r="BR59" s="508">
        <f t="shared" si="87"/>
        <v>20332243.766879998</v>
      </c>
      <c r="BS59" s="502">
        <f t="shared" si="91"/>
        <v>2904606.2524114284</v>
      </c>
      <c r="BT59" s="176">
        <v>2</v>
      </c>
      <c r="BU59" s="176">
        <v>14</v>
      </c>
      <c r="BV59" s="526"/>
      <c r="BW59" s="529">
        <v>21179420.590499997</v>
      </c>
      <c r="BX59" s="526"/>
      <c r="BY59" s="502"/>
      <c r="BZ59" s="526"/>
      <c r="CA59" s="566"/>
      <c r="CB59" s="502"/>
      <c r="CI59" s="531"/>
    </row>
    <row r="60" spans="2:87" ht="15">
      <c r="B60" s="176" t="s">
        <v>42</v>
      </c>
      <c r="C60" s="203" t="s">
        <v>115</v>
      </c>
      <c r="D60" s="208" t="s">
        <v>116</v>
      </c>
      <c r="E60" s="196">
        <f t="shared" si="88"/>
        <v>1281819.9630648068</v>
      </c>
      <c r="F60" s="894">
        <f t="shared" si="58"/>
        <v>0</v>
      </c>
      <c r="G60" s="894">
        <f t="shared" si="89"/>
        <v>0</v>
      </c>
      <c r="H60" s="894">
        <f t="shared" si="59"/>
        <v>0</v>
      </c>
      <c r="I60" s="894">
        <f t="shared" si="60"/>
        <v>0</v>
      </c>
      <c r="J60" s="894">
        <f t="shared" si="61"/>
        <v>0</v>
      </c>
      <c r="K60" s="894">
        <f t="shared" si="62"/>
        <v>1281819.9630648068</v>
      </c>
      <c r="L60" s="894">
        <f t="shared" si="63"/>
        <v>0</v>
      </c>
      <c r="M60" s="894">
        <f t="shared" si="64"/>
        <v>0</v>
      </c>
      <c r="N60" s="894">
        <f t="shared" si="65"/>
        <v>0</v>
      </c>
      <c r="O60" s="894">
        <f t="shared" si="66"/>
        <v>0</v>
      </c>
      <c r="P60" s="894">
        <f t="shared" si="67"/>
        <v>0</v>
      </c>
      <c r="Q60" s="894">
        <f t="shared" si="68"/>
        <v>0</v>
      </c>
      <c r="R60" s="894">
        <f t="shared" si="69"/>
        <v>0</v>
      </c>
      <c r="S60" s="894">
        <f t="shared" si="70"/>
        <v>0</v>
      </c>
      <c r="T60" s="894">
        <f t="shared" si="71"/>
        <v>0</v>
      </c>
      <c r="U60" s="894">
        <f t="shared" si="72"/>
        <v>0</v>
      </c>
      <c r="V60" s="894">
        <f t="shared" si="73"/>
        <v>0</v>
      </c>
      <c r="W60" s="894">
        <f t="shared" si="74"/>
        <v>0</v>
      </c>
      <c r="X60" s="894">
        <f t="shared" si="75"/>
        <v>0</v>
      </c>
      <c r="Y60" s="894">
        <f t="shared" si="76"/>
        <v>0</v>
      </c>
      <c r="Z60" s="894">
        <f t="shared" si="77"/>
        <v>0</v>
      </c>
      <c r="AA60" s="894">
        <f t="shared" si="78"/>
        <v>0</v>
      </c>
      <c r="AB60" s="894">
        <f t="shared" si="79"/>
        <v>0</v>
      </c>
      <c r="AC60" s="894">
        <f t="shared" si="80"/>
        <v>0</v>
      </c>
      <c r="AD60" s="894">
        <f t="shared" si="81"/>
        <v>0</v>
      </c>
      <c r="AE60" s="894">
        <f t="shared" si="82"/>
        <v>0</v>
      </c>
      <c r="AF60" s="894">
        <f t="shared" si="83"/>
        <v>0</v>
      </c>
      <c r="AG60" s="894">
        <f t="shared" si="84"/>
        <v>0</v>
      </c>
      <c r="AH60" s="894">
        <f t="shared" si="85"/>
        <v>0</v>
      </c>
      <c r="AI60" s="894">
        <f t="shared" si="86"/>
        <v>0</v>
      </c>
      <c r="AJ60" s="209">
        <f t="shared" si="90"/>
        <v>1281819.9630648068</v>
      </c>
      <c r="AK60" s="824"/>
      <c r="AL60" s="895"/>
      <c r="AM60" s="895"/>
      <c r="AN60" s="895"/>
      <c r="AO60" s="895"/>
      <c r="AP60" s="895"/>
      <c r="AQ60" s="895">
        <v>1</v>
      </c>
      <c r="AR60" s="895"/>
      <c r="AS60" s="895"/>
      <c r="AT60" s="895"/>
      <c r="AU60" s="895"/>
      <c r="AV60" s="895"/>
      <c r="AW60" s="895"/>
      <c r="AX60" s="895"/>
      <c r="AY60" s="895"/>
      <c r="AZ60" s="895"/>
      <c r="BA60" s="895"/>
      <c r="BB60" s="895"/>
      <c r="BC60" s="895"/>
      <c r="BD60" s="895"/>
      <c r="BE60" s="895"/>
      <c r="BF60" s="895"/>
      <c r="BG60" s="895"/>
      <c r="BH60" s="895"/>
      <c r="BI60" s="895"/>
      <c r="BJ60" s="895"/>
      <c r="BK60" s="895"/>
      <c r="BL60" s="895"/>
      <c r="BM60" s="895"/>
      <c r="BN60" s="895"/>
      <c r="BO60" s="895"/>
      <c r="BP60" s="202">
        <f t="shared" si="3"/>
        <v>1</v>
      </c>
      <c r="BR60" s="508">
        <f t="shared" si="87"/>
        <v>2683810.547666939</v>
      </c>
      <c r="BS60" s="502">
        <f t="shared" si="91"/>
        <v>1281819.9630648068</v>
      </c>
      <c r="BT60" s="176">
        <v>32</v>
      </c>
      <c r="BU60" s="176">
        <v>67</v>
      </c>
      <c r="BV60" s="526"/>
      <c r="BW60" s="529">
        <v>2795635.9871530617</v>
      </c>
      <c r="BX60" s="526"/>
      <c r="BY60" s="502"/>
      <c r="BZ60" s="526"/>
      <c r="CA60" s="566"/>
      <c r="CB60" s="502"/>
      <c r="CI60" s="531"/>
    </row>
    <row r="61" spans="2:87" ht="15">
      <c r="B61" s="176" t="s">
        <v>42</v>
      </c>
      <c r="C61" s="194" t="s">
        <v>117</v>
      </c>
      <c r="D61" s="210" t="s">
        <v>118</v>
      </c>
      <c r="E61" s="352">
        <f t="shared" si="88"/>
        <v>6809400</v>
      </c>
      <c r="F61" s="894">
        <f t="shared" si="58"/>
        <v>3366900</v>
      </c>
      <c r="G61" s="894">
        <f t="shared" si="89"/>
        <v>220000</v>
      </c>
      <c r="H61" s="894">
        <f t="shared" si="59"/>
        <v>800300</v>
      </c>
      <c r="I61" s="894">
        <f t="shared" si="60"/>
        <v>1216000</v>
      </c>
      <c r="J61" s="894">
        <f t="shared" si="61"/>
        <v>499999.99999999994</v>
      </c>
      <c r="K61" s="894">
        <f t="shared" si="62"/>
        <v>0</v>
      </c>
      <c r="L61" s="894">
        <f t="shared" si="63"/>
        <v>0</v>
      </c>
      <c r="M61" s="894">
        <f t="shared" si="64"/>
        <v>0</v>
      </c>
      <c r="N61" s="894">
        <f t="shared" si="65"/>
        <v>0</v>
      </c>
      <c r="O61" s="894">
        <f t="shared" si="66"/>
        <v>0</v>
      </c>
      <c r="P61" s="894">
        <f t="shared" si="67"/>
        <v>0</v>
      </c>
      <c r="Q61" s="894">
        <f t="shared" si="68"/>
        <v>0</v>
      </c>
      <c r="R61" s="894">
        <f t="shared" si="69"/>
        <v>0</v>
      </c>
      <c r="S61" s="894">
        <f t="shared" si="70"/>
        <v>31000</v>
      </c>
      <c r="T61" s="894">
        <f t="shared" si="71"/>
        <v>0</v>
      </c>
      <c r="U61" s="894">
        <f t="shared" si="72"/>
        <v>0</v>
      </c>
      <c r="V61" s="894">
        <f t="shared" si="73"/>
        <v>0</v>
      </c>
      <c r="W61" s="894">
        <f t="shared" si="74"/>
        <v>0</v>
      </c>
      <c r="X61" s="894">
        <f t="shared" si="75"/>
        <v>662200</v>
      </c>
      <c r="Y61" s="894">
        <f t="shared" si="76"/>
        <v>0</v>
      </c>
      <c r="Z61" s="894">
        <f t="shared" si="77"/>
        <v>0</v>
      </c>
      <c r="AA61" s="894">
        <f t="shared" si="78"/>
        <v>0</v>
      </c>
      <c r="AB61" s="894">
        <f t="shared" si="79"/>
        <v>0</v>
      </c>
      <c r="AC61" s="894">
        <f t="shared" si="80"/>
        <v>13000</v>
      </c>
      <c r="AD61" s="894">
        <f t="shared" si="81"/>
        <v>0</v>
      </c>
      <c r="AE61" s="894">
        <f t="shared" si="82"/>
        <v>0</v>
      </c>
      <c r="AF61" s="894">
        <f t="shared" si="83"/>
        <v>0</v>
      </c>
      <c r="AG61" s="894">
        <f t="shared" si="84"/>
        <v>0</v>
      </c>
      <c r="AH61" s="894">
        <f t="shared" si="85"/>
        <v>0</v>
      </c>
      <c r="AI61" s="894">
        <f t="shared" si="86"/>
        <v>0</v>
      </c>
      <c r="AJ61" s="192">
        <f t="shared" si="90"/>
        <v>6809400</v>
      </c>
      <c r="AK61" s="908"/>
      <c r="AL61" s="895">
        <v>0.49444885011895323</v>
      </c>
      <c r="AM61" s="895">
        <v>3.2308279730960142E-2</v>
      </c>
      <c r="AN61" s="895">
        <v>0.11752871031221547</v>
      </c>
      <c r="AO61" s="895">
        <v>0.17857667342203426</v>
      </c>
      <c r="AP61" s="895">
        <v>7.3427908479454865E-2</v>
      </c>
      <c r="AQ61" s="895">
        <v>0</v>
      </c>
      <c r="AR61" s="895">
        <v>0</v>
      </c>
      <c r="AS61" s="895">
        <v>0</v>
      </c>
      <c r="AT61" s="895">
        <v>0</v>
      </c>
      <c r="AU61" s="895">
        <v>0</v>
      </c>
      <c r="AV61" s="895">
        <v>0</v>
      </c>
      <c r="AW61" s="895">
        <v>0</v>
      </c>
      <c r="AX61" s="895">
        <v>0</v>
      </c>
      <c r="AY61" s="895">
        <v>4.552530325726202E-3</v>
      </c>
      <c r="AZ61" s="895">
        <v>0</v>
      </c>
      <c r="BA61" s="895">
        <v>0</v>
      </c>
      <c r="BB61" s="895">
        <v>0</v>
      </c>
      <c r="BC61" s="895">
        <v>0</v>
      </c>
      <c r="BD61" s="895">
        <v>9.7247921990190028E-2</v>
      </c>
      <c r="BE61" s="895">
        <v>0</v>
      </c>
      <c r="BF61" s="895">
        <v>0</v>
      </c>
      <c r="BG61" s="895">
        <v>0</v>
      </c>
      <c r="BH61" s="895">
        <v>0</v>
      </c>
      <c r="BI61" s="895">
        <v>1.9091256204658267E-3</v>
      </c>
      <c r="BJ61" s="895">
        <v>0</v>
      </c>
      <c r="BK61" s="895">
        <v>0</v>
      </c>
      <c r="BL61" s="895">
        <v>0</v>
      </c>
      <c r="BM61" s="895">
        <v>0</v>
      </c>
      <c r="BN61" s="895">
        <v>0</v>
      </c>
      <c r="BO61" s="895">
        <v>0</v>
      </c>
      <c r="BP61" s="199">
        <f t="shared" si="3"/>
        <v>1.0000000000000002</v>
      </c>
      <c r="BR61" s="508">
        <v>6809400</v>
      </c>
      <c r="BS61" s="502">
        <f>BR61</f>
        <v>6809400</v>
      </c>
      <c r="BV61" s="526"/>
      <c r="BW61" s="526"/>
      <c r="BX61" s="526"/>
      <c r="BY61" s="526"/>
      <c r="BZ61" s="526"/>
    </row>
    <row r="62" spans="2:87">
      <c r="B62" s="176" t="s">
        <v>42</v>
      </c>
      <c r="C62" s="189" t="s">
        <v>119</v>
      </c>
      <c r="D62" s="584" t="s">
        <v>120</v>
      </c>
      <c r="E62" s="352">
        <f t="shared" si="88"/>
        <v>3169005.2817170597</v>
      </c>
      <c r="F62" s="894">
        <f t="shared" si="58"/>
        <v>0</v>
      </c>
      <c r="G62" s="894">
        <f t="shared" si="89"/>
        <v>0</v>
      </c>
      <c r="H62" s="894">
        <f t="shared" si="59"/>
        <v>0</v>
      </c>
      <c r="I62" s="894">
        <f t="shared" si="60"/>
        <v>0</v>
      </c>
      <c r="J62" s="894">
        <f t="shared" si="61"/>
        <v>0</v>
      </c>
      <c r="K62" s="894">
        <f t="shared" si="62"/>
        <v>3169005.2817170597</v>
      </c>
      <c r="L62" s="894">
        <f t="shared" si="63"/>
        <v>0</v>
      </c>
      <c r="M62" s="894">
        <f t="shared" si="64"/>
        <v>0</v>
      </c>
      <c r="N62" s="894">
        <f t="shared" si="65"/>
        <v>0</v>
      </c>
      <c r="O62" s="894">
        <f t="shared" si="66"/>
        <v>0</v>
      </c>
      <c r="P62" s="894">
        <f t="shared" si="67"/>
        <v>0</v>
      </c>
      <c r="Q62" s="894">
        <f t="shared" si="68"/>
        <v>0</v>
      </c>
      <c r="R62" s="894">
        <f t="shared" si="69"/>
        <v>0</v>
      </c>
      <c r="S62" s="894">
        <f t="shared" si="70"/>
        <v>0</v>
      </c>
      <c r="T62" s="894">
        <f t="shared" si="71"/>
        <v>0</v>
      </c>
      <c r="U62" s="894">
        <f t="shared" si="72"/>
        <v>0</v>
      </c>
      <c r="V62" s="894">
        <f t="shared" si="73"/>
        <v>0</v>
      </c>
      <c r="W62" s="894">
        <f t="shared" si="74"/>
        <v>0</v>
      </c>
      <c r="X62" s="894">
        <f t="shared" si="75"/>
        <v>0</v>
      </c>
      <c r="Y62" s="894">
        <f t="shared" si="76"/>
        <v>0</v>
      </c>
      <c r="Z62" s="894">
        <f t="shared" si="77"/>
        <v>0</v>
      </c>
      <c r="AA62" s="894">
        <f t="shared" si="78"/>
        <v>0</v>
      </c>
      <c r="AB62" s="894">
        <f t="shared" si="79"/>
        <v>0</v>
      </c>
      <c r="AC62" s="894">
        <f t="shared" si="80"/>
        <v>0</v>
      </c>
      <c r="AD62" s="894">
        <f t="shared" si="81"/>
        <v>0</v>
      </c>
      <c r="AE62" s="894">
        <f t="shared" si="82"/>
        <v>0</v>
      </c>
      <c r="AF62" s="894">
        <f t="shared" si="83"/>
        <v>0</v>
      </c>
      <c r="AG62" s="894">
        <f t="shared" si="84"/>
        <v>0</v>
      </c>
      <c r="AH62" s="894">
        <f t="shared" si="85"/>
        <v>0</v>
      </c>
      <c r="AI62" s="894">
        <f t="shared" si="86"/>
        <v>0</v>
      </c>
      <c r="AJ62" s="197">
        <f t="shared" si="55"/>
        <v>3169005.2817170597</v>
      </c>
      <c r="AK62" s="824"/>
      <c r="AL62" s="895"/>
      <c r="AM62" s="895"/>
      <c r="AN62" s="895"/>
      <c r="AO62" s="895"/>
      <c r="AP62" s="895"/>
      <c r="AQ62" s="895">
        <v>1</v>
      </c>
      <c r="AR62" s="895"/>
      <c r="AS62" s="895"/>
      <c r="AT62" s="895"/>
      <c r="AU62" s="895"/>
      <c r="AV62" s="895"/>
      <c r="AW62" s="895"/>
      <c r="AX62" s="895"/>
      <c r="AY62" s="895"/>
      <c r="AZ62" s="895"/>
      <c r="BA62" s="895"/>
      <c r="BB62" s="895"/>
      <c r="BC62" s="895"/>
      <c r="BD62" s="895"/>
      <c r="BE62" s="895"/>
      <c r="BF62" s="895"/>
      <c r="BG62" s="895"/>
      <c r="BH62" s="895"/>
      <c r="BI62" s="895"/>
      <c r="BJ62" s="895"/>
      <c r="BK62" s="895"/>
      <c r="BL62" s="895"/>
      <c r="BM62" s="895"/>
      <c r="BN62" s="895"/>
      <c r="BO62" s="895"/>
      <c r="BP62" s="193">
        <f t="shared" si="3"/>
        <v>1</v>
      </c>
      <c r="BS62" s="566">
        <f>BS53/BT53*BT62</f>
        <v>3169005.2817170597</v>
      </c>
      <c r="BT62" s="176">
        <v>5.4</v>
      </c>
      <c r="BV62" s="526" t="s">
        <v>102</v>
      </c>
      <c r="BW62" s="526"/>
      <c r="BX62" s="526"/>
      <c r="BY62" s="526"/>
      <c r="BZ62" s="526"/>
      <c r="CA62" s="565"/>
      <c r="CB62" s="565"/>
      <c r="CI62" s="531"/>
    </row>
    <row r="63" spans="2:87">
      <c r="B63" s="176" t="s">
        <v>42</v>
      </c>
      <c r="C63" s="194" t="s">
        <v>121</v>
      </c>
      <c r="D63" s="585" t="s">
        <v>122</v>
      </c>
      <c r="E63" s="352">
        <f t="shared" si="88"/>
        <v>7681903.5440141317</v>
      </c>
      <c r="F63" s="894">
        <f t="shared" si="58"/>
        <v>0</v>
      </c>
      <c r="G63" s="894">
        <f t="shared" si="89"/>
        <v>0</v>
      </c>
      <c r="H63" s="894">
        <f t="shared" si="59"/>
        <v>0</v>
      </c>
      <c r="I63" s="894">
        <f t="shared" si="60"/>
        <v>0</v>
      </c>
      <c r="J63" s="894">
        <f t="shared" si="61"/>
        <v>0</v>
      </c>
      <c r="K63" s="894">
        <f t="shared" si="62"/>
        <v>0</v>
      </c>
      <c r="L63" s="894">
        <f t="shared" si="63"/>
        <v>0</v>
      </c>
      <c r="M63" s="894">
        <f t="shared" si="64"/>
        <v>0</v>
      </c>
      <c r="N63" s="894">
        <f t="shared" si="65"/>
        <v>0</v>
      </c>
      <c r="O63" s="894">
        <f t="shared" si="66"/>
        <v>0</v>
      </c>
      <c r="P63" s="894">
        <f t="shared" si="67"/>
        <v>0</v>
      </c>
      <c r="Q63" s="894">
        <f t="shared" si="68"/>
        <v>0</v>
      </c>
      <c r="R63" s="894">
        <f t="shared" si="69"/>
        <v>0</v>
      </c>
      <c r="S63" s="894">
        <f t="shared" si="70"/>
        <v>0</v>
      </c>
      <c r="T63" s="894">
        <f t="shared" si="71"/>
        <v>7681903.5440141317</v>
      </c>
      <c r="U63" s="894">
        <f t="shared" si="72"/>
        <v>0</v>
      </c>
      <c r="V63" s="894">
        <f t="shared" si="73"/>
        <v>0</v>
      </c>
      <c r="W63" s="894">
        <f t="shared" si="74"/>
        <v>0</v>
      </c>
      <c r="X63" s="894">
        <f t="shared" si="75"/>
        <v>0</v>
      </c>
      <c r="Y63" s="894">
        <f t="shared" si="76"/>
        <v>0</v>
      </c>
      <c r="Z63" s="894">
        <f t="shared" si="77"/>
        <v>0</v>
      </c>
      <c r="AA63" s="894">
        <f t="shared" si="78"/>
        <v>0</v>
      </c>
      <c r="AB63" s="894">
        <f t="shared" si="79"/>
        <v>0</v>
      </c>
      <c r="AC63" s="894">
        <f t="shared" si="80"/>
        <v>0</v>
      </c>
      <c r="AD63" s="894">
        <f t="shared" si="81"/>
        <v>0</v>
      </c>
      <c r="AE63" s="894">
        <f t="shared" si="82"/>
        <v>0</v>
      </c>
      <c r="AF63" s="894">
        <f t="shared" si="83"/>
        <v>0</v>
      </c>
      <c r="AG63" s="894">
        <f t="shared" si="84"/>
        <v>0</v>
      </c>
      <c r="AH63" s="894">
        <f t="shared" si="85"/>
        <v>0</v>
      </c>
      <c r="AI63" s="894">
        <f t="shared" si="86"/>
        <v>0</v>
      </c>
      <c r="AJ63" s="192">
        <f t="shared" si="55"/>
        <v>7681903.5440141317</v>
      </c>
      <c r="AK63" s="824"/>
      <c r="AL63" s="895"/>
      <c r="AM63" s="895"/>
      <c r="AN63" s="895"/>
      <c r="AO63" s="895"/>
      <c r="AP63" s="895"/>
      <c r="AQ63" s="895"/>
      <c r="AR63" s="895"/>
      <c r="AS63" s="895"/>
      <c r="AT63" s="895"/>
      <c r="AU63" s="895"/>
      <c r="AV63" s="895"/>
      <c r="AW63" s="895"/>
      <c r="AX63" s="895"/>
      <c r="AY63" s="895"/>
      <c r="AZ63" s="895">
        <v>1</v>
      </c>
      <c r="BA63" s="895"/>
      <c r="BB63" s="895"/>
      <c r="BC63" s="895"/>
      <c r="BD63" s="895"/>
      <c r="BE63" s="895"/>
      <c r="BF63" s="895"/>
      <c r="BG63" s="895"/>
      <c r="BH63" s="895"/>
      <c r="BI63" s="895"/>
      <c r="BJ63" s="895"/>
      <c r="BK63" s="895"/>
      <c r="BL63" s="895"/>
      <c r="BM63" s="895"/>
      <c r="BN63" s="895"/>
      <c r="BO63" s="895"/>
      <c r="BP63" s="199">
        <f t="shared" si="3"/>
        <v>1</v>
      </c>
      <c r="BS63" s="566">
        <f>BS53/BT53*BT63</f>
        <v>7681903.5440141317</v>
      </c>
      <c r="BT63" s="176">
        <v>13.09</v>
      </c>
      <c r="BV63" s="175" t="s">
        <v>102</v>
      </c>
      <c r="CA63" s="565"/>
    </row>
    <row r="64" spans="2:87">
      <c r="B64" s="176" t="s">
        <v>42</v>
      </c>
      <c r="C64" s="194" t="s">
        <v>123</v>
      </c>
      <c r="D64" s="200" t="s">
        <v>62</v>
      </c>
      <c r="E64" s="196"/>
      <c r="F64" s="894">
        <f t="shared" si="58"/>
        <v>0</v>
      </c>
      <c r="G64" s="894">
        <f t="shared" si="89"/>
        <v>0</v>
      </c>
      <c r="H64" s="894">
        <f t="shared" si="59"/>
        <v>0</v>
      </c>
      <c r="I64" s="894">
        <f t="shared" si="60"/>
        <v>0</v>
      </c>
      <c r="J64" s="894">
        <f t="shared" si="61"/>
        <v>0</v>
      </c>
      <c r="K64" s="894">
        <f t="shared" si="62"/>
        <v>0</v>
      </c>
      <c r="L64" s="894">
        <f t="shared" si="63"/>
        <v>0</v>
      </c>
      <c r="M64" s="894">
        <f t="shared" si="64"/>
        <v>0</v>
      </c>
      <c r="N64" s="894">
        <f t="shared" si="65"/>
        <v>0</v>
      </c>
      <c r="O64" s="894">
        <f t="shared" si="66"/>
        <v>0</v>
      </c>
      <c r="P64" s="894">
        <f t="shared" si="67"/>
        <v>0</v>
      </c>
      <c r="Q64" s="894">
        <f t="shared" si="68"/>
        <v>0</v>
      </c>
      <c r="R64" s="894">
        <f t="shared" si="69"/>
        <v>0</v>
      </c>
      <c r="S64" s="894">
        <f t="shared" si="70"/>
        <v>0</v>
      </c>
      <c r="T64" s="894">
        <f t="shared" si="71"/>
        <v>0</v>
      </c>
      <c r="U64" s="894">
        <f t="shared" si="72"/>
        <v>0</v>
      </c>
      <c r="V64" s="894">
        <f t="shared" si="73"/>
        <v>0</v>
      </c>
      <c r="W64" s="894">
        <f t="shared" si="74"/>
        <v>0</v>
      </c>
      <c r="X64" s="894">
        <f t="shared" si="75"/>
        <v>0</v>
      </c>
      <c r="Y64" s="894">
        <f t="shared" si="76"/>
        <v>0</v>
      </c>
      <c r="Z64" s="894">
        <f t="shared" si="77"/>
        <v>0</v>
      </c>
      <c r="AA64" s="894">
        <f t="shared" si="78"/>
        <v>0</v>
      </c>
      <c r="AB64" s="894">
        <f t="shared" si="79"/>
        <v>0</v>
      </c>
      <c r="AC64" s="894">
        <f t="shared" si="80"/>
        <v>0</v>
      </c>
      <c r="AD64" s="894">
        <f t="shared" si="81"/>
        <v>0</v>
      </c>
      <c r="AE64" s="894">
        <f t="shared" si="82"/>
        <v>0</v>
      </c>
      <c r="AF64" s="894">
        <f t="shared" si="83"/>
        <v>0</v>
      </c>
      <c r="AG64" s="894">
        <f t="shared" si="84"/>
        <v>0</v>
      </c>
      <c r="AH64" s="894">
        <f t="shared" si="85"/>
        <v>0</v>
      </c>
      <c r="AI64" s="894">
        <f t="shared" si="86"/>
        <v>0</v>
      </c>
      <c r="AJ64" s="192">
        <f t="shared" si="55"/>
        <v>0</v>
      </c>
      <c r="AK64" s="824"/>
      <c r="AL64" s="895"/>
      <c r="AM64" s="895"/>
      <c r="AN64" s="895"/>
      <c r="AO64" s="895"/>
      <c r="AP64" s="895"/>
      <c r="AQ64" s="895"/>
      <c r="AR64" s="895"/>
      <c r="AS64" s="895"/>
      <c r="AT64" s="895"/>
      <c r="AU64" s="895"/>
      <c r="AV64" s="895"/>
      <c r="AW64" s="895"/>
      <c r="AX64" s="895"/>
      <c r="AY64" s="895"/>
      <c r="AZ64" s="895"/>
      <c r="BA64" s="895"/>
      <c r="BB64" s="895"/>
      <c r="BC64" s="895"/>
      <c r="BD64" s="895"/>
      <c r="BE64" s="895"/>
      <c r="BF64" s="895"/>
      <c r="BG64" s="895"/>
      <c r="BH64" s="895"/>
      <c r="BI64" s="895"/>
      <c r="BJ64" s="895"/>
      <c r="BK64" s="895"/>
      <c r="BL64" s="895"/>
      <c r="BM64" s="895"/>
      <c r="BN64" s="895"/>
      <c r="BO64" s="895"/>
      <c r="BP64" s="199">
        <f t="shared" si="3"/>
        <v>0</v>
      </c>
      <c r="CB64" s="531"/>
    </row>
    <row r="65" spans="2:80">
      <c r="B65" s="176" t="s">
        <v>42</v>
      </c>
      <c r="C65" s="194" t="s">
        <v>124</v>
      </c>
      <c r="D65" s="200" t="s">
        <v>62</v>
      </c>
      <c r="E65" s="196"/>
      <c r="F65" s="894">
        <f t="shared" si="58"/>
        <v>0</v>
      </c>
      <c r="G65" s="894">
        <f t="shared" si="89"/>
        <v>0</v>
      </c>
      <c r="H65" s="894">
        <f t="shared" si="59"/>
        <v>0</v>
      </c>
      <c r="I65" s="894">
        <f t="shared" si="60"/>
        <v>0</v>
      </c>
      <c r="J65" s="894">
        <f t="shared" si="61"/>
        <v>0</v>
      </c>
      <c r="K65" s="894">
        <f t="shared" si="62"/>
        <v>0</v>
      </c>
      <c r="L65" s="894">
        <f t="shared" si="63"/>
        <v>0</v>
      </c>
      <c r="M65" s="894">
        <f t="shared" si="64"/>
        <v>0</v>
      </c>
      <c r="N65" s="894">
        <f t="shared" si="65"/>
        <v>0</v>
      </c>
      <c r="O65" s="894">
        <f t="shared" si="66"/>
        <v>0</v>
      </c>
      <c r="P65" s="894">
        <f t="shared" si="67"/>
        <v>0</v>
      </c>
      <c r="Q65" s="894">
        <f t="shared" si="68"/>
        <v>0</v>
      </c>
      <c r="R65" s="894">
        <f t="shared" si="69"/>
        <v>0</v>
      </c>
      <c r="S65" s="894">
        <f t="shared" si="70"/>
        <v>0</v>
      </c>
      <c r="T65" s="894">
        <f t="shared" si="71"/>
        <v>0</v>
      </c>
      <c r="U65" s="894">
        <f t="shared" si="72"/>
        <v>0</v>
      </c>
      <c r="V65" s="894">
        <f t="shared" si="73"/>
        <v>0</v>
      </c>
      <c r="W65" s="894">
        <f t="shared" si="74"/>
        <v>0</v>
      </c>
      <c r="X65" s="894">
        <f t="shared" si="75"/>
        <v>0</v>
      </c>
      <c r="Y65" s="894">
        <f t="shared" si="76"/>
        <v>0</v>
      </c>
      <c r="Z65" s="894">
        <f t="shared" si="77"/>
        <v>0</v>
      </c>
      <c r="AA65" s="894">
        <f t="shared" si="78"/>
        <v>0</v>
      </c>
      <c r="AB65" s="894">
        <f t="shared" si="79"/>
        <v>0</v>
      </c>
      <c r="AC65" s="894">
        <f t="shared" si="80"/>
        <v>0</v>
      </c>
      <c r="AD65" s="894">
        <f t="shared" si="81"/>
        <v>0</v>
      </c>
      <c r="AE65" s="894">
        <f t="shared" si="82"/>
        <v>0</v>
      </c>
      <c r="AF65" s="894">
        <f t="shared" si="83"/>
        <v>0</v>
      </c>
      <c r="AG65" s="894">
        <f t="shared" si="84"/>
        <v>0</v>
      </c>
      <c r="AH65" s="894">
        <f t="shared" si="85"/>
        <v>0</v>
      </c>
      <c r="AI65" s="894">
        <f t="shared" si="86"/>
        <v>0</v>
      </c>
      <c r="AJ65" s="192">
        <f t="shared" si="55"/>
        <v>0</v>
      </c>
      <c r="AK65" s="824"/>
      <c r="AL65" s="895"/>
      <c r="AM65" s="895"/>
      <c r="AN65" s="895"/>
      <c r="AO65" s="895"/>
      <c r="AP65" s="895"/>
      <c r="AQ65" s="895"/>
      <c r="AR65" s="895"/>
      <c r="AS65" s="895"/>
      <c r="AT65" s="895"/>
      <c r="AU65" s="895"/>
      <c r="AV65" s="895"/>
      <c r="AW65" s="895"/>
      <c r="AX65" s="895"/>
      <c r="AY65" s="895"/>
      <c r="AZ65" s="895"/>
      <c r="BA65" s="895"/>
      <c r="BB65" s="895"/>
      <c r="BC65" s="895"/>
      <c r="BD65" s="895"/>
      <c r="BE65" s="895"/>
      <c r="BF65" s="895"/>
      <c r="BG65" s="895"/>
      <c r="BH65" s="895"/>
      <c r="BI65" s="895"/>
      <c r="BJ65" s="895"/>
      <c r="BK65" s="895"/>
      <c r="BL65" s="895"/>
      <c r="BM65" s="895"/>
      <c r="BN65" s="895"/>
      <c r="BO65" s="895"/>
      <c r="BP65" s="199">
        <f t="shared" si="3"/>
        <v>0</v>
      </c>
      <c r="CB65" s="531"/>
    </row>
    <row r="66" spans="2:80" ht="13.5" thickBot="1">
      <c r="B66" s="176" t="s">
        <v>42</v>
      </c>
      <c r="C66" s="194" t="s">
        <v>125</v>
      </c>
      <c r="D66" s="200" t="s">
        <v>62</v>
      </c>
      <c r="E66" s="196"/>
      <c r="F66" s="894">
        <f t="shared" si="58"/>
        <v>0</v>
      </c>
      <c r="G66" s="894">
        <f t="shared" si="89"/>
        <v>0</v>
      </c>
      <c r="H66" s="894">
        <f t="shared" si="59"/>
        <v>0</v>
      </c>
      <c r="I66" s="894">
        <f t="shared" si="60"/>
        <v>0</v>
      </c>
      <c r="J66" s="894">
        <f t="shared" si="61"/>
        <v>0</v>
      </c>
      <c r="K66" s="894">
        <f t="shared" si="62"/>
        <v>0</v>
      </c>
      <c r="L66" s="894">
        <f t="shared" si="63"/>
        <v>0</v>
      </c>
      <c r="M66" s="894">
        <f t="shared" si="64"/>
        <v>0</v>
      </c>
      <c r="N66" s="894">
        <f t="shared" si="65"/>
        <v>0</v>
      </c>
      <c r="O66" s="894">
        <f t="shared" si="66"/>
        <v>0</v>
      </c>
      <c r="P66" s="894">
        <f t="shared" si="67"/>
        <v>0</v>
      </c>
      <c r="Q66" s="894">
        <f t="shared" si="68"/>
        <v>0</v>
      </c>
      <c r="R66" s="894">
        <f t="shared" si="69"/>
        <v>0</v>
      </c>
      <c r="S66" s="894">
        <f t="shared" si="70"/>
        <v>0</v>
      </c>
      <c r="T66" s="894">
        <f t="shared" si="71"/>
        <v>0</v>
      </c>
      <c r="U66" s="894">
        <f t="shared" si="72"/>
        <v>0</v>
      </c>
      <c r="V66" s="894">
        <f t="shared" si="73"/>
        <v>0</v>
      </c>
      <c r="W66" s="894">
        <f t="shared" si="74"/>
        <v>0</v>
      </c>
      <c r="X66" s="894">
        <f t="shared" si="75"/>
        <v>0</v>
      </c>
      <c r="Y66" s="894">
        <f t="shared" si="76"/>
        <v>0</v>
      </c>
      <c r="Z66" s="894">
        <f t="shared" si="77"/>
        <v>0</v>
      </c>
      <c r="AA66" s="894">
        <f t="shared" si="78"/>
        <v>0</v>
      </c>
      <c r="AB66" s="894">
        <f t="shared" si="79"/>
        <v>0</v>
      </c>
      <c r="AC66" s="894">
        <f t="shared" si="80"/>
        <v>0</v>
      </c>
      <c r="AD66" s="894">
        <f t="shared" si="81"/>
        <v>0</v>
      </c>
      <c r="AE66" s="894">
        <f t="shared" si="82"/>
        <v>0</v>
      </c>
      <c r="AF66" s="894">
        <f t="shared" si="83"/>
        <v>0</v>
      </c>
      <c r="AG66" s="894">
        <f t="shared" si="84"/>
        <v>0</v>
      </c>
      <c r="AH66" s="894">
        <f t="shared" si="85"/>
        <v>0</v>
      </c>
      <c r="AI66" s="894">
        <f t="shared" si="86"/>
        <v>0</v>
      </c>
      <c r="AJ66" s="192">
        <f t="shared" si="55"/>
        <v>0</v>
      </c>
      <c r="AK66" s="824"/>
      <c r="AL66" s="895"/>
      <c r="AM66" s="895"/>
      <c r="AN66" s="895"/>
      <c r="AO66" s="895"/>
      <c r="AP66" s="895"/>
      <c r="AQ66" s="895"/>
      <c r="AR66" s="895"/>
      <c r="AS66" s="895"/>
      <c r="AT66" s="895"/>
      <c r="AU66" s="895"/>
      <c r="AV66" s="895"/>
      <c r="AW66" s="895"/>
      <c r="AX66" s="895"/>
      <c r="AY66" s="895"/>
      <c r="AZ66" s="895"/>
      <c r="BA66" s="895"/>
      <c r="BB66" s="895"/>
      <c r="BC66" s="895"/>
      <c r="BD66" s="895"/>
      <c r="BE66" s="895"/>
      <c r="BF66" s="895"/>
      <c r="BG66" s="895"/>
      <c r="BH66" s="895"/>
      <c r="BI66" s="895"/>
      <c r="BJ66" s="895"/>
      <c r="BK66" s="895"/>
      <c r="BL66" s="895"/>
      <c r="BM66" s="895"/>
      <c r="BN66" s="895"/>
      <c r="BO66" s="895"/>
      <c r="BP66" s="199">
        <f t="shared" si="3"/>
        <v>0</v>
      </c>
    </row>
    <row r="67" spans="2:80" s="184" customFormat="1" ht="15" customHeight="1" thickBot="1">
      <c r="B67" s="176"/>
      <c r="C67" s="790">
        <v>5</v>
      </c>
      <c r="D67" s="791" t="s">
        <v>126</v>
      </c>
      <c r="E67" s="792" t="e">
        <f t="shared" ref="E67:AI67" si="92">SUM(E68:E69)</f>
        <v>#N/A</v>
      </c>
      <c r="F67" s="799" t="e">
        <f t="shared" si="92"/>
        <v>#N/A</v>
      </c>
      <c r="G67" s="794">
        <f t="shared" si="92"/>
        <v>35700.592704837589</v>
      </c>
      <c r="H67" s="794">
        <f t="shared" si="92"/>
        <v>35700.592704837589</v>
      </c>
      <c r="I67" s="794">
        <f t="shared" si="92"/>
        <v>35700.592704837589</v>
      </c>
      <c r="J67" s="794">
        <f t="shared" si="92"/>
        <v>35700.592704837589</v>
      </c>
      <c r="K67" s="794" t="e">
        <f t="shared" si="92"/>
        <v>#N/A</v>
      </c>
      <c r="L67" s="794">
        <f t="shared" si="92"/>
        <v>35700.592704837589</v>
      </c>
      <c r="M67" s="794">
        <f t="shared" si="92"/>
        <v>35700.592704837589</v>
      </c>
      <c r="N67" s="794">
        <f t="shared" si="92"/>
        <v>35700.592704837589</v>
      </c>
      <c r="O67" s="794">
        <f t="shared" si="92"/>
        <v>35700.592704837589</v>
      </c>
      <c r="P67" s="902" t="e">
        <f t="shared" si="92"/>
        <v>#N/A</v>
      </c>
      <c r="Q67" s="794">
        <f t="shared" si="92"/>
        <v>35700.592704837589</v>
      </c>
      <c r="R67" s="794">
        <f t="shared" si="92"/>
        <v>35700.592704837589</v>
      </c>
      <c r="S67" s="794">
        <f t="shared" si="92"/>
        <v>35700.592704837589</v>
      </c>
      <c r="T67" s="794">
        <f t="shared" si="92"/>
        <v>35700.592704837589</v>
      </c>
      <c r="U67" s="794" t="e">
        <f t="shared" si="92"/>
        <v>#N/A</v>
      </c>
      <c r="V67" s="794">
        <f t="shared" si="92"/>
        <v>35700.592704837589</v>
      </c>
      <c r="W67" s="794">
        <f t="shared" si="92"/>
        <v>35700.592704837589</v>
      </c>
      <c r="X67" s="794">
        <f t="shared" si="92"/>
        <v>35700.592704837589</v>
      </c>
      <c r="Y67" s="794">
        <f t="shared" si="92"/>
        <v>35700.592704837589</v>
      </c>
      <c r="Z67" s="902" t="e">
        <f t="shared" si="92"/>
        <v>#N/A</v>
      </c>
      <c r="AA67" s="794">
        <f t="shared" si="92"/>
        <v>35700.592704837589</v>
      </c>
      <c r="AB67" s="794">
        <f t="shared" si="92"/>
        <v>35700.592704837589</v>
      </c>
      <c r="AC67" s="794">
        <f t="shared" si="92"/>
        <v>35700.592704837589</v>
      </c>
      <c r="AD67" s="794">
        <f t="shared" si="92"/>
        <v>35700.592704837589</v>
      </c>
      <c r="AE67" s="794" t="e">
        <f t="shared" si="92"/>
        <v>#N/A</v>
      </c>
      <c r="AF67" s="794">
        <f t="shared" si="92"/>
        <v>35700.592704837589</v>
      </c>
      <c r="AG67" s="794">
        <f t="shared" si="92"/>
        <v>35700.592704837589</v>
      </c>
      <c r="AH67" s="794">
        <f t="shared" si="92"/>
        <v>35700.592704837589</v>
      </c>
      <c r="AI67" s="795">
        <f t="shared" si="92"/>
        <v>35700.592704837589</v>
      </c>
      <c r="AJ67" s="792" t="e">
        <f t="shared" si="55"/>
        <v>#N/A</v>
      </c>
      <c r="AK67" s="822"/>
      <c r="AL67" s="796" t="e">
        <f t="shared" ref="AL67:BO67" si="93">F67/$E67</f>
        <v>#N/A</v>
      </c>
      <c r="AM67" s="797" t="e">
        <f t="shared" si="93"/>
        <v>#N/A</v>
      </c>
      <c r="AN67" s="797" t="e">
        <f t="shared" si="93"/>
        <v>#N/A</v>
      </c>
      <c r="AO67" s="797" t="e">
        <f t="shared" si="93"/>
        <v>#N/A</v>
      </c>
      <c r="AP67" s="797" t="e">
        <f t="shared" si="93"/>
        <v>#N/A</v>
      </c>
      <c r="AQ67" s="797" t="e">
        <f t="shared" si="93"/>
        <v>#N/A</v>
      </c>
      <c r="AR67" s="797" t="e">
        <f t="shared" si="93"/>
        <v>#N/A</v>
      </c>
      <c r="AS67" s="797" t="e">
        <f t="shared" si="93"/>
        <v>#N/A</v>
      </c>
      <c r="AT67" s="797" t="e">
        <f t="shared" si="93"/>
        <v>#N/A</v>
      </c>
      <c r="AU67" s="797" t="e">
        <f t="shared" si="93"/>
        <v>#N/A</v>
      </c>
      <c r="AV67" s="797" t="e">
        <f t="shared" si="93"/>
        <v>#N/A</v>
      </c>
      <c r="AW67" s="797" t="e">
        <f t="shared" si="93"/>
        <v>#N/A</v>
      </c>
      <c r="AX67" s="797" t="e">
        <f t="shared" si="93"/>
        <v>#N/A</v>
      </c>
      <c r="AY67" s="797" t="e">
        <f t="shared" si="93"/>
        <v>#N/A</v>
      </c>
      <c r="AZ67" s="797" t="e">
        <f t="shared" si="93"/>
        <v>#N/A</v>
      </c>
      <c r="BA67" s="903" t="e">
        <f t="shared" si="93"/>
        <v>#N/A</v>
      </c>
      <c r="BB67" s="797" t="e">
        <f t="shared" si="93"/>
        <v>#N/A</v>
      </c>
      <c r="BC67" s="797" t="e">
        <f t="shared" si="93"/>
        <v>#N/A</v>
      </c>
      <c r="BD67" s="797" t="e">
        <f t="shared" si="93"/>
        <v>#N/A</v>
      </c>
      <c r="BE67" s="797" t="e">
        <f t="shared" si="93"/>
        <v>#N/A</v>
      </c>
      <c r="BF67" s="797" t="e">
        <f t="shared" si="93"/>
        <v>#N/A</v>
      </c>
      <c r="BG67" s="797" t="e">
        <f t="shared" si="93"/>
        <v>#N/A</v>
      </c>
      <c r="BH67" s="797" t="e">
        <f t="shared" si="93"/>
        <v>#N/A</v>
      </c>
      <c r="BI67" s="797" t="e">
        <f t="shared" si="93"/>
        <v>#N/A</v>
      </c>
      <c r="BJ67" s="797" t="e">
        <f t="shared" si="93"/>
        <v>#N/A</v>
      </c>
      <c r="BK67" s="797" t="e">
        <f t="shared" si="93"/>
        <v>#N/A</v>
      </c>
      <c r="BL67" s="797" t="e">
        <f t="shared" si="93"/>
        <v>#N/A</v>
      </c>
      <c r="BM67" s="797" t="e">
        <f t="shared" si="93"/>
        <v>#N/A</v>
      </c>
      <c r="BN67" s="797" t="e">
        <f t="shared" si="93"/>
        <v>#N/A</v>
      </c>
      <c r="BO67" s="797" t="e">
        <f t="shared" si="93"/>
        <v>#N/A</v>
      </c>
      <c r="BP67" s="798" t="e">
        <f t="shared" si="3"/>
        <v>#N/A</v>
      </c>
      <c r="BR67" s="502"/>
      <c r="BS67" s="502"/>
      <c r="BV67" s="586">
        <f>BS58/BT58</f>
        <v>2585084.1993952799</v>
      </c>
    </row>
    <row r="68" spans="2:80">
      <c r="B68" s="176" t="s">
        <v>42</v>
      </c>
      <c r="C68" s="189" t="s">
        <v>127</v>
      </c>
      <c r="D68" s="190" t="s">
        <v>128</v>
      </c>
      <c r="E68" s="196">
        <f>Reassentamentos!D16</f>
        <v>1071017.7811451277</v>
      </c>
      <c r="F68" s="894">
        <f t="shared" ref="F68:AI68" si="94">$E68*AL68</f>
        <v>35700.592704837589</v>
      </c>
      <c r="G68" s="894">
        <f t="shared" si="94"/>
        <v>35700.592704837589</v>
      </c>
      <c r="H68" s="894">
        <f t="shared" si="94"/>
        <v>35700.592704837589</v>
      </c>
      <c r="I68" s="894">
        <f t="shared" si="94"/>
        <v>35700.592704837589</v>
      </c>
      <c r="J68" s="894">
        <f t="shared" si="94"/>
        <v>35700.592704837589</v>
      </c>
      <c r="K68" s="894">
        <f t="shared" si="94"/>
        <v>35700.592704837589</v>
      </c>
      <c r="L68" s="894">
        <f t="shared" si="94"/>
        <v>35700.592704837589</v>
      </c>
      <c r="M68" s="894">
        <f t="shared" si="94"/>
        <v>35700.592704837589</v>
      </c>
      <c r="N68" s="894">
        <f t="shared" si="94"/>
        <v>35700.592704837589</v>
      </c>
      <c r="O68" s="894">
        <f t="shared" si="94"/>
        <v>35700.592704837589</v>
      </c>
      <c r="P68" s="894">
        <f t="shared" si="94"/>
        <v>35700.592704837589</v>
      </c>
      <c r="Q68" s="894">
        <f t="shared" si="94"/>
        <v>35700.592704837589</v>
      </c>
      <c r="R68" s="894">
        <f t="shared" si="94"/>
        <v>35700.592704837589</v>
      </c>
      <c r="S68" s="894">
        <f t="shared" si="94"/>
        <v>35700.592704837589</v>
      </c>
      <c r="T68" s="894">
        <f t="shared" si="94"/>
        <v>35700.592704837589</v>
      </c>
      <c r="U68" s="894">
        <f t="shared" si="94"/>
        <v>35700.592704837589</v>
      </c>
      <c r="V68" s="894">
        <f t="shared" si="94"/>
        <v>35700.592704837589</v>
      </c>
      <c r="W68" s="894">
        <f t="shared" si="94"/>
        <v>35700.592704837589</v>
      </c>
      <c r="X68" s="894">
        <f t="shared" si="94"/>
        <v>35700.592704837589</v>
      </c>
      <c r="Y68" s="894">
        <f t="shared" si="94"/>
        <v>35700.592704837589</v>
      </c>
      <c r="Z68" s="894">
        <f t="shared" si="94"/>
        <v>35700.592704837589</v>
      </c>
      <c r="AA68" s="894">
        <f t="shared" si="94"/>
        <v>35700.592704837589</v>
      </c>
      <c r="AB68" s="894">
        <f t="shared" si="94"/>
        <v>35700.592704837589</v>
      </c>
      <c r="AC68" s="894">
        <f t="shared" si="94"/>
        <v>35700.592704837589</v>
      </c>
      <c r="AD68" s="894">
        <f t="shared" si="94"/>
        <v>35700.592704837589</v>
      </c>
      <c r="AE68" s="894">
        <f t="shared" si="94"/>
        <v>35700.592704837589</v>
      </c>
      <c r="AF68" s="894">
        <f t="shared" si="94"/>
        <v>35700.592704837589</v>
      </c>
      <c r="AG68" s="894">
        <f t="shared" si="94"/>
        <v>35700.592704837589</v>
      </c>
      <c r="AH68" s="894">
        <f t="shared" si="94"/>
        <v>35700.592704837589</v>
      </c>
      <c r="AI68" s="894">
        <f t="shared" si="94"/>
        <v>35700.592704837589</v>
      </c>
      <c r="AJ68" s="197">
        <f t="shared" si="55"/>
        <v>1071017.781145127</v>
      </c>
      <c r="AL68" s="895">
        <v>3.3333333333333333E-2</v>
      </c>
      <c r="AM68" s="895">
        <v>3.3333333333333333E-2</v>
      </c>
      <c r="AN68" s="895">
        <v>3.3333333333333333E-2</v>
      </c>
      <c r="AO68" s="895">
        <v>3.3333333333333333E-2</v>
      </c>
      <c r="AP68" s="895">
        <v>3.3333333333333333E-2</v>
      </c>
      <c r="AQ68" s="895">
        <v>3.3333333333333333E-2</v>
      </c>
      <c r="AR68" s="895">
        <v>3.3333333333333333E-2</v>
      </c>
      <c r="AS68" s="895">
        <v>3.3333333333333333E-2</v>
      </c>
      <c r="AT68" s="895">
        <v>3.3333333333333333E-2</v>
      </c>
      <c r="AU68" s="895">
        <v>3.3333333333333333E-2</v>
      </c>
      <c r="AV68" s="895">
        <v>3.3333333333333333E-2</v>
      </c>
      <c r="AW68" s="895">
        <v>3.3333333333333333E-2</v>
      </c>
      <c r="AX68" s="895">
        <v>3.3333333333333333E-2</v>
      </c>
      <c r="AY68" s="895">
        <v>3.3333333333333333E-2</v>
      </c>
      <c r="AZ68" s="895">
        <v>3.3333333333333333E-2</v>
      </c>
      <c r="BA68" s="895">
        <v>3.3333333333333333E-2</v>
      </c>
      <c r="BB68" s="895">
        <v>3.3333333333333333E-2</v>
      </c>
      <c r="BC68" s="895">
        <v>3.3333333333333333E-2</v>
      </c>
      <c r="BD68" s="895">
        <v>3.3333333333333333E-2</v>
      </c>
      <c r="BE68" s="895">
        <v>3.3333333333333333E-2</v>
      </c>
      <c r="BF68" s="895">
        <v>3.3333333333333333E-2</v>
      </c>
      <c r="BG68" s="895">
        <v>3.3333333333333333E-2</v>
      </c>
      <c r="BH68" s="895">
        <v>3.3333333333333333E-2</v>
      </c>
      <c r="BI68" s="895">
        <v>3.3333333333333333E-2</v>
      </c>
      <c r="BJ68" s="895">
        <v>3.3333333333333333E-2</v>
      </c>
      <c r="BK68" s="895">
        <v>3.3333333333333333E-2</v>
      </c>
      <c r="BL68" s="895">
        <v>3.3333333333333333E-2</v>
      </c>
      <c r="BM68" s="895">
        <v>3.3333333333333333E-2</v>
      </c>
      <c r="BN68" s="895">
        <v>3.3333333333333333E-2</v>
      </c>
      <c r="BO68" s="895">
        <v>3.3333333333333333E-2</v>
      </c>
      <c r="BP68" s="909">
        <f t="shared" si="3"/>
        <v>0.99999999999999989</v>
      </c>
      <c r="BX68" s="184"/>
    </row>
    <row r="69" spans="2:80" ht="13.5" thickBot="1">
      <c r="B69" s="176" t="s">
        <v>42</v>
      </c>
      <c r="C69" s="194" t="s">
        <v>129</v>
      </c>
      <c r="D69" s="210" t="s">
        <v>130</v>
      </c>
      <c r="E69" s="192" t="e">
        <f>SUM(F69:AI69)</f>
        <v>#N/A</v>
      </c>
      <c r="F69" s="894" t="e">
        <f>(SUM(F14:J14)+SUM(F26:J26)+SUM(F38:J38)+SUM(F46:J46))*0.5%</f>
        <v>#N/A</v>
      </c>
      <c r="G69" s="894"/>
      <c r="H69" s="894"/>
      <c r="I69" s="894"/>
      <c r="J69" s="894"/>
      <c r="K69" s="894" t="e">
        <f>(SUM(K14:O14)+SUM(K26:O26)+SUM(K38:O38)+SUM(K46:O46))*0.5%</f>
        <v>#N/A</v>
      </c>
      <c r="L69" s="894"/>
      <c r="M69" s="894"/>
      <c r="N69" s="894"/>
      <c r="O69" s="894"/>
      <c r="P69" s="894" t="e">
        <f>(SUM(P14:T14)+SUM(P26:T26)+SUM(P38:T38)+SUM(P46:T46))*0.5%</f>
        <v>#N/A</v>
      </c>
      <c r="Q69" s="894"/>
      <c r="R69" s="894"/>
      <c r="S69" s="894"/>
      <c r="T69" s="894"/>
      <c r="U69" s="894" t="e">
        <f>(SUM(U14:Y14)+SUM(U26:Y26)+SUM(U38:Y38)+SUM(U46:Y46))*0.5%</f>
        <v>#N/A</v>
      </c>
      <c r="V69" s="894"/>
      <c r="W69" s="894"/>
      <c r="X69" s="894"/>
      <c r="Y69" s="894"/>
      <c r="Z69" s="894" t="e">
        <f>(SUM(Z14:AD14)+SUM(Z26:AD26)+SUM(Z38:AD38)+SUM(Z46:AD46))*0.5%</f>
        <v>#N/A</v>
      </c>
      <c r="AA69" s="894"/>
      <c r="AB69" s="894"/>
      <c r="AC69" s="894"/>
      <c r="AD69" s="894"/>
      <c r="AE69" s="894" t="e">
        <f>(SUM(AE14:AI14)+SUM(AE26:AI26)+SUM(AE38:AI38)+SUM(AE46:AI46))*0.5%</f>
        <v>#N/A</v>
      </c>
      <c r="AF69" s="894"/>
      <c r="AG69" s="894"/>
      <c r="AH69" s="894"/>
      <c r="AI69" s="894"/>
      <c r="AJ69" s="192" t="e">
        <f t="shared" si="55"/>
        <v>#N/A</v>
      </c>
      <c r="AK69" s="908"/>
      <c r="AL69" s="895">
        <v>0.21381231668931003</v>
      </c>
      <c r="AM69" s="895">
        <v>0</v>
      </c>
      <c r="AN69" s="895">
        <v>0</v>
      </c>
      <c r="AO69" s="895">
        <v>0</v>
      </c>
      <c r="AP69" s="895">
        <v>0</v>
      </c>
      <c r="AQ69" s="895">
        <v>0.4218328844204875</v>
      </c>
      <c r="AR69" s="895">
        <v>0</v>
      </c>
      <c r="AS69" s="895">
        <v>0</v>
      </c>
      <c r="AT69" s="895">
        <v>0</v>
      </c>
      <c r="AU69" s="895">
        <v>0</v>
      </c>
      <c r="AV69" s="895">
        <v>7.3570556983447041E-2</v>
      </c>
      <c r="AW69" s="895">
        <v>0</v>
      </c>
      <c r="AX69" s="895">
        <v>0</v>
      </c>
      <c r="AY69" s="895">
        <v>0</v>
      </c>
      <c r="AZ69" s="895">
        <v>0</v>
      </c>
      <c r="BA69" s="895">
        <v>0.15724419984759558</v>
      </c>
      <c r="BB69" s="895">
        <v>0</v>
      </c>
      <c r="BC69" s="895">
        <v>0</v>
      </c>
      <c r="BD69" s="895">
        <v>0</v>
      </c>
      <c r="BE69" s="895">
        <v>0</v>
      </c>
      <c r="BF69" s="895">
        <v>7.2077229424310427E-2</v>
      </c>
      <c r="BG69" s="895">
        <v>0</v>
      </c>
      <c r="BH69" s="895">
        <v>0</v>
      </c>
      <c r="BI69" s="895">
        <v>0</v>
      </c>
      <c r="BJ69" s="895">
        <v>0</v>
      </c>
      <c r="BK69" s="895">
        <v>6.1462812634849394E-2</v>
      </c>
      <c r="BL69" s="895">
        <v>0</v>
      </c>
      <c r="BM69" s="895">
        <v>0</v>
      </c>
      <c r="BN69" s="895">
        <v>0</v>
      </c>
      <c r="BO69" s="895">
        <v>0</v>
      </c>
      <c r="BP69" s="199">
        <f t="shared" si="3"/>
        <v>0.99999999999999989</v>
      </c>
    </row>
    <row r="70" spans="2:80" s="184" customFormat="1" ht="15" customHeight="1" thickBot="1">
      <c r="B70" s="176"/>
      <c r="C70" s="790">
        <v>6</v>
      </c>
      <c r="D70" s="791" t="s">
        <v>131</v>
      </c>
      <c r="E70" s="792">
        <f t="shared" ref="E70:AI70" ca="1" si="95">SUM(E71:E72)</f>
        <v>53151517.599349082</v>
      </c>
      <c r="F70" s="799">
        <f t="shared" ca="1" si="95"/>
        <v>47650536.74999278</v>
      </c>
      <c r="G70" s="794">
        <f t="shared" ca="1" si="95"/>
        <v>266912.43460145005</v>
      </c>
      <c r="H70" s="794">
        <f t="shared" ca="1" si="95"/>
        <v>0</v>
      </c>
      <c r="I70" s="794">
        <f t="shared" ca="1" si="95"/>
        <v>0</v>
      </c>
      <c r="J70" s="794">
        <f t="shared" ca="1" si="95"/>
        <v>0</v>
      </c>
      <c r="K70" s="794">
        <f t="shared" ca="1" si="95"/>
        <v>0</v>
      </c>
      <c r="L70" s="794">
        <f t="shared" ca="1" si="95"/>
        <v>0</v>
      </c>
      <c r="M70" s="794">
        <f t="shared" ca="1" si="95"/>
        <v>0</v>
      </c>
      <c r="N70" s="794">
        <f t="shared" ca="1" si="95"/>
        <v>0</v>
      </c>
      <c r="O70" s="794">
        <f t="shared" ca="1" si="95"/>
        <v>0</v>
      </c>
      <c r="P70" s="902">
        <f t="shared" ca="1" si="95"/>
        <v>2266083.7009861199</v>
      </c>
      <c r="Q70" s="794">
        <f t="shared" ca="1" si="95"/>
        <v>240221.19114130503</v>
      </c>
      <c r="R70" s="794">
        <f t="shared" ca="1" si="95"/>
        <v>0</v>
      </c>
      <c r="S70" s="794">
        <f t="shared" ca="1" si="95"/>
        <v>0</v>
      </c>
      <c r="T70" s="794">
        <f t="shared" ca="1" si="95"/>
        <v>0</v>
      </c>
      <c r="U70" s="794">
        <f t="shared" ca="1" si="95"/>
        <v>0</v>
      </c>
      <c r="V70" s="794">
        <f t="shared" ca="1" si="95"/>
        <v>0</v>
      </c>
      <c r="W70" s="794">
        <f t="shared" ca="1" si="95"/>
        <v>0</v>
      </c>
      <c r="X70" s="794">
        <f t="shared" ca="1" si="95"/>
        <v>0</v>
      </c>
      <c r="Y70" s="794">
        <f t="shared" ca="1" si="95"/>
        <v>0</v>
      </c>
      <c r="Z70" s="902">
        <f t="shared" ca="1" si="95"/>
        <v>2487542.3314861199</v>
      </c>
      <c r="AA70" s="794">
        <f t="shared" ca="1" si="95"/>
        <v>240221.19114130503</v>
      </c>
      <c r="AB70" s="794">
        <f t="shared" ca="1" si="95"/>
        <v>0</v>
      </c>
      <c r="AC70" s="794">
        <f t="shared" ca="1" si="95"/>
        <v>0</v>
      </c>
      <c r="AD70" s="794">
        <f t="shared" ca="1" si="95"/>
        <v>0</v>
      </c>
      <c r="AE70" s="794">
        <f t="shared" ca="1" si="95"/>
        <v>0</v>
      </c>
      <c r="AF70" s="794">
        <f t="shared" ca="1" si="95"/>
        <v>0</v>
      </c>
      <c r="AG70" s="794">
        <f t="shared" ca="1" si="95"/>
        <v>0</v>
      </c>
      <c r="AH70" s="794">
        <f t="shared" ca="1" si="95"/>
        <v>0</v>
      </c>
      <c r="AI70" s="795">
        <f t="shared" ca="1" si="95"/>
        <v>0</v>
      </c>
      <c r="AJ70" s="792">
        <f t="shared" ca="1" si="55"/>
        <v>53151517.599349082</v>
      </c>
      <c r="AK70" s="822"/>
      <c r="AL70" s="796">
        <f t="shared" ref="AL70:BO70" ca="1" si="96">F70/$E70</f>
        <v>0.8965037858218432</v>
      </c>
      <c r="AM70" s="797">
        <f t="shared" ca="1" si="96"/>
        <v>5.0217274436716889E-3</v>
      </c>
      <c r="AN70" s="797">
        <f t="shared" ca="1" si="96"/>
        <v>0</v>
      </c>
      <c r="AO70" s="797">
        <f t="shared" ca="1" si="96"/>
        <v>0</v>
      </c>
      <c r="AP70" s="797">
        <f t="shared" ca="1" si="96"/>
        <v>0</v>
      </c>
      <c r="AQ70" s="797">
        <f t="shared" ca="1" si="96"/>
        <v>0</v>
      </c>
      <c r="AR70" s="797">
        <f t="shared" ca="1" si="96"/>
        <v>0</v>
      </c>
      <c r="AS70" s="797">
        <f t="shared" ca="1" si="96"/>
        <v>0</v>
      </c>
      <c r="AT70" s="797">
        <f t="shared" ca="1" si="96"/>
        <v>0</v>
      </c>
      <c r="AU70" s="797">
        <f t="shared" ca="1" si="96"/>
        <v>0</v>
      </c>
      <c r="AV70" s="797">
        <f t="shared" ca="1" si="96"/>
        <v>4.2634412023145531E-2</v>
      </c>
      <c r="AW70" s="797">
        <f t="shared" ca="1" si="96"/>
        <v>4.51955469930452E-3</v>
      </c>
      <c r="AX70" s="797">
        <f t="shared" ca="1" si="96"/>
        <v>0</v>
      </c>
      <c r="AY70" s="797">
        <f t="shared" ca="1" si="96"/>
        <v>0</v>
      </c>
      <c r="AZ70" s="797">
        <f t="shared" ca="1" si="96"/>
        <v>0</v>
      </c>
      <c r="BA70" s="903">
        <f t="shared" ca="1" si="96"/>
        <v>0</v>
      </c>
      <c r="BB70" s="797">
        <f t="shared" ca="1" si="96"/>
        <v>0</v>
      </c>
      <c r="BC70" s="797">
        <f t="shared" ca="1" si="96"/>
        <v>0</v>
      </c>
      <c r="BD70" s="797">
        <f t="shared" ca="1" si="96"/>
        <v>0</v>
      </c>
      <c r="BE70" s="797">
        <f t="shared" ca="1" si="96"/>
        <v>0</v>
      </c>
      <c r="BF70" s="797">
        <f t="shared" ca="1" si="96"/>
        <v>4.680096531273048E-2</v>
      </c>
      <c r="BG70" s="797">
        <f t="shared" ca="1" si="96"/>
        <v>4.51955469930452E-3</v>
      </c>
      <c r="BH70" s="797">
        <f t="shared" ca="1" si="96"/>
        <v>0</v>
      </c>
      <c r="BI70" s="797">
        <f t="shared" ca="1" si="96"/>
        <v>0</v>
      </c>
      <c r="BJ70" s="797">
        <f t="shared" ca="1" si="96"/>
        <v>0</v>
      </c>
      <c r="BK70" s="797">
        <f t="shared" ca="1" si="96"/>
        <v>0</v>
      </c>
      <c r="BL70" s="797">
        <f t="shared" ca="1" si="96"/>
        <v>0</v>
      </c>
      <c r="BM70" s="797">
        <f t="shared" ca="1" si="96"/>
        <v>0</v>
      </c>
      <c r="BN70" s="797">
        <f t="shared" ca="1" si="96"/>
        <v>0</v>
      </c>
      <c r="BO70" s="797">
        <f t="shared" ca="1" si="96"/>
        <v>0</v>
      </c>
      <c r="BP70" s="798">
        <f t="shared" ca="1" si="3"/>
        <v>1</v>
      </c>
      <c r="BR70" s="502"/>
      <c r="BS70" s="502"/>
    </row>
    <row r="71" spans="2:80" ht="25.5">
      <c r="B71" s="176" t="s">
        <v>42</v>
      </c>
      <c r="C71" s="189" t="s">
        <v>132</v>
      </c>
      <c r="D71" s="910" t="s">
        <v>133</v>
      </c>
      <c r="E71" s="196">
        <f ca="1">Sistemas!H123</f>
        <v>47917449.184594229</v>
      </c>
      <c r="F71" s="894">
        <f ca="1">Sistemas!DA123</f>
        <v>47650536.74999278</v>
      </c>
      <c r="G71" s="894">
        <f ca="1">Sistemas!DB123</f>
        <v>266912.43460145005</v>
      </c>
      <c r="H71" s="894">
        <f ca="1">Sistemas!DC123</f>
        <v>0</v>
      </c>
      <c r="I71" s="894">
        <f ca="1">Sistemas!DD123</f>
        <v>0</v>
      </c>
      <c r="J71" s="894">
        <f ca="1">Sistemas!DE123</f>
        <v>0</v>
      </c>
      <c r="K71" s="894">
        <f ca="1">Sistemas!DF123</f>
        <v>0</v>
      </c>
      <c r="L71" s="894">
        <f ca="1">Sistemas!DG123</f>
        <v>0</v>
      </c>
      <c r="M71" s="894">
        <f ca="1">Sistemas!DH123</f>
        <v>0</v>
      </c>
      <c r="N71" s="894">
        <f ca="1">Sistemas!DI123</f>
        <v>0</v>
      </c>
      <c r="O71" s="894">
        <f ca="1">Sistemas!DJ123</f>
        <v>0</v>
      </c>
      <c r="P71" s="894">
        <f ca="1">Sistemas!DK123</f>
        <v>0</v>
      </c>
      <c r="Q71" s="894">
        <f ca="1">Sistemas!DL123</f>
        <v>0</v>
      </c>
      <c r="R71" s="894">
        <f ca="1">Sistemas!DM123</f>
        <v>0</v>
      </c>
      <c r="S71" s="894">
        <f ca="1">Sistemas!DN123</f>
        <v>0</v>
      </c>
      <c r="T71" s="894">
        <f ca="1">Sistemas!DO123</f>
        <v>0</v>
      </c>
      <c r="U71" s="894">
        <f ca="1">Sistemas!DP123</f>
        <v>0</v>
      </c>
      <c r="V71" s="894">
        <f ca="1">Sistemas!DQ123</f>
        <v>0</v>
      </c>
      <c r="W71" s="894">
        <f ca="1">Sistemas!DR123</f>
        <v>0</v>
      </c>
      <c r="X71" s="894">
        <f ca="1">Sistemas!DS123</f>
        <v>0</v>
      </c>
      <c r="Y71" s="894">
        <f ca="1">Sistemas!DT123</f>
        <v>0</v>
      </c>
      <c r="Z71" s="894">
        <f ca="1">Sistemas!DU123</f>
        <v>0</v>
      </c>
      <c r="AA71" s="894">
        <f ca="1">Sistemas!DV123</f>
        <v>0</v>
      </c>
      <c r="AB71" s="894">
        <f ca="1">Sistemas!DW123</f>
        <v>0</v>
      </c>
      <c r="AC71" s="894">
        <f ca="1">Sistemas!DX123</f>
        <v>0</v>
      </c>
      <c r="AD71" s="894">
        <f>Sistemas!DY123</f>
        <v>0</v>
      </c>
      <c r="AE71" s="894">
        <f>Sistemas!DZ123</f>
        <v>0</v>
      </c>
      <c r="AF71" s="894">
        <f>Sistemas!EA123</f>
        <v>0</v>
      </c>
      <c r="AG71" s="894">
        <f>Sistemas!EB123</f>
        <v>0</v>
      </c>
      <c r="AH71" s="894">
        <f>Sistemas!EC123</f>
        <v>0</v>
      </c>
      <c r="AI71" s="894">
        <f ca="1">Sistemas!ED123</f>
        <v>0</v>
      </c>
      <c r="AJ71" s="197">
        <f t="shared" ca="1" si="55"/>
        <v>47917449.184594229</v>
      </c>
      <c r="AL71" s="895">
        <f ca="1">F71/$E$71</f>
        <v>0.99442974450553057</v>
      </c>
      <c r="AM71" s="895">
        <f ca="1">G71/$E$71</f>
        <v>5.5702554944695205E-3</v>
      </c>
      <c r="AN71" s="895">
        <f t="shared" ref="AN71:BO71" ca="1" si="97">H71/$E$71</f>
        <v>0</v>
      </c>
      <c r="AO71" s="895">
        <f t="shared" ca="1" si="97"/>
        <v>0</v>
      </c>
      <c r="AP71" s="895">
        <f t="shared" ca="1" si="97"/>
        <v>0</v>
      </c>
      <c r="AQ71" s="895">
        <f t="shared" ca="1" si="97"/>
        <v>0</v>
      </c>
      <c r="AR71" s="895">
        <f t="shared" ca="1" si="97"/>
        <v>0</v>
      </c>
      <c r="AS71" s="895">
        <f t="shared" ca="1" si="97"/>
        <v>0</v>
      </c>
      <c r="AT71" s="895">
        <f t="shared" ca="1" si="97"/>
        <v>0</v>
      </c>
      <c r="AU71" s="895">
        <f t="shared" ca="1" si="97"/>
        <v>0</v>
      </c>
      <c r="AV71" s="895">
        <f t="shared" ca="1" si="97"/>
        <v>0</v>
      </c>
      <c r="AW71" s="895">
        <f t="shared" ca="1" si="97"/>
        <v>0</v>
      </c>
      <c r="AX71" s="895">
        <f t="shared" ca="1" si="97"/>
        <v>0</v>
      </c>
      <c r="AY71" s="895">
        <f t="shared" ca="1" si="97"/>
        <v>0</v>
      </c>
      <c r="AZ71" s="895">
        <f t="shared" ca="1" si="97"/>
        <v>0</v>
      </c>
      <c r="BA71" s="895">
        <f t="shared" ca="1" si="97"/>
        <v>0</v>
      </c>
      <c r="BB71" s="895">
        <f t="shared" ca="1" si="97"/>
        <v>0</v>
      </c>
      <c r="BC71" s="895">
        <f t="shared" ca="1" si="97"/>
        <v>0</v>
      </c>
      <c r="BD71" s="895">
        <f t="shared" ca="1" si="97"/>
        <v>0</v>
      </c>
      <c r="BE71" s="895">
        <f t="shared" ca="1" si="97"/>
        <v>0</v>
      </c>
      <c r="BF71" s="895">
        <f t="shared" ca="1" si="97"/>
        <v>0</v>
      </c>
      <c r="BG71" s="895">
        <f t="shared" ca="1" si="97"/>
        <v>0</v>
      </c>
      <c r="BH71" s="895">
        <f t="shared" ca="1" si="97"/>
        <v>0</v>
      </c>
      <c r="BI71" s="895">
        <f t="shared" ca="1" si="97"/>
        <v>0</v>
      </c>
      <c r="BJ71" s="895">
        <f t="shared" ca="1" si="97"/>
        <v>0</v>
      </c>
      <c r="BK71" s="895">
        <f t="shared" ca="1" si="97"/>
        <v>0</v>
      </c>
      <c r="BL71" s="895">
        <f t="shared" ca="1" si="97"/>
        <v>0</v>
      </c>
      <c r="BM71" s="895">
        <f t="shared" ca="1" si="97"/>
        <v>0</v>
      </c>
      <c r="BN71" s="895">
        <f t="shared" ca="1" si="97"/>
        <v>0</v>
      </c>
      <c r="BO71" s="895">
        <f t="shared" ca="1" si="97"/>
        <v>0</v>
      </c>
      <c r="BP71" s="909">
        <f t="shared" ca="1" si="3"/>
        <v>1</v>
      </c>
    </row>
    <row r="72" spans="2:80" ht="13.5" thickBot="1">
      <c r="B72" s="176" t="s">
        <v>42</v>
      </c>
      <c r="C72" s="219" t="s">
        <v>134</v>
      </c>
      <c r="D72" s="220" t="s">
        <v>135</v>
      </c>
      <c r="E72" s="196">
        <f ca="1">Sistemas!I123</f>
        <v>5234068.4147548508</v>
      </c>
      <c r="F72" s="894">
        <f ca="1">Sistemas!EF123</f>
        <v>0</v>
      </c>
      <c r="G72" s="894">
        <f ca="1">Sistemas!EG123</f>
        <v>0</v>
      </c>
      <c r="H72" s="894">
        <f ca="1">Sistemas!EH123</f>
        <v>0</v>
      </c>
      <c r="I72" s="894">
        <f ca="1">Sistemas!EI123</f>
        <v>0</v>
      </c>
      <c r="J72" s="894">
        <f ca="1">Sistemas!EJ123</f>
        <v>0</v>
      </c>
      <c r="K72" s="894">
        <f ca="1">Sistemas!EK123</f>
        <v>0</v>
      </c>
      <c r="L72" s="894">
        <f ca="1">Sistemas!EL123</f>
        <v>0</v>
      </c>
      <c r="M72" s="894">
        <f ca="1">Sistemas!EM123</f>
        <v>0</v>
      </c>
      <c r="N72" s="894">
        <f ca="1">Sistemas!EN123</f>
        <v>0</v>
      </c>
      <c r="O72" s="894">
        <f ca="1">Sistemas!EO123</f>
        <v>0</v>
      </c>
      <c r="P72" s="894">
        <f ca="1">Sistemas!EP123</f>
        <v>2266083.7009861199</v>
      </c>
      <c r="Q72" s="894">
        <f ca="1">Sistemas!EQ123</f>
        <v>240221.19114130503</v>
      </c>
      <c r="R72" s="894">
        <f ca="1">Sistemas!ER123</f>
        <v>0</v>
      </c>
      <c r="S72" s="894">
        <f ca="1">Sistemas!ES123</f>
        <v>0</v>
      </c>
      <c r="T72" s="894">
        <f ca="1">Sistemas!ET123</f>
        <v>0</v>
      </c>
      <c r="U72" s="894">
        <f ca="1">Sistemas!EU123</f>
        <v>0</v>
      </c>
      <c r="V72" s="894">
        <f ca="1">Sistemas!EV123</f>
        <v>0</v>
      </c>
      <c r="W72" s="894">
        <f ca="1">Sistemas!EW123</f>
        <v>0</v>
      </c>
      <c r="X72" s="894">
        <f ca="1">Sistemas!EX123</f>
        <v>0</v>
      </c>
      <c r="Y72" s="894">
        <f ca="1">Sistemas!EY123</f>
        <v>0</v>
      </c>
      <c r="Z72" s="894">
        <f ca="1">Sistemas!EZ123</f>
        <v>2487542.3314861199</v>
      </c>
      <c r="AA72" s="894">
        <f ca="1">Sistemas!FA123</f>
        <v>240221.19114130503</v>
      </c>
      <c r="AB72" s="894">
        <f ca="1">Sistemas!FB123</f>
        <v>0</v>
      </c>
      <c r="AC72" s="894">
        <f ca="1">Sistemas!FC123</f>
        <v>0</v>
      </c>
      <c r="AD72" s="894">
        <f ca="1">Sistemas!FD123</f>
        <v>0</v>
      </c>
      <c r="AE72" s="894">
        <f ca="1">Sistemas!FE123</f>
        <v>0</v>
      </c>
      <c r="AF72" s="894">
        <f ca="1">Sistemas!FF123</f>
        <v>0</v>
      </c>
      <c r="AG72" s="894">
        <f ca="1">Sistemas!FG123</f>
        <v>0</v>
      </c>
      <c r="AH72" s="894">
        <f ca="1">Sistemas!FH123</f>
        <v>0</v>
      </c>
      <c r="AI72" s="894">
        <f ca="1">Sistemas!FI123</f>
        <v>0</v>
      </c>
      <c r="AJ72" s="221">
        <f t="shared" ca="1" si="55"/>
        <v>5234068.4147548508</v>
      </c>
      <c r="AL72" s="895">
        <f ca="1">Sistemas!EF124</f>
        <v>0</v>
      </c>
      <c r="AM72" s="895">
        <f ca="1">Sistemas!EG124</f>
        <v>0</v>
      </c>
      <c r="AN72" s="895">
        <f ca="1">Sistemas!EH124</f>
        <v>0</v>
      </c>
      <c r="AO72" s="895">
        <f ca="1">Sistemas!EI124</f>
        <v>0</v>
      </c>
      <c r="AP72" s="895">
        <f ca="1">Sistemas!EJ124</f>
        <v>0</v>
      </c>
      <c r="AQ72" s="895">
        <f ca="1">Sistemas!EK124</f>
        <v>0</v>
      </c>
      <c r="AR72" s="895">
        <f ca="1">Sistemas!EL124</f>
        <v>0</v>
      </c>
      <c r="AS72" s="895">
        <f ca="1">Sistemas!EM124</f>
        <v>0</v>
      </c>
      <c r="AT72" s="895">
        <f ca="1">Sistemas!EN124</f>
        <v>0</v>
      </c>
      <c r="AU72" s="895">
        <f ca="1">Sistemas!EO124</f>
        <v>0</v>
      </c>
      <c r="AV72" s="895">
        <f ca="1">Sistemas!EP124</f>
        <v>0.43294881178817318</v>
      </c>
      <c r="AW72" s="895">
        <f ca="1">Sistemas!EQ124</f>
        <v>4.5895691860679724E-2</v>
      </c>
      <c r="AX72" s="895">
        <f ca="1">Sistemas!ER124</f>
        <v>0</v>
      </c>
      <c r="AY72" s="895">
        <f ca="1">Sistemas!ES124</f>
        <v>0</v>
      </c>
      <c r="AZ72" s="895">
        <f ca="1">Sistemas!ET124</f>
        <v>0</v>
      </c>
      <c r="BA72" s="895">
        <f ca="1">Sistemas!EU124</f>
        <v>0</v>
      </c>
      <c r="BB72" s="895">
        <f ca="1">Sistemas!EV124</f>
        <v>0</v>
      </c>
      <c r="BC72" s="895">
        <f ca="1">Sistemas!EW124</f>
        <v>0</v>
      </c>
      <c r="BD72" s="895">
        <f ca="1">Sistemas!EX124</f>
        <v>0</v>
      </c>
      <c r="BE72" s="895">
        <f ca="1">Sistemas!EY124</f>
        <v>0</v>
      </c>
      <c r="BF72" s="895">
        <f ca="1">Sistemas!EZ124</f>
        <v>0.47525980449046717</v>
      </c>
      <c r="BG72" s="895">
        <f ca="1">Sistemas!FA124</f>
        <v>4.5895691860679724E-2</v>
      </c>
      <c r="BH72" s="895">
        <f ca="1">Sistemas!FB124</f>
        <v>0</v>
      </c>
      <c r="BI72" s="895">
        <f ca="1">Sistemas!FC124</f>
        <v>0</v>
      </c>
      <c r="BJ72" s="895">
        <f ca="1">Sistemas!FD124</f>
        <v>0</v>
      </c>
      <c r="BK72" s="895">
        <f ca="1">Sistemas!FE124</f>
        <v>0</v>
      </c>
      <c r="BL72" s="895">
        <f ca="1">Sistemas!FF124</f>
        <v>0</v>
      </c>
      <c r="BM72" s="895">
        <f ca="1">Sistemas!FG124</f>
        <v>0</v>
      </c>
      <c r="BN72" s="895">
        <f ca="1">Sistemas!FH124</f>
        <v>0</v>
      </c>
      <c r="BO72" s="895">
        <f ca="1">Sistemas!FI124</f>
        <v>0</v>
      </c>
      <c r="BP72" s="222">
        <f t="shared" ca="1" si="3"/>
        <v>0.99999999999999989</v>
      </c>
    </row>
    <row r="73" spans="2:80" s="188" customFormat="1" ht="19.899999999999999" customHeight="1" thickBot="1">
      <c r="B73" s="187"/>
      <c r="C73" s="781" t="s">
        <v>39</v>
      </c>
      <c r="D73" s="782" t="s">
        <v>136</v>
      </c>
      <c r="E73" s="783">
        <f t="shared" ref="E73:AI73" ca="1" si="98">E74+E86+E99+E117+E119+E121+E123</f>
        <v>1765963196.5757627</v>
      </c>
      <c r="F73" s="784">
        <f t="shared" ca="1" si="98"/>
        <v>35304251.007583752</v>
      </c>
      <c r="G73" s="785">
        <f t="shared" ca="1" si="98"/>
        <v>56890534.724298373</v>
      </c>
      <c r="H73" s="785">
        <f t="shared" ca="1" si="98"/>
        <v>62806365.861707047</v>
      </c>
      <c r="I73" s="785">
        <f t="shared" ca="1" si="98"/>
        <v>56342020.865007818</v>
      </c>
      <c r="J73" s="785">
        <f t="shared" ca="1" si="98"/>
        <v>56093575.04289943</v>
      </c>
      <c r="K73" s="785">
        <f t="shared" ca="1" si="98"/>
        <v>59667903.216845185</v>
      </c>
      <c r="L73" s="785">
        <f t="shared" ca="1" si="98"/>
        <v>63185400.972468153</v>
      </c>
      <c r="M73" s="785">
        <f t="shared" ca="1" si="98"/>
        <v>56128925.822586343</v>
      </c>
      <c r="N73" s="785">
        <f t="shared" ca="1" si="98"/>
        <v>59532892.407697245</v>
      </c>
      <c r="O73" s="785">
        <f t="shared" ca="1" si="98"/>
        <v>63382176.03418164</v>
      </c>
      <c r="P73" s="885">
        <f t="shared" ca="1" si="98"/>
        <v>56042660.24823077</v>
      </c>
      <c r="Q73" s="785">
        <f t="shared" ca="1" si="98"/>
        <v>59825230.183880821</v>
      </c>
      <c r="R73" s="785">
        <f t="shared" ca="1" si="98"/>
        <v>63288075.164983571</v>
      </c>
      <c r="S73" s="785">
        <f t="shared" ca="1" si="98"/>
        <v>56155044.540549338</v>
      </c>
      <c r="T73" s="785">
        <f t="shared" ca="1" si="98"/>
        <v>59613274.82292299</v>
      </c>
      <c r="U73" s="785">
        <f t="shared" ca="1" si="98"/>
        <v>63717727.142805591</v>
      </c>
      <c r="V73" s="785">
        <f t="shared" ca="1" si="98"/>
        <v>56158760.586161062</v>
      </c>
      <c r="W73" s="785">
        <f t="shared" ca="1" si="98"/>
        <v>59866734.952553093</v>
      </c>
      <c r="X73" s="785">
        <f t="shared" ca="1" si="98"/>
        <v>63341744.834631279</v>
      </c>
      <c r="Y73" s="785">
        <f t="shared" ca="1" si="98"/>
        <v>56183838.300294369</v>
      </c>
      <c r="Z73" s="885">
        <f t="shared" ca="1" si="98"/>
        <v>60077928.118875444</v>
      </c>
      <c r="AA73" s="785">
        <f t="shared" ca="1" si="98"/>
        <v>64106614.944344476</v>
      </c>
      <c r="AB73" s="785">
        <f t="shared" ca="1" si="98"/>
        <v>56366252.978173047</v>
      </c>
      <c r="AC73" s="785">
        <f t="shared" ca="1" si="98"/>
        <v>60290347.440572008</v>
      </c>
      <c r="AD73" s="785">
        <f t="shared" ca="1" si="98"/>
        <v>63894214.944344476</v>
      </c>
      <c r="AE73" s="785">
        <f t="shared" ca="1" si="98"/>
        <v>56536391.399109796</v>
      </c>
      <c r="AF73" s="785">
        <f t="shared" ca="1" si="98"/>
        <v>60161164.844561338</v>
      </c>
      <c r="AG73" s="785">
        <f t="shared" ca="1" si="98"/>
        <v>64215155.331386372</v>
      </c>
      <c r="AH73" s="785">
        <f t="shared" ca="1" si="98"/>
        <v>56424147.399109796</v>
      </c>
      <c r="AI73" s="786">
        <f t="shared" ca="1" si="98"/>
        <v>60363842.442998827</v>
      </c>
      <c r="AJ73" s="783">
        <f t="shared" ca="1" si="55"/>
        <v>1765963196.5757635</v>
      </c>
      <c r="AK73" s="825"/>
      <c r="AL73" s="787">
        <f t="shared" ref="AL73:BA74" ca="1" si="99">F73/$E73</f>
        <v>1.9991498733404743E-2</v>
      </c>
      <c r="AM73" s="788">
        <f t="shared" ca="1" si="99"/>
        <v>3.2215017184169088E-2</v>
      </c>
      <c r="AN73" s="788">
        <f t="shared" ca="1" si="99"/>
        <v>3.5564934752598365E-2</v>
      </c>
      <c r="AO73" s="788">
        <f t="shared" ca="1" si="99"/>
        <v>3.1904413961885557E-2</v>
      </c>
      <c r="AP73" s="788">
        <f t="shared" ca="1" si="99"/>
        <v>3.1763728231520322E-2</v>
      </c>
      <c r="AQ73" s="788">
        <f t="shared" ca="1" si="99"/>
        <v>3.3787738800300268E-2</v>
      </c>
      <c r="AR73" s="788">
        <f t="shared" ca="1" si="99"/>
        <v>3.5779568393602926E-2</v>
      </c>
      <c r="AS73" s="788">
        <f t="shared" ca="1" si="99"/>
        <v>3.1783746077733349E-2</v>
      </c>
      <c r="AT73" s="788">
        <f t="shared" ca="1" si="99"/>
        <v>3.3711287145243282E-2</v>
      </c>
      <c r="AU73" s="788">
        <f t="shared" ca="1" si="99"/>
        <v>3.5890994872985416E-2</v>
      </c>
      <c r="AV73" s="788">
        <f t="shared" ca="1" si="99"/>
        <v>3.1734897056121321E-2</v>
      </c>
      <c r="AW73" s="788">
        <f t="shared" ca="1" si="99"/>
        <v>3.3876827274703751E-2</v>
      </c>
      <c r="AX73" s="788">
        <f t="shared" ca="1" si="99"/>
        <v>3.5837709012113271E-2</v>
      </c>
      <c r="AY73" s="788">
        <f t="shared" ca="1" si="99"/>
        <v>3.1798536146979209E-2</v>
      </c>
      <c r="AZ73" s="788">
        <f t="shared" ca="1" si="99"/>
        <v>3.375680475024298E-2</v>
      </c>
      <c r="BA73" s="886">
        <f t="shared" ca="1" si="99"/>
        <v>3.6081005123071372E-2</v>
      </c>
      <c r="BB73" s="788">
        <f t="shared" ref="BB73:BO74" ca="1" si="100">V73/$E73</f>
        <v>3.1800640406920141E-2</v>
      </c>
      <c r="BC73" s="788">
        <f t="shared" ca="1" si="100"/>
        <v>3.3900329898514228E-2</v>
      </c>
      <c r="BD73" s="788">
        <f t="shared" ca="1" si="100"/>
        <v>3.5868100171879101E-2</v>
      </c>
      <c r="BE73" s="788">
        <f t="shared" ca="1" si="100"/>
        <v>3.1814840993988965E-2</v>
      </c>
      <c r="BF73" s="788">
        <f t="shared" ca="1" si="100"/>
        <v>3.4019920820189078E-2</v>
      </c>
      <c r="BG73" s="788">
        <f t="shared" ca="1" si="100"/>
        <v>3.6301217980447414E-2</v>
      </c>
      <c r="BH73" s="788">
        <f t="shared" ca="1" si="100"/>
        <v>3.1918135716230277E-2</v>
      </c>
      <c r="BI73" s="788">
        <f t="shared" ca="1" si="100"/>
        <v>3.4140206068550109E-2</v>
      </c>
      <c r="BJ73" s="788">
        <f t="shared" ca="1" si="100"/>
        <v>3.6180943673252426E-2</v>
      </c>
      <c r="BK73" s="788">
        <f t="shared" ca="1" si="100"/>
        <v>3.2014478845728479E-2</v>
      </c>
      <c r="BL73" s="788">
        <f t="shared" ca="1" si="100"/>
        <v>3.4067054716210972E-2</v>
      </c>
      <c r="BM73" s="788">
        <f t="shared" ca="1" si="100"/>
        <v>3.6362680409139224E-2</v>
      </c>
      <c r="BN73" s="788">
        <f t="shared" ca="1" si="100"/>
        <v>3.1950919197250162E-2</v>
      </c>
      <c r="BO73" s="788">
        <f t="shared" ca="1" si="100"/>
        <v>3.4181823585024591E-2</v>
      </c>
      <c r="BP73" s="789">
        <f t="shared" ca="1" si="3"/>
        <v>1.0000000000000002</v>
      </c>
      <c r="BR73" s="506"/>
      <c r="BS73" s="506"/>
    </row>
    <row r="74" spans="2:80" s="184" customFormat="1" ht="15" customHeight="1" thickBot="1">
      <c r="B74" s="176"/>
      <c r="C74" s="790">
        <v>1</v>
      </c>
      <c r="D74" s="800" t="s">
        <v>137</v>
      </c>
      <c r="E74" s="792">
        <f t="shared" ref="E74:AI74" si="101">SUM(E75:E85)</f>
        <v>352325462.10733652</v>
      </c>
      <c r="F74" s="799">
        <f t="shared" si="101"/>
        <v>6219078.1801351113</v>
      </c>
      <c r="G74" s="794">
        <f t="shared" si="101"/>
        <v>7887591.5146496026</v>
      </c>
      <c r="H74" s="794">
        <f t="shared" si="101"/>
        <v>14703822.652058264</v>
      </c>
      <c r="I74" s="794">
        <f t="shared" si="101"/>
        <v>7889077.6553590465</v>
      </c>
      <c r="J74" s="794">
        <f t="shared" si="101"/>
        <v>7890875.8332506511</v>
      </c>
      <c r="K74" s="794">
        <f t="shared" si="101"/>
        <v>11536586.893564157</v>
      </c>
      <c r="L74" s="794">
        <f t="shared" si="101"/>
        <v>15682292.019107133</v>
      </c>
      <c r="M74" s="794">
        <f t="shared" si="101"/>
        <v>8413416.8692253232</v>
      </c>
      <c r="N74" s="794">
        <f t="shared" si="101"/>
        <v>12045883.454336217</v>
      </c>
      <c r="O74" s="794">
        <f t="shared" si="101"/>
        <v>15682767.080820611</v>
      </c>
      <c r="P74" s="902">
        <f t="shared" si="101"/>
        <v>8455495.2948697414</v>
      </c>
      <c r="Q74" s="794">
        <f t="shared" si="101"/>
        <v>12125821.230519796</v>
      </c>
      <c r="R74" s="794">
        <f t="shared" si="101"/>
        <v>15801066.211622544</v>
      </c>
      <c r="S74" s="794">
        <f t="shared" si="101"/>
        <v>8455635.5871883109</v>
      </c>
      <c r="T74" s="794">
        <f t="shared" si="101"/>
        <v>12126265.869561968</v>
      </c>
      <c r="U74" s="794">
        <f t="shared" si="101"/>
        <v>16018318.189444568</v>
      </c>
      <c r="V74" s="794">
        <f t="shared" si="101"/>
        <v>8571595.6328000389</v>
      </c>
      <c r="W74" s="794">
        <f t="shared" si="101"/>
        <v>12167325.99919207</v>
      </c>
      <c r="X74" s="794">
        <f t="shared" si="101"/>
        <v>15854735.881270258</v>
      </c>
      <c r="Y74" s="794">
        <f t="shared" si="101"/>
        <v>8484429.34693335</v>
      </c>
      <c r="Z74" s="902">
        <f t="shared" si="101"/>
        <v>12590919.165514417</v>
      </c>
      <c r="AA74" s="794">
        <f t="shared" si="101"/>
        <v>16407205.990983458</v>
      </c>
      <c r="AB74" s="794">
        <f t="shared" si="101"/>
        <v>8779088.0248120222</v>
      </c>
      <c r="AC74" s="794">
        <f t="shared" si="101"/>
        <v>12590938.487210987</v>
      </c>
      <c r="AD74" s="794">
        <f t="shared" si="101"/>
        <v>16407205.990983458</v>
      </c>
      <c r="AE74" s="794">
        <f t="shared" si="101"/>
        <v>8836982.4457487743</v>
      </c>
      <c r="AF74" s="794">
        <f t="shared" si="101"/>
        <v>12674155.891200313</v>
      </c>
      <c r="AG74" s="794">
        <f t="shared" si="101"/>
        <v>16515746.378025359</v>
      </c>
      <c r="AH74" s="794">
        <f t="shared" si="101"/>
        <v>8836982.4457487743</v>
      </c>
      <c r="AI74" s="795">
        <f t="shared" si="101"/>
        <v>12674155.891200313</v>
      </c>
      <c r="AJ74" s="792">
        <f t="shared" si="55"/>
        <v>352325462.10733658</v>
      </c>
      <c r="AK74" s="822"/>
      <c r="AL74" s="796">
        <f t="shared" si="99"/>
        <v>1.7651515002456618E-2</v>
      </c>
      <c r="AM74" s="797">
        <f t="shared" si="99"/>
        <v>2.2387231020636923E-2</v>
      </c>
      <c r="AN74" s="797">
        <f t="shared" si="99"/>
        <v>4.173363617863849E-2</v>
      </c>
      <c r="AO74" s="797">
        <f t="shared" si="99"/>
        <v>2.239144911120737E-2</v>
      </c>
      <c r="AP74" s="797">
        <f t="shared" si="99"/>
        <v>2.2396552852165658E-2</v>
      </c>
      <c r="AQ74" s="797">
        <f t="shared" si="99"/>
        <v>3.2744119101018924E-2</v>
      </c>
      <c r="AR74" s="797">
        <f t="shared" si="99"/>
        <v>4.4510810899978319E-2</v>
      </c>
      <c r="AS74" s="797">
        <f t="shared" si="99"/>
        <v>2.3879673126383814E-2</v>
      </c>
      <c r="AT74" s="797">
        <f t="shared" si="99"/>
        <v>3.4189647782726582E-2</v>
      </c>
      <c r="AU74" s="797">
        <f t="shared" si="99"/>
        <v>4.4512159260413686E-2</v>
      </c>
      <c r="AV74" s="797">
        <f t="shared" si="99"/>
        <v>2.3999103681850167E-2</v>
      </c>
      <c r="AW74" s="797">
        <f t="shared" si="99"/>
        <v>3.4416533956962911E-2</v>
      </c>
      <c r="AX74" s="797">
        <f t="shared" si="99"/>
        <v>4.484792588396215E-2</v>
      </c>
      <c r="AY74" s="797">
        <f t="shared" si="99"/>
        <v>2.3999501871404025E-2</v>
      </c>
      <c r="AZ74" s="797">
        <f t="shared" si="99"/>
        <v>3.441779596919306E-2</v>
      </c>
      <c r="BA74" s="903">
        <f t="shared" si="99"/>
        <v>4.546454886807063E-2</v>
      </c>
      <c r="BB74" s="797">
        <f t="shared" si="100"/>
        <v>2.4328629505036139E-2</v>
      </c>
      <c r="BC74" s="797">
        <f t="shared" si="100"/>
        <v>3.4534336310570922E-2</v>
      </c>
      <c r="BD74" s="797">
        <f t="shared" si="100"/>
        <v>4.5000255690972706E-2</v>
      </c>
      <c r="BE74" s="797">
        <f t="shared" si="100"/>
        <v>2.4081226761716572E-2</v>
      </c>
      <c r="BF74" s="797">
        <f t="shared" si="100"/>
        <v>3.5736614351416285E-2</v>
      </c>
      <c r="BG74" s="797">
        <f t="shared" si="100"/>
        <v>4.6568323199942266E-2</v>
      </c>
      <c r="BH74" s="797">
        <f t="shared" si="100"/>
        <v>2.4917552005189619E-2</v>
      </c>
      <c r="BI74" s="797">
        <f t="shared" si="100"/>
        <v>3.5736669191893763E-2</v>
      </c>
      <c r="BJ74" s="797">
        <f t="shared" si="100"/>
        <v>4.6568323199942266E-2</v>
      </c>
      <c r="BK74" s="797">
        <f t="shared" si="100"/>
        <v>2.5081872859522635E-2</v>
      </c>
      <c r="BL74" s="797">
        <f t="shared" si="100"/>
        <v>3.5972863883845872E-2</v>
      </c>
      <c r="BM74" s="797">
        <f t="shared" si="100"/>
        <v>4.687639172951346E-2</v>
      </c>
      <c r="BN74" s="797">
        <f t="shared" si="100"/>
        <v>2.5081872859522635E-2</v>
      </c>
      <c r="BO74" s="797">
        <f t="shared" si="100"/>
        <v>3.5972863883845872E-2</v>
      </c>
      <c r="BP74" s="798">
        <f t="shared" si="3"/>
        <v>1.0000000000000004</v>
      </c>
      <c r="BR74" s="504"/>
      <c r="BS74" s="504"/>
    </row>
    <row r="75" spans="2:80" ht="13.15" customHeight="1">
      <c r="B75" s="176" t="s">
        <v>138</v>
      </c>
      <c r="C75" s="911" t="s">
        <v>139</v>
      </c>
      <c r="D75" s="200" t="s">
        <v>44</v>
      </c>
      <c r="E75" s="196">
        <f>SUM(F75:AI75)</f>
        <v>274602339.36065185</v>
      </c>
      <c r="F75" s="894">
        <f>'Conserva - Resumo'!F5</f>
        <v>4417983.2159015741</v>
      </c>
      <c r="G75" s="894">
        <f>'Conserva - Resumo'!G5</f>
        <v>6051136.7798354775</v>
      </c>
      <c r="H75" s="894">
        <f>'Conserva - Resumo'!H5</f>
        <v>11345881.462191518</v>
      </c>
      <c r="I75" s="894">
        <f>'Conserva - Resumo'!I5</f>
        <v>6051136.7798354775</v>
      </c>
      <c r="J75" s="894">
        <f>'Conserva - Resumo'!J5</f>
        <v>6051136.7798354775</v>
      </c>
      <c r="K75" s="894">
        <f>'Conserva - Resumo'!K5</f>
        <v>8925927.172542708</v>
      </c>
      <c r="L75" s="894">
        <f>'Conserva - Resumo'!L5</f>
        <v>12239057.784583179</v>
      </c>
      <c r="M75" s="894">
        <f>'Conserva - Resumo'!M5</f>
        <v>6527497.4851110289</v>
      </c>
      <c r="N75" s="894">
        <f>'Conserva - Resumo'!N5</f>
        <v>9383277.6348471045</v>
      </c>
      <c r="O75" s="894">
        <f>'Conserva - Resumo'!O5</f>
        <v>12239057.784583179</v>
      </c>
      <c r="P75" s="894">
        <f>'Conserva - Resumo'!P5</f>
        <v>6527497.4851110289</v>
      </c>
      <c r="Q75" s="894">
        <f>'Conserva - Resumo'!Q5</f>
        <v>9383277.6348471045</v>
      </c>
      <c r="R75" s="894">
        <f>'Conserva - Resumo'!R5</f>
        <v>12239057.784583179</v>
      </c>
      <c r="S75" s="894">
        <f>'Conserva - Resumo'!S5</f>
        <v>6527497.4851110289</v>
      </c>
      <c r="T75" s="894">
        <f>'Conserva - Resumo'!T5</f>
        <v>9383277.6348471045</v>
      </c>
      <c r="U75" s="894">
        <f>'Conserva - Resumo'!U5</f>
        <v>12438999.011344207</v>
      </c>
      <c r="V75" s="894">
        <f>'Conserva - Resumo'!V5</f>
        <v>6634132.8060502429</v>
      </c>
      <c r="W75" s="894">
        <f>'Conserva - Resumo'!W5</f>
        <v>9536565.9086972233</v>
      </c>
      <c r="X75" s="894">
        <f>'Conserva - Resumo'!X5</f>
        <v>12438999.011344207</v>
      </c>
      <c r="Y75" s="894">
        <f>'Conserva - Resumo'!Y5</f>
        <v>6634132.8060502429</v>
      </c>
      <c r="Z75" s="894">
        <f>'Conserva - Resumo'!Z5</f>
        <v>9926691.4705229774</v>
      </c>
      <c r="AA75" s="894">
        <f>'Conserva - Resumo'!AA5</f>
        <v>12947858.439812582</v>
      </c>
      <c r="AB75" s="894">
        <f>'Conserva - Resumo'!AB5</f>
        <v>6905524.5012333775</v>
      </c>
      <c r="AC75" s="894">
        <f>'Conserva - Resumo'!AC5</f>
        <v>9926691.4705229774</v>
      </c>
      <c r="AD75" s="894">
        <f>'Conserva - Resumo'!AD5</f>
        <v>12947858.439812582</v>
      </c>
      <c r="AE75" s="894">
        <f>'Conserva - Resumo'!AE5</f>
        <v>6958842.1617029822</v>
      </c>
      <c r="AF75" s="894">
        <f>'Conserva - Resumo'!AF5</f>
        <v>10003335.607448036</v>
      </c>
      <c r="AG75" s="894">
        <f>'Conserva - Resumo'!AG5</f>
        <v>13047829.053193094</v>
      </c>
      <c r="AH75" s="894">
        <f>'Conserva - Resumo'!AH5</f>
        <v>6958842.1617029822</v>
      </c>
      <c r="AI75" s="894">
        <f>'Conserva - Resumo'!AI5</f>
        <v>10003335.607448036</v>
      </c>
      <c r="AJ75" s="197">
        <f t="shared" si="55"/>
        <v>274602339.36065185</v>
      </c>
      <c r="AL75" s="895">
        <f>F75/$E$75</f>
        <v>1.6088658334768115E-2</v>
      </c>
      <c r="AM75" s="895">
        <f t="shared" ref="AM75:BO75" si="102">G75/$E$75</f>
        <v>2.2035998651446859E-2</v>
      </c>
      <c r="AN75" s="895">
        <f t="shared" si="102"/>
        <v>4.1317497471462857E-2</v>
      </c>
      <c r="AO75" s="895">
        <f t="shared" si="102"/>
        <v>2.2035998651446859E-2</v>
      </c>
      <c r="AP75" s="895">
        <f t="shared" si="102"/>
        <v>2.2035998651446859E-2</v>
      </c>
      <c r="AQ75" s="895">
        <f t="shared" si="102"/>
        <v>3.2504920363477852E-2</v>
      </c>
      <c r="AR75" s="895">
        <f t="shared" si="102"/>
        <v>4.4570114781538279E-2</v>
      </c>
      <c r="AS75" s="895">
        <f t="shared" si="102"/>
        <v>2.3770727883487081E-2</v>
      </c>
      <c r="AT75" s="895">
        <f t="shared" si="102"/>
        <v>3.4170421332512683E-2</v>
      </c>
      <c r="AU75" s="895">
        <f t="shared" si="102"/>
        <v>4.4570114781538279E-2</v>
      </c>
      <c r="AV75" s="895">
        <f t="shared" si="102"/>
        <v>2.3770727883487081E-2</v>
      </c>
      <c r="AW75" s="895">
        <f t="shared" si="102"/>
        <v>3.4170421332512683E-2</v>
      </c>
      <c r="AX75" s="895">
        <f t="shared" si="102"/>
        <v>4.4570114781538279E-2</v>
      </c>
      <c r="AY75" s="895">
        <f t="shared" si="102"/>
        <v>2.3770727883487081E-2</v>
      </c>
      <c r="AZ75" s="895">
        <f t="shared" si="102"/>
        <v>3.4170421332512683E-2</v>
      </c>
      <c r="BA75" s="895">
        <f t="shared" si="102"/>
        <v>4.5298226665896384E-2</v>
      </c>
      <c r="BB75" s="895">
        <f t="shared" si="102"/>
        <v>2.4159054221811398E-2</v>
      </c>
      <c r="BC75" s="895">
        <f t="shared" si="102"/>
        <v>3.4728640443853882E-2</v>
      </c>
      <c r="BD75" s="895">
        <f t="shared" si="102"/>
        <v>4.5298226665896384E-2</v>
      </c>
      <c r="BE75" s="895">
        <f t="shared" si="102"/>
        <v>2.4159054221811398E-2</v>
      </c>
      <c r="BF75" s="895">
        <f t="shared" si="102"/>
        <v>3.6149333227222268E-2</v>
      </c>
      <c r="BG75" s="895">
        <f t="shared" si="102"/>
        <v>4.7151304209420361E-2</v>
      </c>
      <c r="BH75" s="895">
        <f t="shared" si="102"/>
        <v>2.5147362245024195E-2</v>
      </c>
      <c r="BI75" s="895">
        <f t="shared" si="102"/>
        <v>3.6149333227222268E-2</v>
      </c>
      <c r="BJ75" s="895">
        <f t="shared" si="102"/>
        <v>4.7151304209420361E-2</v>
      </c>
      <c r="BK75" s="895">
        <f t="shared" si="102"/>
        <v>2.5341525414186345E-2</v>
      </c>
      <c r="BL75" s="895">
        <f t="shared" si="102"/>
        <v>3.6428442782892867E-2</v>
      </c>
      <c r="BM75" s="895">
        <f t="shared" si="102"/>
        <v>4.7515360151599406E-2</v>
      </c>
      <c r="BN75" s="895">
        <f t="shared" si="102"/>
        <v>2.5341525414186345E-2</v>
      </c>
      <c r="BO75" s="895">
        <f t="shared" si="102"/>
        <v>3.6428442782892867E-2</v>
      </c>
      <c r="BP75" s="909">
        <f t="shared" si="3"/>
        <v>1.0000000000000002</v>
      </c>
    </row>
    <row r="76" spans="2:80">
      <c r="B76" s="176" t="s">
        <v>138</v>
      </c>
      <c r="C76" s="194" t="s">
        <v>140</v>
      </c>
      <c r="D76" s="200" t="s">
        <v>141</v>
      </c>
      <c r="E76" s="196">
        <f t="shared" ref="E76:E83" si="103">SUM(F76:AI76)</f>
        <v>36145935.267252266</v>
      </c>
      <c r="F76" s="894">
        <f>'Conserva - Resumo'!F6</f>
        <v>828820.28800000029</v>
      </c>
      <c r="G76" s="894">
        <f>'Conserva - Resumo'!G6</f>
        <v>828820.28800000029</v>
      </c>
      <c r="H76" s="894">
        <f>'Conserva - Resumo'!H6</f>
        <v>1554038.04</v>
      </c>
      <c r="I76" s="894">
        <f>'Conserva - Resumo'!I6</f>
        <v>828820.28800000029</v>
      </c>
      <c r="J76" s="894">
        <f>'Conserva - Resumo'!J6</f>
        <v>828820.28800000029</v>
      </c>
      <c r="K76" s="894">
        <f>'Conserva - Resumo'!K6</f>
        <v>1206029.5300580659</v>
      </c>
      <c r="L76" s="894">
        <f>'Conserva - Resumo'!L6</f>
        <v>1611380.4592742235</v>
      </c>
      <c r="M76" s="894">
        <f>'Conserva - Resumo'!M6</f>
        <v>859402.91161291942</v>
      </c>
      <c r="N76" s="894">
        <f>'Conserva - Resumo'!N6</f>
        <v>1235391.6854435715</v>
      </c>
      <c r="O76" s="894">
        <f>'Conserva - Resumo'!O6</f>
        <v>1611380.4592742235</v>
      </c>
      <c r="P76" s="894">
        <f>'Conserva - Resumo'!P6</f>
        <v>859402.91161291942</v>
      </c>
      <c r="Q76" s="894">
        <f>'Conserva - Resumo'!Q6</f>
        <v>1235391.6854435715</v>
      </c>
      <c r="R76" s="894">
        <f>'Conserva - Resumo'!R6</f>
        <v>1611380.4592742235</v>
      </c>
      <c r="S76" s="894">
        <f>'Conserva - Resumo'!S6</f>
        <v>859402.91161291942</v>
      </c>
      <c r="T76" s="894">
        <f>'Conserva - Resumo'!T6</f>
        <v>1235391.6854435715</v>
      </c>
      <c r="U76" s="894">
        <f>'Conserva - Resumo'!U6</f>
        <v>1624216.7978198235</v>
      </c>
      <c r="V76" s="894">
        <f>'Conserva - Resumo'!V6</f>
        <v>866248.95883723942</v>
      </c>
      <c r="W76" s="894">
        <f>'Conserva - Resumo'!W6</f>
        <v>1245232.8783285315</v>
      </c>
      <c r="X76" s="894">
        <f>'Conserva - Resumo'!X6</f>
        <v>1624216.7978198235</v>
      </c>
      <c r="Y76" s="894">
        <f>'Conserva - Resumo'!Y6</f>
        <v>866248.95883723942</v>
      </c>
      <c r="Z76" s="894">
        <f>'Conserva - Resumo'!Z6</f>
        <v>1270279.1575177317</v>
      </c>
      <c r="AA76" s="894">
        <f>'Conserva - Resumo'!AA6</f>
        <v>1656885.8576318235</v>
      </c>
      <c r="AB76" s="894">
        <f>'Conserva - Resumo'!AB6</f>
        <v>883672.45740363945</v>
      </c>
      <c r="AC76" s="894">
        <f>'Conserva - Resumo'!AC6</f>
        <v>1270279.1575177317</v>
      </c>
      <c r="AD76" s="894">
        <f>'Conserva - Resumo'!AD6</f>
        <v>1656885.8576318235</v>
      </c>
      <c r="AE76" s="894">
        <f>'Conserva - Resumo'!AE6</f>
        <v>887095.48101579945</v>
      </c>
      <c r="AF76" s="894">
        <f>'Conserva - Resumo'!AF6</f>
        <v>1275199.7539602115</v>
      </c>
      <c r="AG76" s="894">
        <f>'Conserva - Resumo'!AG6</f>
        <v>1663304.0269046235</v>
      </c>
      <c r="AH76" s="894">
        <f>'Conserva - Resumo'!AH6</f>
        <v>887095.48101579945</v>
      </c>
      <c r="AI76" s="894">
        <f>'Conserva - Resumo'!AI6</f>
        <v>1275199.7539602115</v>
      </c>
      <c r="AJ76" s="192">
        <f t="shared" si="55"/>
        <v>36145935.267252266</v>
      </c>
      <c r="AL76" s="895">
        <f>F76/$E$76</f>
        <v>2.2929833793812505E-2</v>
      </c>
      <c r="AM76" s="895">
        <f t="shared" ref="AM76:BO76" si="104">G76/$E$76</f>
        <v>2.2929833793812505E-2</v>
      </c>
      <c r="AN76" s="895">
        <f t="shared" si="104"/>
        <v>4.2993438363398431E-2</v>
      </c>
      <c r="AO76" s="895">
        <f t="shared" si="104"/>
        <v>2.2929833793812505E-2</v>
      </c>
      <c r="AP76" s="895">
        <f t="shared" si="104"/>
        <v>2.2929833793812505E-2</v>
      </c>
      <c r="AQ76" s="895">
        <f t="shared" si="104"/>
        <v>3.3365564375110041E-2</v>
      </c>
      <c r="AR76" s="895">
        <f t="shared" si="104"/>
        <v>4.4579852405537634E-2</v>
      </c>
      <c r="AS76" s="895">
        <f t="shared" si="104"/>
        <v>2.3775921282953409E-2</v>
      </c>
      <c r="AT76" s="895">
        <f t="shared" si="104"/>
        <v>3.4177886844245525E-2</v>
      </c>
      <c r="AU76" s="895">
        <f t="shared" si="104"/>
        <v>4.4579852405537634E-2</v>
      </c>
      <c r="AV76" s="895">
        <f t="shared" si="104"/>
        <v>2.3775921282953409E-2</v>
      </c>
      <c r="AW76" s="895">
        <f t="shared" si="104"/>
        <v>3.4177886844245525E-2</v>
      </c>
      <c r="AX76" s="895">
        <f t="shared" si="104"/>
        <v>4.4579852405537634E-2</v>
      </c>
      <c r="AY76" s="895">
        <f t="shared" si="104"/>
        <v>2.3775921282953409E-2</v>
      </c>
      <c r="AZ76" s="895">
        <f t="shared" si="104"/>
        <v>3.4177886844245525E-2</v>
      </c>
      <c r="BA76" s="895">
        <f t="shared" si="104"/>
        <v>4.4934977773042777E-2</v>
      </c>
      <c r="BB76" s="895">
        <f t="shared" si="104"/>
        <v>2.3965321478956154E-2</v>
      </c>
      <c r="BC76" s="895">
        <f t="shared" si="104"/>
        <v>3.4450149625999467E-2</v>
      </c>
      <c r="BD76" s="895">
        <f t="shared" si="104"/>
        <v>4.4934977773042777E-2</v>
      </c>
      <c r="BE76" s="895">
        <f t="shared" si="104"/>
        <v>2.3965321478956154E-2</v>
      </c>
      <c r="BF76" s="895">
        <f t="shared" si="104"/>
        <v>3.5143070669652519E-2</v>
      </c>
      <c r="BG76" s="895">
        <f t="shared" si="104"/>
        <v>4.5838787829981534E-2</v>
      </c>
      <c r="BH76" s="895">
        <f t="shared" si="104"/>
        <v>2.4447353509323491E-2</v>
      </c>
      <c r="BI76" s="895">
        <f t="shared" si="104"/>
        <v>3.5143070669652519E-2</v>
      </c>
      <c r="BJ76" s="895">
        <f t="shared" si="104"/>
        <v>4.5838787829981534E-2</v>
      </c>
      <c r="BK76" s="895">
        <f t="shared" si="104"/>
        <v>2.4542053607324862E-2</v>
      </c>
      <c r="BL76" s="895">
        <f t="shared" si="104"/>
        <v>3.5279202060529487E-2</v>
      </c>
      <c r="BM76" s="895">
        <f t="shared" si="104"/>
        <v>4.6016350513734101E-2</v>
      </c>
      <c r="BN76" s="895">
        <f t="shared" si="104"/>
        <v>2.4542053607324862E-2</v>
      </c>
      <c r="BO76" s="895">
        <f t="shared" si="104"/>
        <v>3.5279202060529487E-2</v>
      </c>
      <c r="BP76" s="199">
        <f t="shared" si="3"/>
        <v>0.99999999999999989</v>
      </c>
    </row>
    <row r="77" spans="2:80">
      <c r="B77" s="176" t="s">
        <v>138</v>
      </c>
      <c r="C77" s="194" t="s">
        <v>142</v>
      </c>
      <c r="D77" s="200" t="s">
        <v>143</v>
      </c>
      <c r="E77" s="196">
        <f t="shared" si="103"/>
        <v>19047156.756777</v>
      </c>
      <c r="F77" s="894">
        <f>'Conserva - Resumo'!F7</f>
        <v>455537.38132799999</v>
      </c>
      <c r="G77" s="894">
        <f>'Conserva - Resumo'!G7</f>
        <v>455537.38132799999</v>
      </c>
      <c r="H77" s="894">
        <f>'Conserva - Resumo'!H7</f>
        <v>854132.58999000001</v>
      </c>
      <c r="I77" s="894">
        <f>'Conserva - Resumo'!I7</f>
        <v>455537.38132799999</v>
      </c>
      <c r="J77" s="894">
        <f>'Conserva - Resumo'!J7</f>
        <v>455537.38132799999</v>
      </c>
      <c r="K77" s="894">
        <f>'Conserva - Resumo'!K7</f>
        <v>654834.985659</v>
      </c>
      <c r="L77" s="894">
        <f>'Conserva - Resumo'!L7</f>
        <v>854132.58999000001</v>
      </c>
      <c r="M77" s="894">
        <f>'Conserva - Resumo'!M7</f>
        <v>455537.38132799999</v>
      </c>
      <c r="N77" s="894">
        <f>'Conserva - Resumo'!N7</f>
        <v>654834.985659</v>
      </c>
      <c r="O77" s="894">
        <f>'Conserva - Resumo'!O7</f>
        <v>854132.58999000001</v>
      </c>
      <c r="P77" s="894">
        <f>'Conserva - Resumo'!P7</f>
        <v>455537.38132799999</v>
      </c>
      <c r="Q77" s="894">
        <f>'Conserva - Resumo'!Q7</f>
        <v>654834.985659</v>
      </c>
      <c r="R77" s="894">
        <f>'Conserva - Resumo'!R7</f>
        <v>854132.58999000001</v>
      </c>
      <c r="S77" s="894">
        <f>'Conserva - Resumo'!S7</f>
        <v>455537.38132799999</v>
      </c>
      <c r="T77" s="894">
        <f>'Conserva - Resumo'!T7</f>
        <v>654834.985659</v>
      </c>
      <c r="U77" s="894">
        <f>'Conserva - Resumo'!U7</f>
        <v>854132.58999000001</v>
      </c>
      <c r="V77" s="894">
        <f>'Conserva - Resumo'!V7</f>
        <v>455537.38132799999</v>
      </c>
      <c r="W77" s="894">
        <f>'Conserva - Resumo'!W7</f>
        <v>654834.985659</v>
      </c>
      <c r="X77" s="894">
        <f>'Conserva - Resumo'!X7</f>
        <v>854132.58999000001</v>
      </c>
      <c r="Y77" s="894">
        <f>'Conserva - Resumo'!Y7</f>
        <v>455537.38132799999</v>
      </c>
      <c r="Z77" s="894">
        <f>'Conserva - Resumo'!Z7</f>
        <v>654834.985659</v>
      </c>
      <c r="AA77" s="894">
        <f>'Conserva - Resumo'!AA7</f>
        <v>854132.58999000001</v>
      </c>
      <c r="AB77" s="894">
        <f>'Conserva - Resumo'!AB7</f>
        <v>455537.38132799999</v>
      </c>
      <c r="AC77" s="894">
        <f>'Conserva - Resumo'!AC7</f>
        <v>654834.985659</v>
      </c>
      <c r="AD77" s="894">
        <f>'Conserva - Resumo'!AD7</f>
        <v>854132.58999000001</v>
      </c>
      <c r="AE77" s="894">
        <f>'Conserva - Resumo'!AE7</f>
        <v>455537.38132799999</v>
      </c>
      <c r="AF77" s="894">
        <f>'Conserva - Resumo'!AF7</f>
        <v>654834.985659</v>
      </c>
      <c r="AG77" s="894">
        <f>'Conserva - Resumo'!AG7</f>
        <v>854132.58999000001</v>
      </c>
      <c r="AH77" s="894">
        <f>'Conserva - Resumo'!AH7</f>
        <v>455537.38132799999</v>
      </c>
      <c r="AI77" s="894">
        <f>'Conserva - Resumo'!AI7</f>
        <v>654834.985659</v>
      </c>
      <c r="AJ77" s="192">
        <f t="shared" si="55"/>
        <v>19047156.756777</v>
      </c>
      <c r="AL77" s="895">
        <f>F77/$E$77</f>
        <v>2.391629297458894E-2</v>
      </c>
      <c r="AM77" s="895">
        <f t="shared" ref="AM77:BO77" si="105">G77/$E$77</f>
        <v>2.391629297458894E-2</v>
      </c>
      <c r="AN77" s="895">
        <f t="shared" si="105"/>
        <v>4.4843049327354265E-2</v>
      </c>
      <c r="AO77" s="895">
        <f t="shared" si="105"/>
        <v>2.391629297458894E-2</v>
      </c>
      <c r="AP77" s="895">
        <f t="shared" si="105"/>
        <v>2.391629297458894E-2</v>
      </c>
      <c r="AQ77" s="895">
        <f t="shared" si="105"/>
        <v>3.4379671150971597E-2</v>
      </c>
      <c r="AR77" s="895">
        <f t="shared" si="105"/>
        <v>4.4843049327354265E-2</v>
      </c>
      <c r="AS77" s="895">
        <f t="shared" si="105"/>
        <v>2.391629297458894E-2</v>
      </c>
      <c r="AT77" s="895">
        <f t="shared" si="105"/>
        <v>3.4379671150971597E-2</v>
      </c>
      <c r="AU77" s="895">
        <f t="shared" si="105"/>
        <v>4.4843049327354265E-2</v>
      </c>
      <c r="AV77" s="895">
        <f t="shared" si="105"/>
        <v>2.391629297458894E-2</v>
      </c>
      <c r="AW77" s="895">
        <f t="shared" si="105"/>
        <v>3.4379671150971597E-2</v>
      </c>
      <c r="AX77" s="895">
        <f t="shared" si="105"/>
        <v>4.4843049327354265E-2</v>
      </c>
      <c r="AY77" s="895">
        <f t="shared" si="105"/>
        <v>2.391629297458894E-2</v>
      </c>
      <c r="AZ77" s="895">
        <f t="shared" si="105"/>
        <v>3.4379671150971597E-2</v>
      </c>
      <c r="BA77" s="895">
        <f t="shared" si="105"/>
        <v>4.4843049327354265E-2</v>
      </c>
      <c r="BB77" s="895">
        <f t="shared" si="105"/>
        <v>2.391629297458894E-2</v>
      </c>
      <c r="BC77" s="895">
        <f t="shared" si="105"/>
        <v>3.4379671150971597E-2</v>
      </c>
      <c r="BD77" s="895">
        <f t="shared" si="105"/>
        <v>4.4843049327354265E-2</v>
      </c>
      <c r="BE77" s="895">
        <f t="shared" si="105"/>
        <v>2.391629297458894E-2</v>
      </c>
      <c r="BF77" s="895">
        <f t="shared" si="105"/>
        <v>3.4379671150971597E-2</v>
      </c>
      <c r="BG77" s="895">
        <f t="shared" si="105"/>
        <v>4.4843049327354265E-2</v>
      </c>
      <c r="BH77" s="895">
        <f t="shared" si="105"/>
        <v>2.391629297458894E-2</v>
      </c>
      <c r="BI77" s="895">
        <f t="shared" si="105"/>
        <v>3.4379671150971597E-2</v>
      </c>
      <c r="BJ77" s="895">
        <f t="shared" si="105"/>
        <v>4.4843049327354265E-2</v>
      </c>
      <c r="BK77" s="895">
        <f t="shared" si="105"/>
        <v>2.391629297458894E-2</v>
      </c>
      <c r="BL77" s="895">
        <f t="shared" si="105"/>
        <v>3.4379671150971597E-2</v>
      </c>
      <c r="BM77" s="895">
        <f t="shared" si="105"/>
        <v>4.4843049327354265E-2</v>
      </c>
      <c r="BN77" s="895">
        <f t="shared" si="105"/>
        <v>2.391629297458894E-2</v>
      </c>
      <c r="BO77" s="895">
        <f t="shared" si="105"/>
        <v>3.4379671150971597E-2</v>
      </c>
      <c r="BP77" s="199">
        <f t="shared" ref="BP77:BP125" si="106">SUM(AL77:BO77)</f>
        <v>1.0000000000000002</v>
      </c>
    </row>
    <row r="78" spans="2:80">
      <c r="B78" s="176" t="s">
        <v>138</v>
      </c>
      <c r="C78" s="194" t="s">
        <v>144</v>
      </c>
      <c r="D78" s="200" t="s">
        <v>145</v>
      </c>
      <c r="E78" s="196">
        <f t="shared" si="103"/>
        <v>1641973.7638489495</v>
      </c>
      <c r="F78" s="894">
        <f>'Conserva - Resumo'!F8</f>
        <v>39269.925592799998</v>
      </c>
      <c r="G78" s="894">
        <f>'Conserva - Resumo'!G8</f>
        <v>39269.925592799998</v>
      </c>
      <c r="H78" s="894">
        <f>'Conserva - Resumo'!H8</f>
        <v>73631.110486499994</v>
      </c>
      <c r="I78" s="894">
        <f>'Conserva - Resumo'!I8</f>
        <v>39269.925592799998</v>
      </c>
      <c r="J78" s="894">
        <f>'Conserva - Resumo'!J8</f>
        <v>39269.925592799998</v>
      </c>
      <c r="K78" s="894">
        <f>'Conserva - Resumo'!K8</f>
        <v>56450.518039649985</v>
      </c>
      <c r="L78" s="894">
        <f>'Conserva - Resumo'!L8</f>
        <v>73631.110486499994</v>
      </c>
      <c r="M78" s="894">
        <f>'Conserva - Resumo'!M8</f>
        <v>39269.925592799998</v>
      </c>
      <c r="N78" s="894">
        <f>'Conserva - Resumo'!N8</f>
        <v>56450.518039649985</v>
      </c>
      <c r="O78" s="894">
        <f>'Conserva - Resumo'!O8</f>
        <v>73631.110486499994</v>
      </c>
      <c r="P78" s="894">
        <f>'Conserva - Resumo'!P8</f>
        <v>39269.925592799998</v>
      </c>
      <c r="Q78" s="894">
        <f>'Conserva - Resumo'!Q8</f>
        <v>56450.518039649985</v>
      </c>
      <c r="R78" s="894">
        <f>'Conserva - Resumo'!R8</f>
        <v>73631.110486499994</v>
      </c>
      <c r="S78" s="894">
        <f>'Conserva - Resumo'!S8</f>
        <v>39269.925592799998</v>
      </c>
      <c r="T78" s="894">
        <f>'Conserva - Resumo'!T8</f>
        <v>56450.518039649985</v>
      </c>
      <c r="U78" s="894">
        <f>'Conserva - Resumo'!U8</f>
        <v>73631.110486499994</v>
      </c>
      <c r="V78" s="894">
        <f>'Conserva - Resumo'!V8</f>
        <v>39269.925592799998</v>
      </c>
      <c r="W78" s="894">
        <f>'Conserva - Resumo'!W8</f>
        <v>56450.518039649985</v>
      </c>
      <c r="X78" s="894">
        <f>'Conserva - Resumo'!X8</f>
        <v>73631.110486499994</v>
      </c>
      <c r="Y78" s="894">
        <f>'Conserva - Resumo'!Y8</f>
        <v>39269.925592799998</v>
      </c>
      <c r="Z78" s="894">
        <f>'Conserva - Resumo'!Z8</f>
        <v>56450.518039649985</v>
      </c>
      <c r="AA78" s="894">
        <f>'Conserva - Resumo'!AA8</f>
        <v>73631.110486499994</v>
      </c>
      <c r="AB78" s="894">
        <f>'Conserva - Resumo'!AB8</f>
        <v>39269.925592799998</v>
      </c>
      <c r="AC78" s="894">
        <f>'Conserva - Resumo'!AC8</f>
        <v>56450.518039649985</v>
      </c>
      <c r="AD78" s="894">
        <f>'Conserva - Resumo'!AD8</f>
        <v>73631.110486499994</v>
      </c>
      <c r="AE78" s="894">
        <f>'Conserva - Resumo'!AE8</f>
        <v>39269.925592799998</v>
      </c>
      <c r="AF78" s="894">
        <f>'Conserva - Resumo'!AF8</f>
        <v>56450.518039649985</v>
      </c>
      <c r="AG78" s="894">
        <f>'Conserva - Resumo'!AG8</f>
        <v>73631.110486499994</v>
      </c>
      <c r="AH78" s="894">
        <f>'Conserva - Resumo'!AH8</f>
        <v>39269.925592799998</v>
      </c>
      <c r="AI78" s="894">
        <f>'Conserva - Resumo'!AI8</f>
        <v>56450.518039649985</v>
      </c>
      <c r="AJ78" s="192">
        <f t="shared" si="55"/>
        <v>1641973.7638489495</v>
      </c>
      <c r="AL78" s="895">
        <f>F78/$E$78</f>
        <v>2.3916292974588946E-2</v>
      </c>
      <c r="AM78" s="895">
        <f t="shared" ref="AM78:BO78" si="107">G78/$E$78</f>
        <v>2.3916292974588946E-2</v>
      </c>
      <c r="AN78" s="895">
        <f t="shared" si="107"/>
        <v>4.4843049327354272E-2</v>
      </c>
      <c r="AO78" s="895">
        <f t="shared" si="107"/>
        <v>2.3916292974588946E-2</v>
      </c>
      <c r="AP78" s="895">
        <f t="shared" si="107"/>
        <v>2.3916292974588946E-2</v>
      </c>
      <c r="AQ78" s="895">
        <f t="shared" si="107"/>
        <v>3.4379671150971604E-2</v>
      </c>
      <c r="AR78" s="895">
        <f t="shared" si="107"/>
        <v>4.4843049327354272E-2</v>
      </c>
      <c r="AS78" s="895">
        <f t="shared" si="107"/>
        <v>2.3916292974588946E-2</v>
      </c>
      <c r="AT78" s="895">
        <f t="shared" si="107"/>
        <v>3.4379671150971604E-2</v>
      </c>
      <c r="AU78" s="895">
        <f t="shared" si="107"/>
        <v>4.4843049327354272E-2</v>
      </c>
      <c r="AV78" s="895">
        <f t="shared" si="107"/>
        <v>2.3916292974588946E-2</v>
      </c>
      <c r="AW78" s="895">
        <f t="shared" si="107"/>
        <v>3.4379671150971604E-2</v>
      </c>
      <c r="AX78" s="895">
        <f t="shared" si="107"/>
        <v>4.4843049327354272E-2</v>
      </c>
      <c r="AY78" s="895">
        <f t="shared" si="107"/>
        <v>2.3916292974588946E-2</v>
      </c>
      <c r="AZ78" s="895">
        <f t="shared" si="107"/>
        <v>3.4379671150971604E-2</v>
      </c>
      <c r="BA78" s="895">
        <f t="shared" si="107"/>
        <v>4.4843049327354272E-2</v>
      </c>
      <c r="BB78" s="895">
        <f t="shared" si="107"/>
        <v>2.3916292974588946E-2</v>
      </c>
      <c r="BC78" s="895">
        <f t="shared" si="107"/>
        <v>3.4379671150971604E-2</v>
      </c>
      <c r="BD78" s="895">
        <f t="shared" si="107"/>
        <v>4.4843049327354272E-2</v>
      </c>
      <c r="BE78" s="895">
        <f t="shared" si="107"/>
        <v>2.3916292974588946E-2</v>
      </c>
      <c r="BF78" s="895">
        <f t="shared" si="107"/>
        <v>3.4379671150971604E-2</v>
      </c>
      <c r="BG78" s="895">
        <f t="shared" si="107"/>
        <v>4.4843049327354272E-2</v>
      </c>
      <c r="BH78" s="895">
        <f t="shared" si="107"/>
        <v>2.3916292974588946E-2</v>
      </c>
      <c r="BI78" s="895">
        <f t="shared" si="107"/>
        <v>3.4379671150971604E-2</v>
      </c>
      <c r="BJ78" s="895">
        <f t="shared" si="107"/>
        <v>4.4843049327354272E-2</v>
      </c>
      <c r="BK78" s="895">
        <f t="shared" si="107"/>
        <v>2.3916292974588946E-2</v>
      </c>
      <c r="BL78" s="895">
        <f t="shared" si="107"/>
        <v>3.4379671150971604E-2</v>
      </c>
      <c r="BM78" s="895">
        <f t="shared" si="107"/>
        <v>4.4843049327354272E-2</v>
      </c>
      <c r="BN78" s="895">
        <f t="shared" si="107"/>
        <v>2.3916292974588946E-2</v>
      </c>
      <c r="BO78" s="895">
        <f t="shared" si="107"/>
        <v>3.4379671150971604E-2</v>
      </c>
      <c r="BP78" s="199">
        <f t="shared" si="106"/>
        <v>1.0000000000000004</v>
      </c>
    </row>
    <row r="79" spans="2:80">
      <c r="B79" s="176" t="s">
        <v>138</v>
      </c>
      <c r="C79" s="194" t="s">
        <v>146</v>
      </c>
      <c r="D79" s="200" t="s">
        <v>147</v>
      </c>
      <c r="E79" s="196">
        <f t="shared" si="103"/>
        <v>3207060.4729950009</v>
      </c>
      <c r="F79" s="894">
        <f>'Conserva - Resumo'!F9</f>
        <v>71358.669792000015</v>
      </c>
      <c r="G79" s="894">
        <f>'Conserva - Resumo'!G9</f>
        <v>71358.669792000015</v>
      </c>
      <c r="H79" s="894">
        <f>'Conserva - Resumo'!H9</f>
        <v>152727.68317500001</v>
      </c>
      <c r="I79" s="894">
        <f>'Conserva - Resumo'!I9</f>
        <v>71358.669792000015</v>
      </c>
      <c r="J79" s="894">
        <f>'Conserva - Resumo'!J9</f>
        <v>71358.669792000015</v>
      </c>
      <c r="K79" s="894">
        <f>'Conserva - Resumo'!K9</f>
        <v>97530.040542000017</v>
      </c>
      <c r="L79" s="894">
        <f>'Conserva - Resumo'!L9</f>
        <v>152727.68317500001</v>
      </c>
      <c r="M79" s="894">
        <f>'Conserva - Resumo'!M9</f>
        <v>71358.669792000015</v>
      </c>
      <c r="N79" s="894">
        <f>'Conserva - Resumo'!N9</f>
        <v>109834.65579675001</v>
      </c>
      <c r="O79" s="894">
        <f>'Conserva - Resumo'!O9</f>
        <v>152727.68317500001</v>
      </c>
      <c r="P79" s="894">
        <f>'Conserva - Resumo'!P9</f>
        <v>71358.669792000015</v>
      </c>
      <c r="Q79" s="894">
        <f>'Conserva - Resumo'!Q9</f>
        <v>109834.65579675001</v>
      </c>
      <c r="R79" s="894">
        <f>'Conserva - Resumo'!R9</f>
        <v>152727.68317500001</v>
      </c>
      <c r="S79" s="894">
        <f>'Conserva - Resumo'!S9</f>
        <v>71358.669792000015</v>
      </c>
      <c r="T79" s="894">
        <f>'Conserva - Resumo'!T9</f>
        <v>109834.65579675001</v>
      </c>
      <c r="U79" s="894">
        <f>'Conserva - Resumo'!U9</f>
        <v>152727.68317500001</v>
      </c>
      <c r="V79" s="894">
        <f>'Conserva - Resumo'!V9</f>
        <v>71358.669792000015</v>
      </c>
      <c r="W79" s="894">
        <f>'Conserva - Resumo'!W9</f>
        <v>109834.65579675001</v>
      </c>
      <c r="X79" s="894">
        <f>'Conserva - Resumo'!X9</f>
        <v>152727.68317500001</v>
      </c>
      <c r="Y79" s="894">
        <f>'Conserva - Resumo'!Y9</f>
        <v>71358.669792000015</v>
      </c>
      <c r="Z79" s="894">
        <f>'Conserva - Resumo'!Z9</f>
        <v>109834.65579675001</v>
      </c>
      <c r="AA79" s="894">
        <f>'Conserva - Resumo'!AA9</f>
        <v>152727.68317500001</v>
      </c>
      <c r="AB79" s="894">
        <f>'Conserva - Resumo'!AB9</f>
        <v>71358.669792000015</v>
      </c>
      <c r="AC79" s="894">
        <f>'Conserva - Resumo'!AC9</f>
        <v>109834.65579675001</v>
      </c>
      <c r="AD79" s="894">
        <f>'Conserva - Resumo'!AD9</f>
        <v>152727.68317500001</v>
      </c>
      <c r="AE79" s="894">
        <f>'Conserva - Resumo'!AE9</f>
        <v>71358.669792000015</v>
      </c>
      <c r="AF79" s="894">
        <f>'Conserva - Resumo'!AF9</f>
        <v>109834.65579675001</v>
      </c>
      <c r="AG79" s="894">
        <f>'Conserva - Resumo'!AG9</f>
        <v>152727.68317500001</v>
      </c>
      <c r="AH79" s="894">
        <f>'Conserva - Resumo'!AH9</f>
        <v>71358.669792000015</v>
      </c>
      <c r="AI79" s="894">
        <f>'Conserva - Resumo'!AI9</f>
        <v>109834.65579675001</v>
      </c>
      <c r="AJ79" s="192">
        <f t="shared" si="55"/>
        <v>3207060.4729950009</v>
      </c>
      <c r="AL79" s="895">
        <f>F79/$E$79</f>
        <v>2.2250490875639701E-2</v>
      </c>
      <c r="AM79" s="895">
        <f t="shared" ref="AM79:BO79" si="108">G79/$E$79</f>
        <v>2.2250490875639701E-2</v>
      </c>
      <c r="AN79" s="895">
        <f t="shared" si="108"/>
        <v>4.7622327193715529E-2</v>
      </c>
      <c r="AO79" s="895">
        <f t="shared" si="108"/>
        <v>2.2250490875639701E-2</v>
      </c>
      <c r="AP79" s="895">
        <f t="shared" si="108"/>
        <v>2.2250490875639701E-2</v>
      </c>
      <c r="AQ79" s="895">
        <f t="shared" si="108"/>
        <v>3.0411038819894445E-2</v>
      </c>
      <c r="AR79" s="895">
        <f t="shared" si="108"/>
        <v>4.7622327193715529E-2</v>
      </c>
      <c r="AS79" s="895">
        <f t="shared" si="108"/>
        <v>2.2250490875639701E-2</v>
      </c>
      <c r="AT79" s="895">
        <f t="shared" si="108"/>
        <v>3.4247765741123655E-2</v>
      </c>
      <c r="AU79" s="895">
        <f t="shared" si="108"/>
        <v>4.7622327193715529E-2</v>
      </c>
      <c r="AV79" s="895">
        <f t="shared" si="108"/>
        <v>2.2250490875639701E-2</v>
      </c>
      <c r="AW79" s="895">
        <f t="shared" si="108"/>
        <v>3.4247765741123655E-2</v>
      </c>
      <c r="AX79" s="895">
        <f t="shared" si="108"/>
        <v>4.7622327193715529E-2</v>
      </c>
      <c r="AY79" s="895">
        <f t="shared" si="108"/>
        <v>2.2250490875639701E-2</v>
      </c>
      <c r="AZ79" s="895">
        <f t="shared" si="108"/>
        <v>3.4247765741123655E-2</v>
      </c>
      <c r="BA79" s="895">
        <f t="shared" si="108"/>
        <v>4.7622327193715529E-2</v>
      </c>
      <c r="BB79" s="895">
        <f t="shared" si="108"/>
        <v>2.2250490875639701E-2</v>
      </c>
      <c r="BC79" s="895">
        <f t="shared" si="108"/>
        <v>3.4247765741123655E-2</v>
      </c>
      <c r="BD79" s="895">
        <f t="shared" si="108"/>
        <v>4.7622327193715529E-2</v>
      </c>
      <c r="BE79" s="895">
        <f t="shared" si="108"/>
        <v>2.2250490875639701E-2</v>
      </c>
      <c r="BF79" s="895">
        <f t="shared" si="108"/>
        <v>3.4247765741123655E-2</v>
      </c>
      <c r="BG79" s="895">
        <f t="shared" si="108"/>
        <v>4.7622327193715529E-2</v>
      </c>
      <c r="BH79" s="895">
        <f t="shared" si="108"/>
        <v>2.2250490875639701E-2</v>
      </c>
      <c r="BI79" s="895">
        <f t="shared" si="108"/>
        <v>3.4247765741123655E-2</v>
      </c>
      <c r="BJ79" s="895">
        <f t="shared" si="108"/>
        <v>4.7622327193715529E-2</v>
      </c>
      <c r="BK79" s="895">
        <f t="shared" si="108"/>
        <v>2.2250490875639701E-2</v>
      </c>
      <c r="BL79" s="895">
        <f t="shared" si="108"/>
        <v>3.4247765741123655E-2</v>
      </c>
      <c r="BM79" s="895">
        <f t="shared" si="108"/>
        <v>4.7622327193715529E-2</v>
      </c>
      <c r="BN79" s="895">
        <f t="shared" si="108"/>
        <v>2.2250490875639701E-2</v>
      </c>
      <c r="BO79" s="895">
        <f t="shared" si="108"/>
        <v>3.4247765741123655E-2</v>
      </c>
      <c r="BP79" s="199">
        <f t="shared" si="106"/>
        <v>0.99999999999999956</v>
      </c>
    </row>
    <row r="80" spans="2:80">
      <c r="B80" s="176" t="s">
        <v>138</v>
      </c>
      <c r="C80" s="194" t="s">
        <v>148</v>
      </c>
      <c r="D80" s="200" t="s">
        <v>149</v>
      </c>
      <c r="E80" s="196">
        <f t="shared" si="103"/>
        <v>8224890.7573422929</v>
      </c>
      <c r="F80" s="894">
        <f>'Conserva - Resumo'!F10</f>
        <v>184829.52372480003</v>
      </c>
      <c r="G80" s="894">
        <f>'Conserva - Resumo'!G10</f>
        <v>184829.52372480003</v>
      </c>
      <c r="H80" s="894">
        <f>'Conserva - Resumo'!H10</f>
        <v>346555.35698400001</v>
      </c>
      <c r="I80" s="894">
        <f>'Conserva - Resumo'!I10</f>
        <v>184829.52372480003</v>
      </c>
      <c r="J80" s="894">
        <f>'Conserva - Resumo'!J10</f>
        <v>184829.52372480003</v>
      </c>
      <c r="K80" s="894">
        <f>'Conserva - Resumo'!K10</f>
        <v>270556.72173459374</v>
      </c>
      <c r="L80" s="894">
        <f>'Conserva - Resumo'!L10</f>
        <v>365659.64938746183</v>
      </c>
      <c r="M80" s="894">
        <f>'Conserva - Resumo'!M10</f>
        <v>195018.47967331298</v>
      </c>
      <c r="N80" s="894">
        <f>'Conserva - Resumo'!N10</f>
        <v>280339.0645303874</v>
      </c>
      <c r="O80" s="894">
        <f>'Conserva - Resumo'!O10</f>
        <v>365659.64938746183</v>
      </c>
      <c r="P80" s="894">
        <f>'Conserva - Resumo'!P10</f>
        <v>195018.47967331298</v>
      </c>
      <c r="Q80" s="894">
        <f>'Conserva - Resumo'!Q10</f>
        <v>280339.0645303874</v>
      </c>
      <c r="R80" s="894">
        <f>'Conserva - Resumo'!R10</f>
        <v>365659.64938746183</v>
      </c>
      <c r="S80" s="894">
        <f>'Conserva - Resumo'!S10</f>
        <v>195018.47967331298</v>
      </c>
      <c r="T80" s="894">
        <f>'Conserva - Resumo'!T10</f>
        <v>280339.0645303874</v>
      </c>
      <c r="U80" s="894">
        <f>'Conserva - Resumo'!U10</f>
        <v>369936.22453146189</v>
      </c>
      <c r="V80" s="894">
        <f>'Conserva - Resumo'!V10</f>
        <v>197299.31975011301</v>
      </c>
      <c r="W80" s="894">
        <f>'Conserva - Resumo'!W10</f>
        <v>283617.77214078745</v>
      </c>
      <c r="X80" s="894">
        <f>'Conserva - Resumo'!X10</f>
        <v>369936.22453146189</v>
      </c>
      <c r="Y80" s="894">
        <f>'Conserva - Resumo'!Y10</f>
        <v>197299.31975011301</v>
      </c>
      <c r="Z80" s="894">
        <f>'Conserva - Resumo'!Z10</f>
        <v>291962.23069878743</v>
      </c>
      <c r="AA80" s="894">
        <f>'Conserva - Resumo'!AA10</f>
        <v>380820.30091146188</v>
      </c>
      <c r="AB80" s="894">
        <f>'Conserva - Resumo'!AB10</f>
        <v>203104.16048611299</v>
      </c>
      <c r="AC80" s="894">
        <f>'Conserva - Resumo'!AC10</f>
        <v>291962.23069878743</v>
      </c>
      <c r="AD80" s="894">
        <f>'Conserva - Resumo'!AD10</f>
        <v>380820.30091146188</v>
      </c>
      <c r="AE80" s="894">
        <f>'Conserva - Resumo'!AE10</f>
        <v>204244.58052451297</v>
      </c>
      <c r="AF80" s="894">
        <f>'Conserva - Resumo'!AF10</f>
        <v>293601.58450398745</v>
      </c>
      <c r="AG80" s="894">
        <f>'Conserva - Resumo'!AG10</f>
        <v>382958.58848346182</v>
      </c>
      <c r="AH80" s="894">
        <f>'Conserva - Resumo'!AH10</f>
        <v>204244.58052451297</v>
      </c>
      <c r="AI80" s="894">
        <f>'Conserva - Resumo'!AI10</f>
        <v>293601.58450398745</v>
      </c>
      <c r="AJ80" s="192">
        <f t="shared" si="55"/>
        <v>8224890.7573422929</v>
      </c>
      <c r="AL80" s="895">
        <f t="shared" ref="AL80:BO80" si="109">F80/$E$80</f>
        <v>2.2471973084846657E-2</v>
      </c>
      <c r="AM80" s="895">
        <f t="shared" si="109"/>
        <v>2.2471973084846657E-2</v>
      </c>
      <c r="AN80" s="895">
        <f t="shared" si="109"/>
        <v>4.2134949534087474E-2</v>
      </c>
      <c r="AO80" s="895">
        <f t="shared" si="109"/>
        <v>2.2471973084846657E-2</v>
      </c>
      <c r="AP80" s="895">
        <f t="shared" si="109"/>
        <v>2.2471973084846657E-2</v>
      </c>
      <c r="AQ80" s="895">
        <f t="shared" si="109"/>
        <v>3.2894871155956684E-2</v>
      </c>
      <c r="AR80" s="895">
        <f t="shared" si="109"/>
        <v>4.4457690706838929E-2</v>
      </c>
      <c r="AS80" s="895">
        <f t="shared" si="109"/>
        <v>2.3710768376980759E-2</v>
      </c>
      <c r="AT80" s="895">
        <f t="shared" si="109"/>
        <v>3.4084229541909844E-2</v>
      </c>
      <c r="AU80" s="895">
        <f t="shared" si="109"/>
        <v>4.4457690706838929E-2</v>
      </c>
      <c r="AV80" s="895">
        <f t="shared" si="109"/>
        <v>2.3710768376980759E-2</v>
      </c>
      <c r="AW80" s="895">
        <f t="shared" si="109"/>
        <v>3.4084229541909844E-2</v>
      </c>
      <c r="AX80" s="895">
        <f t="shared" si="109"/>
        <v>4.4457690706838929E-2</v>
      </c>
      <c r="AY80" s="895">
        <f t="shared" si="109"/>
        <v>2.3710768376980759E-2</v>
      </c>
      <c r="AZ80" s="895">
        <f t="shared" si="109"/>
        <v>3.4084229541909844E-2</v>
      </c>
      <c r="BA80" s="895">
        <f t="shared" si="109"/>
        <v>4.4977645958546357E-2</v>
      </c>
      <c r="BB80" s="895">
        <f t="shared" si="109"/>
        <v>2.3988077844558059E-2</v>
      </c>
      <c r="BC80" s="895">
        <f t="shared" si="109"/>
        <v>3.4482861901552211E-2</v>
      </c>
      <c r="BD80" s="895">
        <f t="shared" si="109"/>
        <v>4.4977645958546357E-2</v>
      </c>
      <c r="BE80" s="895">
        <f t="shared" si="109"/>
        <v>2.3988077844558059E-2</v>
      </c>
      <c r="BF80" s="895">
        <f t="shared" si="109"/>
        <v>3.5497399213254614E-2</v>
      </c>
      <c r="BG80" s="895">
        <f t="shared" si="109"/>
        <v>4.6300955495549495E-2</v>
      </c>
      <c r="BH80" s="895">
        <f t="shared" si="109"/>
        <v>2.469384293095973E-2</v>
      </c>
      <c r="BI80" s="895">
        <f t="shared" si="109"/>
        <v>3.5497399213254614E-2</v>
      </c>
      <c r="BJ80" s="895">
        <f t="shared" si="109"/>
        <v>4.6300955495549495E-2</v>
      </c>
      <c r="BK80" s="895">
        <f t="shared" si="109"/>
        <v>2.4832497664748373E-2</v>
      </c>
      <c r="BL80" s="895">
        <f t="shared" si="109"/>
        <v>3.5696715393075791E-2</v>
      </c>
      <c r="BM80" s="895">
        <f t="shared" si="109"/>
        <v>4.6560933121403199E-2</v>
      </c>
      <c r="BN80" s="895">
        <f t="shared" si="109"/>
        <v>2.4832497664748373E-2</v>
      </c>
      <c r="BO80" s="895">
        <f t="shared" si="109"/>
        <v>3.5696715393075791E-2</v>
      </c>
      <c r="BP80" s="199">
        <f t="shared" si="106"/>
        <v>1</v>
      </c>
    </row>
    <row r="81" spans="1:71">
      <c r="B81" s="176" t="s">
        <v>138</v>
      </c>
      <c r="C81" s="194" t="s">
        <v>150</v>
      </c>
      <c r="D81" s="200" t="s">
        <v>110</v>
      </c>
      <c r="E81" s="196">
        <f t="shared" si="103"/>
        <v>6600481.7149999989</v>
      </c>
      <c r="F81" s="894">
        <f>'Conserva - Resumo'!F11</f>
        <v>137747.52000000002</v>
      </c>
      <c r="G81" s="894">
        <f>'Conserva - Resumo'!G11</f>
        <v>137747.52000000002</v>
      </c>
      <c r="H81" s="894">
        <f>'Conserva - Resumo'!H11</f>
        <v>258276.6</v>
      </c>
      <c r="I81" s="894">
        <f>'Conserva - Resumo'!I11</f>
        <v>137747.52000000002</v>
      </c>
      <c r="J81" s="894">
        <f>'Conserva - Resumo'!J11</f>
        <v>137747.52000000002</v>
      </c>
      <c r="K81" s="894">
        <f>'Conserva - Resumo'!K11</f>
        <v>198012.05999999997</v>
      </c>
      <c r="L81" s="894">
        <f>'Conserva - Resumo'!L11</f>
        <v>258276.6</v>
      </c>
      <c r="M81" s="894">
        <f>'Conserva - Resumo'!M11</f>
        <v>137747.52000000002</v>
      </c>
      <c r="N81" s="894">
        <f>'Conserva - Resumo'!N11</f>
        <v>198012.05999999997</v>
      </c>
      <c r="O81" s="894">
        <f>'Conserva - Resumo'!O11</f>
        <v>258276.6</v>
      </c>
      <c r="P81" s="894">
        <f>'Conserva - Resumo'!P11</f>
        <v>225115.16000000003</v>
      </c>
      <c r="Q81" s="894">
        <f>'Conserva - Resumo'!Q11</f>
        <v>323603.04249999998</v>
      </c>
      <c r="R81" s="894">
        <f>'Conserva - Resumo'!R11</f>
        <v>422090.92499999999</v>
      </c>
      <c r="S81" s="894">
        <f>'Conserva - Resumo'!S11</f>
        <v>225115.16000000003</v>
      </c>
      <c r="T81" s="894">
        <f>'Conserva - Resumo'!T11</f>
        <v>323603.04249999998</v>
      </c>
      <c r="U81" s="894">
        <f>'Conserva - Resumo'!U11</f>
        <v>422090.92499999999</v>
      </c>
      <c r="V81" s="894">
        <f>'Conserva - Resumo'!V11</f>
        <v>225115.16000000003</v>
      </c>
      <c r="W81" s="894">
        <f>'Conserva - Resumo'!W11</f>
        <v>198012.05999999997</v>
      </c>
      <c r="X81" s="894">
        <f>'Conserva - Resumo'!X11</f>
        <v>258276.6</v>
      </c>
      <c r="Y81" s="894">
        <f>'Conserva - Resumo'!Y11</f>
        <v>137747.52000000002</v>
      </c>
      <c r="Z81" s="894">
        <f>'Conserva - Resumo'!Z11</f>
        <v>198012.05999999997</v>
      </c>
      <c r="AA81" s="894">
        <f>'Conserva - Resumo'!AA11</f>
        <v>258276.6</v>
      </c>
      <c r="AB81" s="894">
        <f>'Conserva - Resumo'!AB11</f>
        <v>137747.52000000002</v>
      </c>
      <c r="AC81" s="894">
        <f>'Conserva - Resumo'!AC11</f>
        <v>198012.05999999997</v>
      </c>
      <c r="AD81" s="894">
        <f>'Conserva - Resumo'!AD11</f>
        <v>258276.6</v>
      </c>
      <c r="AE81" s="894">
        <f>'Conserva - Resumo'!AE11</f>
        <v>137747.52000000002</v>
      </c>
      <c r="AF81" s="894">
        <f>'Conserva - Resumo'!AF11</f>
        <v>198012.05999999997</v>
      </c>
      <c r="AG81" s="894">
        <f>'Conserva - Resumo'!AG11</f>
        <v>258276.6</v>
      </c>
      <c r="AH81" s="894">
        <f>'Conserva - Resumo'!AH11</f>
        <v>137747.52000000002</v>
      </c>
      <c r="AI81" s="894">
        <f>'Conserva - Resumo'!AI11</f>
        <v>198012.05999999997</v>
      </c>
      <c r="AJ81" s="192">
        <f t="shared" si="55"/>
        <v>6600481.7149999989</v>
      </c>
      <c r="AL81" s="895">
        <f>F81/$E$81</f>
        <v>2.0869313172546231E-2</v>
      </c>
      <c r="AM81" s="895">
        <f t="shared" ref="AM81:BO81" si="110">G81/$E$81</f>
        <v>2.0869313172546231E-2</v>
      </c>
      <c r="AN81" s="895">
        <f t="shared" si="110"/>
        <v>3.9129962198524181E-2</v>
      </c>
      <c r="AO81" s="895">
        <f t="shared" si="110"/>
        <v>2.0869313172546231E-2</v>
      </c>
      <c r="AP81" s="895">
        <f t="shared" si="110"/>
        <v>2.0869313172546231E-2</v>
      </c>
      <c r="AQ81" s="895">
        <f t="shared" si="110"/>
        <v>2.9999637685535201E-2</v>
      </c>
      <c r="AR81" s="895">
        <f t="shared" si="110"/>
        <v>3.9129962198524181E-2</v>
      </c>
      <c r="AS81" s="895">
        <f t="shared" si="110"/>
        <v>2.0869313172546231E-2</v>
      </c>
      <c r="AT81" s="895">
        <f t="shared" si="110"/>
        <v>2.9999637685535201E-2</v>
      </c>
      <c r="AU81" s="895">
        <f t="shared" si="110"/>
        <v>3.9129962198524181E-2</v>
      </c>
      <c r="AV81" s="895">
        <f t="shared" si="110"/>
        <v>3.410586828661491E-2</v>
      </c>
      <c r="AW81" s="895">
        <f t="shared" si="110"/>
        <v>4.9027185662008921E-2</v>
      </c>
      <c r="AX81" s="895">
        <f t="shared" si="110"/>
        <v>6.3948503037402932E-2</v>
      </c>
      <c r="AY81" s="895">
        <f t="shared" si="110"/>
        <v>3.410586828661491E-2</v>
      </c>
      <c r="AZ81" s="895">
        <f t="shared" si="110"/>
        <v>4.9027185662008921E-2</v>
      </c>
      <c r="BA81" s="895">
        <f t="shared" si="110"/>
        <v>6.3948503037402932E-2</v>
      </c>
      <c r="BB81" s="895">
        <f t="shared" si="110"/>
        <v>3.410586828661491E-2</v>
      </c>
      <c r="BC81" s="895">
        <f t="shared" si="110"/>
        <v>2.9999637685535201E-2</v>
      </c>
      <c r="BD81" s="895">
        <f t="shared" si="110"/>
        <v>3.9129962198524181E-2</v>
      </c>
      <c r="BE81" s="895">
        <f t="shared" si="110"/>
        <v>2.0869313172546231E-2</v>
      </c>
      <c r="BF81" s="895">
        <f t="shared" si="110"/>
        <v>2.9999637685535201E-2</v>
      </c>
      <c r="BG81" s="895">
        <f t="shared" si="110"/>
        <v>3.9129962198524181E-2</v>
      </c>
      <c r="BH81" s="895">
        <f t="shared" si="110"/>
        <v>2.0869313172546231E-2</v>
      </c>
      <c r="BI81" s="895">
        <f t="shared" si="110"/>
        <v>2.9999637685535201E-2</v>
      </c>
      <c r="BJ81" s="895">
        <f t="shared" si="110"/>
        <v>3.9129962198524181E-2</v>
      </c>
      <c r="BK81" s="895">
        <f t="shared" si="110"/>
        <v>2.0869313172546231E-2</v>
      </c>
      <c r="BL81" s="895">
        <f t="shared" si="110"/>
        <v>2.9999637685535201E-2</v>
      </c>
      <c r="BM81" s="895">
        <f t="shared" si="110"/>
        <v>3.9129962198524181E-2</v>
      </c>
      <c r="BN81" s="895">
        <f t="shared" si="110"/>
        <v>2.0869313172546231E-2</v>
      </c>
      <c r="BO81" s="895">
        <f t="shared" si="110"/>
        <v>2.9999637685535201E-2</v>
      </c>
      <c r="BP81" s="199">
        <f t="shared" si="106"/>
        <v>1</v>
      </c>
    </row>
    <row r="82" spans="1:71">
      <c r="B82" s="176" t="s">
        <v>138</v>
      </c>
      <c r="C82" s="194" t="s">
        <v>151</v>
      </c>
      <c r="D82" s="200" t="s">
        <v>152</v>
      </c>
      <c r="E82" s="196">
        <f t="shared" si="103"/>
        <v>1276200.5312000006</v>
      </c>
      <c r="F82" s="894">
        <f>'Conserva - Resumo'!F12</f>
        <v>71744.373120000018</v>
      </c>
      <c r="G82" s="894">
        <f>'Conserva - Resumo'!G12</f>
        <v>71744.373120000018</v>
      </c>
      <c r="H82" s="894">
        <f>'Conserva - Resumo'!H12</f>
        <v>71744.373120000018</v>
      </c>
      <c r="I82" s="894">
        <f>'Conserva - Resumo'!I12</f>
        <v>71744.373120000018</v>
      </c>
      <c r="J82" s="894">
        <f>'Conserva - Resumo'!J12</f>
        <v>71744.373120000018</v>
      </c>
      <c r="K82" s="894">
        <f>'Conserva - Resumo'!K12</f>
        <v>71744.373120000018</v>
      </c>
      <c r="L82" s="894">
        <f>'Conserva - Resumo'!L12</f>
        <v>71744.373120000018</v>
      </c>
      <c r="M82" s="894">
        <f>'Conserva - Resumo'!M12</f>
        <v>71744.373120000018</v>
      </c>
      <c r="N82" s="894">
        <f>'Conserva - Resumo'!N12</f>
        <v>71744.373120000018</v>
      </c>
      <c r="O82" s="894">
        <f>'Conserva - Resumo'!O12</f>
        <v>71744.373120000018</v>
      </c>
      <c r="P82" s="894">
        <f>'Conserva - Resumo'!P12</f>
        <v>27937.84</v>
      </c>
      <c r="Q82" s="894">
        <f>'Conserva - Resumo'!Q12</f>
        <v>27937.84</v>
      </c>
      <c r="R82" s="894">
        <f>'Conserva - Resumo'!R12</f>
        <v>27937.84</v>
      </c>
      <c r="S82" s="894">
        <f>'Conserva - Resumo'!S12</f>
        <v>27937.84</v>
      </c>
      <c r="T82" s="894">
        <f>'Conserva - Resumo'!T12</f>
        <v>27937.84</v>
      </c>
      <c r="U82" s="894">
        <f>'Conserva - Resumo'!U12</f>
        <v>27937.84</v>
      </c>
      <c r="V82" s="894">
        <f>'Conserva - Resumo'!V12</f>
        <v>27937.84</v>
      </c>
      <c r="W82" s="894">
        <f>'Conserva - Resumo'!W12</f>
        <v>27937.84</v>
      </c>
      <c r="X82" s="894">
        <f>'Conserva - Resumo'!X12</f>
        <v>27937.84</v>
      </c>
      <c r="Y82" s="894">
        <f>'Conserva - Resumo'!Y12</f>
        <v>27937.84</v>
      </c>
      <c r="Z82" s="894">
        <f>'Conserva - Resumo'!Z12</f>
        <v>27937.84</v>
      </c>
      <c r="AA82" s="894">
        <f>'Conserva - Resumo'!AA12</f>
        <v>27937.84</v>
      </c>
      <c r="AB82" s="894">
        <f>'Conserva - Resumo'!AB12</f>
        <v>27937.84</v>
      </c>
      <c r="AC82" s="894">
        <f>'Conserva - Resumo'!AC12</f>
        <v>27937.84</v>
      </c>
      <c r="AD82" s="894">
        <f>'Conserva - Resumo'!AD12</f>
        <v>27937.84</v>
      </c>
      <c r="AE82" s="894">
        <f>'Conserva - Resumo'!AE12</f>
        <v>27937.84</v>
      </c>
      <c r="AF82" s="894">
        <f>'Conserva - Resumo'!AF12</f>
        <v>27937.84</v>
      </c>
      <c r="AG82" s="894">
        <f>'Conserva - Resumo'!AG12</f>
        <v>27937.84</v>
      </c>
      <c r="AH82" s="894">
        <f>'Conserva - Resumo'!AH12</f>
        <v>27937.84</v>
      </c>
      <c r="AI82" s="894">
        <f>'Conserva - Resumo'!AI12</f>
        <v>27937.84</v>
      </c>
      <c r="AJ82" s="192">
        <f t="shared" si="55"/>
        <v>1276200.5312000006</v>
      </c>
      <c r="AL82" s="895">
        <f>F82/$E$82</f>
        <v>5.6217162872154107E-2</v>
      </c>
      <c r="AM82" s="895">
        <f t="shared" ref="AM82:BO82" si="111">G82/$E$82</f>
        <v>5.6217162872154107E-2</v>
      </c>
      <c r="AN82" s="895">
        <f t="shared" si="111"/>
        <v>5.6217162872154107E-2</v>
      </c>
      <c r="AO82" s="895">
        <f t="shared" si="111"/>
        <v>5.6217162872154107E-2</v>
      </c>
      <c r="AP82" s="895">
        <f t="shared" si="111"/>
        <v>5.6217162872154107E-2</v>
      </c>
      <c r="AQ82" s="895">
        <f t="shared" si="111"/>
        <v>5.6217162872154107E-2</v>
      </c>
      <c r="AR82" s="895">
        <f t="shared" si="111"/>
        <v>5.6217162872154107E-2</v>
      </c>
      <c r="AS82" s="895">
        <f t="shared" si="111"/>
        <v>5.6217162872154107E-2</v>
      </c>
      <c r="AT82" s="895">
        <f t="shared" si="111"/>
        <v>5.6217162872154107E-2</v>
      </c>
      <c r="AU82" s="895">
        <f t="shared" si="111"/>
        <v>5.6217162872154107E-2</v>
      </c>
      <c r="AV82" s="895">
        <f t="shared" si="111"/>
        <v>2.1891418563922932E-2</v>
      </c>
      <c r="AW82" s="895">
        <f t="shared" si="111"/>
        <v>2.1891418563922932E-2</v>
      </c>
      <c r="AX82" s="895">
        <f t="shared" si="111"/>
        <v>2.1891418563922932E-2</v>
      </c>
      <c r="AY82" s="895">
        <f t="shared" si="111"/>
        <v>2.1891418563922932E-2</v>
      </c>
      <c r="AZ82" s="895">
        <f t="shared" si="111"/>
        <v>2.1891418563922932E-2</v>
      </c>
      <c r="BA82" s="895">
        <f t="shared" si="111"/>
        <v>2.1891418563922932E-2</v>
      </c>
      <c r="BB82" s="895">
        <f t="shared" si="111"/>
        <v>2.1891418563922932E-2</v>
      </c>
      <c r="BC82" s="895">
        <f t="shared" si="111"/>
        <v>2.1891418563922932E-2</v>
      </c>
      <c r="BD82" s="895">
        <f t="shared" si="111"/>
        <v>2.1891418563922932E-2</v>
      </c>
      <c r="BE82" s="895">
        <f t="shared" si="111"/>
        <v>2.1891418563922932E-2</v>
      </c>
      <c r="BF82" s="895">
        <f t="shared" si="111"/>
        <v>2.1891418563922932E-2</v>
      </c>
      <c r="BG82" s="895">
        <f t="shared" si="111"/>
        <v>2.1891418563922932E-2</v>
      </c>
      <c r="BH82" s="895">
        <f t="shared" si="111"/>
        <v>2.1891418563922932E-2</v>
      </c>
      <c r="BI82" s="895">
        <f t="shared" si="111"/>
        <v>2.1891418563922932E-2</v>
      </c>
      <c r="BJ82" s="895">
        <f t="shared" si="111"/>
        <v>2.1891418563922932E-2</v>
      </c>
      <c r="BK82" s="895">
        <f t="shared" si="111"/>
        <v>2.1891418563922932E-2</v>
      </c>
      <c r="BL82" s="895">
        <f t="shared" si="111"/>
        <v>2.1891418563922932E-2</v>
      </c>
      <c r="BM82" s="895">
        <f t="shared" si="111"/>
        <v>2.1891418563922932E-2</v>
      </c>
      <c r="BN82" s="895">
        <f t="shared" si="111"/>
        <v>2.1891418563922932E-2</v>
      </c>
      <c r="BO82" s="895">
        <f t="shared" si="111"/>
        <v>2.1891418563922932E-2</v>
      </c>
      <c r="BP82" s="199">
        <f t="shared" si="106"/>
        <v>1.0000000000000002</v>
      </c>
    </row>
    <row r="83" spans="1:71">
      <c r="B83" s="176" t="s">
        <v>138</v>
      </c>
      <c r="C83" s="194" t="s">
        <v>153</v>
      </c>
      <c r="D83" s="200" t="s">
        <v>154</v>
      </c>
      <c r="E83" s="196">
        <f t="shared" si="103"/>
        <v>1579423.4822692359</v>
      </c>
      <c r="F83" s="894">
        <f>'Conserva - Resumo'!F13</f>
        <v>11787.282675936694</v>
      </c>
      <c r="G83" s="894">
        <f>'Conserva - Resumo'!G13</f>
        <v>47147.053256524559</v>
      </c>
      <c r="H83" s="894">
        <f>'Conserva - Resumo'!H13</f>
        <v>46835.436111246789</v>
      </c>
      <c r="I83" s="894">
        <f>'Conserva - Resumo'!I13</f>
        <v>48633.193965969003</v>
      </c>
      <c r="J83" s="894">
        <f>'Conserva - Resumo'!J13</f>
        <v>50431.371857573176</v>
      </c>
      <c r="K83" s="894">
        <f>'Conserva - Resumo'!K13</f>
        <v>55501.491868138452</v>
      </c>
      <c r="L83" s="894">
        <f>'Conserva - Resumo'!L13</f>
        <v>55681.769090769005</v>
      </c>
      <c r="M83" s="894">
        <f>'Conserva - Resumo'!M13</f>
        <v>55840.122995262063</v>
      </c>
      <c r="N83" s="894">
        <f>'Conserva - Resumo'!N13</f>
        <v>55998.476899755122</v>
      </c>
      <c r="O83" s="894">
        <f>'Conserva - Resumo'!O13</f>
        <v>56156.830804248173</v>
      </c>
      <c r="P83" s="894">
        <f>'Conserva - Resumo'!P13</f>
        <v>54357.441759680129</v>
      </c>
      <c r="Q83" s="894">
        <f>'Conserva - Resumo'!Q13</f>
        <v>54151.803703333891</v>
      </c>
      <c r="R83" s="894">
        <f>'Conserva - Resumo'!R13</f>
        <v>54448.169726180116</v>
      </c>
      <c r="S83" s="894">
        <f>'Conserva - Resumo'!S13</f>
        <v>54497.734078249559</v>
      </c>
      <c r="T83" s="894">
        <f>'Conserva - Resumo'!T13</f>
        <v>54596.442745506516</v>
      </c>
      <c r="U83" s="894">
        <f>'Conserva - Resumo'!U13</f>
        <v>54646.007097575952</v>
      </c>
      <c r="V83" s="894">
        <f>'Conserva - Resumo'!V13</f>
        <v>54695.571449645402</v>
      </c>
      <c r="W83" s="894">
        <f>'Conserva - Resumo'!W13</f>
        <v>54839.380530127353</v>
      </c>
      <c r="X83" s="894">
        <f>'Conserva - Resumo'!X13</f>
        <v>54878.023923266235</v>
      </c>
      <c r="Y83" s="894">
        <f>'Conserva - Resumo'!Y13</f>
        <v>54896.925582953736</v>
      </c>
      <c r="Z83" s="894">
        <f>'Conserva - Resumo'!Z13</f>
        <v>54916.247279523173</v>
      </c>
      <c r="AA83" s="894">
        <f>'Conserva - Resumo'!AA13</f>
        <v>54935.568976092625</v>
      </c>
      <c r="AB83" s="894">
        <f>'Conserva - Resumo'!AB13</f>
        <v>54935.568976092625</v>
      </c>
      <c r="AC83" s="894">
        <f>'Conserva - Resumo'!AC13</f>
        <v>54935.568976092625</v>
      </c>
      <c r="AD83" s="894">
        <f>'Conserva - Resumo'!AD13</f>
        <v>54935.568976092625</v>
      </c>
      <c r="AE83" s="894">
        <f>'Conserva - Resumo'!AE13</f>
        <v>54948.885792680136</v>
      </c>
      <c r="AF83" s="894">
        <f>'Conserva - Resumo'!AF13</f>
        <v>54948.885792680136</v>
      </c>
      <c r="AG83" s="894">
        <f>'Conserva - Resumo'!AG13</f>
        <v>54948.885792680136</v>
      </c>
      <c r="AH83" s="894">
        <f>'Conserva - Resumo'!AH13</f>
        <v>54948.885792680136</v>
      </c>
      <c r="AI83" s="894">
        <f>'Conserva - Resumo'!AI13</f>
        <v>54948.885792680136</v>
      </c>
      <c r="AJ83" s="192">
        <f t="shared" si="55"/>
        <v>1579423.4822692359</v>
      </c>
      <c r="AL83" s="895">
        <f>AVERAGE(AL80:AL82)</f>
        <v>3.3186149709849004E-2</v>
      </c>
      <c r="AM83" s="895">
        <f t="shared" ref="AM83:BO83" si="112">AVERAGE(AM80:AM82)</f>
        <v>3.3186149709849004E-2</v>
      </c>
      <c r="AN83" s="895">
        <f t="shared" si="112"/>
        <v>4.5827358201588592E-2</v>
      </c>
      <c r="AO83" s="895">
        <f t="shared" si="112"/>
        <v>3.3186149709849004E-2</v>
      </c>
      <c r="AP83" s="895">
        <f t="shared" si="112"/>
        <v>3.3186149709849004E-2</v>
      </c>
      <c r="AQ83" s="895">
        <f t="shared" si="112"/>
        <v>3.9703890571215338E-2</v>
      </c>
      <c r="AR83" s="895">
        <f t="shared" si="112"/>
        <v>4.6601605259172403E-2</v>
      </c>
      <c r="AS83" s="895">
        <f t="shared" si="112"/>
        <v>3.3599081473893698E-2</v>
      </c>
      <c r="AT83" s="895">
        <f t="shared" si="112"/>
        <v>4.0100343366533057E-2</v>
      </c>
      <c r="AU83" s="895">
        <f t="shared" si="112"/>
        <v>4.6601605259172403E-2</v>
      </c>
      <c r="AV83" s="895">
        <f t="shared" si="112"/>
        <v>2.65693517425062E-2</v>
      </c>
      <c r="AW83" s="895">
        <f t="shared" si="112"/>
        <v>3.5000944589280568E-2</v>
      </c>
      <c r="AX83" s="895">
        <f t="shared" si="112"/>
        <v>4.3432537436054929E-2</v>
      </c>
      <c r="AY83" s="895">
        <f t="shared" si="112"/>
        <v>2.65693517425062E-2</v>
      </c>
      <c r="AZ83" s="895">
        <f t="shared" si="112"/>
        <v>3.5000944589280568E-2</v>
      </c>
      <c r="BA83" s="895">
        <f t="shared" si="112"/>
        <v>4.3605855853290743E-2</v>
      </c>
      <c r="BB83" s="895">
        <f t="shared" si="112"/>
        <v>2.6661788231698635E-2</v>
      </c>
      <c r="BC83" s="895">
        <f t="shared" si="112"/>
        <v>2.8791306050336779E-2</v>
      </c>
      <c r="BD83" s="895">
        <f t="shared" si="112"/>
        <v>3.5333008906997823E-2</v>
      </c>
      <c r="BE83" s="895">
        <f t="shared" si="112"/>
        <v>2.2249603193675738E-2</v>
      </c>
      <c r="BF83" s="895">
        <f t="shared" si="112"/>
        <v>2.9129485154237581E-2</v>
      </c>
      <c r="BG83" s="895">
        <f t="shared" si="112"/>
        <v>3.5774112085998871E-2</v>
      </c>
      <c r="BH83" s="895">
        <f t="shared" si="112"/>
        <v>2.2484858222476298E-2</v>
      </c>
      <c r="BI83" s="895">
        <f t="shared" si="112"/>
        <v>2.9129485154237581E-2</v>
      </c>
      <c r="BJ83" s="895">
        <f t="shared" si="112"/>
        <v>3.5774112085998871E-2</v>
      </c>
      <c r="BK83" s="895">
        <f t="shared" si="112"/>
        <v>2.2531076467072513E-2</v>
      </c>
      <c r="BL83" s="895">
        <f t="shared" si="112"/>
        <v>2.9195923880844642E-2</v>
      </c>
      <c r="BM83" s="895">
        <f t="shared" si="112"/>
        <v>3.5860771294616768E-2</v>
      </c>
      <c r="BN83" s="895">
        <f t="shared" si="112"/>
        <v>2.2531076467072513E-2</v>
      </c>
      <c r="BO83" s="895">
        <f t="shared" si="112"/>
        <v>2.9195923880844642E-2</v>
      </c>
      <c r="BP83" s="199">
        <f t="shared" si="106"/>
        <v>1.0000000000000002</v>
      </c>
    </row>
    <row r="84" spans="1:71">
      <c r="B84" s="176" t="s">
        <v>138</v>
      </c>
      <c r="C84" s="194" t="s">
        <v>155</v>
      </c>
      <c r="D84" s="200" t="s">
        <v>54</v>
      </c>
      <c r="E84" s="196"/>
      <c r="F84" s="894"/>
      <c r="G84" s="894"/>
      <c r="H84" s="894"/>
      <c r="I84" s="894"/>
      <c r="J84" s="894"/>
      <c r="K84" s="894"/>
      <c r="L84" s="894"/>
      <c r="M84" s="894"/>
      <c r="N84" s="894"/>
      <c r="O84" s="894"/>
      <c r="P84" s="894"/>
      <c r="Q84" s="894"/>
      <c r="R84" s="894"/>
      <c r="S84" s="894"/>
      <c r="T84" s="894"/>
      <c r="U84" s="894"/>
      <c r="V84" s="894"/>
      <c r="W84" s="894"/>
      <c r="X84" s="894"/>
      <c r="Y84" s="894"/>
      <c r="Z84" s="894"/>
      <c r="AA84" s="894"/>
      <c r="AB84" s="894"/>
      <c r="AC84" s="894"/>
      <c r="AD84" s="894"/>
      <c r="AE84" s="894"/>
      <c r="AF84" s="894"/>
      <c r="AG84" s="894"/>
      <c r="AH84" s="894"/>
      <c r="AI84" s="894"/>
      <c r="AJ84" s="192">
        <f t="shared" si="55"/>
        <v>0</v>
      </c>
      <c r="AL84" s="895"/>
      <c r="AM84" s="895"/>
      <c r="AN84" s="895"/>
      <c r="AO84" s="895"/>
      <c r="AP84" s="895"/>
      <c r="AQ84" s="895"/>
      <c r="AR84" s="895"/>
      <c r="AS84" s="895"/>
      <c r="AT84" s="895"/>
      <c r="AU84" s="895"/>
      <c r="AV84" s="895"/>
      <c r="AW84" s="895"/>
      <c r="AX84" s="895"/>
      <c r="AY84" s="895"/>
      <c r="AZ84" s="895"/>
      <c r="BA84" s="895"/>
      <c r="BB84" s="895"/>
      <c r="BC84" s="895"/>
      <c r="BD84" s="895"/>
      <c r="BE84" s="895"/>
      <c r="BF84" s="895"/>
      <c r="BG84" s="895"/>
      <c r="BH84" s="895"/>
      <c r="BI84" s="895"/>
      <c r="BJ84" s="895"/>
      <c r="BK84" s="895"/>
      <c r="BL84" s="895"/>
      <c r="BM84" s="895"/>
      <c r="BN84" s="895"/>
      <c r="BO84" s="895"/>
      <c r="BP84" s="199">
        <f t="shared" si="106"/>
        <v>0</v>
      </c>
    </row>
    <row r="85" spans="1:71" ht="13.5" thickBot="1">
      <c r="B85" s="176" t="s">
        <v>138</v>
      </c>
      <c r="C85" s="194" t="s">
        <v>156</v>
      </c>
      <c r="D85" s="200" t="s">
        <v>62</v>
      </c>
      <c r="E85" s="196"/>
      <c r="F85" s="894"/>
      <c r="G85" s="894"/>
      <c r="H85" s="894"/>
      <c r="I85" s="894"/>
      <c r="J85" s="894"/>
      <c r="K85" s="894"/>
      <c r="L85" s="894"/>
      <c r="M85" s="894"/>
      <c r="N85" s="894"/>
      <c r="O85" s="894"/>
      <c r="P85" s="894"/>
      <c r="Q85" s="894"/>
      <c r="R85" s="894"/>
      <c r="S85" s="894"/>
      <c r="T85" s="894"/>
      <c r="U85" s="894"/>
      <c r="V85" s="894"/>
      <c r="W85" s="894"/>
      <c r="X85" s="894"/>
      <c r="Y85" s="894"/>
      <c r="Z85" s="894"/>
      <c r="AA85" s="894"/>
      <c r="AB85" s="894"/>
      <c r="AC85" s="894"/>
      <c r="AD85" s="894"/>
      <c r="AE85" s="894"/>
      <c r="AF85" s="894"/>
      <c r="AG85" s="894"/>
      <c r="AH85" s="894"/>
      <c r="AI85" s="894"/>
      <c r="AJ85" s="192">
        <f t="shared" si="55"/>
        <v>0</v>
      </c>
      <c r="AL85" s="895"/>
      <c r="AM85" s="895"/>
      <c r="AN85" s="895"/>
      <c r="AO85" s="895"/>
      <c r="AP85" s="895"/>
      <c r="AQ85" s="895"/>
      <c r="AR85" s="895"/>
      <c r="AS85" s="895"/>
      <c r="AT85" s="895"/>
      <c r="AU85" s="895"/>
      <c r="AV85" s="895"/>
      <c r="AW85" s="895"/>
      <c r="AX85" s="895"/>
      <c r="AY85" s="895"/>
      <c r="AZ85" s="895"/>
      <c r="BA85" s="895"/>
      <c r="BB85" s="895"/>
      <c r="BC85" s="895"/>
      <c r="BD85" s="895"/>
      <c r="BE85" s="895"/>
      <c r="BF85" s="895"/>
      <c r="BG85" s="895"/>
      <c r="BH85" s="895"/>
      <c r="BI85" s="895"/>
      <c r="BJ85" s="895"/>
      <c r="BK85" s="895"/>
      <c r="BL85" s="895"/>
      <c r="BM85" s="895"/>
      <c r="BN85" s="895"/>
      <c r="BO85" s="895"/>
      <c r="BP85" s="199">
        <f t="shared" si="106"/>
        <v>0</v>
      </c>
    </row>
    <row r="86" spans="1:71" s="184" customFormat="1" ht="15" customHeight="1" thickBot="1">
      <c r="A86" s="175"/>
      <c r="B86" s="176"/>
      <c r="C86" s="790">
        <v>2</v>
      </c>
      <c r="D86" s="800" t="s">
        <v>157</v>
      </c>
      <c r="E86" s="792">
        <f t="shared" ref="E86:AI86" si="113">SUM(E87:E98)</f>
        <v>13889372.922000002</v>
      </c>
      <c r="F86" s="792">
        <f t="shared" si="113"/>
        <v>0</v>
      </c>
      <c r="G86" s="792">
        <f t="shared" si="113"/>
        <v>461675.61799999996</v>
      </c>
      <c r="H86" s="792">
        <f t="shared" si="113"/>
        <v>461675.61799999996</v>
      </c>
      <c r="I86" s="792">
        <f t="shared" si="113"/>
        <v>461675.61799999996</v>
      </c>
      <c r="J86" s="792">
        <f t="shared" si="113"/>
        <v>561831.61800000002</v>
      </c>
      <c r="K86" s="792">
        <f t="shared" si="113"/>
        <v>461675.61799999996</v>
      </c>
      <c r="L86" s="792">
        <f t="shared" si="113"/>
        <v>461675.61799999996</v>
      </c>
      <c r="M86" s="792">
        <f t="shared" si="113"/>
        <v>461675.61799999996</v>
      </c>
      <c r="N86" s="792">
        <f t="shared" si="113"/>
        <v>461675.61799999996</v>
      </c>
      <c r="O86" s="799">
        <f t="shared" si="113"/>
        <v>461675.61799999996</v>
      </c>
      <c r="P86" s="912">
        <f t="shared" si="113"/>
        <v>561831.61800000002</v>
      </c>
      <c r="Q86" s="792">
        <f t="shared" si="113"/>
        <v>461675.61799999996</v>
      </c>
      <c r="R86" s="792">
        <f t="shared" si="113"/>
        <v>461675.61799999996</v>
      </c>
      <c r="S86" s="792">
        <f t="shared" si="113"/>
        <v>461675.61799999996</v>
      </c>
      <c r="T86" s="792">
        <f t="shared" si="113"/>
        <v>461675.61799999996</v>
      </c>
      <c r="U86" s="792">
        <f t="shared" si="113"/>
        <v>461675.61799999996</v>
      </c>
      <c r="V86" s="792">
        <f t="shared" si="113"/>
        <v>561831.61800000002</v>
      </c>
      <c r="W86" s="792">
        <f t="shared" si="113"/>
        <v>461675.61799999996</v>
      </c>
      <c r="X86" s="792">
        <f t="shared" si="113"/>
        <v>461675.61799999996</v>
      </c>
      <c r="Y86" s="799">
        <f t="shared" si="113"/>
        <v>461675.61799999996</v>
      </c>
      <c r="Z86" s="912">
        <f t="shared" si="113"/>
        <v>461675.61799999996</v>
      </c>
      <c r="AA86" s="792">
        <f t="shared" si="113"/>
        <v>461675.61799999996</v>
      </c>
      <c r="AB86" s="792">
        <f t="shared" si="113"/>
        <v>561831.61800000002</v>
      </c>
      <c r="AC86" s="792">
        <f t="shared" si="113"/>
        <v>461675.61799999996</v>
      </c>
      <c r="AD86" s="792">
        <f t="shared" si="113"/>
        <v>461675.61799999996</v>
      </c>
      <c r="AE86" s="792">
        <f t="shared" si="113"/>
        <v>461675.61799999996</v>
      </c>
      <c r="AF86" s="792">
        <f t="shared" si="113"/>
        <v>461675.61799999996</v>
      </c>
      <c r="AG86" s="792">
        <f t="shared" si="113"/>
        <v>461675.61799999996</v>
      </c>
      <c r="AH86" s="792">
        <f t="shared" si="113"/>
        <v>561831.61800000002</v>
      </c>
      <c r="AI86" s="792">
        <f t="shared" si="113"/>
        <v>461675.61799999996</v>
      </c>
      <c r="AJ86" s="792">
        <f t="shared" si="55"/>
        <v>13889372.922000006</v>
      </c>
      <c r="AK86" s="822"/>
      <c r="AL86" s="796">
        <f t="shared" ref="AL86:BO86" si="114">F86/$E86</f>
        <v>0</v>
      </c>
      <c r="AM86" s="797">
        <f t="shared" si="114"/>
        <v>3.3239486087145893E-2</v>
      </c>
      <c r="AN86" s="797">
        <f t="shared" si="114"/>
        <v>3.3239486087145893E-2</v>
      </c>
      <c r="AO86" s="797">
        <f t="shared" si="114"/>
        <v>3.3239486087145893E-2</v>
      </c>
      <c r="AP86" s="797">
        <f t="shared" si="114"/>
        <v>4.0450466781699675E-2</v>
      </c>
      <c r="AQ86" s="797">
        <f t="shared" si="114"/>
        <v>3.3239486087145893E-2</v>
      </c>
      <c r="AR86" s="797">
        <f t="shared" si="114"/>
        <v>3.3239486087145893E-2</v>
      </c>
      <c r="AS86" s="797">
        <f t="shared" si="114"/>
        <v>3.3239486087145893E-2</v>
      </c>
      <c r="AT86" s="797">
        <f t="shared" si="114"/>
        <v>3.3239486087145893E-2</v>
      </c>
      <c r="AU86" s="797">
        <f t="shared" si="114"/>
        <v>3.3239486087145893E-2</v>
      </c>
      <c r="AV86" s="797">
        <f t="shared" si="114"/>
        <v>4.0450466781699675E-2</v>
      </c>
      <c r="AW86" s="797">
        <f t="shared" si="114"/>
        <v>3.3239486087145893E-2</v>
      </c>
      <c r="AX86" s="797">
        <f t="shared" si="114"/>
        <v>3.3239486087145893E-2</v>
      </c>
      <c r="AY86" s="797">
        <f t="shared" si="114"/>
        <v>3.3239486087145893E-2</v>
      </c>
      <c r="AZ86" s="797">
        <f t="shared" si="114"/>
        <v>3.3239486087145893E-2</v>
      </c>
      <c r="BA86" s="903">
        <f t="shared" si="114"/>
        <v>3.3239486087145893E-2</v>
      </c>
      <c r="BB86" s="797">
        <f t="shared" si="114"/>
        <v>4.0450466781699675E-2</v>
      </c>
      <c r="BC86" s="797">
        <f t="shared" si="114"/>
        <v>3.3239486087145893E-2</v>
      </c>
      <c r="BD86" s="797">
        <f t="shared" si="114"/>
        <v>3.3239486087145893E-2</v>
      </c>
      <c r="BE86" s="797">
        <f t="shared" si="114"/>
        <v>3.3239486087145893E-2</v>
      </c>
      <c r="BF86" s="797">
        <f t="shared" si="114"/>
        <v>3.3239486087145893E-2</v>
      </c>
      <c r="BG86" s="797">
        <f t="shared" si="114"/>
        <v>3.3239486087145893E-2</v>
      </c>
      <c r="BH86" s="797">
        <f t="shared" si="114"/>
        <v>4.0450466781699675E-2</v>
      </c>
      <c r="BI86" s="797">
        <f t="shared" si="114"/>
        <v>3.3239486087145893E-2</v>
      </c>
      <c r="BJ86" s="797">
        <f t="shared" si="114"/>
        <v>3.3239486087145893E-2</v>
      </c>
      <c r="BK86" s="797">
        <f t="shared" si="114"/>
        <v>3.3239486087145893E-2</v>
      </c>
      <c r="BL86" s="797">
        <f t="shared" si="114"/>
        <v>3.3239486087145893E-2</v>
      </c>
      <c r="BM86" s="797">
        <f t="shared" si="114"/>
        <v>3.3239486087145893E-2</v>
      </c>
      <c r="BN86" s="797">
        <f t="shared" si="114"/>
        <v>4.0450466781699675E-2</v>
      </c>
      <c r="BO86" s="797">
        <f t="shared" si="114"/>
        <v>3.3239486087145893E-2</v>
      </c>
      <c r="BP86" s="798">
        <f t="shared" si="106"/>
        <v>0.99999999999999989</v>
      </c>
      <c r="BR86" s="504">
        <f>E86*BR87/2</f>
        <v>4402141.2993305689</v>
      </c>
      <c r="BS86" s="504"/>
    </row>
    <row r="87" spans="1:71" s="224" customFormat="1">
      <c r="A87" s="175"/>
      <c r="B87" s="176" t="s">
        <v>138</v>
      </c>
      <c r="C87" s="911" t="s">
        <v>66</v>
      </c>
      <c r="D87" s="910" t="s">
        <v>44</v>
      </c>
      <c r="E87" s="191">
        <f>SUM(F87:AI87)</f>
        <v>7255498.9180000033</v>
      </c>
      <c r="F87" s="894">
        <f>Monitoração!M27</f>
        <v>0</v>
      </c>
      <c r="G87" s="894">
        <f>Monitoração!N27</f>
        <v>232921.342</v>
      </c>
      <c r="H87" s="894">
        <f>Monitoração!O27</f>
        <v>232921.342</v>
      </c>
      <c r="I87" s="894">
        <f>Monitoração!P27</f>
        <v>232921.342</v>
      </c>
      <c r="J87" s="894">
        <f>Monitoração!Q27</f>
        <v>333077.342</v>
      </c>
      <c r="K87" s="894">
        <f>Monitoração!R27</f>
        <v>232921.342</v>
      </c>
      <c r="L87" s="894">
        <f>Monitoração!S27</f>
        <v>232921.342</v>
      </c>
      <c r="M87" s="894">
        <f>Monitoração!T27</f>
        <v>232921.342</v>
      </c>
      <c r="N87" s="894">
        <f>Monitoração!U27</f>
        <v>232921.342</v>
      </c>
      <c r="O87" s="894">
        <f>Monitoração!V27</f>
        <v>232921.342</v>
      </c>
      <c r="P87" s="894">
        <f>Monitoração!W27</f>
        <v>333077.342</v>
      </c>
      <c r="Q87" s="894">
        <f>Monitoração!X27</f>
        <v>232921.342</v>
      </c>
      <c r="R87" s="894">
        <f>Monitoração!Y27</f>
        <v>232921.342</v>
      </c>
      <c r="S87" s="894">
        <f>Monitoração!Z27</f>
        <v>232921.342</v>
      </c>
      <c r="T87" s="894">
        <f>Monitoração!AA27</f>
        <v>232921.342</v>
      </c>
      <c r="U87" s="894">
        <f>Monitoração!AB27</f>
        <v>232921.342</v>
      </c>
      <c r="V87" s="894">
        <f>Monitoração!AC27</f>
        <v>333077.342</v>
      </c>
      <c r="W87" s="894">
        <f>Monitoração!AD27</f>
        <v>232921.342</v>
      </c>
      <c r="X87" s="894">
        <f>Monitoração!AE27</f>
        <v>232921.342</v>
      </c>
      <c r="Y87" s="894">
        <f>Monitoração!AF27</f>
        <v>232921.342</v>
      </c>
      <c r="Z87" s="894">
        <f>Monitoração!AG27</f>
        <v>232921.342</v>
      </c>
      <c r="AA87" s="894">
        <f>Monitoração!AH27</f>
        <v>232921.342</v>
      </c>
      <c r="AB87" s="894">
        <f>Monitoração!AI27</f>
        <v>333077.342</v>
      </c>
      <c r="AC87" s="894">
        <f>Monitoração!AJ27</f>
        <v>232921.342</v>
      </c>
      <c r="AD87" s="894">
        <f>Monitoração!AK27</f>
        <v>232921.342</v>
      </c>
      <c r="AE87" s="894">
        <f>Monitoração!AL27</f>
        <v>232921.342</v>
      </c>
      <c r="AF87" s="894">
        <f>Monitoração!AM27</f>
        <v>232921.342</v>
      </c>
      <c r="AG87" s="894">
        <f>Monitoração!AN27</f>
        <v>232921.342</v>
      </c>
      <c r="AH87" s="894">
        <f>Monitoração!AO27</f>
        <v>333077.342</v>
      </c>
      <c r="AI87" s="894">
        <f>Monitoração!AP27</f>
        <v>232921.342</v>
      </c>
      <c r="AJ87" s="197">
        <f t="shared" si="55"/>
        <v>7255498.9180000033</v>
      </c>
      <c r="AK87" s="820"/>
      <c r="AL87" s="895">
        <f>F87/$E$87</f>
        <v>0</v>
      </c>
      <c r="AM87" s="895">
        <f t="shared" ref="AM87:BO87" si="115">G87/$E$87</f>
        <v>3.2102732649046464E-2</v>
      </c>
      <c r="AN87" s="895">
        <f t="shared" si="115"/>
        <v>3.2102732649046464E-2</v>
      </c>
      <c r="AO87" s="895">
        <f t="shared" si="115"/>
        <v>3.2102732649046464E-2</v>
      </c>
      <c r="AP87" s="895">
        <f t="shared" si="115"/>
        <v>4.5906883284576878E-2</v>
      </c>
      <c r="AQ87" s="895">
        <f t="shared" si="115"/>
        <v>3.2102732649046464E-2</v>
      </c>
      <c r="AR87" s="895">
        <f t="shared" si="115"/>
        <v>3.2102732649046464E-2</v>
      </c>
      <c r="AS87" s="895">
        <f t="shared" si="115"/>
        <v>3.2102732649046464E-2</v>
      </c>
      <c r="AT87" s="895">
        <f t="shared" si="115"/>
        <v>3.2102732649046464E-2</v>
      </c>
      <c r="AU87" s="895">
        <f t="shared" si="115"/>
        <v>3.2102732649046464E-2</v>
      </c>
      <c r="AV87" s="895">
        <f t="shared" si="115"/>
        <v>4.5906883284576878E-2</v>
      </c>
      <c r="AW87" s="895">
        <f t="shared" si="115"/>
        <v>3.2102732649046464E-2</v>
      </c>
      <c r="AX87" s="895">
        <f t="shared" si="115"/>
        <v>3.2102732649046464E-2</v>
      </c>
      <c r="AY87" s="895">
        <f t="shared" si="115"/>
        <v>3.2102732649046464E-2</v>
      </c>
      <c r="AZ87" s="895">
        <f t="shared" si="115"/>
        <v>3.2102732649046464E-2</v>
      </c>
      <c r="BA87" s="895">
        <f t="shared" si="115"/>
        <v>3.2102732649046464E-2</v>
      </c>
      <c r="BB87" s="895">
        <f t="shared" si="115"/>
        <v>4.5906883284576878E-2</v>
      </c>
      <c r="BC87" s="895">
        <f t="shared" si="115"/>
        <v>3.2102732649046464E-2</v>
      </c>
      <c r="BD87" s="895">
        <f t="shared" si="115"/>
        <v>3.2102732649046464E-2</v>
      </c>
      <c r="BE87" s="895">
        <f t="shared" si="115"/>
        <v>3.2102732649046464E-2</v>
      </c>
      <c r="BF87" s="895">
        <f t="shared" si="115"/>
        <v>3.2102732649046464E-2</v>
      </c>
      <c r="BG87" s="895">
        <f t="shared" si="115"/>
        <v>3.2102732649046464E-2</v>
      </c>
      <c r="BH87" s="895">
        <f t="shared" si="115"/>
        <v>4.5906883284576878E-2</v>
      </c>
      <c r="BI87" s="895">
        <f t="shared" si="115"/>
        <v>3.2102732649046464E-2</v>
      </c>
      <c r="BJ87" s="895">
        <f t="shared" si="115"/>
        <v>3.2102732649046464E-2</v>
      </c>
      <c r="BK87" s="895">
        <f t="shared" si="115"/>
        <v>3.2102732649046464E-2</v>
      </c>
      <c r="BL87" s="895">
        <f t="shared" si="115"/>
        <v>3.2102732649046464E-2</v>
      </c>
      <c r="BM87" s="895">
        <f t="shared" si="115"/>
        <v>3.2102732649046464E-2</v>
      </c>
      <c r="BN87" s="895">
        <f t="shared" si="115"/>
        <v>4.5906883284576878E-2</v>
      </c>
      <c r="BO87" s="895">
        <f t="shared" si="115"/>
        <v>3.2102732649046464E-2</v>
      </c>
      <c r="BP87" s="909">
        <f t="shared" si="106"/>
        <v>1</v>
      </c>
      <c r="BR87" s="507">
        <f>1070/1688</f>
        <v>0.63388625592417058</v>
      </c>
      <c r="BS87" s="507"/>
    </row>
    <row r="88" spans="1:71" s="224" customFormat="1">
      <c r="A88" s="175"/>
      <c r="B88" s="176" t="s">
        <v>138</v>
      </c>
      <c r="C88" s="194" t="s">
        <v>67</v>
      </c>
      <c r="D88" s="225" t="s">
        <v>141</v>
      </c>
      <c r="E88" s="196">
        <f t="shared" ref="E88:E97" si="116">SUM(F88:AI88)</f>
        <v>3136885.9199999995</v>
      </c>
      <c r="F88" s="894">
        <f>Monitoração!M33</f>
        <v>0</v>
      </c>
      <c r="G88" s="894">
        <f>Monitoração!N33</f>
        <v>108168.47999999998</v>
      </c>
      <c r="H88" s="894">
        <f>Monitoração!O33</f>
        <v>108168.47999999998</v>
      </c>
      <c r="I88" s="894">
        <f>Monitoração!P33</f>
        <v>108168.47999999998</v>
      </c>
      <c r="J88" s="894">
        <f>Monitoração!Q33</f>
        <v>108168.47999999998</v>
      </c>
      <c r="K88" s="894">
        <f>Monitoração!R33</f>
        <v>108168.47999999998</v>
      </c>
      <c r="L88" s="894">
        <f>Monitoração!S33</f>
        <v>108168.47999999998</v>
      </c>
      <c r="M88" s="894">
        <f>Monitoração!T33</f>
        <v>108168.47999999998</v>
      </c>
      <c r="N88" s="894">
        <f>Monitoração!U33</f>
        <v>108168.47999999998</v>
      </c>
      <c r="O88" s="894">
        <f>Monitoração!V33</f>
        <v>108168.47999999998</v>
      </c>
      <c r="P88" s="894">
        <f>Monitoração!W33</f>
        <v>108168.47999999998</v>
      </c>
      <c r="Q88" s="894">
        <f>Monitoração!X33</f>
        <v>108168.47999999998</v>
      </c>
      <c r="R88" s="894">
        <f>Monitoração!Y33</f>
        <v>108168.47999999998</v>
      </c>
      <c r="S88" s="894">
        <f>Monitoração!Z33</f>
        <v>108168.47999999998</v>
      </c>
      <c r="T88" s="894">
        <f>Monitoração!AA33</f>
        <v>108168.47999999998</v>
      </c>
      <c r="U88" s="894">
        <f>Monitoração!AB33</f>
        <v>108168.47999999998</v>
      </c>
      <c r="V88" s="894">
        <f>Monitoração!AC33</f>
        <v>108168.47999999998</v>
      </c>
      <c r="W88" s="894">
        <f>Monitoração!AD33</f>
        <v>108168.47999999998</v>
      </c>
      <c r="X88" s="894">
        <f>Monitoração!AE33</f>
        <v>108168.47999999998</v>
      </c>
      <c r="Y88" s="894">
        <f>Monitoração!AF33</f>
        <v>108168.47999999998</v>
      </c>
      <c r="Z88" s="894">
        <f>Monitoração!AG33</f>
        <v>108168.47999999998</v>
      </c>
      <c r="AA88" s="894">
        <f>Monitoração!AH33</f>
        <v>108168.47999999998</v>
      </c>
      <c r="AB88" s="894">
        <f>Monitoração!AI33</f>
        <v>108168.47999999998</v>
      </c>
      <c r="AC88" s="894">
        <f>Monitoração!AJ33</f>
        <v>108168.47999999998</v>
      </c>
      <c r="AD88" s="894">
        <f>Monitoração!AK33</f>
        <v>108168.47999999998</v>
      </c>
      <c r="AE88" s="894">
        <f>Monitoração!AL33</f>
        <v>108168.47999999998</v>
      </c>
      <c r="AF88" s="894">
        <f>Monitoração!AM33</f>
        <v>108168.47999999998</v>
      </c>
      <c r="AG88" s="894">
        <f>Monitoração!AN33</f>
        <v>108168.47999999998</v>
      </c>
      <c r="AH88" s="894">
        <f>Monitoração!AO33</f>
        <v>108168.47999999998</v>
      </c>
      <c r="AI88" s="894">
        <f>Monitoração!AP33</f>
        <v>108168.47999999998</v>
      </c>
      <c r="AJ88" s="192">
        <f t="shared" si="55"/>
        <v>3136885.9199999995</v>
      </c>
      <c r="AK88" s="820"/>
      <c r="AL88" s="895">
        <f>F88/$E$88</f>
        <v>0</v>
      </c>
      <c r="AM88" s="895">
        <f t="shared" ref="AM88:BO88" si="117">G88/$E$88</f>
        <v>3.4482758620689655E-2</v>
      </c>
      <c r="AN88" s="895">
        <f t="shared" si="117"/>
        <v>3.4482758620689655E-2</v>
      </c>
      <c r="AO88" s="895">
        <f t="shared" si="117"/>
        <v>3.4482758620689655E-2</v>
      </c>
      <c r="AP88" s="895">
        <f t="shared" si="117"/>
        <v>3.4482758620689655E-2</v>
      </c>
      <c r="AQ88" s="895">
        <f t="shared" si="117"/>
        <v>3.4482758620689655E-2</v>
      </c>
      <c r="AR88" s="895">
        <f t="shared" si="117"/>
        <v>3.4482758620689655E-2</v>
      </c>
      <c r="AS88" s="895">
        <f t="shared" si="117"/>
        <v>3.4482758620689655E-2</v>
      </c>
      <c r="AT88" s="895">
        <f t="shared" si="117"/>
        <v>3.4482758620689655E-2</v>
      </c>
      <c r="AU88" s="895">
        <f t="shared" si="117"/>
        <v>3.4482758620689655E-2</v>
      </c>
      <c r="AV88" s="895">
        <f t="shared" si="117"/>
        <v>3.4482758620689655E-2</v>
      </c>
      <c r="AW88" s="895">
        <f t="shared" si="117"/>
        <v>3.4482758620689655E-2</v>
      </c>
      <c r="AX88" s="895">
        <f t="shared" si="117"/>
        <v>3.4482758620689655E-2</v>
      </c>
      <c r="AY88" s="895">
        <f t="shared" si="117"/>
        <v>3.4482758620689655E-2</v>
      </c>
      <c r="AZ88" s="895">
        <f t="shared" si="117"/>
        <v>3.4482758620689655E-2</v>
      </c>
      <c r="BA88" s="895">
        <f t="shared" si="117"/>
        <v>3.4482758620689655E-2</v>
      </c>
      <c r="BB88" s="895">
        <f t="shared" si="117"/>
        <v>3.4482758620689655E-2</v>
      </c>
      <c r="BC88" s="895">
        <f t="shared" si="117"/>
        <v>3.4482758620689655E-2</v>
      </c>
      <c r="BD88" s="895">
        <f t="shared" si="117"/>
        <v>3.4482758620689655E-2</v>
      </c>
      <c r="BE88" s="895">
        <f t="shared" si="117"/>
        <v>3.4482758620689655E-2</v>
      </c>
      <c r="BF88" s="895">
        <f t="shared" si="117"/>
        <v>3.4482758620689655E-2</v>
      </c>
      <c r="BG88" s="895">
        <f t="shared" si="117"/>
        <v>3.4482758620689655E-2</v>
      </c>
      <c r="BH88" s="895">
        <f t="shared" si="117"/>
        <v>3.4482758620689655E-2</v>
      </c>
      <c r="BI88" s="895">
        <f t="shared" si="117"/>
        <v>3.4482758620689655E-2</v>
      </c>
      <c r="BJ88" s="895">
        <f t="shared" si="117"/>
        <v>3.4482758620689655E-2</v>
      </c>
      <c r="BK88" s="895">
        <f t="shared" si="117"/>
        <v>3.4482758620689655E-2</v>
      </c>
      <c r="BL88" s="895">
        <f t="shared" si="117"/>
        <v>3.4482758620689655E-2</v>
      </c>
      <c r="BM88" s="895">
        <f t="shared" si="117"/>
        <v>3.4482758620689655E-2</v>
      </c>
      <c r="BN88" s="895">
        <f t="shared" si="117"/>
        <v>3.4482758620689655E-2</v>
      </c>
      <c r="BO88" s="895">
        <f t="shared" si="117"/>
        <v>3.4482758620689655E-2</v>
      </c>
      <c r="BP88" s="199">
        <f t="shared" si="106"/>
        <v>0.99999999999999956</v>
      </c>
      <c r="BR88" s="507"/>
      <c r="BS88" s="507"/>
    </row>
    <row r="89" spans="1:71" s="224" customFormat="1">
      <c r="A89" s="175"/>
      <c r="B89" s="176" t="s">
        <v>138</v>
      </c>
      <c r="C89" s="194" t="s">
        <v>68</v>
      </c>
      <c r="D89" s="225" t="s">
        <v>158</v>
      </c>
      <c r="E89" s="196">
        <f t="shared" si="116"/>
        <v>267182.8000000001</v>
      </c>
      <c r="F89" s="894">
        <f>Monitoração!M41</f>
        <v>0</v>
      </c>
      <c r="G89" s="894">
        <f>Monitoração!N41</f>
        <v>9213.2000000000007</v>
      </c>
      <c r="H89" s="894">
        <f>Monitoração!O41</f>
        <v>9213.2000000000007</v>
      </c>
      <c r="I89" s="894">
        <f>Monitoração!P41</f>
        <v>9213.2000000000007</v>
      </c>
      <c r="J89" s="894">
        <f>Monitoração!Q41</f>
        <v>9213.2000000000007</v>
      </c>
      <c r="K89" s="894">
        <f>Monitoração!R41</f>
        <v>9213.2000000000007</v>
      </c>
      <c r="L89" s="894">
        <f>Monitoração!S41</f>
        <v>9213.2000000000007</v>
      </c>
      <c r="M89" s="894">
        <f>Monitoração!T41</f>
        <v>9213.2000000000007</v>
      </c>
      <c r="N89" s="894">
        <f>Monitoração!U41</f>
        <v>9213.2000000000007</v>
      </c>
      <c r="O89" s="894">
        <f>Monitoração!V41</f>
        <v>9213.2000000000007</v>
      </c>
      <c r="P89" s="894">
        <f>Monitoração!W41</f>
        <v>9213.2000000000007</v>
      </c>
      <c r="Q89" s="894">
        <f>Monitoração!X41</f>
        <v>9213.2000000000007</v>
      </c>
      <c r="R89" s="894">
        <f>Monitoração!Y41</f>
        <v>9213.2000000000007</v>
      </c>
      <c r="S89" s="894">
        <f>Monitoração!Z41</f>
        <v>9213.2000000000007</v>
      </c>
      <c r="T89" s="894">
        <f>Monitoração!AA41</f>
        <v>9213.2000000000007</v>
      </c>
      <c r="U89" s="894">
        <f>Monitoração!AB41</f>
        <v>9213.2000000000007</v>
      </c>
      <c r="V89" s="894">
        <f>Monitoração!AC41</f>
        <v>9213.2000000000007</v>
      </c>
      <c r="W89" s="894">
        <f>Monitoração!AD41</f>
        <v>9213.2000000000007</v>
      </c>
      <c r="X89" s="894">
        <f>Monitoração!AE41</f>
        <v>9213.2000000000007</v>
      </c>
      <c r="Y89" s="894">
        <f>Monitoração!AF41</f>
        <v>9213.2000000000007</v>
      </c>
      <c r="Z89" s="894">
        <f>Monitoração!AG41</f>
        <v>9213.2000000000007</v>
      </c>
      <c r="AA89" s="894">
        <f>Monitoração!AH41</f>
        <v>9213.2000000000007</v>
      </c>
      <c r="AB89" s="894">
        <f>Monitoração!AI41</f>
        <v>9213.2000000000007</v>
      </c>
      <c r="AC89" s="894">
        <f>Monitoração!AJ41</f>
        <v>9213.2000000000007</v>
      </c>
      <c r="AD89" s="894">
        <f>Monitoração!AK41</f>
        <v>9213.2000000000007</v>
      </c>
      <c r="AE89" s="894">
        <f>Monitoração!AL41</f>
        <v>9213.2000000000007</v>
      </c>
      <c r="AF89" s="894">
        <f>Monitoração!AM41</f>
        <v>9213.2000000000007</v>
      </c>
      <c r="AG89" s="894">
        <f>Monitoração!AN41</f>
        <v>9213.2000000000007</v>
      </c>
      <c r="AH89" s="894">
        <f>Monitoração!AO41</f>
        <v>9213.2000000000007</v>
      </c>
      <c r="AI89" s="894">
        <f>Monitoração!AP41</f>
        <v>9213.2000000000007</v>
      </c>
      <c r="AJ89" s="192">
        <f t="shared" si="55"/>
        <v>267182.8000000001</v>
      </c>
      <c r="AK89" s="820"/>
      <c r="AL89" s="895">
        <f>F89/$E$89</f>
        <v>0</v>
      </c>
      <c r="AM89" s="895">
        <f t="shared" ref="AM89:BO89" si="118">G89/$E$89</f>
        <v>3.4482758620689648E-2</v>
      </c>
      <c r="AN89" s="895">
        <f t="shared" si="118"/>
        <v>3.4482758620689648E-2</v>
      </c>
      <c r="AO89" s="895">
        <f t="shared" si="118"/>
        <v>3.4482758620689648E-2</v>
      </c>
      <c r="AP89" s="895">
        <f t="shared" si="118"/>
        <v>3.4482758620689648E-2</v>
      </c>
      <c r="AQ89" s="895">
        <f t="shared" si="118"/>
        <v>3.4482758620689648E-2</v>
      </c>
      <c r="AR89" s="895">
        <f t="shared" si="118"/>
        <v>3.4482758620689648E-2</v>
      </c>
      <c r="AS89" s="895">
        <f t="shared" si="118"/>
        <v>3.4482758620689648E-2</v>
      </c>
      <c r="AT89" s="895">
        <f t="shared" si="118"/>
        <v>3.4482758620689648E-2</v>
      </c>
      <c r="AU89" s="895">
        <f t="shared" si="118"/>
        <v>3.4482758620689648E-2</v>
      </c>
      <c r="AV89" s="895">
        <f t="shared" si="118"/>
        <v>3.4482758620689648E-2</v>
      </c>
      <c r="AW89" s="895">
        <f t="shared" si="118"/>
        <v>3.4482758620689648E-2</v>
      </c>
      <c r="AX89" s="895">
        <f t="shared" si="118"/>
        <v>3.4482758620689648E-2</v>
      </c>
      <c r="AY89" s="895">
        <f t="shared" si="118"/>
        <v>3.4482758620689648E-2</v>
      </c>
      <c r="AZ89" s="895">
        <f t="shared" si="118"/>
        <v>3.4482758620689648E-2</v>
      </c>
      <c r="BA89" s="895">
        <f t="shared" si="118"/>
        <v>3.4482758620689648E-2</v>
      </c>
      <c r="BB89" s="895">
        <f t="shared" si="118"/>
        <v>3.4482758620689648E-2</v>
      </c>
      <c r="BC89" s="895">
        <f t="shared" si="118"/>
        <v>3.4482758620689648E-2</v>
      </c>
      <c r="BD89" s="895">
        <f t="shared" si="118"/>
        <v>3.4482758620689648E-2</v>
      </c>
      <c r="BE89" s="895">
        <f t="shared" si="118"/>
        <v>3.4482758620689648E-2</v>
      </c>
      <c r="BF89" s="895">
        <f t="shared" si="118"/>
        <v>3.4482758620689648E-2</v>
      </c>
      <c r="BG89" s="895">
        <f t="shared" si="118"/>
        <v>3.4482758620689648E-2</v>
      </c>
      <c r="BH89" s="895">
        <f t="shared" si="118"/>
        <v>3.4482758620689648E-2</v>
      </c>
      <c r="BI89" s="895">
        <f t="shared" si="118"/>
        <v>3.4482758620689648E-2</v>
      </c>
      <c r="BJ89" s="895">
        <f t="shared" si="118"/>
        <v>3.4482758620689648E-2</v>
      </c>
      <c r="BK89" s="895">
        <f t="shared" si="118"/>
        <v>3.4482758620689648E-2</v>
      </c>
      <c r="BL89" s="895">
        <f t="shared" si="118"/>
        <v>3.4482758620689648E-2</v>
      </c>
      <c r="BM89" s="895">
        <f t="shared" si="118"/>
        <v>3.4482758620689648E-2</v>
      </c>
      <c r="BN89" s="895">
        <f t="shared" si="118"/>
        <v>3.4482758620689648E-2</v>
      </c>
      <c r="BO89" s="895">
        <f t="shared" si="118"/>
        <v>3.4482758620689648E-2</v>
      </c>
      <c r="BP89" s="199">
        <f t="shared" si="106"/>
        <v>0.99999999999999944</v>
      </c>
      <c r="BR89" s="507"/>
      <c r="BS89" s="507"/>
    </row>
    <row r="90" spans="1:71" s="224" customFormat="1">
      <c r="A90" s="175"/>
      <c r="B90" s="176" t="s">
        <v>138</v>
      </c>
      <c r="C90" s="194" t="s">
        <v>69</v>
      </c>
      <c r="D90" s="195" t="s">
        <v>50</v>
      </c>
      <c r="E90" s="196">
        <f t="shared" si="116"/>
        <v>360887.10699999979</v>
      </c>
      <c r="F90" s="894">
        <f>Monitoração!M43</f>
        <v>0</v>
      </c>
      <c r="G90" s="894">
        <f>Monitoração!N43</f>
        <v>12444.383</v>
      </c>
      <c r="H90" s="894">
        <f>Monitoração!O43</f>
        <v>12444.383</v>
      </c>
      <c r="I90" s="894">
        <f>Monitoração!P43</f>
        <v>12444.383</v>
      </c>
      <c r="J90" s="894">
        <f>Monitoração!Q43</f>
        <v>12444.383</v>
      </c>
      <c r="K90" s="894">
        <f>Monitoração!R43</f>
        <v>12444.383</v>
      </c>
      <c r="L90" s="894">
        <f>Monitoração!S43</f>
        <v>12444.383</v>
      </c>
      <c r="M90" s="894">
        <f>Monitoração!T43</f>
        <v>12444.383</v>
      </c>
      <c r="N90" s="894">
        <f>Monitoração!U43</f>
        <v>12444.383</v>
      </c>
      <c r="O90" s="894">
        <f>Monitoração!V43</f>
        <v>12444.383</v>
      </c>
      <c r="P90" s="894">
        <f>Monitoração!W43</f>
        <v>12444.383</v>
      </c>
      <c r="Q90" s="894">
        <f>Monitoração!X43</f>
        <v>12444.383</v>
      </c>
      <c r="R90" s="894">
        <f>Monitoração!Y43</f>
        <v>12444.383</v>
      </c>
      <c r="S90" s="894">
        <f>Monitoração!Z43</f>
        <v>12444.383</v>
      </c>
      <c r="T90" s="894">
        <f>Monitoração!AA43</f>
        <v>12444.383</v>
      </c>
      <c r="U90" s="894">
        <f>Monitoração!AB43</f>
        <v>12444.383</v>
      </c>
      <c r="V90" s="894">
        <f>Monitoração!AC43</f>
        <v>12444.383</v>
      </c>
      <c r="W90" s="894">
        <f>Monitoração!AD43</f>
        <v>12444.383</v>
      </c>
      <c r="X90" s="894">
        <f>Monitoração!AE43</f>
        <v>12444.383</v>
      </c>
      <c r="Y90" s="894">
        <f>Monitoração!AF43</f>
        <v>12444.383</v>
      </c>
      <c r="Z90" s="894">
        <f>Monitoração!AG43</f>
        <v>12444.383</v>
      </c>
      <c r="AA90" s="894">
        <f>Monitoração!AH43</f>
        <v>12444.383</v>
      </c>
      <c r="AB90" s="894">
        <f>Monitoração!AI43</f>
        <v>12444.383</v>
      </c>
      <c r="AC90" s="894">
        <f>Monitoração!AJ43</f>
        <v>12444.383</v>
      </c>
      <c r="AD90" s="894">
        <f>Monitoração!AK43</f>
        <v>12444.383</v>
      </c>
      <c r="AE90" s="894">
        <f>Monitoração!AL43</f>
        <v>12444.383</v>
      </c>
      <c r="AF90" s="894">
        <f>Monitoração!AM43</f>
        <v>12444.383</v>
      </c>
      <c r="AG90" s="894">
        <f>Monitoração!AN43</f>
        <v>12444.383</v>
      </c>
      <c r="AH90" s="894">
        <f>Monitoração!AO43</f>
        <v>12444.383</v>
      </c>
      <c r="AI90" s="894">
        <f>Monitoração!AP43</f>
        <v>12444.383</v>
      </c>
      <c r="AJ90" s="192">
        <f t="shared" si="55"/>
        <v>360887.10699999979</v>
      </c>
      <c r="AK90" s="820"/>
      <c r="AL90" s="895">
        <f>F90/$E$90</f>
        <v>0</v>
      </c>
      <c r="AM90" s="895">
        <f t="shared" ref="AM90:BO90" si="119">G90/$E$90</f>
        <v>3.4482758620689676E-2</v>
      </c>
      <c r="AN90" s="895">
        <f t="shared" si="119"/>
        <v>3.4482758620689676E-2</v>
      </c>
      <c r="AO90" s="895">
        <f t="shared" si="119"/>
        <v>3.4482758620689676E-2</v>
      </c>
      <c r="AP90" s="895">
        <f t="shared" si="119"/>
        <v>3.4482758620689676E-2</v>
      </c>
      <c r="AQ90" s="895">
        <f t="shared" si="119"/>
        <v>3.4482758620689676E-2</v>
      </c>
      <c r="AR90" s="895">
        <f t="shared" si="119"/>
        <v>3.4482758620689676E-2</v>
      </c>
      <c r="AS90" s="895">
        <f t="shared" si="119"/>
        <v>3.4482758620689676E-2</v>
      </c>
      <c r="AT90" s="895">
        <f t="shared" si="119"/>
        <v>3.4482758620689676E-2</v>
      </c>
      <c r="AU90" s="895">
        <f t="shared" si="119"/>
        <v>3.4482758620689676E-2</v>
      </c>
      <c r="AV90" s="895">
        <f t="shared" si="119"/>
        <v>3.4482758620689676E-2</v>
      </c>
      <c r="AW90" s="895">
        <f t="shared" si="119"/>
        <v>3.4482758620689676E-2</v>
      </c>
      <c r="AX90" s="895">
        <f t="shared" si="119"/>
        <v>3.4482758620689676E-2</v>
      </c>
      <c r="AY90" s="895">
        <f t="shared" si="119"/>
        <v>3.4482758620689676E-2</v>
      </c>
      <c r="AZ90" s="895">
        <f t="shared" si="119"/>
        <v>3.4482758620689676E-2</v>
      </c>
      <c r="BA90" s="895">
        <f t="shared" si="119"/>
        <v>3.4482758620689676E-2</v>
      </c>
      <c r="BB90" s="895">
        <f t="shared" si="119"/>
        <v>3.4482758620689676E-2</v>
      </c>
      <c r="BC90" s="895">
        <f t="shared" si="119"/>
        <v>3.4482758620689676E-2</v>
      </c>
      <c r="BD90" s="895">
        <f t="shared" si="119"/>
        <v>3.4482758620689676E-2</v>
      </c>
      <c r="BE90" s="895">
        <f t="shared" si="119"/>
        <v>3.4482758620689676E-2</v>
      </c>
      <c r="BF90" s="895">
        <f t="shared" si="119"/>
        <v>3.4482758620689676E-2</v>
      </c>
      <c r="BG90" s="895">
        <f t="shared" si="119"/>
        <v>3.4482758620689676E-2</v>
      </c>
      <c r="BH90" s="895">
        <f t="shared" si="119"/>
        <v>3.4482758620689676E-2</v>
      </c>
      <c r="BI90" s="895">
        <f t="shared" si="119"/>
        <v>3.4482758620689676E-2</v>
      </c>
      <c r="BJ90" s="895">
        <f t="shared" si="119"/>
        <v>3.4482758620689676E-2</v>
      </c>
      <c r="BK90" s="895">
        <f t="shared" si="119"/>
        <v>3.4482758620689676E-2</v>
      </c>
      <c r="BL90" s="895">
        <f t="shared" si="119"/>
        <v>3.4482758620689676E-2</v>
      </c>
      <c r="BM90" s="895">
        <f t="shared" si="119"/>
        <v>3.4482758620689676E-2</v>
      </c>
      <c r="BN90" s="895">
        <f t="shared" si="119"/>
        <v>3.4482758620689676E-2</v>
      </c>
      <c r="BO90" s="895">
        <f t="shared" si="119"/>
        <v>3.4482758620689676E-2</v>
      </c>
      <c r="BP90" s="199">
        <f t="shared" si="106"/>
        <v>1.0000000000000011</v>
      </c>
      <c r="BR90" s="507"/>
      <c r="BS90" s="507"/>
    </row>
    <row r="91" spans="1:71" s="224" customFormat="1">
      <c r="A91" s="175"/>
      <c r="B91" s="176" t="s">
        <v>138</v>
      </c>
      <c r="C91" s="194" t="s">
        <v>70</v>
      </c>
      <c r="D91" s="225" t="s">
        <v>110</v>
      </c>
      <c r="E91" s="196">
        <f t="shared" si="116"/>
        <v>467602.95999999985</v>
      </c>
      <c r="F91" s="894">
        <f>Monitoração!M49</f>
        <v>0</v>
      </c>
      <c r="G91" s="894">
        <f>Monitoração!N49</f>
        <v>16124.24</v>
      </c>
      <c r="H91" s="894">
        <f>Monitoração!O49</f>
        <v>16124.24</v>
      </c>
      <c r="I91" s="894">
        <f>Monitoração!P49</f>
        <v>16124.24</v>
      </c>
      <c r="J91" s="894">
        <f>Monitoração!Q49</f>
        <v>16124.24</v>
      </c>
      <c r="K91" s="894">
        <f>Monitoração!R49</f>
        <v>16124.24</v>
      </c>
      <c r="L91" s="894">
        <f>Monitoração!S49</f>
        <v>16124.24</v>
      </c>
      <c r="M91" s="894">
        <f>Monitoração!T49</f>
        <v>16124.24</v>
      </c>
      <c r="N91" s="894">
        <f>Monitoração!U49</f>
        <v>16124.24</v>
      </c>
      <c r="O91" s="894">
        <f>Monitoração!V49</f>
        <v>16124.24</v>
      </c>
      <c r="P91" s="894">
        <f>Monitoração!W49</f>
        <v>16124.24</v>
      </c>
      <c r="Q91" s="894">
        <f>Monitoração!X49</f>
        <v>16124.24</v>
      </c>
      <c r="R91" s="894">
        <f>Monitoração!Y49</f>
        <v>16124.24</v>
      </c>
      <c r="S91" s="894">
        <f>Monitoração!Z49</f>
        <v>16124.24</v>
      </c>
      <c r="T91" s="894">
        <f>Monitoração!AA49</f>
        <v>16124.24</v>
      </c>
      <c r="U91" s="894">
        <f>Monitoração!AB49</f>
        <v>16124.24</v>
      </c>
      <c r="V91" s="894">
        <f>Monitoração!AC49</f>
        <v>16124.24</v>
      </c>
      <c r="W91" s="894">
        <f>Monitoração!AD49</f>
        <v>16124.24</v>
      </c>
      <c r="X91" s="894">
        <f>Monitoração!AE49</f>
        <v>16124.24</v>
      </c>
      <c r="Y91" s="894">
        <f>Monitoração!AF49</f>
        <v>16124.24</v>
      </c>
      <c r="Z91" s="894">
        <f>Monitoração!AG49</f>
        <v>16124.24</v>
      </c>
      <c r="AA91" s="894">
        <f>Monitoração!AH49</f>
        <v>16124.24</v>
      </c>
      <c r="AB91" s="894">
        <f>Monitoração!AI49</f>
        <v>16124.24</v>
      </c>
      <c r="AC91" s="894">
        <f>Monitoração!AJ49</f>
        <v>16124.24</v>
      </c>
      <c r="AD91" s="894">
        <f>Monitoração!AK49</f>
        <v>16124.24</v>
      </c>
      <c r="AE91" s="894">
        <f>Monitoração!AL49</f>
        <v>16124.24</v>
      </c>
      <c r="AF91" s="894">
        <f>Monitoração!AM49</f>
        <v>16124.24</v>
      </c>
      <c r="AG91" s="894">
        <f>Monitoração!AN49</f>
        <v>16124.24</v>
      </c>
      <c r="AH91" s="894">
        <f>Monitoração!AO49</f>
        <v>16124.24</v>
      </c>
      <c r="AI91" s="894">
        <f>Monitoração!AP49</f>
        <v>16124.24</v>
      </c>
      <c r="AJ91" s="192">
        <f t="shared" si="55"/>
        <v>467602.95999999985</v>
      </c>
      <c r="AK91" s="820"/>
      <c r="AL91" s="895">
        <f>F91/$E$91</f>
        <v>0</v>
      </c>
      <c r="AM91" s="895">
        <f t="shared" ref="AM91:BO91" si="120">G91/$E$91</f>
        <v>3.4482758620689669E-2</v>
      </c>
      <c r="AN91" s="895">
        <f t="shared" si="120"/>
        <v>3.4482758620689669E-2</v>
      </c>
      <c r="AO91" s="895">
        <f t="shared" si="120"/>
        <v>3.4482758620689669E-2</v>
      </c>
      <c r="AP91" s="895">
        <f t="shared" si="120"/>
        <v>3.4482758620689669E-2</v>
      </c>
      <c r="AQ91" s="895">
        <f t="shared" si="120"/>
        <v>3.4482758620689669E-2</v>
      </c>
      <c r="AR91" s="895">
        <f t="shared" si="120"/>
        <v>3.4482758620689669E-2</v>
      </c>
      <c r="AS91" s="895">
        <f t="shared" si="120"/>
        <v>3.4482758620689669E-2</v>
      </c>
      <c r="AT91" s="895">
        <f t="shared" si="120"/>
        <v>3.4482758620689669E-2</v>
      </c>
      <c r="AU91" s="895">
        <f t="shared" si="120"/>
        <v>3.4482758620689669E-2</v>
      </c>
      <c r="AV91" s="895">
        <f t="shared" si="120"/>
        <v>3.4482758620689669E-2</v>
      </c>
      <c r="AW91" s="895">
        <f t="shared" si="120"/>
        <v>3.4482758620689669E-2</v>
      </c>
      <c r="AX91" s="895">
        <f t="shared" si="120"/>
        <v>3.4482758620689669E-2</v>
      </c>
      <c r="AY91" s="895">
        <f t="shared" si="120"/>
        <v>3.4482758620689669E-2</v>
      </c>
      <c r="AZ91" s="895">
        <f t="shared" si="120"/>
        <v>3.4482758620689669E-2</v>
      </c>
      <c r="BA91" s="895">
        <f t="shared" si="120"/>
        <v>3.4482758620689669E-2</v>
      </c>
      <c r="BB91" s="895">
        <f t="shared" si="120"/>
        <v>3.4482758620689669E-2</v>
      </c>
      <c r="BC91" s="895">
        <f t="shared" si="120"/>
        <v>3.4482758620689669E-2</v>
      </c>
      <c r="BD91" s="895">
        <f t="shared" si="120"/>
        <v>3.4482758620689669E-2</v>
      </c>
      <c r="BE91" s="895">
        <f t="shared" si="120"/>
        <v>3.4482758620689669E-2</v>
      </c>
      <c r="BF91" s="895">
        <f t="shared" si="120"/>
        <v>3.4482758620689669E-2</v>
      </c>
      <c r="BG91" s="895">
        <f t="shared" si="120"/>
        <v>3.4482758620689669E-2</v>
      </c>
      <c r="BH91" s="895">
        <f t="shared" si="120"/>
        <v>3.4482758620689669E-2</v>
      </c>
      <c r="BI91" s="895">
        <f t="shared" si="120"/>
        <v>3.4482758620689669E-2</v>
      </c>
      <c r="BJ91" s="895">
        <f t="shared" si="120"/>
        <v>3.4482758620689669E-2</v>
      </c>
      <c r="BK91" s="895">
        <f t="shared" si="120"/>
        <v>3.4482758620689669E-2</v>
      </c>
      <c r="BL91" s="895">
        <f t="shared" si="120"/>
        <v>3.4482758620689669E-2</v>
      </c>
      <c r="BM91" s="895">
        <f t="shared" si="120"/>
        <v>3.4482758620689669E-2</v>
      </c>
      <c r="BN91" s="895">
        <f t="shared" si="120"/>
        <v>3.4482758620689669E-2</v>
      </c>
      <c r="BO91" s="895">
        <f t="shared" si="120"/>
        <v>3.4482758620689669E-2</v>
      </c>
      <c r="BP91" s="199">
        <f t="shared" si="106"/>
        <v>1.0000000000000011</v>
      </c>
      <c r="BR91" s="507"/>
      <c r="BS91" s="507"/>
    </row>
    <row r="92" spans="1:71" s="224" customFormat="1">
      <c r="A92" s="175"/>
      <c r="B92" s="176" t="s">
        <v>138</v>
      </c>
      <c r="C92" s="194" t="s">
        <v>71</v>
      </c>
      <c r="D92" s="225" t="s">
        <v>159</v>
      </c>
      <c r="E92" s="196">
        <f t="shared" si="116"/>
        <v>598767.6226</v>
      </c>
      <c r="F92" s="894">
        <f>Monitoração!M39</f>
        <v>0</v>
      </c>
      <c r="G92" s="894">
        <f>Monitoração!N39</f>
        <v>20647.159399999997</v>
      </c>
      <c r="H92" s="894">
        <f>Monitoração!O39</f>
        <v>20647.159399999997</v>
      </c>
      <c r="I92" s="894">
        <f>Monitoração!P39</f>
        <v>20647.159399999997</v>
      </c>
      <c r="J92" s="894">
        <f>Monitoração!Q39</f>
        <v>20647.159399999997</v>
      </c>
      <c r="K92" s="894">
        <f>Monitoração!R39</f>
        <v>20647.159399999997</v>
      </c>
      <c r="L92" s="894">
        <f>Monitoração!S39</f>
        <v>20647.159399999997</v>
      </c>
      <c r="M92" s="894">
        <f>Monitoração!T39</f>
        <v>20647.159399999997</v>
      </c>
      <c r="N92" s="894">
        <f>Monitoração!U39</f>
        <v>20647.159399999997</v>
      </c>
      <c r="O92" s="894">
        <f>Monitoração!V39</f>
        <v>20647.159399999997</v>
      </c>
      <c r="P92" s="894">
        <f>Monitoração!W39</f>
        <v>20647.159399999997</v>
      </c>
      <c r="Q92" s="894">
        <f>Monitoração!X39</f>
        <v>20647.159399999997</v>
      </c>
      <c r="R92" s="894">
        <f>Monitoração!Y39</f>
        <v>20647.159399999997</v>
      </c>
      <c r="S92" s="894">
        <f>Monitoração!Z39</f>
        <v>20647.159399999997</v>
      </c>
      <c r="T92" s="894">
        <f>Monitoração!AA39</f>
        <v>20647.159399999997</v>
      </c>
      <c r="U92" s="894">
        <f>Monitoração!AB39</f>
        <v>20647.159399999997</v>
      </c>
      <c r="V92" s="894">
        <f>Monitoração!AC39</f>
        <v>20647.159399999997</v>
      </c>
      <c r="W92" s="894">
        <f>Monitoração!AD39</f>
        <v>20647.159399999997</v>
      </c>
      <c r="X92" s="894">
        <f>Monitoração!AE39</f>
        <v>20647.159399999997</v>
      </c>
      <c r="Y92" s="894">
        <f>Monitoração!AF39</f>
        <v>20647.159399999997</v>
      </c>
      <c r="Z92" s="894">
        <f>Monitoração!AG39</f>
        <v>20647.159399999997</v>
      </c>
      <c r="AA92" s="894">
        <f>Monitoração!AH39</f>
        <v>20647.159399999997</v>
      </c>
      <c r="AB92" s="894">
        <f>Monitoração!AI39</f>
        <v>20647.159399999997</v>
      </c>
      <c r="AC92" s="894">
        <f>Monitoração!AJ39</f>
        <v>20647.159399999997</v>
      </c>
      <c r="AD92" s="894">
        <f>Monitoração!AK39</f>
        <v>20647.159399999997</v>
      </c>
      <c r="AE92" s="894">
        <f>Monitoração!AL39</f>
        <v>20647.159399999997</v>
      </c>
      <c r="AF92" s="894">
        <f>Monitoração!AM39</f>
        <v>20647.159399999997</v>
      </c>
      <c r="AG92" s="894">
        <f>Monitoração!AN39</f>
        <v>20647.159399999997</v>
      </c>
      <c r="AH92" s="894">
        <f>Monitoração!AO39</f>
        <v>20647.159399999997</v>
      </c>
      <c r="AI92" s="894">
        <f>Monitoração!AP39</f>
        <v>20647.159399999997</v>
      </c>
      <c r="AJ92" s="192">
        <f t="shared" si="55"/>
        <v>598767.6226</v>
      </c>
      <c r="AK92" s="820"/>
      <c r="AL92" s="895">
        <f>F92/$E$92</f>
        <v>0</v>
      </c>
      <c r="AM92" s="895">
        <f t="shared" ref="AM92:BO92" si="121">G92/$E$92</f>
        <v>3.4482758620689648E-2</v>
      </c>
      <c r="AN92" s="895">
        <f t="shared" si="121"/>
        <v>3.4482758620689648E-2</v>
      </c>
      <c r="AO92" s="895">
        <f t="shared" si="121"/>
        <v>3.4482758620689648E-2</v>
      </c>
      <c r="AP92" s="895">
        <f t="shared" si="121"/>
        <v>3.4482758620689648E-2</v>
      </c>
      <c r="AQ92" s="895">
        <f t="shared" si="121"/>
        <v>3.4482758620689648E-2</v>
      </c>
      <c r="AR92" s="895">
        <f t="shared" si="121"/>
        <v>3.4482758620689648E-2</v>
      </c>
      <c r="AS92" s="895">
        <f t="shared" si="121"/>
        <v>3.4482758620689648E-2</v>
      </c>
      <c r="AT92" s="895">
        <f t="shared" si="121"/>
        <v>3.4482758620689648E-2</v>
      </c>
      <c r="AU92" s="895">
        <f t="shared" si="121"/>
        <v>3.4482758620689648E-2</v>
      </c>
      <c r="AV92" s="895">
        <f t="shared" si="121"/>
        <v>3.4482758620689648E-2</v>
      </c>
      <c r="AW92" s="895">
        <f t="shared" si="121"/>
        <v>3.4482758620689648E-2</v>
      </c>
      <c r="AX92" s="895">
        <f t="shared" si="121"/>
        <v>3.4482758620689648E-2</v>
      </c>
      <c r="AY92" s="895">
        <f t="shared" si="121"/>
        <v>3.4482758620689648E-2</v>
      </c>
      <c r="AZ92" s="895">
        <f t="shared" si="121"/>
        <v>3.4482758620689648E-2</v>
      </c>
      <c r="BA92" s="895">
        <f t="shared" si="121"/>
        <v>3.4482758620689648E-2</v>
      </c>
      <c r="BB92" s="895">
        <f t="shared" si="121"/>
        <v>3.4482758620689648E-2</v>
      </c>
      <c r="BC92" s="895">
        <f t="shared" si="121"/>
        <v>3.4482758620689648E-2</v>
      </c>
      <c r="BD92" s="895">
        <f t="shared" si="121"/>
        <v>3.4482758620689648E-2</v>
      </c>
      <c r="BE92" s="895">
        <f t="shared" si="121"/>
        <v>3.4482758620689648E-2</v>
      </c>
      <c r="BF92" s="895">
        <f t="shared" si="121"/>
        <v>3.4482758620689648E-2</v>
      </c>
      <c r="BG92" s="895">
        <f t="shared" si="121"/>
        <v>3.4482758620689648E-2</v>
      </c>
      <c r="BH92" s="895">
        <f t="shared" si="121"/>
        <v>3.4482758620689648E-2</v>
      </c>
      <c r="BI92" s="895">
        <f t="shared" si="121"/>
        <v>3.4482758620689648E-2</v>
      </c>
      <c r="BJ92" s="895">
        <f t="shared" si="121"/>
        <v>3.4482758620689648E-2</v>
      </c>
      <c r="BK92" s="895">
        <f t="shared" si="121"/>
        <v>3.4482758620689648E-2</v>
      </c>
      <c r="BL92" s="895">
        <f t="shared" si="121"/>
        <v>3.4482758620689648E-2</v>
      </c>
      <c r="BM92" s="895">
        <f t="shared" si="121"/>
        <v>3.4482758620689648E-2</v>
      </c>
      <c r="BN92" s="895">
        <f t="shared" si="121"/>
        <v>3.4482758620689648E-2</v>
      </c>
      <c r="BO92" s="895">
        <f t="shared" si="121"/>
        <v>3.4482758620689648E-2</v>
      </c>
      <c r="BP92" s="199">
        <f t="shared" si="106"/>
        <v>0.99999999999999944</v>
      </c>
      <c r="BR92" s="507"/>
      <c r="BS92" s="507"/>
    </row>
    <row r="93" spans="1:71" s="224" customFormat="1">
      <c r="A93" s="175"/>
      <c r="B93" s="176" t="s">
        <v>138</v>
      </c>
      <c r="C93" s="194" t="s">
        <v>72</v>
      </c>
      <c r="D93" s="225" t="s">
        <v>160</v>
      </c>
      <c r="E93" s="196">
        <f t="shared" si="116"/>
        <v>1416826.807199999</v>
      </c>
      <c r="F93" s="894">
        <f>Monitoração!M37</f>
        <v>0</v>
      </c>
      <c r="G93" s="894">
        <f>Monitoração!N37</f>
        <v>48856.096799999999</v>
      </c>
      <c r="H93" s="894">
        <f>Monitoração!O37</f>
        <v>48856.096799999999</v>
      </c>
      <c r="I93" s="894">
        <f>Monitoração!P37</f>
        <v>48856.096799999999</v>
      </c>
      <c r="J93" s="894">
        <f>Monitoração!Q37</f>
        <v>48856.096799999999</v>
      </c>
      <c r="K93" s="894">
        <f>Monitoração!R37</f>
        <v>48856.096799999999</v>
      </c>
      <c r="L93" s="894">
        <f>Monitoração!S37</f>
        <v>48856.096799999999</v>
      </c>
      <c r="M93" s="894">
        <f>Monitoração!T37</f>
        <v>48856.096799999999</v>
      </c>
      <c r="N93" s="894">
        <f>Monitoração!U37</f>
        <v>48856.096799999999</v>
      </c>
      <c r="O93" s="894">
        <f>Monitoração!V37</f>
        <v>48856.096799999999</v>
      </c>
      <c r="P93" s="894">
        <f>Monitoração!W37</f>
        <v>48856.096799999999</v>
      </c>
      <c r="Q93" s="894">
        <f>Monitoração!X37</f>
        <v>48856.096799999999</v>
      </c>
      <c r="R93" s="894">
        <f>Monitoração!Y37</f>
        <v>48856.096799999999</v>
      </c>
      <c r="S93" s="894">
        <f>Monitoração!Z37</f>
        <v>48856.096799999999</v>
      </c>
      <c r="T93" s="894">
        <f>Monitoração!AA37</f>
        <v>48856.096799999999</v>
      </c>
      <c r="U93" s="894">
        <f>Monitoração!AB37</f>
        <v>48856.096799999999</v>
      </c>
      <c r="V93" s="894">
        <f>Monitoração!AC37</f>
        <v>48856.096799999999</v>
      </c>
      <c r="W93" s="894">
        <f>Monitoração!AD37</f>
        <v>48856.096799999999</v>
      </c>
      <c r="X93" s="894">
        <f>Monitoração!AE37</f>
        <v>48856.096799999999</v>
      </c>
      <c r="Y93" s="894">
        <f>Monitoração!AF37</f>
        <v>48856.096799999999</v>
      </c>
      <c r="Z93" s="894">
        <f>Monitoração!AG37</f>
        <v>48856.096799999999</v>
      </c>
      <c r="AA93" s="894">
        <f>Monitoração!AH37</f>
        <v>48856.096799999999</v>
      </c>
      <c r="AB93" s="894">
        <f>Monitoração!AI37</f>
        <v>48856.096799999999</v>
      </c>
      <c r="AC93" s="894">
        <f>Monitoração!AJ37</f>
        <v>48856.096799999999</v>
      </c>
      <c r="AD93" s="894">
        <f>Monitoração!AK37</f>
        <v>48856.096799999999</v>
      </c>
      <c r="AE93" s="894">
        <f>Monitoração!AL37</f>
        <v>48856.096799999999</v>
      </c>
      <c r="AF93" s="894">
        <f>Monitoração!AM37</f>
        <v>48856.096799999999</v>
      </c>
      <c r="AG93" s="894">
        <f>Monitoração!AN37</f>
        <v>48856.096799999999</v>
      </c>
      <c r="AH93" s="894">
        <f>Monitoração!AO37</f>
        <v>48856.096799999999</v>
      </c>
      <c r="AI93" s="894">
        <f>Monitoração!AP37</f>
        <v>48856.096799999999</v>
      </c>
      <c r="AJ93" s="192">
        <f t="shared" si="55"/>
        <v>1416826.807199999</v>
      </c>
      <c r="AK93" s="820"/>
      <c r="AL93" s="895">
        <f>F93/$E$93</f>
        <v>0</v>
      </c>
      <c r="AM93" s="895">
        <f t="shared" ref="AM93:BO93" si="122">G93/$E$93</f>
        <v>3.4482758620689682E-2</v>
      </c>
      <c r="AN93" s="895">
        <f t="shared" si="122"/>
        <v>3.4482758620689682E-2</v>
      </c>
      <c r="AO93" s="895">
        <f t="shared" si="122"/>
        <v>3.4482758620689682E-2</v>
      </c>
      <c r="AP93" s="895">
        <f t="shared" si="122"/>
        <v>3.4482758620689682E-2</v>
      </c>
      <c r="AQ93" s="895">
        <f t="shared" si="122"/>
        <v>3.4482758620689682E-2</v>
      </c>
      <c r="AR93" s="895">
        <f t="shared" si="122"/>
        <v>3.4482758620689682E-2</v>
      </c>
      <c r="AS93" s="895">
        <f t="shared" si="122"/>
        <v>3.4482758620689682E-2</v>
      </c>
      <c r="AT93" s="895">
        <f t="shared" si="122"/>
        <v>3.4482758620689682E-2</v>
      </c>
      <c r="AU93" s="895">
        <f t="shared" si="122"/>
        <v>3.4482758620689682E-2</v>
      </c>
      <c r="AV93" s="895">
        <f t="shared" si="122"/>
        <v>3.4482758620689682E-2</v>
      </c>
      <c r="AW93" s="895">
        <f t="shared" si="122"/>
        <v>3.4482758620689682E-2</v>
      </c>
      <c r="AX93" s="895">
        <f t="shared" si="122"/>
        <v>3.4482758620689682E-2</v>
      </c>
      <c r="AY93" s="895">
        <f t="shared" si="122"/>
        <v>3.4482758620689682E-2</v>
      </c>
      <c r="AZ93" s="895">
        <f t="shared" si="122"/>
        <v>3.4482758620689682E-2</v>
      </c>
      <c r="BA93" s="895">
        <f t="shared" si="122"/>
        <v>3.4482758620689682E-2</v>
      </c>
      <c r="BB93" s="895">
        <f t="shared" si="122"/>
        <v>3.4482758620689682E-2</v>
      </c>
      <c r="BC93" s="895">
        <f t="shared" si="122"/>
        <v>3.4482758620689682E-2</v>
      </c>
      <c r="BD93" s="895">
        <f t="shared" si="122"/>
        <v>3.4482758620689682E-2</v>
      </c>
      <c r="BE93" s="895">
        <f t="shared" si="122"/>
        <v>3.4482758620689682E-2</v>
      </c>
      <c r="BF93" s="895">
        <f t="shared" si="122"/>
        <v>3.4482758620689682E-2</v>
      </c>
      <c r="BG93" s="895">
        <f t="shared" si="122"/>
        <v>3.4482758620689682E-2</v>
      </c>
      <c r="BH93" s="895">
        <f t="shared" si="122"/>
        <v>3.4482758620689682E-2</v>
      </c>
      <c r="BI93" s="895">
        <f t="shared" si="122"/>
        <v>3.4482758620689682E-2</v>
      </c>
      <c r="BJ93" s="895">
        <f t="shared" si="122"/>
        <v>3.4482758620689682E-2</v>
      </c>
      <c r="BK93" s="895">
        <f t="shared" si="122"/>
        <v>3.4482758620689682E-2</v>
      </c>
      <c r="BL93" s="895">
        <f t="shared" si="122"/>
        <v>3.4482758620689682E-2</v>
      </c>
      <c r="BM93" s="895">
        <f t="shared" si="122"/>
        <v>3.4482758620689682E-2</v>
      </c>
      <c r="BN93" s="895">
        <f t="shared" si="122"/>
        <v>3.4482758620689682E-2</v>
      </c>
      <c r="BO93" s="895">
        <f t="shared" si="122"/>
        <v>3.4482758620689682E-2</v>
      </c>
      <c r="BP93" s="199">
        <f t="shared" si="106"/>
        <v>1.0000000000000011</v>
      </c>
      <c r="BR93" s="507"/>
      <c r="BS93" s="507"/>
    </row>
    <row r="94" spans="1:71" s="224" customFormat="1">
      <c r="A94" s="175"/>
      <c r="B94" s="176" t="s">
        <v>138</v>
      </c>
      <c r="C94" s="194" t="s">
        <v>73</v>
      </c>
      <c r="D94" s="225" t="s">
        <v>161</v>
      </c>
      <c r="E94" s="196">
        <f t="shared" si="116"/>
        <v>385720.7871999999</v>
      </c>
      <c r="F94" s="894">
        <f>Monitoração!M35</f>
        <v>0</v>
      </c>
      <c r="G94" s="894">
        <f>Monitoração!N35</f>
        <v>13300.716799999998</v>
      </c>
      <c r="H94" s="894">
        <f>Monitoração!O35</f>
        <v>13300.716799999998</v>
      </c>
      <c r="I94" s="894">
        <f>Monitoração!P35</f>
        <v>13300.716799999998</v>
      </c>
      <c r="J94" s="894">
        <f>Monitoração!Q35</f>
        <v>13300.716799999998</v>
      </c>
      <c r="K94" s="894">
        <f>Monitoração!R35</f>
        <v>13300.716799999998</v>
      </c>
      <c r="L94" s="894">
        <f>Monitoração!S35</f>
        <v>13300.716799999998</v>
      </c>
      <c r="M94" s="894">
        <f>Monitoração!T35</f>
        <v>13300.716799999998</v>
      </c>
      <c r="N94" s="894">
        <f>Monitoração!U35</f>
        <v>13300.716799999998</v>
      </c>
      <c r="O94" s="894">
        <f>Monitoração!V35</f>
        <v>13300.716799999998</v>
      </c>
      <c r="P94" s="894">
        <f>Monitoração!W35</f>
        <v>13300.716799999998</v>
      </c>
      <c r="Q94" s="894">
        <f>Monitoração!X35</f>
        <v>13300.716799999998</v>
      </c>
      <c r="R94" s="894">
        <f>Monitoração!Y35</f>
        <v>13300.716799999998</v>
      </c>
      <c r="S94" s="894">
        <f>Monitoração!Z35</f>
        <v>13300.716799999998</v>
      </c>
      <c r="T94" s="894">
        <f>Monitoração!AA35</f>
        <v>13300.716799999998</v>
      </c>
      <c r="U94" s="894">
        <f>Monitoração!AB35</f>
        <v>13300.716799999998</v>
      </c>
      <c r="V94" s="894">
        <f>Monitoração!AC35</f>
        <v>13300.716799999998</v>
      </c>
      <c r="W94" s="894">
        <f>Monitoração!AD35</f>
        <v>13300.716799999998</v>
      </c>
      <c r="X94" s="894">
        <f>Monitoração!AE35</f>
        <v>13300.716799999998</v>
      </c>
      <c r="Y94" s="894">
        <f>Monitoração!AF35</f>
        <v>13300.716799999998</v>
      </c>
      <c r="Z94" s="894">
        <f>Monitoração!AG35</f>
        <v>13300.716799999998</v>
      </c>
      <c r="AA94" s="894">
        <f>Monitoração!AH35</f>
        <v>13300.716799999998</v>
      </c>
      <c r="AB94" s="894">
        <f>Monitoração!AI35</f>
        <v>13300.716799999998</v>
      </c>
      <c r="AC94" s="894">
        <f>Monitoração!AJ35</f>
        <v>13300.716799999998</v>
      </c>
      <c r="AD94" s="894">
        <f>Monitoração!AK35</f>
        <v>13300.716799999998</v>
      </c>
      <c r="AE94" s="894">
        <f>Monitoração!AL35</f>
        <v>13300.716799999998</v>
      </c>
      <c r="AF94" s="894">
        <f>Monitoração!AM35</f>
        <v>13300.716799999998</v>
      </c>
      <c r="AG94" s="894">
        <f>Monitoração!AN35</f>
        <v>13300.716799999998</v>
      </c>
      <c r="AH94" s="894">
        <f>Monitoração!AO35</f>
        <v>13300.716799999998</v>
      </c>
      <c r="AI94" s="894">
        <f>Monitoração!AP35</f>
        <v>13300.716799999998</v>
      </c>
      <c r="AJ94" s="192">
        <f t="shared" si="55"/>
        <v>385720.7871999999</v>
      </c>
      <c r="AK94" s="820"/>
      <c r="AL94" s="895">
        <f>F94/$E$94</f>
        <v>0</v>
      </c>
      <c r="AM94" s="895">
        <f t="shared" ref="AM94:BO94" si="123">G94/$E$94</f>
        <v>3.4482758620689662E-2</v>
      </c>
      <c r="AN94" s="895">
        <f t="shared" si="123"/>
        <v>3.4482758620689662E-2</v>
      </c>
      <c r="AO94" s="895">
        <f t="shared" si="123"/>
        <v>3.4482758620689662E-2</v>
      </c>
      <c r="AP94" s="895">
        <f t="shared" si="123"/>
        <v>3.4482758620689662E-2</v>
      </c>
      <c r="AQ94" s="895">
        <f t="shared" si="123"/>
        <v>3.4482758620689662E-2</v>
      </c>
      <c r="AR94" s="895">
        <f t="shared" si="123"/>
        <v>3.4482758620689662E-2</v>
      </c>
      <c r="AS94" s="895">
        <f t="shared" si="123"/>
        <v>3.4482758620689662E-2</v>
      </c>
      <c r="AT94" s="895">
        <f t="shared" si="123"/>
        <v>3.4482758620689662E-2</v>
      </c>
      <c r="AU94" s="895">
        <f t="shared" si="123"/>
        <v>3.4482758620689662E-2</v>
      </c>
      <c r="AV94" s="895">
        <f t="shared" si="123"/>
        <v>3.4482758620689662E-2</v>
      </c>
      <c r="AW94" s="895">
        <f t="shared" si="123"/>
        <v>3.4482758620689662E-2</v>
      </c>
      <c r="AX94" s="895">
        <f t="shared" si="123"/>
        <v>3.4482758620689662E-2</v>
      </c>
      <c r="AY94" s="895">
        <f t="shared" si="123"/>
        <v>3.4482758620689662E-2</v>
      </c>
      <c r="AZ94" s="895">
        <f t="shared" si="123"/>
        <v>3.4482758620689662E-2</v>
      </c>
      <c r="BA94" s="895">
        <f t="shared" si="123"/>
        <v>3.4482758620689662E-2</v>
      </c>
      <c r="BB94" s="895">
        <f t="shared" si="123"/>
        <v>3.4482758620689662E-2</v>
      </c>
      <c r="BC94" s="895">
        <f t="shared" si="123"/>
        <v>3.4482758620689662E-2</v>
      </c>
      <c r="BD94" s="895">
        <f t="shared" si="123"/>
        <v>3.4482758620689662E-2</v>
      </c>
      <c r="BE94" s="895">
        <f t="shared" si="123"/>
        <v>3.4482758620689662E-2</v>
      </c>
      <c r="BF94" s="895">
        <f t="shared" si="123"/>
        <v>3.4482758620689662E-2</v>
      </c>
      <c r="BG94" s="895">
        <f t="shared" si="123"/>
        <v>3.4482758620689662E-2</v>
      </c>
      <c r="BH94" s="895">
        <f t="shared" si="123"/>
        <v>3.4482758620689662E-2</v>
      </c>
      <c r="BI94" s="895">
        <f t="shared" si="123"/>
        <v>3.4482758620689662E-2</v>
      </c>
      <c r="BJ94" s="895">
        <f t="shared" si="123"/>
        <v>3.4482758620689662E-2</v>
      </c>
      <c r="BK94" s="895">
        <f t="shared" si="123"/>
        <v>3.4482758620689662E-2</v>
      </c>
      <c r="BL94" s="895">
        <f t="shared" si="123"/>
        <v>3.4482758620689662E-2</v>
      </c>
      <c r="BM94" s="895">
        <f t="shared" si="123"/>
        <v>3.4482758620689662E-2</v>
      </c>
      <c r="BN94" s="895">
        <f t="shared" si="123"/>
        <v>3.4482758620689662E-2</v>
      </c>
      <c r="BO94" s="895">
        <f t="shared" si="123"/>
        <v>3.4482758620689662E-2</v>
      </c>
      <c r="BP94" s="199">
        <f t="shared" si="106"/>
        <v>0.99999999999999956</v>
      </c>
      <c r="BR94" s="507"/>
      <c r="BS94" s="507"/>
    </row>
    <row r="95" spans="1:71" s="224" customFormat="1">
      <c r="A95" s="175"/>
      <c r="B95" s="176" t="s">
        <v>138</v>
      </c>
      <c r="C95" s="194" t="s">
        <v>74</v>
      </c>
      <c r="D95" s="225" t="s">
        <v>162</v>
      </c>
      <c r="E95" s="196">
        <f t="shared" si="116"/>
        <v>0</v>
      </c>
      <c r="F95" s="894">
        <f>Monitoração!M45</f>
        <v>0</v>
      </c>
      <c r="G95" s="894">
        <f>Monitoração!N45</f>
        <v>0</v>
      </c>
      <c r="H95" s="894">
        <f>Monitoração!O45</f>
        <v>0</v>
      </c>
      <c r="I95" s="894">
        <f>Monitoração!P45</f>
        <v>0</v>
      </c>
      <c r="J95" s="894">
        <f>Monitoração!Q45</f>
        <v>0</v>
      </c>
      <c r="K95" s="894">
        <f>Monitoração!R45</f>
        <v>0</v>
      </c>
      <c r="L95" s="894">
        <f>Monitoração!S45</f>
        <v>0</v>
      </c>
      <c r="M95" s="894">
        <f>Monitoração!T45</f>
        <v>0</v>
      </c>
      <c r="N95" s="894">
        <f>Monitoração!U45</f>
        <v>0</v>
      </c>
      <c r="O95" s="894">
        <f>Monitoração!V45</f>
        <v>0</v>
      </c>
      <c r="P95" s="894">
        <f>Monitoração!W45</f>
        <v>0</v>
      </c>
      <c r="Q95" s="894">
        <f>Monitoração!X45</f>
        <v>0</v>
      </c>
      <c r="R95" s="894">
        <f>Monitoração!Y45</f>
        <v>0</v>
      </c>
      <c r="S95" s="894">
        <f>Monitoração!Z45</f>
        <v>0</v>
      </c>
      <c r="T95" s="894">
        <f>Monitoração!AA45</f>
        <v>0</v>
      </c>
      <c r="U95" s="894">
        <f>Monitoração!AB45</f>
        <v>0</v>
      </c>
      <c r="V95" s="894">
        <f>Monitoração!AC45</f>
        <v>0</v>
      </c>
      <c r="W95" s="894">
        <f>Monitoração!AD45</f>
        <v>0</v>
      </c>
      <c r="X95" s="894">
        <f>Monitoração!AE45</f>
        <v>0</v>
      </c>
      <c r="Y95" s="894">
        <f>Monitoração!AF45</f>
        <v>0</v>
      </c>
      <c r="Z95" s="894">
        <f>Monitoração!AG45</f>
        <v>0</v>
      </c>
      <c r="AA95" s="894">
        <f>Monitoração!AH45</f>
        <v>0</v>
      </c>
      <c r="AB95" s="894">
        <f>Monitoração!AI45</f>
        <v>0</v>
      </c>
      <c r="AC95" s="894">
        <f>Monitoração!AJ45</f>
        <v>0</v>
      </c>
      <c r="AD95" s="894">
        <f>Monitoração!AK45</f>
        <v>0</v>
      </c>
      <c r="AE95" s="894">
        <f>Monitoração!AL45</f>
        <v>0</v>
      </c>
      <c r="AF95" s="894">
        <f>Monitoração!AM45</f>
        <v>0</v>
      </c>
      <c r="AG95" s="894">
        <f>Monitoração!AN45</f>
        <v>0</v>
      </c>
      <c r="AH95" s="894">
        <f>Monitoração!AO45</f>
        <v>0</v>
      </c>
      <c r="AI95" s="894">
        <f>Monitoração!AP45</f>
        <v>0</v>
      </c>
      <c r="AJ95" s="192">
        <f t="shared" si="55"/>
        <v>0</v>
      </c>
      <c r="AK95" s="820"/>
      <c r="AL95" s="895" t="e">
        <f>F95/$E$95</f>
        <v>#DIV/0!</v>
      </c>
      <c r="AM95" s="895" t="e">
        <f t="shared" ref="AM95:BO95" si="124">G95/$E$95</f>
        <v>#DIV/0!</v>
      </c>
      <c r="AN95" s="895" t="e">
        <f t="shared" si="124"/>
        <v>#DIV/0!</v>
      </c>
      <c r="AO95" s="895" t="e">
        <f t="shared" si="124"/>
        <v>#DIV/0!</v>
      </c>
      <c r="AP95" s="895" t="e">
        <f t="shared" si="124"/>
        <v>#DIV/0!</v>
      </c>
      <c r="AQ95" s="895" t="e">
        <f t="shared" si="124"/>
        <v>#DIV/0!</v>
      </c>
      <c r="AR95" s="895" t="e">
        <f t="shared" si="124"/>
        <v>#DIV/0!</v>
      </c>
      <c r="AS95" s="895" t="e">
        <f t="shared" si="124"/>
        <v>#DIV/0!</v>
      </c>
      <c r="AT95" s="895" t="e">
        <f t="shared" si="124"/>
        <v>#DIV/0!</v>
      </c>
      <c r="AU95" s="895" t="e">
        <f t="shared" si="124"/>
        <v>#DIV/0!</v>
      </c>
      <c r="AV95" s="895" t="e">
        <f t="shared" si="124"/>
        <v>#DIV/0!</v>
      </c>
      <c r="AW95" s="895" t="e">
        <f t="shared" si="124"/>
        <v>#DIV/0!</v>
      </c>
      <c r="AX95" s="895" t="e">
        <f t="shared" si="124"/>
        <v>#DIV/0!</v>
      </c>
      <c r="AY95" s="895" t="e">
        <f t="shared" si="124"/>
        <v>#DIV/0!</v>
      </c>
      <c r="AZ95" s="895" t="e">
        <f t="shared" si="124"/>
        <v>#DIV/0!</v>
      </c>
      <c r="BA95" s="895" t="e">
        <f t="shared" si="124"/>
        <v>#DIV/0!</v>
      </c>
      <c r="BB95" s="895" t="e">
        <f t="shared" si="124"/>
        <v>#DIV/0!</v>
      </c>
      <c r="BC95" s="895" t="e">
        <f t="shared" si="124"/>
        <v>#DIV/0!</v>
      </c>
      <c r="BD95" s="895" t="e">
        <f t="shared" si="124"/>
        <v>#DIV/0!</v>
      </c>
      <c r="BE95" s="895" t="e">
        <f t="shared" si="124"/>
        <v>#DIV/0!</v>
      </c>
      <c r="BF95" s="895" t="e">
        <f t="shared" si="124"/>
        <v>#DIV/0!</v>
      </c>
      <c r="BG95" s="895" t="e">
        <f t="shared" si="124"/>
        <v>#DIV/0!</v>
      </c>
      <c r="BH95" s="895" t="e">
        <f t="shared" si="124"/>
        <v>#DIV/0!</v>
      </c>
      <c r="BI95" s="895" t="e">
        <f t="shared" si="124"/>
        <v>#DIV/0!</v>
      </c>
      <c r="BJ95" s="895" t="e">
        <f t="shared" si="124"/>
        <v>#DIV/0!</v>
      </c>
      <c r="BK95" s="895" t="e">
        <f t="shared" si="124"/>
        <v>#DIV/0!</v>
      </c>
      <c r="BL95" s="895" t="e">
        <f t="shared" si="124"/>
        <v>#DIV/0!</v>
      </c>
      <c r="BM95" s="895" t="e">
        <f t="shared" si="124"/>
        <v>#DIV/0!</v>
      </c>
      <c r="BN95" s="895" t="e">
        <f t="shared" si="124"/>
        <v>#DIV/0!</v>
      </c>
      <c r="BO95" s="895" t="e">
        <f t="shared" si="124"/>
        <v>#DIV/0!</v>
      </c>
      <c r="BP95" s="199" t="e">
        <f t="shared" si="106"/>
        <v>#DIV/0!</v>
      </c>
      <c r="BR95" s="507"/>
      <c r="BS95" s="507"/>
    </row>
    <row r="96" spans="1:71" s="224" customFormat="1">
      <c r="A96" s="175"/>
      <c r="B96" s="176" t="s">
        <v>138</v>
      </c>
      <c r="C96" s="194" t="s">
        <v>75</v>
      </c>
      <c r="D96" s="200" t="s">
        <v>163</v>
      </c>
      <c r="E96" s="196">
        <f t="shared" si="116"/>
        <v>0</v>
      </c>
      <c r="F96" s="894">
        <f>Monitoração!M47</f>
        <v>0</v>
      </c>
      <c r="G96" s="894">
        <f>Monitoração!N47</f>
        <v>0</v>
      </c>
      <c r="H96" s="894">
        <f>Monitoração!O47</f>
        <v>0</v>
      </c>
      <c r="I96" s="894">
        <f>Monitoração!P47</f>
        <v>0</v>
      </c>
      <c r="J96" s="894">
        <f>Monitoração!Q47</f>
        <v>0</v>
      </c>
      <c r="K96" s="894">
        <f>Monitoração!R47</f>
        <v>0</v>
      </c>
      <c r="L96" s="894">
        <f>Monitoração!S47</f>
        <v>0</v>
      </c>
      <c r="M96" s="894">
        <f>Monitoração!T47</f>
        <v>0</v>
      </c>
      <c r="N96" s="894">
        <f>Monitoração!U47</f>
        <v>0</v>
      </c>
      <c r="O96" s="894">
        <f>Monitoração!V47</f>
        <v>0</v>
      </c>
      <c r="P96" s="894">
        <f>Monitoração!W47</f>
        <v>0</v>
      </c>
      <c r="Q96" s="894">
        <f>Monitoração!X47</f>
        <v>0</v>
      </c>
      <c r="R96" s="894">
        <f>Monitoração!Y47</f>
        <v>0</v>
      </c>
      <c r="S96" s="894">
        <f>Monitoração!Z47</f>
        <v>0</v>
      </c>
      <c r="T96" s="894">
        <f>Monitoração!AA47</f>
        <v>0</v>
      </c>
      <c r="U96" s="894">
        <f>Monitoração!AB47</f>
        <v>0</v>
      </c>
      <c r="V96" s="894">
        <f>Monitoração!AC47</f>
        <v>0</v>
      </c>
      <c r="W96" s="894">
        <f>Monitoração!AD47</f>
        <v>0</v>
      </c>
      <c r="X96" s="894">
        <f>Monitoração!AE47</f>
        <v>0</v>
      </c>
      <c r="Y96" s="894">
        <f>Monitoração!AF47</f>
        <v>0</v>
      </c>
      <c r="Z96" s="894">
        <f>Monitoração!AG47</f>
        <v>0</v>
      </c>
      <c r="AA96" s="894">
        <f>Monitoração!AH47</f>
        <v>0</v>
      </c>
      <c r="AB96" s="894">
        <f>Monitoração!AI47</f>
        <v>0</v>
      </c>
      <c r="AC96" s="894">
        <f>Monitoração!AJ47</f>
        <v>0</v>
      </c>
      <c r="AD96" s="894">
        <f>Monitoração!AK47</f>
        <v>0</v>
      </c>
      <c r="AE96" s="894">
        <f>Monitoração!AL47</f>
        <v>0</v>
      </c>
      <c r="AF96" s="894">
        <f>Monitoração!AM47</f>
        <v>0</v>
      </c>
      <c r="AG96" s="894">
        <f>Monitoração!AN47</f>
        <v>0</v>
      </c>
      <c r="AH96" s="894">
        <f>Monitoração!AO47</f>
        <v>0</v>
      </c>
      <c r="AI96" s="894">
        <f>Monitoração!AP47</f>
        <v>0</v>
      </c>
      <c r="AJ96" s="192">
        <f t="shared" si="55"/>
        <v>0</v>
      </c>
      <c r="AK96" s="820"/>
      <c r="AL96" s="895" t="e">
        <f>F96/$E$96</f>
        <v>#DIV/0!</v>
      </c>
      <c r="AM96" s="895" t="e">
        <f t="shared" ref="AM96:BO96" si="125">G96/$E$96</f>
        <v>#DIV/0!</v>
      </c>
      <c r="AN96" s="895" t="e">
        <f t="shared" si="125"/>
        <v>#DIV/0!</v>
      </c>
      <c r="AO96" s="895" t="e">
        <f t="shared" si="125"/>
        <v>#DIV/0!</v>
      </c>
      <c r="AP96" s="895" t="e">
        <f t="shared" si="125"/>
        <v>#DIV/0!</v>
      </c>
      <c r="AQ96" s="895" t="e">
        <f t="shared" si="125"/>
        <v>#DIV/0!</v>
      </c>
      <c r="AR96" s="895" t="e">
        <f t="shared" si="125"/>
        <v>#DIV/0!</v>
      </c>
      <c r="AS96" s="895" t="e">
        <f t="shared" si="125"/>
        <v>#DIV/0!</v>
      </c>
      <c r="AT96" s="895" t="e">
        <f t="shared" si="125"/>
        <v>#DIV/0!</v>
      </c>
      <c r="AU96" s="895" t="e">
        <f t="shared" si="125"/>
        <v>#DIV/0!</v>
      </c>
      <c r="AV96" s="895" t="e">
        <f t="shared" si="125"/>
        <v>#DIV/0!</v>
      </c>
      <c r="AW96" s="895" t="e">
        <f t="shared" si="125"/>
        <v>#DIV/0!</v>
      </c>
      <c r="AX96" s="895" t="e">
        <f t="shared" si="125"/>
        <v>#DIV/0!</v>
      </c>
      <c r="AY96" s="895" t="e">
        <f t="shared" si="125"/>
        <v>#DIV/0!</v>
      </c>
      <c r="AZ96" s="895" t="e">
        <f t="shared" si="125"/>
        <v>#DIV/0!</v>
      </c>
      <c r="BA96" s="895" t="e">
        <f t="shared" si="125"/>
        <v>#DIV/0!</v>
      </c>
      <c r="BB96" s="895" t="e">
        <f t="shared" si="125"/>
        <v>#DIV/0!</v>
      </c>
      <c r="BC96" s="895" t="e">
        <f t="shared" si="125"/>
        <v>#DIV/0!</v>
      </c>
      <c r="BD96" s="895" t="e">
        <f t="shared" si="125"/>
        <v>#DIV/0!</v>
      </c>
      <c r="BE96" s="895" t="e">
        <f t="shared" si="125"/>
        <v>#DIV/0!</v>
      </c>
      <c r="BF96" s="895" t="e">
        <f t="shared" si="125"/>
        <v>#DIV/0!</v>
      </c>
      <c r="BG96" s="895" t="e">
        <f t="shared" si="125"/>
        <v>#DIV/0!</v>
      </c>
      <c r="BH96" s="895" t="e">
        <f t="shared" si="125"/>
        <v>#DIV/0!</v>
      </c>
      <c r="BI96" s="895" t="e">
        <f t="shared" si="125"/>
        <v>#DIV/0!</v>
      </c>
      <c r="BJ96" s="895" t="e">
        <f t="shared" si="125"/>
        <v>#DIV/0!</v>
      </c>
      <c r="BK96" s="895" t="e">
        <f t="shared" si="125"/>
        <v>#DIV/0!</v>
      </c>
      <c r="BL96" s="895" t="e">
        <f t="shared" si="125"/>
        <v>#DIV/0!</v>
      </c>
      <c r="BM96" s="895" t="e">
        <f t="shared" si="125"/>
        <v>#DIV/0!</v>
      </c>
      <c r="BN96" s="895" t="e">
        <f t="shared" si="125"/>
        <v>#DIV/0!</v>
      </c>
      <c r="BO96" s="895" t="e">
        <f t="shared" si="125"/>
        <v>#DIV/0!</v>
      </c>
      <c r="BP96" s="199" t="e">
        <f t="shared" si="106"/>
        <v>#DIV/0!</v>
      </c>
      <c r="BR96" s="507"/>
      <c r="BS96" s="507"/>
    </row>
    <row r="97" spans="1:71" s="224" customFormat="1">
      <c r="A97" s="175"/>
      <c r="B97" s="176" t="s">
        <v>138</v>
      </c>
      <c r="C97" s="194" t="s">
        <v>76</v>
      </c>
      <c r="D97" s="200" t="s">
        <v>58</v>
      </c>
      <c r="E97" s="196">
        <f t="shared" si="116"/>
        <v>0</v>
      </c>
      <c r="F97" s="894">
        <f>Monitoração!M51</f>
        <v>0</v>
      </c>
      <c r="G97" s="894">
        <f>Monitoração!N51</f>
        <v>0</v>
      </c>
      <c r="H97" s="894">
        <f>Monitoração!O51</f>
        <v>0</v>
      </c>
      <c r="I97" s="894">
        <f>Monitoração!P51</f>
        <v>0</v>
      </c>
      <c r="J97" s="894">
        <f>Monitoração!Q51</f>
        <v>0</v>
      </c>
      <c r="K97" s="894">
        <f>Monitoração!R51</f>
        <v>0</v>
      </c>
      <c r="L97" s="894">
        <f>Monitoração!S51</f>
        <v>0</v>
      </c>
      <c r="M97" s="894">
        <f>Monitoração!T51</f>
        <v>0</v>
      </c>
      <c r="N97" s="894">
        <f>Monitoração!U51</f>
        <v>0</v>
      </c>
      <c r="O97" s="894">
        <f>Monitoração!V51</f>
        <v>0</v>
      </c>
      <c r="P97" s="894">
        <f>Monitoração!W51</f>
        <v>0</v>
      </c>
      <c r="Q97" s="894">
        <f>Monitoração!X51</f>
        <v>0</v>
      </c>
      <c r="R97" s="894">
        <f>Monitoração!Y51</f>
        <v>0</v>
      </c>
      <c r="S97" s="894">
        <f>Monitoração!Z51</f>
        <v>0</v>
      </c>
      <c r="T97" s="894">
        <f>Monitoração!AA51</f>
        <v>0</v>
      </c>
      <c r="U97" s="894">
        <f>Monitoração!AB51</f>
        <v>0</v>
      </c>
      <c r="V97" s="894">
        <f>Monitoração!AC51</f>
        <v>0</v>
      </c>
      <c r="W97" s="894">
        <f>Monitoração!AD51</f>
        <v>0</v>
      </c>
      <c r="X97" s="894">
        <f>Monitoração!AE51</f>
        <v>0</v>
      </c>
      <c r="Y97" s="894">
        <f>Monitoração!AF51</f>
        <v>0</v>
      </c>
      <c r="Z97" s="894">
        <f>Monitoração!AG51</f>
        <v>0</v>
      </c>
      <c r="AA97" s="894">
        <f>Monitoração!AH51</f>
        <v>0</v>
      </c>
      <c r="AB97" s="894">
        <f>Monitoração!AI51</f>
        <v>0</v>
      </c>
      <c r="AC97" s="894">
        <f>Monitoração!AJ51</f>
        <v>0</v>
      </c>
      <c r="AD97" s="894">
        <f>Monitoração!AK51</f>
        <v>0</v>
      </c>
      <c r="AE97" s="894">
        <f>Monitoração!AL51</f>
        <v>0</v>
      </c>
      <c r="AF97" s="894">
        <f>Monitoração!AM51</f>
        <v>0</v>
      </c>
      <c r="AG97" s="894">
        <f>Monitoração!AN51</f>
        <v>0</v>
      </c>
      <c r="AH97" s="894">
        <f>Monitoração!AO51</f>
        <v>0</v>
      </c>
      <c r="AI97" s="894">
        <f>Monitoração!AP51</f>
        <v>0</v>
      </c>
      <c r="AJ97" s="192">
        <f t="shared" si="55"/>
        <v>0</v>
      </c>
      <c r="AK97" s="820"/>
      <c r="AL97" s="895" t="e">
        <f>F97/$E$97</f>
        <v>#DIV/0!</v>
      </c>
      <c r="AM97" s="895" t="e">
        <f t="shared" ref="AM97:BO97" si="126">G97/$E$97</f>
        <v>#DIV/0!</v>
      </c>
      <c r="AN97" s="895" t="e">
        <f t="shared" si="126"/>
        <v>#DIV/0!</v>
      </c>
      <c r="AO97" s="895" t="e">
        <f t="shared" si="126"/>
        <v>#DIV/0!</v>
      </c>
      <c r="AP97" s="895" t="e">
        <f t="shared" si="126"/>
        <v>#DIV/0!</v>
      </c>
      <c r="AQ97" s="895" t="e">
        <f t="shared" si="126"/>
        <v>#DIV/0!</v>
      </c>
      <c r="AR97" s="895" t="e">
        <f t="shared" si="126"/>
        <v>#DIV/0!</v>
      </c>
      <c r="AS97" s="895" t="e">
        <f t="shared" si="126"/>
        <v>#DIV/0!</v>
      </c>
      <c r="AT97" s="895" t="e">
        <f t="shared" si="126"/>
        <v>#DIV/0!</v>
      </c>
      <c r="AU97" s="895" t="e">
        <f t="shared" si="126"/>
        <v>#DIV/0!</v>
      </c>
      <c r="AV97" s="895" t="e">
        <f t="shared" si="126"/>
        <v>#DIV/0!</v>
      </c>
      <c r="AW97" s="895" t="e">
        <f t="shared" si="126"/>
        <v>#DIV/0!</v>
      </c>
      <c r="AX97" s="895" t="e">
        <f t="shared" si="126"/>
        <v>#DIV/0!</v>
      </c>
      <c r="AY97" s="895" t="e">
        <f t="shared" si="126"/>
        <v>#DIV/0!</v>
      </c>
      <c r="AZ97" s="895" t="e">
        <f t="shared" si="126"/>
        <v>#DIV/0!</v>
      </c>
      <c r="BA97" s="895" t="e">
        <f t="shared" si="126"/>
        <v>#DIV/0!</v>
      </c>
      <c r="BB97" s="895" t="e">
        <f t="shared" si="126"/>
        <v>#DIV/0!</v>
      </c>
      <c r="BC97" s="895" t="e">
        <f t="shared" si="126"/>
        <v>#DIV/0!</v>
      </c>
      <c r="BD97" s="895" t="e">
        <f t="shared" si="126"/>
        <v>#DIV/0!</v>
      </c>
      <c r="BE97" s="895" t="e">
        <f t="shared" si="126"/>
        <v>#DIV/0!</v>
      </c>
      <c r="BF97" s="895" t="e">
        <f t="shared" si="126"/>
        <v>#DIV/0!</v>
      </c>
      <c r="BG97" s="895" t="e">
        <f t="shared" si="126"/>
        <v>#DIV/0!</v>
      </c>
      <c r="BH97" s="895" t="e">
        <f t="shared" si="126"/>
        <v>#DIV/0!</v>
      </c>
      <c r="BI97" s="895" t="e">
        <f t="shared" si="126"/>
        <v>#DIV/0!</v>
      </c>
      <c r="BJ97" s="895" t="e">
        <f t="shared" si="126"/>
        <v>#DIV/0!</v>
      </c>
      <c r="BK97" s="895" t="e">
        <f t="shared" si="126"/>
        <v>#DIV/0!</v>
      </c>
      <c r="BL97" s="895" t="e">
        <f t="shared" si="126"/>
        <v>#DIV/0!</v>
      </c>
      <c r="BM97" s="895" t="e">
        <f t="shared" si="126"/>
        <v>#DIV/0!</v>
      </c>
      <c r="BN97" s="895" t="e">
        <f t="shared" si="126"/>
        <v>#DIV/0!</v>
      </c>
      <c r="BO97" s="895" t="e">
        <f t="shared" si="126"/>
        <v>#DIV/0!</v>
      </c>
      <c r="BP97" s="199" t="e">
        <f t="shared" si="106"/>
        <v>#DIV/0!</v>
      </c>
      <c r="BR97" s="507"/>
      <c r="BS97" s="507"/>
    </row>
    <row r="98" spans="1:71" s="224" customFormat="1" ht="13.5" thickBot="1">
      <c r="A98" s="175"/>
      <c r="B98" s="176" t="s">
        <v>138</v>
      </c>
      <c r="C98" s="194" t="s">
        <v>164</v>
      </c>
      <c r="D98" s="200" t="s">
        <v>165</v>
      </c>
      <c r="E98" s="196"/>
      <c r="F98" s="894">
        <f>$E98*AL98</f>
        <v>0</v>
      </c>
      <c r="G98" s="894">
        <f t="shared" ref="G98:AI98" si="127">$E98*AM98</f>
        <v>0</v>
      </c>
      <c r="H98" s="894">
        <f t="shared" si="127"/>
        <v>0</v>
      </c>
      <c r="I98" s="894">
        <f t="shared" si="127"/>
        <v>0</v>
      </c>
      <c r="J98" s="894">
        <f t="shared" si="127"/>
        <v>0</v>
      </c>
      <c r="K98" s="894">
        <f t="shared" si="127"/>
        <v>0</v>
      </c>
      <c r="L98" s="894">
        <f t="shared" si="127"/>
        <v>0</v>
      </c>
      <c r="M98" s="894">
        <f t="shared" si="127"/>
        <v>0</v>
      </c>
      <c r="N98" s="894">
        <f t="shared" si="127"/>
        <v>0</v>
      </c>
      <c r="O98" s="894">
        <f t="shared" si="127"/>
        <v>0</v>
      </c>
      <c r="P98" s="894">
        <f t="shared" si="127"/>
        <v>0</v>
      </c>
      <c r="Q98" s="894">
        <f t="shared" si="127"/>
        <v>0</v>
      </c>
      <c r="R98" s="894">
        <f t="shared" si="127"/>
        <v>0</v>
      </c>
      <c r="S98" s="894">
        <f t="shared" si="127"/>
        <v>0</v>
      </c>
      <c r="T98" s="894">
        <f t="shared" si="127"/>
        <v>0</v>
      </c>
      <c r="U98" s="894">
        <f t="shared" si="127"/>
        <v>0</v>
      </c>
      <c r="V98" s="894">
        <f t="shared" si="127"/>
        <v>0</v>
      </c>
      <c r="W98" s="894">
        <f t="shared" si="127"/>
        <v>0</v>
      </c>
      <c r="X98" s="894">
        <f t="shared" si="127"/>
        <v>0</v>
      </c>
      <c r="Y98" s="894">
        <f t="shared" si="127"/>
        <v>0</v>
      </c>
      <c r="Z98" s="894">
        <f t="shared" si="127"/>
        <v>0</v>
      </c>
      <c r="AA98" s="894">
        <f t="shared" si="127"/>
        <v>0</v>
      </c>
      <c r="AB98" s="894">
        <f t="shared" si="127"/>
        <v>0</v>
      </c>
      <c r="AC98" s="894">
        <f t="shared" si="127"/>
        <v>0</v>
      </c>
      <c r="AD98" s="894">
        <f t="shared" si="127"/>
        <v>0</v>
      </c>
      <c r="AE98" s="894">
        <f t="shared" si="127"/>
        <v>0</v>
      </c>
      <c r="AF98" s="894">
        <f t="shared" si="127"/>
        <v>0</v>
      </c>
      <c r="AG98" s="894">
        <f t="shared" si="127"/>
        <v>0</v>
      </c>
      <c r="AH98" s="894">
        <f t="shared" si="127"/>
        <v>0</v>
      </c>
      <c r="AI98" s="894">
        <f t="shared" si="127"/>
        <v>0</v>
      </c>
      <c r="AJ98" s="192">
        <f t="shared" si="55"/>
        <v>0</v>
      </c>
      <c r="AK98" s="820"/>
      <c r="AL98" s="895">
        <v>5.6315366937042966E-3</v>
      </c>
      <c r="AM98" s="895">
        <v>2.2526146774817186E-2</v>
      </c>
      <c r="AN98" s="895">
        <v>2.2526146774817186E-2</v>
      </c>
      <c r="AO98" s="895">
        <v>2.2526146774817186E-2</v>
      </c>
      <c r="AP98" s="895">
        <v>2.2526146774817186E-2</v>
      </c>
      <c r="AQ98" s="895">
        <v>2.6665159105079189E-2</v>
      </c>
      <c r="AR98" s="895">
        <v>3.4479986181022659E-2</v>
      </c>
      <c r="AS98" s="895">
        <v>3.4479986181022659E-2</v>
      </c>
      <c r="AT98" s="895">
        <v>3.4479986181022659E-2</v>
      </c>
      <c r="AU98" s="895">
        <v>3.4479986181022659E-2</v>
      </c>
      <c r="AV98" s="895">
        <v>3.4479986181022659E-2</v>
      </c>
      <c r="AW98" s="895">
        <v>3.4479986181022659E-2</v>
      </c>
      <c r="AX98" s="895">
        <v>3.4479986181022659E-2</v>
      </c>
      <c r="AY98" s="895">
        <v>3.4479986181022659E-2</v>
      </c>
      <c r="AZ98" s="895">
        <v>3.4479986181022659E-2</v>
      </c>
      <c r="BA98" s="895">
        <v>3.5409935894460016E-2</v>
      </c>
      <c r="BB98" s="895">
        <v>3.5409935894460016E-2</v>
      </c>
      <c r="BC98" s="895">
        <v>3.5409935894460016E-2</v>
      </c>
      <c r="BD98" s="895">
        <v>3.5409935894460016E-2</v>
      </c>
      <c r="BE98" s="895">
        <v>3.5409935894460016E-2</v>
      </c>
      <c r="BF98" s="895">
        <v>3.8790428771685023E-2</v>
      </c>
      <c r="BG98" s="895">
        <v>3.8790428771685023E-2</v>
      </c>
      <c r="BH98" s="895">
        <v>3.8790428771685023E-2</v>
      </c>
      <c r="BI98" s="895">
        <v>3.8790428771685023E-2</v>
      </c>
      <c r="BJ98" s="895">
        <v>3.8790428771685023E-2</v>
      </c>
      <c r="BK98" s="895">
        <v>3.9255403628403705E-2</v>
      </c>
      <c r="BL98" s="895">
        <v>3.9255403628403705E-2</v>
      </c>
      <c r="BM98" s="895">
        <v>3.9255403628403705E-2</v>
      </c>
      <c r="BN98" s="895">
        <v>3.9255403628403705E-2</v>
      </c>
      <c r="BO98" s="895">
        <v>3.9255403628403705E-2</v>
      </c>
      <c r="BP98" s="199">
        <f t="shared" si="106"/>
        <v>1.0000000000000002</v>
      </c>
      <c r="BR98" s="507"/>
      <c r="BS98" s="507"/>
    </row>
    <row r="99" spans="1:71" s="184" customFormat="1" ht="15" customHeight="1" thickBot="1">
      <c r="A99" s="175"/>
      <c r="B99" s="176"/>
      <c r="C99" s="790">
        <v>3</v>
      </c>
      <c r="D99" s="800" t="s">
        <v>166</v>
      </c>
      <c r="E99" s="792">
        <f t="shared" ref="E99:AI99" ca="1" si="128">SUM(E100:E116)</f>
        <v>1321295013.0970876</v>
      </c>
      <c r="F99" s="799">
        <f t="shared" ca="1" si="128"/>
        <v>26470061.212470684</v>
      </c>
      <c r="G99" s="794">
        <f t="shared" ca="1" si="128"/>
        <v>45926155.976670817</v>
      </c>
      <c r="H99" s="794">
        <f t="shared" ca="1" si="128"/>
        <v>45025755.976670817</v>
      </c>
      <c r="I99" s="794">
        <f t="shared" ca="1" si="128"/>
        <v>45376155.976670817</v>
      </c>
      <c r="J99" s="794">
        <f t="shared" ca="1" si="128"/>
        <v>45025755.976670817</v>
      </c>
      <c r="K99" s="794">
        <f t="shared" ca="1" si="128"/>
        <v>45054529.090303063</v>
      </c>
      <c r="L99" s="794">
        <f t="shared" ca="1" si="128"/>
        <v>44426321.720383063</v>
      </c>
      <c r="M99" s="794">
        <f t="shared" ca="1" si="128"/>
        <v>44638721.720383063</v>
      </c>
      <c r="N99" s="794">
        <f t="shared" ca="1" si="128"/>
        <v>44410221.720383063</v>
      </c>
      <c r="O99" s="794">
        <f t="shared" ca="1" si="128"/>
        <v>44622621.720383063</v>
      </c>
      <c r="P99" s="902">
        <f t="shared" ca="1" si="128"/>
        <v>44410221.720383063</v>
      </c>
      <c r="Q99" s="794">
        <f t="shared" ca="1" si="128"/>
        <v>44622621.720383063</v>
      </c>
      <c r="R99" s="794">
        <f t="shared" ca="1" si="128"/>
        <v>44410221.720383063</v>
      </c>
      <c r="S99" s="794">
        <f t="shared" ca="1" si="128"/>
        <v>44622621.720383063</v>
      </c>
      <c r="T99" s="794">
        <f t="shared" ca="1" si="128"/>
        <v>44410221.720383063</v>
      </c>
      <c r="U99" s="794">
        <f t="shared" ca="1" si="128"/>
        <v>44622621.720383063</v>
      </c>
      <c r="V99" s="794">
        <f t="shared" ca="1" si="128"/>
        <v>44410221.720383063</v>
      </c>
      <c r="W99" s="794">
        <f t="shared" ca="1" si="128"/>
        <v>44622621.720383063</v>
      </c>
      <c r="X99" s="794">
        <f t="shared" ca="1" si="128"/>
        <v>44410221.720383063</v>
      </c>
      <c r="Y99" s="794">
        <f t="shared" ca="1" si="128"/>
        <v>44622621.720383063</v>
      </c>
      <c r="Z99" s="902">
        <f t="shared" ca="1" si="128"/>
        <v>44410221.720383063</v>
      </c>
      <c r="AA99" s="794">
        <f t="shared" ca="1" si="128"/>
        <v>44622621.720383063</v>
      </c>
      <c r="AB99" s="794">
        <f t="shared" ca="1" si="128"/>
        <v>44410221.720383063</v>
      </c>
      <c r="AC99" s="794">
        <f t="shared" ca="1" si="128"/>
        <v>44622621.720383063</v>
      </c>
      <c r="AD99" s="794">
        <f t="shared" ca="1" si="128"/>
        <v>44410221.720383063</v>
      </c>
      <c r="AE99" s="794">
        <f t="shared" ca="1" si="128"/>
        <v>44622621.720383063</v>
      </c>
      <c r="AF99" s="794">
        <f t="shared" ca="1" si="128"/>
        <v>44410221.720383063</v>
      </c>
      <c r="AG99" s="794">
        <f t="shared" ca="1" si="128"/>
        <v>44622621.720383063</v>
      </c>
      <c r="AH99" s="794">
        <f t="shared" ca="1" si="128"/>
        <v>44410221.720383063</v>
      </c>
      <c r="AI99" s="913">
        <f t="shared" ca="1" si="128"/>
        <v>44612899.318820558</v>
      </c>
      <c r="AJ99" s="792">
        <f t="shared" ca="1" si="55"/>
        <v>1321295013.0970881</v>
      </c>
      <c r="AK99" s="822"/>
      <c r="AL99" s="914">
        <f t="shared" ref="AL99:BO99" ca="1" si="129">F99/$E99</f>
        <v>2.0033422475746292E-2</v>
      </c>
      <c r="AM99" s="914">
        <f t="shared" ca="1" si="129"/>
        <v>3.4758441923595E-2</v>
      </c>
      <c r="AN99" s="914">
        <f t="shared" ca="1" si="129"/>
        <v>3.4076989264593828E-2</v>
      </c>
      <c r="AO99" s="914">
        <f t="shared" ca="1" si="129"/>
        <v>3.4342183635666698E-2</v>
      </c>
      <c r="AP99" s="914">
        <f t="shared" ca="1" si="129"/>
        <v>3.4076989264593828E-2</v>
      </c>
      <c r="AQ99" s="914">
        <f t="shared" ca="1" si="129"/>
        <v>3.4098765713719149E-2</v>
      </c>
      <c r="AR99" s="914">
        <f t="shared" ca="1" si="129"/>
        <v>3.3623317487779435E-2</v>
      </c>
      <c r="AS99" s="914">
        <f t="shared" ca="1" si="129"/>
        <v>3.3784068870244835E-2</v>
      </c>
      <c r="AT99" s="914">
        <f t="shared" ca="1" si="129"/>
        <v>3.36111324724419E-2</v>
      </c>
      <c r="AU99" s="914">
        <f t="shared" ca="1" si="129"/>
        <v>3.37718838549073E-2</v>
      </c>
      <c r="AV99" s="914">
        <f t="shared" ca="1" si="129"/>
        <v>3.36111324724419E-2</v>
      </c>
      <c r="AW99" s="914">
        <f t="shared" ca="1" si="129"/>
        <v>3.37718838549073E-2</v>
      </c>
      <c r="AX99" s="914">
        <f t="shared" ca="1" si="129"/>
        <v>3.36111324724419E-2</v>
      </c>
      <c r="AY99" s="914">
        <f t="shared" ca="1" si="129"/>
        <v>3.37718838549073E-2</v>
      </c>
      <c r="AZ99" s="914">
        <f t="shared" ca="1" si="129"/>
        <v>3.36111324724419E-2</v>
      </c>
      <c r="BA99" s="914">
        <f t="shared" ca="1" si="129"/>
        <v>3.37718838549073E-2</v>
      </c>
      <c r="BB99" s="914">
        <f t="shared" ca="1" si="129"/>
        <v>3.36111324724419E-2</v>
      </c>
      <c r="BC99" s="914">
        <f t="shared" ca="1" si="129"/>
        <v>3.37718838549073E-2</v>
      </c>
      <c r="BD99" s="914">
        <f t="shared" ca="1" si="129"/>
        <v>3.36111324724419E-2</v>
      </c>
      <c r="BE99" s="914">
        <f t="shared" ca="1" si="129"/>
        <v>3.37718838549073E-2</v>
      </c>
      <c r="BF99" s="914">
        <f t="shared" ca="1" si="129"/>
        <v>3.36111324724419E-2</v>
      </c>
      <c r="BG99" s="914">
        <f t="shared" ca="1" si="129"/>
        <v>3.37718838549073E-2</v>
      </c>
      <c r="BH99" s="914">
        <f t="shared" ca="1" si="129"/>
        <v>3.36111324724419E-2</v>
      </c>
      <c r="BI99" s="914">
        <f t="shared" ca="1" si="129"/>
        <v>3.37718838549073E-2</v>
      </c>
      <c r="BJ99" s="914">
        <f t="shared" ca="1" si="129"/>
        <v>3.36111324724419E-2</v>
      </c>
      <c r="BK99" s="914">
        <f t="shared" ca="1" si="129"/>
        <v>3.37718838549073E-2</v>
      </c>
      <c r="BL99" s="914">
        <f t="shared" ca="1" si="129"/>
        <v>3.36111324724419E-2</v>
      </c>
      <c r="BM99" s="914">
        <f t="shared" ca="1" si="129"/>
        <v>3.37718838549073E-2</v>
      </c>
      <c r="BN99" s="914">
        <f t="shared" ca="1" si="129"/>
        <v>3.36111324724419E-2</v>
      </c>
      <c r="BO99" s="914">
        <f t="shared" ca="1" si="129"/>
        <v>3.3764525618127372E-2</v>
      </c>
      <c r="BP99" s="798">
        <f t="shared" ca="1" si="106"/>
        <v>0.99999999999999978</v>
      </c>
      <c r="BR99" s="504"/>
      <c r="BS99" s="504"/>
    </row>
    <row r="100" spans="1:71" s="224" customFormat="1">
      <c r="A100" s="175"/>
      <c r="B100" s="176" t="s">
        <v>138</v>
      </c>
      <c r="C100" s="194" t="s">
        <v>167</v>
      </c>
      <c r="D100" s="225" t="s">
        <v>168</v>
      </c>
      <c r="E100" s="196">
        <f>'Quadro 8. - Custos Operacionais'!B8</f>
        <v>388123393.05330884</v>
      </c>
      <c r="F100" s="894">
        <f>'Quadro 8. - Custos Operacionais'!C8</f>
        <v>12409069.773245849</v>
      </c>
      <c r="G100" s="894">
        <f>'Quadro 8. - Custos Operacionais'!D8</f>
        <v>13017413.635836449</v>
      </c>
      <c r="H100" s="894">
        <f>'Quadro 8. - Custos Operacionais'!E8</f>
        <v>13017413.635836449</v>
      </c>
      <c r="I100" s="894">
        <f>'Quadro 8. - Custos Operacionais'!F8</f>
        <v>13017413.635836449</v>
      </c>
      <c r="J100" s="894">
        <f>'Quadro 8. - Custos Operacionais'!G8</f>
        <v>13017413.635836449</v>
      </c>
      <c r="K100" s="894">
        <f>'Quadro 8. - Custos Operacionais'!H8</f>
        <v>12945786.749468697</v>
      </c>
      <c r="L100" s="894">
        <f>'Quadro 8. - Custos Operacionais'!I8</f>
        <v>12945786.749468697</v>
      </c>
      <c r="M100" s="894">
        <f>'Quadro 8. - Custos Operacionais'!J8</f>
        <v>12945786.749468697</v>
      </c>
      <c r="N100" s="894">
        <f>'Quadro 8. - Custos Operacionais'!K8</f>
        <v>12945786.749468697</v>
      </c>
      <c r="O100" s="894">
        <f>'Quadro 8. - Custos Operacionais'!L8</f>
        <v>12945786.749468697</v>
      </c>
      <c r="P100" s="894">
        <f>'Quadro 8. - Custos Operacionais'!M8</f>
        <v>12945786.749468697</v>
      </c>
      <c r="Q100" s="894">
        <f>'Quadro 8. - Custos Operacionais'!N8</f>
        <v>12945786.749468697</v>
      </c>
      <c r="R100" s="894">
        <f>'Quadro 8. - Custos Operacionais'!O8</f>
        <v>12945786.749468697</v>
      </c>
      <c r="S100" s="894">
        <f>'Quadro 8. - Custos Operacionais'!P8</f>
        <v>12945786.749468697</v>
      </c>
      <c r="T100" s="894">
        <f>'Quadro 8. - Custos Operacionais'!Q8</f>
        <v>12945786.749468697</v>
      </c>
      <c r="U100" s="894">
        <f>'Quadro 8. - Custos Operacionais'!R8</f>
        <v>12945786.749468697</v>
      </c>
      <c r="V100" s="894">
        <f>'Quadro 8. - Custos Operacionais'!S8</f>
        <v>12945786.749468697</v>
      </c>
      <c r="W100" s="894">
        <f>'Quadro 8. - Custos Operacionais'!T8</f>
        <v>12945786.749468697</v>
      </c>
      <c r="X100" s="894">
        <f>'Quadro 8. - Custos Operacionais'!U8</f>
        <v>12945786.749468697</v>
      </c>
      <c r="Y100" s="894">
        <f>'Quadro 8. - Custos Operacionais'!V8</f>
        <v>12945786.749468697</v>
      </c>
      <c r="Z100" s="894">
        <f>'Quadro 8. - Custos Operacionais'!W8</f>
        <v>12945786.749468697</v>
      </c>
      <c r="AA100" s="894">
        <f>'Quadro 8. - Custos Operacionais'!X8</f>
        <v>12945786.749468697</v>
      </c>
      <c r="AB100" s="894">
        <f>'Quadro 8. - Custos Operacionais'!Y8</f>
        <v>12945786.749468697</v>
      </c>
      <c r="AC100" s="894">
        <f>'Quadro 8. - Custos Operacionais'!Z8</f>
        <v>12945786.749468697</v>
      </c>
      <c r="AD100" s="894">
        <f>'Quadro 8. - Custos Operacionais'!AA8</f>
        <v>12945786.749468697</v>
      </c>
      <c r="AE100" s="894">
        <f>'Quadro 8. - Custos Operacionais'!AB8</f>
        <v>12945786.749468697</v>
      </c>
      <c r="AF100" s="894">
        <f>'Quadro 8. - Custos Operacionais'!AC8</f>
        <v>12945786.749468697</v>
      </c>
      <c r="AG100" s="894">
        <f>'Quadro 8. - Custos Operacionais'!AD8</f>
        <v>12945786.749468697</v>
      </c>
      <c r="AH100" s="894">
        <f>'Quadro 8. - Custos Operacionais'!AE8</f>
        <v>12945786.749468697</v>
      </c>
      <c r="AI100" s="894">
        <f>'Quadro 8. - Custos Operacionais'!AF8</f>
        <v>12945786.749468697</v>
      </c>
      <c r="AJ100" s="197">
        <f t="shared" si="55"/>
        <v>388123393.05330884</v>
      </c>
      <c r="AK100" s="820"/>
      <c r="AL100" s="895">
        <f>F100/$E$100</f>
        <v>3.1971970758128097E-2</v>
      </c>
      <c r="AM100" s="895">
        <f t="shared" ref="AM100:BO100" si="130">G100/$E$100</f>
        <v>3.353936884203345E-2</v>
      </c>
      <c r="AN100" s="895">
        <f t="shared" si="130"/>
        <v>3.353936884203345E-2</v>
      </c>
      <c r="AO100" s="895">
        <f t="shared" si="130"/>
        <v>3.353936884203345E-2</v>
      </c>
      <c r="AP100" s="895">
        <f t="shared" si="130"/>
        <v>3.353936884203345E-2</v>
      </c>
      <c r="AQ100" s="895">
        <f t="shared" si="130"/>
        <v>3.3354822154949545E-2</v>
      </c>
      <c r="AR100" s="895">
        <f t="shared" si="130"/>
        <v>3.3354822154949545E-2</v>
      </c>
      <c r="AS100" s="895">
        <f t="shared" si="130"/>
        <v>3.3354822154949545E-2</v>
      </c>
      <c r="AT100" s="895">
        <f t="shared" si="130"/>
        <v>3.3354822154949545E-2</v>
      </c>
      <c r="AU100" s="895">
        <f t="shared" si="130"/>
        <v>3.3354822154949545E-2</v>
      </c>
      <c r="AV100" s="895">
        <f t="shared" si="130"/>
        <v>3.3354822154949545E-2</v>
      </c>
      <c r="AW100" s="895">
        <f t="shared" si="130"/>
        <v>3.3354822154949545E-2</v>
      </c>
      <c r="AX100" s="895">
        <f t="shared" si="130"/>
        <v>3.3354822154949545E-2</v>
      </c>
      <c r="AY100" s="895">
        <f t="shared" si="130"/>
        <v>3.3354822154949545E-2</v>
      </c>
      <c r="AZ100" s="895">
        <f t="shared" si="130"/>
        <v>3.3354822154949545E-2</v>
      </c>
      <c r="BA100" s="895">
        <f t="shared" si="130"/>
        <v>3.3354822154949545E-2</v>
      </c>
      <c r="BB100" s="895">
        <f t="shared" si="130"/>
        <v>3.3354822154949545E-2</v>
      </c>
      <c r="BC100" s="895">
        <f t="shared" si="130"/>
        <v>3.3354822154949545E-2</v>
      </c>
      <c r="BD100" s="895">
        <f t="shared" si="130"/>
        <v>3.3354822154949545E-2</v>
      </c>
      <c r="BE100" s="895">
        <f t="shared" si="130"/>
        <v>3.3354822154949545E-2</v>
      </c>
      <c r="BF100" s="895">
        <f t="shared" si="130"/>
        <v>3.3354822154949545E-2</v>
      </c>
      <c r="BG100" s="895">
        <f t="shared" si="130"/>
        <v>3.3354822154949545E-2</v>
      </c>
      <c r="BH100" s="895">
        <f t="shared" si="130"/>
        <v>3.3354822154949545E-2</v>
      </c>
      <c r="BI100" s="895">
        <f t="shared" si="130"/>
        <v>3.3354822154949545E-2</v>
      </c>
      <c r="BJ100" s="895">
        <f t="shared" si="130"/>
        <v>3.3354822154949545E-2</v>
      </c>
      <c r="BK100" s="895">
        <f t="shared" si="130"/>
        <v>3.3354822154949545E-2</v>
      </c>
      <c r="BL100" s="895">
        <f t="shared" si="130"/>
        <v>3.3354822154949545E-2</v>
      </c>
      <c r="BM100" s="895">
        <f t="shared" si="130"/>
        <v>3.3354822154949545E-2</v>
      </c>
      <c r="BN100" s="895">
        <f t="shared" si="130"/>
        <v>3.3354822154949545E-2</v>
      </c>
      <c r="BO100" s="895">
        <f t="shared" si="130"/>
        <v>3.3354822154949545E-2</v>
      </c>
      <c r="BP100" s="909">
        <f t="shared" si="106"/>
        <v>1.0000000000000009</v>
      </c>
      <c r="BR100" s="507"/>
      <c r="BS100" s="507"/>
    </row>
    <row r="101" spans="1:71" s="224" customFormat="1">
      <c r="A101" s="175"/>
      <c r="B101" s="176" t="s">
        <v>138</v>
      </c>
      <c r="C101" s="194" t="s">
        <v>169</v>
      </c>
      <c r="D101" s="225" t="s">
        <v>170</v>
      </c>
      <c r="E101" s="196">
        <f>'Quadro 8. - Custos Operacionais'!B9</f>
        <v>44433739.69470001</v>
      </c>
      <c r="F101" s="894">
        <f>'Quadro 8. - Custos Operacionais'!C9</f>
        <v>1481124.6564900004</v>
      </c>
      <c r="G101" s="894">
        <f>'Quadro 8. - Custos Operacionais'!D9</f>
        <v>1481124.6564900004</v>
      </c>
      <c r="H101" s="894">
        <f>'Quadro 8. - Custos Operacionais'!E9</f>
        <v>1481124.6564900004</v>
      </c>
      <c r="I101" s="894">
        <f>'Quadro 8. - Custos Operacionais'!F9</f>
        <v>1481124.6564900004</v>
      </c>
      <c r="J101" s="894">
        <f>'Quadro 8. - Custos Operacionais'!G9</f>
        <v>1481124.6564900004</v>
      </c>
      <c r="K101" s="894">
        <f>'Quadro 8. - Custos Operacionais'!H9</f>
        <v>1481124.6564900004</v>
      </c>
      <c r="L101" s="894">
        <f>'Quadro 8. - Custos Operacionais'!I9</f>
        <v>1481124.6564900004</v>
      </c>
      <c r="M101" s="894">
        <f>'Quadro 8. - Custos Operacionais'!J9</f>
        <v>1481124.6564900004</v>
      </c>
      <c r="N101" s="894">
        <f>'Quadro 8. - Custos Operacionais'!K9</f>
        <v>1481124.6564900004</v>
      </c>
      <c r="O101" s="894">
        <f>'Quadro 8. - Custos Operacionais'!L9</f>
        <v>1481124.6564900004</v>
      </c>
      <c r="P101" s="894">
        <f>'Quadro 8. - Custos Operacionais'!M9</f>
        <v>1481124.6564900004</v>
      </c>
      <c r="Q101" s="894">
        <f>'Quadro 8. - Custos Operacionais'!N9</f>
        <v>1481124.6564900004</v>
      </c>
      <c r="R101" s="894">
        <f>'Quadro 8. - Custos Operacionais'!O9</f>
        <v>1481124.6564900004</v>
      </c>
      <c r="S101" s="894">
        <f>'Quadro 8. - Custos Operacionais'!P9</f>
        <v>1481124.6564900004</v>
      </c>
      <c r="T101" s="894">
        <f>'Quadro 8. - Custos Operacionais'!Q9</f>
        <v>1481124.6564900004</v>
      </c>
      <c r="U101" s="894">
        <f>'Quadro 8. - Custos Operacionais'!R9</f>
        <v>1481124.6564900004</v>
      </c>
      <c r="V101" s="894">
        <f>'Quadro 8. - Custos Operacionais'!S9</f>
        <v>1481124.6564900004</v>
      </c>
      <c r="W101" s="894">
        <f>'Quadro 8. - Custos Operacionais'!T9</f>
        <v>1481124.6564900004</v>
      </c>
      <c r="X101" s="894">
        <f>'Quadro 8. - Custos Operacionais'!U9</f>
        <v>1481124.6564900004</v>
      </c>
      <c r="Y101" s="894">
        <f>'Quadro 8. - Custos Operacionais'!V9</f>
        <v>1481124.6564900004</v>
      </c>
      <c r="Z101" s="894">
        <f>'Quadro 8. - Custos Operacionais'!W9</f>
        <v>1481124.6564900004</v>
      </c>
      <c r="AA101" s="894">
        <f>'Quadro 8. - Custos Operacionais'!X9</f>
        <v>1481124.6564900004</v>
      </c>
      <c r="AB101" s="894">
        <f>'Quadro 8. - Custos Operacionais'!Y9</f>
        <v>1481124.6564900004</v>
      </c>
      <c r="AC101" s="894">
        <f>'Quadro 8. - Custos Operacionais'!Z9</f>
        <v>1481124.6564900004</v>
      </c>
      <c r="AD101" s="894">
        <f>'Quadro 8. - Custos Operacionais'!AA9</f>
        <v>1481124.6564900004</v>
      </c>
      <c r="AE101" s="894">
        <f>'Quadro 8. - Custos Operacionais'!AB9</f>
        <v>1481124.6564900004</v>
      </c>
      <c r="AF101" s="894">
        <f>'Quadro 8. - Custos Operacionais'!AC9</f>
        <v>1481124.6564900004</v>
      </c>
      <c r="AG101" s="894">
        <f>'Quadro 8. - Custos Operacionais'!AD9</f>
        <v>1481124.6564900004</v>
      </c>
      <c r="AH101" s="894">
        <f>'Quadro 8. - Custos Operacionais'!AE9</f>
        <v>1481124.6564900004</v>
      </c>
      <c r="AI101" s="894">
        <f>'Quadro 8. - Custos Operacionais'!AF9</f>
        <v>1481124.6564900004</v>
      </c>
      <c r="AJ101" s="192">
        <f t="shared" si="55"/>
        <v>44433739.69470001</v>
      </c>
      <c r="AK101" s="820"/>
      <c r="AL101" s="895">
        <f>F101/$E$101</f>
        <v>3.3333333333333333E-2</v>
      </c>
      <c r="AM101" s="895">
        <f t="shared" ref="AM101:BO101" si="131">G101/$E$101</f>
        <v>3.3333333333333333E-2</v>
      </c>
      <c r="AN101" s="895">
        <f t="shared" si="131"/>
        <v>3.3333333333333333E-2</v>
      </c>
      <c r="AO101" s="895">
        <f t="shared" si="131"/>
        <v>3.3333333333333333E-2</v>
      </c>
      <c r="AP101" s="895">
        <f t="shared" si="131"/>
        <v>3.3333333333333333E-2</v>
      </c>
      <c r="AQ101" s="895">
        <f t="shared" si="131"/>
        <v>3.3333333333333333E-2</v>
      </c>
      <c r="AR101" s="895">
        <f t="shared" si="131"/>
        <v>3.3333333333333333E-2</v>
      </c>
      <c r="AS101" s="895">
        <f t="shared" si="131"/>
        <v>3.3333333333333333E-2</v>
      </c>
      <c r="AT101" s="895">
        <f t="shared" si="131"/>
        <v>3.3333333333333333E-2</v>
      </c>
      <c r="AU101" s="895">
        <f t="shared" si="131"/>
        <v>3.3333333333333333E-2</v>
      </c>
      <c r="AV101" s="895">
        <f t="shared" si="131"/>
        <v>3.3333333333333333E-2</v>
      </c>
      <c r="AW101" s="895">
        <f t="shared" si="131"/>
        <v>3.3333333333333333E-2</v>
      </c>
      <c r="AX101" s="895">
        <f t="shared" si="131"/>
        <v>3.3333333333333333E-2</v>
      </c>
      <c r="AY101" s="895">
        <f t="shared" si="131"/>
        <v>3.3333333333333333E-2</v>
      </c>
      <c r="AZ101" s="895">
        <f t="shared" si="131"/>
        <v>3.3333333333333333E-2</v>
      </c>
      <c r="BA101" s="895">
        <f t="shared" si="131"/>
        <v>3.3333333333333333E-2</v>
      </c>
      <c r="BB101" s="895">
        <f t="shared" si="131"/>
        <v>3.3333333333333333E-2</v>
      </c>
      <c r="BC101" s="895">
        <f t="shared" si="131"/>
        <v>3.3333333333333333E-2</v>
      </c>
      <c r="BD101" s="895">
        <f t="shared" si="131"/>
        <v>3.3333333333333333E-2</v>
      </c>
      <c r="BE101" s="895">
        <f t="shared" si="131"/>
        <v>3.3333333333333333E-2</v>
      </c>
      <c r="BF101" s="895">
        <f t="shared" si="131"/>
        <v>3.3333333333333333E-2</v>
      </c>
      <c r="BG101" s="895">
        <f t="shared" si="131"/>
        <v>3.3333333333333333E-2</v>
      </c>
      <c r="BH101" s="895">
        <f t="shared" si="131"/>
        <v>3.3333333333333333E-2</v>
      </c>
      <c r="BI101" s="895">
        <f t="shared" si="131"/>
        <v>3.3333333333333333E-2</v>
      </c>
      <c r="BJ101" s="895">
        <f t="shared" si="131"/>
        <v>3.3333333333333333E-2</v>
      </c>
      <c r="BK101" s="895">
        <f t="shared" si="131"/>
        <v>3.3333333333333333E-2</v>
      </c>
      <c r="BL101" s="895">
        <f t="shared" si="131"/>
        <v>3.3333333333333333E-2</v>
      </c>
      <c r="BM101" s="895">
        <f t="shared" si="131"/>
        <v>3.3333333333333333E-2</v>
      </c>
      <c r="BN101" s="895">
        <f t="shared" si="131"/>
        <v>3.3333333333333333E-2</v>
      </c>
      <c r="BO101" s="895">
        <f t="shared" si="131"/>
        <v>3.3333333333333333E-2</v>
      </c>
      <c r="BP101" s="199">
        <f t="shared" si="106"/>
        <v>0.99999999999999989</v>
      </c>
      <c r="BR101" s="507"/>
      <c r="BS101" s="507"/>
    </row>
    <row r="102" spans="1:71" s="224" customFormat="1">
      <c r="A102" s="175"/>
      <c r="B102" s="176" t="s">
        <v>138</v>
      </c>
      <c r="C102" s="194" t="s">
        <v>171</v>
      </c>
      <c r="D102" s="225" t="s">
        <v>172</v>
      </c>
      <c r="E102" s="196">
        <f>'Quadro 8. - Custos Operacionais'!B10</f>
        <v>27285318.009400304</v>
      </c>
      <c r="F102" s="894">
        <f>'Quadro 8. - Custos Operacionais'!C10</f>
        <v>909510.60031334404</v>
      </c>
      <c r="G102" s="894">
        <f>'Quadro 8. - Custos Operacionais'!D10</f>
        <v>909510.60031334404</v>
      </c>
      <c r="H102" s="894">
        <f>'Quadro 8. - Custos Operacionais'!E10</f>
        <v>909510.60031334404</v>
      </c>
      <c r="I102" s="894">
        <f>'Quadro 8. - Custos Operacionais'!F10</f>
        <v>909510.60031334404</v>
      </c>
      <c r="J102" s="894">
        <f>'Quadro 8. - Custos Operacionais'!G10</f>
        <v>909510.60031334404</v>
      </c>
      <c r="K102" s="894">
        <f>'Quadro 8. - Custos Operacionais'!H10</f>
        <v>909510.60031334404</v>
      </c>
      <c r="L102" s="894">
        <f>'Quadro 8. - Custos Operacionais'!I10</f>
        <v>909510.60031334404</v>
      </c>
      <c r="M102" s="894">
        <f>'Quadro 8. - Custos Operacionais'!J10</f>
        <v>909510.60031334404</v>
      </c>
      <c r="N102" s="894">
        <f>'Quadro 8. - Custos Operacionais'!K10</f>
        <v>909510.60031334404</v>
      </c>
      <c r="O102" s="894">
        <f>'Quadro 8. - Custos Operacionais'!L10</f>
        <v>909510.60031334404</v>
      </c>
      <c r="P102" s="894">
        <f>'Quadro 8. - Custos Operacionais'!M10</f>
        <v>909510.60031334404</v>
      </c>
      <c r="Q102" s="894">
        <f>'Quadro 8. - Custos Operacionais'!N10</f>
        <v>909510.60031334404</v>
      </c>
      <c r="R102" s="894">
        <f>'Quadro 8. - Custos Operacionais'!O10</f>
        <v>909510.60031334404</v>
      </c>
      <c r="S102" s="894">
        <f>'Quadro 8. - Custos Operacionais'!P10</f>
        <v>909510.60031334404</v>
      </c>
      <c r="T102" s="894">
        <f>'Quadro 8. - Custos Operacionais'!Q10</f>
        <v>909510.60031334404</v>
      </c>
      <c r="U102" s="894">
        <f>'Quadro 8. - Custos Operacionais'!R10</f>
        <v>909510.60031334404</v>
      </c>
      <c r="V102" s="894">
        <f>'Quadro 8. - Custos Operacionais'!S10</f>
        <v>909510.60031334404</v>
      </c>
      <c r="W102" s="894">
        <f>'Quadro 8. - Custos Operacionais'!T10</f>
        <v>909510.60031334404</v>
      </c>
      <c r="X102" s="894">
        <f>'Quadro 8. - Custos Operacionais'!U10</f>
        <v>909510.60031334404</v>
      </c>
      <c r="Y102" s="894">
        <f>'Quadro 8. - Custos Operacionais'!V10</f>
        <v>909510.60031334404</v>
      </c>
      <c r="Z102" s="894">
        <f>'Quadro 8. - Custos Operacionais'!W10</f>
        <v>909510.60031334404</v>
      </c>
      <c r="AA102" s="894">
        <f>'Quadro 8. - Custos Operacionais'!X10</f>
        <v>909510.60031334404</v>
      </c>
      <c r="AB102" s="894">
        <f>'Quadro 8. - Custos Operacionais'!Y10</f>
        <v>909510.60031334404</v>
      </c>
      <c r="AC102" s="894">
        <f>'Quadro 8. - Custos Operacionais'!Z10</f>
        <v>909510.60031334404</v>
      </c>
      <c r="AD102" s="894">
        <f>'Quadro 8. - Custos Operacionais'!AA10</f>
        <v>909510.60031334404</v>
      </c>
      <c r="AE102" s="894">
        <f>'Quadro 8. - Custos Operacionais'!AB10</f>
        <v>909510.60031334404</v>
      </c>
      <c r="AF102" s="894">
        <f>'Quadro 8. - Custos Operacionais'!AC10</f>
        <v>909510.60031334404</v>
      </c>
      <c r="AG102" s="894">
        <f>'Quadro 8. - Custos Operacionais'!AD10</f>
        <v>909510.60031334404</v>
      </c>
      <c r="AH102" s="894">
        <f>'Quadro 8. - Custos Operacionais'!AE10</f>
        <v>909510.60031334404</v>
      </c>
      <c r="AI102" s="894">
        <f>'Quadro 8. - Custos Operacionais'!AF10</f>
        <v>909510.60031334404</v>
      </c>
      <c r="AJ102" s="192">
        <f t="shared" si="55"/>
        <v>27285318.009400304</v>
      </c>
      <c r="AK102" s="820"/>
      <c r="AL102" s="895">
        <f>F102/$E$102</f>
        <v>3.3333333333333354E-2</v>
      </c>
      <c r="AM102" s="895">
        <f t="shared" ref="AM102:BO102" si="132">G102/$E$102</f>
        <v>3.3333333333333354E-2</v>
      </c>
      <c r="AN102" s="895">
        <f t="shared" si="132"/>
        <v>3.3333333333333354E-2</v>
      </c>
      <c r="AO102" s="895">
        <f t="shared" si="132"/>
        <v>3.3333333333333354E-2</v>
      </c>
      <c r="AP102" s="895">
        <f t="shared" si="132"/>
        <v>3.3333333333333354E-2</v>
      </c>
      <c r="AQ102" s="895">
        <f t="shared" si="132"/>
        <v>3.3333333333333354E-2</v>
      </c>
      <c r="AR102" s="895">
        <f t="shared" si="132"/>
        <v>3.3333333333333354E-2</v>
      </c>
      <c r="AS102" s="895">
        <f t="shared" si="132"/>
        <v>3.3333333333333354E-2</v>
      </c>
      <c r="AT102" s="895">
        <f t="shared" si="132"/>
        <v>3.3333333333333354E-2</v>
      </c>
      <c r="AU102" s="895">
        <f t="shared" si="132"/>
        <v>3.3333333333333354E-2</v>
      </c>
      <c r="AV102" s="895">
        <f t="shared" si="132"/>
        <v>3.3333333333333354E-2</v>
      </c>
      <c r="AW102" s="895">
        <f t="shared" si="132"/>
        <v>3.3333333333333354E-2</v>
      </c>
      <c r="AX102" s="895">
        <f t="shared" si="132"/>
        <v>3.3333333333333354E-2</v>
      </c>
      <c r="AY102" s="895">
        <f t="shared" si="132"/>
        <v>3.3333333333333354E-2</v>
      </c>
      <c r="AZ102" s="895">
        <f t="shared" si="132"/>
        <v>3.3333333333333354E-2</v>
      </c>
      <c r="BA102" s="895">
        <f t="shared" si="132"/>
        <v>3.3333333333333354E-2</v>
      </c>
      <c r="BB102" s="895">
        <f t="shared" si="132"/>
        <v>3.3333333333333354E-2</v>
      </c>
      <c r="BC102" s="895">
        <f t="shared" si="132"/>
        <v>3.3333333333333354E-2</v>
      </c>
      <c r="BD102" s="895">
        <f t="shared" si="132"/>
        <v>3.3333333333333354E-2</v>
      </c>
      <c r="BE102" s="895">
        <f t="shared" si="132"/>
        <v>3.3333333333333354E-2</v>
      </c>
      <c r="BF102" s="895">
        <f t="shared" si="132"/>
        <v>3.3333333333333354E-2</v>
      </c>
      <c r="BG102" s="895">
        <f t="shared" si="132"/>
        <v>3.3333333333333354E-2</v>
      </c>
      <c r="BH102" s="895">
        <f t="shared" si="132"/>
        <v>3.3333333333333354E-2</v>
      </c>
      <c r="BI102" s="895">
        <f t="shared" si="132"/>
        <v>3.3333333333333354E-2</v>
      </c>
      <c r="BJ102" s="895">
        <f t="shared" si="132"/>
        <v>3.3333333333333354E-2</v>
      </c>
      <c r="BK102" s="895">
        <f t="shared" si="132"/>
        <v>3.3333333333333354E-2</v>
      </c>
      <c r="BL102" s="895">
        <f t="shared" si="132"/>
        <v>3.3333333333333354E-2</v>
      </c>
      <c r="BM102" s="895">
        <f t="shared" si="132"/>
        <v>3.3333333333333354E-2</v>
      </c>
      <c r="BN102" s="895">
        <f t="shared" si="132"/>
        <v>3.3333333333333354E-2</v>
      </c>
      <c r="BO102" s="895">
        <f t="shared" si="132"/>
        <v>3.3333333333333354E-2</v>
      </c>
      <c r="BP102" s="199">
        <f t="shared" si="106"/>
        <v>1</v>
      </c>
      <c r="BR102" s="507"/>
      <c r="BS102" s="507"/>
    </row>
    <row r="103" spans="1:71" s="224" customFormat="1">
      <c r="A103" s="175"/>
      <c r="B103" s="176" t="s">
        <v>138</v>
      </c>
      <c r="C103" s="194" t="s">
        <v>173</v>
      </c>
      <c r="D103" s="225" t="s">
        <v>174</v>
      </c>
      <c r="E103" s="196">
        <f>'Quadro 8. - Custos Operacionais'!B11</f>
        <v>19062878.727416992</v>
      </c>
      <c r="F103" s="894">
        <f>'Quadro 8. - Custos Operacionais'!C11</f>
        <v>0</v>
      </c>
      <c r="G103" s="894">
        <f>'Quadro 8. - Custos Operacionais'!D11</f>
        <v>657340.64577299997</v>
      </c>
      <c r="H103" s="894">
        <f>'Quadro 8. - Custos Operacionais'!E11</f>
        <v>657340.64577299997</v>
      </c>
      <c r="I103" s="894">
        <f>'Quadro 8. - Custos Operacionais'!F11</f>
        <v>657340.64577299997</v>
      </c>
      <c r="J103" s="894">
        <f>'Quadro 8. - Custos Operacionais'!G11</f>
        <v>657340.64577299997</v>
      </c>
      <c r="K103" s="894">
        <f>'Quadro 8. - Custos Operacionais'!H11</f>
        <v>657340.64577299997</v>
      </c>
      <c r="L103" s="894">
        <f>'Quadro 8. - Custos Operacionais'!I11</f>
        <v>657340.64577299997</v>
      </c>
      <c r="M103" s="894">
        <f>'Quadro 8. - Custos Operacionais'!J11</f>
        <v>657340.64577299997</v>
      </c>
      <c r="N103" s="894">
        <f>'Quadro 8. - Custos Operacionais'!K11</f>
        <v>657340.64577299997</v>
      </c>
      <c r="O103" s="894">
        <f>'Quadro 8. - Custos Operacionais'!L11</f>
        <v>657340.64577299997</v>
      </c>
      <c r="P103" s="894">
        <f>'Quadro 8. - Custos Operacionais'!M11</f>
        <v>657340.64577299997</v>
      </c>
      <c r="Q103" s="894">
        <f>'Quadro 8. - Custos Operacionais'!N11</f>
        <v>657340.64577299997</v>
      </c>
      <c r="R103" s="894">
        <f>'Quadro 8. - Custos Operacionais'!O11</f>
        <v>657340.64577299997</v>
      </c>
      <c r="S103" s="894">
        <f>'Quadro 8. - Custos Operacionais'!P11</f>
        <v>657340.64577299997</v>
      </c>
      <c r="T103" s="894">
        <f>'Quadro 8. - Custos Operacionais'!Q11</f>
        <v>657340.64577299997</v>
      </c>
      <c r="U103" s="894">
        <f>'Quadro 8. - Custos Operacionais'!R11</f>
        <v>657340.64577299997</v>
      </c>
      <c r="V103" s="894">
        <f>'Quadro 8. - Custos Operacionais'!S11</f>
        <v>657340.64577299997</v>
      </c>
      <c r="W103" s="894">
        <f>'Quadro 8. - Custos Operacionais'!T11</f>
        <v>657340.64577299997</v>
      </c>
      <c r="X103" s="894">
        <f>'Quadro 8. - Custos Operacionais'!U11</f>
        <v>657340.64577299997</v>
      </c>
      <c r="Y103" s="894">
        <f>'Quadro 8. - Custos Operacionais'!V11</f>
        <v>657340.64577299997</v>
      </c>
      <c r="Z103" s="894">
        <f>'Quadro 8. - Custos Operacionais'!W11</f>
        <v>657340.64577299997</v>
      </c>
      <c r="AA103" s="894">
        <f>'Quadro 8. - Custos Operacionais'!X11</f>
        <v>657340.64577299997</v>
      </c>
      <c r="AB103" s="894">
        <f>'Quadro 8. - Custos Operacionais'!Y11</f>
        <v>657340.64577299997</v>
      </c>
      <c r="AC103" s="894">
        <f>'Quadro 8. - Custos Operacionais'!Z11</f>
        <v>657340.64577299997</v>
      </c>
      <c r="AD103" s="894">
        <f>'Quadro 8. - Custos Operacionais'!AA11</f>
        <v>657340.64577299997</v>
      </c>
      <c r="AE103" s="894">
        <f>'Quadro 8. - Custos Operacionais'!AB11</f>
        <v>657340.64577299997</v>
      </c>
      <c r="AF103" s="894">
        <f>'Quadro 8. - Custos Operacionais'!AC11</f>
        <v>657340.64577299997</v>
      </c>
      <c r="AG103" s="894">
        <f>'Quadro 8. - Custos Operacionais'!AD11</f>
        <v>657340.64577299997</v>
      </c>
      <c r="AH103" s="894">
        <f>'Quadro 8. - Custos Operacionais'!AE11</f>
        <v>657340.64577299997</v>
      </c>
      <c r="AI103" s="894">
        <f>'Quadro 8. - Custos Operacionais'!AF11</f>
        <v>657340.64577299997</v>
      </c>
      <c r="AJ103" s="192">
        <f t="shared" si="55"/>
        <v>19062878.727416992</v>
      </c>
      <c r="AK103" s="820"/>
      <c r="AL103" s="895">
        <f>F103/$E$103</f>
        <v>0</v>
      </c>
      <c r="AM103" s="895">
        <f t="shared" ref="AM103:BO103" si="133">G103/$E$103</f>
        <v>3.4482758620689669E-2</v>
      </c>
      <c r="AN103" s="895">
        <f t="shared" si="133"/>
        <v>3.4482758620689669E-2</v>
      </c>
      <c r="AO103" s="895">
        <f t="shared" si="133"/>
        <v>3.4482758620689669E-2</v>
      </c>
      <c r="AP103" s="895">
        <f t="shared" si="133"/>
        <v>3.4482758620689669E-2</v>
      </c>
      <c r="AQ103" s="895">
        <f t="shared" si="133"/>
        <v>3.4482758620689669E-2</v>
      </c>
      <c r="AR103" s="895">
        <f t="shared" si="133"/>
        <v>3.4482758620689669E-2</v>
      </c>
      <c r="AS103" s="895">
        <f t="shared" si="133"/>
        <v>3.4482758620689669E-2</v>
      </c>
      <c r="AT103" s="895">
        <f t="shared" si="133"/>
        <v>3.4482758620689669E-2</v>
      </c>
      <c r="AU103" s="895">
        <f t="shared" si="133"/>
        <v>3.4482758620689669E-2</v>
      </c>
      <c r="AV103" s="895">
        <f t="shared" si="133"/>
        <v>3.4482758620689669E-2</v>
      </c>
      <c r="AW103" s="895">
        <f t="shared" si="133"/>
        <v>3.4482758620689669E-2</v>
      </c>
      <c r="AX103" s="895">
        <f t="shared" si="133"/>
        <v>3.4482758620689669E-2</v>
      </c>
      <c r="AY103" s="895">
        <f t="shared" si="133"/>
        <v>3.4482758620689669E-2</v>
      </c>
      <c r="AZ103" s="895">
        <f t="shared" si="133"/>
        <v>3.4482758620689669E-2</v>
      </c>
      <c r="BA103" s="895">
        <f t="shared" si="133"/>
        <v>3.4482758620689669E-2</v>
      </c>
      <c r="BB103" s="895">
        <f t="shared" si="133"/>
        <v>3.4482758620689669E-2</v>
      </c>
      <c r="BC103" s="895">
        <f t="shared" si="133"/>
        <v>3.4482758620689669E-2</v>
      </c>
      <c r="BD103" s="895">
        <f t="shared" si="133"/>
        <v>3.4482758620689669E-2</v>
      </c>
      <c r="BE103" s="895">
        <f t="shared" si="133"/>
        <v>3.4482758620689669E-2</v>
      </c>
      <c r="BF103" s="895">
        <f t="shared" si="133"/>
        <v>3.4482758620689669E-2</v>
      </c>
      <c r="BG103" s="895">
        <f t="shared" si="133"/>
        <v>3.4482758620689669E-2</v>
      </c>
      <c r="BH103" s="895">
        <f t="shared" si="133"/>
        <v>3.4482758620689669E-2</v>
      </c>
      <c r="BI103" s="895">
        <f t="shared" si="133"/>
        <v>3.4482758620689669E-2</v>
      </c>
      <c r="BJ103" s="895">
        <f t="shared" si="133"/>
        <v>3.4482758620689669E-2</v>
      </c>
      <c r="BK103" s="895">
        <f t="shared" si="133"/>
        <v>3.4482758620689669E-2</v>
      </c>
      <c r="BL103" s="895">
        <f t="shared" si="133"/>
        <v>3.4482758620689669E-2</v>
      </c>
      <c r="BM103" s="895">
        <f t="shared" si="133"/>
        <v>3.4482758620689669E-2</v>
      </c>
      <c r="BN103" s="895">
        <f t="shared" si="133"/>
        <v>3.4482758620689669E-2</v>
      </c>
      <c r="BO103" s="895">
        <f t="shared" si="133"/>
        <v>3.4482758620689669E-2</v>
      </c>
      <c r="BP103" s="199">
        <f t="shared" si="106"/>
        <v>1.0000000000000011</v>
      </c>
      <c r="BR103" s="507"/>
      <c r="BS103" s="507"/>
    </row>
    <row r="104" spans="1:71" s="224" customFormat="1">
      <c r="A104" s="175"/>
      <c r="B104" s="176" t="s">
        <v>138</v>
      </c>
      <c r="C104" s="194" t="s">
        <v>175</v>
      </c>
      <c r="D104" s="225" t="s">
        <v>176</v>
      </c>
      <c r="E104" s="196">
        <f>'Quadro 8. - Custos Operacionais'!B12</f>
        <v>33178463.023140032</v>
      </c>
      <c r="F104" s="894">
        <f>'Quadro 8. - Custos Operacionais'!C12</f>
        <v>1105948.7674380003</v>
      </c>
      <c r="G104" s="894">
        <f>'Quadro 8. - Custos Operacionais'!D12</f>
        <v>1105948.7674380003</v>
      </c>
      <c r="H104" s="894">
        <f>'Quadro 8. - Custos Operacionais'!E12</f>
        <v>1105948.7674380003</v>
      </c>
      <c r="I104" s="894">
        <f>'Quadro 8. - Custos Operacionais'!F12</f>
        <v>1105948.7674380003</v>
      </c>
      <c r="J104" s="894">
        <f>'Quadro 8. - Custos Operacionais'!G12</f>
        <v>1105948.7674380003</v>
      </c>
      <c r="K104" s="894">
        <f>'Quadro 8. - Custos Operacionais'!H12</f>
        <v>1105948.7674380003</v>
      </c>
      <c r="L104" s="894">
        <f>'Quadro 8. - Custos Operacionais'!I12</f>
        <v>1105948.7674380003</v>
      </c>
      <c r="M104" s="894">
        <f>'Quadro 8. - Custos Operacionais'!J12</f>
        <v>1105948.7674380003</v>
      </c>
      <c r="N104" s="894">
        <f>'Quadro 8. - Custos Operacionais'!K12</f>
        <v>1105948.7674380003</v>
      </c>
      <c r="O104" s="894">
        <f>'Quadro 8. - Custos Operacionais'!L12</f>
        <v>1105948.7674380003</v>
      </c>
      <c r="P104" s="894">
        <f>'Quadro 8. - Custos Operacionais'!M12</f>
        <v>1105948.7674380003</v>
      </c>
      <c r="Q104" s="894">
        <f>'Quadro 8. - Custos Operacionais'!N12</f>
        <v>1105948.7674380003</v>
      </c>
      <c r="R104" s="894">
        <f>'Quadro 8. - Custos Operacionais'!O12</f>
        <v>1105948.7674380003</v>
      </c>
      <c r="S104" s="894">
        <f>'Quadro 8. - Custos Operacionais'!P12</f>
        <v>1105948.7674380003</v>
      </c>
      <c r="T104" s="894">
        <f>'Quadro 8. - Custos Operacionais'!Q12</f>
        <v>1105948.7674380003</v>
      </c>
      <c r="U104" s="894">
        <f>'Quadro 8. - Custos Operacionais'!R12</f>
        <v>1105948.7674380003</v>
      </c>
      <c r="V104" s="894">
        <f>'Quadro 8. - Custos Operacionais'!S12</f>
        <v>1105948.7674380003</v>
      </c>
      <c r="W104" s="894">
        <f>'Quadro 8. - Custos Operacionais'!T12</f>
        <v>1105948.7674380003</v>
      </c>
      <c r="X104" s="894">
        <f>'Quadro 8. - Custos Operacionais'!U12</f>
        <v>1105948.7674380003</v>
      </c>
      <c r="Y104" s="894">
        <f>'Quadro 8. - Custos Operacionais'!V12</f>
        <v>1105948.7674380003</v>
      </c>
      <c r="Z104" s="894">
        <f>'Quadro 8. - Custos Operacionais'!W12</f>
        <v>1105948.7674380003</v>
      </c>
      <c r="AA104" s="894">
        <f>'Quadro 8. - Custos Operacionais'!X12</f>
        <v>1105948.7674380003</v>
      </c>
      <c r="AB104" s="894">
        <f>'Quadro 8. - Custos Operacionais'!Y12</f>
        <v>1105948.7674380003</v>
      </c>
      <c r="AC104" s="894">
        <f>'Quadro 8. - Custos Operacionais'!Z12</f>
        <v>1105948.7674380003</v>
      </c>
      <c r="AD104" s="894">
        <f>'Quadro 8. - Custos Operacionais'!AA12</f>
        <v>1105948.7674380003</v>
      </c>
      <c r="AE104" s="894">
        <f>'Quadro 8. - Custos Operacionais'!AB12</f>
        <v>1105948.7674380003</v>
      </c>
      <c r="AF104" s="894">
        <f>'Quadro 8. - Custos Operacionais'!AC12</f>
        <v>1105948.7674380003</v>
      </c>
      <c r="AG104" s="894">
        <f>'Quadro 8. - Custos Operacionais'!AD12</f>
        <v>1105948.7674380003</v>
      </c>
      <c r="AH104" s="894">
        <f>'Quadro 8. - Custos Operacionais'!AE12</f>
        <v>1105948.7674380003</v>
      </c>
      <c r="AI104" s="894">
        <f>'Quadro 8. - Custos Operacionais'!AF12</f>
        <v>1105948.7674380003</v>
      </c>
      <c r="AJ104" s="192">
        <f t="shared" si="55"/>
        <v>33178463.023140032</v>
      </c>
      <c r="AK104" s="820"/>
      <c r="AL104" s="895">
        <f>F104/$E$104</f>
        <v>3.3333333333333312E-2</v>
      </c>
      <c r="AM104" s="895">
        <f t="shared" ref="AM104:BO104" si="134">G104/$E$104</f>
        <v>3.3333333333333312E-2</v>
      </c>
      <c r="AN104" s="895">
        <f t="shared" si="134"/>
        <v>3.3333333333333312E-2</v>
      </c>
      <c r="AO104" s="895">
        <f t="shared" si="134"/>
        <v>3.3333333333333312E-2</v>
      </c>
      <c r="AP104" s="895">
        <f t="shared" si="134"/>
        <v>3.3333333333333312E-2</v>
      </c>
      <c r="AQ104" s="895">
        <f t="shared" si="134"/>
        <v>3.3333333333333312E-2</v>
      </c>
      <c r="AR104" s="895">
        <f t="shared" si="134"/>
        <v>3.3333333333333312E-2</v>
      </c>
      <c r="AS104" s="895">
        <f t="shared" si="134"/>
        <v>3.3333333333333312E-2</v>
      </c>
      <c r="AT104" s="895">
        <f t="shared" si="134"/>
        <v>3.3333333333333312E-2</v>
      </c>
      <c r="AU104" s="895">
        <f t="shared" si="134"/>
        <v>3.3333333333333312E-2</v>
      </c>
      <c r="AV104" s="895">
        <f t="shared" si="134"/>
        <v>3.3333333333333312E-2</v>
      </c>
      <c r="AW104" s="895">
        <f t="shared" si="134"/>
        <v>3.3333333333333312E-2</v>
      </c>
      <c r="AX104" s="895">
        <f t="shared" si="134"/>
        <v>3.3333333333333312E-2</v>
      </c>
      <c r="AY104" s="895">
        <f t="shared" si="134"/>
        <v>3.3333333333333312E-2</v>
      </c>
      <c r="AZ104" s="895">
        <f t="shared" si="134"/>
        <v>3.3333333333333312E-2</v>
      </c>
      <c r="BA104" s="895">
        <f t="shared" si="134"/>
        <v>3.3333333333333312E-2</v>
      </c>
      <c r="BB104" s="895">
        <f t="shared" si="134"/>
        <v>3.3333333333333312E-2</v>
      </c>
      <c r="BC104" s="895">
        <f t="shared" si="134"/>
        <v>3.3333333333333312E-2</v>
      </c>
      <c r="BD104" s="895">
        <f t="shared" si="134"/>
        <v>3.3333333333333312E-2</v>
      </c>
      <c r="BE104" s="895">
        <f t="shared" si="134"/>
        <v>3.3333333333333312E-2</v>
      </c>
      <c r="BF104" s="895">
        <f t="shared" si="134"/>
        <v>3.3333333333333312E-2</v>
      </c>
      <c r="BG104" s="895">
        <f t="shared" si="134"/>
        <v>3.3333333333333312E-2</v>
      </c>
      <c r="BH104" s="895">
        <f t="shared" si="134"/>
        <v>3.3333333333333312E-2</v>
      </c>
      <c r="BI104" s="895">
        <f t="shared" si="134"/>
        <v>3.3333333333333312E-2</v>
      </c>
      <c r="BJ104" s="895">
        <f t="shared" si="134"/>
        <v>3.3333333333333312E-2</v>
      </c>
      <c r="BK104" s="895">
        <f t="shared" si="134"/>
        <v>3.3333333333333312E-2</v>
      </c>
      <c r="BL104" s="895">
        <f t="shared" si="134"/>
        <v>3.3333333333333312E-2</v>
      </c>
      <c r="BM104" s="895">
        <f t="shared" si="134"/>
        <v>3.3333333333333312E-2</v>
      </c>
      <c r="BN104" s="895">
        <f t="shared" si="134"/>
        <v>3.3333333333333312E-2</v>
      </c>
      <c r="BO104" s="895">
        <f t="shared" si="134"/>
        <v>3.3333333333333312E-2</v>
      </c>
      <c r="BP104" s="199">
        <f t="shared" si="106"/>
        <v>0.99999999999999967</v>
      </c>
      <c r="BR104" s="507"/>
      <c r="BS104" s="507"/>
    </row>
    <row r="105" spans="1:71" s="224" customFormat="1">
      <c r="A105" s="175"/>
      <c r="B105" s="176" t="s">
        <v>138</v>
      </c>
      <c r="C105" s="194" t="s">
        <v>177</v>
      </c>
      <c r="D105" s="225" t="s">
        <v>178</v>
      </c>
      <c r="E105" s="196">
        <f>'Quadro 8. - Custos Operacionais'!B13</f>
        <v>46091250</v>
      </c>
      <c r="F105" s="894">
        <f>'Quadro 8. - Custos Operacionais'!C13</f>
        <v>1536375</v>
      </c>
      <c r="G105" s="894">
        <f>'Quadro 8. - Custos Operacionais'!D13</f>
        <v>1536375</v>
      </c>
      <c r="H105" s="894">
        <f>'Quadro 8. - Custos Operacionais'!E13</f>
        <v>1536375</v>
      </c>
      <c r="I105" s="894">
        <f>'Quadro 8. - Custos Operacionais'!F13</f>
        <v>1536375</v>
      </c>
      <c r="J105" s="894">
        <f>'Quadro 8. - Custos Operacionais'!G13</f>
        <v>1536375</v>
      </c>
      <c r="K105" s="894">
        <f>'Quadro 8. - Custos Operacionais'!H13</f>
        <v>1536375</v>
      </c>
      <c r="L105" s="894">
        <f>'Quadro 8. - Custos Operacionais'!I13</f>
        <v>1536375</v>
      </c>
      <c r="M105" s="894">
        <f>'Quadro 8. - Custos Operacionais'!J13</f>
        <v>1536375</v>
      </c>
      <c r="N105" s="894">
        <f>'Quadro 8. - Custos Operacionais'!K13</f>
        <v>1536375</v>
      </c>
      <c r="O105" s="894">
        <f>'Quadro 8. - Custos Operacionais'!L13</f>
        <v>1536375</v>
      </c>
      <c r="P105" s="894">
        <f>'Quadro 8. - Custos Operacionais'!M13</f>
        <v>1536375</v>
      </c>
      <c r="Q105" s="894">
        <f>'Quadro 8. - Custos Operacionais'!N13</f>
        <v>1536375</v>
      </c>
      <c r="R105" s="894">
        <f>'Quadro 8. - Custos Operacionais'!O13</f>
        <v>1536375</v>
      </c>
      <c r="S105" s="894">
        <f>'Quadro 8. - Custos Operacionais'!P13</f>
        <v>1536375</v>
      </c>
      <c r="T105" s="894">
        <f>'Quadro 8. - Custos Operacionais'!Q13</f>
        <v>1536375</v>
      </c>
      <c r="U105" s="894">
        <f>'Quadro 8. - Custos Operacionais'!R13</f>
        <v>1536375</v>
      </c>
      <c r="V105" s="894">
        <f>'Quadro 8. - Custos Operacionais'!S13</f>
        <v>1536375</v>
      </c>
      <c r="W105" s="894">
        <f>'Quadro 8. - Custos Operacionais'!T13</f>
        <v>1536375</v>
      </c>
      <c r="X105" s="894">
        <f>'Quadro 8. - Custos Operacionais'!U13</f>
        <v>1536375</v>
      </c>
      <c r="Y105" s="894">
        <f>'Quadro 8. - Custos Operacionais'!V13</f>
        <v>1536375</v>
      </c>
      <c r="Z105" s="894">
        <f>'Quadro 8. - Custos Operacionais'!W13</f>
        <v>1536375</v>
      </c>
      <c r="AA105" s="894">
        <f>'Quadro 8. - Custos Operacionais'!X13</f>
        <v>1536375</v>
      </c>
      <c r="AB105" s="894">
        <f>'Quadro 8. - Custos Operacionais'!Y13</f>
        <v>1536375</v>
      </c>
      <c r="AC105" s="894">
        <f>'Quadro 8. - Custos Operacionais'!Z13</f>
        <v>1536375</v>
      </c>
      <c r="AD105" s="894">
        <f>'Quadro 8. - Custos Operacionais'!AA13</f>
        <v>1536375</v>
      </c>
      <c r="AE105" s="894">
        <f>'Quadro 8. - Custos Operacionais'!AB13</f>
        <v>1536375</v>
      </c>
      <c r="AF105" s="894">
        <f>'Quadro 8. - Custos Operacionais'!AC13</f>
        <v>1536375</v>
      </c>
      <c r="AG105" s="894">
        <f>'Quadro 8. - Custos Operacionais'!AD13</f>
        <v>1536375</v>
      </c>
      <c r="AH105" s="894">
        <f>'Quadro 8. - Custos Operacionais'!AE13</f>
        <v>1536375</v>
      </c>
      <c r="AI105" s="894">
        <f>'Quadro 8. - Custos Operacionais'!AF13</f>
        <v>1536375</v>
      </c>
      <c r="AJ105" s="192">
        <f t="shared" si="55"/>
        <v>46091250</v>
      </c>
      <c r="AK105" s="820"/>
      <c r="AL105" s="895">
        <f>F105/$E$105</f>
        <v>3.3333333333333333E-2</v>
      </c>
      <c r="AM105" s="895">
        <f t="shared" ref="AM105:BO105" si="135">G105/$E$105</f>
        <v>3.3333333333333333E-2</v>
      </c>
      <c r="AN105" s="895">
        <f t="shared" si="135"/>
        <v>3.3333333333333333E-2</v>
      </c>
      <c r="AO105" s="895">
        <f t="shared" si="135"/>
        <v>3.3333333333333333E-2</v>
      </c>
      <c r="AP105" s="895">
        <f t="shared" si="135"/>
        <v>3.3333333333333333E-2</v>
      </c>
      <c r="AQ105" s="895">
        <f t="shared" si="135"/>
        <v>3.3333333333333333E-2</v>
      </c>
      <c r="AR105" s="895">
        <f t="shared" si="135"/>
        <v>3.3333333333333333E-2</v>
      </c>
      <c r="AS105" s="895">
        <f t="shared" si="135"/>
        <v>3.3333333333333333E-2</v>
      </c>
      <c r="AT105" s="895">
        <f t="shared" si="135"/>
        <v>3.3333333333333333E-2</v>
      </c>
      <c r="AU105" s="895">
        <f t="shared" si="135"/>
        <v>3.3333333333333333E-2</v>
      </c>
      <c r="AV105" s="895">
        <f t="shared" si="135"/>
        <v>3.3333333333333333E-2</v>
      </c>
      <c r="AW105" s="895">
        <f t="shared" si="135"/>
        <v>3.3333333333333333E-2</v>
      </c>
      <c r="AX105" s="895">
        <f t="shared" si="135"/>
        <v>3.3333333333333333E-2</v>
      </c>
      <c r="AY105" s="895">
        <f t="shared" si="135"/>
        <v>3.3333333333333333E-2</v>
      </c>
      <c r="AZ105" s="895">
        <f t="shared" si="135"/>
        <v>3.3333333333333333E-2</v>
      </c>
      <c r="BA105" s="895">
        <f t="shared" si="135"/>
        <v>3.3333333333333333E-2</v>
      </c>
      <c r="BB105" s="895">
        <f t="shared" si="135"/>
        <v>3.3333333333333333E-2</v>
      </c>
      <c r="BC105" s="895">
        <f t="shared" si="135"/>
        <v>3.3333333333333333E-2</v>
      </c>
      <c r="BD105" s="895">
        <f t="shared" si="135"/>
        <v>3.3333333333333333E-2</v>
      </c>
      <c r="BE105" s="895">
        <f t="shared" si="135"/>
        <v>3.3333333333333333E-2</v>
      </c>
      <c r="BF105" s="895">
        <f t="shared" si="135"/>
        <v>3.3333333333333333E-2</v>
      </c>
      <c r="BG105" s="895">
        <f t="shared" si="135"/>
        <v>3.3333333333333333E-2</v>
      </c>
      <c r="BH105" s="895">
        <f t="shared" si="135"/>
        <v>3.3333333333333333E-2</v>
      </c>
      <c r="BI105" s="895">
        <f t="shared" si="135"/>
        <v>3.3333333333333333E-2</v>
      </c>
      <c r="BJ105" s="895">
        <f t="shared" si="135"/>
        <v>3.3333333333333333E-2</v>
      </c>
      <c r="BK105" s="895">
        <f t="shared" si="135"/>
        <v>3.3333333333333333E-2</v>
      </c>
      <c r="BL105" s="895">
        <f t="shared" si="135"/>
        <v>3.3333333333333333E-2</v>
      </c>
      <c r="BM105" s="895">
        <f t="shared" si="135"/>
        <v>3.3333333333333333E-2</v>
      </c>
      <c r="BN105" s="895">
        <f t="shared" si="135"/>
        <v>3.3333333333333333E-2</v>
      </c>
      <c r="BO105" s="895">
        <f t="shared" si="135"/>
        <v>3.3333333333333333E-2</v>
      </c>
      <c r="BP105" s="199">
        <f t="shared" si="106"/>
        <v>0.99999999999999989</v>
      </c>
      <c r="BR105" s="507"/>
      <c r="BS105" s="507"/>
    </row>
    <row r="106" spans="1:71" s="224" customFormat="1">
      <c r="A106" s="175"/>
      <c r="B106" s="176" t="s">
        <v>138</v>
      </c>
      <c r="C106" s="194" t="s">
        <v>179</v>
      </c>
      <c r="D106" s="225" t="s">
        <v>180</v>
      </c>
      <c r="E106" s="196">
        <f>'Quadro 8. - Custos Operacionais'!B14</f>
        <v>61652700.000000007</v>
      </c>
      <c r="F106" s="894">
        <f>'Quadro 8. - Custos Operacionais'!C14</f>
        <v>2055090.0000000002</v>
      </c>
      <c r="G106" s="894">
        <f>'Quadro 8. - Custos Operacionais'!D14</f>
        <v>2055090.0000000002</v>
      </c>
      <c r="H106" s="894">
        <f>'Quadro 8. - Custos Operacionais'!E14</f>
        <v>2055090.0000000002</v>
      </c>
      <c r="I106" s="894">
        <f>'Quadro 8. - Custos Operacionais'!F14</f>
        <v>2055090.0000000002</v>
      </c>
      <c r="J106" s="894">
        <f>'Quadro 8. - Custos Operacionais'!G14</f>
        <v>2055090.0000000002</v>
      </c>
      <c r="K106" s="894">
        <f>'Quadro 8. - Custos Operacionais'!H14</f>
        <v>2055090.0000000002</v>
      </c>
      <c r="L106" s="894">
        <f>'Quadro 8. - Custos Operacionais'!I14</f>
        <v>2055090.0000000002</v>
      </c>
      <c r="M106" s="894">
        <f>'Quadro 8. - Custos Operacionais'!J14</f>
        <v>2055090.0000000002</v>
      </c>
      <c r="N106" s="894">
        <f>'Quadro 8. - Custos Operacionais'!K14</f>
        <v>2055090.0000000002</v>
      </c>
      <c r="O106" s="894">
        <f>'Quadro 8. - Custos Operacionais'!L14</f>
        <v>2055090.0000000002</v>
      </c>
      <c r="P106" s="894">
        <f>'Quadro 8. - Custos Operacionais'!M14</f>
        <v>2055090.0000000002</v>
      </c>
      <c r="Q106" s="894">
        <f>'Quadro 8. - Custos Operacionais'!N14</f>
        <v>2055090.0000000002</v>
      </c>
      <c r="R106" s="894">
        <f>'Quadro 8. - Custos Operacionais'!O14</f>
        <v>2055090.0000000002</v>
      </c>
      <c r="S106" s="894">
        <f>'Quadro 8. - Custos Operacionais'!P14</f>
        <v>2055090.0000000002</v>
      </c>
      <c r="T106" s="894">
        <f>'Quadro 8. - Custos Operacionais'!Q14</f>
        <v>2055090.0000000002</v>
      </c>
      <c r="U106" s="894">
        <f>'Quadro 8. - Custos Operacionais'!R14</f>
        <v>2055090.0000000002</v>
      </c>
      <c r="V106" s="894">
        <f>'Quadro 8. - Custos Operacionais'!S14</f>
        <v>2055090.0000000002</v>
      </c>
      <c r="W106" s="894">
        <f>'Quadro 8. - Custos Operacionais'!T14</f>
        <v>2055090.0000000002</v>
      </c>
      <c r="X106" s="894">
        <f>'Quadro 8. - Custos Operacionais'!U14</f>
        <v>2055090.0000000002</v>
      </c>
      <c r="Y106" s="894">
        <f>'Quadro 8. - Custos Operacionais'!V14</f>
        <v>2055090.0000000002</v>
      </c>
      <c r="Z106" s="894">
        <f>'Quadro 8. - Custos Operacionais'!W14</f>
        <v>2055090.0000000002</v>
      </c>
      <c r="AA106" s="894">
        <f>'Quadro 8. - Custos Operacionais'!X14</f>
        <v>2055090.0000000002</v>
      </c>
      <c r="AB106" s="894">
        <f>'Quadro 8. - Custos Operacionais'!Y14</f>
        <v>2055090.0000000002</v>
      </c>
      <c r="AC106" s="894">
        <f>'Quadro 8. - Custos Operacionais'!Z14</f>
        <v>2055090.0000000002</v>
      </c>
      <c r="AD106" s="894">
        <f>'Quadro 8. - Custos Operacionais'!AA14</f>
        <v>2055090.0000000002</v>
      </c>
      <c r="AE106" s="894">
        <f>'Quadro 8. - Custos Operacionais'!AB14</f>
        <v>2055090.0000000002</v>
      </c>
      <c r="AF106" s="894">
        <f>'Quadro 8. - Custos Operacionais'!AC14</f>
        <v>2055090.0000000002</v>
      </c>
      <c r="AG106" s="894">
        <f>'Quadro 8. - Custos Operacionais'!AD14</f>
        <v>2055090.0000000002</v>
      </c>
      <c r="AH106" s="894">
        <f>'Quadro 8. - Custos Operacionais'!AE14</f>
        <v>2055090.0000000002</v>
      </c>
      <c r="AI106" s="894">
        <f>'Quadro 8. - Custos Operacionais'!AF14</f>
        <v>2055090.0000000002</v>
      </c>
      <c r="AJ106" s="192">
        <f t="shared" si="55"/>
        <v>61652700.000000007</v>
      </c>
      <c r="AK106" s="820"/>
      <c r="AL106" s="895">
        <f>F106/$E$106</f>
        <v>3.3333333333333333E-2</v>
      </c>
      <c r="AM106" s="895">
        <f t="shared" ref="AM106:BO106" si="136">G106/$E$106</f>
        <v>3.3333333333333333E-2</v>
      </c>
      <c r="AN106" s="895">
        <f t="shared" si="136"/>
        <v>3.3333333333333333E-2</v>
      </c>
      <c r="AO106" s="895">
        <f t="shared" si="136"/>
        <v>3.3333333333333333E-2</v>
      </c>
      <c r="AP106" s="895">
        <f t="shared" si="136"/>
        <v>3.3333333333333333E-2</v>
      </c>
      <c r="AQ106" s="895">
        <f t="shared" si="136"/>
        <v>3.3333333333333333E-2</v>
      </c>
      <c r="AR106" s="895">
        <f t="shared" si="136"/>
        <v>3.3333333333333333E-2</v>
      </c>
      <c r="AS106" s="895">
        <f t="shared" si="136"/>
        <v>3.3333333333333333E-2</v>
      </c>
      <c r="AT106" s="895">
        <f t="shared" si="136"/>
        <v>3.3333333333333333E-2</v>
      </c>
      <c r="AU106" s="895">
        <f t="shared" si="136"/>
        <v>3.3333333333333333E-2</v>
      </c>
      <c r="AV106" s="895">
        <f t="shared" si="136"/>
        <v>3.3333333333333333E-2</v>
      </c>
      <c r="AW106" s="895">
        <f t="shared" si="136"/>
        <v>3.3333333333333333E-2</v>
      </c>
      <c r="AX106" s="895">
        <f t="shared" si="136"/>
        <v>3.3333333333333333E-2</v>
      </c>
      <c r="AY106" s="895">
        <f t="shared" si="136"/>
        <v>3.3333333333333333E-2</v>
      </c>
      <c r="AZ106" s="895">
        <f t="shared" si="136"/>
        <v>3.3333333333333333E-2</v>
      </c>
      <c r="BA106" s="895">
        <f t="shared" si="136"/>
        <v>3.3333333333333333E-2</v>
      </c>
      <c r="BB106" s="895">
        <f t="shared" si="136"/>
        <v>3.3333333333333333E-2</v>
      </c>
      <c r="BC106" s="895">
        <f t="shared" si="136"/>
        <v>3.3333333333333333E-2</v>
      </c>
      <c r="BD106" s="895">
        <f t="shared" si="136"/>
        <v>3.3333333333333333E-2</v>
      </c>
      <c r="BE106" s="895">
        <f t="shared" si="136"/>
        <v>3.3333333333333333E-2</v>
      </c>
      <c r="BF106" s="895">
        <f t="shared" si="136"/>
        <v>3.3333333333333333E-2</v>
      </c>
      <c r="BG106" s="895">
        <f t="shared" si="136"/>
        <v>3.3333333333333333E-2</v>
      </c>
      <c r="BH106" s="895">
        <f t="shared" si="136"/>
        <v>3.3333333333333333E-2</v>
      </c>
      <c r="BI106" s="895">
        <f t="shared" si="136"/>
        <v>3.3333333333333333E-2</v>
      </c>
      <c r="BJ106" s="895">
        <f t="shared" si="136"/>
        <v>3.3333333333333333E-2</v>
      </c>
      <c r="BK106" s="895">
        <f t="shared" si="136"/>
        <v>3.3333333333333333E-2</v>
      </c>
      <c r="BL106" s="895">
        <f t="shared" si="136"/>
        <v>3.3333333333333333E-2</v>
      </c>
      <c r="BM106" s="895">
        <f t="shared" si="136"/>
        <v>3.3333333333333333E-2</v>
      </c>
      <c r="BN106" s="895">
        <f t="shared" si="136"/>
        <v>3.3333333333333333E-2</v>
      </c>
      <c r="BO106" s="895">
        <f t="shared" si="136"/>
        <v>3.3333333333333333E-2</v>
      </c>
      <c r="BP106" s="199">
        <f t="shared" si="106"/>
        <v>0.99999999999999989</v>
      </c>
      <c r="BR106" s="507"/>
      <c r="BS106" s="507"/>
    </row>
    <row r="107" spans="1:71" s="224" customFormat="1">
      <c r="A107" s="175"/>
      <c r="B107" s="176" t="s">
        <v>138</v>
      </c>
      <c r="C107" s="194" t="s">
        <v>181</v>
      </c>
      <c r="D107" s="225" t="s">
        <v>182</v>
      </c>
      <c r="E107" s="196">
        <f>'Quadro 8. - Custos Operacionais'!B15</f>
        <v>38911950</v>
      </c>
      <c r="F107" s="894">
        <f>'Quadro 8. - Custos Operacionais'!C15</f>
        <v>1297065</v>
      </c>
      <c r="G107" s="894">
        <f>'Quadro 8. - Custos Operacionais'!D15</f>
        <v>1297065</v>
      </c>
      <c r="H107" s="894">
        <f>'Quadro 8. - Custos Operacionais'!E15</f>
        <v>1297065</v>
      </c>
      <c r="I107" s="894">
        <f>'Quadro 8. - Custos Operacionais'!F15</f>
        <v>1297065</v>
      </c>
      <c r="J107" s="894">
        <f>'Quadro 8. - Custos Operacionais'!G15</f>
        <v>1297065</v>
      </c>
      <c r="K107" s="894">
        <f>'Quadro 8. - Custos Operacionais'!H15</f>
        <v>1297065</v>
      </c>
      <c r="L107" s="894">
        <f>'Quadro 8. - Custos Operacionais'!I15</f>
        <v>1297065</v>
      </c>
      <c r="M107" s="894">
        <f>'Quadro 8. - Custos Operacionais'!J15</f>
        <v>1297065</v>
      </c>
      <c r="N107" s="894">
        <f>'Quadro 8. - Custos Operacionais'!K15</f>
        <v>1297065</v>
      </c>
      <c r="O107" s="894">
        <f>'Quadro 8. - Custos Operacionais'!L15</f>
        <v>1297065</v>
      </c>
      <c r="P107" s="894">
        <f>'Quadro 8. - Custos Operacionais'!M15</f>
        <v>1297065</v>
      </c>
      <c r="Q107" s="894">
        <f>'Quadro 8. - Custos Operacionais'!N15</f>
        <v>1297065</v>
      </c>
      <c r="R107" s="894">
        <f>'Quadro 8. - Custos Operacionais'!O15</f>
        <v>1297065</v>
      </c>
      <c r="S107" s="894">
        <f>'Quadro 8. - Custos Operacionais'!P15</f>
        <v>1297065</v>
      </c>
      <c r="T107" s="894">
        <f>'Quadro 8. - Custos Operacionais'!Q15</f>
        <v>1297065</v>
      </c>
      <c r="U107" s="894">
        <f>'Quadro 8. - Custos Operacionais'!R15</f>
        <v>1297065</v>
      </c>
      <c r="V107" s="894">
        <f>'Quadro 8. - Custos Operacionais'!S15</f>
        <v>1297065</v>
      </c>
      <c r="W107" s="894">
        <f>'Quadro 8. - Custos Operacionais'!T15</f>
        <v>1297065</v>
      </c>
      <c r="X107" s="894">
        <f>'Quadro 8. - Custos Operacionais'!U15</f>
        <v>1297065</v>
      </c>
      <c r="Y107" s="894">
        <f>'Quadro 8. - Custos Operacionais'!V15</f>
        <v>1297065</v>
      </c>
      <c r="Z107" s="894">
        <f>'Quadro 8. - Custos Operacionais'!W15</f>
        <v>1297065</v>
      </c>
      <c r="AA107" s="894">
        <f>'Quadro 8. - Custos Operacionais'!X15</f>
        <v>1297065</v>
      </c>
      <c r="AB107" s="894">
        <f>'Quadro 8. - Custos Operacionais'!Y15</f>
        <v>1297065</v>
      </c>
      <c r="AC107" s="894">
        <f>'Quadro 8. - Custos Operacionais'!Z15</f>
        <v>1297065</v>
      </c>
      <c r="AD107" s="894">
        <f>'Quadro 8. - Custos Operacionais'!AA15</f>
        <v>1297065</v>
      </c>
      <c r="AE107" s="894">
        <f>'Quadro 8. - Custos Operacionais'!AB15</f>
        <v>1297065</v>
      </c>
      <c r="AF107" s="894">
        <f>'Quadro 8. - Custos Operacionais'!AC15</f>
        <v>1297065</v>
      </c>
      <c r="AG107" s="894">
        <f>'Quadro 8. - Custos Operacionais'!AD15</f>
        <v>1297065</v>
      </c>
      <c r="AH107" s="894">
        <f>'Quadro 8. - Custos Operacionais'!AE15</f>
        <v>1297065</v>
      </c>
      <c r="AI107" s="894">
        <f>'Quadro 8. - Custos Operacionais'!AF15</f>
        <v>1297065</v>
      </c>
      <c r="AJ107" s="192">
        <f t="shared" si="55"/>
        <v>38911950</v>
      </c>
      <c r="AK107" s="820"/>
      <c r="AL107" s="895">
        <f>F107/$E$107</f>
        <v>3.3333333333333333E-2</v>
      </c>
      <c r="AM107" s="895">
        <f t="shared" ref="AM107:BO107" si="137">G107/$E$107</f>
        <v>3.3333333333333333E-2</v>
      </c>
      <c r="AN107" s="895">
        <f t="shared" si="137"/>
        <v>3.3333333333333333E-2</v>
      </c>
      <c r="AO107" s="895">
        <f t="shared" si="137"/>
        <v>3.3333333333333333E-2</v>
      </c>
      <c r="AP107" s="895">
        <f t="shared" si="137"/>
        <v>3.3333333333333333E-2</v>
      </c>
      <c r="AQ107" s="895">
        <f t="shared" si="137"/>
        <v>3.3333333333333333E-2</v>
      </c>
      <c r="AR107" s="895">
        <f t="shared" si="137"/>
        <v>3.3333333333333333E-2</v>
      </c>
      <c r="AS107" s="895">
        <f t="shared" si="137"/>
        <v>3.3333333333333333E-2</v>
      </c>
      <c r="AT107" s="895">
        <f t="shared" si="137"/>
        <v>3.3333333333333333E-2</v>
      </c>
      <c r="AU107" s="895">
        <f t="shared" si="137"/>
        <v>3.3333333333333333E-2</v>
      </c>
      <c r="AV107" s="895">
        <f t="shared" si="137"/>
        <v>3.3333333333333333E-2</v>
      </c>
      <c r="AW107" s="895">
        <f t="shared" si="137"/>
        <v>3.3333333333333333E-2</v>
      </c>
      <c r="AX107" s="895">
        <f t="shared" si="137"/>
        <v>3.3333333333333333E-2</v>
      </c>
      <c r="AY107" s="895">
        <f t="shared" si="137"/>
        <v>3.3333333333333333E-2</v>
      </c>
      <c r="AZ107" s="895">
        <f t="shared" si="137"/>
        <v>3.3333333333333333E-2</v>
      </c>
      <c r="BA107" s="895">
        <f t="shared" si="137"/>
        <v>3.3333333333333333E-2</v>
      </c>
      <c r="BB107" s="895">
        <f t="shared" si="137"/>
        <v>3.3333333333333333E-2</v>
      </c>
      <c r="BC107" s="895">
        <f t="shared" si="137"/>
        <v>3.3333333333333333E-2</v>
      </c>
      <c r="BD107" s="895">
        <f t="shared" si="137"/>
        <v>3.3333333333333333E-2</v>
      </c>
      <c r="BE107" s="895">
        <f t="shared" si="137"/>
        <v>3.3333333333333333E-2</v>
      </c>
      <c r="BF107" s="895">
        <f t="shared" si="137"/>
        <v>3.3333333333333333E-2</v>
      </c>
      <c r="BG107" s="895">
        <f t="shared" si="137"/>
        <v>3.3333333333333333E-2</v>
      </c>
      <c r="BH107" s="895">
        <f t="shared" si="137"/>
        <v>3.3333333333333333E-2</v>
      </c>
      <c r="BI107" s="895">
        <f t="shared" si="137"/>
        <v>3.3333333333333333E-2</v>
      </c>
      <c r="BJ107" s="895">
        <f t="shared" si="137"/>
        <v>3.3333333333333333E-2</v>
      </c>
      <c r="BK107" s="895">
        <f t="shared" si="137"/>
        <v>3.3333333333333333E-2</v>
      </c>
      <c r="BL107" s="895">
        <f t="shared" si="137"/>
        <v>3.3333333333333333E-2</v>
      </c>
      <c r="BM107" s="895">
        <f t="shared" si="137"/>
        <v>3.3333333333333333E-2</v>
      </c>
      <c r="BN107" s="895">
        <f t="shared" si="137"/>
        <v>3.3333333333333333E-2</v>
      </c>
      <c r="BO107" s="895">
        <f t="shared" si="137"/>
        <v>3.3333333333333333E-2</v>
      </c>
      <c r="BP107" s="199">
        <f t="shared" si="106"/>
        <v>0.99999999999999989</v>
      </c>
      <c r="BR107" s="507"/>
      <c r="BS107" s="507"/>
    </row>
    <row r="108" spans="1:71" s="224" customFormat="1">
      <c r="A108" s="175"/>
      <c r="B108" s="176" t="s">
        <v>138</v>
      </c>
      <c r="C108" s="194" t="s">
        <v>183</v>
      </c>
      <c r="D108" s="225" t="s">
        <v>184</v>
      </c>
      <c r="E108" s="196">
        <f>'Quadro 8. - Custos Operacionais'!B16</f>
        <v>70676647.256925017</v>
      </c>
      <c r="F108" s="894">
        <f>'Quadro 8. - Custos Operacionais'!C16</f>
        <v>2355888.2418975011</v>
      </c>
      <c r="G108" s="894">
        <f>'Quadro 8. - Custos Operacionais'!D16</f>
        <v>2355888.2418975011</v>
      </c>
      <c r="H108" s="894">
        <f>'Quadro 8. - Custos Operacionais'!E16</f>
        <v>2355888.2418975011</v>
      </c>
      <c r="I108" s="894">
        <f>'Quadro 8. - Custos Operacionais'!F16</f>
        <v>2355888.2418975011</v>
      </c>
      <c r="J108" s="894">
        <f>'Quadro 8. - Custos Operacionais'!G16</f>
        <v>2355888.2418975011</v>
      </c>
      <c r="K108" s="894">
        <f>'Quadro 8. - Custos Operacionais'!H16</f>
        <v>2355888.2418975011</v>
      </c>
      <c r="L108" s="894">
        <f>'Quadro 8. - Custos Operacionais'!I16</f>
        <v>2355888.2418975011</v>
      </c>
      <c r="M108" s="894">
        <f>'Quadro 8. - Custos Operacionais'!J16</f>
        <v>2355888.2418975011</v>
      </c>
      <c r="N108" s="894">
        <f>'Quadro 8. - Custos Operacionais'!K16</f>
        <v>2355888.2418975011</v>
      </c>
      <c r="O108" s="894">
        <f>'Quadro 8. - Custos Operacionais'!L16</f>
        <v>2355888.2418975011</v>
      </c>
      <c r="P108" s="894">
        <f>'Quadro 8. - Custos Operacionais'!M16</f>
        <v>2355888.2418975011</v>
      </c>
      <c r="Q108" s="894">
        <f>'Quadro 8. - Custos Operacionais'!N16</f>
        <v>2355888.2418975011</v>
      </c>
      <c r="R108" s="894">
        <f>'Quadro 8. - Custos Operacionais'!O16</f>
        <v>2355888.2418975011</v>
      </c>
      <c r="S108" s="894">
        <f>'Quadro 8. - Custos Operacionais'!P16</f>
        <v>2355888.2418975011</v>
      </c>
      <c r="T108" s="894">
        <f>'Quadro 8. - Custos Operacionais'!Q16</f>
        <v>2355888.2418975011</v>
      </c>
      <c r="U108" s="894">
        <f>'Quadro 8. - Custos Operacionais'!R16</f>
        <v>2355888.2418975011</v>
      </c>
      <c r="V108" s="894">
        <f>'Quadro 8. - Custos Operacionais'!S16</f>
        <v>2355888.2418975011</v>
      </c>
      <c r="W108" s="894">
        <f>'Quadro 8. - Custos Operacionais'!T16</f>
        <v>2355888.2418975011</v>
      </c>
      <c r="X108" s="894">
        <f>'Quadro 8. - Custos Operacionais'!U16</f>
        <v>2355888.2418975011</v>
      </c>
      <c r="Y108" s="894">
        <f>'Quadro 8. - Custos Operacionais'!V16</f>
        <v>2355888.2418975011</v>
      </c>
      <c r="Z108" s="894">
        <f>'Quadro 8. - Custos Operacionais'!W16</f>
        <v>2355888.2418975011</v>
      </c>
      <c r="AA108" s="894">
        <f>'Quadro 8. - Custos Operacionais'!X16</f>
        <v>2355888.2418975011</v>
      </c>
      <c r="AB108" s="894">
        <f>'Quadro 8. - Custos Operacionais'!Y16</f>
        <v>2355888.2418975011</v>
      </c>
      <c r="AC108" s="894">
        <f>'Quadro 8. - Custos Operacionais'!Z16</f>
        <v>2355888.2418975011</v>
      </c>
      <c r="AD108" s="894">
        <f>'Quadro 8. - Custos Operacionais'!AA16</f>
        <v>2355888.2418975011</v>
      </c>
      <c r="AE108" s="894">
        <f>'Quadro 8. - Custos Operacionais'!AB16</f>
        <v>2355888.2418975011</v>
      </c>
      <c r="AF108" s="894">
        <f>'Quadro 8. - Custos Operacionais'!AC16</f>
        <v>2355888.2418975011</v>
      </c>
      <c r="AG108" s="894">
        <f>'Quadro 8. - Custos Operacionais'!AD16</f>
        <v>2355888.2418975011</v>
      </c>
      <c r="AH108" s="894">
        <f>'Quadro 8. - Custos Operacionais'!AE16</f>
        <v>2355888.2418975011</v>
      </c>
      <c r="AI108" s="894">
        <f>'Quadro 8. - Custos Operacionais'!AF16</f>
        <v>2355888.2418975011</v>
      </c>
      <c r="AJ108" s="192">
        <f t="shared" si="55"/>
        <v>70676647.256925017</v>
      </c>
      <c r="AK108" s="820"/>
      <c r="AL108" s="895">
        <f>F108/$E$108</f>
        <v>3.333333333333334E-2</v>
      </c>
      <c r="AM108" s="895">
        <f t="shared" ref="AM108:BO108" si="138">G108/$E$108</f>
        <v>3.333333333333334E-2</v>
      </c>
      <c r="AN108" s="895">
        <f t="shared" si="138"/>
        <v>3.333333333333334E-2</v>
      </c>
      <c r="AO108" s="895">
        <f t="shared" si="138"/>
        <v>3.333333333333334E-2</v>
      </c>
      <c r="AP108" s="895">
        <f t="shared" si="138"/>
        <v>3.333333333333334E-2</v>
      </c>
      <c r="AQ108" s="895">
        <f t="shared" si="138"/>
        <v>3.333333333333334E-2</v>
      </c>
      <c r="AR108" s="895">
        <f t="shared" si="138"/>
        <v>3.333333333333334E-2</v>
      </c>
      <c r="AS108" s="895">
        <f t="shared" si="138"/>
        <v>3.333333333333334E-2</v>
      </c>
      <c r="AT108" s="895">
        <f t="shared" si="138"/>
        <v>3.333333333333334E-2</v>
      </c>
      <c r="AU108" s="895">
        <f t="shared" si="138"/>
        <v>3.333333333333334E-2</v>
      </c>
      <c r="AV108" s="895">
        <f t="shared" si="138"/>
        <v>3.333333333333334E-2</v>
      </c>
      <c r="AW108" s="895">
        <f t="shared" si="138"/>
        <v>3.333333333333334E-2</v>
      </c>
      <c r="AX108" s="895">
        <f t="shared" si="138"/>
        <v>3.333333333333334E-2</v>
      </c>
      <c r="AY108" s="895">
        <f t="shared" si="138"/>
        <v>3.333333333333334E-2</v>
      </c>
      <c r="AZ108" s="895">
        <f t="shared" si="138"/>
        <v>3.333333333333334E-2</v>
      </c>
      <c r="BA108" s="895">
        <f t="shared" si="138"/>
        <v>3.333333333333334E-2</v>
      </c>
      <c r="BB108" s="895">
        <f t="shared" si="138"/>
        <v>3.333333333333334E-2</v>
      </c>
      <c r="BC108" s="895">
        <f t="shared" si="138"/>
        <v>3.333333333333334E-2</v>
      </c>
      <c r="BD108" s="895">
        <f t="shared" si="138"/>
        <v>3.333333333333334E-2</v>
      </c>
      <c r="BE108" s="895">
        <f t="shared" si="138"/>
        <v>3.333333333333334E-2</v>
      </c>
      <c r="BF108" s="895">
        <f t="shared" si="138"/>
        <v>3.333333333333334E-2</v>
      </c>
      <c r="BG108" s="895">
        <f t="shared" si="138"/>
        <v>3.333333333333334E-2</v>
      </c>
      <c r="BH108" s="895">
        <f t="shared" si="138"/>
        <v>3.333333333333334E-2</v>
      </c>
      <c r="BI108" s="895">
        <f t="shared" si="138"/>
        <v>3.333333333333334E-2</v>
      </c>
      <c r="BJ108" s="895">
        <f t="shared" si="138"/>
        <v>3.333333333333334E-2</v>
      </c>
      <c r="BK108" s="895">
        <f t="shared" si="138"/>
        <v>3.333333333333334E-2</v>
      </c>
      <c r="BL108" s="895">
        <f t="shared" si="138"/>
        <v>3.333333333333334E-2</v>
      </c>
      <c r="BM108" s="895">
        <f t="shared" si="138"/>
        <v>3.333333333333334E-2</v>
      </c>
      <c r="BN108" s="895">
        <f t="shared" si="138"/>
        <v>3.333333333333334E-2</v>
      </c>
      <c r="BO108" s="895">
        <f t="shared" si="138"/>
        <v>3.333333333333334E-2</v>
      </c>
      <c r="BP108" s="199">
        <f t="shared" si="106"/>
        <v>0.99999999999999989</v>
      </c>
      <c r="BR108" s="507"/>
      <c r="BS108" s="507"/>
    </row>
    <row r="109" spans="1:71" s="224" customFormat="1">
      <c r="A109" s="175"/>
      <c r="B109" s="176" t="s">
        <v>138</v>
      </c>
      <c r="C109" s="194" t="s">
        <v>185</v>
      </c>
      <c r="D109" s="225" t="s">
        <v>186</v>
      </c>
      <c r="E109" s="196">
        <f>'Quadro 8. - Custos Operacionais'!B17</f>
        <v>4700257.6458600005</v>
      </c>
      <c r="F109" s="894">
        <f>'Quadro 8. - Custos Operacionais'!C17</f>
        <v>299961.82279800007</v>
      </c>
      <c r="G109" s="894">
        <f>'Quadro 8. - Custos Operacionais'!D17</f>
        <v>299961.82279800007</v>
      </c>
      <c r="H109" s="894">
        <f>'Quadro 8. - Custos Operacionais'!E17</f>
        <v>299961.82279800007</v>
      </c>
      <c r="I109" s="894">
        <f>'Quadro 8. - Custos Operacionais'!F17</f>
        <v>299961.82279800007</v>
      </c>
      <c r="J109" s="894">
        <f>'Quadro 8. - Custos Operacionais'!G17</f>
        <v>299961.82279800007</v>
      </c>
      <c r="K109" s="894">
        <f>'Quadro 8. - Custos Operacionais'!H17</f>
        <v>299961.82279800007</v>
      </c>
      <c r="L109" s="894">
        <f>'Quadro 8. - Custos Operacionais'!I17</f>
        <v>120853.612878</v>
      </c>
      <c r="M109" s="894">
        <f>'Quadro 8. - Custos Operacionais'!J17</f>
        <v>120853.612878</v>
      </c>
      <c r="N109" s="894">
        <f>'Quadro 8. - Custos Operacionais'!K17</f>
        <v>120853.612878</v>
      </c>
      <c r="O109" s="894">
        <f>'Quadro 8. - Custos Operacionais'!L17</f>
        <v>120853.612878</v>
      </c>
      <c r="P109" s="894">
        <f>'Quadro 8. - Custos Operacionais'!M17</f>
        <v>120853.612878</v>
      </c>
      <c r="Q109" s="894">
        <f>'Quadro 8. - Custos Operacionais'!N17</f>
        <v>120853.612878</v>
      </c>
      <c r="R109" s="894">
        <f>'Quadro 8. - Custos Operacionais'!O17</f>
        <v>120853.612878</v>
      </c>
      <c r="S109" s="894">
        <f>'Quadro 8. - Custos Operacionais'!P17</f>
        <v>120853.612878</v>
      </c>
      <c r="T109" s="894">
        <f>'Quadro 8. - Custos Operacionais'!Q17</f>
        <v>120853.612878</v>
      </c>
      <c r="U109" s="894">
        <f>'Quadro 8. - Custos Operacionais'!R17</f>
        <v>120853.612878</v>
      </c>
      <c r="V109" s="894">
        <f>'Quadro 8. - Custos Operacionais'!S17</f>
        <v>120853.612878</v>
      </c>
      <c r="W109" s="894">
        <f>'Quadro 8. - Custos Operacionais'!T17</f>
        <v>120853.612878</v>
      </c>
      <c r="X109" s="894">
        <f>'Quadro 8. - Custos Operacionais'!U17</f>
        <v>120853.612878</v>
      </c>
      <c r="Y109" s="894">
        <f>'Quadro 8. - Custos Operacionais'!V17</f>
        <v>120853.612878</v>
      </c>
      <c r="Z109" s="894">
        <f>'Quadro 8. - Custos Operacionais'!W17</f>
        <v>120853.612878</v>
      </c>
      <c r="AA109" s="894">
        <f>'Quadro 8. - Custos Operacionais'!X17</f>
        <v>120853.612878</v>
      </c>
      <c r="AB109" s="894">
        <f>'Quadro 8. - Custos Operacionais'!Y17</f>
        <v>120853.612878</v>
      </c>
      <c r="AC109" s="894">
        <f>'Quadro 8. - Custos Operacionais'!Z17</f>
        <v>120853.612878</v>
      </c>
      <c r="AD109" s="894">
        <f>'Quadro 8. - Custos Operacionais'!AA17</f>
        <v>120853.612878</v>
      </c>
      <c r="AE109" s="894">
        <f>'Quadro 8. - Custos Operacionais'!AB17</f>
        <v>120853.612878</v>
      </c>
      <c r="AF109" s="894">
        <f>'Quadro 8. - Custos Operacionais'!AC17</f>
        <v>120853.612878</v>
      </c>
      <c r="AG109" s="894">
        <f>'Quadro 8. - Custos Operacionais'!AD17</f>
        <v>120853.612878</v>
      </c>
      <c r="AH109" s="894">
        <f>'Quadro 8. - Custos Operacionais'!AE17</f>
        <v>120853.612878</v>
      </c>
      <c r="AI109" s="894">
        <f>'Quadro 8. - Custos Operacionais'!AF17</f>
        <v>120853.612878</v>
      </c>
      <c r="AJ109" s="192">
        <f t="shared" ref="AJ109:AJ125" si="139">SUM(F109:AI109)</f>
        <v>4700257.6458600005</v>
      </c>
      <c r="AK109" s="820"/>
      <c r="AL109" s="895">
        <f>F109/$E$109</f>
        <v>6.3818166023772605E-2</v>
      </c>
      <c r="AM109" s="895">
        <f t="shared" ref="AM109:BO109" si="140">G109/$E$109</f>
        <v>6.3818166023772605E-2</v>
      </c>
      <c r="AN109" s="895">
        <f t="shared" si="140"/>
        <v>6.3818166023772605E-2</v>
      </c>
      <c r="AO109" s="895">
        <f t="shared" si="140"/>
        <v>6.3818166023772605E-2</v>
      </c>
      <c r="AP109" s="895">
        <f t="shared" si="140"/>
        <v>6.3818166023772605E-2</v>
      </c>
      <c r="AQ109" s="895">
        <f t="shared" si="140"/>
        <v>6.3818166023772605E-2</v>
      </c>
      <c r="AR109" s="895">
        <f t="shared" si="140"/>
        <v>2.5712125160723517E-2</v>
      </c>
      <c r="AS109" s="895">
        <f t="shared" si="140"/>
        <v>2.5712125160723517E-2</v>
      </c>
      <c r="AT109" s="895">
        <f t="shared" si="140"/>
        <v>2.5712125160723517E-2</v>
      </c>
      <c r="AU109" s="895">
        <f t="shared" si="140"/>
        <v>2.5712125160723517E-2</v>
      </c>
      <c r="AV109" s="895">
        <f t="shared" si="140"/>
        <v>2.5712125160723517E-2</v>
      </c>
      <c r="AW109" s="895">
        <f t="shared" si="140"/>
        <v>2.5712125160723517E-2</v>
      </c>
      <c r="AX109" s="895">
        <f t="shared" si="140"/>
        <v>2.5712125160723517E-2</v>
      </c>
      <c r="AY109" s="895">
        <f t="shared" si="140"/>
        <v>2.5712125160723517E-2</v>
      </c>
      <c r="AZ109" s="895">
        <f t="shared" si="140"/>
        <v>2.5712125160723517E-2</v>
      </c>
      <c r="BA109" s="895">
        <f t="shared" si="140"/>
        <v>2.5712125160723517E-2</v>
      </c>
      <c r="BB109" s="895">
        <f t="shared" si="140"/>
        <v>2.5712125160723517E-2</v>
      </c>
      <c r="BC109" s="895">
        <f t="shared" si="140"/>
        <v>2.5712125160723517E-2</v>
      </c>
      <c r="BD109" s="895">
        <f t="shared" si="140"/>
        <v>2.5712125160723517E-2</v>
      </c>
      <c r="BE109" s="895">
        <f t="shared" si="140"/>
        <v>2.5712125160723517E-2</v>
      </c>
      <c r="BF109" s="895">
        <f t="shared" si="140"/>
        <v>2.5712125160723517E-2</v>
      </c>
      <c r="BG109" s="895">
        <f t="shared" si="140"/>
        <v>2.5712125160723517E-2</v>
      </c>
      <c r="BH109" s="895">
        <f t="shared" si="140"/>
        <v>2.5712125160723517E-2</v>
      </c>
      <c r="BI109" s="895">
        <f t="shared" si="140"/>
        <v>2.5712125160723517E-2</v>
      </c>
      <c r="BJ109" s="895">
        <f t="shared" si="140"/>
        <v>2.5712125160723517E-2</v>
      </c>
      <c r="BK109" s="895">
        <f t="shared" si="140"/>
        <v>2.5712125160723517E-2</v>
      </c>
      <c r="BL109" s="895">
        <f t="shared" si="140"/>
        <v>2.5712125160723517E-2</v>
      </c>
      <c r="BM109" s="895">
        <f t="shared" si="140"/>
        <v>2.5712125160723517E-2</v>
      </c>
      <c r="BN109" s="895">
        <f t="shared" si="140"/>
        <v>2.5712125160723517E-2</v>
      </c>
      <c r="BO109" s="895">
        <f t="shared" si="140"/>
        <v>2.5712125160723517E-2</v>
      </c>
      <c r="BP109" s="199">
        <f t="shared" si="106"/>
        <v>1</v>
      </c>
      <c r="BR109" s="507"/>
      <c r="BS109" s="507"/>
    </row>
    <row r="110" spans="1:71" s="224" customFormat="1">
      <c r="A110" s="175"/>
      <c r="B110" s="176" t="s">
        <v>138</v>
      </c>
      <c r="C110" s="194" t="s">
        <v>187</v>
      </c>
      <c r="D110" s="225" t="s">
        <v>188</v>
      </c>
      <c r="E110" s="196">
        <f>'Quadro 8. - Custos Operacionais'!B18</f>
        <v>522000000</v>
      </c>
      <c r="F110" s="894">
        <f>'Quadro 8. - Custos Operacionais'!C18</f>
        <v>0</v>
      </c>
      <c r="G110" s="894">
        <f>'Quadro 8. - Custos Operacionais'!D18</f>
        <v>18000000</v>
      </c>
      <c r="H110" s="894">
        <f>'Quadro 8. - Custos Operacionais'!E18</f>
        <v>18000000</v>
      </c>
      <c r="I110" s="894">
        <f>'Quadro 8. - Custos Operacionais'!F18</f>
        <v>18000000</v>
      </c>
      <c r="J110" s="894">
        <f>'Quadro 8. - Custos Operacionais'!G18</f>
        <v>18000000</v>
      </c>
      <c r="K110" s="894">
        <f>'Quadro 8. - Custos Operacionais'!H18</f>
        <v>18000000</v>
      </c>
      <c r="L110" s="894">
        <f>'Quadro 8. - Custos Operacionais'!I18</f>
        <v>18000000</v>
      </c>
      <c r="M110" s="894">
        <f>'Quadro 8. - Custos Operacionais'!J18</f>
        <v>18000000</v>
      </c>
      <c r="N110" s="894">
        <f>'Quadro 8. - Custos Operacionais'!K18</f>
        <v>18000000</v>
      </c>
      <c r="O110" s="894">
        <f>'Quadro 8. - Custos Operacionais'!L18</f>
        <v>18000000</v>
      </c>
      <c r="P110" s="894">
        <f>'Quadro 8. - Custos Operacionais'!M18</f>
        <v>18000000</v>
      </c>
      <c r="Q110" s="894">
        <f>'Quadro 8. - Custos Operacionais'!N18</f>
        <v>18000000</v>
      </c>
      <c r="R110" s="894">
        <f>'Quadro 8. - Custos Operacionais'!O18</f>
        <v>18000000</v>
      </c>
      <c r="S110" s="894">
        <f>'Quadro 8. - Custos Operacionais'!P18</f>
        <v>18000000</v>
      </c>
      <c r="T110" s="894">
        <f>'Quadro 8. - Custos Operacionais'!Q18</f>
        <v>18000000</v>
      </c>
      <c r="U110" s="894">
        <f>'Quadro 8. - Custos Operacionais'!R18</f>
        <v>18000000</v>
      </c>
      <c r="V110" s="894">
        <f>'Quadro 8. - Custos Operacionais'!S18</f>
        <v>18000000</v>
      </c>
      <c r="W110" s="894">
        <f>'Quadro 8. - Custos Operacionais'!T18</f>
        <v>18000000</v>
      </c>
      <c r="X110" s="894">
        <f>'Quadro 8. - Custos Operacionais'!U18</f>
        <v>18000000</v>
      </c>
      <c r="Y110" s="894">
        <f>'Quadro 8. - Custos Operacionais'!V18</f>
        <v>18000000</v>
      </c>
      <c r="Z110" s="894">
        <f>'Quadro 8. - Custos Operacionais'!W18</f>
        <v>18000000</v>
      </c>
      <c r="AA110" s="894">
        <f>'Quadro 8. - Custos Operacionais'!X18</f>
        <v>18000000</v>
      </c>
      <c r="AB110" s="894">
        <f>'Quadro 8. - Custos Operacionais'!Y18</f>
        <v>18000000</v>
      </c>
      <c r="AC110" s="894">
        <f>'Quadro 8. - Custos Operacionais'!Z18</f>
        <v>18000000</v>
      </c>
      <c r="AD110" s="894">
        <f>'Quadro 8. - Custos Operacionais'!AA18</f>
        <v>18000000</v>
      </c>
      <c r="AE110" s="894">
        <f>'Quadro 8. - Custos Operacionais'!AB18</f>
        <v>18000000</v>
      </c>
      <c r="AF110" s="894">
        <f>'Quadro 8. - Custos Operacionais'!AC18</f>
        <v>18000000</v>
      </c>
      <c r="AG110" s="894">
        <f>'Quadro 8. - Custos Operacionais'!AD18</f>
        <v>18000000</v>
      </c>
      <c r="AH110" s="894">
        <f>'Quadro 8. - Custos Operacionais'!AE18</f>
        <v>18000000</v>
      </c>
      <c r="AI110" s="894">
        <f>'Quadro 8. - Custos Operacionais'!AF18</f>
        <v>18000000</v>
      </c>
      <c r="AJ110" s="192">
        <f t="shared" si="139"/>
        <v>522000000</v>
      </c>
      <c r="AK110" s="820"/>
      <c r="AL110" s="895">
        <f>F110/$E$110</f>
        <v>0</v>
      </c>
      <c r="AM110" s="895">
        <f t="shared" ref="AM110:BO110" si="141">G110/$E$110</f>
        <v>3.4482758620689655E-2</v>
      </c>
      <c r="AN110" s="895">
        <f t="shared" si="141"/>
        <v>3.4482758620689655E-2</v>
      </c>
      <c r="AO110" s="895">
        <f t="shared" si="141"/>
        <v>3.4482758620689655E-2</v>
      </c>
      <c r="AP110" s="895">
        <f t="shared" si="141"/>
        <v>3.4482758620689655E-2</v>
      </c>
      <c r="AQ110" s="895">
        <f t="shared" si="141"/>
        <v>3.4482758620689655E-2</v>
      </c>
      <c r="AR110" s="895">
        <f t="shared" si="141"/>
        <v>3.4482758620689655E-2</v>
      </c>
      <c r="AS110" s="895">
        <f t="shared" si="141"/>
        <v>3.4482758620689655E-2</v>
      </c>
      <c r="AT110" s="895">
        <f t="shared" si="141"/>
        <v>3.4482758620689655E-2</v>
      </c>
      <c r="AU110" s="895">
        <f t="shared" si="141"/>
        <v>3.4482758620689655E-2</v>
      </c>
      <c r="AV110" s="895">
        <f t="shared" si="141"/>
        <v>3.4482758620689655E-2</v>
      </c>
      <c r="AW110" s="895">
        <f t="shared" si="141"/>
        <v>3.4482758620689655E-2</v>
      </c>
      <c r="AX110" s="895">
        <f t="shared" si="141"/>
        <v>3.4482758620689655E-2</v>
      </c>
      <c r="AY110" s="895">
        <f t="shared" si="141"/>
        <v>3.4482758620689655E-2</v>
      </c>
      <c r="AZ110" s="895">
        <f t="shared" si="141"/>
        <v>3.4482758620689655E-2</v>
      </c>
      <c r="BA110" s="895">
        <f t="shared" si="141"/>
        <v>3.4482758620689655E-2</v>
      </c>
      <c r="BB110" s="895">
        <f t="shared" si="141"/>
        <v>3.4482758620689655E-2</v>
      </c>
      <c r="BC110" s="895">
        <f t="shared" si="141"/>
        <v>3.4482758620689655E-2</v>
      </c>
      <c r="BD110" s="895">
        <f t="shared" si="141"/>
        <v>3.4482758620689655E-2</v>
      </c>
      <c r="BE110" s="895">
        <f t="shared" si="141"/>
        <v>3.4482758620689655E-2</v>
      </c>
      <c r="BF110" s="895">
        <f t="shared" si="141"/>
        <v>3.4482758620689655E-2</v>
      </c>
      <c r="BG110" s="895">
        <f t="shared" si="141"/>
        <v>3.4482758620689655E-2</v>
      </c>
      <c r="BH110" s="895">
        <f t="shared" si="141"/>
        <v>3.4482758620689655E-2</v>
      </c>
      <c r="BI110" s="895">
        <f t="shared" si="141"/>
        <v>3.4482758620689655E-2</v>
      </c>
      <c r="BJ110" s="895">
        <f t="shared" si="141"/>
        <v>3.4482758620689655E-2</v>
      </c>
      <c r="BK110" s="895">
        <f t="shared" si="141"/>
        <v>3.4482758620689655E-2</v>
      </c>
      <c r="BL110" s="895">
        <f t="shared" si="141"/>
        <v>3.4482758620689655E-2</v>
      </c>
      <c r="BM110" s="895">
        <f t="shared" si="141"/>
        <v>3.4482758620689655E-2</v>
      </c>
      <c r="BN110" s="895">
        <f t="shared" si="141"/>
        <v>3.4482758620689655E-2</v>
      </c>
      <c r="BO110" s="895">
        <f t="shared" si="141"/>
        <v>3.4482758620689655E-2</v>
      </c>
      <c r="BP110" s="199">
        <f t="shared" si="106"/>
        <v>0.99999999999999956</v>
      </c>
      <c r="BR110" s="507"/>
      <c r="BS110" s="507"/>
    </row>
    <row r="111" spans="1:71" s="224" customFormat="1">
      <c r="A111" s="175"/>
      <c r="B111" s="176" t="s">
        <v>138</v>
      </c>
      <c r="C111" s="194" t="s">
        <v>189</v>
      </c>
      <c r="D111" s="225" t="s">
        <v>190</v>
      </c>
      <c r="E111" s="196">
        <f>'Quadro 8. - Custos Operacionais'!B20</f>
        <v>40139510.400000006</v>
      </c>
      <c r="F111" s="894">
        <f>'Quadro 8. - Custos Operacionais'!C20</f>
        <v>2034866.3466666667</v>
      </c>
      <c r="G111" s="894">
        <f>'Quadro 8. - Custos Operacionais'!D20</f>
        <v>2170034.3466666667</v>
      </c>
      <c r="H111" s="894">
        <f>'Quadro 8. - Custos Operacionais'!E20</f>
        <v>1407634.3466666667</v>
      </c>
      <c r="I111" s="894">
        <f>'Quadro 8. - Custos Operacionais'!F20</f>
        <v>1620034.3466666667</v>
      </c>
      <c r="J111" s="894">
        <f>'Quadro 8. - Custos Operacionais'!G20</f>
        <v>1407634.3466666667</v>
      </c>
      <c r="K111" s="894">
        <f>'Quadro 8. - Custos Operacionais'!H20</f>
        <v>1370034.3466666667</v>
      </c>
      <c r="L111" s="894">
        <f>'Quadro 8. - Custos Operacionais'!I20</f>
        <v>1149186.3466666667</v>
      </c>
      <c r="M111" s="894">
        <f>'Quadro 8. - Custos Operacionais'!J20</f>
        <v>1361586.3466666667</v>
      </c>
      <c r="N111" s="894">
        <f>'Quadro 8. - Custos Operacionais'!K20</f>
        <v>1149186.3466666667</v>
      </c>
      <c r="O111" s="894">
        <f>'Quadro 8. - Custos Operacionais'!L20</f>
        <v>1361586.3466666667</v>
      </c>
      <c r="P111" s="894">
        <f>'Quadro 8. - Custos Operacionais'!M20</f>
        <v>1149186.3466666667</v>
      </c>
      <c r="Q111" s="894">
        <f>'Quadro 8. - Custos Operacionais'!N20</f>
        <v>1361586.3466666667</v>
      </c>
      <c r="R111" s="894">
        <f>'Quadro 8. - Custos Operacionais'!O20</f>
        <v>1149186.3466666667</v>
      </c>
      <c r="S111" s="894">
        <f>'Quadro 8. - Custos Operacionais'!P20</f>
        <v>1361586.3466666667</v>
      </c>
      <c r="T111" s="894">
        <f>'Quadro 8. - Custos Operacionais'!Q20</f>
        <v>1149186.3466666667</v>
      </c>
      <c r="U111" s="894">
        <f>'Quadro 8. - Custos Operacionais'!R20</f>
        <v>1361586.3466666667</v>
      </c>
      <c r="V111" s="894">
        <f>'Quadro 8. - Custos Operacionais'!S20</f>
        <v>1149186.3466666667</v>
      </c>
      <c r="W111" s="894">
        <f>'Quadro 8. - Custos Operacionais'!T20</f>
        <v>1361586.3466666667</v>
      </c>
      <c r="X111" s="894">
        <f>'Quadro 8. - Custos Operacionais'!U20</f>
        <v>1149186.3466666667</v>
      </c>
      <c r="Y111" s="894">
        <f>'Quadro 8. - Custos Operacionais'!V20</f>
        <v>1361586.3466666667</v>
      </c>
      <c r="Z111" s="894">
        <f>'Quadro 8. - Custos Operacionais'!W20</f>
        <v>1149186.3466666667</v>
      </c>
      <c r="AA111" s="894">
        <f>'Quadro 8. - Custos Operacionais'!X20</f>
        <v>1361586.3466666667</v>
      </c>
      <c r="AB111" s="894">
        <f>'Quadro 8. - Custos Operacionais'!Y20</f>
        <v>1149186.3466666667</v>
      </c>
      <c r="AC111" s="894">
        <f>'Quadro 8. - Custos Operacionais'!Z20</f>
        <v>1361586.3466666667</v>
      </c>
      <c r="AD111" s="894">
        <f>'Quadro 8. - Custos Operacionais'!AA20</f>
        <v>1149186.3466666667</v>
      </c>
      <c r="AE111" s="894">
        <f>'Quadro 8. - Custos Operacionais'!AB20</f>
        <v>1361586.3466666667</v>
      </c>
      <c r="AF111" s="894">
        <f>'Quadro 8. - Custos Operacionais'!AC20</f>
        <v>1149186.3466666667</v>
      </c>
      <c r="AG111" s="894">
        <f>'Quadro 8. - Custos Operacionais'!AD20</f>
        <v>1361586.3466666667</v>
      </c>
      <c r="AH111" s="894">
        <f>'Quadro 8. - Custos Operacionais'!AE20</f>
        <v>1149186.3466666667</v>
      </c>
      <c r="AI111" s="894">
        <f>'Quadro 8. - Custos Operacionais'!AF20</f>
        <v>1361586.3466666667</v>
      </c>
      <c r="AJ111" s="192">
        <f t="shared" si="139"/>
        <v>40139510.400000006</v>
      </c>
      <c r="AK111" s="820"/>
      <c r="AL111" s="895">
        <f>F111/$E$111</f>
        <v>5.0694847206374155E-2</v>
      </c>
      <c r="AM111" s="895">
        <f t="shared" ref="AM111:BO111" si="142">G111/$E$111</f>
        <v>5.4062302331088385E-2</v>
      </c>
      <c r="AN111" s="895">
        <f t="shared" si="142"/>
        <v>3.5068547987736953E-2</v>
      </c>
      <c r="AO111" s="895">
        <f t="shared" si="142"/>
        <v>4.0360092350968643E-2</v>
      </c>
      <c r="AP111" s="895">
        <f t="shared" si="142"/>
        <v>3.5068547987736953E-2</v>
      </c>
      <c r="AQ111" s="895">
        <f t="shared" si="142"/>
        <v>3.4131815087277854E-2</v>
      </c>
      <c r="AR111" s="895">
        <f t="shared" si="142"/>
        <v>2.8629804778751523E-2</v>
      </c>
      <c r="AS111" s="895">
        <f t="shared" si="142"/>
        <v>3.392134914198322E-2</v>
      </c>
      <c r="AT111" s="895">
        <f t="shared" si="142"/>
        <v>2.8629804778751523E-2</v>
      </c>
      <c r="AU111" s="895">
        <f t="shared" si="142"/>
        <v>3.392134914198322E-2</v>
      </c>
      <c r="AV111" s="895">
        <f t="shared" si="142"/>
        <v>2.8629804778751523E-2</v>
      </c>
      <c r="AW111" s="895">
        <f t="shared" si="142"/>
        <v>3.392134914198322E-2</v>
      </c>
      <c r="AX111" s="895">
        <f t="shared" si="142"/>
        <v>2.8629804778751523E-2</v>
      </c>
      <c r="AY111" s="895">
        <f t="shared" si="142"/>
        <v>3.392134914198322E-2</v>
      </c>
      <c r="AZ111" s="895">
        <f t="shared" si="142"/>
        <v>2.8629804778751523E-2</v>
      </c>
      <c r="BA111" s="895">
        <f t="shared" si="142"/>
        <v>3.392134914198322E-2</v>
      </c>
      <c r="BB111" s="895">
        <f t="shared" si="142"/>
        <v>2.8629804778751523E-2</v>
      </c>
      <c r="BC111" s="895">
        <f t="shared" si="142"/>
        <v>3.392134914198322E-2</v>
      </c>
      <c r="BD111" s="895">
        <f t="shared" si="142"/>
        <v>2.8629804778751523E-2</v>
      </c>
      <c r="BE111" s="895">
        <f t="shared" si="142"/>
        <v>3.392134914198322E-2</v>
      </c>
      <c r="BF111" s="895">
        <f t="shared" si="142"/>
        <v>2.8629804778751523E-2</v>
      </c>
      <c r="BG111" s="895">
        <f t="shared" si="142"/>
        <v>3.392134914198322E-2</v>
      </c>
      <c r="BH111" s="895">
        <f t="shared" si="142"/>
        <v>2.8629804778751523E-2</v>
      </c>
      <c r="BI111" s="895">
        <f t="shared" si="142"/>
        <v>3.392134914198322E-2</v>
      </c>
      <c r="BJ111" s="895">
        <f t="shared" si="142"/>
        <v>2.8629804778751523E-2</v>
      </c>
      <c r="BK111" s="895">
        <f t="shared" si="142"/>
        <v>3.392134914198322E-2</v>
      </c>
      <c r="BL111" s="895">
        <f t="shared" si="142"/>
        <v>2.8629804778751523E-2</v>
      </c>
      <c r="BM111" s="895">
        <f t="shared" si="142"/>
        <v>3.392134914198322E-2</v>
      </c>
      <c r="BN111" s="895">
        <f t="shared" si="142"/>
        <v>2.8629804778751523E-2</v>
      </c>
      <c r="BO111" s="895">
        <f t="shared" si="142"/>
        <v>3.392134914198322E-2</v>
      </c>
      <c r="BP111" s="199">
        <f t="shared" si="106"/>
        <v>0.99999999999999978</v>
      </c>
      <c r="BR111" s="507"/>
      <c r="BS111" s="507"/>
    </row>
    <row r="112" spans="1:71" s="224" customFormat="1" ht="13.15" customHeight="1">
      <c r="A112" s="175"/>
      <c r="B112" s="176" t="s">
        <v>138</v>
      </c>
      <c r="C112" s="194" t="s">
        <v>191</v>
      </c>
      <c r="D112" s="225" t="s">
        <v>192</v>
      </c>
      <c r="E112" s="196">
        <f>'Quadro 8. - Custos Operacionais'!B21</f>
        <v>15472293.711448539</v>
      </c>
      <c r="F112" s="894">
        <f>'Quadro 8. - Custos Operacionais'!C21</f>
        <v>671110.1781419348</v>
      </c>
      <c r="G112" s="894">
        <f>'Quadro 8. - Custos Operacionais'!D21</f>
        <v>721014.18528643495</v>
      </c>
      <c r="H112" s="894">
        <f>'Quadro 8. - Custos Operacionais'!E21</f>
        <v>583014.18528643495</v>
      </c>
      <c r="I112" s="894">
        <f>'Quadro 8. - Custos Operacionais'!F21</f>
        <v>721014.18528643495</v>
      </c>
      <c r="J112" s="894">
        <f>'Quadro 8. - Custos Operacionais'!G21</f>
        <v>583014.18528643495</v>
      </c>
      <c r="K112" s="894">
        <f>'Quadro 8. - Custos Operacionais'!H21</f>
        <v>721014.18528643495</v>
      </c>
      <c r="L112" s="894">
        <f>'Quadro 8. - Custos Operacionais'!I21</f>
        <v>492763.02528643486</v>
      </c>
      <c r="M112" s="894">
        <f>'Quadro 8. - Custos Operacionais'!J21</f>
        <v>492763.02528643486</v>
      </c>
      <c r="N112" s="894">
        <f>'Quadro 8. - Custos Operacionais'!K21</f>
        <v>476663.02528643486</v>
      </c>
      <c r="O112" s="894">
        <f>'Quadro 8. - Custos Operacionais'!L21</f>
        <v>476663.02528643486</v>
      </c>
      <c r="P112" s="894">
        <f>'Quadro 8. - Custos Operacionais'!M21</f>
        <v>476663.02528643486</v>
      </c>
      <c r="Q112" s="894">
        <f>'Quadro 8. - Custos Operacionais'!N21</f>
        <v>476663.02528643486</v>
      </c>
      <c r="R112" s="894">
        <f>'Quadro 8. - Custos Operacionais'!O21</f>
        <v>476663.02528643486</v>
      </c>
      <c r="S112" s="894">
        <f>'Quadro 8. - Custos Operacionais'!P21</f>
        <v>476663.02528643486</v>
      </c>
      <c r="T112" s="894">
        <f>'Quadro 8. - Custos Operacionais'!Q21</f>
        <v>476663.02528643486</v>
      </c>
      <c r="U112" s="894">
        <f>'Quadro 8. - Custos Operacionais'!R21</f>
        <v>476663.02528643486</v>
      </c>
      <c r="V112" s="894">
        <f>'Quadro 8. - Custos Operacionais'!S21</f>
        <v>476663.02528643486</v>
      </c>
      <c r="W112" s="894">
        <f>'Quadro 8. - Custos Operacionais'!T21</f>
        <v>476663.02528643486</v>
      </c>
      <c r="X112" s="894">
        <f>'Quadro 8. - Custos Operacionais'!U21</f>
        <v>476663.02528643486</v>
      </c>
      <c r="Y112" s="894">
        <f>'Quadro 8. - Custos Operacionais'!V21</f>
        <v>476663.02528643486</v>
      </c>
      <c r="Z112" s="894">
        <f>'Quadro 8. - Custos Operacionais'!W21</f>
        <v>476663.02528643486</v>
      </c>
      <c r="AA112" s="894">
        <f>'Quadro 8. - Custos Operacionais'!X21</f>
        <v>476663.02528643486</v>
      </c>
      <c r="AB112" s="894">
        <f>'Quadro 8. - Custos Operacionais'!Y21</f>
        <v>476663.02528643486</v>
      </c>
      <c r="AC112" s="894">
        <f>'Quadro 8. - Custos Operacionais'!Z21</f>
        <v>476663.02528643486</v>
      </c>
      <c r="AD112" s="894">
        <f>'Quadro 8. - Custos Operacionais'!AA21</f>
        <v>476663.02528643486</v>
      </c>
      <c r="AE112" s="894">
        <f>'Quadro 8. - Custos Operacionais'!AB21</f>
        <v>476663.02528643486</v>
      </c>
      <c r="AF112" s="894">
        <f>'Quadro 8. - Custos Operacionais'!AC21</f>
        <v>476663.02528643486</v>
      </c>
      <c r="AG112" s="894">
        <f>'Quadro 8. - Custos Operacionais'!AD21</f>
        <v>476663.02528643486</v>
      </c>
      <c r="AH112" s="894">
        <f>'Quadro 8. - Custos Operacionais'!AE21</f>
        <v>476663.02528643486</v>
      </c>
      <c r="AI112" s="894">
        <f>'Quadro 8. - Custos Operacionais'!AF21</f>
        <v>476663.02528643486</v>
      </c>
      <c r="AJ112" s="192">
        <f t="shared" si="139"/>
        <v>15472293.711448539</v>
      </c>
      <c r="AK112" s="820"/>
      <c r="AL112" s="895">
        <f>F112/$E$112</f>
        <v>4.3374963703368352E-2</v>
      </c>
      <c r="AM112" s="895">
        <f t="shared" ref="AM112:BO112" si="143">G112/$E$112</f>
        <v>4.6600342440043595E-2</v>
      </c>
      <c r="AN112" s="895">
        <f t="shared" si="143"/>
        <v>3.7681173597101547E-2</v>
      </c>
      <c r="AO112" s="895">
        <f t="shared" si="143"/>
        <v>4.6600342440043595E-2</v>
      </c>
      <c r="AP112" s="895">
        <f t="shared" si="143"/>
        <v>3.7681173597101547E-2</v>
      </c>
      <c r="AQ112" s="895">
        <f t="shared" si="143"/>
        <v>4.6600342440043595E-2</v>
      </c>
      <c r="AR112" s="895">
        <f t="shared" si="143"/>
        <v>3.1848091464410394E-2</v>
      </c>
      <c r="AS112" s="895">
        <f t="shared" si="143"/>
        <v>3.1848091464410394E-2</v>
      </c>
      <c r="AT112" s="895">
        <f t="shared" si="143"/>
        <v>3.0807521766067155E-2</v>
      </c>
      <c r="AU112" s="895">
        <f t="shared" si="143"/>
        <v>3.0807521766067155E-2</v>
      </c>
      <c r="AV112" s="895">
        <f t="shared" si="143"/>
        <v>3.0807521766067155E-2</v>
      </c>
      <c r="AW112" s="895">
        <f t="shared" si="143"/>
        <v>3.0807521766067155E-2</v>
      </c>
      <c r="AX112" s="895">
        <f t="shared" si="143"/>
        <v>3.0807521766067155E-2</v>
      </c>
      <c r="AY112" s="895">
        <f t="shared" si="143"/>
        <v>3.0807521766067155E-2</v>
      </c>
      <c r="AZ112" s="895">
        <f t="shared" si="143"/>
        <v>3.0807521766067155E-2</v>
      </c>
      <c r="BA112" s="895">
        <f t="shared" si="143"/>
        <v>3.0807521766067155E-2</v>
      </c>
      <c r="BB112" s="895">
        <f t="shared" si="143"/>
        <v>3.0807521766067155E-2</v>
      </c>
      <c r="BC112" s="895">
        <f t="shared" si="143"/>
        <v>3.0807521766067155E-2</v>
      </c>
      <c r="BD112" s="895">
        <f t="shared" si="143"/>
        <v>3.0807521766067155E-2</v>
      </c>
      <c r="BE112" s="895">
        <f t="shared" si="143"/>
        <v>3.0807521766067155E-2</v>
      </c>
      <c r="BF112" s="895">
        <f t="shared" si="143"/>
        <v>3.0807521766067155E-2</v>
      </c>
      <c r="BG112" s="895">
        <f t="shared" si="143"/>
        <v>3.0807521766067155E-2</v>
      </c>
      <c r="BH112" s="895">
        <f t="shared" si="143"/>
        <v>3.0807521766067155E-2</v>
      </c>
      <c r="BI112" s="895">
        <f t="shared" si="143"/>
        <v>3.0807521766067155E-2</v>
      </c>
      <c r="BJ112" s="895">
        <f t="shared" si="143"/>
        <v>3.0807521766067155E-2</v>
      </c>
      <c r="BK112" s="895">
        <f t="shared" si="143"/>
        <v>3.0807521766067155E-2</v>
      </c>
      <c r="BL112" s="895">
        <f t="shared" si="143"/>
        <v>3.0807521766067155E-2</v>
      </c>
      <c r="BM112" s="895">
        <f t="shared" si="143"/>
        <v>3.0807521766067155E-2</v>
      </c>
      <c r="BN112" s="895">
        <f t="shared" si="143"/>
        <v>3.0807521766067155E-2</v>
      </c>
      <c r="BO112" s="895">
        <f t="shared" si="143"/>
        <v>3.0807521766067155E-2</v>
      </c>
      <c r="BP112" s="199">
        <f t="shared" si="106"/>
        <v>1.0000000000000004</v>
      </c>
      <c r="BR112" s="507"/>
      <c r="BS112" s="507"/>
    </row>
    <row r="113" spans="1:71" s="224" customFormat="1" ht="13.15" customHeight="1">
      <c r="A113" s="175"/>
      <c r="B113" s="176" t="s">
        <v>138</v>
      </c>
      <c r="C113" s="194" t="s">
        <v>193</v>
      </c>
      <c r="D113" s="226" t="s">
        <v>194</v>
      </c>
      <c r="E113" s="196">
        <f ca="1">'Quadro 8. - Custos Operacionais'!B23</f>
        <v>9566611.5748880971</v>
      </c>
      <c r="F113" s="894">
        <f ca="1">'Quadro 8. - Custos Operacionais'!C23</f>
        <v>314050.82547939185</v>
      </c>
      <c r="G113" s="894">
        <f ca="1">'Quadro 8. - Custos Operacionais'!D23</f>
        <v>319389.07417142083</v>
      </c>
      <c r="H113" s="894">
        <f ca="1">'Quadro 8. - Custos Operacionais'!E23</f>
        <v>319389.07417142083</v>
      </c>
      <c r="I113" s="894">
        <f ca="1">'Quadro 8. - Custos Operacionais'!F23</f>
        <v>319389.07417142083</v>
      </c>
      <c r="J113" s="894">
        <f ca="1">'Quadro 8. - Custos Operacionais'!G23</f>
        <v>319389.07417142083</v>
      </c>
      <c r="K113" s="894">
        <f ca="1">'Quadro 8. - Custos Operacionais'!H23</f>
        <v>319389.07417142083</v>
      </c>
      <c r="L113" s="894">
        <f ca="1">'Quadro 8. - Custos Operacionais'!I23</f>
        <v>319389.07417142083</v>
      </c>
      <c r="M113" s="894">
        <f ca="1">'Quadro 8. - Custos Operacionais'!J23</f>
        <v>319389.07417142083</v>
      </c>
      <c r="N113" s="894">
        <f ca="1">'Quadro 8. - Custos Operacionais'!K23</f>
        <v>319389.07417142083</v>
      </c>
      <c r="O113" s="894">
        <f ca="1">'Quadro 8. - Custos Operacionais'!L23</f>
        <v>319389.07417142083</v>
      </c>
      <c r="P113" s="894">
        <f ca="1">'Quadro 8. - Custos Operacionais'!M23</f>
        <v>319389.07417142083</v>
      </c>
      <c r="Q113" s="894">
        <f ca="1">'Quadro 8. - Custos Operacionais'!N23</f>
        <v>319389.07417142083</v>
      </c>
      <c r="R113" s="894">
        <f ca="1">'Quadro 8. - Custos Operacionais'!O23</f>
        <v>319389.07417142083</v>
      </c>
      <c r="S113" s="894">
        <f ca="1">'Quadro 8. - Custos Operacionais'!P23</f>
        <v>319389.07417142083</v>
      </c>
      <c r="T113" s="894">
        <f ca="1">'Quadro 8. - Custos Operacionais'!Q23</f>
        <v>319389.07417142083</v>
      </c>
      <c r="U113" s="894">
        <f ca="1">'Quadro 8. - Custos Operacionais'!R23</f>
        <v>319389.07417142083</v>
      </c>
      <c r="V113" s="894">
        <f ca="1">'Quadro 8. - Custos Operacionais'!S23</f>
        <v>319389.07417142083</v>
      </c>
      <c r="W113" s="894">
        <f ca="1">'Quadro 8. - Custos Operacionais'!T23</f>
        <v>319389.07417142083</v>
      </c>
      <c r="X113" s="894">
        <f ca="1">'Quadro 8. - Custos Operacionais'!U23</f>
        <v>319389.07417142083</v>
      </c>
      <c r="Y113" s="894">
        <f ca="1">'Quadro 8. - Custos Operacionais'!V23</f>
        <v>319389.07417142083</v>
      </c>
      <c r="Z113" s="894">
        <f ca="1">'Quadro 8. - Custos Operacionais'!W23</f>
        <v>319389.07417142083</v>
      </c>
      <c r="AA113" s="894">
        <f ca="1">'Quadro 8. - Custos Operacionais'!X23</f>
        <v>319389.07417142083</v>
      </c>
      <c r="AB113" s="894">
        <f ca="1">'Quadro 8. - Custos Operacionais'!Y23</f>
        <v>319389.07417142083</v>
      </c>
      <c r="AC113" s="894">
        <f ca="1">'Quadro 8. - Custos Operacionais'!Z23</f>
        <v>319389.07417142083</v>
      </c>
      <c r="AD113" s="894">
        <f ca="1">'Quadro 8. - Custos Operacionais'!AA23</f>
        <v>319389.07417142083</v>
      </c>
      <c r="AE113" s="894">
        <f ca="1">'Quadro 8. - Custos Operacionais'!AB23</f>
        <v>319389.07417142083</v>
      </c>
      <c r="AF113" s="894">
        <f ca="1">'Quadro 8. - Custos Operacionais'!AC23</f>
        <v>319389.07417142083</v>
      </c>
      <c r="AG113" s="894">
        <f ca="1">'Quadro 8. - Custos Operacionais'!AD23</f>
        <v>319389.07417142083</v>
      </c>
      <c r="AH113" s="894">
        <f ca="1">'Quadro 8. - Custos Operacionais'!AE23</f>
        <v>319389.07417142083</v>
      </c>
      <c r="AI113" s="894">
        <f ca="1">'Quadro 8. - Custos Operacionais'!AF23</f>
        <v>309666.67260892084</v>
      </c>
      <c r="AJ113" s="192">
        <f t="shared" ca="1" si="139"/>
        <v>9566611.5748880971</v>
      </c>
      <c r="AK113" s="820"/>
      <c r="AL113" s="895">
        <f ca="1">F113/$E$113</f>
        <v>3.2827801465647503E-2</v>
      </c>
      <c r="AM113" s="895">
        <f t="shared" ref="AM113:BO113" ca="1" si="144">G113/$E$113</f>
        <v>3.3385809768821599E-2</v>
      </c>
      <c r="AN113" s="895">
        <f t="shared" ca="1" si="144"/>
        <v>3.3385809768821599E-2</v>
      </c>
      <c r="AO113" s="895">
        <f t="shared" ca="1" si="144"/>
        <v>3.3385809768821599E-2</v>
      </c>
      <c r="AP113" s="895">
        <f t="shared" ca="1" si="144"/>
        <v>3.3385809768821599E-2</v>
      </c>
      <c r="AQ113" s="895">
        <f t="shared" ca="1" si="144"/>
        <v>3.3385809768821599E-2</v>
      </c>
      <c r="AR113" s="895">
        <f t="shared" ca="1" si="144"/>
        <v>3.3385809768821599E-2</v>
      </c>
      <c r="AS113" s="895">
        <f t="shared" ca="1" si="144"/>
        <v>3.3385809768821599E-2</v>
      </c>
      <c r="AT113" s="895">
        <f t="shared" ca="1" si="144"/>
        <v>3.3385809768821599E-2</v>
      </c>
      <c r="AU113" s="895">
        <f t="shared" ca="1" si="144"/>
        <v>3.3385809768821599E-2</v>
      </c>
      <c r="AV113" s="895">
        <f t="shared" ca="1" si="144"/>
        <v>3.3385809768821599E-2</v>
      </c>
      <c r="AW113" s="895">
        <f t="shared" ca="1" si="144"/>
        <v>3.3385809768821599E-2</v>
      </c>
      <c r="AX113" s="895">
        <f t="shared" ca="1" si="144"/>
        <v>3.3385809768821599E-2</v>
      </c>
      <c r="AY113" s="895">
        <f t="shared" ca="1" si="144"/>
        <v>3.3385809768821599E-2</v>
      </c>
      <c r="AZ113" s="895">
        <f t="shared" ca="1" si="144"/>
        <v>3.3385809768821599E-2</v>
      </c>
      <c r="BA113" s="895">
        <f t="shared" ca="1" si="144"/>
        <v>3.3385809768821599E-2</v>
      </c>
      <c r="BB113" s="895">
        <f t="shared" ca="1" si="144"/>
        <v>3.3385809768821599E-2</v>
      </c>
      <c r="BC113" s="895">
        <f t="shared" ca="1" si="144"/>
        <v>3.3385809768821599E-2</v>
      </c>
      <c r="BD113" s="895">
        <f t="shared" ca="1" si="144"/>
        <v>3.3385809768821599E-2</v>
      </c>
      <c r="BE113" s="895">
        <f t="shared" ca="1" si="144"/>
        <v>3.3385809768821599E-2</v>
      </c>
      <c r="BF113" s="895">
        <f t="shared" ca="1" si="144"/>
        <v>3.3385809768821599E-2</v>
      </c>
      <c r="BG113" s="895">
        <f t="shared" ca="1" si="144"/>
        <v>3.3385809768821599E-2</v>
      </c>
      <c r="BH113" s="895">
        <f t="shared" ca="1" si="144"/>
        <v>3.3385809768821599E-2</v>
      </c>
      <c r="BI113" s="895">
        <f t="shared" ca="1" si="144"/>
        <v>3.3385809768821599E-2</v>
      </c>
      <c r="BJ113" s="895">
        <f t="shared" ca="1" si="144"/>
        <v>3.3385809768821599E-2</v>
      </c>
      <c r="BK113" s="895">
        <f t="shared" ca="1" si="144"/>
        <v>3.3385809768821599E-2</v>
      </c>
      <c r="BL113" s="895">
        <f t="shared" ca="1" si="144"/>
        <v>3.3385809768821599E-2</v>
      </c>
      <c r="BM113" s="895">
        <f t="shared" ca="1" si="144"/>
        <v>3.3385809768821599E-2</v>
      </c>
      <c r="BN113" s="895">
        <f t="shared" ca="1" si="144"/>
        <v>3.3385809768821599E-2</v>
      </c>
      <c r="BO113" s="895">
        <f t="shared" ca="1" si="144"/>
        <v>3.2369525007347556E-2</v>
      </c>
      <c r="BP113" s="199">
        <f t="shared" ca="1" si="106"/>
        <v>0.99999999999999922</v>
      </c>
      <c r="BR113" s="507"/>
      <c r="BS113" s="507"/>
    </row>
    <row r="114" spans="1:71" s="224" customFormat="1">
      <c r="A114" s="175"/>
      <c r="B114" s="176" t="s">
        <v>138</v>
      </c>
      <c r="C114" s="194" t="s">
        <v>195</v>
      </c>
      <c r="D114" s="200" t="s">
        <v>62</v>
      </c>
      <c r="E114" s="196"/>
      <c r="F114" s="894">
        <f t="shared" ref="F114:U115" si="145">$E114*AL114</f>
        <v>0</v>
      </c>
      <c r="G114" s="894">
        <f t="shared" si="145"/>
        <v>0</v>
      </c>
      <c r="H114" s="894">
        <f t="shared" si="145"/>
        <v>0</v>
      </c>
      <c r="I114" s="894">
        <f t="shared" si="145"/>
        <v>0</v>
      </c>
      <c r="J114" s="894">
        <f t="shared" si="145"/>
        <v>0</v>
      </c>
      <c r="K114" s="894">
        <f t="shared" si="145"/>
        <v>0</v>
      </c>
      <c r="L114" s="894">
        <f t="shared" si="145"/>
        <v>0</v>
      </c>
      <c r="M114" s="894">
        <f t="shared" si="145"/>
        <v>0</v>
      </c>
      <c r="N114" s="894">
        <f t="shared" si="145"/>
        <v>0</v>
      </c>
      <c r="O114" s="894">
        <f t="shared" si="145"/>
        <v>0</v>
      </c>
      <c r="P114" s="894">
        <f t="shared" si="145"/>
        <v>0</v>
      </c>
      <c r="Q114" s="894">
        <f t="shared" si="145"/>
        <v>0</v>
      </c>
      <c r="R114" s="894">
        <f t="shared" si="145"/>
        <v>0</v>
      </c>
      <c r="S114" s="894">
        <f t="shared" si="145"/>
        <v>0</v>
      </c>
      <c r="T114" s="894">
        <f t="shared" si="145"/>
        <v>0</v>
      </c>
      <c r="U114" s="894">
        <f t="shared" si="145"/>
        <v>0</v>
      </c>
      <c r="V114" s="894">
        <f t="shared" ref="V114:AI116" si="146">$E114*BB114</f>
        <v>0</v>
      </c>
      <c r="W114" s="894">
        <f t="shared" si="146"/>
        <v>0</v>
      </c>
      <c r="X114" s="894">
        <f t="shared" si="146"/>
        <v>0</v>
      </c>
      <c r="Y114" s="894">
        <f t="shared" si="146"/>
        <v>0</v>
      </c>
      <c r="Z114" s="894">
        <f t="shared" si="146"/>
        <v>0</v>
      </c>
      <c r="AA114" s="894">
        <f t="shared" si="146"/>
        <v>0</v>
      </c>
      <c r="AB114" s="894">
        <f t="shared" si="146"/>
        <v>0</v>
      </c>
      <c r="AC114" s="894">
        <f t="shared" si="146"/>
        <v>0</v>
      </c>
      <c r="AD114" s="894">
        <f t="shared" si="146"/>
        <v>0</v>
      </c>
      <c r="AE114" s="894">
        <f t="shared" si="146"/>
        <v>0</v>
      </c>
      <c r="AF114" s="894">
        <f t="shared" si="146"/>
        <v>0</v>
      </c>
      <c r="AG114" s="894">
        <f t="shared" si="146"/>
        <v>0</v>
      </c>
      <c r="AH114" s="894">
        <f t="shared" si="146"/>
        <v>0</v>
      </c>
      <c r="AI114" s="894">
        <f t="shared" si="146"/>
        <v>0</v>
      </c>
      <c r="AJ114" s="192">
        <f t="shared" si="139"/>
        <v>0</v>
      </c>
      <c r="AK114" s="820"/>
      <c r="AL114" s="895"/>
      <c r="AM114" s="895"/>
      <c r="AN114" s="895"/>
      <c r="AO114" s="895"/>
      <c r="AP114" s="895"/>
      <c r="AQ114" s="895"/>
      <c r="AR114" s="895"/>
      <c r="AS114" s="895"/>
      <c r="AT114" s="895"/>
      <c r="AU114" s="895"/>
      <c r="AV114" s="895"/>
      <c r="AW114" s="895"/>
      <c r="AX114" s="895"/>
      <c r="AY114" s="895"/>
      <c r="AZ114" s="895"/>
      <c r="BA114" s="895"/>
      <c r="BB114" s="895"/>
      <c r="BC114" s="895"/>
      <c r="BD114" s="895"/>
      <c r="BE114" s="895"/>
      <c r="BF114" s="895"/>
      <c r="BG114" s="895"/>
      <c r="BH114" s="895"/>
      <c r="BI114" s="895"/>
      <c r="BJ114" s="895"/>
      <c r="BK114" s="895"/>
      <c r="BL114" s="895"/>
      <c r="BM114" s="895"/>
      <c r="BN114" s="895"/>
      <c r="BO114" s="895"/>
      <c r="BP114" s="199">
        <f t="shared" si="106"/>
        <v>0</v>
      </c>
      <c r="BR114" s="507"/>
      <c r="BS114" s="507"/>
    </row>
    <row r="115" spans="1:71" s="224" customFormat="1">
      <c r="A115" s="175"/>
      <c r="B115" s="176" t="s">
        <v>138</v>
      </c>
      <c r="C115" s="194" t="s">
        <v>196</v>
      </c>
      <c r="D115" s="200" t="s">
        <v>62</v>
      </c>
      <c r="E115" s="196"/>
      <c r="F115" s="894">
        <f t="shared" si="145"/>
        <v>0</v>
      </c>
      <c r="G115" s="894">
        <f t="shared" si="145"/>
        <v>0</v>
      </c>
      <c r="H115" s="894">
        <f t="shared" si="145"/>
        <v>0</v>
      </c>
      <c r="I115" s="894">
        <f t="shared" si="145"/>
        <v>0</v>
      </c>
      <c r="J115" s="894">
        <f t="shared" si="145"/>
        <v>0</v>
      </c>
      <c r="K115" s="894">
        <f t="shared" si="145"/>
        <v>0</v>
      </c>
      <c r="L115" s="894">
        <f t="shared" si="145"/>
        <v>0</v>
      </c>
      <c r="M115" s="894">
        <f t="shared" si="145"/>
        <v>0</v>
      </c>
      <c r="N115" s="894">
        <f t="shared" si="145"/>
        <v>0</v>
      </c>
      <c r="O115" s="894">
        <f t="shared" si="145"/>
        <v>0</v>
      </c>
      <c r="P115" s="894">
        <f t="shared" si="145"/>
        <v>0</v>
      </c>
      <c r="Q115" s="894">
        <f t="shared" si="145"/>
        <v>0</v>
      </c>
      <c r="R115" s="894">
        <f t="shared" si="145"/>
        <v>0</v>
      </c>
      <c r="S115" s="894">
        <f t="shared" si="145"/>
        <v>0</v>
      </c>
      <c r="T115" s="894">
        <f t="shared" si="145"/>
        <v>0</v>
      </c>
      <c r="U115" s="894">
        <f t="shared" ref="U115:U116" si="147">$E115*BA115</f>
        <v>0</v>
      </c>
      <c r="V115" s="894">
        <f t="shared" si="146"/>
        <v>0</v>
      </c>
      <c r="W115" s="894">
        <f t="shared" si="146"/>
        <v>0</v>
      </c>
      <c r="X115" s="894">
        <f t="shared" si="146"/>
        <v>0</v>
      </c>
      <c r="Y115" s="894">
        <f t="shared" si="146"/>
        <v>0</v>
      </c>
      <c r="Z115" s="894">
        <f t="shared" si="146"/>
        <v>0</v>
      </c>
      <c r="AA115" s="894">
        <f t="shared" si="146"/>
        <v>0</v>
      </c>
      <c r="AB115" s="894">
        <f t="shared" si="146"/>
        <v>0</v>
      </c>
      <c r="AC115" s="894">
        <f t="shared" si="146"/>
        <v>0</v>
      </c>
      <c r="AD115" s="894">
        <f t="shared" si="146"/>
        <v>0</v>
      </c>
      <c r="AE115" s="894">
        <f t="shared" si="146"/>
        <v>0</v>
      </c>
      <c r="AF115" s="894">
        <f t="shared" si="146"/>
        <v>0</v>
      </c>
      <c r="AG115" s="894">
        <f t="shared" si="146"/>
        <v>0</v>
      </c>
      <c r="AH115" s="894">
        <f t="shared" si="146"/>
        <v>0</v>
      </c>
      <c r="AI115" s="894">
        <f t="shared" si="146"/>
        <v>0</v>
      </c>
      <c r="AJ115" s="192">
        <f t="shared" si="139"/>
        <v>0</v>
      </c>
      <c r="AK115" s="820"/>
      <c r="AL115" s="895"/>
      <c r="AM115" s="895"/>
      <c r="AN115" s="895"/>
      <c r="AO115" s="895"/>
      <c r="AP115" s="895"/>
      <c r="AQ115" s="895"/>
      <c r="AR115" s="895"/>
      <c r="AS115" s="895"/>
      <c r="AT115" s="895"/>
      <c r="AU115" s="895"/>
      <c r="AV115" s="895"/>
      <c r="AW115" s="895"/>
      <c r="AX115" s="895"/>
      <c r="AY115" s="895"/>
      <c r="AZ115" s="895"/>
      <c r="BA115" s="895"/>
      <c r="BB115" s="895"/>
      <c r="BC115" s="895"/>
      <c r="BD115" s="895"/>
      <c r="BE115" s="895"/>
      <c r="BF115" s="895"/>
      <c r="BG115" s="895"/>
      <c r="BH115" s="895"/>
      <c r="BI115" s="895"/>
      <c r="BJ115" s="895"/>
      <c r="BK115" s="895"/>
      <c r="BL115" s="895"/>
      <c r="BM115" s="895"/>
      <c r="BN115" s="895"/>
      <c r="BO115" s="895"/>
      <c r="BP115" s="199">
        <f t="shared" si="106"/>
        <v>0</v>
      </c>
      <c r="BR115" s="507"/>
      <c r="BS115" s="507"/>
    </row>
    <row r="116" spans="1:71" ht="13.5" thickBot="1">
      <c r="B116" s="176" t="s">
        <v>138</v>
      </c>
      <c r="C116" s="194" t="s">
        <v>197</v>
      </c>
      <c r="D116" s="200" t="s">
        <v>62</v>
      </c>
      <c r="E116" s="196"/>
      <c r="F116" s="894">
        <f t="shared" ref="F116:T116" si="148">$E116*AL116</f>
        <v>0</v>
      </c>
      <c r="G116" s="894">
        <f t="shared" si="148"/>
        <v>0</v>
      </c>
      <c r="H116" s="894">
        <f t="shared" si="148"/>
        <v>0</v>
      </c>
      <c r="I116" s="894">
        <f t="shared" si="148"/>
        <v>0</v>
      </c>
      <c r="J116" s="894">
        <f t="shared" si="148"/>
        <v>0</v>
      </c>
      <c r="K116" s="894">
        <f t="shared" si="148"/>
        <v>0</v>
      </c>
      <c r="L116" s="894">
        <f t="shared" si="148"/>
        <v>0</v>
      </c>
      <c r="M116" s="894">
        <f t="shared" si="148"/>
        <v>0</v>
      </c>
      <c r="N116" s="894">
        <f t="shared" si="148"/>
        <v>0</v>
      </c>
      <c r="O116" s="894">
        <f t="shared" si="148"/>
        <v>0</v>
      </c>
      <c r="P116" s="894">
        <f t="shared" si="148"/>
        <v>0</v>
      </c>
      <c r="Q116" s="894">
        <f t="shared" si="148"/>
        <v>0</v>
      </c>
      <c r="R116" s="894">
        <f t="shared" si="148"/>
        <v>0</v>
      </c>
      <c r="S116" s="894">
        <f t="shared" si="148"/>
        <v>0</v>
      </c>
      <c r="T116" s="894">
        <f t="shared" si="148"/>
        <v>0</v>
      </c>
      <c r="U116" s="894">
        <f t="shared" si="147"/>
        <v>0</v>
      </c>
      <c r="V116" s="894">
        <f t="shared" si="146"/>
        <v>0</v>
      </c>
      <c r="W116" s="894">
        <f t="shared" si="146"/>
        <v>0</v>
      </c>
      <c r="X116" s="894">
        <f t="shared" si="146"/>
        <v>0</v>
      </c>
      <c r="Y116" s="894">
        <f t="shared" si="146"/>
        <v>0</v>
      </c>
      <c r="Z116" s="894">
        <f t="shared" si="146"/>
        <v>0</v>
      </c>
      <c r="AA116" s="894">
        <f t="shared" si="146"/>
        <v>0</v>
      </c>
      <c r="AB116" s="894">
        <f t="shared" si="146"/>
        <v>0</v>
      </c>
      <c r="AC116" s="894">
        <f t="shared" si="146"/>
        <v>0</v>
      </c>
      <c r="AD116" s="894">
        <f t="shared" si="146"/>
        <v>0</v>
      </c>
      <c r="AE116" s="894">
        <f t="shared" si="146"/>
        <v>0</v>
      </c>
      <c r="AF116" s="894">
        <f t="shared" si="146"/>
        <v>0</v>
      </c>
      <c r="AG116" s="894">
        <f t="shared" si="146"/>
        <v>0</v>
      </c>
      <c r="AH116" s="894">
        <f t="shared" si="146"/>
        <v>0</v>
      </c>
      <c r="AI116" s="894">
        <f t="shared" si="146"/>
        <v>0</v>
      </c>
      <c r="AJ116" s="204">
        <f t="shared" si="139"/>
        <v>0</v>
      </c>
      <c r="AL116" s="895"/>
      <c r="AM116" s="895"/>
      <c r="AN116" s="895"/>
      <c r="AO116" s="895"/>
      <c r="AP116" s="895"/>
      <c r="AQ116" s="895"/>
      <c r="AR116" s="895"/>
      <c r="AS116" s="895"/>
      <c r="AT116" s="895"/>
      <c r="AU116" s="895"/>
      <c r="AV116" s="895"/>
      <c r="AW116" s="895"/>
      <c r="AX116" s="895"/>
      <c r="AY116" s="895"/>
      <c r="AZ116" s="895"/>
      <c r="BA116" s="895"/>
      <c r="BB116" s="895"/>
      <c r="BC116" s="895"/>
      <c r="BD116" s="895"/>
      <c r="BE116" s="895"/>
      <c r="BF116" s="895"/>
      <c r="BG116" s="895"/>
      <c r="BH116" s="895"/>
      <c r="BI116" s="895"/>
      <c r="BJ116" s="895"/>
      <c r="BK116" s="895"/>
      <c r="BL116" s="895"/>
      <c r="BM116" s="895"/>
      <c r="BN116" s="895"/>
      <c r="BO116" s="895"/>
      <c r="BP116" s="228">
        <f t="shared" si="106"/>
        <v>0</v>
      </c>
    </row>
    <row r="117" spans="1:71" s="184" customFormat="1" ht="15" customHeight="1" thickBot="1">
      <c r="B117" s="176"/>
      <c r="C117" s="790">
        <v>4</v>
      </c>
      <c r="D117" s="800" t="s">
        <v>198</v>
      </c>
      <c r="E117" s="792">
        <f>SUM(F117:AI117)</f>
        <v>17400000</v>
      </c>
      <c r="F117" s="799">
        <f t="shared" ref="F117:AI117" si="149">F118</f>
        <v>580000</v>
      </c>
      <c r="G117" s="794">
        <f t="shared" si="149"/>
        <v>580000</v>
      </c>
      <c r="H117" s="794">
        <f t="shared" si="149"/>
        <v>580000</v>
      </c>
      <c r="I117" s="794">
        <f t="shared" si="149"/>
        <v>580000</v>
      </c>
      <c r="J117" s="794">
        <f t="shared" si="149"/>
        <v>580000</v>
      </c>
      <c r="K117" s="794">
        <f t="shared" si="149"/>
        <v>580000</v>
      </c>
      <c r="L117" s="794">
        <f t="shared" si="149"/>
        <v>580000</v>
      </c>
      <c r="M117" s="794">
        <f t="shared" si="149"/>
        <v>580000</v>
      </c>
      <c r="N117" s="794">
        <f t="shared" si="149"/>
        <v>580000</v>
      </c>
      <c r="O117" s="794">
        <f t="shared" si="149"/>
        <v>580000</v>
      </c>
      <c r="P117" s="902">
        <f t="shared" si="149"/>
        <v>580000</v>
      </c>
      <c r="Q117" s="794">
        <f t="shared" si="149"/>
        <v>580000</v>
      </c>
      <c r="R117" s="794">
        <f t="shared" si="149"/>
        <v>580000</v>
      </c>
      <c r="S117" s="794">
        <f t="shared" si="149"/>
        <v>580000</v>
      </c>
      <c r="T117" s="794">
        <f t="shared" si="149"/>
        <v>580000</v>
      </c>
      <c r="U117" s="794">
        <f t="shared" si="149"/>
        <v>580000</v>
      </c>
      <c r="V117" s="794">
        <f t="shared" si="149"/>
        <v>580000</v>
      </c>
      <c r="W117" s="794">
        <f t="shared" si="149"/>
        <v>580000</v>
      </c>
      <c r="X117" s="794">
        <f t="shared" si="149"/>
        <v>580000</v>
      </c>
      <c r="Y117" s="794">
        <f t="shared" si="149"/>
        <v>580000</v>
      </c>
      <c r="Z117" s="902">
        <f t="shared" si="149"/>
        <v>580000</v>
      </c>
      <c r="AA117" s="794">
        <f t="shared" si="149"/>
        <v>580000</v>
      </c>
      <c r="AB117" s="794">
        <f t="shared" si="149"/>
        <v>580000</v>
      </c>
      <c r="AC117" s="794">
        <f t="shared" si="149"/>
        <v>580000</v>
      </c>
      <c r="AD117" s="794">
        <f t="shared" si="149"/>
        <v>580000</v>
      </c>
      <c r="AE117" s="794">
        <f t="shared" si="149"/>
        <v>580000</v>
      </c>
      <c r="AF117" s="794">
        <f t="shared" si="149"/>
        <v>580000</v>
      </c>
      <c r="AG117" s="794">
        <f t="shared" si="149"/>
        <v>580000</v>
      </c>
      <c r="AH117" s="794">
        <f t="shared" si="149"/>
        <v>580000</v>
      </c>
      <c r="AI117" s="913">
        <f t="shared" si="149"/>
        <v>580000</v>
      </c>
      <c r="AJ117" s="792">
        <f t="shared" si="139"/>
        <v>17400000</v>
      </c>
      <c r="AK117" s="822"/>
      <c r="AL117" s="796">
        <f t="shared" ref="AL117:BO117" si="150">F117/$E117</f>
        <v>3.3333333333333333E-2</v>
      </c>
      <c r="AM117" s="796">
        <f t="shared" si="150"/>
        <v>3.3333333333333333E-2</v>
      </c>
      <c r="AN117" s="796">
        <f t="shared" si="150"/>
        <v>3.3333333333333333E-2</v>
      </c>
      <c r="AO117" s="796">
        <f t="shared" si="150"/>
        <v>3.3333333333333333E-2</v>
      </c>
      <c r="AP117" s="796">
        <f t="shared" si="150"/>
        <v>3.3333333333333333E-2</v>
      </c>
      <c r="AQ117" s="796">
        <f t="shared" si="150"/>
        <v>3.3333333333333333E-2</v>
      </c>
      <c r="AR117" s="796">
        <f t="shared" si="150"/>
        <v>3.3333333333333333E-2</v>
      </c>
      <c r="AS117" s="796">
        <f t="shared" si="150"/>
        <v>3.3333333333333333E-2</v>
      </c>
      <c r="AT117" s="796">
        <f t="shared" si="150"/>
        <v>3.3333333333333333E-2</v>
      </c>
      <c r="AU117" s="796">
        <f t="shared" si="150"/>
        <v>3.3333333333333333E-2</v>
      </c>
      <c r="AV117" s="796">
        <f t="shared" si="150"/>
        <v>3.3333333333333333E-2</v>
      </c>
      <c r="AW117" s="796">
        <f t="shared" si="150"/>
        <v>3.3333333333333333E-2</v>
      </c>
      <c r="AX117" s="796">
        <f t="shared" si="150"/>
        <v>3.3333333333333333E-2</v>
      </c>
      <c r="AY117" s="796">
        <f t="shared" si="150"/>
        <v>3.3333333333333333E-2</v>
      </c>
      <c r="AZ117" s="796">
        <f t="shared" si="150"/>
        <v>3.3333333333333333E-2</v>
      </c>
      <c r="BA117" s="903">
        <f t="shared" si="150"/>
        <v>3.3333333333333333E-2</v>
      </c>
      <c r="BB117" s="796">
        <f t="shared" si="150"/>
        <v>3.3333333333333333E-2</v>
      </c>
      <c r="BC117" s="796">
        <f t="shared" si="150"/>
        <v>3.3333333333333333E-2</v>
      </c>
      <c r="BD117" s="796">
        <f t="shared" si="150"/>
        <v>3.3333333333333333E-2</v>
      </c>
      <c r="BE117" s="796">
        <f t="shared" si="150"/>
        <v>3.3333333333333333E-2</v>
      </c>
      <c r="BF117" s="796">
        <f t="shared" si="150"/>
        <v>3.3333333333333333E-2</v>
      </c>
      <c r="BG117" s="796">
        <f t="shared" si="150"/>
        <v>3.3333333333333333E-2</v>
      </c>
      <c r="BH117" s="796">
        <f t="shared" si="150"/>
        <v>3.3333333333333333E-2</v>
      </c>
      <c r="BI117" s="796">
        <f t="shared" si="150"/>
        <v>3.3333333333333333E-2</v>
      </c>
      <c r="BJ117" s="796">
        <f t="shared" si="150"/>
        <v>3.3333333333333333E-2</v>
      </c>
      <c r="BK117" s="796">
        <f t="shared" si="150"/>
        <v>3.3333333333333333E-2</v>
      </c>
      <c r="BL117" s="796">
        <f t="shared" si="150"/>
        <v>3.3333333333333333E-2</v>
      </c>
      <c r="BM117" s="796">
        <f t="shared" si="150"/>
        <v>3.3333333333333333E-2</v>
      </c>
      <c r="BN117" s="796">
        <f t="shared" si="150"/>
        <v>3.3333333333333333E-2</v>
      </c>
      <c r="BO117" s="796">
        <f t="shared" si="150"/>
        <v>3.3333333333333333E-2</v>
      </c>
      <c r="BP117" s="798">
        <f t="shared" si="106"/>
        <v>0.99999999999999989</v>
      </c>
      <c r="BR117" s="504"/>
      <c r="BS117" s="504"/>
    </row>
    <row r="118" spans="1:71" ht="13.5" thickBot="1">
      <c r="B118" s="176" t="s">
        <v>138</v>
      </c>
      <c r="C118" s="194" t="s">
        <v>88</v>
      </c>
      <c r="D118" s="210" t="s">
        <v>199</v>
      </c>
      <c r="E118" s="192">
        <v>17400000</v>
      </c>
      <c r="F118" s="211">
        <f t="shared" ref="F118:AI118" si="151">$E118*AL118</f>
        <v>580000</v>
      </c>
      <c r="G118" s="915">
        <f t="shared" si="151"/>
        <v>580000</v>
      </c>
      <c r="H118" s="915">
        <f t="shared" si="151"/>
        <v>580000</v>
      </c>
      <c r="I118" s="915">
        <f t="shared" si="151"/>
        <v>580000</v>
      </c>
      <c r="J118" s="915">
        <f t="shared" si="151"/>
        <v>580000</v>
      </c>
      <c r="K118" s="915">
        <f t="shared" si="151"/>
        <v>580000</v>
      </c>
      <c r="L118" s="915">
        <f t="shared" si="151"/>
        <v>580000</v>
      </c>
      <c r="M118" s="915">
        <f t="shared" si="151"/>
        <v>580000</v>
      </c>
      <c r="N118" s="915">
        <f t="shared" si="151"/>
        <v>580000</v>
      </c>
      <c r="O118" s="915">
        <f t="shared" si="151"/>
        <v>580000</v>
      </c>
      <c r="P118" s="916">
        <f t="shared" si="151"/>
        <v>580000</v>
      </c>
      <c r="Q118" s="915">
        <f t="shared" si="151"/>
        <v>580000</v>
      </c>
      <c r="R118" s="915">
        <f t="shared" si="151"/>
        <v>580000</v>
      </c>
      <c r="S118" s="915">
        <f t="shared" si="151"/>
        <v>580000</v>
      </c>
      <c r="T118" s="915">
        <f t="shared" si="151"/>
        <v>580000</v>
      </c>
      <c r="U118" s="915">
        <f t="shared" si="151"/>
        <v>580000</v>
      </c>
      <c r="V118" s="915">
        <f t="shared" si="151"/>
        <v>580000</v>
      </c>
      <c r="W118" s="915">
        <f t="shared" si="151"/>
        <v>580000</v>
      </c>
      <c r="X118" s="915">
        <f t="shared" si="151"/>
        <v>580000</v>
      </c>
      <c r="Y118" s="915">
        <f t="shared" si="151"/>
        <v>580000</v>
      </c>
      <c r="Z118" s="916">
        <f t="shared" si="151"/>
        <v>580000</v>
      </c>
      <c r="AA118" s="915">
        <f t="shared" si="151"/>
        <v>580000</v>
      </c>
      <c r="AB118" s="915">
        <f t="shared" si="151"/>
        <v>580000</v>
      </c>
      <c r="AC118" s="915">
        <f t="shared" si="151"/>
        <v>580000</v>
      </c>
      <c r="AD118" s="915">
        <f t="shared" si="151"/>
        <v>580000</v>
      </c>
      <c r="AE118" s="915">
        <f t="shared" si="151"/>
        <v>580000</v>
      </c>
      <c r="AF118" s="915">
        <f t="shared" si="151"/>
        <v>580000</v>
      </c>
      <c r="AG118" s="915">
        <f t="shared" si="151"/>
        <v>580000</v>
      </c>
      <c r="AH118" s="915">
        <f t="shared" si="151"/>
        <v>580000</v>
      </c>
      <c r="AI118" s="212">
        <f t="shared" si="151"/>
        <v>580000</v>
      </c>
      <c r="AJ118" s="192">
        <f t="shared" si="139"/>
        <v>17400000</v>
      </c>
      <c r="AK118" s="908"/>
      <c r="AL118" s="198">
        <f t="shared" ref="AL118:BO118" si="152">1/30</f>
        <v>3.3333333333333333E-2</v>
      </c>
      <c r="AM118" s="917">
        <f t="shared" si="152"/>
        <v>3.3333333333333333E-2</v>
      </c>
      <c r="AN118" s="917">
        <f t="shared" si="152"/>
        <v>3.3333333333333333E-2</v>
      </c>
      <c r="AO118" s="917">
        <f t="shared" si="152"/>
        <v>3.3333333333333333E-2</v>
      </c>
      <c r="AP118" s="917">
        <f t="shared" si="152"/>
        <v>3.3333333333333333E-2</v>
      </c>
      <c r="AQ118" s="917">
        <f t="shared" si="152"/>
        <v>3.3333333333333333E-2</v>
      </c>
      <c r="AR118" s="917">
        <f t="shared" si="152"/>
        <v>3.3333333333333333E-2</v>
      </c>
      <c r="AS118" s="917">
        <f t="shared" si="152"/>
        <v>3.3333333333333333E-2</v>
      </c>
      <c r="AT118" s="917">
        <f t="shared" si="152"/>
        <v>3.3333333333333333E-2</v>
      </c>
      <c r="AU118" s="917">
        <f t="shared" si="152"/>
        <v>3.3333333333333333E-2</v>
      </c>
      <c r="AV118" s="917">
        <f t="shared" si="152"/>
        <v>3.3333333333333333E-2</v>
      </c>
      <c r="AW118" s="917">
        <f t="shared" si="152"/>
        <v>3.3333333333333333E-2</v>
      </c>
      <c r="AX118" s="917">
        <f t="shared" si="152"/>
        <v>3.3333333333333333E-2</v>
      </c>
      <c r="AY118" s="917">
        <f t="shared" si="152"/>
        <v>3.3333333333333333E-2</v>
      </c>
      <c r="AZ118" s="917">
        <f t="shared" si="152"/>
        <v>3.3333333333333333E-2</v>
      </c>
      <c r="BA118" s="918">
        <f t="shared" si="152"/>
        <v>3.3333333333333333E-2</v>
      </c>
      <c r="BB118" s="917">
        <f t="shared" si="152"/>
        <v>3.3333333333333333E-2</v>
      </c>
      <c r="BC118" s="917">
        <f t="shared" si="152"/>
        <v>3.3333333333333333E-2</v>
      </c>
      <c r="BD118" s="917">
        <f t="shared" si="152"/>
        <v>3.3333333333333333E-2</v>
      </c>
      <c r="BE118" s="917">
        <f t="shared" si="152"/>
        <v>3.3333333333333333E-2</v>
      </c>
      <c r="BF118" s="917">
        <f t="shared" si="152"/>
        <v>3.3333333333333333E-2</v>
      </c>
      <c r="BG118" s="917">
        <f t="shared" si="152"/>
        <v>3.3333333333333333E-2</v>
      </c>
      <c r="BH118" s="917">
        <f t="shared" si="152"/>
        <v>3.3333333333333333E-2</v>
      </c>
      <c r="BI118" s="917">
        <f t="shared" si="152"/>
        <v>3.3333333333333333E-2</v>
      </c>
      <c r="BJ118" s="917">
        <f t="shared" si="152"/>
        <v>3.3333333333333333E-2</v>
      </c>
      <c r="BK118" s="917">
        <f t="shared" si="152"/>
        <v>3.3333333333333333E-2</v>
      </c>
      <c r="BL118" s="917">
        <f t="shared" si="152"/>
        <v>3.3333333333333333E-2</v>
      </c>
      <c r="BM118" s="917">
        <f t="shared" si="152"/>
        <v>3.3333333333333333E-2</v>
      </c>
      <c r="BN118" s="917">
        <f t="shared" si="152"/>
        <v>3.3333333333333333E-2</v>
      </c>
      <c r="BO118" s="917">
        <f t="shared" si="152"/>
        <v>3.3333333333333333E-2</v>
      </c>
      <c r="BP118" s="199">
        <f t="shared" si="106"/>
        <v>0.99999999999999989</v>
      </c>
    </row>
    <row r="119" spans="1:71" s="184" customFormat="1" ht="15" customHeight="1" thickBot="1">
      <c r="B119" s="176"/>
      <c r="C119" s="790">
        <v>5</v>
      </c>
      <c r="D119" s="800" t="s">
        <v>200</v>
      </c>
      <c r="E119" s="792">
        <f>SUM(F119:AI119)</f>
        <v>3090000</v>
      </c>
      <c r="F119" s="799">
        <f t="shared" ref="F119:AI119" si="153">F120</f>
        <v>103000</v>
      </c>
      <c r="G119" s="794">
        <f t="shared" si="153"/>
        <v>103000</v>
      </c>
      <c r="H119" s="794">
        <f t="shared" si="153"/>
        <v>103000</v>
      </c>
      <c r="I119" s="794">
        <f t="shared" si="153"/>
        <v>103000</v>
      </c>
      <c r="J119" s="794">
        <f t="shared" si="153"/>
        <v>103000</v>
      </c>
      <c r="K119" s="794">
        <f t="shared" si="153"/>
        <v>103000</v>
      </c>
      <c r="L119" s="794">
        <f t="shared" si="153"/>
        <v>103000</v>
      </c>
      <c r="M119" s="794">
        <f t="shared" si="153"/>
        <v>103000</v>
      </c>
      <c r="N119" s="794">
        <f t="shared" si="153"/>
        <v>103000</v>
      </c>
      <c r="O119" s="794">
        <f t="shared" si="153"/>
        <v>103000</v>
      </c>
      <c r="P119" s="902">
        <f t="shared" si="153"/>
        <v>103000</v>
      </c>
      <c r="Q119" s="794">
        <f t="shared" si="153"/>
        <v>103000</v>
      </c>
      <c r="R119" s="794">
        <f t="shared" si="153"/>
        <v>103000</v>
      </c>
      <c r="S119" s="794">
        <f t="shared" si="153"/>
        <v>103000</v>
      </c>
      <c r="T119" s="794">
        <f t="shared" si="153"/>
        <v>103000</v>
      </c>
      <c r="U119" s="794">
        <f t="shared" si="153"/>
        <v>103000</v>
      </c>
      <c r="V119" s="794">
        <f t="shared" si="153"/>
        <v>103000</v>
      </c>
      <c r="W119" s="794">
        <f t="shared" si="153"/>
        <v>103000</v>
      </c>
      <c r="X119" s="794">
        <f t="shared" si="153"/>
        <v>103000</v>
      </c>
      <c r="Y119" s="794">
        <f t="shared" si="153"/>
        <v>103000</v>
      </c>
      <c r="Z119" s="902">
        <f t="shared" si="153"/>
        <v>103000</v>
      </c>
      <c r="AA119" s="794">
        <f t="shared" si="153"/>
        <v>103000</v>
      </c>
      <c r="AB119" s="794">
        <f t="shared" si="153"/>
        <v>103000</v>
      </c>
      <c r="AC119" s="794">
        <f t="shared" si="153"/>
        <v>103000</v>
      </c>
      <c r="AD119" s="794">
        <f t="shared" si="153"/>
        <v>103000</v>
      </c>
      <c r="AE119" s="794">
        <f t="shared" si="153"/>
        <v>103000</v>
      </c>
      <c r="AF119" s="794">
        <f t="shared" si="153"/>
        <v>103000</v>
      </c>
      <c r="AG119" s="794">
        <f t="shared" si="153"/>
        <v>103000</v>
      </c>
      <c r="AH119" s="794">
        <f t="shared" si="153"/>
        <v>103000</v>
      </c>
      <c r="AI119" s="913">
        <f t="shared" si="153"/>
        <v>103000</v>
      </c>
      <c r="AJ119" s="792">
        <f t="shared" si="139"/>
        <v>3090000</v>
      </c>
      <c r="AK119" s="822"/>
      <c r="AL119" s="796">
        <f t="shared" ref="AL119:BO119" si="154">AL120</f>
        <v>3.3333333333333333E-2</v>
      </c>
      <c r="AM119" s="797">
        <f t="shared" si="154"/>
        <v>3.3333333333333333E-2</v>
      </c>
      <c r="AN119" s="797">
        <f t="shared" si="154"/>
        <v>3.3333333333333333E-2</v>
      </c>
      <c r="AO119" s="797">
        <f t="shared" si="154"/>
        <v>3.3333333333333333E-2</v>
      </c>
      <c r="AP119" s="797">
        <f t="shared" si="154"/>
        <v>3.3333333333333333E-2</v>
      </c>
      <c r="AQ119" s="797">
        <f t="shared" si="154"/>
        <v>3.3333333333333333E-2</v>
      </c>
      <c r="AR119" s="797">
        <f t="shared" si="154"/>
        <v>3.3333333333333333E-2</v>
      </c>
      <c r="AS119" s="797">
        <f t="shared" si="154"/>
        <v>3.3333333333333333E-2</v>
      </c>
      <c r="AT119" s="797">
        <f t="shared" si="154"/>
        <v>3.3333333333333333E-2</v>
      </c>
      <c r="AU119" s="797">
        <f t="shared" si="154"/>
        <v>3.3333333333333333E-2</v>
      </c>
      <c r="AV119" s="797">
        <f t="shared" si="154"/>
        <v>3.3333333333333333E-2</v>
      </c>
      <c r="AW119" s="797">
        <f t="shared" si="154"/>
        <v>3.3333333333333333E-2</v>
      </c>
      <c r="AX119" s="797">
        <f t="shared" si="154"/>
        <v>3.3333333333333333E-2</v>
      </c>
      <c r="AY119" s="797">
        <f t="shared" si="154"/>
        <v>3.3333333333333333E-2</v>
      </c>
      <c r="AZ119" s="797">
        <f t="shared" si="154"/>
        <v>3.3333333333333333E-2</v>
      </c>
      <c r="BA119" s="903">
        <f t="shared" si="154"/>
        <v>3.3333333333333333E-2</v>
      </c>
      <c r="BB119" s="797">
        <f t="shared" si="154"/>
        <v>3.3333333333333333E-2</v>
      </c>
      <c r="BC119" s="797">
        <f t="shared" si="154"/>
        <v>3.3333333333333333E-2</v>
      </c>
      <c r="BD119" s="797">
        <f t="shared" si="154"/>
        <v>3.3333333333333333E-2</v>
      </c>
      <c r="BE119" s="797">
        <f t="shared" si="154"/>
        <v>3.3333333333333333E-2</v>
      </c>
      <c r="BF119" s="797">
        <f t="shared" si="154"/>
        <v>3.3333333333333333E-2</v>
      </c>
      <c r="BG119" s="797">
        <f t="shared" si="154"/>
        <v>3.3333333333333333E-2</v>
      </c>
      <c r="BH119" s="797">
        <f t="shared" si="154"/>
        <v>3.3333333333333333E-2</v>
      </c>
      <c r="BI119" s="797">
        <f t="shared" si="154"/>
        <v>3.3333333333333333E-2</v>
      </c>
      <c r="BJ119" s="797">
        <f t="shared" si="154"/>
        <v>3.3333333333333333E-2</v>
      </c>
      <c r="BK119" s="797">
        <f t="shared" si="154"/>
        <v>3.3333333333333333E-2</v>
      </c>
      <c r="BL119" s="797">
        <f t="shared" si="154"/>
        <v>3.3333333333333333E-2</v>
      </c>
      <c r="BM119" s="797">
        <f t="shared" si="154"/>
        <v>3.3333333333333333E-2</v>
      </c>
      <c r="BN119" s="797">
        <f t="shared" si="154"/>
        <v>3.3333333333333333E-2</v>
      </c>
      <c r="BO119" s="801">
        <f t="shared" si="154"/>
        <v>3.3333333333333333E-2</v>
      </c>
      <c r="BP119" s="798">
        <f t="shared" si="106"/>
        <v>0.99999999999999989</v>
      </c>
      <c r="BR119" s="504"/>
      <c r="BS119" s="504"/>
    </row>
    <row r="120" spans="1:71" ht="13.5" thickBot="1">
      <c r="B120" s="176" t="s">
        <v>138</v>
      </c>
      <c r="C120" s="194" t="s">
        <v>127</v>
      </c>
      <c r="D120" s="210" t="s">
        <v>201</v>
      </c>
      <c r="E120" s="192">
        <v>3090000</v>
      </c>
      <c r="F120" s="211">
        <f t="shared" ref="F120:AI120" si="155">$E120*AL120</f>
        <v>103000</v>
      </c>
      <c r="G120" s="915">
        <f t="shared" si="155"/>
        <v>103000</v>
      </c>
      <c r="H120" s="915">
        <f t="shared" si="155"/>
        <v>103000</v>
      </c>
      <c r="I120" s="915">
        <f t="shared" si="155"/>
        <v>103000</v>
      </c>
      <c r="J120" s="915">
        <f t="shared" si="155"/>
        <v>103000</v>
      </c>
      <c r="K120" s="915">
        <f t="shared" si="155"/>
        <v>103000</v>
      </c>
      <c r="L120" s="915">
        <f t="shared" si="155"/>
        <v>103000</v>
      </c>
      <c r="M120" s="915">
        <f t="shared" si="155"/>
        <v>103000</v>
      </c>
      <c r="N120" s="915">
        <f t="shared" si="155"/>
        <v>103000</v>
      </c>
      <c r="O120" s="915">
        <f t="shared" si="155"/>
        <v>103000</v>
      </c>
      <c r="P120" s="916">
        <f t="shared" si="155"/>
        <v>103000</v>
      </c>
      <c r="Q120" s="915">
        <f t="shared" si="155"/>
        <v>103000</v>
      </c>
      <c r="R120" s="915">
        <f t="shared" si="155"/>
        <v>103000</v>
      </c>
      <c r="S120" s="915">
        <f t="shared" si="155"/>
        <v>103000</v>
      </c>
      <c r="T120" s="915">
        <f t="shared" si="155"/>
        <v>103000</v>
      </c>
      <c r="U120" s="915">
        <f t="shared" si="155"/>
        <v>103000</v>
      </c>
      <c r="V120" s="915">
        <f t="shared" si="155"/>
        <v>103000</v>
      </c>
      <c r="W120" s="915">
        <f t="shared" si="155"/>
        <v>103000</v>
      </c>
      <c r="X120" s="915">
        <f t="shared" si="155"/>
        <v>103000</v>
      </c>
      <c r="Y120" s="915">
        <f t="shared" si="155"/>
        <v>103000</v>
      </c>
      <c r="Z120" s="916">
        <f t="shared" si="155"/>
        <v>103000</v>
      </c>
      <c r="AA120" s="915">
        <f t="shared" si="155"/>
        <v>103000</v>
      </c>
      <c r="AB120" s="915">
        <f t="shared" si="155"/>
        <v>103000</v>
      </c>
      <c r="AC120" s="915">
        <f t="shared" si="155"/>
        <v>103000</v>
      </c>
      <c r="AD120" s="915">
        <f t="shared" si="155"/>
        <v>103000</v>
      </c>
      <c r="AE120" s="915">
        <f t="shared" si="155"/>
        <v>103000</v>
      </c>
      <c r="AF120" s="915">
        <f t="shared" si="155"/>
        <v>103000</v>
      </c>
      <c r="AG120" s="915">
        <f t="shared" si="155"/>
        <v>103000</v>
      </c>
      <c r="AH120" s="915">
        <f t="shared" si="155"/>
        <v>103000</v>
      </c>
      <c r="AI120" s="212">
        <f t="shared" si="155"/>
        <v>103000</v>
      </c>
      <c r="AJ120" s="192">
        <f t="shared" si="139"/>
        <v>3090000</v>
      </c>
      <c r="AK120" s="908"/>
      <c r="AL120" s="198">
        <f t="shared" ref="AL120:BO120" si="156">1/30</f>
        <v>3.3333333333333333E-2</v>
      </c>
      <c r="AM120" s="917">
        <f t="shared" si="156"/>
        <v>3.3333333333333333E-2</v>
      </c>
      <c r="AN120" s="917">
        <f t="shared" si="156"/>
        <v>3.3333333333333333E-2</v>
      </c>
      <c r="AO120" s="917">
        <f t="shared" si="156"/>
        <v>3.3333333333333333E-2</v>
      </c>
      <c r="AP120" s="917">
        <f t="shared" si="156"/>
        <v>3.3333333333333333E-2</v>
      </c>
      <c r="AQ120" s="917">
        <f t="shared" si="156"/>
        <v>3.3333333333333333E-2</v>
      </c>
      <c r="AR120" s="917">
        <f t="shared" si="156"/>
        <v>3.3333333333333333E-2</v>
      </c>
      <c r="AS120" s="917">
        <f t="shared" si="156"/>
        <v>3.3333333333333333E-2</v>
      </c>
      <c r="AT120" s="917">
        <f t="shared" si="156"/>
        <v>3.3333333333333333E-2</v>
      </c>
      <c r="AU120" s="917">
        <f t="shared" si="156"/>
        <v>3.3333333333333333E-2</v>
      </c>
      <c r="AV120" s="917">
        <f t="shared" si="156"/>
        <v>3.3333333333333333E-2</v>
      </c>
      <c r="AW120" s="917">
        <f t="shared" si="156"/>
        <v>3.3333333333333333E-2</v>
      </c>
      <c r="AX120" s="917">
        <f t="shared" si="156"/>
        <v>3.3333333333333333E-2</v>
      </c>
      <c r="AY120" s="917">
        <f t="shared" si="156"/>
        <v>3.3333333333333333E-2</v>
      </c>
      <c r="AZ120" s="917">
        <f t="shared" si="156"/>
        <v>3.3333333333333333E-2</v>
      </c>
      <c r="BA120" s="918">
        <f t="shared" si="156"/>
        <v>3.3333333333333333E-2</v>
      </c>
      <c r="BB120" s="917">
        <f t="shared" si="156"/>
        <v>3.3333333333333333E-2</v>
      </c>
      <c r="BC120" s="917">
        <f t="shared" si="156"/>
        <v>3.3333333333333333E-2</v>
      </c>
      <c r="BD120" s="917">
        <f t="shared" si="156"/>
        <v>3.3333333333333333E-2</v>
      </c>
      <c r="BE120" s="917">
        <f t="shared" si="156"/>
        <v>3.3333333333333333E-2</v>
      </c>
      <c r="BF120" s="917">
        <f t="shared" si="156"/>
        <v>3.3333333333333333E-2</v>
      </c>
      <c r="BG120" s="917">
        <f t="shared" si="156"/>
        <v>3.3333333333333333E-2</v>
      </c>
      <c r="BH120" s="917">
        <f t="shared" si="156"/>
        <v>3.3333333333333333E-2</v>
      </c>
      <c r="BI120" s="917">
        <f t="shared" si="156"/>
        <v>3.3333333333333333E-2</v>
      </c>
      <c r="BJ120" s="917">
        <f t="shared" si="156"/>
        <v>3.3333333333333333E-2</v>
      </c>
      <c r="BK120" s="917">
        <f t="shared" si="156"/>
        <v>3.3333333333333333E-2</v>
      </c>
      <c r="BL120" s="917">
        <f t="shared" si="156"/>
        <v>3.3333333333333333E-2</v>
      </c>
      <c r="BM120" s="917">
        <f t="shared" si="156"/>
        <v>3.3333333333333333E-2</v>
      </c>
      <c r="BN120" s="917">
        <f t="shared" si="156"/>
        <v>3.3333333333333333E-2</v>
      </c>
      <c r="BO120" s="917">
        <f t="shared" si="156"/>
        <v>3.3333333333333333E-2</v>
      </c>
      <c r="BP120" s="199">
        <f t="shared" si="106"/>
        <v>0.99999999999999989</v>
      </c>
    </row>
    <row r="121" spans="1:71" s="184" customFormat="1" ht="15" customHeight="1" thickBot="1">
      <c r="B121" s="176"/>
      <c r="C121" s="790">
        <v>6</v>
      </c>
      <c r="D121" s="800" t="s">
        <v>202</v>
      </c>
      <c r="E121" s="792">
        <f>SUM(F121:AI121)</f>
        <v>3600000</v>
      </c>
      <c r="F121" s="799">
        <f t="shared" ref="F121:AI121" si="157">F122</f>
        <v>120000</v>
      </c>
      <c r="G121" s="794">
        <f t="shared" si="157"/>
        <v>120000</v>
      </c>
      <c r="H121" s="794">
        <f t="shared" si="157"/>
        <v>120000</v>
      </c>
      <c r="I121" s="794">
        <f t="shared" si="157"/>
        <v>120000</v>
      </c>
      <c r="J121" s="794">
        <f t="shared" si="157"/>
        <v>120000</v>
      </c>
      <c r="K121" s="794">
        <f t="shared" si="157"/>
        <v>120000</v>
      </c>
      <c r="L121" s="794">
        <f t="shared" si="157"/>
        <v>120000</v>
      </c>
      <c r="M121" s="794">
        <f t="shared" si="157"/>
        <v>120000</v>
      </c>
      <c r="N121" s="794">
        <f t="shared" si="157"/>
        <v>120000</v>
      </c>
      <c r="O121" s="794">
        <f t="shared" si="157"/>
        <v>120000</v>
      </c>
      <c r="P121" s="902">
        <f t="shared" si="157"/>
        <v>120000</v>
      </c>
      <c r="Q121" s="794">
        <f t="shared" si="157"/>
        <v>120000</v>
      </c>
      <c r="R121" s="794">
        <f t="shared" si="157"/>
        <v>120000</v>
      </c>
      <c r="S121" s="794">
        <f t="shared" si="157"/>
        <v>120000</v>
      </c>
      <c r="T121" s="794">
        <f t="shared" si="157"/>
        <v>120000</v>
      </c>
      <c r="U121" s="794">
        <f t="shared" si="157"/>
        <v>120000</v>
      </c>
      <c r="V121" s="794">
        <f t="shared" si="157"/>
        <v>120000</v>
      </c>
      <c r="W121" s="794">
        <f t="shared" si="157"/>
        <v>120000</v>
      </c>
      <c r="X121" s="794">
        <f t="shared" si="157"/>
        <v>120000</v>
      </c>
      <c r="Y121" s="794">
        <f t="shared" si="157"/>
        <v>120000</v>
      </c>
      <c r="Z121" s="902">
        <f t="shared" si="157"/>
        <v>120000</v>
      </c>
      <c r="AA121" s="794">
        <f t="shared" si="157"/>
        <v>120000</v>
      </c>
      <c r="AB121" s="794">
        <f t="shared" si="157"/>
        <v>120000</v>
      </c>
      <c r="AC121" s="794">
        <f t="shared" si="157"/>
        <v>120000</v>
      </c>
      <c r="AD121" s="794">
        <f t="shared" si="157"/>
        <v>120000</v>
      </c>
      <c r="AE121" s="794">
        <f t="shared" si="157"/>
        <v>120000</v>
      </c>
      <c r="AF121" s="794">
        <f t="shared" si="157"/>
        <v>120000</v>
      </c>
      <c r="AG121" s="794">
        <f t="shared" si="157"/>
        <v>120000</v>
      </c>
      <c r="AH121" s="794">
        <f t="shared" si="157"/>
        <v>120000</v>
      </c>
      <c r="AI121" s="913">
        <f t="shared" si="157"/>
        <v>120000</v>
      </c>
      <c r="AJ121" s="792">
        <f t="shared" si="139"/>
        <v>3600000</v>
      </c>
      <c r="AK121" s="822"/>
      <c r="AL121" s="796">
        <f t="shared" ref="AL121:BO121" si="158">AL122</f>
        <v>3.3333333333333333E-2</v>
      </c>
      <c r="AM121" s="797">
        <f t="shared" si="158"/>
        <v>3.3333333333333333E-2</v>
      </c>
      <c r="AN121" s="797">
        <f t="shared" si="158"/>
        <v>3.3333333333333333E-2</v>
      </c>
      <c r="AO121" s="797">
        <f t="shared" si="158"/>
        <v>3.3333333333333333E-2</v>
      </c>
      <c r="AP121" s="797">
        <f t="shared" si="158"/>
        <v>3.3333333333333333E-2</v>
      </c>
      <c r="AQ121" s="797">
        <f t="shared" si="158"/>
        <v>3.3333333333333333E-2</v>
      </c>
      <c r="AR121" s="797">
        <f t="shared" si="158"/>
        <v>3.3333333333333333E-2</v>
      </c>
      <c r="AS121" s="797">
        <f t="shared" si="158"/>
        <v>3.3333333333333333E-2</v>
      </c>
      <c r="AT121" s="797">
        <f t="shared" si="158"/>
        <v>3.3333333333333333E-2</v>
      </c>
      <c r="AU121" s="797">
        <f t="shared" si="158"/>
        <v>3.3333333333333333E-2</v>
      </c>
      <c r="AV121" s="797">
        <f t="shared" si="158"/>
        <v>3.3333333333333333E-2</v>
      </c>
      <c r="AW121" s="797">
        <f t="shared" si="158"/>
        <v>3.3333333333333333E-2</v>
      </c>
      <c r="AX121" s="797">
        <f t="shared" si="158"/>
        <v>3.3333333333333333E-2</v>
      </c>
      <c r="AY121" s="797">
        <f t="shared" si="158"/>
        <v>3.3333333333333333E-2</v>
      </c>
      <c r="AZ121" s="797">
        <f t="shared" si="158"/>
        <v>3.3333333333333333E-2</v>
      </c>
      <c r="BA121" s="903">
        <f t="shared" si="158"/>
        <v>3.3333333333333333E-2</v>
      </c>
      <c r="BB121" s="797">
        <f t="shared" si="158"/>
        <v>3.3333333333333333E-2</v>
      </c>
      <c r="BC121" s="797">
        <f t="shared" si="158"/>
        <v>3.3333333333333333E-2</v>
      </c>
      <c r="BD121" s="797">
        <f t="shared" si="158"/>
        <v>3.3333333333333333E-2</v>
      </c>
      <c r="BE121" s="797">
        <f t="shared" si="158"/>
        <v>3.3333333333333333E-2</v>
      </c>
      <c r="BF121" s="797">
        <f t="shared" si="158"/>
        <v>3.3333333333333333E-2</v>
      </c>
      <c r="BG121" s="797">
        <f t="shared" si="158"/>
        <v>3.3333333333333333E-2</v>
      </c>
      <c r="BH121" s="797">
        <f t="shared" si="158"/>
        <v>3.3333333333333333E-2</v>
      </c>
      <c r="BI121" s="797">
        <f t="shared" si="158"/>
        <v>3.3333333333333333E-2</v>
      </c>
      <c r="BJ121" s="797">
        <f t="shared" si="158"/>
        <v>3.3333333333333333E-2</v>
      </c>
      <c r="BK121" s="797">
        <f t="shared" si="158"/>
        <v>3.3333333333333333E-2</v>
      </c>
      <c r="BL121" s="797">
        <f t="shared" si="158"/>
        <v>3.3333333333333333E-2</v>
      </c>
      <c r="BM121" s="797">
        <f t="shared" si="158"/>
        <v>3.3333333333333333E-2</v>
      </c>
      <c r="BN121" s="797">
        <f t="shared" si="158"/>
        <v>3.3333333333333333E-2</v>
      </c>
      <c r="BO121" s="801">
        <f t="shared" si="158"/>
        <v>3.3333333333333333E-2</v>
      </c>
      <c r="BP121" s="798">
        <f t="shared" si="106"/>
        <v>0.99999999999999989</v>
      </c>
      <c r="BR121" s="504"/>
      <c r="BS121" s="504"/>
    </row>
    <row r="122" spans="1:71" ht="26.25" thickBot="1">
      <c r="B122" s="176" t="s">
        <v>138</v>
      </c>
      <c r="C122" s="194" t="s">
        <v>132</v>
      </c>
      <c r="D122" s="210" t="s">
        <v>203</v>
      </c>
      <c r="E122" s="192">
        <v>3600000</v>
      </c>
      <c r="F122" s="211">
        <f t="shared" ref="F122:AI122" si="159">$E122*AL122</f>
        <v>120000</v>
      </c>
      <c r="G122" s="915">
        <f t="shared" si="159"/>
        <v>120000</v>
      </c>
      <c r="H122" s="915">
        <f t="shared" si="159"/>
        <v>120000</v>
      </c>
      <c r="I122" s="915">
        <f t="shared" si="159"/>
        <v>120000</v>
      </c>
      <c r="J122" s="915">
        <f t="shared" si="159"/>
        <v>120000</v>
      </c>
      <c r="K122" s="915">
        <f t="shared" si="159"/>
        <v>120000</v>
      </c>
      <c r="L122" s="915">
        <f t="shared" si="159"/>
        <v>120000</v>
      </c>
      <c r="M122" s="915">
        <f t="shared" si="159"/>
        <v>120000</v>
      </c>
      <c r="N122" s="915">
        <f t="shared" si="159"/>
        <v>120000</v>
      </c>
      <c r="O122" s="915">
        <f t="shared" si="159"/>
        <v>120000</v>
      </c>
      <c r="P122" s="916">
        <f t="shared" si="159"/>
        <v>120000</v>
      </c>
      <c r="Q122" s="915">
        <f t="shared" si="159"/>
        <v>120000</v>
      </c>
      <c r="R122" s="915">
        <f t="shared" si="159"/>
        <v>120000</v>
      </c>
      <c r="S122" s="915">
        <f t="shared" si="159"/>
        <v>120000</v>
      </c>
      <c r="T122" s="915">
        <f t="shared" si="159"/>
        <v>120000</v>
      </c>
      <c r="U122" s="915">
        <f t="shared" si="159"/>
        <v>120000</v>
      </c>
      <c r="V122" s="915">
        <f t="shared" si="159"/>
        <v>120000</v>
      </c>
      <c r="W122" s="915">
        <f t="shared" si="159"/>
        <v>120000</v>
      </c>
      <c r="X122" s="915">
        <f t="shared" si="159"/>
        <v>120000</v>
      </c>
      <c r="Y122" s="915">
        <f t="shared" si="159"/>
        <v>120000</v>
      </c>
      <c r="Z122" s="916">
        <f t="shared" si="159"/>
        <v>120000</v>
      </c>
      <c r="AA122" s="915">
        <f t="shared" si="159"/>
        <v>120000</v>
      </c>
      <c r="AB122" s="915">
        <f t="shared" si="159"/>
        <v>120000</v>
      </c>
      <c r="AC122" s="915">
        <f t="shared" si="159"/>
        <v>120000</v>
      </c>
      <c r="AD122" s="915">
        <f t="shared" si="159"/>
        <v>120000</v>
      </c>
      <c r="AE122" s="915">
        <f t="shared" si="159"/>
        <v>120000</v>
      </c>
      <c r="AF122" s="915">
        <f t="shared" si="159"/>
        <v>120000</v>
      </c>
      <c r="AG122" s="915">
        <f t="shared" si="159"/>
        <v>120000</v>
      </c>
      <c r="AH122" s="915">
        <f t="shared" si="159"/>
        <v>120000</v>
      </c>
      <c r="AI122" s="212">
        <f t="shared" si="159"/>
        <v>120000</v>
      </c>
      <c r="AJ122" s="192">
        <f t="shared" si="139"/>
        <v>3600000</v>
      </c>
      <c r="AK122" s="908"/>
      <c r="AL122" s="198">
        <f t="shared" ref="AL122:BO122" si="160">1/30</f>
        <v>3.3333333333333333E-2</v>
      </c>
      <c r="AM122" s="917">
        <f t="shared" si="160"/>
        <v>3.3333333333333333E-2</v>
      </c>
      <c r="AN122" s="917">
        <f t="shared" si="160"/>
        <v>3.3333333333333333E-2</v>
      </c>
      <c r="AO122" s="917">
        <f t="shared" si="160"/>
        <v>3.3333333333333333E-2</v>
      </c>
      <c r="AP122" s="917">
        <f t="shared" si="160"/>
        <v>3.3333333333333333E-2</v>
      </c>
      <c r="AQ122" s="917">
        <f t="shared" si="160"/>
        <v>3.3333333333333333E-2</v>
      </c>
      <c r="AR122" s="917">
        <f t="shared" si="160"/>
        <v>3.3333333333333333E-2</v>
      </c>
      <c r="AS122" s="917">
        <f t="shared" si="160"/>
        <v>3.3333333333333333E-2</v>
      </c>
      <c r="AT122" s="917">
        <f t="shared" si="160"/>
        <v>3.3333333333333333E-2</v>
      </c>
      <c r="AU122" s="917">
        <f t="shared" si="160"/>
        <v>3.3333333333333333E-2</v>
      </c>
      <c r="AV122" s="917">
        <f t="shared" si="160"/>
        <v>3.3333333333333333E-2</v>
      </c>
      <c r="AW122" s="917">
        <f t="shared" si="160"/>
        <v>3.3333333333333333E-2</v>
      </c>
      <c r="AX122" s="917">
        <f t="shared" si="160"/>
        <v>3.3333333333333333E-2</v>
      </c>
      <c r="AY122" s="917">
        <f t="shared" si="160"/>
        <v>3.3333333333333333E-2</v>
      </c>
      <c r="AZ122" s="917">
        <f t="shared" si="160"/>
        <v>3.3333333333333333E-2</v>
      </c>
      <c r="BA122" s="918">
        <f t="shared" si="160"/>
        <v>3.3333333333333333E-2</v>
      </c>
      <c r="BB122" s="917">
        <f t="shared" si="160"/>
        <v>3.3333333333333333E-2</v>
      </c>
      <c r="BC122" s="917">
        <f t="shared" si="160"/>
        <v>3.3333333333333333E-2</v>
      </c>
      <c r="BD122" s="917">
        <f t="shared" si="160"/>
        <v>3.3333333333333333E-2</v>
      </c>
      <c r="BE122" s="917">
        <f t="shared" si="160"/>
        <v>3.3333333333333333E-2</v>
      </c>
      <c r="BF122" s="917">
        <f t="shared" si="160"/>
        <v>3.3333333333333333E-2</v>
      </c>
      <c r="BG122" s="917">
        <f t="shared" si="160"/>
        <v>3.3333333333333333E-2</v>
      </c>
      <c r="BH122" s="917">
        <f t="shared" si="160"/>
        <v>3.3333333333333333E-2</v>
      </c>
      <c r="BI122" s="917">
        <f t="shared" si="160"/>
        <v>3.3333333333333333E-2</v>
      </c>
      <c r="BJ122" s="917">
        <f t="shared" si="160"/>
        <v>3.3333333333333333E-2</v>
      </c>
      <c r="BK122" s="917">
        <f t="shared" si="160"/>
        <v>3.3333333333333333E-2</v>
      </c>
      <c r="BL122" s="917">
        <f t="shared" si="160"/>
        <v>3.3333333333333333E-2</v>
      </c>
      <c r="BM122" s="917">
        <f t="shared" si="160"/>
        <v>3.3333333333333333E-2</v>
      </c>
      <c r="BN122" s="917">
        <f t="shared" si="160"/>
        <v>3.3333333333333333E-2</v>
      </c>
      <c r="BO122" s="917">
        <f t="shared" si="160"/>
        <v>3.3333333333333333E-2</v>
      </c>
      <c r="BP122" s="199">
        <f t="shared" si="106"/>
        <v>0.99999999999999989</v>
      </c>
    </row>
    <row r="123" spans="1:71" s="184" customFormat="1" ht="15" customHeight="1" thickBot="1">
      <c r="B123" s="176"/>
      <c r="C123" s="790">
        <v>7</v>
      </c>
      <c r="D123" s="800" t="s">
        <v>204</v>
      </c>
      <c r="E123" s="792">
        <f t="shared" ref="E123:AI123" si="161">SUM(E124:E125)</f>
        <v>54363348.449338794</v>
      </c>
      <c r="F123" s="799">
        <f t="shared" si="161"/>
        <v>1812111.6149779595</v>
      </c>
      <c r="G123" s="794">
        <f t="shared" si="161"/>
        <v>1812111.6149779595</v>
      </c>
      <c r="H123" s="794">
        <f t="shared" si="161"/>
        <v>1812111.6149779595</v>
      </c>
      <c r="I123" s="794">
        <f t="shared" si="161"/>
        <v>1812111.6149779595</v>
      </c>
      <c r="J123" s="794">
        <f t="shared" si="161"/>
        <v>1812111.6149779595</v>
      </c>
      <c r="K123" s="794">
        <f t="shared" si="161"/>
        <v>1812111.6149779595</v>
      </c>
      <c r="L123" s="794">
        <f t="shared" si="161"/>
        <v>1812111.6149779595</v>
      </c>
      <c r="M123" s="794">
        <f t="shared" si="161"/>
        <v>1812111.6149779595</v>
      </c>
      <c r="N123" s="794">
        <f t="shared" si="161"/>
        <v>1812111.6149779595</v>
      </c>
      <c r="O123" s="794">
        <f t="shared" si="161"/>
        <v>1812111.6149779595</v>
      </c>
      <c r="P123" s="902">
        <f t="shared" si="161"/>
        <v>1812111.6149779595</v>
      </c>
      <c r="Q123" s="794">
        <f t="shared" si="161"/>
        <v>1812111.6149779595</v>
      </c>
      <c r="R123" s="794">
        <f t="shared" si="161"/>
        <v>1812111.6149779595</v>
      </c>
      <c r="S123" s="794">
        <f t="shared" si="161"/>
        <v>1812111.6149779595</v>
      </c>
      <c r="T123" s="794">
        <f t="shared" si="161"/>
        <v>1812111.6149779595</v>
      </c>
      <c r="U123" s="794">
        <f t="shared" si="161"/>
        <v>1812111.6149779595</v>
      </c>
      <c r="V123" s="794">
        <f t="shared" si="161"/>
        <v>1812111.6149779595</v>
      </c>
      <c r="W123" s="794">
        <f t="shared" si="161"/>
        <v>1812111.6149779595</v>
      </c>
      <c r="X123" s="794">
        <f t="shared" si="161"/>
        <v>1812111.6149779595</v>
      </c>
      <c r="Y123" s="794">
        <f t="shared" si="161"/>
        <v>1812111.6149779595</v>
      </c>
      <c r="Z123" s="902">
        <f t="shared" si="161"/>
        <v>1812111.6149779595</v>
      </c>
      <c r="AA123" s="794">
        <f t="shared" si="161"/>
        <v>1812111.6149779595</v>
      </c>
      <c r="AB123" s="794">
        <f t="shared" si="161"/>
        <v>1812111.6149779595</v>
      </c>
      <c r="AC123" s="794">
        <f t="shared" si="161"/>
        <v>1812111.6149779595</v>
      </c>
      <c r="AD123" s="794">
        <f t="shared" si="161"/>
        <v>1812111.6149779595</v>
      </c>
      <c r="AE123" s="794">
        <f t="shared" si="161"/>
        <v>1812111.6149779595</v>
      </c>
      <c r="AF123" s="794">
        <f t="shared" si="161"/>
        <v>1812111.6149779595</v>
      </c>
      <c r="AG123" s="794">
        <f t="shared" si="161"/>
        <v>1812111.6149779595</v>
      </c>
      <c r="AH123" s="794">
        <f t="shared" si="161"/>
        <v>1812111.6149779595</v>
      </c>
      <c r="AI123" s="913">
        <f t="shared" si="161"/>
        <v>1812111.6149779595</v>
      </c>
      <c r="AJ123" s="792">
        <f t="shared" si="139"/>
        <v>54363348.449338749</v>
      </c>
      <c r="AK123" s="822"/>
      <c r="AL123" s="796">
        <f t="shared" ref="AL123:BO123" si="162">AL125</f>
        <v>3.3333333333333333E-2</v>
      </c>
      <c r="AM123" s="797">
        <f t="shared" si="162"/>
        <v>3.3333333333333333E-2</v>
      </c>
      <c r="AN123" s="797">
        <f t="shared" si="162"/>
        <v>3.3333333333333333E-2</v>
      </c>
      <c r="AO123" s="797">
        <f t="shared" si="162"/>
        <v>3.3333333333333333E-2</v>
      </c>
      <c r="AP123" s="797">
        <f t="shared" si="162"/>
        <v>3.3333333333333333E-2</v>
      </c>
      <c r="AQ123" s="797">
        <f t="shared" si="162"/>
        <v>3.3333333333333333E-2</v>
      </c>
      <c r="AR123" s="797">
        <f t="shared" si="162"/>
        <v>3.3333333333333333E-2</v>
      </c>
      <c r="AS123" s="797">
        <f t="shared" si="162"/>
        <v>3.3333333333333333E-2</v>
      </c>
      <c r="AT123" s="797">
        <f t="shared" si="162"/>
        <v>3.3333333333333333E-2</v>
      </c>
      <c r="AU123" s="797">
        <f t="shared" si="162"/>
        <v>3.3333333333333333E-2</v>
      </c>
      <c r="AV123" s="797">
        <f t="shared" si="162"/>
        <v>3.3333333333333333E-2</v>
      </c>
      <c r="AW123" s="797">
        <f t="shared" si="162"/>
        <v>3.3333333333333333E-2</v>
      </c>
      <c r="AX123" s="797">
        <f t="shared" si="162"/>
        <v>3.3333333333333333E-2</v>
      </c>
      <c r="AY123" s="797">
        <f t="shared" si="162"/>
        <v>3.3333333333333333E-2</v>
      </c>
      <c r="AZ123" s="797">
        <f t="shared" si="162"/>
        <v>3.3333333333333333E-2</v>
      </c>
      <c r="BA123" s="903">
        <f t="shared" si="162"/>
        <v>3.3333333333333333E-2</v>
      </c>
      <c r="BB123" s="797">
        <f t="shared" si="162"/>
        <v>3.3333333333333333E-2</v>
      </c>
      <c r="BC123" s="797">
        <f t="shared" si="162"/>
        <v>3.3333333333333333E-2</v>
      </c>
      <c r="BD123" s="797">
        <f t="shared" si="162"/>
        <v>3.3333333333333333E-2</v>
      </c>
      <c r="BE123" s="797">
        <f t="shared" si="162"/>
        <v>3.3333333333333333E-2</v>
      </c>
      <c r="BF123" s="797">
        <f t="shared" si="162"/>
        <v>3.3333333333333333E-2</v>
      </c>
      <c r="BG123" s="797">
        <f t="shared" si="162"/>
        <v>3.3333333333333333E-2</v>
      </c>
      <c r="BH123" s="797">
        <f t="shared" si="162"/>
        <v>3.3333333333333333E-2</v>
      </c>
      <c r="BI123" s="797">
        <f t="shared" si="162"/>
        <v>3.3333333333333333E-2</v>
      </c>
      <c r="BJ123" s="797">
        <f t="shared" si="162"/>
        <v>3.3333333333333333E-2</v>
      </c>
      <c r="BK123" s="797">
        <f t="shared" si="162"/>
        <v>3.3333333333333333E-2</v>
      </c>
      <c r="BL123" s="797">
        <f t="shared" si="162"/>
        <v>3.3333333333333333E-2</v>
      </c>
      <c r="BM123" s="797">
        <f t="shared" si="162"/>
        <v>3.3333333333333333E-2</v>
      </c>
      <c r="BN123" s="797">
        <f t="shared" si="162"/>
        <v>3.3333333333333333E-2</v>
      </c>
      <c r="BO123" s="801">
        <f t="shared" si="162"/>
        <v>3.3333333333333333E-2</v>
      </c>
      <c r="BP123" s="798">
        <f t="shared" si="106"/>
        <v>0.99999999999999989</v>
      </c>
      <c r="BR123" s="504"/>
      <c r="BS123" s="504"/>
    </row>
    <row r="124" spans="1:71" s="224" customFormat="1">
      <c r="A124" s="175"/>
      <c r="B124" s="176" t="s">
        <v>138</v>
      </c>
      <c r="C124" s="911" t="s">
        <v>139</v>
      </c>
      <c r="D124" s="919" t="s">
        <v>205</v>
      </c>
      <c r="E124" s="196">
        <v>12187008.61414977</v>
      </c>
      <c r="F124" s="213">
        <f t="shared" ref="F124:U125" si="163">$E124*AL124</f>
        <v>406233.620471659</v>
      </c>
      <c r="G124" s="214">
        <f t="shared" si="163"/>
        <v>406233.620471659</v>
      </c>
      <c r="H124" s="214">
        <f t="shared" si="163"/>
        <v>406233.620471659</v>
      </c>
      <c r="I124" s="214">
        <f t="shared" si="163"/>
        <v>406233.620471659</v>
      </c>
      <c r="J124" s="214">
        <f t="shared" si="163"/>
        <v>406233.620471659</v>
      </c>
      <c r="K124" s="214">
        <f t="shared" si="163"/>
        <v>406233.620471659</v>
      </c>
      <c r="L124" s="214">
        <f t="shared" si="163"/>
        <v>406233.620471659</v>
      </c>
      <c r="M124" s="214">
        <f t="shared" si="163"/>
        <v>406233.620471659</v>
      </c>
      <c r="N124" s="214">
        <f t="shared" si="163"/>
        <v>406233.620471659</v>
      </c>
      <c r="O124" s="214">
        <f t="shared" si="163"/>
        <v>406233.620471659</v>
      </c>
      <c r="P124" s="215">
        <f t="shared" si="163"/>
        <v>406233.620471659</v>
      </c>
      <c r="Q124" s="214">
        <f t="shared" si="163"/>
        <v>406233.620471659</v>
      </c>
      <c r="R124" s="214">
        <f t="shared" si="163"/>
        <v>406233.620471659</v>
      </c>
      <c r="S124" s="214">
        <f t="shared" si="163"/>
        <v>406233.620471659</v>
      </c>
      <c r="T124" s="214">
        <f t="shared" si="163"/>
        <v>406233.620471659</v>
      </c>
      <c r="U124" s="214">
        <f t="shared" si="163"/>
        <v>406233.620471659</v>
      </c>
      <c r="V124" s="214">
        <f t="shared" ref="V124:AI125" si="164">$E124*BB124</f>
        <v>406233.620471659</v>
      </c>
      <c r="W124" s="214">
        <f t="shared" si="164"/>
        <v>406233.620471659</v>
      </c>
      <c r="X124" s="214">
        <f t="shared" si="164"/>
        <v>406233.620471659</v>
      </c>
      <c r="Y124" s="214">
        <f t="shared" si="164"/>
        <v>406233.620471659</v>
      </c>
      <c r="Z124" s="215">
        <f t="shared" si="164"/>
        <v>406233.620471659</v>
      </c>
      <c r="AA124" s="214">
        <f t="shared" si="164"/>
        <v>406233.620471659</v>
      </c>
      <c r="AB124" s="214">
        <f t="shared" si="164"/>
        <v>406233.620471659</v>
      </c>
      <c r="AC124" s="214">
        <f t="shared" si="164"/>
        <v>406233.620471659</v>
      </c>
      <c r="AD124" s="214">
        <f t="shared" si="164"/>
        <v>406233.620471659</v>
      </c>
      <c r="AE124" s="214">
        <f t="shared" si="164"/>
        <v>406233.620471659</v>
      </c>
      <c r="AF124" s="214">
        <f t="shared" si="164"/>
        <v>406233.620471659</v>
      </c>
      <c r="AG124" s="214">
        <f t="shared" si="164"/>
        <v>406233.620471659</v>
      </c>
      <c r="AH124" s="214">
        <f t="shared" si="164"/>
        <v>406233.620471659</v>
      </c>
      <c r="AI124" s="216">
        <f t="shared" si="164"/>
        <v>406233.620471659</v>
      </c>
      <c r="AJ124" s="920">
        <f t="shared" si="139"/>
        <v>12187008.614149764</v>
      </c>
      <c r="AK124" s="820"/>
      <c r="AL124" s="921">
        <f t="shared" ref="AL124:BA125" si="165">1/30</f>
        <v>3.3333333333333333E-2</v>
      </c>
      <c r="AM124" s="922">
        <f t="shared" si="165"/>
        <v>3.3333333333333333E-2</v>
      </c>
      <c r="AN124" s="922">
        <f t="shared" si="165"/>
        <v>3.3333333333333333E-2</v>
      </c>
      <c r="AO124" s="922">
        <f t="shared" si="165"/>
        <v>3.3333333333333333E-2</v>
      </c>
      <c r="AP124" s="922">
        <f t="shared" si="165"/>
        <v>3.3333333333333333E-2</v>
      </c>
      <c r="AQ124" s="922">
        <f t="shared" si="165"/>
        <v>3.3333333333333333E-2</v>
      </c>
      <c r="AR124" s="922">
        <f t="shared" si="165"/>
        <v>3.3333333333333333E-2</v>
      </c>
      <c r="AS124" s="922">
        <f t="shared" si="165"/>
        <v>3.3333333333333333E-2</v>
      </c>
      <c r="AT124" s="922">
        <f t="shared" si="165"/>
        <v>3.3333333333333333E-2</v>
      </c>
      <c r="AU124" s="922">
        <f t="shared" si="165"/>
        <v>3.3333333333333333E-2</v>
      </c>
      <c r="AV124" s="922">
        <f t="shared" si="165"/>
        <v>3.3333333333333333E-2</v>
      </c>
      <c r="AW124" s="922">
        <f t="shared" si="165"/>
        <v>3.3333333333333333E-2</v>
      </c>
      <c r="AX124" s="922">
        <f t="shared" si="165"/>
        <v>3.3333333333333333E-2</v>
      </c>
      <c r="AY124" s="922">
        <f t="shared" si="165"/>
        <v>3.3333333333333333E-2</v>
      </c>
      <c r="AZ124" s="922">
        <f t="shared" si="165"/>
        <v>3.3333333333333333E-2</v>
      </c>
      <c r="BA124" s="922">
        <f t="shared" si="165"/>
        <v>3.3333333333333333E-2</v>
      </c>
      <c r="BB124" s="922">
        <f t="shared" ref="BB124:BO125" si="166">1/30</f>
        <v>3.3333333333333333E-2</v>
      </c>
      <c r="BC124" s="922">
        <f t="shared" si="166"/>
        <v>3.3333333333333333E-2</v>
      </c>
      <c r="BD124" s="922">
        <f t="shared" si="166"/>
        <v>3.3333333333333333E-2</v>
      </c>
      <c r="BE124" s="922">
        <f t="shared" si="166"/>
        <v>3.3333333333333333E-2</v>
      </c>
      <c r="BF124" s="922">
        <f t="shared" si="166"/>
        <v>3.3333333333333333E-2</v>
      </c>
      <c r="BG124" s="922">
        <f t="shared" si="166"/>
        <v>3.3333333333333333E-2</v>
      </c>
      <c r="BH124" s="922">
        <f t="shared" si="166"/>
        <v>3.3333333333333333E-2</v>
      </c>
      <c r="BI124" s="922">
        <f t="shared" si="166"/>
        <v>3.3333333333333333E-2</v>
      </c>
      <c r="BJ124" s="922">
        <f t="shared" si="166"/>
        <v>3.3333333333333333E-2</v>
      </c>
      <c r="BK124" s="922">
        <f t="shared" si="166"/>
        <v>3.3333333333333333E-2</v>
      </c>
      <c r="BL124" s="922">
        <f t="shared" si="166"/>
        <v>3.3333333333333333E-2</v>
      </c>
      <c r="BM124" s="922">
        <f t="shared" si="166"/>
        <v>3.3333333333333333E-2</v>
      </c>
      <c r="BN124" s="922">
        <f t="shared" si="166"/>
        <v>3.3333333333333333E-2</v>
      </c>
      <c r="BO124" s="923">
        <f t="shared" si="166"/>
        <v>3.3333333333333333E-2</v>
      </c>
      <c r="BP124" s="909">
        <f t="shared" si="106"/>
        <v>0.99999999999999989</v>
      </c>
      <c r="BR124" s="507"/>
      <c r="BS124" s="507"/>
    </row>
    <row r="125" spans="1:71" s="224" customFormat="1" ht="13.5" thickBot="1">
      <c r="A125" s="175"/>
      <c r="B125" s="176" t="s">
        <v>138</v>
      </c>
      <c r="C125" s="219" t="s">
        <v>140</v>
      </c>
      <c r="D125" s="220" t="s">
        <v>206</v>
      </c>
      <c r="E125" s="196">
        <v>42176339.835189022</v>
      </c>
      <c r="F125" s="229">
        <f t="shared" si="163"/>
        <v>1405877.9945063007</v>
      </c>
      <c r="G125" s="230">
        <f t="shared" si="163"/>
        <v>1405877.9945063007</v>
      </c>
      <c r="H125" s="230">
        <f t="shared" si="163"/>
        <v>1405877.9945063007</v>
      </c>
      <c r="I125" s="230">
        <f t="shared" si="163"/>
        <v>1405877.9945063007</v>
      </c>
      <c r="J125" s="230">
        <f t="shared" si="163"/>
        <v>1405877.9945063007</v>
      </c>
      <c r="K125" s="230">
        <f t="shared" si="163"/>
        <v>1405877.9945063007</v>
      </c>
      <c r="L125" s="230">
        <f t="shared" si="163"/>
        <v>1405877.9945063007</v>
      </c>
      <c r="M125" s="230">
        <f t="shared" si="163"/>
        <v>1405877.9945063007</v>
      </c>
      <c r="N125" s="230">
        <f t="shared" si="163"/>
        <v>1405877.9945063007</v>
      </c>
      <c r="O125" s="230">
        <f t="shared" si="163"/>
        <v>1405877.9945063007</v>
      </c>
      <c r="P125" s="231">
        <f t="shared" si="163"/>
        <v>1405877.9945063007</v>
      </c>
      <c r="Q125" s="230">
        <f t="shared" si="163"/>
        <v>1405877.9945063007</v>
      </c>
      <c r="R125" s="230">
        <f t="shared" si="163"/>
        <v>1405877.9945063007</v>
      </c>
      <c r="S125" s="230">
        <f t="shared" si="163"/>
        <v>1405877.9945063007</v>
      </c>
      <c r="T125" s="230">
        <f t="shared" si="163"/>
        <v>1405877.9945063007</v>
      </c>
      <c r="U125" s="230">
        <f t="shared" si="163"/>
        <v>1405877.9945063007</v>
      </c>
      <c r="V125" s="230">
        <f t="shared" si="164"/>
        <v>1405877.9945063007</v>
      </c>
      <c r="W125" s="230">
        <f t="shared" si="164"/>
        <v>1405877.9945063007</v>
      </c>
      <c r="X125" s="230">
        <f t="shared" si="164"/>
        <v>1405877.9945063007</v>
      </c>
      <c r="Y125" s="230">
        <f t="shared" si="164"/>
        <v>1405877.9945063007</v>
      </c>
      <c r="Z125" s="231">
        <f t="shared" si="164"/>
        <v>1405877.9945063007</v>
      </c>
      <c r="AA125" s="230">
        <f t="shared" si="164"/>
        <v>1405877.9945063007</v>
      </c>
      <c r="AB125" s="230">
        <f t="shared" si="164"/>
        <v>1405877.9945063007</v>
      </c>
      <c r="AC125" s="230">
        <f t="shared" si="164"/>
        <v>1405877.9945063007</v>
      </c>
      <c r="AD125" s="230">
        <f t="shared" si="164"/>
        <v>1405877.9945063007</v>
      </c>
      <c r="AE125" s="230">
        <f t="shared" si="164"/>
        <v>1405877.9945063007</v>
      </c>
      <c r="AF125" s="230">
        <f t="shared" si="164"/>
        <v>1405877.9945063007</v>
      </c>
      <c r="AG125" s="230">
        <f t="shared" si="164"/>
        <v>1405877.9945063007</v>
      </c>
      <c r="AH125" s="230">
        <f t="shared" si="164"/>
        <v>1405877.9945063007</v>
      </c>
      <c r="AI125" s="924">
        <f t="shared" si="164"/>
        <v>1405877.9945063007</v>
      </c>
      <c r="AJ125" s="232">
        <f t="shared" si="139"/>
        <v>42176339.835189007</v>
      </c>
      <c r="AK125" s="820"/>
      <c r="AL125" s="223">
        <f t="shared" si="165"/>
        <v>3.3333333333333333E-2</v>
      </c>
      <c r="AM125" s="217">
        <f t="shared" si="165"/>
        <v>3.3333333333333333E-2</v>
      </c>
      <c r="AN125" s="217">
        <f t="shared" si="165"/>
        <v>3.3333333333333333E-2</v>
      </c>
      <c r="AO125" s="217">
        <f t="shared" si="165"/>
        <v>3.3333333333333333E-2</v>
      </c>
      <c r="AP125" s="217">
        <f t="shared" si="165"/>
        <v>3.3333333333333333E-2</v>
      </c>
      <c r="AQ125" s="217">
        <f t="shared" si="165"/>
        <v>3.3333333333333333E-2</v>
      </c>
      <c r="AR125" s="217">
        <f t="shared" si="165"/>
        <v>3.3333333333333333E-2</v>
      </c>
      <c r="AS125" s="217">
        <f t="shared" si="165"/>
        <v>3.3333333333333333E-2</v>
      </c>
      <c r="AT125" s="217">
        <f t="shared" si="165"/>
        <v>3.3333333333333333E-2</v>
      </c>
      <c r="AU125" s="217">
        <f t="shared" si="165"/>
        <v>3.3333333333333333E-2</v>
      </c>
      <c r="AV125" s="217">
        <f t="shared" si="165"/>
        <v>3.3333333333333333E-2</v>
      </c>
      <c r="AW125" s="217">
        <f t="shared" si="165"/>
        <v>3.3333333333333333E-2</v>
      </c>
      <c r="AX125" s="217">
        <f t="shared" si="165"/>
        <v>3.3333333333333333E-2</v>
      </c>
      <c r="AY125" s="217">
        <f t="shared" si="165"/>
        <v>3.3333333333333333E-2</v>
      </c>
      <c r="AZ125" s="217">
        <f t="shared" si="165"/>
        <v>3.3333333333333333E-2</v>
      </c>
      <c r="BA125" s="217">
        <f t="shared" si="165"/>
        <v>3.3333333333333333E-2</v>
      </c>
      <c r="BB125" s="217">
        <f t="shared" si="166"/>
        <v>3.3333333333333333E-2</v>
      </c>
      <c r="BC125" s="217">
        <f t="shared" si="166"/>
        <v>3.3333333333333333E-2</v>
      </c>
      <c r="BD125" s="217">
        <f t="shared" si="166"/>
        <v>3.3333333333333333E-2</v>
      </c>
      <c r="BE125" s="217">
        <f t="shared" si="166"/>
        <v>3.3333333333333333E-2</v>
      </c>
      <c r="BF125" s="217">
        <f t="shared" si="166"/>
        <v>3.3333333333333333E-2</v>
      </c>
      <c r="BG125" s="217">
        <f t="shared" si="166"/>
        <v>3.3333333333333333E-2</v>
      </c>
      <c r="BH125" s="217">
        <f t="shared" si="166"/>
        <v>3.3333333333333333E-2</v>
      </c>
      <c r="BI125" s="217">
        <f t="shared" si="166"/>
        <v>3.3333333333333333E-2</v>
      </c>
      <c r="BJ125" s="217">
        <f t="shared" si="166"/>
        <v>3.3333333333333333E-2</v>
      </c>
      <c r="BK125" s="217">
        <f t="shared" si="166"/>
        <v>3.3333333333333333E-2</v>
      </c>
      <c r="BL125" s="217">
        <f t="shared" si="166"/>
        <v>3.3333333333333333E-2</v>
      </c>
      <c r="BM125" s="217">
        <f t="shared" si="166"/>
        <v>3.3333333333333333E-2</v>
      </c>
      <c r="BN125" s="217">
        <f t="shared" si="166"/>
        <v>3.3333333333333333E-2</v>
      </c>
      <c r="BO125" s="218">
        <f t="shared" si="166"/>
        <v>3.3333333333333333E-2</v>
      </c>
      <c r="BP125" s="222">
        <f t="shared" si="106"/>
        <v>0.99999999999999989</v>
      </c>
      <c r="BR125" s="507"/>
      <c r="BS125" s="507"/>
    </row>
    <row r="126" spans="1:71" ht="13.5" thickBot="1">
      <c r="B126" s="176"/>
      <c r="D126" s="233"/>
      <c r="E126" s="234"/>
      <c r="F126" s="235"/>
      <c r="G126" s="235"/>
      <c r="H126" s="235"/>
      <c r="I126" s="235"/>
      <c r="J126" s="235"/>
      <c r="K126" s="235"/>
      <c r="L126" s="235"/>
      <c r="M126" s="235"/>
      <c r="N126" s="235"/>
      <c r="O126" s="235"/>
      <c r="P126" s="235"/>
      <c r="Q126" s="235"/>
      <c r="R126" s="235"/>
      <c r="S126" s="235"/>
      <c r="T126" s="235"/>
      <c r="U126" s="235"/>
      <c r="V126" s="235"/>
      <c r="W126" s="235"/>
      <c r="X126" s="235"/>
      <c r="Y126" s="227"/>
      <c r="Z126" s="235"/>
      <c r="AA126" s="235"/>
      <c r="AB126" s="235"/>
      <c r="AC126" s="235"/>
      <c r="AD126" s="235"/>
      <c r="AE126" s="235"/>
      <c r="AF126" s="235"/>
      <c r="AG126" s="235"/>
      <c r="AH126" s="235"/>
      <c r="AI126" s="235"/>
      <c r="AJ126" s="234"/>
      <c r="AL126" s="236"/>
      <c r="AM126" s="236"/>
      <c r="AN126" s="236"/>
      <c r="AO126" s="236"/>
      <c r="AP126" s="236"/>
      <c r="AQ126" s="236"/>
      <c r="AR126" s="236"/>
      <c r="AS126" s="236"/>
      <c r="AT126" s="236"/>
      <c r="AU126" s="236"/>
      <c r="AV126" s="236"/>
      <c r="AW126" s="236"/>
      <c r="AX126" s="236"/>
      <c r="AY126" s="236"/>
      <c r="AZ126" s="237"/>
      <c r="BA126" s="236"/>
      <c r="BB126" s="236"/>
      <c r="BC126" s="236"/>
      <c r="BD126" s="236"/>
      <c r="BE126" s="236"/>
      <c r="BF126" s="236"/>
      <c r="BG126" s="236"/>
      <c r="BH126" s="236"/>
      <c r="BI126" s="236"/>
      <c r="BJ126" s="236"/>
      <c r="BK126" s="236"/>
      <c r="BL126" s="236"/>
      <c r="BM126" s="236"/>
      <c r="BN126" s="236"/>
      <c r="BO126" s="236"/>
      <c r="BP126" s="238"/>
    </row>
    <row r="127" spans="1:71" s="184" customFormat="1" ht="15" customHeight="1" thickBot="1">
      <c r="B127" s="175"/>
      <c r="C127" s="802"/>
      <c r="D127" s="803" t="s">
        <v>207</v>
      </c>
      <c r="E127" s="804" t="e">
        <f t="shared" ref="E127:AI127" si="167">SUMIF($B$14:$B$125,"INV",E$14:E$125)</f>
        <v>#N/A</v>
      </c>
      <c r="F127" s="805" t="e">
        <f t="shared" si="167"/>
        <v>#N/A</v>
      </c>
      <c r="G127" s="806" t="e">
        <f t="shared" si="167"/>
        <v>#N/A</v>
      </c>
      <c r="H127" s="806" t="e">
        <f t="shared" si="167"/>
        <v>#N/A</v>
      </c>
      <c r="I127" s="806" t="e">
        <f t="shared" si="167"/>
        <v>#N/A</v>
      </c>
      <c r="J127" s="806" t="e">
        <f t="shared" si="167"/>
        <v>#N/A</v>
      </c>
      <c r="K127" s="806" t="e">
        <f t="shared" si="167"/>
        <v>#N/A</v>
      </c>
      <c r="L127" s="806" t="e">
        <f t="shared" si="167"/>
        <v>#N/A</v>
      </c>
      <c r="M127" s="806" t="e">
        <f t="shared" si="167"/>
        <v>#N/A</v>
      </c>
      <c r="N127" s="806" t="e">
        <f t="shared" si="167"/>
        <v>#N/A</v>
      </c>
      <c r="O127" s="806" t="e">
        <f t="shared" si="167"/>
        <v>#N/A</v>
      </c>
      <c r="P127" s="806" t="e">
        <f t="shared" si="167"/>
        <v>#N/A</v>
      </c>
      <c r="Q127" s="806" t="e">
        <f t="shared" si="167"/>
        <v>#N/A</v>
      </c>
      <c r="R127" s="806" t="e">
        <f t="shared" si="167"/>
        <v>#N/A</v>
      </c>
      <c r="S127" s="806" t="e">
        <f t="shared" si="167"/>
        <v>#N/A</v>
      </c>
      <c r="T127" s="806" t="e">
        <f t="shared" si="167"/>
        <v>#N/A</v>
      </c>
      <c r="U127" s="806" t="e">
        <f t="shared" si="167"/>
        <v>#N/A</v>
      </c>
      <c r="V127" s="806" t="e">
        <f t="shared" si="167"/>
        <v>#N/A</v>
      </c>
      <c r="W127" s="806" t="e">
        <f t="shared" si="167"/>
        <v>#N/A</v>
      </c>
      <c r="X127" s="806" t="e">
        <f t="shared" si="167"/>
        <v>#N/A</v>
      </c>
      <c r="Y127" s="806" t="e">
        <f t="shared" si="167"/>
        <v>#N/A</v>
      </c>
      <c r="Z127" s="925" t="e">
        <f t="shared" si="167"/>
        <v>#N/A</v>
      </c>
      <c r="AA127" s="806" t="e">
        <f t="shared" si="167"/>
        <v>#N/A</v>
      </c>
      <c r="AB127" s="806" t="e">
        <f t="shared" si="167"/>
        <v>#N/A</v>
      </c>
      <c r="AC127" s="806" t="e">
        <f t="shared" si="167"/>
        <v>#N/A</v>
      </c>
      <c r="AD127" s="806" t="e">
        <f t="shared" si="167"/>
        <v>#N/A</v>
      </c>
      <c r="AE127" s="806" t="e">
        <f t="shared" si="167"/>
        <v>#N/A</v>
      </c>
      <c r="AF127" s="806" t="e">
        <f t="shared" si="167"/>
        <v>#N/A</v>
      </c>
      <c r="AG127" s="806" t="e">
        <f t="shared" si="167"/>
        <v>#N/A</v>
      </c>
      <c r="AH127" s="806" t="e">
        <f t="shared" si="167"/>
        <v>#N/A</v>
      </c>
      <c r="AI127" s="806" t="e">
        <f t="shared" si="167"/>
        <v>#N/A</v>
      </c>
      <c r="AJ127" s="807" t="e">
        <f>SUM(F127:AI127)</f>
        <v>#N/A</v>
      </c>
      <c r="AK127" s="822"/>
      <c r="AL127" s="808" t="e">
        <f t="shared" ref="AL127:BO127" si="168">F127/$E$127</f>
        <v>#N/A</v>
      </c>
      <c r="AM127" s="809" t="e">
        <f t="shared" si="168"/>
        <v>#N/A</v>
      </c>
      <c r="AN127" s="809" t="e">
        <f t="shared" si="168"/>
        <v>#N/A</v>
      </c>
      <c r="AO127" s="809" t="e">
        <f t="shared" si="168"/>
        <v>#N/A</v>
      </c>
      <c r="AP127" s="809" t="e">
        <f t="shared" si="168"/>
        <v>#N/A</v>
      </c>
      <c r="AQ127" s="809" t="e">
        <f t="shared" si="168"/>
        <v>#N/A</v>
      </c>
      <c r="AR127" s="809" t="e">
        <f t="shared" si="168"/>
        <v>#N/A</v>
      </c>
      <c r="AS127" s="809" t="e">
        <f t="shared" si="168"/>
        <v>#N/A</v>
      </c>
      <c r="AT127" s="809" t="e">
        <f t="shared" si="168"/>
        <v>#N/A</v>
      </c>
      <c r="AU127" s="809" t="e">
        <f t="shared" si="168"/>
        <v>#N/A</v>
      </c>
      <c r="AV127" s="809" t="e">
        <f t="shared" si="168"/>
        <v>#N/A</v>
      </c>
      <c r="AW127" s="809" t="e">
        <f t="shared" si="168"/>
        <v>#N/A</v>
      </c>
      <c r="AX127" s="809" t="e">
        <f t="shared" si="168"/>
        <v>#N/A</v>
      </c>
      <c r="AY127" s="809" t="e">
        <f t="shared" si="168"/>
        <v>#N/A</v>
      </c>
      <c r="AZ127" s="809" t="e">
        <f t="shared" si="168"/>
        <v>#N/A</v>
      </c>
      <c r="BA127" s="926" t="e">
        <f t="shared" si="168"/>
        <v>#N/A</v>
      </c>
      <c r="BB127" s="809" t="e">
        <f t="shared" si="168"/>
        <v>#N/A</v>
      </c>
      <c r="BC127" s="809" t="e">
        <f t="shared" si="168"/>
        <v>#N/A</v>
      </c>
      <c r="BD127" s="809" t="e">
        <f t="shared" si="168"/>
        <v>#N/A</v>
      </c>
      <c r="BE127" s="809" t="e">
        <f t="shared" si="168"/>
        <v>#N/A</v>
      </c>
      <c r="BF127" s="809" t="e">
        <f t="shared" si="168"/>
        <v>#N/A</v>
      </c>
      <c r="BG127" s="809" t="e">
        <f t="shared" si="168"/>
        <v>#N/A</v>
      </c>
      <c r="BH127" s="809" t="e">
        <f t="shared" si="168"/>
        <v>#N/A</v>
      </c>
      <c r="BI127" s="809" t="e">
        <f t="shared" si="168"/>
        <v>#N/A</v>
      </c>
      <c r="BJ127" s="809" t="e">
        <f t="shared" si="168"/>
        <v>#N/A</v>
      </c>
      <c r="BK127" s="809" t="e">
        <f t="shared" si="168"/>
        <v>#N/A</v>
      </c>
      <c r="BL127" s="809" t="e">
        <f t="shared" si="168"/>
        <v>#N/A</v>
      </c>
      <c r="BM127" s="809" t="e">
        <f t="shared" si="168"/>
        <v>#N/A</v>
      </c>
      <c r="BN127" s="809" t="e">
        <f t="shared" si="168"/>
        <v>#N/A</v>
      </c>
      <c r="BO127" s="809" t="e">
        <f t="shared" si="168"/>
        <v>#N/A</v>
      </c>
      <c r="BP127" s="810" t="e">
        <f>SUM(AL127:BO127)</f>
        <v>#N/A</v>
      </c>
      <c r="BR127" s="502"/>
      <c r="BS127" s="504"/>
    </row>
    <row r="128" spans="1:71" s="184" customFormat="1" ht="15" customHeight="1" thickBot="1">
      <c r="B128" s="175"/>
      <c r="C128" s="802"/>
      <c r="D128" s="803" t="s">
        <v>208</v>
      </c>
      <c r="E128" s="805">
        <f t="shared" ref="E128:AI128" ca="1" si="169">SUMIF($B$14:$B$125,"COP",E$14:E$125)</f>
        <v>1765963196.5757632</v>
      </c>
      <c r="F128" s="805">
        <f t="shared" ca="1" si="169"/>
        <v>35304251.00758376</v>
      </c>
      <c r="G128" s="806">
        <f t="shared" ca="1" si="169"/>
        <v>56890534.724298373</v>
      </c>
      <c r="H128" s="806">
        <f t="shared" ca="1" si="169"/>
        <v>62806365.861707039</v>
      </c>
      <c r="I128" s="806">
        <f t="shared" ca="1" si="169"/>
        <v>56342020.865007818</v>
      </c>
      <c r="J128" s="806">
        <f t="shared" ca="1" si="169"/>
        <v>56093575.04289943</v>
      </c>
      <c r="K128" s="806">
        <f t="shared" ca="1" si="169"/>
        <v>59667903.216845177</v>
      </c>
      <c r="L128" s="806">
        <f t="shared" ca="1" si="169"/>
        <v>63185400.97246816</v>
      </c>
      <c r="M128" s="806">
        <f t="shared" ca="1" si="169"/>
        <v>56128925.822586343</v>
      </c>
      <c r="N128" s="806">
        <f t="shared" ca="1" si="169"/>
        <v>59532892.407697245</v>
      </c>
      <c r="O128" s="806">
        <f t="shared" ca="1" si="169"/>
        <v>63382176.03418164</v>
      </c>
      <c r="P128" s="806">
        <f t="shared" ca="1" si="169"/>
        <v>56042660.248230763</v>
      </c>
      <c r="Q128" s="806">
        <f t="shared" ca="1" si="169"/>
        <v>59825230.183880821</v>
      </c>
      <c r="R128" s="806">
        <f t="shared" ca="1" si="169"/>
        <v>63288075.164983571</v>
      </c>
      <c r="S128" s="806">
        <f t="shared" ca="1" si="169"/>
        <v>56155044.540549338</v>
      </c>
      <c r="T128" s="806">
        <f t="shared" ca="1" si="169"/>
        <v>59613274.82292299</v>
      </c>
      <c r="U128" s="806">
        <f t="shared" ca="1" si="169"/>
        <v>63717727.142805591</v>
      </c>
      <c r="V128" s="806">
        <f t="shared" ca="1" si="169"/>
        <v>56158760.586161062</v>
      </c>
      <c r="W128" s="806">
        <f t="shared" ca="1" si="169"/>
        <v>59866734.952553093</v>
      </c>
      <c r="X128" s="806">
        <f t="shared" ca="1" si="169"/>
        <v>63341744.834631279</v>
      </c>
      <c r="Y128" s="806">
        <f t="shared" ca="1" si="169"/>
        <v>56183838.300294369</v>
      </c>
      <c r="Z128" s="925">
        <f t="shared" ca="1" si="169"/>
        <v>60077928.118875444</v>
      </c>
      <c r="AA128" s="806">
        <f t="shared" ca="1" si="169"/>
        <v>64106614.944344483</v>
      </c>
      <c r="AB128" s="806">
        <f t="shared" ca="1" si="169"/>
        <v>56366252.978173055</v>
      </c>
      <c r="AC128" s="806">
        <f t="shared" ca="1" si="169"/>
        <v>60290347.440572016</v>
      </c>
      <c r="AD128" s="806">
        <f t="shared" ca="1" si="169"/>
        <v>63894214.944344483</v>
      </c>
      <c r="AE128" s="806">
        <f t="shared" ca="1" si="169"/>
        <v>56536391.399109803</v>
      </c>
      <c r="AF128" s="806">
        <f t="shared" ca="1" si="169"/>
        <v>60161164.844561346</v>
      </c>
      <c r="AG128" s="806">
        <f t="shared" ca="1" si="169"/>
        <v>64215155.33138638</v>
      </c>
      <c r="AH128" s="806">
        <f t="shared" ca="1" si="169"/>
        <v>56424147.399109803</v>
      </c>
      <c r="AI128" s="806">
        <f t="shared" ca="1" si="169"/>
        <v>60363842.442998841</v>
      </c>
      <c r="AJ128" s="807">
        <f ca="1">SUM(F128:AI128)</f>
        <v>1765963196.5757635</v>
      </c>
      <c r="AK128" s="822"/>
      <c r="AL128" s="808">
        <f t="shared" ref="AL128:BO128" ca="1" si="170">F128/$E$128</f>
        <v>1.9991498733404743E-2</v>
      </c>
      <c r="AM128" s="809">
        <f t="shared" ca="1" si="170"/>
        <v>3.2215017184169081E-2</v>
      </c>
      <c r="AN128" s="809">
        <f t="shared" ca="1" si="170"/>
        <v>3.5564934752598351E-2</v>
      </c>
      <c r="AO128" s="809">
        <f t="shared" ca="1" si="170"/>
        <v>3.190441396188555E-2</v>
      </c>
      <c r="AP128" s="809">
        <f t="shared" ca="1" si="170"/>
        <v>3.1763728231520315E-2</v>
      </c>
      <c r="AQ128" s="809">
        <f t="shared" ca="1" si="170"/>
        <v>3.3787738800300254E-2</v>
      </c>
      <c r="AR128" s="809">
        <f t="shared" ca="1" si="170"/>
        <v>3.5779568393602919E-2</v>
      </c>
      <c r="AS128" s="809">
        <f t="shared" ca="1" si="170"/>
        <v>3.1783746077733335E-2</v>
      </c>
      <c r="AT128" s="809">
        <f t="shared" ca="1" si="170"/>
        <v>3.3711287145243275E-2</v>
      </c>
      <c r="AU128" s="809">
        <f t="shared" ca="1" si="170"/>
        <v>3.5890994872985409E-2</v>
      </c>
      <c r="AV128" s="809">
        <f t="shared" ca="1" si="170"/>
        <v>3.1734897056121307E-2</v>
      </c>
      <c r="AW128" s="809">
        <f t="shared" ca="1" si="170"/>
        <v>3.3876827274703744E-2</v>
      </c>
      <c r="AX128" s="809">
        <f t="shared" ca="1" si="170"/>
        <v>3.5837709012113257E-2</v>
      </c>
      <c r="AY128" s="809">
        <f t="shared" ca="1" si="170"/>
        <v>3.1798536146979195E-2</v>
      </c>
      <c r="AZ128" s="809">
        <f t="shared" ca="1" si="170"/>
        <v>3.3756804750242973E-2</v>
      </c>
      <c r="BA128" s="926">
        <f t="shared" ca="1" si="170"/>
        <v>3.6081005123071365E-2</v>
      </c>
      <c r="BB128" s="809">
        <f t="shared" ca="1" si="170"/>
        <v>3.1800640406920135E-2</v>
      </c>
      <c r="BC128" s="809">
        <f t="shared" ca="1" si="170"/>
        <v>3.3900329898514221E-2</v>
      </c>
      <c r="BD128" s="809">
        <f t="shared" ca="1" si="170"/>
        <v>3.5868100171879087E-2</v>
      </c>
      <c r="BE128" s="809">
        <f t="shared" ca="1" si="170"/>
        <v>3.1814840993988958E-2</v>
      </c>
      <c r="BF128" s="809">
        <f t="shared" ca="1" si="170"/>
        <v>3.4019920820189065E-2</v>
      </c>
      <c r="BG128" s="809">
        <f t="shared" ca="1" si="170"/>
        <v>3.6301217980447414E-2</v>
      </c>
      <c r="BH128" s="809">
        <f t="shared" ca="1" si="170"/>
        <v>3.1918135716230277E-2</v>
      </c>
      <c r="BI128" s="809">
        <f t="shared" ca="1" si="170"/>
        <v>3.4140206068550109E-2</v>
      </c>
      <c r="BJ128" s="809">
        <f t="shared" ca="1" si="170"/>
        <v>3.6180943673252419E-2</v>
      </c>
      <c r="BK128" s="809">
        <f t="shared" ca="1" si="170"/>
        <v>3.2014478845728472E-2</v>
      </c>
      <c r="BL128" s="809">
        <f t="shared" ca="1" si="170"/>
        <v>3.4067054716210965E-2</v>
      </c>
      <c r="BM128" s="809">
        <f t="shared" ca="1" si="170"/>
        <v>3.6362680409139224E-2</v>
      </c>
      <c r="BN128" s="809">
        <f t="shared" ca="1" si="170"/>
        <v>3.1950919197250155E-2</v>
      </c>
      <c r="BO128" s="809">
        <f t="shared" ca="1" si="170"/>
        <v>3.4181823585024591E-2</v>
      </c>
      <c r="BP128" s="810">
        <f ca="1">SUM(AL128:BO128)</f>
        <v>1</v>
      </c>
      <c r="BR128" s="502"/>
      <c r="BS128" s="504"/>
    </row>
    <row r="129" spans="5:71" s="175" customFormat="1" ht="6" customHeight="1">
      <c r="E129" s="557"/>
      <c r="F129" s="557"/>
      <c r="G129" s="557"/>
      <c r="H129" s="557"/>
      <c r="I129" s="557"/>
      <c r="J129" s="557"/>
      <c r="K129" s="557"/>
      <c r="L129" s="557"/>
      <c r="M129" s="557"/>
      <c r="N129" s="557"/>
      <c r="O129" s="557"/>
      <c r="P129" s="557"/>
      <c r="Q129" s="557"/>
      <c r="R129" s="557"/>
      <c r="S129" s="557"/>
      <c r="T129" s="557"/>
      <c r="U129" s="557"/>
      <c r="V129" s="557"/>
      <c r="W129" s="557"/>
      <c r="X129" s="557"/>
      <c r="Y129" s="557"/>
      <c r="Z129" s="557"/>
      <c r="AA129" s="557"/>
      <c r="AB129" s="557"/>
      <c r="AC129" s="557"/>
      <c r="AD129" s="557"/>
      <c r="AE129" s="557"/>
      <c r="AF129" s="557"/>
      <c r="AG129" s="557"/>
      <c r="AH129" s="557"/>
      <c r="AI129" s="557"/>
      <c r="AJ129" s="557"/>
      <c r="AK129" s="818"/>
      <c r="BR129" s="502"/>
      <c r="BS129" s="502"/>
    </row>
    <row r="131" spans="5:71">
      <c r="E131" s="557">
        <f ca="1">E128-E123-E121-E119-E117</f>
        <v>1687509848.1264243</v>
      </c>
    </row>
  </sheetData>
  <mergeCells count="71">
    <mergeCell ref="AY9:BP9"/>
    <mergeCell ref="B10:B12"/>
    <mergeCell ref="C10:C12"/>
    <mergeCell ref="D10:D12"/>
    <mergeCell ref="E10:E12"/>
    <mergeCell ref="F11:F12"/>
    <mergeCell ref="L11:L12"/>
    <mergeCell ref="F9:M9"/>
    <mergeCell ref="N9:V9"/>
    <mergeCell ref="W9:AJ9"/>
    <mergeCell ref="AL9:AX9"/>
    <mergeCell ref="G11:G12"/>
    <mergeCell ref="H11:H12"/>
    <mergeCell ref="I11:I12"/>
    <mergeCell ref="J11:J12"/>
    <mergeCell ref="K11:K12"/>
    <mergeCell ref="X11:X12"/>
    <mergeCell ref="M11:M12"/>
    <mergeCell ref="N11:N12"/>
    <mergeCell ref="O11:O12"/>
    <mergeCell ref="P11:P12"/>
    <mergeCell ref="Q11:Q12"/>
    <mergeCell ref="R11:R12"/>
    <mergeCell ref="S11:S12"/>
    <mergeCell ref="T11:T12"/>
    <mergeCell ref="U11:U12"/>
    <mergeCell ref="V11:V12"/>
    <mergeCell ref="W11:W12"/>
    <mergeCell ref="AJ11:AJ12"/>
    <mergeCell ref="Y11:Y12"/>
    <mergeCell ref="Z11:Z12"/>
    <mergeCell ref="AA11:AA12"/>
    <mergeCell ref="AB11:AB12"/>
    <mergeCell ref="AC11:AC12"/>
    <mergeCell ref="AD11:AD12"/>
    <mergeCell ref="AE11:AE12"/>
    <mergeCell ref="AF11:AF12"/>
    <mergeCell ref="AG11:AG12"/>
    <mergeCell ref="AH11:AH12"/>
    <mergeCell ref="AI11:AI12"/>
    <mergeCell ref="AW11:AW12"/>
    <mergeCell ref="AL11:AL12"/>
    <mergeCell ref="AM11:AM12"/>
    <mergeCell ref="AN11:AN12"/>
    <mergeCell ref="AO11:AO12"/>
    <mergeCell ref="AP11:AP12"/>
    <mergeCell ref="AQ11:AQ12"/>
    <mergeCell ref="AR11:AR12"/>
    <mergeCell ref="AS11:AS12"/>
    <mergeCell ref="AT11:AT12"/>
    <mergeCell ref="AU11:AU12"/>
    <mergeCell ref="AV11:AV12"/>
    <mergeCell ref="BI11:BI12"/>
    <mergeCell ref="AX11:AX12"/>
    <mergeCell ref="AY11:AY12"/>
    <mergeCell ref="AZ11:AZ12"/>
    <mergeCell ref="BA11:BA12"/>
    <mergeCell ref="BB11:BB12"/>
    <mergeCell ref="BC11:BC12"/>
    <mergeCell ref="BD11:BD12"/>
    <mergeCell ref="BE11:BE12"/>
    <mergeCell ref="BF11:BF12"/>
    <mergeCell ref="BG11:BG12"/>
    <mergeCell ref="BH11:BH12"/>
    <mergeCell ref="BP11:BP12"/>
    <mergeCell ref="BJ11:BJ12"/>
    <mergeCell ref="BK11:BK12"/>
    <mergeCell ref="BL11:BL12"/>
    <mergeCell ref="BM11:BM12"/>
    <mergeCell ref="BN11:BN12"/>
    <mergeCell ref="BO11:BO12"/>
  </mergeCells>
  <conditionalFormatting sqref="F39:L42">
    <cfRule type="cellIs" dxfId="40" priority="7" operator="notEqual">
      <formula>0</formula>
    </cfRule>
  </conditionalFormatting>
  <conditionalFormatting sqref="F47:O61">
    <cfRule type="cellIs" dxfId="39" priority="6" operator="notEqual">
      <formula>0</formula>
    </cfRule>
  </conditionalFormatting>
  <conditionalFormatting sqref="F15:AI25">
    <cfRule type="cellIs" dxfId="38" priority="9" operator="notEqual">
      <formula>0</formula>
    </cfRule>
    <cfRule type="cellIs" dxfId="37" priority="34" stopIfTrue="1" operator="equal">
      <formula>0</formula>
    </cfRule>
  </conditionalFormatting>
  <conditionalFormatting sqref="F27:AI37 M39:AI45 M47:AI66">
    <cfRule type="cellIs" dxfId="36" priority="8" operator="notEqual">
      <formula>0</formula>
    </cfRule>
  </conditionalFormatting>
  <conditionalFormatting sqref="F27:AI37">
    <cfRule type="cellIs" dxfId="35" priority="33" stopIfTrue="1" operator="equal">
      <formula>0</formula>
    </cfRule>
  </conditionalFormatting>
  <conditionalFormatting sqref="F39:AI45">
    <cfRule type="cellIs" dxfId="34" priority="32" stopIfTrue="1" operator="equal">
      <formula>0</formula>
    </cfRule>
  </conditionalFormatting>
  <conditionalFormatting sqref="F47:AI66">
    <cfRule type="cellIs" dxfId="33" priority="31" stopIfTrue="1" operator="equal">
      <formula>0</formula>
    </cfRule>
  </conditionalFormatting>
  <conditionalFormatting sqref="F68:AI69">
    <cfRule type="cellIs" dxfId="32" priority="30" stopIfTrue="1" operator="equal">
      <formula>0</formula>
    </cfRule>
  </conditionalFormatting>
  <conditionalFormatting sqref="F71:AI72">
    <cfRule type="cellIs" dxfId="31" priority="29" stopIfTrue="1" operator="equal">
      <formula>0</formula>
    </cfRule>
  </conditionalFormatting>
  <conditionalFormatting sqref="F75:AI85">
    <cfRule type="cellIs" dxfId="30" priority="26" stopIfTrue="1" operator="equal">
      <formula>0</formula>
    </cfRule>
  </conditionalFormatting>
  <conditionalFormatting sqref="F87:AI98">
    <cfRule type="cellIs" dxfId="29" priority="25" stopIfTrue="1" operator="equal">
      <formula>0</formula>
    </cfRule>
  </conditionalFormatting>
  <conditionalFormatting sqref="F100:AI116">
    <cfRule type="cellIs" dxfId="28" priority="24" stopIfTrue="1" operator="equal">
      <formula>0</formula>
    </cfRule>
  </conditionalFormatting>
  <conditionalFormatting sqref="G75:AI75">
    <cfRule type="cellIs" dxfId="27" priority="28" stopIfTrue="1" operator="equal">
      <formula>0</formula>
    </cfRule>
  </conditionalFormatting>
  <conditionalFormatting sqref="I68:AI69 F71:AI72 F75:AI85 F87:AI98 F100:AI113">
    <cfRule type="cellIs" dxfId="26" priority="5" operator="notEqual">
      <formula>0</formula>
    </cfRule>
  </conditionalFormatting>
  <conditionalFormatting sqref="AL15">
    <cfRule type="cellIs" dxfId="25" priority="14" operator="notEqual">
      <formula>0</formula>
    </cfRule>
  </conditionalFormatting>
  <conditionalFormatting sqref="AL15:AL22">
    <cfRule type="cellIs" dxfId="24" priority="22" stopIfTrue="1" operator="equal">
      <formula>0</formula>
    </cfRule>
  </conditionalFormatting>
  <conditionalFormatting sqref="AL27:BO37">
    <cfRule type="cellIs" dxfId="23" priority="20" stopIfTrue="1" operator="equal">
      <formula>0</formula>
    </cfRule>
  </conditionalFormatting>
  <conditionalFormatting sqref="AL39:BO45">
    <cfRule type="cellIs" dxfId="22" priority="19" stopIfTrue="1" operator="equal">
      <formula>0</formula>
    </cfRule>
  </conditionalFormatting>
  <conditionalFormatting sqref="AL47:BO66">
    <cfRule type="cellIs" dxfId="21" priority="1" operator="notEqual">
      <formula>0</formula>
    </cfRule>
    <cfRule type="cellIs" dxfId="20" priority="2" stopIfTrue="1" operator="equal">
      <formula>0</formula>
    </cfRule>
  </conditionalFormatting>
  <conditionalFormatting sqref="AL68:BO69 AL15:BO25 AL27:BO37 AL39:BO45">
    <cfRule type="cellIs" dxfId="19" priority="13" operator="notEqual">
      <formula>0</formula>
    </cfRule>
  </conditionalFormatting>
  <conditionalFormatting sqref="AL68:BO69">
    <cfRule type="cellIs" dxfId="18" priority="12" stopIfTrue="1" operator="equal">
      <formula>0</formula>
    </cfRule>
  </conditionalFormatting>
  <conditionalFormatting sqref="AL71:BO72 AL75:BO83 AL87:BO98">
    <cfRule type="cellIs" dxfId="17" priority="11" operator="notEqual">
      <formula>0</formula>
    </cfRule>
  </conditionalFormatting>
  <conditionalFormatting sqref="AL71:BO72">
    <cfRule type="cellIs" dxfId="16" priority="17" stopIfTrue="1" operator="equal">
      <formula>0</formula>
    </cfRule>
  </conditionalFormatting>
  <conditionalFormatting sqref="AL75:BO85">
    <cfRule type="cellIs" dxfId="15" priority="16" stopIfTrue="1" operator="equal">
      <formula>0</formula>
    </cfRule>
  </conditionalFormatting>
  <conditionalFormatting sqref="AL87:BO116">
    <cfRule type="cellIs" dxfId="14" priority="15" stopIfTrue="1" operator="equal">
      <formula>0</formula>
    </cfRule>
  </conditionalFormatting>
  <conditionalFormatting sqref="AL100:BO113">
    <cfRule type="cellIs" dxfId="13" priority="10" operator="notEqual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2"/>
  <dimension ref="A1:AH47"/>
  <sheetViews>
    <sheetView showGridLines="0" zoomScale="80" zoomScaleNormal="80" workbookViewId="0">
      <selection activeCell="D14" sqref="D14"/>
    </sheetView>
  </sheetViews>
  <sheetFormatPr defaultRowHeight="12.75"/>
  <cols>
    <col min="1" max="1" width="66.5703125" customWidth="1"/>
    <col min="2" max="2" width="18.7109375" customWidth="1"/>
    <col min="3" max="32" width="15.85546875" customWidth="1"/>
    <col min="34" max="34" width="14.42578125" bestFit="1" customWidth="1"/>
  </cols>
  <sheetData>
    <row r="1" spans="1:34" ht="18">
      <c r="A1" s="239"/>
      <c r="C1" s="172"/>
      <c r="D1" s="172"/>
      <c r="E1" s="172"/>
      <c r="F1" s="172"/>
      <c r="G1" s="172"/>
      <c r="H1" s="172"/>
      <c r="I1" s="172"/>
      <c r="O1" s="141"/>
      <c r="V1" s="141"/>
    </row>
    <row r="2" spans="1:34" ht="15.75">
      <c r="A2" s="239"/>
      <c r="C2" s="133"/>
      <c r="D2" s="172"/>
      <c r="E2" s="172"/>
      <c r="F2" s="172"/>
      <c r="G2" s="172"/>
      <c r="H2" s="173"/>
      <c r="I2" s="174"/>
      <c r="O2" s="140"/>
      <c r="V2" s="140"/>
    </row>
    <row r="3" spans="1:34" ht="15.75">
      <c r="A3" s="239"/>
      <c r="C3" s="143"/>
      <c r="D3" s="143"/>
      <c r="E3" s="143"/>
      <c r="F3" s="143"/>
      <c r="G3" s="143"/>
      <c r="H3" s="143"/>
      <c r="I3" s="143"/>
      <c r="O3" s="140"/>
      <c r="V3" s="140"/>
    </row>
    <row r="4" spans="1:34" ht="15.75">
      <c r="A4" s="140" t="s">
        <v>209</v>
      </c>
      <c r="D4" s="144" t="s">
        <v>210</v>
      </c>
      <c r="F4" s="145"/>
      <c r="H4" s="140"/>
      <c r="K4" s="1835"/>
      <c r="L4" s="1835"/>
      <c r="O4" s="140"/>
      <c r="R4" s="1835"/>
      <c r="S4" s="1835"/>
      <c r="V4" s="140"/>
      <c r="Y4" s="1835"/>
      <c r="Z4" s="1835"/>
      <c r="AA4" s="145"/>
      <c r="AB4" s="145"/>
      <c r="AC4" s="145"/>
      <c r="AD4" s="145"/>
      <c r="AE4" s="145"/>
    </row>
    <row r="5" spans="1:34" ht="13.5" thickBot="1"/>
    <row r="6" spans="1:34" ht="27" customHeight="1" thickBot="1">
      <c r="A6" s="811" t="s">
        <v>207</v>
      </c>
      <c r="B6" s="812" t="s">
        <v>38</v>
      </c>
      <c r="C6" s="927" t="s">
        <v>211</v>
      </c>
      <c r="D6" s="813" t="s">
        <v>212</v>
      </c>
      <c r="E6" s="813" t="s">
        <v>213</v>
      </c>
      <c r="F6" s="813" t="s">
        <v>214</v>
      </c>
      <c r="G6" s="813" t="s">
        <v>215</v>
      </c>
      <c r="H6" s="813" t="s">
        <v>216</v>
      </c>
      <c r="I6" s="813" t="s">
        <v>217</v>
      </c>
      <c r="J6" s="813" t="s">
        <v>218</v>
      </c>
      <c r="K6" s="813" t="s">
        <v>219</v>
      </c>
      <c r="L6" s="813" t="s">
        <v>220</v>
      </c>
      <c r="M6" s="813" t="s">
        <v>221</v>
      </c>
      <c r="N6" s="813" t="s">
        <v>222</v>
      </c>
      <c r="O6" s="813" t="s">
        <v>223</v>
      </c>
      <c r="P6" s="813" t="s">
        <v>224</v>
      </c>
      <c r="Q6" s="813" t="s">
        <v>225</v>
      </c>
      <c r="R6" s="813" t="s">
        <v>226</v>
      </c>
      <c r="S6" s="813" t="s">
        <v>227</v>
      </c>
      <c r="T6" s="813" t="s">
        <v>228</v>
      </c>
      <c r="U6" s="813" t="s">
        <v>229</v>
      </c>
      <c r="V6" s="813" t="s">
        <v>230</v>
      </c>
      <c r="W6" s="813" t="s">
        <v>231</v>
      </c>
      <c r="X6" s="813" t="s">
        <v>232</v>
      </c>
      <c r="Y6" s="813" t="s">
        <v>233</v>
      </c>
      <c r="Z6" s="813" t="s">
        <v>234</v>
      </c>
      <c r="AA6" s="813" t="s">
        <v>235</v>
      </c>
      <c r="AB6" s="813" t="s">
        <v>236</v>
      </c>
      <c r="AC6" s="813" t="s">
        <v>237</v>
      </c>
      <c r="AD6" s="813" t="s">
        <v>238</v>
      </c>
      <c r="AE6" s="813" t="s">
        <v>239</v>
      </c>
      <c r="AF6" s="813" t="s">
        <v>240</v>
      </c>
    </row>
    <row r="7" spans="1:34" ht="13.5" thickBot="1"/>
    <row r="8" spans="1:34">
      <c r="A8" s="928" t="s">
        <v>241</v>
      </c>
      <c r="B8" s="929">
        <f>SUM(C8:AF8)</f>
        <v>0</v>
      </c>
      <c r="C8" s="930"/>
      <c r="D8" s="931"/>
      <c r="E8" s="931"/>
      <c r="F8" s="931"/>
      <c r="G8" s="931"/>
      <c r="H8" s="931"/>
      <c r="I8" s="931"/>
      <c r="J8" s="931"/>
      <c r="K8" s="931"/>
      <c r="L8" s="931"/>
      <c r="M8" s="931"/>
      <c r="N8" s="931"/>
      <c r="O8" s="931"/>
      <c r="P8" s="931"/>
      <c r="Q8" s="931"/>
      <c r="R8" s="931"/>
      <c r="S8" s="931"/>
      <c r="T8" s="931"/>
      <c r="U8" s="931"/>
      <c r="V8" s="931"/>
      <c r="W8" s="931"/>
      <c r="X8" s="931"/>
      <c r="Y8" s="931"/>
      <c r="Z8" s="931"/>
      <c r="AA8" s="931"/>
      <c r="AB8" s="931"/>
      <c r="AC8" s="931"/>
      <c r="AD8" s="931"/>
      <c r="AE8" s="931"/>
      <c r="AF8" s="932"/>
      <c r="AG8" s="142"/>
      <c r="AH8" s="143">
        <f>SUM(C8:AF8)-B8</f>
        <v>0</v>
      </c>
    </row>
    <row r="9" spans="1:34">
      <c r="A9" s="146" t="s">
        <v>242</v>
      </c>
      <c r="B9" s="106">
        <f t="shared" ref="B9:B15" si="0">SUM(C9:AF9)</f>
        <v>0</v>
      </c>
      <c r="C9" s="147"/>
      <c r="D9" s="933"/>
      <c r="E9" s="933"/>
      <c r="F9" s="933"/>
      <c r="G9" s="933"/>
      <c r="H9" s="933"/>
      <c r="I9" s="933"/>
      <c r="J9" s="933"/>
      <c r="K9" s="933"/>
      <c r="L9" s="933"/>
      <c r="M9" s="933"/>
      <c r="N9" s="933"/>
      <c r="O9" s="933"/>
      <c r="P9" s="933"/>
      <c r="Q9" s="933"/>
      <c r="R9" s="933"/>
      <c r="S9" s="933"/>
      <c r="T9" s="933"/>
      <c r="U9" s="933"/>
      <c r="V9" s="933"/>
      <c r="W9" s="933"/>
      <c r="X9" s="933"/>
      <c r="Y9" s="933"/>
      <c r="Z9" s="933"/>
      <c r="AA9" s="933"/>
      <c r="AB9" s="933"/>
      <c r="AC9" s="933"/>
      <c r="AD9" s="933"/>
      <c r="AE9" s="933"/>
      <c r="AF9" s="934"/>
      <c r="AG9" s="142"/>
      <c r="AH9" s="143">
        <f t="shared" ref="AH9:AH15" si="1">SUM(C9:AF9)-B9</f>
        <v>0</v>
      </c>
    </row>
    <row r="10" spans="1:34">
      <c r="A10" s="146" t="s">
        <v>243</v>
      </c>
      <c r="B10" s="106">
        <f t="shared" si="0"/>
        <v>0</v>
      </c>
      <c r="C10" s="147"/>
      <c r="D10" s="933"/>
      <c r="E10" s="933"/>
      <c r="F10" s="933"/>
      <c r="G10" s="933"/>
      <c r="H10" s="933"/>
      <c r="I10" s="933"/>
      <c r="J10" s="933"/>
      <c r="K10" s="933"/>
      <c r="L10" s="933"/>
      <c r="M10" s="933"/>
      <c r="N10" s="933"/>
      <c r="O10" s="933"/>
      <c r="P10" s="933"/>
      <c r="Q10" s="933"/>
      <c r="R10" s="933"/>
      <c r="S10" s="933"/>
      <c r="T10" s="933"/>
      <c r="U10" s="933"/>
      <c r="V10" s="933"/>
      <c r="W10" s="933"/>
      <c r="X10" s="933"/>
      <c r="Y10" s="933"/>
      <c r="Z10" s="933"/>
      <c r="AA10" s="933"/>
      <c r="AB10" s="933"/>
      <c r="AC10" s="933"/>
      <c r="AD10" s="933"/>
      <c r="AE10" s="933"/>
      <c r="AF10" s="934"/>
      <c r="AG10" s="142"/>
      <c r="AH10" s="143">
        <f t="shared" si="1"/>
        <v>0</v>
      </c>
    </row>
    <row r="11" spans="1:34">
      <c r="A11" s="146" t="s">
        <v>244</v>
      </c>
      <c r="B11" s="106" t="e">
        <f t="shared" si="0"/>
        <v>#N/A</v>
      </c>
      <c r="C11" s="147" t="e">
        <f>'Quadro 5 Cronograma PER'!F57</f>
        <v>#N/A</v>
      </c>
      <c r="D11" s="933" t="e">
        <f>'Quadro 5 Cronograma PER'!G57</f>
        <v>#N/A</v>
      </c>
      <c r="E11" s="933" t="e">
        <f>'Quadro 5 Cronograma PER'!H57</f>
        <v>#N/A</v>
      </c>
      <c r="F11" s="933" t="e">
        <f>'Quadro 5 Cronograma PER'!I57</f>
        <v>#N/A</v>
      </c>
      <c r="G11" s="933" t="e">
        <f>'Quadro 5 Cronograma PER'!J57</f>
        <v>#N/A</v>
      </c>
      <c r="H11" s="933" t="e">
        <f>'Quadro 5 Cronograma PER'!K57</f>
        <v>#N/A</v>
      </c>
      <c r="I11" s="933" t="e">
        <f>'Quadro 5 Cronograma PER'!L57</f>
        <v>#N/A</v>
      </c>
      <c r="J11" s="933" t="e">
        <f>'Quadro 5 Cronograma PER'!M57</f>
        <v>#N/A</v>
      </c>
      <c r="K11" s="933" t="e">
        <f>'Quadro 5 Cronograma PER'!N57</f>
        <v>#N/A</v>
      </c>
      <c r="L11" s="933" t="e">
        <f>'Quadro 5 Cronograma PER'!O57</f>
        <v>#N/A</v>
      </c>
      <c r="M11" s="933" t="e">
        <f>'Quadro 5 Cronograma PER'!P57</f>
        <v>#N/A</v>
      </c>
      <c r="N11" s="933" t="e">
        <f>'Quadro 5 Cronograma PER'!Q57</f>
        <v>#N/A</v>
      </c>
      <c r="O11" s="933" t="e">
        <f>'Quadro 5 Cronograma PER'!R57</f>
        <v>#N/A</v>
      </c>
      <c r="P11" s="933" t="e">
        <f>'Quadro 5 Cronograma PER'!S57</f>
        <v>#N/A</v>
      </c>
      <c r="Q11" s="933" t="e">
        <f>'Quadro 5 Cronograma PER'!T57</f>
        <v>#N/A</v>
      </c>
      <c r="R11" s="933" t="e">
        <f>'Quadro 5 Cronograma PER'!U57</f>
        <v>#N/A</v>
      </c>
      <c r="S11" s="933" t="e">
        <f>'Quadro 5 Cronograma PER'!V57</f>
        <v>#N/A</v>
      </c>
      <c r="T11" s="933" t="e">
        <f>'Quadro 5 Cronograma PER'!W57</f>
        <v>#N/A</v>
      </c>
      <c r="U11" s="933" t="e">
        <f>'Quadro 5 Cronograma PER'!X57</f>
        <v>#N/A</v>
      </c>
      <c r="V11" s="933" t="e">
        <f>'Quadro 5 Cronograma PER'!Y57</f>
        <v>#N/A</v>
      </c>
      <c r="W11" s="933" t="e">
        <f>'Quadro 5 Cronograma PER'!Z57</f>
        <v>#N/A</v>
      </c>
      <c r="X11" s="933" t="e">
        <f>'Quadro 5 Cronograma PER'!AA57</f>
        <v>#N/A</v>
      </c>
      <c r="Y11" s="933" t="e">
        <f>'Quadro 5 Cronograma PER'!AB57</f>
        <v>#N/A</v>
      </c>
      <c r="Z11" s="933" t="e">
        <f>'Quadro 5 Cronograma PER'!AC57</f>
        <v>#N/A</v>
      </c>
      <c r="AA11" s="933" t="e">
        <f>'Quadro 5 Cronograma PER'!AD57</f>
        <v>#N/A</v>
      </c>
      <c r="AB11" s="933" t="e">
        <f>'Quadro 5 Cronograma PER'!AE57</f>
        <v>#N/A</v>
      </c>
      <c r="AC11" s="933" t="e">
        <f>'Quadro 5 Cronograma PER'!AF57</f>
        <v>#N/A</v>
      </c>
      <c r="AD11" s="933" t="e">
        <f>'Quadro 5 Cronograma PER'!AG57</f>
        <v>#N/A</v>
      </c>
      <c r="AE11" s="933" t="e">
        <f>'Quadro 5 Cronograma PER'!AH57</f>
        <v>#N/A</v>
      </c>
      <c r="AF11" s="934" t="e">
        <f>'Quadro 5 Cronograma PER'!AI57</f>
        <v>#N/A</v>
      </c>
      <c r="AG11" s="142"/>
      <c r="AH11" s="143" t="e">
        <f t="shared" si="1"/>
        <v>#N/A</v>
      </c>
    </row>
    <row r="12" spans="1:34">
      <c r="A12" s="146" t="s">
        <v>245</v>
      </c>
      <c r="B12" s="106">
        <f t="shared" si="0"/>
        <v>0</v>
      </c>
      <c r="C12" s="147"/>
      <c r="D12" s="933"/>
      <c r="E12" s="933"/>
      <c r="F12" s="933"/>
      <c r="G12" s="933"/>
      <c r="H12" s="933"/>
      <c r="I12" s="933"/>
      <c r="J12" s="933"/>
      <c r="K12" s="933"/>
      <c r="L12" s="933"/>
      <c r="M12" s="933"/>
      <c r="N12" s="933"/>
      <c r="O12" s="933"/>
      <c r="P12" s="933"/>
      <c r="Q12" s="933"/>
      <c r="R12" s="933"/>
      <c r="S12" s="933"/>
      <c r="T12" s="933"/>
      <c r="U12" s="933"/>
      <c r="V12" s="933"/>
      <c r="W12" s="933"/>
      <c r="X12" s="933"/>
      <c r="Y12" s="933"/>
      <c r="Z12" s="933"/>
      <c r="AA12" s="933"/>
      <c r="AB12" s="933"/>
      <c r="AC12" s="933"/>
      <c r="AD12" s="933"/>
      <c r="AE12" s="933"/>
      <c r="AF12" s="934"/>
      <c r="AG12" s="142"/>
      <c r="AH12" s="143">
        <f t="shared" si="1"/>
        <v>0</v>
      </c>
    </row>
    <row r="13" spans="1:34">
      <c r="A13" s="146" t="s">
        <v>246</v>
      </c>
      <c r="B13" s="106">
        <f t="shared" ca="1" si="0"/>
        <v>53151517.599349082</v>
      </c>
      <c r="C13" s="147">
        <f ca="1">'Quadro 5 Cronograma PER'!F70</f>
        <v>47650536.74999278</v>
      </c>
      <c r="D13" s="933">
        <f ca="1">'Quadro 5 Cronograma PER'!G70</f>
        <v>266912.43460145005</v>
      </c>
      <c r="E13" s="933">
        <f ca="1">'Quadro 5 Cronograma PER'!H70</f>
        <v>0</v>
      </c>
      <c r="F13" s="933">
        <f ca="1">'Quadro 5 Cronograma PER'!I70</f>
        <v>0</v>
      </c>
      <c r="G13" s="933">
        <f ca="1">'Quadro 5 Cronograma PER'!J70</f>
        <v>0</v>
      </c>
      <c r="H13" s="933">
        <f ca="1">'Quadro 5 Cronograma PER'!K70</f>
        <v>0</v>
      </c>
      <c r="I13" s="933">
        <f ca="1">'Quadro 5 Cronograma PER'!L70</f>
        <v>0</v>
      </c>
      <c r="J13" s="933">
        <f ca="1">'Quadro 5 Cronograma PER'!M70</f>
        <v>0</v>
      </c>
      <c r="K13" s="933">
        <f ca="1">'Quadro 5 Cronograma PER'!N70</f>
        <v>0</v>
      </c>
      <c r="L13" s="933">
        <f ca="1">'Quadro 5 Cronograma PER'!O70</f>
        <v>0</v>
      </c>
      <c r="M13" s="933">
        <f ca="1">'Quadro 5 Cronograma PER'!P70</f>
        <v>2266083.7009861199</v>
      </c>
      <c r="N13" s="933">
        <f ca="1">'Quadro 5 Cronograma PER'!Q70</f>
        <v>240221.19114130503</v>
      </c>
      <c r="O13" s="933">
        <f ca="1">'Quadro 5 Cronograma PER'!R70</f>
        <v>0</v>
      </c>
      <c r="P13" s="933">
        <f ca="1">'Quadro 5 Cronograma PER'!S70</f>
        <v>0</v>
      </c>
      <c r="Q13" s="933">
        <f ca="1">'Quadro 5 Cronograma PER'!T70</f>
        <v>0</v>
      </c>
      <c r="R13" s="933">
        <f ca="1">'Quadro 5 Cronograma PER'!U70</f>
        <v>0</v>
      </c>
      <c r="S13" s="933">
        <f ca="1">'Quadro 5 Cronograma PER'!V70</f>
        <v>0</v>
      </c>
      <c r="T13" s="933">
        <f ca="1">'Quadro 5 Cronograma PER'!W70</f>
        <v>0</v>
      </c>
      <c r="U13" s="933">
        <f ca="1">'Quadro 5 Cronograma PER'!X70</f>
        <v>0</v>
      </c>
      <c r="V13" s="933">
        <f ca="1">'Quadro 5 Cronograma PER'!Y70</f>
        <v>0</v>
      </c>
      <c r="W13" s="933">
        <f ca="1">'Quadro 5 Cronograma PER'!Z70</f>
        <v>2487542.3314861199</v>
      </c>
      <c r="X13" s="933">
        <f ca="1">'Quadro 5 Cronograma PER'!AA70</f>
        <v>240221.19114130503</v>
      </c>
      <c r="Y13" s="933">
        <f ca="1">'Quadro 5 Cronograma PER'!AB70</f>
        <v>0</v>
      </c>
      <c r="Z13" s="933">
        <f ca="1">'Quadro 5 Cronograma PER'!AC70</f>
        <v>0</v>
      </c>
      <c r="AA13" s="933">
        <f ca="1">'Quadro 5 Cronograma PER'!AD70</f>
        <v>0</v>
      </c>
      <c r="AB13" s="933">
        <f ca="1">'Quadro 5 Cronograma PER'!AE70</f>
        <v>0</v>
      </c>
      <c r="AC13" s="933">
        <f ca="1">'Quadro 5 Cronograma PER'!AF70</f>
        <v>0</v>
      </c>
      <c r="AD13" s="933">
        <f ca="1">'Quadro 5 Cronograma PER'!AG70</f>
        <v>0</v>
      </c>
      <c r="AE13" s="933">
        <f ca="1">'Quadro 5 Cronograma PER'!AH70</f>
        <v>0</v>
      </c>
      <c r="AF13" s="933">
        <f ca="1">'Quadro 5 Cronograma PER'!AI70</f>
        <v>0</v>
      </c>
      <c r="AG13" s="142"/>
      <c r="AH13" s="143">
        <f t="shared" ca="1" si="1"/>
        <v>0</v>
      </c>
    </row>
    <row r="14" spans="1:34">
      <c r="A14" s="146" t="s">
        <v>247</v>
      </c>
      <c r="B14" s="148">
        <f t="shared" si="0"/>
        <v>0</v>
      </c>
      <c r="C14" s="147"/>
      <c r="D14" s="933"/>
      <c r="E14" s="933"/>
      <c r="F14" s="933"/>
      <c r="G14" s="933"/>
      <c r="H14" s="933"/>
      <c r="I14" s="933"/>
      <c r="J14" s="933"/>
      <c r="K14" s="933"/>
      <c r="L14" s="933"/>
      <c r="M14" s="933"/>
      <c r="N14" s="933"/>
      <c r="O14" s="933"/>
      <c r="P14" s="933"/>
      <c r="Q14" s="933"/>
      <c r="R14" s="933"/>
      <c r="S14" s="933"/>
      <c r="T14" s="933"/>
      <c r="U14" s="933"/>
      <c r="V14" s="933"/>
      <c r="W14" s="933"/>
      <c r="X14" s="933"/>
      <c r="Y14" s="933"/>
      <c r="Z14" s="933"/>
      <c r="AA14" s="933"/>
      <c r="AB14" s="933"/>
      <c r="AC14" s="933"/>
      <c r="AD14" s="933"/>
      <c r="AE14" s="933"/>
      <c r="AF14" s="934"/>
      <c r="AG14" s="142"/>
      <c r="AH14" s="143">
        <f t="shared" si="1"/>
        <v>0</v>
      </c>
    </row>
    <row r="15" spans="1:34" ht="13.5" thickBot="1">
      <c r="A15" s="149" t="s">
        <v>248</v>
      </c>
      <c r="B15" s="112">
        <f t="shared" si="0"/>
        <v>0</v>
      </c>
      <c r="C15" s="150"/>
      <c r="D15" s="151"/>
      <c r="E15" s="151"/>
      <c r="F15" s="151"/>
      <c r="G15" s="151"/>
      <c r="H15" s="151"/>
      <c r="I15" s="151"/>
      <c r="J15" s="151"/>
      <c r="K15" s="151"/>
      <c r="L15" s="151"/>
      <c r="M15" s="151"/>
      <c r="N15" s="151"/>
      <c r="O15" s="151"/>
      <c r="P15" s="151"/>
      <c r="Q15" s="151"/>
      <c r="R15" s="151"/>
      <c r="S15" s="151"/>
      <c r="T15" s="151"/>
      <c r="U15" s="151"/>
      <c r="V15" s="151"/>
      <c r="W15" s="151"/>
      <c r="X15" s="151"/>
      <c r="Y15" s="151"/>
      <c r="Z15" s="151"/>
      <c r="AA15" s="151"/>
      <c r="AB15" s="151"/>
      <c r="AC15" s="151"/>
      <c r="AD15" s="151"/>
      <c r="AE15" s="151"/>
      <c r="AF15" s="152"/>
      <c r="AG15" s="142"/>
      <c r="AH15" s="143">
        <f t="shared" si="1"/>
        <v>0</v>
      </c>
    </row>
    <row r="16" spans="1:34" ht="13.5" thickBot="1">
      <c r="A16" s="814" t="s">
        <v>249</v>
      </c>
      <c r="B16" s="591" t="e">
        <f ca="1">SUM(C16:AF16)</f>
        <v>#N/A</v>
      </c>
      <c r="C16" s="935" t="e">
        <f ca="1">C13+C11</f>
        <v>#N/A</v>
      </c>
      <c r="D16" s="935" t="e">
        <f t="shared" ref="D16:AF16" ca="1" si="2">D13+D11</f>
        <v>#N/A</v>
      </c>
      <c r="E16" s="935" t="e">
        <f t="shared" ca="1" si="2"/>
        <v>#N/A</v>
      </c>
      <c r="F16" s="935" t="e">
        <f t="shared" ca="1" si="2"/>
        <v>#N/A</v>
      </c>
      <c r="G16" s="935" t="e">
        <f t="shared" ca="1" si="2"/>
        <v>#N/A</v>
      </c>
      <c r="H16" s="935" t="e">
        <f t="shared" ca="1" si="2"/>
        <v>#N/A</v>
      </c>
      <c r="I16" s="935" t="e">
        <f t="shared" ca="1" si="2"/>
        <v>#N/A</v>
      </c>
      <c r="J16" s="935" t="e">
        <f t="shared" ca="1" si="2"/>
        <v>#N/A</v>
      </c>
      <c r="K16" s="935" t="e">
        <f t="shared" ca="1" si="2"/>
        <v>#N/A</v>
      </c>
      <c r="L16" s="935" t="e">
        <f t="shared" ca="1" si="2"/>
        <v>#N/A</v>
      </c>
      <c r="M16" s="935" t="e">
        <f t="shared" ca="1" si="2"/>
        <v>#N/A</v>
      </c>
      <c r="N16" s="935" t="e">
        <f t="shared" ca="1" si="2"/>
        <v>#N/A</v>
      </c>
      <c r="O16" s="935" t="e">
        <f t="shared" ca="1" si="2"/>
        <v>#N/A</v>
      </c>
      <c r="P16" s="935" t="e">
        <f t="shared" ca="1" si="2"/>
        <v>#N/A</v>
      </c>
      <c r="Q16" s="935" t="e">
        <f t="shared" ca="1" si="2"/>
        <v>#N/A</v>
      </c>
      <c r="R16" s="935" t="e">
        <f t="shared" ca="1" si="2"/>
        <v>#N/A</v>
      </c>
      <c r="S16" s="935" t="e">
        <f t="shared" ca="1" si="2"/>
        <v>#N/A</v>
      </c>
      <c r="T16" s="935" t="e">
        <f t="shared" ca="1" si="2"/>
        <v>#N/A</v>
      </c>
      <c r="U16" s="935" t="e">
        <f t="shared" ca="1" si="2"/>
        <v>#N/A</v>
      </c>
      <c r="V16" s="935" t="e">
        <f t="shared" ca="1" si="2"/>
        <v>#N/A</v>
      </c>
      <c r="W16" s="935" t="e">
        <f t="shared" ca="1" si="2"/>
        <v>#N/A</v>
      </c>
      <c r="X16" s="935" t="e">
        <f t="shared" ca="1" si="2"/>
        <v>#N/A</v>
      </c>
      <c r="Y16" s="935" t="e">
        <f t="shared" ca="1" si="2"/>
        <v>#N/A</v>
      </c>
      <c r="Z16" s="935" t="e">
        <f t="shared" ca="1" si="2"/>
        <v>#N/A</v>
      </c>
      <c r="AA16" s="935" t="e">
        <f t="shared" ca="1" si="2"/>
        <v>#N/A</v>
      </c>
      <c r="AB16" s="935" t="e">
        <f t="shared" ca="1" si="2"/>
        <v>#N/A</v>
      </c>
      <c r="AC16" s="935" t="e">
        <f t="shared" ca="1" si="2"/>
        <v>#N/A</v>
      </c>
      <c r="AD16" s="935" t="e">
        <f t="shared" ca="1" si="2"/>
        <v>#N/A</v>
      </c>
      <c r="AE16" s="935" t="e">
        <f t="shared" ca="1" si="2"/>
        <v>#N/A</v>
      </c>
      <c r="AF16" s="935" t="e">
        <f t="shared" ca="1" si="2"/>
        <v>#N/A</v>
      </c>
      <c r="AG16" s="142"/>
    </row>
    <row r="17" spans="1:33" ht="13.5" thickBot="1">
      <c r="B17" s="153" t="e">
        <f ca="1">+B16-B13</f>
        <v>#N/A</v>
      </c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42"/>
      <c r="P17" s="142"/>
      <c r="Q17" s="142"/>
      <c r="R17" s="142"/>
      <c r="S17" s="142"/>
      <c r="T17" s="142"/>
      <c r="U17" s="142"/>
      <c r="V17" s="142"/>
      <c r="W17" s="142"/>
      <c r="X17" s="142"/>
      <c r="Y17" s="142"/>
      <c r="Z17" s="142"/>
      <c r="AA17" s="142"/>
      <c r="AB17" s="142"/>
      <c r="AC17" s="142"/>
      <c r="AD17" s="142"/>
      <c r="AE17" s="142"/>
      <c r="AF17" s="142"/>
      <c r="AG17" s="142"/>
    </row>
    <row r="18" spans="1:33" ht="25.5">
      <c r="A18" s="936" t="s">
        <v>250</v>
      </c>
      <c r="B18" s="929" t="e">
        <f>SUM(C18:AF18)</f>
        <v>#N/A</v>
      </c>
      <c r="C18" s="937" t="e">
        <f t="shared" ref="C18:AF18" si="3">C8+C9+C12+C11+C15+C14</f>
        <v>#N/A</v>
      </c>
      <c r="D18" s="938" t="e">
        <f t="shared" si="3"/>
        <v>#N/A</v>
      </c>
      <c r="E18" s="938" t="e">
        <f t="shared" si="3"/>
        <v>#N/A</v>
      </c>
      <c r="F18" s="938" t="e">
        <f t="shared" si="3"/>
        <v>#N/A</v>
      </c>
      <c r="G18" s="938" t="e">
        <f t="shared" si="3"/>
        <v>#N/A</v>
      </c>
      <c r="H18" s="938" t="e">
        <f t="shared" si="3"/>
        <v>#N/A</v>
      </c>
      <c r="I18" s="938" t="e">
        <f t="shared" si="3"/>
        <v>#N/A</v>
      </c>
      <c r="J18" s="938" t="e">
        <f t="shared" si="3"/>
        <v>#N/A</v>
      </c>
      <c r="K18" s="938" t="e">
        <f t="shared" si="3"/>
        <v>#N/A</v>
      </c>
      <c r="L18" s="938" t="e">
        <f t="shared" si="3"/>
        <v>#N/A</v>
      </c>
      <c r="M18" s="938" t="e">
        <f t="shared" si="3"/>
        <v>#N/A</v>
      </c>
      <c r="N18" s="938" t="e">
        <f t="shared" si="3"/>
        <v>#N/A</v>
      </c>
      <c r="O18" s="938" t="e">
        <f t="shared" si="3"/>
        <v>#N/A</v>
      </c>
      <c r="P18" s="938" t="e">
        <f t="shared" si="3"/>
        <v>#N/A</v>
      </c>
      <c r="Q18" s="938" t="e">
        <f t="shared" si="3"/>
        <v>#N/A</v>
      </c>
      <c r="R18" s="938" t="e">
        <f t="shared" si="3"/>
        <v>#N/A</v>
      </c>
      <c r="S18" s="938" t="e">
        <f t="shared" si="3"/>
        <v>#N/A</v>
      </c>
      <c r="T18" s="938" t="e">
        <f t="shared" si="3"/>
        <v>#N/A</v>
      </c>
      <c r="U18" s="938" t="e">
        <f t="shared" si="3"/>
        <v>#N/A</v>
      </c>
      <c r="V18" s="938" t="e">
        <f t="shared" si="3"/>
        <v>#N/A</v>
      </c>
      <c r="W18" s="938" t="e">
        <f t="shared" si="3"/>
        <v>#N/A</v>
      </c>
      <c r="X18" s="938" t="e">
        <f t="shared" si="3"/>
        <v>#N/A</v>
      </c>
      <c r="Y18" s="938" t="e">
        <f t="shared" si="3"/>
        <v>#N/A</v>
      </c>
      <c r="Z18" s="938" t="e">
        <f t="shared" si="3"/>
        <v>#N/A</v>
      </c>
      <c r="AA18" s="938" t="e">
        <f t="shared" si="3"/>
        <v>#N/A</v>
      </c>
      <c r="AB18" s="938" t="e">
        <f t="shared" si="3"/>
        <v>#N/A</v>
      </c>
      <c r="AC18" s="938" t="e">
        <f t="shared" si="3"/>
        <v>#N/A</v>
      </c>
      <c r="AD18" s="938" t="e">
        <f t="shared" si="3"/>
        <v>#N/A</v>
      </c>
      <c r="AE18" s="938" t="e">
        <f t="shared" si="3"/>
        <v>#N/A</v>
      </c>
      <c r="AF18" s="938" t="e">
        <f t="shared" si="3"/>
        <v>#N/A</v>
      </c>
      <c r="AG18" s="142"/>
    </row>
    <row r="19" spans="1:33">
      <c r="A19" s="146" t="s">
        <v>243</v>
      </c>
      <c r="B19" s="106">
        <f>SUM(C19:AF19)</f>
        <v>0</v>
      </c>
      <c r="C19" s="939">
        <f t="shared" ref="C19:AF19" si="4">C10</f>
        <v>0</v>
      </c>
      <c r="D19" s="939">
        <f t="shared" si="4"/>
        <v>0</v>
      </c>
      <c r="E19" s="939">
        <f t="shared" si="4"/>
        <v>0</v>
      </c>
      <c r="F19" s="939">
        <f t="shared" si="4"/>
        <v>0</v>
      </c>
      <c r="G19" s="939">
        <f t="shared" si="4"/>
        <v>0</v>
      </c>
      <c r="H19" s="939">
        <f t="shared" si="4"/>
        <v>0</v>
      </c>
      <c r="I19" s="939">
        <f t="shared" si="4"/>
        <v>0</v>
      </c>
      <c r="J19" s="939">
        <f t="shared" si="4"/>
        <v>0</v>
      </c>
      <c r="K19" s="939">
        <f t="shared" si="4"/>
        <v>0</v>
      </c>
      <c r="L19" s="939">
        <f t="shared" si="4"/>
        <v>0</v>
      </c>
      <c r="M19" s="939">
        <f t="shared" si="4"/>
        <v>0</v>
      </c>
      <c r="N19" s="939">
        <f t="shared" si="4"/>
        <v>0</v>
      </c>
      <c r="O19" s="939">
        <f t="shared" si="4"/>
        <v>0</v>
      </c>
      <c r="P19" s="939">
        <f t="shared" si="4"/>
        <v>0</v>
      </c>
      <c r="Q19" s="939">
        <f t="shared" si="4"/>
        <v>0</v>
      </c>
      <c r="R19" s="939">
        <f t="shared" si="4"/>
        <v>0</v>
      </c>
      <c r="S19" s="939">
        <f t="shared" si="4"/>
        <v>0</v>
      </c>
      <c r="T19" s="939">
        <f t="shared" si="4"/>
        <v>0</v>
      </c>
      <c r="U19" s="939">
        <f t="shared" si="4"/>
        <v>0</v>
      </c>
      <c r="V19" s="939">
        <f t="shared" si="4"/>
        <v>0</v>
      </c>
      <c r="W19" s="939">
        <f t="shared" si="4"/>
        <v>0</v>
      </c>
      <c r="X19" s="939">
        <f t="shared" si="4"/>
        <v>0</v>
      </c>
      <c r="Y19" s="939">
        <f t="shared" si="4"/>
        <v>0</v>
      </c>
      <c r="Z19" s="939">
        <f t="shared" si="4"/>
        <v>0</v>
      </c>
      <c r="AA19" s="939">
        <f t="shared" si="4"/>
        <v>0</v>
      </c>
      <c r="AB19" s="939">
        <f t="shared" si="4"/>
        <v>0</v>
      </c>
      <c r="AC19" s="939">
        <f t="shared" si="4"/>
        <v>0</v>
      </c>
      <c r="AD19" s="939">
        <f t="shared" si="4"/>
        <v>0</v>
      </c>
      <c r="AE19" s="939">
        <f t="shared" si="4"/>
        <v>0</v>
      </c>
      <c r="AF19" s="939">
        <f t="shared" si="4"/>
        <v>0</v>
      </c>
      <c r="AG19" s="142"/>
    </row>
    <row r="20" spans="1:33" ht="13.5" thickBot="1">
      <c r="A20" s="154" t="s">
        <v>251</v>
      </c>
      <c r="B20" s="112">
        <f ca="1">SUM(C20:AF20)</f>
        <v>53151517.599349082</v>
      </c>
      <c r="C20" s="939">
        <f ca="1">C13</f>
        <v>47650536.74999278</v>
      </c>
      <c r="D20" s="939">
        <f t="shared" ref="D20:AF20" ca="1" si="5">D13</f>
        <v>266912.43460145005</v>
      </c>
      <c r="E20" s="939">
        <f t="shared" ca="1" si="5"/>
        <v>0</v>
      </c>
      <c r="F20" s="939">
        <f t="shared" ca="1" si="5"/>
        <v>0</v>
      </c>
      <c r="G20" s="939">
        <f t="shared" ca="1" si="5"/>
        <v>0</v>
      </c>
      <c r="H20" s="939">
        <f t="shared" ca="1" si="5"/>
        <v>0</v>
      </c>
      <c r="I20" s="939">
        <f t="shared" ca="1" si="5"/>
        <v>0</v>
      </c>
      <c r="J20" s="939">
        <f t="shared" ca="1" si="5"/>
        <v>0</v>
      </c>
      <c r="K20" s="939">
        <f t="shared" ca="1" si="5"/>
        <v>0</v>
      </c>
      <c r="L20" s="939">
        <f t="shared" ca="1" si="5"/>
        <v>0</v>
      </c>
      <c r="M20" s="939">
        <f t="shared" ca="1" si="5"/>
        <v>2266083.7009861199</v>
      </c>
      <c r="N20" s="939">
        <f t="shared" ca="1" si="5"/>
        <v>240221.19114130503</v>
      </c>
      <c r="O20" s="939">
        <f t="shared" ca="1" si="5"/>
        <v>0</v>
      </c>
      <c r="P20" s="939">
        <f t="shared" ca="1" si="5"/>
        <v>0</v>
      </c>
      <c r="Q20" s="939">
        <f t="shared" ca="1" si="5"/>
        <v>0</v>
      </c>
      <c r="R20" s="939">
        <f t="shared" ca="1" si="5"/>
        <v>0</v>
      </c>
      <c r="S20" s="939">
        <f t="shared" ca="1" si="5"/>
        <v>0</v>
      </c>
      <c r="T20" s="939">
        <f t="shared" ca="1" si="5"/>
        <v>0</v>
      </c>
      <c r="U20" s="939">
        <f t="shared" ca="1" si="5"/>
        <v>0</v>
      </c>
      <c r="V20" s="939">
        <f t="shared" ca="1" si="5"/>
        <v>0</v>
      </c>
      <c r="W20" s="939">
        <f t="shared" ca="1" si="5"/>
        <v>2487542.3314861199</v>
      </c>
      <c r="X20" s="939">
        <f t="shared" ca="1" si="5"/>
        <v>240221.19114130503</v>
      </c>
      <c r="Y20" s="939">
        <f t="shared" ca="1" si="5"/>
        <v>0</v>
      </c>
      <c r="Z20" s="939">
        <f t="shared" ca="1" si="5"/>
        <v>0</v>
      </c>
      <c r="AA20" s="939">
        <f t="shared" ca="1" si="5"/>
        <v>0</v>
      </c>
      <c r="AB20" s="939">
        <f t="shared" ca="1" si="5"/>
        <v>0</v>
      </c>
      <c r="AC20" s="939">
        <f t="shared" ca="1" si="5"/>
        <v>0</v>
      </c>
      <c r="AD20" s="939">
        <f t="shared" ca="1" si="5"/>
        <v>0</v>
      </c>
      <c r="AE20" s="939">
        <f t="shared" ca="1" si="5"/>
        <v>0</v>
      </c>
      <c r="AF20" s="939">
        <f t="shared" ca="1" si="5"/>
        <v>0</v>
      </c>
      <c r="AG20" s="142"/>
    </row>
    <row r="21" spans="1:33" ht="13.5" thickBot="1">
      <c r="A21" s="815" t="s">
        <v>249</v>
      </c>
      <c r="B21" s="816" t="e">
        <f ca="1">ROUND(SUM(C21:AF21),2)</f>
        <v>#N/A</v>
      </c>
      <c r="C21" s="817" t="e">
        <f ca="1">C20+C18</f>
        <v>#N/A</v>
      </c>
      <c r="D21" s="817" t="e">
        <f t="shared" ref="D21:AF21" ca="1" si="6">D20+D18</f>
        <v>#N/A</v>
      </c>
      <c r="E21" s="817" t="e">
        <f t="shared" ca="1" si="6"/>
        <v>#N/A</v>
      </c>
      <c r="F21" s="817" t="e">
        <f t="shared" ca="1" si="6"/>
        <v>#N/A</v>
      </c>
      <c r="G21" s="817" t="e">
        <f t="shared" ca="1" si="6"/>
        <v>#N/A</v>
      </c>
      <c r="H21" s="817" t="e">
        <f t="shared" ca="1" si="6"/>
        <v>#N/A</v>
      </c>
      <c r="I21" s="817" t="e">
        <f t="shared" ca="1" si="6"/>
        <v>#N/A</v>
      </c>
      <c r="J21" s="817" t="e">
        <f t="shared" ca="1" si="6"/>
        <v>#N/A</v>
      </c>
      <c r="K21" s="817" t="e">
        <f t="shared" ca="1" si="6"/>
        <v>#N/A</v>
      </c>
      <c r="L21" s="817" t="e">
        <f t="shared" ca="1" si="6"/>
        <v>#N/A</v>
      </c>
      <c r="M21" s="817" t="e">
        <f t="shared" ca="1" si="6"/>
        <v>#N/A</v>
      </c>
      <c r="N21" s="817" t="e">
        <f t="shared" ca="1" si="6"/>
        <v>#N/A</v>
      </c>
      <c r="O21" s="817" t="e">
        <f t="shared" ca="1" si="6"/>
        <v>#N/A</v>
      </c>
      <c r="P21" s="817" t="e">
        <f t="shared" ca="1" si="6"/>
        <v>#N/A</v>
      </c>
      <c r="Q21" s="817" t="e">
        <f t="shared" ca="1" si="6"/>
        <v>#N/A</v>
      </c>
      <c r="R21" s="817" t="e">
        <f t="shared" ca="1" si="6"/>
        <v>#N/A</v>
      </c>
      <c r="S21" s="817" t="e">
        <f t="shared" ca="1" si="6"/>
        <v>#N/A</v>
      </c>
      <c r="T21" s="817" t="e">
        <f t="shared" ca="1" si="6"/>
        <v>#N/A</v>
      </c>
      <c r="U21" s="817" t="e">
        <f t="shared" ca="1" si="6"/>
        <v>#N/A</v>
      </c>
      <c r="V21" s="817" t="e">
        <f t="shared" ca="1" si="6"/>
        <v>#N/A</v>
      </c>
      <c r="W21" s="817" t="e">
        <f t="shared" ca="1" si="6"/>
        <v>#N/A</v>
      </c>
      <c r="X21" s="817" t="e">
        <f t="shared" ca="1" si="6"/>
        <v>#N/A</v>
      </c>
      <c r="Y21" s="817" t="e">
        <f t="shared" ca="1" si="6"/>
        <v>#N/A</v>
      </c>
      <c r="Z21" s="817" t="e">
        <f t="shared" ca="1" si="6"/>
        <v>#N/A</v>
      </c>
      <c r="AA21" s="817" t="e">
        <f t="shared" ca="1" si="6"/>
        <v>#N/A</v>
      </c>
      <c r="AB21" s="817" t="e">
        <f t="shared" ca="1" si="6"/>
        <v>#N/A</v>
      </c>
      <c r="AC21" s="817" t="e">
        <f t="shared" ca="1" si="6"/>
        <v>#N/A</v>
      </c>
      <c r="AD21" s="817" t="e">
        <f t="shared" ca="1" si="6"/>
        <v>#N/A</v>
      </c>
      <c r="AE21" s="817" t="e">
        <f t="shared" ca="1" si="6"/>
        <v>#N/A</v>
      </c>
      <c r="AF21" s="817" t="e">
        <f t="shared" ca="1" si="6"/>
        <v>#N/A</v>
      </c>
      <c r="AG21" s="142"/>
    </row>
    <row r="22" spans="1:33">
      <c r="B22" s="155"/>
    </row>
    <row r="23" spans="1:33">
      <c r="B23" s="156"/>
      <c r="F23" s="157"/>
      <c r="G23" s="158"/>
      <c r="H23" s="158"/>
    </row>
    <row r="24" spans="1:33">
      <c r="B24" s="159"/>
      <c r="F24" s="159"/>
      <c r="G24" s="158"/>
      <c r="H24" s="158"/>
    </row>
    <row r="25" spans="1:33">
      <c r="B25" s="159"/>
      <c r="F25" s="159"/>
      <c r="G25" s="158"/>
      <c r="H25" s="158"/>
    </row>
    <row r="26" spans="1:33">
      <c r="B26" s="159"/>
      <c r="F26" s="160"/>
      <c r="G26" s="161"/>
      <c r="H26" s="161"/>
    </row>
    <row r="27" spans="1:33">
      <c r="A27" s="162"/>
      <c r="B27" s="163"/>
      <c r="C27" s="164"/>
      <c r="E27" s="159"/>
    </row>
    <row r="28" spans="1:33">
      <c r="A28" s="162"/>
      <c r="B28" s="165"/>
      <c r="C28" s="159"/>
      <c r="D28" s="143"/>
    </row>
    <row r="29" spans="1:33">
      <c r="A29" s="162"/>
      <c r="B29" s="143"/>
      <c r="C29" s="143"/>
      <c r="D29" s="143"/>
      <c r="E29" s="143"/>
      <c r="F29" s="143"/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  <c r="AB29" s="143"/>
      <c r="AC29" s="143"/>
      <c r="AD29" s="143"/>
      <c r="AE29" s="143"/>
      <c r="AF29" s="143"/>
    </row>
    <row r="30" spans="1:33">
      <c r="A30" s="166"/>
      <c r="B30" s="167"/>
      <c r="C30" s="167"/>
      <c r="D30" s="167"/>
      <c r="E30" s="167"/>
      <c r="F30" s="167"/>
      <c r="G30" s="167"/>
      <c r="H30" s="167"/>
      <c r="I30" s="167"/>
      <c r="J30" s="167"/>
      <c r="K30" s="167"/>
      <c r="L30" s="167"/>
      <c r="M30" s="167"/>
      <c r="N30" s="167"/>
      <c r="O30" s="167"/>
      <c r="P30" s="167"/>
      <c r="Q30" s="167"/>
      <c r="R30" s="167"/>
      <c r="S30" s="167"/>
      <c r="T30" s="167"/>
      <c r="U30" s="167"/>
      <c r="V30" s="167"/>
      <c r="W30" s="167"/>
      <c r="X30" s="167"/>
      <c r="Y30" s="167"/>
      <c r="Z30" s="167"/>
      <c r="AA30" s="167"/>
      <c r="AB30" s="167"/>
      <c r="AC30" s="167"/>
      <c r="AD30" s="167"/>
      <c r="AE30" s="167"/>
      <c r="AF30" s="167"/>
    </row>
    <row r="31" spans="1:33">
      <c r="A31" s="162"/>
      <c r="B31" s="143"/>
      <c r="C31" s="143"/>
      <c r="D31" s="143"/>
      <c r="E31" s="143"/>
      <c r="F31" s="143"/>
      <c r="G31" s="143"/>
      <c r="H31" s="143"/>
      <c r="I31" s="143"/>
      <c r="J31" s="143"/>
      <c r="K31" s="143"/>
      <c r="L31" s="143"/>
      <c r="M31" s="143"/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</row>
    <row r="32" spans="1:33">
      <c r="A32" s="162"/>
      <c r="B32" s="143"/>
      <c r="C32" s="168"/>
      <c r="D32" s="168"/>
      <c r="E32" s="168"/>
      <c r="F32" s="168"/>
      <c r="G32" s="168"/>
      <c r="H32" s="168"/>
      <c r="I32" s="143"/>
      <c r="J32" s="143"/>
      <c r="K32" s="143"/>
      <c r="L32" s="143"/>
      <c r="M32" s="143"/>
      <c r="N32" s="143"/>
      <c r="O32" s="143"/>
      <c r="P32" s="143"/>
      <c r="Q32" s="143"/>
      <c r="R32" s="168"/>
      <c r="S32" s="143"/>
      <c r="T32" s="143"/>
      <c r="U32" s="143"/>
      <c r="V32" s="143"/>
      <c r="W32" s="143"/>
      <c r="X32" s="143"/>
      <c r="Y32" s="143"/>
      <c r="Z32" s="143"/>
      <c r="AA32" s="143"/>
      <c r="AB32" s="143"/>
      <c r="AC32" s="143"/>
      <c r="AD32" s="143"/>
      <c r="AE32" s="143"/>
      <c r="AF32" s="143"/>
    </row>
    <row r="33" spans="2:15">
      <c r="B33" s="143"/>
    </row>
    <row r="34" spans="2:15">
      <c r="B34" s="159"/>
    </row>
    <row r="35" spans="2:15">
      <c r="B35" s="168"/>
    </row>
    <row r="36" spans="2:15">
      <c r="B36" s="169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68"/>
    </row>
    <row r="37" spans="2:15">
      <c r="B37" s="169"/>
      <c r="C37" s="170"/>
    </row>
    <row r="38" spans="2:15">
      <c r="B38" s="159"/>
    </row>
    <row r="39" spans="2:15">
      <c r="B39" s="159"/>
    </row>
    <row r="40" spans="2:15">
      <c r="B40" s="159"/>
    </row>
    <row r="41" spans="2:15">
      <c r="B41" s="159"/>
    </row>
    <row r="42" spans="2:15">
      <c r="B42" s="159"/>
    </row>
    <row r="43" spans="2:15">
      <c r="B43" s="159"/>
    </row>
    <row r="44" spans="2:15">
      <c r="B44" s="159"/>
    </row>
    <row r="45" spans="2:15">
      <c r="B45" s="159"/>
    </row>
    <row r="46" spans="2:15">
      <c r="B46" s="159"/>
    </row>
    <row r="47" spans="2:15">
      <c r="B47" s="159"/>
    </row>
  </sheetData>
  <mergeCells count="3">
    <mergeCell ref="K4:L4"/>
    <mergeCell ref="R4:S4"/>
    <mergeCell ref="Y4:Z4"/>
  </mergeCells>
  <conditionalFormatting sqref="B28">
    <cfRule type="cellIs" dxfId="12" priority="1" operator="equal">
      <formula>"NÃO OK"</formula>
    </cfRule>
    <cfRule type="cellIs" dxfId="11" priority="2" operator="equal">
      <formula>"OK"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ignoredErrors>
    <ignoredError sqref="B12:AH15 B17:AH17 B16 AG16:AH1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4"/>
  <dimension ref="A1:AK50"/>
  <sheetViews>
    <sheetView showGridLines="0" topLeftCell="A6" zoomScale="80" zoomScaleNormal="80" zoomScaleSheetLayoutView="100" workbookViewId="0">
      <selection activeCell="D14" sqref="D14"/>
    </sheetView>
  </sheetViews>
  <sheetFormatPr defaultColWidth="9.140625" defaultRowHeight="12.75"/>
  <cols>
    <col min="1" max="1" width="40.42578125" style="101" customWidth="1"/>
    <col min="2" max="2" width="20.5703125" style="101" customWidth="1"/>
    <col min="3" max="32" width="19" style="101" customWidth="1"/>
    <col min="33" max="34" width="9.140625" style="101"/>
    <col min="35" max="35" width="16" style="101" customWidth="1"/>
    <col min="36" max="16384" width="9.140625" style="101"/>
  </cols>
  <sheetData>
    <row r="1" spans="1:35" ht="18" customHeight="1">
      <c r="A1" s="141"/>
      <c r="L1" s="102"/>
      <c r="U1" s="102"/>
    </row>
    <row r="2" spans="1:35" ht="15" customHeight="1">
      <c r="A2" s="141"/>
      <c r="C2" s="138"/>
      <c r="D2" s="569"/>
      <c r="E2" s="570"/>
      <c r="L2" s="103"/>
      <c r="U2" s="103"/>
    </row>
    <row r="3" spans="1:35" ht="15" customHeight="1">
      <c r="A3" s="141"/>
      <c r="B3" s="828"/>
      <c r="C3" s="829"/>
      <c r="E3" s="126"/>
      <c r="L3" s="103"/>
      <c r="U3" s="103"/>
    </row>
    <row r="4" spans="1:35" ht="15" customHeight="1">
      <c r="A4" s="103" t="s">
        <v>252</v>
      </c>
      <c r="H4" s="104"/>
      <c r="L4" s="103"/>
      <c r="P4" s="105"/>
      <c r="Q4" s="104"/>
      <c r="U4" s="103"/>
      <c r="Y4" s="105"/>
      <c r="Z4" s="104"/>
      <c r="AA4" s="104"/>
      <c r="AB4" s="104"/>
      <c r="AC4" s="104"/>
      <c r="AD4" s="104"/>
      <c r="AE4" s="104"/>
    </row>
    <row r="5" spans="1:35" ht="13.5" thickBot="1"/>
    <row r="6" spans="1:35" ht="26.25" customHeight="1" thickBot="1">
      <c r="A6" s="587" t="s">
        <v>253</v>
      </c>
      <c r="B6" s="588" t="s">
        <v>38</v>
      </c>
      <c r="C6" s="940" t="s">
        <v>211</v>
      </c>
      <c r="D6" s="589" t="s">
        <v>212</v>
      </c>
      <c r="E6" s="589" t="s">
        <v>213</v>
      </c>
      <c r="F6" s="589" t="s">
        <v>214</v>
      </c>
      <c r="G6" s="589" t="s">
        <v>215</v>
      </c>
      <c r="H6" s="589" t="s">
        <v>216</v>
      </c>
      <c r="I6" s="589" t="s">
        <v>217</v>
      </c>
      <c r="J6" s="589" t="s">
        <v>218</v>
      </c>
      <c r="K6" s="589" t="s">
        <v>219</v>
      </c>
      <c r="L6" s="589" t="s">
        <v>220</v>
      </c>
      <c r="M6" s="589" t="s">
        <v>221</v>
      </c>
      <c r="N6" s="589" t="s">
        <v>222</v>
      </c>
      <c r="O6" s="589" t="s">
        <v>223</v>
      </c>
      <c r="P6" s="589" t="s">
        <v>224</v>
      </c>
      <c r="Q6" s="589" t="s">
        <v>225</v>
      </c>
      <c r="R6" s="589" t="s">
        <v>226</v>
      </c>
      <c r="S6" s="589" t="s">
        <v>227</v>
      </c>
      <c r="T6" s="589" t="s">
        <v>228</v>
      </c>
      <c r="U6" s="589" t="s">
        <v>229</v>
      </c>
      <c r="V6" s="589" t="s">
        <v>230</v>
      </c>
      <c r="W6" s="589" t="s">
        <v>231</v>
      </c>
      <c r="X6" s="589" t="s">
        <v>232</v>
      </c>
      <c r="Y6" s="589" t="s">
        <v>233</v>
      </c>
      <c r="Z6" s="589" t="s">
        <v>234</v>
      </c>
      <c r="AA6" s="589" t="s">
        <v>235</v>
      </c>
      <c r="AB6" s="589" t="s">
        <v>236</v>
      </c>
      <c r="AC6" s="589" t="s">
        <v>237</v>
      </c>
      <c r="AD6" s="589" t="s">
        <v>238</v>
      </c>
      <c r="AE6" s="589" t="s">
        <v>239</v>
      </c>
      <c r="AF6" s="589" t="s">
        <v>240</v>
      </c>
    </row>
    <row r="7" spans="1:35" ht="13.5" thickBot="1"/>
    <row r="8" spans="1:35" ht="12.75" customHeight="1">
      <c r="A8" s="941" t="s">
        <v>254</v>
      </c>
      <c r="B8" s="942">
        <f t="shared" ref="B8:B32" si="0">SUM(C8:AF8)</f>
        <v>388123393.05330884</v>
      </c>
      <c r="C8" s="943">
        <f>'Crono FF'!G30*1000</f>
        <v>12409069.773245849</v>
      </c>
      <c r="D8" s="944">
        <f>'Crono FF'!H30*1000</f>
        <v>13017413.635836449</v>
      </c>
      <c r="E8" s="944">
        <f>'Crono FF'!I30*1000</f>
        <v>13017413.635836449</v>
      </c>
      <c r="F8" s="944">
        <f>'Crono FF'!J30*1000</f>
        <v>13017413.635836449</v>
      </c>
      <c r="G8" s="944">
        <f>'Crono FF'!K30*1000</f>
        <v>13017413.635836449</v>
      </c>
      <c r="H8" s="944">
        <f>'Crono FF'!L30*1000</f>
        <v>12945786.749468697</v>
      </c>
      <c r="I8" s="944">
        <f>'Crono FF'!M30*1000</f>
        <v>12945786.749468697</v>
      </c>
      <c r="J8" s="944">
        <f>'Crono FF'!N30*1000</f>
        <v>12945786.749468697</v>
      </c>
      <c r="K8" s="944">
        <f>'Crono FF'!O30*1000</f>
        <v>12945786.749468697</v>
      </c>
      <c r="L8" s="944">
        <f>'Crono FF'!P30*1000</f>
        <v>12945786.749468697</v>
      </c>
      <c r="M8" s="944">
        <f>'Crono FF'!Q30*1000</f>
        <v>12945786.749468697</v>
      </c>
      <c r="N8" s="944">
        <f>'Crono FF'!R30*1000</f>
        <v>12945786.749468697</v>
      </c>
      <c r="O8" s="944">
        <f>'Crono FF'!S30*1000</f>
        <v>12945786.749468697</v>
      </c>
      <c r="P8" s="944">
        <f>'Crono FF'!T30*1000</f>
        <v>12945786.749468697</v>
      </c>
      <c r="Q8" s="944">
        <f>'Crono FF'!U30*1000</f>
        <v>12945786.749468697</v>
      </c>
      <c r="R8" s="944">
        <f>'Crono FF'!V30*1000</f>
        <v>12945786.749468697</v>
      </c>
      <c r="S8" s="944">
        <f>'Crono FF'!W30*1000</f>
        <v>12945786.749468697</v>
      </c>
      <c r="T8" s="944">
        <f>'Crono FF'!X30*1000</f>
        <v>12945786.749468697</v>
      </c>
      <c r="U8" s="944">
        <f>'Crono FF'!Y30*1000</f>
        <v>12945786.749468697</v>
      </c>
      <c r="V8" s="944">
        <f>'Crono FF'!Z30*1000</f>
        <v>12945786.749468697</v>
      </c>
      <c r="W8" s="944">
        <f>'Crono FF'!AA30*1000</f>
        <v>12945786.749468697</v>
      </c>
      <c r="X8" s="944">
        <f>'Crono FF'!AB30*1000</f>
        <v>12945786.749468697</v>
      </c>
      <c r="Y8" s="944">
        <f>'Crono FF'!AC30*1000</f>
        <v>12945786.749468697</v>
      </c>
      <c r="Z8" s="944">
        <f>'Crono FF'!AD30*1000</f>
        <v>12945786.749468697</v>
      </c>
      <c r="AA8" s="944">
        <f>'Crono FF'!AE30*1000</f>
        <v>12945786.749468697</v>
      </c>
      <c r="AB8" s="944">
        <f>'Crono FF'!AF30*1000</f>
        <v>12945786.749468697</v>
      </c>
      <c r="AC8" s="944">
        <f>'Crono FF'!AG30*1000</f>
        <v>12945786.749468697</v>
      </c>
      <c r="AD8" s="944">
        <f>'Crono FF'!AH30*1000</f>
        <v>12945786.749468697</v>
      </c>
      <c r="AE8" s="944">
        <f>'Crono FF'!AI30*1000</f>
        <v>12945786.749468697</v>
      </c>
      <c r="AF8" s="384">
        <f>'Crono FF'!AJ30*1000</f>
        <v>12945786.749468697</v>
      </c>
      <c r="AI8" s="133"/>
    </row>
    <row r="9" spans="1:35" ht="12.75" customHeight="1">
      <c r="A9" s="594" t="s">
        <v>255</v>
      </c>
      <c r="B9" s="826">
        <f t="shared" si="0"/>
        <v>44433739.69470001</v>
      </c>
      <c r="C9" s="107">
        <f>'Crono FF'!G31*1000</f>
        <v>1481124.6564900004</v>
      </c>
      <c r="D9" s="945">
        <f>'Crono FF'!H31*1000</f>
        <v>1481124.6564900004</v>
      </c>
      <c r="E9" s="945">
        <f>'Crono FF'!I31*1000</f>
        <v>1481124.6564900004</v>
      </c>
      <c r="F9" s="945">
        <f>'Crono FF'!J31*1000</f>
        <v>1481124.6564900004</v>
      </c>
      <c r="G9" s="945">
        <f>'Crono FF'!K31*1000</f>
        <v>1481124.6564900004</v>
      </c>
      <c r="H9" s="945">
        <f>'Crono FF'!L31*1000</f>
        <v>1481124.6564900004</v>
      </c>
      <c r="I9" s="945">
        <f>'Crono FF'!M31*1000</f>
        <v>1481124.6564900004</v>
      </c>
      <c r="J9" s="945">
        <f>'Crono FF'!N31*1000</f>
        <v>1481124.6564900004</v>
      </c>
      <c r="K9" s="945">
        <f>'Crono FF'!O31*1000</f>
        <v>1481124.6564900004</v>
      </c>
      <c r="L9" s="945">
        <f>'Crono FF'!P31*1000</f>
        <v>1481124.6564900004</v>
      </c>
      <c r="M9" s="945">
        <f>'Crono FF'!Q31*1000</f>
        <v>1481124.6564900004</v>
      </c>
      <c r="N9" s="945">
        <f>'Crono FF'!R31*1000</f>
        <v>1481124.6564900004</v>
      </c>
      <c r="O9" s="945">
        <f>'Crono FF'!S31*1000</f>
        <v>1481124.6564900004</v>
      </c>
      <c r="P9" s="945">
        <f>'Crono FF'!T31*1000</f>
        <v>1481124.6564900004</v>
      </c>
      <c r="Q9" s="945">
        <f>'Crono FF'!U31*1000</f>
        <v>1481124.6564900004</v>
      </c>
      <c r="R9" s="945">
        <f>'Crono FF'!V31*1000</f>
        <v>1481124.6564900004</v>
      </c>
      <c r="S9" s="945">
        <f>'Crono FF'!W31*1000</f>
        <v>1481124.6564900004</v>
      </c>
      <c r="T9" s="945">
        <f>'Crono FF'!X31*1000</f>
        <v>1481124.6564900004</v>
      </c>
      <c r="U9" s="945">
        <f>'Crono FF'!Y31*1000</f>
        <v>1481124.6564900004</v>
      </c>
      <c r="V9" s="945">
        <f>'Crono FF'!Z31*1000</f>
        <v>1481124.6564900004</v>
      </c>
      <c r="W9" s="945">
        <f>'Crono FF'!AA31*1000</f>
        <v>1481124.6564900004</v>
      </c>
      <c r="X9" s="945">
        <f>'Crono FF'!AB31*1000</f>
        <v>1481124.6564900004</v>
      </c>
      <c r="Y9" s="945">
        <f>'Crono FF'!AC31*1000</f>
        <v>1481124.6564900004</v>
      </c>
      <c r="Z9" s="945">
        <f>'Crono FF'!AD31*1000</f>
        <v>1481124.6564900004</v>
      </c>
      <c r="AA9" s="946">
        <f>'Crono FF'!AE31*1000</f>
        <v>1481124.6564900004</v>
      </c>
      <c r="AB9" s="946">
        <f>'Crono FF'!AF31*1000</f>
        <v>1481124.6564900004</v>
      </c>
      <c r="AC9" s="946">
        <f>'Crono FF'!AG31*1000</f>
        <v>1481124.6564900004</v>
      </c>
      <c r="AD9" s="946">
        <f>'Crono FF'!AH31*1000</f>
        <v>1481124.6564900004</v>
      </c>
      <c r="AE9" s="946">
        <f>'Crono FF'!AI31*1000</f>
        <v>1481124.6564900004</v>
      </c>
      <c r="AF9" s="108">
        <f>'Crono FF'!AJ31*1000</f>
        <v>1481124.6564900004</v>
      </c>
      <c r="AI9" s="133"/>
    </row>
    <row r="10" spans="1:35" ht="12.75" customHeight="1">
      <c r="A10" s="594" t="s">
        <v>256</v>
      </c>
      <c r="B10" s="826">
        <f t="shared" si="0"/>
        <v>27285318.009400304</v>
      </c>
      <c r="C10" s="107">
        <f>'Crono FF'!G32*1000</f>
        <v>909510.60031334404</v>
      </c>
      <c r="D10" s="945">
        <f>'Crono FF'!H32*1000</f>
        <v>909510.60031334404</v>
      </c>
      <c r="E10" s="945">
        <f>'Crono FF'!I32*1000</f>
        <v>909510.60031334404</v>
      </c>
      <c r="F10" s="945">
        <f>'Crono FF'!J32*1000</f>
        <v>909510.60031334404</v>
      </c>
      <c r="G10" s="945">
        <f>'Crono FF'!K32*1000</f>
        <v>909510.60031334404</v>
      </c>
      <c r="H10" s="945">
        <f>'Crono FF'!L32*1000</f>
        <v>909510.60031334404</v>
      </c>
      <c r="I10" s="945">
        <f>'Crono FF'!M32*1000</f>
        <v>909510.60031334404</v>
      </c>
      <c r="J10" s="945">
        <f>'Crono FF'!N32*1000</f>
        <v>909510.60031334404</v>
      </c>
      <c r="K10" s="945">
        <f>'Crono FF'!O32*1000</f>
        <v>909510.60031334404</v>
      </c>
      <c r="L10" s="945">
        <f>'Crono FF'!P32*1000</f>
        <v>909510.60031334404</v>
      </c>
      <c r="M10" s="945">
        <f>'Crono FF'!Q32*1000</f>
        <v>909510.60031334404</v>
      </c>
      <c r="N10" s="945">
        <f>'Crono FF'!R32*1000</f>
        <v>909510.60031334404</v>
      </c>
      <c r="O10" s="945">
        <f>'Crono FF'!S32*1000</f>
        <v>909510.60031334404</v>
      </c>
      <c r="P10" s="945">
        <f>'Crono FF'!T32*1000</f>
        <v>909510.60031334404</v>
      </c>
      <c r="Q10" s="945">
        <f>'Crono FF'!U32*1000</f>
        <v>909510.60031334404</v>
      </c>
      <c r="R10" s="945">
        <f>'Crono FF'!V32*1000</f>
        <v>909510.60031334404</v>
      </c>
      <c r="S10" s="945">
        <f>'Crono FF'!W32*1000</f>
        <v>909510.60031334404</v>
      </c>
      <c r="T10" s="945">
        <f>'Crono FF'!X32*1000</f>
        <v>909510.60031334404</v>
      </c>
      <c r="U10" s="945">
        <f>'Crono FF'!Y32*1000</f>
        <v>909510.60031334404</v>
      </c>
      <c r="V10" s="945">
        <f>'Crono FF'!Z32*1000</f>
        <v>909510.60031334404</v>
      </c>
      <c r="W10" s="945">
        <f>'Crono FF'!AA32*1000</f>
        <v>909510.60031334404</v>
      </c>
      <c r="X10" s="945">
        <f>'Crono FF'!AB32*1000</f>
        <v>909510.60031334404</v>
      </c>
      <c r="Y10" s="945">
        <f>'Crono FF'!AC32*1000</f>
        <v>909510.60031334404</v>
      </c>
      <c r="Z10" s="945">
        <f>'Crono FF'!AD32*1000</f>
        <v>909510.60031334404</v>
      </c>
      <c r="AA10" s="946">
        <f>'Crono FF'!AE32*1000</f>
        <v>909510.60031334404</v>
      </c>
      <c r="AB10" s="946">
        <f>'Crono FF'!AF32*1000</f>
        <v>909510.60031334404</v>
      </c>
      <c r="AC10" s="946">
        <f>'Crono FF'!AG32*1000</f>
        <v>909510.60031334404</v>
      </c>
      <c r="AD10" s="946">
        <f>'Crono FF'!AH32*1000</f>
        <v>909510.60031334404</v>
      </c>
      <c r="AE10" s="946">
        <f>'Crono FF'!AI32*1000</f>
        <v>909510.60031334404</v>
      </c>
      <c r="AF10" s="108">
        <f>'Crono FF'!AJ32*1000</f>
        <v>909510.60031334404</v>
      </c>
      <c r="AI10" s="133"/>
    </row>
    <row r="11" spans="1:35" ht="12.75" customHeight="1">
      <c r="A11" s="594" t="s">
        <v>257</v>
      </c>
      <c r="B11" s="826">
        <f t="shared" si="0"/>
        <v>19062878.727416992</v>
      </c>
      <c r="C11" s="107">
        <f>'Crono FF'!G33*1000</f>
        <v>0</v>
      </c>
      <c r="D11" s="945">
        <f>'Crono FF'!H33*1000</f>
        <v>657340.64577299997</v>
      </c>
      <c r="E11" s="945">
        <f>'Crono FF'!I33*1000</f>
        <v>657340.64577299997</v>
      </c>
      <c r="F11" s="945">
        <f>'Crono FF'!J33*1000</f>
        <v>657340.64577299997</v>
      </c>
      <c r="G11" s="945">
        <f>'Crono FF'!K33*1000</f>
        <v>657340.64577299997</v>
      </c>
      <c r="H11" s="945">
        <f>'Crono FF'!L33*1000</f>
        <v>657340.64577299997</v>
      </c>
      <c r="I11" s="945">
        <f>'Crono FF'!M33*1000</f>
        <v>657340.64577299997</v>
      </c>
      <c r="J11" s="945">
        <f>'Crono FF'!N33*1000</f>
        <v>657340.64577299997</v>
      </c>
      <c r="K11" s="945">
        <f>'Crono FF'!O33*1000</f>
        <v>657340.64577299997</v>
      </c>
      <c r="L11" s="945">
        <f>'Crono FF'!P33*1000</f>
        <v>657340.64577299997</v>
      </c>
      <c r="M11" s="945">
        <f>'Crono FF'!Q33*1000</f>
        <v>657340.64577299997</v>
      </c>
      <c r="N11" s="945">
        <f>'Crono FF'!R33*1000</f>
        <v>657340.64577299997</v>
      </c>
      <c r="O11" s="945">
        <f>'Crono FF'!S33*1000</f>
        <v>657340.64577299997</v>
      </c>
      <c r="P11" s="945">
        <f>'Crono FF'!T33*1000</f>
        <v>657340.64577299997</v>
      </c>
      <c r="Q11" s="945">
        <f>'Crono FF'!U33*1000</f>
        <v>657340.64577299997</v>
      </c>
      <c r="R11" s="945">
        <f>'Crono FF'!V33*1000</f>
        <v>657340.64577299997</v>
      </c>
      <c r="S11" s="945">
        <f>'Crono FF'!W33*1000</f>
        <v>657340.64577299997</v>
      </c>
      <c r="T11" s="945">
        <f>'Crono FF'!X33*1000</f>
        <v>657340.64577299997</v>
      </c>
      <c r="U11" s="945">
        <f>'Crono FF'!Y33*1000</f>
        <v>657340.64577299997</v>
      </c>
      <c r="V11" s="945">
        <f>'Crono FF'!Z33*1000</f>
        <v>657340.64577299997</v>
      </c>
      <c r="W11" s="945">
        <f>'Crono FF'!AA33*1000</f>
        <v>657340.64577299997</v>
      </c>
      <c r="X11" s="945">
        <f>'Crono FF'!AB33*1000</f>
        <v>657340.64577299997</v>
      </c>
      <c r="Y11" s="945">
        <f>'Crono FF'!AC33*1000</f>
        <v>657340.64577299997</v>
      </c>
      <c r="Z11" s="945">
        <f>'Crono FF'!AD33*1000</f>
        <v>657340.64577299997</v>
      </c>
      <c r="AA11" s="946">
        <f>'Crono FF'!AE33*1000</f>
        <v>657340.64577299997</v>
      </c>
      <c r="AB11" s="946">
        <f>'Crono FF'!AF33*1000</f>
        <v>657340.64577299997</v>
      </c>
      <c r="AC11" s="946">
        <f>'Crono FF'!AG33*1000</f>
        <v>657340.64577299997</v>
      </c>
      <c r="AD11" s="946">
        <f>'Crono FF'!AH33*1000</f>
        <v>657340.64577299997</v>
      </c>
      <c r="AE11" s="946">
        <f>'Crono FF'!AI33*1000</f>
        <v>657340.64577299997</v>
      </c>
      <c r="AF11" s="108">
        <f>'Crono FF'!AJ33*1000</f>
        <v>657340.64577299997</v>
      </c>
      <c r="AI11" s="133"/>
    </row>
    <row r="12" spans="1:35" ht="12.75" customHeight="1">
      <c r="A12" s="594" t="s">
        <v>258</v>
      </c>
      <c r="B12" s="826">
        <f t="shared" si="0"/>
        <v>33178463.023140032</v>
      </c>
      <c r="C12" s="107">
        <f>'Crono FF'!G34*1000</f>
        <v>1105948.7674380003</v>
      </c>
      <c r="D12" s="945">
        <f>'Crono FF'!H34*1000</f>
        <v>1105948.7674380003</v>
      </c>
      <c r="E12" s="945">
        <f>'Crono FF'!I34*1000</f>
        <v>1105948.7674380003</v>
      </c>
      <c r="F12" s="945">
        <f>'Crono FF'!J34*1000</f>
        <v>1105948.7674380003</v>
      </c>
      <c r="G12" s="945">
        <f>'Crono FF'!K34*1000</f>
        <v>1105948.7674380003</v>
      </c>
      <c r="H12" s="945">
        <f>'Crono FF'!L34*1000</f>
        <v>1105948.7674380003</v>
      </c>
      <c r="I12" s="945">
        <f>'Crono FF'!M34*1000</f>
        <v>1105948.7674380003</v>
      </c>
      <c r="J12" s="945">
        <f>'Crono FF'!N34*1000</f>
        <v>1105948.7674380003</v>
      </c>
      <c r="K12" s="945">
        <f>'Crono FF'!O34*1000</f>
        <v>1105948.7674380003</v>
      </c>
      <c r="L12" s="945">
        <f>'Crono FF'!P34*1000</f>
        <v>1105948.7674380003</v>
      </c>
      <c r="M12" s="945">
        <f>'Crono FF'!Q34*1000</f>
        <v>1105948.7674380003</v>
      </c>
      <c r="N12" s="945">
        <f>'Crono FF'!R34*1000</f>
        <v>1105948.7674380003</v>
      </c>
      <c r="O12" s="945">
        <f>'Crono FF'!S34*1000</f>
        <v>1105948.7674380003</v>
      </c>
      <c r="P12" s="945">
        <f>'Crono FF'!T34*1000</f>
        <v>1105948.7674380003</v>
      </c>
      <c r="Q12" s="945">
        <f>'Crono FF'!U34*1000</f>
        <v>1105948.7674380003</v>
      </c>
      <c r="R12" s="945">
        <f>'Crono FF'!V34*1000</f>
        <v>1105948.7674380003</v>
      </c>
      <c r="S12" s="945">
        <f>'Crono FF'!W34*1000</f>
        <v>1105948.7674380003</v>
      </c>
      <c r="T12" s="945">
        <f>'Crono FF'!X34*1000</f>
        <v>1105948.7674380003</v>
      </c>
      <c r="U12" s="945">
        <f>'Crono FF'!Y34*1000</f>
        <v>1105948.7674380003</v>
      </c>
      <c r="V12" s="945">
        <f>'Crono FF'!Z34*1000</f>
        <v>1105948.7674380003</v>
      </c>
      <c r="W12" s="945">
        <f>'Crono FF'!AA34*1000</f>
        <v>1105948.7674380003</v>
      </c>
      <c r="X12" s="945">
        <f>'Crono FF'!AB34*1000</f>
        <v>1105948.7674380003</v>
      </c>
      <c r="Y12" s="945">
        <f>'Crono FF'!AC34*1000</f>
        <v>1105948.7674380003</v>
      </c>
      <c r="Z12" s="945">
        <f>'Crono FF'!AD34*1000</f>
        <v>1105948.7674380003</v>
      </c>
      <c r="AA12" s="946">
        <f>'Crono FF'!AE34*1000</f>
        <v>1105948.7674380003</v>
      </c>
      <c r="AB12" s="946">
        <f>'Crono FF'!AF34*1000</f>
        <v>1105948.7674380003</v>
      </c>
      <c r="AC12" s="946">
        <f>'Crono FF'!AG34*1000</f>
        <v>1105948.7674380003</v>
      </c>
      <c r="AD12" s="946">
        <f>'Crono FF'!AH34*1000</f>
        <v>1105948.7674380003</v>
      </c>
      <c r="AE12" s="946">
        <f>'Crono FF'!AI34*1000</f>
        <v>1105948.7674380003</v>
      </c>
      <c r="AF12" s="108">
        <f>'Crono FF'!AJ34*1000</f>
        <v>1105948.7674380003</v>
      </c>
      <c r="AI12" s="133"/>
    </row>
    <row r="13" spans="1:35" ht="12.75" customHeight="1">
      <c r="A13" s="594" t="s">
        <v>259</v>
      </c>
      <c r="B13" s="826">
        <f t="shared" si="0"/>
        <v>46091250</v>
      </c>
      <c r="C13" s="107">
        <f>'Crono FF'!G35*1000</f>
        <v>1536375</v>
      </c>
      <c r="D13" s="945">
        <f>'Crono FF'!H35*1000</f>
        <v>1536375</v>
      </c>
      <c r="E13" s="945">
        <f>'Crono FF'!I35*1000</f>
        <v>1536375</v>
      </c>
      <c r="F13" s="945">
        <f>'Crono FF'!J35*1000</f>
        <v>1536375</v>
      </c>
      <c r="G13" s="945">
        <f>'Crono FF'!K35*1000</f>
        <v>1536375</v>
      </c>
      <c r="H13" s="945">
        <f>'Crono FF'!L35*1000</f>
        <v>1536375</v>
      </c>
      <c r="I13" s="945">
        <f>'Crono FF'!M35*1000</f>
        <v>1536375</v>
      </c>
      <c r="J13" s="945">
        <f>'Crono FF'!N35*1000</f>
        <v>1536375</v>
      </c>
      <c r="K13" s="945">
        <f>'Crono FF'!O35*1000</f>
        <v>1536375</v>
      </c>
      <c r="L13" s="945">
        <f>'Crono FF'!P35*1000</f>
        <v>1536375</v>
      </c>
      <c r="M13" s="945">
        <f>'Crono FF'!Q35*1000</f>
        <v>1536375</v>
      </c>
      <c r="N13" s="945">
        <f>'Crono FF'!R35*1000</f>
        <v>1536375</v>
      </c>
      <c r="O13" s="945">
        <f>'Crono FF'!S35*1000</f>
        <v>1536375</v>
      </c>
      <c r="P13" s="945">
        <f>'Crono FF'!T35*1000</f>
        <v>1536375</v>
      </c>
      <c r="Q13" s="945">
        <f>'Crono FF'!U35*1000</f>
        <v>1536375</v>
      </c>
      <c r="R13" s="945">
        <f>'Crono FF'!V35*1000</f>
        <v>1536375</v>
      </c>
      <c r="S13" s="945">
        <f>'Crono FF'!W35*1000</f>
        <v>1536375</v>
      </c>
      <c r="T13" s="945">
        <f>'Crono FF'!X35*1000</f>
        <v>1536375</v>
      </c>
      <c r="U13" s="945">
        <f>'Crono FF'!Y35*1000</f>
        <v>1536375</v>
      </c>
      <c r="V13" s="945">
        <f>'Crono FF'!Z35*1000</f>
        <v>1536375</v>
      </c>
      <c r="W13" s="945">
        <f>'Crono FF'!AA35*1000</f>
        <v>1536375</v>
      </c>
      <c r="X13" s="945">
        <f>'Crono FF'!AB35*1000</f>
        <v>1536375</v>
      </c>
      <c r="Y13" s="945">
        <f>'Crono FF'!AC35*1000</f>
        <v>1536375</v>
      </c>
      <c r="Z13" s="945">
        <f>'Crono FF'!AD35*1000</f>
        <v>1536375</v>
      </c>
      <c r="AA13" s="946">
        <f>'Crono FF'!AE35*1000</f>
        <v>1536375</v>
      </c>
      <c r="AB13" s="946">
        <f>'Crono FF'!AF35*1000</f>
        <v>1536375</v>
      </c>
      <c r="AC13" s="946">
        <f>'Crono FF'!AG35*1000</f>
        <v>1536375</v>
      </c>
      <c r="AD13" s="946">
        <f>'Crono FF'!AH35*1000</f>
        <v>1536375</v>
      </c>
      <c r="AE13" s="946">
        <f>'Crono FF'!AI35*1000</f>
        <v>1536375</v>
      </c>
      <c r="AF13" s="108">
        <f>'Crono FF'!AJ35*1000</f>
        <v>1536375</v>
      </c>
      <c r="AI13" s="133"/>
    </row>
    <row r="14" spans="1:35" ht="12.75" customHeight="1">
      <c r="A14" s="594" t="s">
        <v>260</v>
      </c>
      <c r="B14" s="826">
        <f t="shared" si="0"/>
        <v>61652700.000000007</v>
      </c>
      <c r="C14" s="947">
        <f>'Crono FF'!G36*1000</f>
        <v>2055090.0000000002</v>
      </c>
      <c r="D14" s="945">
        <f>'Crono FF'!H36*1000</f>
        <v>2055090.0000000002</v>
      </c>
      <c r="E14" s="945">
        <f>'Crono FF'!I36*1000</f>
        <v>2055090.0000000002</v>
      </c>
      <c r="F14" s="945">
        <f>'Crono FF'!J36*1000</f>
        <v>2055090.0000000002</v>
      </c>
      <c r="G14" s="945">
        <f>'Crono FF'!K36*1000</f>
        <v>2055090.0000000002</v>
      </c>
      <c r="H14" s="945">
        <f>'Crono FF'!L36*1000</f>
        <v>2055090.0000000002</v>
      </c>
      <c r="I14" s="945">
        <f>'Crono FF'!M36*1000</f>
        <v>2055090.0000000002</v>
      </c>
      <c r="J14" s="945">
        <f>'Crono FF'!N36*1000</f>
        <v>2055090.0000000002</v>
      </c>
      <c r="K14" s="945">
        <f>'Crono FF'!O36*1000</f>
        <v>2055090.0000000002</v>
      </c>
      <c r="L14" s="945">
        <f>'Crono FF'!P36*1000</f>
        <v>2055090.0000000002</v>
      </c>
      <c r="M14" s="945">
        <f>'Crono FF'!Q36*1000</f>
        <v>2055090.0000000002</v>
      </c>
      <c r="N14" s="945">
        <f>'Crono FF'!R36*1000</f>
        <v>2055090.0000000002</v>
      </c>
      <c r="O14" s="945">
        <f>'Crono FF'!S36*1000</f>
        <v>2055090.0000000002</v>
      </c>
      <c r="P14" s="945">
        <f>'Crono FF'!T36*1000</f>
        <v>2055090.0000000002</v>
      </c>
      <c r="Q14" s="945">
        <f>'Crono FF'!U36*1000</f>
        <v>2055090.0000000002</v>
      </c>
      <c r="R14" s="945">
        <f>'Crono FF'!V36*1000</f>
        <v>2055090.0000000002</v>
      </c>
      <c r="S14" s="945">
        <f>'Crono FF'!W36*1000</f>
        <v>2055090.0000000002</v>
      </c>
      <c r="T14" s="945">
        <f>'Crono FF'!X36*1000</f>
        <v>2055090.0000000002</v>
      </c>
      <c r="U14" s="945">
        <f>'Crono FF'!Y36*1000</f>
        <v>2055090.0000000002</v>
      </c>
      <c r="V14" s="945">
        <f>'Crono FF'!Z36*1000</f>
        <v>2055090.0000000002</v>
      </c>
      <c r="W14" s="945">
        <f>'Crono FF'!AA36*1000</f>
        <v>2055090.0000000002</v>
      </c>
      <c r="X14" s="945">
        <f>'Crono FF'!AB36*1000</f>
        <v>2055090.0000000002</v>
      </c>
      <c r="Y14" s="945">
        <f>'Crono FF'!AC36*1000</f>
        <v>2055090.0000000002</v>
      </c>
      <c r="Z14" s="945">
        <f>'Crono FF'!AD36*1000</f>
        <v>2055090.0000000002</v>
      </c>
      <c r="AA14" s="946">
        <f>'Crono FF'!AE36*1000</f>
        <v>2055090.0000000002</v>
      </c>
      <c r="AB14" s="946">
        <f>'Crono FF'!AF36*1000</f>
        <v>2055090.0000000002</v>
      </c>
      <c r="AC14" s="946">
        <f>'Crono FF'!AG36*1000</f>
        <v>2055090.0000000002</v>
      </c>
      <c r="AD14" s="946">
        <f>'Crono FF'!AH36*1000</f>
        <v>2055090.0000000002</v>
      </c>
      <c r="AE14" s="946">
        <f>'Crono FF'!AI36*1000</f>
        <v>2055090.0000000002</v>
      </c>
      <c r="AF14" s="108">
        <f>'Crono FF'!AJ36*1000</f>
        <v>2055090.0000000002</v>
      </c>
      <c r="AI14" s="133"/>
    </row>
    <row r="15" spans="1:35" ht="12.75" customHeight="1">
      <c r="A15" s="594" t="s">
        <v>261</v>
      </c>
      <c r="B15" s="826">
        <f t="shared" si="0"/>
        <v>38911950</v>
      </c>
      <c r="C15" s="945">
        <f>'Crono FF'!G37*1000</f>
        <v>1297065</v>
      </c>
      <c r="D15" s="945">
        <f>'Crono FF'!H37*1000</f>
        <v>1297065</v>
      </c>
      <c r="E15" s="945">
        <f>'Crono FF'!I37*1000</f>
        <v>1297065</v>
      </c>
      <c r="F15" s="945">
        <f>'Crono FF'!J37*1000</f>
        <v>1297065</v>
      </c>
      <c r="G15" s="945">
        <f>'Crono FF'!K37*1000</f>
        <v>1297065</v>
      </c>
      <c r="H15" s="945">
        <f>'Crono FF'!L37*1000</f>
        <v>1297065</v>
      </c>
      <c r="I15" s="945">
        <f>'Crono FF'!M37*1000</f>
        <v>1297065</v>
      </c>
      <c r="J15" s="945">
        <f>'Crono FF'!N37*1000</f>
        <v>1297065</v>
      </c>
      <c r="K15" s="945">
        <f>'Crono FF'!O37*1000</f>
        <v>1297065</v>
      </c>
      <c r="L15" s="945">
        <f>'Crono FF'!P37*1000</f>
        <v>1297065</v>
      </c>
      <c r="M15" s="945">
        <f>'Crono FF'!Q37*1000</f>
        <v>1297065</v>
      </c>
      <c r="N15" s="945">
        <f>'Crono FF'!R37*1000</f>
        <v>1297065</v>
      </c>
      <c r="O15" s="945">
        <f>'Crono FF'!S37*1000</f>
        <v>1297065</v>
      </c>
      <c r="P15" s="945">
        <f>'Crono FF'!T37*1000</f>
        <v>1297065</v>
      </c>
      <c r="Q15" s="945">
        <f>'Crono FF'!U37*1000</f>
        <v>1297065</v>
      </c>
      <c r="R15" s="945">
        <f>'Crono FF'!V37*1000</f>
        <v>1297065</v>
      </c>
      <c r="S15" s="945">
        <f>'Crono FF'!W37*1000</f>
        <v>1297065</v>
      </c>
      <c r="T15" s="945">
        <f>'Crono FF'!X37*1000</f>
        <v>1297065</v>
      </c>
      <c r="U15" s="945">
        <f>'Crono FF'!Y37*1000</f>
        <v>1297065</v>
      </c>
      <c r="V15" s="945">
        <f>'Crono FF'!Z37*1000</f>
        <v>1297065</v>
      </c>
      <c r="W15" s="945">
        <f>'Crono FF'!AA37*1000</f>
        <v>1297065</v>
      </c>
      <c r="X15" s="945">
        <f>'Crono FF'!AB37*1000</f>
        <v>1297065</v>
      </c>
      <c r="Y15" s="945">
        <f>'Crono FF'!AC37*1000</f>
        <v>1297065</v>
      </c>
      <c r="Z15" s="945">
        <f>'Crono FF'!AD37*1000</f>
        <v>1297065</v>
      </c>
      <c r="AA15" s="945">
        <f>'Crono FF'!AE37*1000</f>
        <v>1297065</v>
      </c>
      <c r="AB15" s="945">
        <f>'Crono FF'!AF37*1000</f>
        <v>1297065</v>
      </c>
      <c r="AC15" s="945">
        <f>'Crono FF'!AG37*1000</f>
        <v>1297065</v>
      </c>
      <c r="AD15" s="945">
        <f>'Crono FF'!AH37*1000</f>
        <v>1297065</v>
      </c>
      <c r="AE15" s="945">
        <f>'Crono FF'!AI37*1000</f>
        <v>1297065</v>
      </c>
      <c r="AF15" s="108">
        <f>'Crono FF'!AJ37*1000</f>
        <v>1297065</v>
      </c>
      <c r="AI15" s="133"/>
    </row>
    <row r="16" spans="1:35" ht="12.75" customHeight="1">
      <c r="A16" s="594" t="s">
        <v>262</v>
      </c>
      <c r="B16" s="826">
        <f t="shared" si="0"/>
        <v>70676647.256925017</v>
      </c>
      <c r="C16" s="107">
        <f>'Crono FF'!G38*1000</f>
        <v>2355888.2418975011</v>
      </c>
      <c r="D16" s="945">
        <f>'Crono FF'!H38*1000</f>
        <v>2355888.2418975011</v>
      </c>
      <c r="E16" s="945">
        <f>'Crono FF'!I38*1000</f>
        <v>2355888.2418975011</v>
      </c>
      <c r="F16" s="945">
        <f>'Crono FF'!J38*1000</f>
        <v>2355888.2418975011</v>
      </c>
      <c r="G16" s="945">
        <f>'Crono FF'!K38*1000</f>
        <v>2355888.2418975011</v>
      </c>
      <c r="H16" s="945">
        <f>'Crono FF'!L38*1000</f>
        <v>2355888.2418975011</v>
      </c>
      <c r="I16" s="945">
        <f>'Crono FF'!M38*1000</f>
        <v>2355888.2418975011</v>
      </c>
      <c r="J16" s="945">
        <f>'Crono FF'!N38*1000</f>
        <v>2355888.2418975011</v>
      </c>
      <c r="K16" s="945">
        <f>'Crono FF'!O38*1000</f>
        <v>2355888.2418975011</v>
      </c>
      <c r="L16" s="945">
        <f>'Crono FF'!P38*1000</f>
        <v>2355888.2418975011</v>
      </c>
      <c r="M16" s="945">
        <f>'Crono FF'!Q38*1000</f>
        <v>2355888.2418975011</v>
      </c>
      <c r="N16" s="945">
        <f>'Crono FF'!R38*1000</f>
        <v>2355888.2418975011</v>
      </c>
      <c r="O16" s="945">
        <f>'Crono FF'!S38*1000</f>
        <v>2355888.2418975011</v>
      </c>
      <c r="P16" s="945">
        <f>'Crono FF'!T38*1000</f>
        <v>2355888.2418975011</v>
      </c>
      <c r="Q16" s="945">
        <f>'Crono FF'!U38*1000</f>
        <v>2355888.2418975011</v>
      </c>
      <c r="R16" s="945">
        <f>'Crono FF'!V38*1000</f>
        <v>2355888.2418975011</v>
      </c>
      <c r="S16" s="945">
        <f>'Crono FF'!W38*1000</f>
        <v>2355888.2418975011</v>
      </c>
      <c r="T16" s="945">
        <f>'Crono FF'!X38*1000</f>
        <v>2355888.2418975011</v>
      </c>
      <c r="U16" s="945">
        <f>'Crono FF'!Y38*1000</f>
        <v>2355888.2418975011</v>
      </c>
      <c r="V16" s="945">
        <f>'Crono FF'!Z38*1000</f>
        <v>2355888.2418975011</v>
      </c>
      <c r="W16" s="945">
        <f>'Crono FF'!AA38*1000</f>
        <v>2355888.2418975011</v>
      </c>
      <c r="X16" s="945">
        <f>'Crono FF'!AB38*1000</f>
        <v>2355888.2418975011</v>
      </c>
      <c r="Y16" s="945">
        <f>'Crono FF'!AC38*1000</f>
        <v>2355888.2418975011</v>
      </c>
      <c r="Z16" s="945">
        <f>'Crono FF'!AD38*1000</f>
        <v>2355888.2418975011</v>
      </c>
      <c r="AA16" s="946">
        <f>'Crono FF'!AE38*1000</f>
        <v>2355888.2418975011</v>
      </c>
      <c r="AB16" s="946">
        <f>'Crono FF'!AF38*1000</f>
        <v>2355888.2418975011</v>
      </c>
      <c r="AC16" s="946">
        <f>'Crono FF'!AG38*1000</f>
        <v>2355888.2418975011</v>
      </c>
      <c r="AD16" s="946">
        <f>'Crono FF'!AH38*1000</f>
        <v>2355888.2418975011</v>
      </c>
      <c r="AE16" s="946">
        <f>'Crono FF'!AI38*1000</f>
        <v>2355888.2418975011</v>
      </c>
      <c r="AF16" s="108">
        <f>'Crono FF'!AJ38*1000</f>
        <v>2355888.2418975011</v>
      </c>
      <c r="AI16" s="133"/>
    </row>
    <row r="17" spans="1:37" ht="12.75" customHeight="1">
      <c r="A17" s="109" t="s">
        <v>263</v>
      </c>
      <c r="B17" s="826">
        <f t="shared" si="0"/>
        <v>4700257.6458600005</v>
      </c>
      <c r="C17" s="948">
        <f>'Crono FF'!G39*1000</f>
        <v>299961.82279800007</v>
      </c>
      <c r="D17" s="948">
        <f>'Crono FF'!H39*1000</f>
        <v>299961.82279800007</v>
      </c>
      <c r="E17" s="948">
        <f>'Crono FF'!I39*1000</f>
        <v>299961.82279800007</v>
      </c>
      <c r="F17" s="948">
        <f>'Crono FF'!J39*1000</f>
        <v>299961.82279800007</v>
      </c>
      <c r="G17" s="948">
        <f>'Crono FF'!K39*1000</f>
        <v>299961.82279800007</v>
      </c>
      <c r="H17" s="948">
        <f>'Crono FF'!L39*1000</f>
        <v>299961.82279800007</v>
      </c>
      <c r="I17" s="948">
        <f>'Crono FF'!M39*1000</f>
        <v>120853.612878</v>
      </c>
      <c r="J17" s="948">
        <f>'Crono FF'!N39*1000</f>
        <v>120853.612878</v>
      </c>
      <c r="K17" s="948">
        <f>'Crono FF'!O39*1000</f>
        <v>120853.612878</v>
      </c>
      <c r="L17" s="948">
        <f>'Crono FF'!P39*1000</f>
        <v>120853.612878</v>
      </c>
      <c r="M17" s="948">
        <f>'Crono FF'!Q39*1000</f>
        <v>120853.612878</v>
      </c>
      <c r="N17" s="948">
        <f>'Crono FF'!R39*1000</f>
        <v>120853.612878</v>
      </c>
      <c r="O17" s="948">
        <f>'Crono FF'!S39*1000</f>
        <v>120853.612878</v>
      </c>
      <c r="P17" s="948">
        <f>'Crono FF'!T39*1000</f>
        <v>120853.612878</v>
      </c>
      <c r="Q17" s="948">
        <f>'Crono FF'!U39*1000</f>
        <v>120853.612878</v>
      </c>
      <c r="R17" s="948">
        <f>'Crono FF'!V39*1000</f>
        <v>120853.612878</v>
      </c>
      <c r="S17" s="948">
        <f>'Crono FF'!W39*1000</f>
        <v>120853.612878</v>
      </c>
      <c r="T17" s="948">
        <f>'Crono FF'!X39*1000</f>
        <v>120853.612878</v>
      </c>
      <c r="U17" s="948">
        <f>'Crono FF'!Y39*1000</f>
        <v>120853.612878</v>
      </c>
      <c r="V17" s="948">
        <f>'Crono FF'!Z39*1000</f>
        <v>120853.612878</v>
      </c>
      <c r="W17" s="948">
        <f>'Crono FF'!AA39*1000</f>
        <v>120853.612878</v>
      </c>
      <c r="X17" s="948">
        <f>'Crono FF'!AB39*1000</f>
        <v>120853.612878</v>
      </c>
      <c r="Y17" s="948">
        <f>'Crono FF'!AC39*1000</f>
        <v>120853.612878</v>
      </c>
      <c r="Z17" s="948">
        <f>'Crono FF'!AD39*1000</f>
        <v>120853.612878</v>
      </c>
      <c r="AA17" s="949">
        <f>'Crono FF'!AE39*1000</f>
        <v>120853.612878</v>
      </c>
      <c r="AB17" s="949">
        <f>'Crono FF'!AF39*1000</f>
        <v>120853.612878</v>
      </c>
      <c r="AC17" s="949">
        <f>'Crono FF'!AG39*1000</f>
        <v>120853.612878</v>
      </c>
      <c r="AD17" s="949">
        <f>'Crono FF'!AH39*1000</f>
        <v>120853.612878</v>
      </c>
      <c r="AE17" s="949">
        <f>'Crono FF'!AI39*1000</f>
        <v>120853.612878</v>
      </c>
      <c r="AF17" s="385">
        <f>'Crono FF'!AJ39*1000</f>
        <v>120853.612878</v>
      </c>
      <c r="AI17" s="133"/>
    </row>
    <row r="18" spans="1:37" ht="12.75" customHeight="1">
      <c r="A18" s="109" t="s">
        <v>264</v>
      </c>
      <c r="B18" s="826">
        <f t="shared" si="0"/>
        <v>522000000</v>
      </c>
      <c r="C18" s="110">
        <v>0</v>
      </c>
      <c r="D18" s="948">
        <v>18000000</v>
      </c>
      <c r="E18" s="948">
        <v>18000000</v>
      </c>
      <c r="F18" s="948">
        <v>18000000</v>
      </c>
      <c r="G18" s="948">
        <v>18000000</v>
      </c>
      <c r="H18" s="948">
        <v>18000000</v>
      </c>
      <c r="I18" s="948">
        <v>18000000</v>
      </c>
      <c r="J18" s="948">
        <v>18000000</v>
      </c>
      <c r="K18" s="948">
        <v>18000000</v>
      </c>
      <c r="L18" s="948">
        <v>18000000</v>
      </c>
      <c r="M18" s="948">
        <v>18000000</v>
      </c>
      <c r="N18" s="948">
        <v>18000000</v>
      </c>
      <c r="O18" s="948">
        <v>18000000</v>
      </c>
      <c r="P18" s="948">
        <v>18000000</v>
      </c>
      <c r="Q18" s="948">
        <v>18000000</v>
      </c>
      <c r="R18" s="948">
        <v>18000000</v>
      </c>
      <c r="S18" s="948">
        <v>18000000</v>
      </c>
      <c r="T18" s="948">
        <v>18000000</v>
      </c>
      <c r="U18" s="948">
        <v>18000000</v>
      </c>
      <c r="V18" s="948">
        <v>18000000</v>
      </c>
      <c r="W18" s="948">
        <v>18000000</v>
      </c>
      <c r="X18" s="948">
        <v>18000000</v>
      </c>
      <c r="Y18" s="948">
        <v>18000000</v>
      </c>
      <c r="Z18" s="948">
        <v>18000000</v>
      </c>
      <c r="AA18" s="949">
        <v>18000000</v>
      </c>
      <c r="AB18" s="949">
        <v>18000000</v>
      </c>
      <c r="AC18" s="949">
        <v>18000000</v>
      </c>
      <c r="AD18" s="949">
        <v>18000000</v>
      </c>
      <c r="AE18" s="949">
        <v>18000000</v>
      </c>
      <c r="AF18" s="385">
        <v>18000000</v>
      </c>
      <c r="AI18" s="133"/>
    </row>
    <row r="19" spans="1:37" ht="12.75" customHeight="1">
      <c r="A19" s="109" t="s">
        <v>265</v>
      </c>
      <c r="B19" s="826">
        <f t="shared" si="0"/>
        <v>13889372.922000006</v>
      </c>
      <c r="C19" s="110">
        <f>'Crono FF'!G42*1000</f>
        <v>0</v>
      </c>
      <c r="D19" s="948">
        <f>'Crono FF'!H42*1000</f>
        <v>461675.61800000002</v>
      </c>
      <c r="E19" s="948">
        <f>'Crono FF'!I42*1000</f>
        <v>461675.61800000002</v>
      </c>
      <c r="F19" s="948">
        <f>'Crono FF'!J42*1000</f>
        <v>461675.61800000002</v>
      </c>
      <c r="G19" s="948">
        <f>'Crono FF'!K42*1000</f>
        <v>561831.61800000002</v>
      </c>
      <c r="H19" s="948">
        <f>'Crono FF'!L42*1000</f>
        <v>461675.61800000002</v>
      </c>
      <c r="I19" s="948">
        <f>'Crono FF'!M42*1000</f>
        <v>461675.61800000002</v>
      </c>
      <c r="J19" s="948">
        <f>'Crono FF'!N42*1000</f>
        <v>461675.61800000002</v>
      </c>
      <c r="K19" s="948">
        <f>'Crono FF'!O42*1000</f>
        <v>461675.61800000002</v>
      </c>
      <c r="L19" s="948">
        <f>'Crono FF'!P42*1000</f>
        <v>461675.61800000002</v>
      </c>
      <c r="M19" s="948">
        <f>'Crono FF'!Q42*1000</f>
        <v>561831.61800000002</v>
      </c>
      <c r="N19" s="948">
        <f>'Crono FF'!R42*1000</f>
        <v>461675.61800000002</v>
      </c>
      <c r="O19" s="948">
        <f>'Crono FF'!S42*1000</f>
        <v>461675.61800000002</v>
      </c>
      <c r="P19" s="948">
        <f>'Crono FF'!T42*1000</f>
        <v>461675.61800000002</v>
      </c>
      <c r="Q19" s="948">
        <f>'Crono FF'!U42*1000</f>
        <v>461675.61800000002</v>
      </c>
      <c r="R19" s="948">
        <f>'Crono FF'!V42*1000</f>
        <v>461675.61800000002</v>
      </c>
      <c r="S19" s="948">
        <f>'Crono FF'!W42*1000</f>
        <v>561831.61800000002</v>
      </c>
      <c r="T19" s="948">
        <f>'Crono FF'!X42*1000</f>
        <v>461675.61800000002</v>
      </c>
      <c r="U19" s="948">
        <f>'Crono FF'!Y42*1000</f>
        <v>461675.61800000002</v>
      </c>
      <c r="V19" s="948">
        <f>'Crono FF'!Z42*1000</f>
        <v>461675.61800000002</v>
      </c>
      <c r="W19" s="948">
        <f>'Crono FF'!AA42*1000</f>
        <v>461675.61800000002</v>
      </c>
      <c r="X19" s="948">
        <f>'Crono FF'!AB42*1000</f>
        <v>461675.61800000002</v>
      </c>
      <c r="Y19" s="948">
        <f>'Crono FF'!AC42*1000</f>
        <v>561831.61800000002</v>
      </c>
      <c r="Z19" s="948">
        <f>'Crono FF'!AD42*1000</f>
        <v>461675.61800000002</v>
      </c>
      <c r="AA19" s="949">
        <f>'Crono FF'!AE42*1000</f>
        <v>461675.61800000002</v>
      </c>
      <c r="AB19" s="949">
        <f>'Crono FF'!AF42*1000</f>
        <v>461675.61800000002</v>
      </c>
      <c r="AC19" s="949">
        <f>'Crono FF'!AG42*1000</f>
        <v>461675.61800000002</v>
      </c>
      <c r="AD19" s="949">
        <f>'Crono FF'!AH42*1000</f>
        <v>461675.61800000002</v>
      </c>
      <c r="AE19" s="949">
        <f>'Crono FF'!AI42*1000</f>
        <v>561831.61800000002</v>
      </c>
      <c r="AF19" s="385">
        <f>'Crono FF'!AJ42*1000</f>
        <v>461675.61800000002</v>
      </c>
      <c r="AI19" s="133"/>
    </row>
    <row r="20" spans="1:37" ht="12.75" customHeight="1">
      <c r="A20" s="109" t="s">
        <v>266</v>
      </c>
      <c r="B20" s="826">
        <f t="shared" si="0"/>
        <v>40139510.400000006</v>
      </c>
      <c r="C20" s="110">
        <f>'Crono FF'!G43*1000</f>
        <v>2034866.3466666667</v>
      </c>
      <c r="D20" s="948">
        <f>'Crono FF'!H43*1000</f>
        <v>2170034.3466666667</v>
      </c>
      <c r="E20" s="948">
        <f>'Crono FF'!I43*1000</f>
        <v>1407634.3466666667</v>
      </c>
      <c r="F20" s="948">
        <f>'Crono FF'!J43*1000</f>
        <v>1620034.3466666667</v>
      </c>
      <c r="G20" s="948">
        <f>'Crono FF'!K43*1000</f>
        <v>1407634.3466666667</v>
      </c>
      <c r="H20" s="948">
        <f>'Crono FF'!L43*1000</f>
        <v>1370034.3466666667</v>
      </c>
      <c r="I20" s="948">
        <f>'Crono FF'!M43*1000</f>
        <v>1149186.3466666667</v>
      </c>
      <c r="J20" s="948">
        <f>'Crono FF'!N43*1000</f>
        <v>1361586.3466666667</v>
      </c>
      <c r="K20" s="948">
        <f>'Crono FF'!O43*1000</f>
        <v>1149186.3466666667</v>
      </c>
      <c r="L20" s="948">
        <f>'Crono FF'!P43*1000</f>
        <v>1361586.3466666667</v>
      </c>
      <c r="M20" s="948">
        <f>'Crono FF'!Q43*1000</f>
        <v>1149186.3466666667</v>
      </c>
      <c r="N20" s="948">
        <f>'Crono FF'!R43*1000</f>
        <v>1361586.3466666667</v>
      </c>
      <c r="O20" s="948">
        <f>'Crono FF'!S43*1000</f>
        <v>1149186.3466666667</v>
      </c>
      <c r="P20" s="948">
        <f>'Crono FF'!T43*1000</f>
        <v>1361586.3466666667</v>
      </c>
      <c r="Q20" s="948">
        <f>'Crono FF'!U43*1000</f>
        <v>1149186.3466666667</v>
      </c>
      <c r="R20" s="948">
        <f>'Crono FF'!V43*1000</f>
        <v>1361586.3466666667</v>
      </c>
      <c r="S20" s="948">
        <f>'Crono FF'!W43*1000</f>
        <v>1149186.3466666667</v>
      </c>
      <c r="T20" s="948">
        <f>'Crono FF'!X43*1000</f>
        <v>1361586.3466666667</v>
      </c>
      <c r="U20" s="948">
        <f>'Crono FF'!Y43*1000</f>
        <v>1149186.3466666667</v>
      </c>
      <c r="V20" s="948">
        <f>'Crono FF'!Z43*1000</f>
        <v>1361586.3466666667</v>
      </c>
      <c r="W20" s="948">
        <f>'Crono FF'!AA43*1000</f>
        <v>1149186.3466666667</v>
      </c>
      <c r="X20" s="948">
        <f>'Crono FF'!AB43*1000</f>
        <v>1361586.3466666667</v>
      </c>
      <c r="Y20" s="948">
        <f>'Crono FF'!AC43*1000</f>
        <v>1149186.3466666667</v>
      </c>
      <c r="Z20" s="948">
        <f>'Crono FF'!AD43*1000</f>
        <v>1361586.3466666667</v>
      </c>
      <c r="AA20" s="949">
        <f>'Crono FF'!AE43*1000</f>
        <v>1149186.3466666667</v>
      </c>
      <c r="AB20" s="949">
        <f>'Crono FF'!AF43*1000</f>
        <v>1361586.3466666667</v>
      </c>
      <c r="AC20" s="949">
        <f>'Crono FF'!AG43*1000</f>
        <v>1149186.3466666667</v>
      </c>
      <c r="AD20" s="949">
        <f>'Crono FF'!AH43*1000</f>
        <v>1361586.3466666667</v>
      </c>
      <c r="AE20" s="949">
        <f>'Crono FF'!AI43*1000</f>
        <v>1149186.3466666667</v>
      </c>
      <c r="AF20" s="385">
        <f>'Crono FF'!AJ43*1000</f>
        <v>1361586.3466666667</v>
      </c>
      <c r="AI20" s="133"/>
    </row>
    <row r="21" spans="1:37" ht="12.75" customHeight="1">
      <c r="A21" s="109" t="s">
        <v>267</v>
      </c>
      <c r="B21" s="826">
        <f t="shared" si="0"/>
        <v>15472293.711448539</v>
      </c>
      <c r="C21" s="110">
        <f>'Crono FF'!G44*1000</f>
        <v>671110.1781419348</v>
      </c>
      <c r="D21" s="948">
        <f>'Crono FF'!H44*1000</f>
        <v>721014.18528643495</v>
      </c>
      <c r="E21" s="948">
        <f>'Crono FF'!I44*1000</f>
        <v>583014.18528643495</v>
      </c>
      <c r="F21" s="948">
        <f>'Crono FF'!J44*1000</f>
        <v>721014.18528643495</v>
      </c>
      <c r="G21" s="948">
        <f>'Crono FF'!K44*1000</f>
        <v>583014.18528643495</v>
      </c>
      <c r="H21" s="948">
        <f>'Crono FF'!L44*1000</f>
        <v>721014.18528643495</v>
      </c>
      <c r="I21" s="948">
        <f>'Crono FF'!M44*1000</f>
        <v>492763.02528643486</v>
      </c>
      <c r="J21" s="948">
        <f>'Crono FF'!N44*1000</f>
        <v>492763.02528643486</v>
      </c>
      <c r="K21" s="948">
        <f>'Crono FF'!O44*1000</f>
        <v>476663.02528643486</v>
      </c>
      <c r="L21" s="948">
        <f>'Crono FF'!P44*1000</f>
        <v>476663.02528643486</v>
      </c>
      <c r="M21" s="948">
        <f>'Crono FF'!Q44*1000</f>
        <v>476663.02528643486</v>
      </c>
      <c r="N21" s="948">
        <f>'Crono FF'!R44*1000</f>
        <v>476663.02528643486</v>
      </c>
      <c r="O21" s="948">
        <f>'Crono FF'!S44*1000</f>
        <v>476663.02528643486</v>
      </c>
      <c r="P21" s="948">
        <f>'Crono FF'!T44*1000</f>
        <v>476663.02528643486</v>
      </c>
      <c r="Q21" s="948">
        <f>'Crono FF'!U44*1000</f>
        <v>476663.02528643486</v>
      </c>
      <c r="R21" s="948">
        <f>'Crono FF'!V44*1000</f>
        <v>476663.02528643486</v>
      </c>
      <c r="S21" s="948">
        <f>'Crono FF'!W44*1000</f>
        <v>476663.02528643486</v>
      </c>
      <c r="T21" s="948">
        <f>'Crono FF'!X44*1000</f>
        <v>476663.02528643486</v>
      </c>
      <c r="U21" s="948">
        <f>'Crono FF'!Y44*1000</f>
        <v>476663.02528643486</v>
      </c>
      <c r="V21" s="948">
        <f>'Crono FF'!Z44*1000</f>
        <v>476663.02528643486</v>
      </c>
      <c r="W21" s="948">
        <f>'Crono FF'!AA44*1000</f>
        <v>476663.02528643486</v>
      </c>
      <c r="X21" s="948">
        <f>'Crono FF'!AB44*1000</f>
        <v>476663.02528643486</v>
      </c>
      <c r="Y21" s="948">
        <f>'Crono FF'!AC44*1000</f>
        <v>476663.02528643486</v>
      </c>
      <c r="Z21" s="948">
        <f>'Crono FF'!AD44*1000</f>
        <v>476663.02528643486</v>
      </c>
      <c r="AA21" s="949">
        <f>'Crono FF'!AE44*1000</f>
        <v>476663.02528643486</v>
      </c>
      <c r="AB21" s="949">
        <f>'Crono FF'!AF44*1000</f>
        <v>476663.02528643486</v>
      </c>
      <c r="AC21" s="949">
        <f>'Crono FF'!AG44*1000</f>
        <v>476663.02528643486</v>
      </c>
      <c r="AD21" s="949">
        <f>'Crono FF'!AH44*1000</f>
        <v>476663.02528643486</v>
      </c>
      <c r="AE21" s="949">
        <f>'Crono FF'!AI44*1000</f>
        <v>476663.02528643486</v>
      </c>
      <c r="AF21" s="385">
        <f>'Crono FF'!AJ44*1000</f>
        <v>476663.02528643486</v>
      </c>
      <c r="AI21" s="133"/>
    </row>
    <row r="22" spans="1:37" ht="12.75" customHeight="1">
      <c r="A22" s="109" t="s">
        <v>268</v>
      </c>
      <c r="B22" s="826">
        <f t="shared" si="0"/>
        <v>335918256.11635309</v>
      </c>
      <c r="C22" s="110">
        <f>'Crono FF'!G45*1000</f>
        <v>6219078.1801351113</v>
      </c>
      <c r="D22" s="948">
        <f>'Crono FF'!H45*1000</f>
        <v>7887591.5146496026</v>
      </c>
      <c r="E22" s="948">
        <f>'Crono FF'!I45*1000</f>
        <v>14703822.652058264</v>
      </c>
      <c r="F22" s="948">
        <f>'Crono FF'!J45*1000</f>
        <v>7889077.6553590465</v>
      </c>
      <c r="G22" s="948">
        <f>'Crono FF'!K45*1000</f>
        <v>7890875.8332506511</v>
      </c>
      <c r="H22" s="948">
        <f>'Crono FF'!L45*1000</f>
        <v>11536586.893564157</v>
      </c>
      <c r="I22" s="948">
        <f>'Crono FF'!M45*1000</f>
        <v>15682292.019107133</v>
      </c>
      <c r="J22" s="948">
        <f>'Crono FF'!N45*1000</f>
        <v>8413416.8692253232</v>
      </c>
      <c r="K22" s="948">
        <f>'Crono FF'!O45*1000</f>
        <v>12045883.454336217</v>
      </c>
      <c r="L22" s="948">
        <f>'Crono FF'!P45*1000</f>
        <v>15682767.080820611</v>
      </c>
      <c r="M22" s="948">
        <f>'Crono FF'!Q45*1000</f>
        <v>8455495.2948697414</v>
      </c>
      <c r="N22" s="948">
        <f>'Crono FF'!R45*1000</f>
        <v>12125821.230519796</v>
      </c>
      <c r="O22" s="948">
        <f>'Crono FF'!S45*1000</f>
        <v>15801066.211622544</v>
      </c>
      <c r="P22" s="948">
        <f>'Crono FF'!T45*1000</f>
        <v>8455635.5871883109</v>
      </c>
      <c r="Q22" s="948">
        <f>'Crono FF'!U45*1000</f>
        <v>12126265.869561968</v>
      </c>
      <c r="R22" s="948">
        <f>'Crono FF'!V45*1000</f>
        <v>16018318.189444568</v>
      </c>
      <c r="S22" s="948">
        <f>'Crono FF'!W45*1000</f>
        <v>8571595.6328000389</v>
      </c>
      <c r="T22" s="948">
        <f>'Crono FF'!X45*1000</f>
        <v>12167325.99919207</v>
      </c>
      <c r="U22" s="948">
        <f>'Crono FF'!Y45*1000</f>
        <v>15854735.881270258</v>
      </c>
      <c r="V22" s="948">
        <f>'Crono FF'!Z45*1000</f>
        <v>8484429.34693335</v>
      </c>
      <c r="W22" s="948">
        <f>'Crono FF'!AA45*1000</f>
        <v>12590919.165514417</v>
      </c>
      <c r="X22" s="948">
        <f>'Crono FF'!AB45*1000</f>
        <v>16407205.990983456</v>
      </c>
      <c r="Y22" s="948">
        <f>'Crono FF'!AC45*1000</f>
        <v>8779088.0248120222</v>
      </c>
      <c r="Z22" s="948">
        <f>'Crono FF'!AD45*1000</f>
        <v>12590938.487210987</v>
      </c>
      <c r="AA22" s="949">
        <f>'Crono FF'!AE45*1000</f>
        <v>8836982.4457487743</v>
      </c>
      <c r="AB22" s="949">
        <f>'Crono FF'!AF45*1000</f>
        <v>12674155.891200313</v>
      </c>
      <c r="AC22" s="949">
        <f>'Crono FF'!AG45*1000</f>
        <v>16515746.37802536</v>
      </c>
      <c r="AD22" s="949">
        <f>'Crono FF'!AH45*1000</f>
        <v>8836982.4457487743</v>
      </c>
      <c r="AE22" s="949">
        <f>'Crono FF'!AI45*1000</f>
        <v>12674155.891200313</v>
      </c>
      <c r="AF22" s="385">
        <f>'Crono FF'!AJ45*1000</f>
        <v>0</v>
      </c>
      <c r="AI22" s="133"/>
    </row>
    <row r="23" spans="1:37" ht="12.75" customHeight="1">
      <c r="A23" s="109" t="s">
        <v>269</v>
      </c>
      <c r="B23" s="826">
        <f t="shared" ca="1" si="0"/>
        <v>9566611.5748880971</v>
      </c>
      <c r="C23" s="110">
        <f ca="1">'Crono FF'!G74*1000</f>
        <v>314050.82547939185</v>
      </c>
      <c r="D23" s="948">
        <f ca="1">'Crono FF'!H74*1000</f>
        <v>319389.07417142083</v>
      </c>
      <c r="E23" s="948">
        <f ca="1">'Crono FF'!I74*1000</f>
        <v>319389.07417142083</v>
      </c>
      <c r="F23" s="948">
        <f ca="1">'Crono FF'!J74*1000</f>
        <v>319389.07417142083</v>
      </c>
      <c r="G23" s="948">
        <f ca="1">'Crono FF'!K74*1000</f>
        <v>319389.07417142083</v>
      </c>
      <c r="H23" s="948">
        <f ca="1">'Crono FF'!L74*1000</f>
        <v>319389.07417142083</v>
      </c>
      <c r="I23" s="948">
        <f ca="1">'Crono FF'!M74*1000</f>
        <v>319389.07417142083</v>
      </c>
      <c r="J23" s="948">
        <f ca="1">'Crono FF'!N74*1000</f>
        <v>319389.07417142083</v>
      </c>
      <c r="K23" s="948">
        <f ca="1">'Crono FF'!O74*1000</f>
        <v>319389.07417142083</v>
      </c>
      <c r="L23" s="948">
        <f ca="1">'Crono FF'!P74*1000</f>
        <v>319389.07417142083</v>
      </c>
      <c r="M23" s="948">
        <f ca="1">'Crono FF'!Q74*1000</f>
        <v>319389.07417142083</v>
      </c>
      <c r="N23" s="948">
        <f ca="1">'Crono FF'!R74*1000</f>
        <v>319389.07417142083</v>
      </c>
      <c r="O23" s="948">
        <f ca="1">'Crono FF'!S74*1000</f>
        <v>319389.07417142083</v>
      </c>
      <c r="P23" s="948">
        <f ca="1">'Crono FF'!T74*1000</f>
        <v>319389.07417142083</v>
      </c>
      <c r="Q23" s="948">
        <f ca="1">'Crono FF'!U74*1000</f>
        <v>319389.07417142083</v>
      </c>
      <c r="R23" s="948">
        <f ca="1">'Crono FF'!V74*1000</f>
        <v>319389.07417142083</v>
      </c>
      <c r="S23" s="948">
        <f ca="1">'Crono FF'!W74*1000</f>
        <v>319389.07417142083</v>
      </c>
      <c r="T23" s="948">
        <f ca="1">'Crono FF'!X74*1000</f>
        <v>319389.07417142083</v>
      </c>
      <c r="U23" s="948">
        <f ca="1">'Crono FF'!Y74*1000</f>
        <v>319389.07417142083</v>
      </c>
      <c r="V23" s="948">
        <f ca="1">'Crono FF'!Z74*1000</f>
        <v>319389.07417142083</v>
      </c>
      <c r="W23" s="948">
        <f ca="1">'Crono FF'!AA74*1000</f>
        <v>319389.07417142083</v>
      </c>
      <c r="X23" s="948">
        <f ca="1">'Crono FF'!AB74*1000</f>
        <v>319389.07417142083</v>
      </c>
      <c r="Y23" s="948">
        <f ca="1">'Crono FF'!AC74*1000</f>
        <v>319389.07417142083</v>
      </c>
      <c r="Z23" s="948">
        <f ca="1">'Crono FF'!AD74*1000</f>
        <v>319389.07417142083</v>
      </c>
      <c r="AA23" s="949">
        <f ca="1">'Crono FF'!AE74*1000</f>
        <v>319389.07417142083</v>
      </c>
      <c r="AB23" s="949">
        <f ca="1">'Crono FF'!AF74*1000</f>
        <v>319389.07417142083</v>
      </c>
      <c r="AC23" s="949">
        <f ca="1">'Crono FF'!AG74*1000</f>
        <v>319389.07417142083</v>
      </c>
      <c r="AD23" s="949">
        <f ca="1">'Crono FF'!AH74*1000</f>
        <v>319389.07417142083</v>
      </c>
      <c r="AE23" s="949">
        <f ca="1">'Crono FF'!AI74*1000</f>
        <v>319389.07417142083</v>
      </c>
      <c r="AF23" s="385">
        <f ca="1">'Crono FF'!AJ74*1000</f>
        <v>309666.67260892084</v>
      </c>
      <c r="AI23" s="133"/>
    </row>
    <row r="24" spans="1:37" ht="12.75" customHeight="1">
      <c r="A24" s="109" t="s">
        <v>270</v>
      </c>
      <c r="B24" s="826">
        <f t="shared" si="0"/>
        <v>0</v>
      </c>
      <c r="C24" s="110">
        <f>'Crono FF'!G47*1000</f>
        <v>0</v>
      </c>
      <c r="D24" s="948">
        <f>'Crono FF'!H47*1000</f>
        <v>0</v>
      </c>
      <c r="E24" s="948">
        <f>'Crono FF'!I47*1000</f>
        <v>0</v>
      </c>
      <c r="F24" s="948">
        <f>'Crono FF'!J47*1000</f>
        <v>0</v>
      </c>
      <c r="G24" s="948">
        <f>'Crono FF'!K47*1000</f>
        <v>0</v>
      </c>
      <c r="H24" s="948">
        <f>'Crono FF'!L47*1000</f>
        <v>0</v>
      </c>
      <c r="I24" s="948">
        <f>'Crono FF'!M47*1000</f>
        <v>0</v>
      </c>
      <c r="J24" s="948">
        <f>'Crono FF'!N47*1000</f>
        <v>0</v>
      </c>
      <c r="K24" s="948">
        <f>'Crono FF'!O47*1000</f>
        <v>0</v>
      </c>
      <c r="L24" s="948">
        <f>'Crono FF'!P47*1000</f>
        <v>0</v>
      </c>
      <c r="M24" s="948">
        <f>'Crono FF'!Q47*1000</f>
        <v>0</v>
      </c>
      <c r="N24" s="948">
        <f>'Crono FF'!R47*1000</f>
        <v>0</v>
      </c>
      <c r="O24" s="948">
        <f>'Crono FF'!S47*1000</f>
        <v>0</v>
      </c>
      <c r="P24" s="948">
        <f>'Crono FF'!T47*1000</f>
        <v>0</v>
      </c>
      <c r="Q24" s="948">
        <f>'Crono FF'!U47*1000</f>
        <v>0</v>
      </c>
      <c r="R24" s="948">
        <f>'Crono FF'!V47*1000</f>
        <v>0</v>
      </c>
      <c r="S24" s="948">
        <f>'Crono FF'!W47*1000</f>
        <v>0</v>
      </c>
      <c r="T24" s="948">
        <f>'Crono FF'!X47*1000</f>
        <v>0</v>
      </c>
      <c r="U24" s="948">
        <f>'Crono FF'!Y47*1000</f>
        <v>0</v>
      </c>
      <c r="V24" s="948">
        <f>'Crono FF'!Z47*1000</f>
        <v>0</v>
      </c>
      <c r="W24" s="948">
        <f>'Crono FF'!AA47*1000</f>
        <v>0</v>
      </c>
      <c r="X24" s="948">
        <f>'Crono FF'!AB47*1000</f>
        <v>0</v>
      </c>
      <c r="Y24" s="948">
        <f>'Crono FF'!AC47*1000</f>
        <v>0</v>
      </c>
      <c r="Z24" s="948">
        <f>'Crono FF'!AD47*1000</f>
        <v>0</v>
      </c>
      <c r="AA24" s="949">
        <f>'Crono FF'!AE47*1000</f>
        <v>0</v>
      </c>
      <c r="AB24" s="949">
        <f>'Crono FF'!AF47*1000</f>
        <v>0</v>
      </c>
      <c r="AC24" s="949">
        <f>'Crono FF'!AG47*1000</f>
        <v>0</v>
      </c>
      <c r="AD24" s="949">
        <f>'Crono FF'!AH47*1000</f>
        <v>0</v>
      </c>
      <c r="AE24" s="949">
        <f>'Crono FF'!AI47*1000</f>
        <v>0</v>
      </c>
      <c r="AF24" s="385">
        <f>'Crono FF'!AJ47*1000</f>
        <v>0</v>
      </c>
      <c r="AI24" s="133"/>
    </row>
    <row r="25" spans="1:37" ht="12.75" customHeight="1" thickBot="1">
      <c r="A25" s="111"/>
      <c r="B25" s="827"/>
      <c r="C25" s="113"/>
      <c r="D25" s="114"/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32"/>
      <c r="AB25" s="132"/>
      <c r="AC25" s="132"/>
      <c r="AD25" s="132"/>
      <c r="AE25" s="132"/>
      <c r="AF25" s="115"/>
      <c r="AI25" s="133"/>
    </row>
    <row r="26" spans="1:37" ht="33.75" customHeight="1" thickBot="1">
      <c r="A26" s="116" t="s">
        <v>271</v>
      </c>
      <c r="B26" s="117">
        <f t="shared" ca="1" si="0"/>
        <v>1671102642.1354406</v>
      </c>
      <c r="C26" s="950">
        <f t="shared" ref="C26:AF26" ca="1" si="1">SUM(C8:C25)</f>
        <v>32689139.392605796</v>
      </c>
      <c r="D26" s="118">
        <f t="shared" ca="1" si="1"/>
        <v>54275423.109320417</v>
      </c>
      <c r="E26" s="118">
        <f t="shared" ca="1" si="1"/>
        <v>60191254.246729083</v>
      </c>
      <c r="F26" s="118">
        <f t="shared" ca="1" si="1"/>
        <v>53726909.250029862</v>
      </c>
      <c r="G26" s="118">
        <f t="shared" ca="1" si="1"/>
        <v>53478463.427921467</v>
      </c>
      <c r="H26" s="118">
        <f t="shared" ca="1" si="1"/>
        <v>57052791.601867221</v>
      </c>
      <c r="I26" s="118">
        <f t="shared" ca="1" si="1"/>
        <v>60570289.357490197</v>
      </c>
      <c r="J26" s="118">
        <f t="shared" ca="1" si="1"/>
        <v>53513814.207608387</v>
      </c>
      <c r="K26" s="118">
        <f t="shared" ca="1" si="1"/>
        <v>56917780.792719282</v>
      </c>
      <c r="L26" s="118">
        <f t="shared" ca="1" si="1"/>
        <v>60767064.419203676</v>
      </c>
      <c r="M26" s="118">
        <f t="shared" ca="1" si="1"/>
        <v>53427548.633252807</v>
      </c>
      <c r="N26" s="118">
        <f t="shared" ca="1" si="1"/>
        <v>57210118.568902858</v>
      </c>
      <c r="O26" s="118">
        <f t="shared" ca="1" si="1"/>
        <v>60672963.550005607</v>
      </c>
      <c r="P26" s="118">
        <f t="shared" ca="1" si="1"/>
        <v>53539932.925571375</v>
      </c>
      <c r="Q26" s="118">
        <f t="shared" ca="1" si="1"/>
        <v>56998163.207945034</v>
      </c>
      <c r="R26" s="118">
        <f t="shared" ca="1" si="1"/>
        <v>61102615.527827635</v>
      </c>
      <c r="S26" s="118">
        <f t="shared" ca="1" si="1"/>
        <v>53543648.971183106</v>
      </c>
      <c r="T26" s="118">
        <f t="shared" ca="1" si="1"/>
        <v>57251623.337575138</v>
      </c>
      <c r="U26" s="118">
        <f t="shared" ca="1" si="1"/>
        <v>60726633.219653323</v>
      </c>
      <c r="V26" s="118">
        <f t="shared" ca="1" si="1"/>
        <v>53568726.685316414</v>
      </c>
      <c r="W26" s="118">
        <f t="shared" ca="1" si="1"/>
        <v>57462816.503897481</v>
      </c>
      <c r="X26" s="118">
        <f t="shared" ca="1" si="1"/>
        <v>61491503.32936652</v>
      </c>
      <c r="Y26" s="118">
        <f t="shared" ca="1" si="1"/>
        <v>53751141.363195084</v>
      </c>
      <c r="Z26" s="118">
        <f t="shared" ca="1" si="1"/>
        <v>57675235.825594053</v>
      </c>
      <c r="AA26" s="118">
        <f t="shared" ca="1" si="1"/>
        <v>53708879.78413184</v>
      </c>
      <c r="AB26" s="118">
        <f t="shared" ca="1" si="1"/>
        <v>57758453.229583375</v>
      </c>
      <c r="AC26" s="118">
        <f t="shared" ca="1" si="1"/>
        <v>61387643.716408424</v>
      </c>
      <c r="AD26" s="118">
        <f t="shared" ca="1" si="1"/>
        <v>53921279.78413184</v>
      </c>
      <c r="AE26" s="118">
        <f t="shared" ca="1" si="1"/>
        <v>57646209.229583375</v>
      </c>
      <c r="AF26" s="386">
        <f t="shared" ca="1" si="1"/>
        <v>45074574.936820559</v>
      </c>
      <c r="AI26" s="133"/>
    </row>
    <row r="27" spans="1:37">
      <c r="A27" s="941" t="s">
        <v>272</v>
      </c>
      <c r="B27" s="929">
        <f t="shared" si="0"/>
        <v>0</v>
      </c>
      <c r="C27" s="951">
        <f t="shared" ref="C27:AF27" si="2">C37</f>
        <v>0</v>
      </c>
      <c r="D27" s="938">
        <f t="shared" si="2"/>
        <v>0</v>
      </c>
      <c r="E27" s="938">
        <f t="shared" si="2"/>
        <v>0</v>
      </c>
      <c r="F27" s="938">
        <f t="shared" si="2"/>
        <v>0</v>
      </c>
      <c r="G27" s="938">
        <f t="shared" si="2"/>
        <v>0</v>
      </c>
      <c r="H27" s="938">
        <f t="shared" si="2"/>
        <v>0</v>
      </c>
      <c r="I27" s="938">
        <f t="shared" si="2"/>
        <v>0</v>
      </c>
      <c r="J27" s="938">
        <f t="shared" si="2"/>
        <v>0</v>
      </c>
      <c r="K27" s="938">
        <f t="shared" si="2"/>
        <v>0</v>
      </c>
      <c r="L27" s="938">
        <f t="shared" si="2"/>
        <v>0</v>
      </c>
      <c r="M27" s="938">
        <f t="shared" si="2"/>
        <v>0</v>
      </c>
      <c r="N27" s="938">
        <f t="shared" si="2"/>
        <v>0</v>
      </c>
      <c r="O27" s="938">
        <f t="shared" si="2"/>
        <v>0</v>
      </c>
      <c r="P27" s="938">
        <f t="shared" si="2"/>
        <v>0</v>
      </c>
      <c r="Q27" s="938">
        <f t="shared" si="2"/>
        <v>0</v>
      </c>
      <c r="R27" s="938">
        <f t="shared" si="2"/>
        <v>0</v>
      </c>
      <c r="S27" s="938">
        <f t="shared" si="2"/>
        <v>0</v>
      </c>
      <c r="T27" s="938">
        <f t="shared" si="2"/>
        <v>0</v>
      </c>
      <c r="U27" s="938">
        <f t="shared" si="2"/>
        <v>0</v>
      </c>
      <c r="V27" s="938">
        <f t="shared" si="2"/>
        <v>0</v>
      </c>
      <c r="W27" s="938">
        <f t="shared" si="2"/>
        <v>0</v>
      </c>
      <c r="X27" s="938">
        <f t="shared" si="2"/>
        <v>0</v>
      </c>
      <c r="Y27" s="938">
        <f t="shared" si="2"/>
        <v>0</v>
      </c>
      <c r="Z27" s="938">
        <f t="shared" si="2"/>
        <v>0</v>
      </c>
      <c r="AA27" s="952"/>
      <c r="AB27" s="952"/>
      <c r="AC27" s="952"/>
      <c r="AD27" s="952"/>
      <c r="AE27" s="952"/>
      <c r="AF27" s="387">
        <f t="shared" si="2"/>
        <v>0</v>
      </c>
    </row>
    <row r="28" spans="1:37">
      <c r="A28" s="119" t="s">
        <v>273</v>
      </c>
      <c r="B28" s="120">
        <f t="shared" si="0"/>
        <v>0</v>
      </c>
      <c r="C28" s="953"/>
      <c r="D28" s="954"/>
      <c r="E28" s="954"/>
      <c r="F28" s="954"/>
      <c r="G28" s="954"/>
      <c r="H28" s="954"/>
      <c r="I28" s="954"/>
      <c r="J28" s="954"/>
      <c r="K28" s="954"/>
      <c r="L28" s="954"/>
      <c r="M28" s="954"/>
      <c r="N28" s="954"/>
      <c r="O28" s="954"/>
      <c r="P28" s="954"/>
      <c r="Q28" s="954"/>
      <c r="R28" s="954"/>
      <c r="S28" s="954"/>
      <c r="T28" s="954"/>
      <c r="U28" s="954"/>
      <c r="V28" s="954"/>
      <c r="W28" s="954"/>
      <c r="X28" s="954"/>
      <c r="Y28" s="954"/>
      <c r="Z28" s="954"/>
      <c r="AA28" s="955"/>
      <c r="AB28" s="955"/>
      <c r="AC28" s="955"/>
      <c r="AD28" s="955"/>
      <c r="AE28" s="955"/>
      <c r="AF28" s="121"/>
      <c r="AI28" s="138"/>
    </row>
    <row r="29" spans="1:37">
      <c r="A29" s="109" t="s">
        <v>274</v>
      </c>
      <c r="B29" s="106">
        <f t="shared" si="0"/>
        <v>0</v>
      </c>
      <c r="C29" s="953"/>
      <c r="D29" s="939"/>
      <c r="E29" s="939"/>
      <c r="F29" s="939"/>
      <c r="G29" s="939"/>
      <c r="H29" s="939"/>
      <c r="I29" s="939"/>
      <c r="J29" s="939"/>
      <c r="K29" s="939"/>
      <c r="L29" s="939"/>
      <c r="M29" s="939"/>
      <c r="N29" s="939"/>
      <c r="O29" s="939"/>
      <c r="P29" s="939"/>
      <c r="Q29" s="939"/>
      <c r="R29" s="939"/>
      <c r="S29" s="939"/>
      <c r="T29" s="939"/>
      <c r="U29" s="939"/>
      <c r="V29" s="939"/>
      <c r="W29" s="939"/>
      <c r="X29" s="939"/>
      <c r="Y29" s="939"/>
      <c r="Z29" s="939"/>
      <c r="AA29" s="956"/>
      <c r="AB29" s="956"/>
      <c r="AC29" s="956"/>
      <c r="AD29" s="956"/>
      <c r="AE29" s="956"/>
      <c r="AF29" s="122"/>
    </row>
    <row r="30" spans="1:37" ht="13.5" thickBot="1">
      <c r="A30" s="111" t="s">
        <v>275</v>
      </c>
      <c r="B30" s="120">
        <f t="shared" si="0"/>
        <v>0</v>
      </c>
      <c r="C30" s="123"/>
      <c r="D30" s="124"/>
      <c r="E30" s="124"/>
      <c r="F30" s="124"/>
      <c r="G30" s="957"/>
      <c r="H30" s="957"/>
      <c r="I30" s="957"/>
      <c r="J30" s="957"/>
      <c r="K30" s="957"/>
      <c r="L30" s="957"/>
      <c r="M30" s="957"/>
      <c r="N30" s="957"/>
      <c r="O30" s="957"/>
      <c r="P30" s="957"/>
      <c r="Q30" s="957"/>
      <c r="R30" s="957"/>
      <c r="S30" s="957"/>
      <c r="T30" s="957"/>
      <c r="U30" s="957"/>
      <c r="V30" s="957"/>
      <c r="W30" s="957"/>
      <c r="X30" s="957"/>
      <c r="Y30" s="957"/>
      <c r="Z30" s="957"/>
      <c r="AA30" s="958"/>
      <c r="AB30" s="958"/>
      <c r="AC30" s="958"/>
      <c r="AD30" s="958"/>
      <c r="AE30" s="958"/>
      <c r="AF30" s="125"/>
      <c r="AK30" s="126"/>
    </row>
    <row r="31" spans="1:37" ht="26.25" thickBot="1">
      <c r="A31" s="116" t="s">
        <v>276</v>
      </c>
      <c r="B31" s="929">
        <f t="shared" si="0"/>
        <v>0</v>
      </c>
      <c r="C31" s="959">
        <f t="shared" ref="C31:AF31" si="3">SUM(C27:C30)</f>
        <v>0</v>
      </c>
      <c r="D31" s="960">
        <f t="shared" si="3"/>
        <v>0</v>
      </c>
      <c r="E31" s="960">
        <f t="shared" si="3"/>
        <v>0</v>
      </c>
      <c r="F31" s="960">
        <f t="shared" si="3"/>
        <v>0</v>
      </c>
      <c r="G31" s="960">
        <f t="shared" si="3"/>
        <v>0</v>
      </c>
      <c r="H31" s="960">
        <f t="shared" si="3"/>
        <v>0</v>
      </c>
      <c r="I31" s="960">
        <f t="shared" si="3"/>
        <v>0</v>
      </c>
      <c r="J31" s="960">
        <f t="shared" si="3"/>
        <v>0</v>
      </c>
      <c r="K31" s="960">
        <f t="shared" si="3"/>
        <v>0</v>
      </c>
      <c r="L31" s="960">
        <f t="shared" si="3"/>
        <v>0</v>
      </c>
      <c r="M31" s="960">
        <f t="shared" si="3"/>
        <v>0</v>
      </c>
      <c r="N31" s="960">
        <f t="shared" si="3"/>
        <v>0</v>
      </c>
      <c r="O31" s="960">
        <f t="shared" si="3"/>
        <v>0</v>
      </c>
      <c r="P31" s="960">
        <f t="shared" si="3"/>
        <v>0</v>
      </c>
      <c r="Q31" s="960">
        <f t="shared" si="3"/>
        <v>0</v>
      </c>
      <c r="R31" s="960">
        <f t="shared" si="3"/>
        <v>0</v>
      </c>
      <c r="S31" s="960">
        <f t="shared" si="3"/>
        <v>0</v>
      </c>
      <c r="T31" s="960">
        <f t="shared" si="3"/>
        <v>0</v>
      </c>
      <c r="U31" s="960">
        <f t="shared" si="3"/>
        <v>0</v>
      </c>
      <c r="V31" s="960">
        <f t="shared" si="3"/>
        <v>0</v>
      </c>
      <c r="W31" s="960">
        <f t="shared" si="3"/>
        <v>0</v>
      </c>
      <c r="X31" s="960">
        <f t="shared" si="3"/>
        <v>0</v>
      </c>
      <c r="Y31" s="960">
        <f t="shared" si="3"/>
        <v>0</v>
      </c>
      <c r="Z31" s="960">
        <f t="shared" si="3"/>
        <v>0</v>
      </c>
      <c r="AA31" s="961"/>
      <c r="AB31" s="961"/>
      <c r="AC31" s="961"/>
      <c r="AD31" s="961"/>
      <c r="AE31" s="961"/>
      <c r="AF31" s="388">
        <f t="shared" si="3"/>
        <v>0</v>
      </c>
    </row>
    <row r="32" spans="1:37" ht="20.25" customHeight="1" thickBot="1">
      <c r="A32" s="590" t="s">
        <v>38</v>
      </c>
      <c r="B32" s="591">
        <f t="shared" ca="1" si="0"/>
        <v>1671102642.1354406</v>
      </c>
      <c r="C32" s="935">
        <f t="shared" ref="C32:Z32" ca="1" si="4">C26+C31</f>
        <v>32689139.392605796</v>
      </c>
      <c r="D32" s="592">
        <f t="shared" ca="1" si="4"/>
        <v>54275423.109320417</v>
      </c>
      <c r="E32" s="592">
        <f t="shared" ca="1" si="4"/>
        <v>60191254.246729083</v>
      </c>
      <c r="F32" s="592">
        <f t="shared" ca="1" si="4"/>
        <v>53726909.250029862</v>
      </c>
      <c r="G32" s="592">
        <f t="shared" ca="1" si="4"/>
        <v>53478463.427921467</v>
      </c>
      <c r="H32" s="592">
        <f t="shared" ca="1" si="4"/>
        <v>57052791.601867221</v>
      </c>
      <c r="I32" s="592">
        <f t="shared" ca="1" si="4"/>
        <v>60570289.357490197</v>
      </c>
      <c r="J32" s="592">
        <f t="shared" ca="1" si="4"/>
        <v>53513814.207608387</v>
      </c>
      <c r="K32" s="592">
        <f t="shared" ca="1" si="4"/>
        <v>56917780.792719282</v>
      </c>
      <c r="L32" s="592">
        <f t="shared" ca="1" si="4"/>
        <v>60767064.419203676</v>
      </c>
      <c r="M32" s="592">
        <f t="shared" ca="1" si="4"/>
        <v>53427548.633252807</v>
      </c>
      <c r="N32" s="592">
        <f t="shared" ca="1" si="4"/>
        <v>57210118.568902858</v>
      </c>
      <c r="O32" s="592">
        <f t="shared" ca="1" si="4"/>
        <v>60672963.550005607</v>
      </c>
      <c r="P32" s="592">
        <f t="shared" ca="1" si="4"/>
        <v>53539932.925571375</v>
      </c>
      <c r="Q32" s="592">
        <f t="shared" ca="1" si="4"/>
        <v>56998163.207945034</v>
      </c>
      <c r="R32" s="592">
        <f t="shared" ca="1" si="4"/>
        <v>61102615.527827635</v>
      </c>
      <c r="S32" s="592">
        <f t="shared" ca="1" si="4"/>
        <v>53543648.971183106</v>
      </c>
      <c r="T32" s="592">
        <f t="shared" ca="1" si="4"/>
        <v>57251623.337575138</v>
      </c>
      <c r="U32" s="592">
        <f t="shared" ca="1" si="4"/>
        <v>60726633.219653323</v>
      </c>
      <c r="V32" s="592">
        <f t="shared" ca="1" si="4"/>
        <v>53568726.685316414</v>
      </c>
      <c r="W32" s="592">
        <f t="shared" ca="1" si="4"/>
        <v>57462816.503897481</v>
      </c>
      <c r="X32" s="592">
        <f t="shared" ca="1" si="4"/>
        <v>61491503.32936652</v>
      </c>
      <c r="Y32" s="592">
        <f t="shared" ca="1" si="4"/>
        <v>53751141.363195084</v>
      </c>
      <c r="Z32" s="592">
        <f t="shared" ca="1" si="4"/>
        <v>57675235.825594053</v>
      </c>
      <c r="AA32" s="592">
        <f t="shared" ref="AA32:AF32" ca="1" si="5">AA26+AA31</f>
        <v>53708879.78413184</v>
      </c>
      <c r="AB32" s="592">
        <f t="shared" ca="1" si="5"/>
        <v>57758453.229583375</v>
      </c>
      <c r="AC32" s="592">
        <f t="shared" ca="1" si="5"/>
        <v>61387643.716408424</v>
      </c>
      <c r="AD32" s="592">
        <f t="shared" ca="1" si="5"/>
        <v>53921279.78413184</v>
      </c>
      <c r="AE32" s="592">
        <f t="shared" ca="1" si="5"/>
        <v>57646209.229583375</v>
      </c>
      <c r="AF32" s="593">
        <f t="shared" ca="1" si="5"/>
        <v>45074574.936820559</v>
      </c>
    </row>
    <row r="34" spans="1:32" ht="13.5" thickBot="1"/>
    <row r="35" spans="1:32">
      <c r="A35" s="941" t="s">
        <v>277</v>
      </c>
      <c r="B35" s="929">
        <f>SUM(C35:AF35)</f>
        <v>0</v>
      </c>
      <c r="C35" s="937">
        <v>0</v>
      </c>
      <c r="D35" s="938">
        <v>0</v>
      </c>
      <c r="E35" s="938">
        <v>0</v>
      </c>
      <c r="F35" s="938">
        <v>0</v>
      </c>
      <c r="G35" s="938">
        <v>0</v>
      </c>
      <c r="H35" s="938">
        <v>0</v>
      </c>
      <c r="I35" s="938">
        <v>0</v>
      </c>
      <c r="J35" s="938">
        <v>0</v>
      </c>
      <c r="K35" s="938">
        <v>0</v>
      </c>
      <c r="L35" s="938">
        <v>0</v>
      </c>
      <c r="M35" s="938">
        <v>0</v>
      </c>
      <c r="N35" s="938">
        <v>0</v>
      </c>
      <c r="O35" s="938">
        <v>0</v>
      </c>
      <c r="P35" s="938">
        <v>0</v>
      </c>
      <c r="Q35" s="938">
        <v>0</v>
      </c>
      <c r="R35" s="938">
        <v>0</v>
      </c>
      <c r="S35" s="938">
        <v>0</v>
      </c>
      <c r="T35" s="938">
        <v>0</v>
      </c>
      <c r="U35" s="938">
        <v>0</v>
      </c>
      <c r="V35" s="938">
        <v>0</v>
      </c>
      <c r="W35" s="938">
        <v>0</v>
      </c>
      <c r="X35" s="938">
        <v>0</v>
      </c>
      <c r="Y35" s="938">
        <v>0</v>
      </c>
      <c r="Z35" s="938">
        <v>0</v>
      </c>
      <c r="AA35" s="938">
        <v>0</v>
      </c>
      <c r="AB35" s="938">
        <v>0</v>
      </c>
      <c r="AC35" s="938">
        <v>0</v>
      </c>
      <c r="AD35" s="938">
        <v>0</v>
      </c>
      <c r="AE35" s="938">
        <v>0</v>
      </c>
      <c r="AF35" s="938">
        <v>0</v>
      </c>
    </row>
    <row r="36" spans="1:32" ht="13.5" thickBot="1">
      <c r="A36" s="127" t="s">
        <v>278</v>
      </c>
      <c r="B36" s="120">
        <f>SUM(C36:AF36)</f>
        <v>0</v>
      </c>
      <c r="C36" s="128">
        <v>0</v>
      </c>
      <c r="D36" s="124">
        <v>0</v>
      </c>
      <c r="E36" s="124">
        <v>0</v>
      </c>
      <c r="F36" s="124">
        <v>0</v>
      </c>
      <c r="G36" s="124">
        <v>0</v>
      </c>
      <c r="H36" s="124">
        <v>0</v>
      </c>
      <c r="I36" s="124">
        <v>0</v>
      </c>
      <c r="J36" s="124">
        <v>0</v>
      </c>
      <c r="K36" s="124">
        <v>0</v>
      </c>
      <c r="L36" s="124">
        <v>0</v>
      </c>
      <c r="M36" s="124">
        <v>0</v>
      </c>
      <c r="N36" s="124">
        <v>0</v>
      </c>
      <c r="O36" s="124">
        <v>0</v>
      </c>
      <c r="P36" s="124">
        <v>0</v>
      </c>
      <c r="Q36" s="124">
        <v>0</v>
      </c>
      <c r="R36" s="124">
        <v>0</v>
      </c>
      <c r="S36" s="124">
        <v>0</v>
      </c>
      <c r="T36" s="124">
        <v>0</v>
      </c>
      <c r="U36" s="124">
        <v>0</v>
      </c>
      <c r="V36" s="124">
        <v>0</v>
      </c>
      <c r="W36" s="124">
        <v>0</v>
      </c>
      <c r="X36" s="124">
        <v>0</v>
      </c>
      <c r="Y36" s="124">
        <v>0</v>
      </c>
      <c r="Z36" s="124">
        <v>0</v>
      </c>
      <c r="AA36" s="124">
        <v>0</v>
      </c>
      <c r="AB36" s="124">
        <v>0</v>
      </c>
      <c r="AC36" s="124">
        <v>0</v>
      </c>
      <c r="AD36" s="124">
        <v>0</v>
      </c>
      <c r="AE36" s="124">
        <v>0</v>
      </c>
      <c r="AF36" s="124">
        <v>0</v>
      </c>
    </row>
    <row r="37" spans="1:32" ht="13.5" thickBot="1">
      <c r="A37" s="129" t="s">
        <v>279</v>
      </c>
      <c r="B37" s="117">
        <f>SUM(C37:AF37)</f>
        <v>0</v>
      </c>
      <c r="C37" s="130">
        <f t="shared" ref="C37:Z37" si="6">SUM(C35:C36)</f>
        <v>0</v>
      </c>
      <c r="D37" s="118">
        <f t="shared" si="6"/>
        <v>0</v>
      </c>
      <c r="E37" s="118">
        <f t="shared" si="6"/>
        <v>0</v>
      </c>
      <c r="F37" s="118">
        <f t="shared" si="6"/>
        <v>0</v>
      </c>
      <c r="G37" s="118">
        <f t="shared" si="6"/>
        <v>0</v>
      </c>
      <c r="H37" s="118">
        <f t="shared" si="6"/>
        <v>0</v>
      </c>
      <c r="I37" s="118">
        <f t="shared" si="6"/>
        <v>0</v>
      </c>
      <c r="J37" s="118">
        <f t="shared" si="6"/>
        <v>0</v>
      </c>
      <c r="K37" s="118">
        <f t="shared" si="6"/>
        <v>0</v>
      </c>
      <c r="L37" s="118">
        <f t="shared" si="6"/>
        <v>0</v>
      </c>
      <c r="M37" s="118">
        <f t="shared" si="6"/>
        <v>0</v>
      </c>
      <c r="N37" s="118">
        <f t="shared" si="6"/>
        <v>0</v>
      </c>
      <c r="O37" s="118">
        <f t="shared" si="6"/>
        <v>0</v>
      </c>
      <c r="P37" s="118">
        <f t="shared" si="6"/>
        <v>0</v>
      </c>
      <c r="Q37" s="118">
        <f t="shared" si="6"/>
        <v>0</v>
      </c>
      <c r="R37" s="118">
        <f t="shared" si="6"/>
        <v>0</v>
      </c>
      <c r="S37" s="118">
        <f t="shared" si="6"/>
        <v>0</v>
      </c>
      <c r="T37" s="118">
        <f t="shared" si="6"/>
        <v>0</v>
      </c>
      <c r="U37" s="118">
        <f t="shared" si="6"/>
        <v>0</v>
      </c>
      <c r="V37" s="118">
        <f t="shared" si="6"/>
        <v>0</v>
      </c>
      <c r="W37" s="118">
        <f t="shared" si="6"/>
        <v>0</v>
      </c>
      <c r="X37" s="118">
        <f t="shared" si="6"/>
        <v>0</v>
      </c>
      <c r="Y37" s="118">
        <f t="shared" si="6"/>
        <v>0</v>
      </c>
      <c r="Z37" s="118">
        <f t="shared" si="6"/>
        <v>0</v>
      </c>
      <c r="AA37" s="118">
        <f t="shared" ref="AA37:AF37" si="7">SUM(AA35:AA36)</f>
        <v>0</v>
      </c>
      <c r="AB37" s="118">
        <f t="shared" si="7"/>
        <v>0</v>
      </c>
      <c r="AC37" s="118">
        <f t="shared" si="7"/>
        <v>0</v>
      </c>
      <c r="AD37" s="118">
        <f t="shared" si="7"/>
        <v>0</v>
      </c>
      <c r="AE37" s="118">
        <f t="shared" si="7"/>
        <v>0</v>
      </c>
      <c r="AF37" s="118">
        <f t="shared" si="7"/>
        <v>0</v>
      </c>
    </row>
    <row r="38" spans="1:32">
      <c r="B38" s="339">
        <f ca="1">'Quadro 5 Cronograma PER'!E99+'Quadro 5 Cronograma PER'!E86</f>
        <v>1335184386.0190876</v>
      </c>
    </row>
    <row r="39" spans="1:32">
      <c r="B39" s="340">
        <f ca="1">B38-B32</f>
        <v>-335918256.11635303</v>
      </c>
      <c r="D39" s="134"/>
      <c r="E39" s="134"/>
      <c r="F39" s="134"/>
      <c r="G39" s="134"/>
      <c r="H39" s="134"/>
      <c r="I39" s="134"/>
      <c r="J39" s="134"/>
      <c r="K39" s="134"/>
      <c r="L39" s="134"/>
      <c r="M39" s="134"/>
      <c r="N39" s="134"/>
      <c r="O39" s="134"/>
      <c r="P39" s="134"/>
      <c r="Q39" s="134"/>
      <c r="R39" s="134"/>
      <c r="S39" s="134"/>
      <c r="T39" s="134"/>
      <c r="U39" s="134"/>
      <c r="V39" s="134"/>
      <c r="W39" s="134"/>
      <c r="X39" s="134"/>
      <c r="Y39" s="134"/>
      <c r="Z39" s="134"/>
      <c r="AA39" s="134"/>
      <c r="AB39" s="134"/>
      <c r="AC39" s="134"/>
      <c r="AD39" s="134"/>
      <c r="AE39" s="134"/>
      <c r="AF39" s="134"/>
    </row>
    <row r="40" spans="1:32">
      <c r="B40" s="131"/>
      <c r="C40" s="135"/>
      <c r="D40" s="135"/>
      <c r="E40" s="135"/>
      <c r="F40" s="135"/>
      <c r="G40" s="135"/>
      <c r="H40" s="135"/>
      <c r="I40" s="135"/>
      <c r="J40" s="135"/>
      <c r="K40" s="135"/>
      <c r="L40" s="135"/>
      <c r="M40" s="135"/>
      <c r="N40" s="135"/>
      <c r="O40" s="135"/>
      <c r="P40" s="135"/>
      <c r="Q40" s="135"/>
      <c r="R40" s="135"/>
      <c r="S40" s="135"/>
      <c r="T40" s="135"/>
      <c r="U40" s="135"/>
      <c r="V40" s="135"/>
      <c r="W40" s="135"/>
      <c r="X40" s="135"/>
      <c r="Y40" s="135"/>
      <c r="Z40" s="135"/>
      <c r="AA40" s="135"/>
      <c r="AB40" s="135"/>
      <c r="AC40" s="135"/>
      <c r="AD40" s="135"/>
      <c r="AE40" s="135"/>
      <c r="AF40" s="135"/>
    </row>
    <row r="41" spans="1:32">
      <c r="B41" s="131"/>
      <c r="C41" s="135"/>
      <c r="D41" s="135"/>
      <c r="E41" s="135"/>
      <c r="F41" s="135"/>
      <c r="G41" s="135"/>
      <c r="H41" s="135"/>
      <c r="I41" s="135"/>
      <c r="J41" s="135"/>
      <c r="K41" s="135"/>
      <c r="L41" s="135"/>
      <c r="M41" s="135"/>
      <c r="N41" s="135"/>
      <c r="O41" s="135"/>
      <c r="P41" s="135"/>
      <c r="Q41" s="135"/>
      <c r="R41" s="135"/>
      <c r="S41" s="135"/>
      <c r="T41" s="135"/>
      <c r="U41" s="135"/>
      <c r="V41" s="135"/>
      <c r="W41" s="135"/>
      <c r="X41" s="135"/>
      <c r="Y41" s="135"/>
      <c r="Z41" s="135"/>
      <c r="AA41" s="135"/>
      <c r="AB41" s="135"/>
      <c r="AC41" s="135"/>
      <c r="AD41" s="135"/>
      <c r="AE41" s="135"/>
      <c r="AF41" s="135"/>
    </row>
    <row r="42" spans="1:32">
      <c r="B42" s="131"/>
      <c r="C42" s="135"/>
      <c r="D42" s="134"/>
      <c r="E42" s="135"/>
      <c r="F42" s="135"/>
      <c r="G42" s="135"/>
      <c r="H42" s="135"/>
      <c r="I42" s="135"/>
      <c r="J42" s="135"/>
      <c r="K42" s="135"/>
      <c r="L42" s="135"/>
      <c r="M42" s="135"/>
      <c r="N42" s="135"/>
      <c r="O42" s="135"/>
      <c r="P42" s="135"/>
      <c r="Q42" s="135"/>
      <c r="R42" s="135"/>
      <c r="S42" s="135"/>
      <c r="T42" s="135"/>
      <c r="U42" s="135"/>
      <c r="V42" s="135"/>
      <c r="W42" s="135"/>
      <c r="X42" s="135"/>
      <c r="Y42" s="135"/>
      <c r="Z42" s="135"/>
      <c r="AA42" s="135"/>
      <c r="AB42" s="135"/>
      <c r="AC42" s="135"/>
      <c r="AD42" s="135"/>
      <c r="AE42" s="135"/>
      <c r="AF42" s="135"/>
    </row>
    <row r="43" spans="1:32">
      <c r="B43" s="131"/>
      <c r="C43" s="135"/>
      <c r="D43" s="135"/>
      <c r="E43" s="135"/>
      <c r="F43" s="135"/>
      <c r="G43" s="135"/>
      <c r="H43" s="135"/>
      <c r="I43" s="135"/>
      <c r="J43" s="135"/>
      <c r="K43" s="135"/>
      <c r="L43" s="135"/>
      <c r="M43" s="135"/>
      <c r="N43" s="135"/>
      <c r="O43" s="135"/>
      <c r="P43" s="135"/>
      <c r="Q43" s="135"/>
      <c r="R43" s="135"/>
      <c r="S43" s="135"/>
      <c r="T43" s="135"/>
      <c r="U43" s="135"/>
      <c r="V43" s="135"/>
      <c r="W43" s="135"/>
      <c r="X43" s="135"/>
      <c r="Y43" s="135"/>
      <c r="Z43" s="135"/>
      <c r="AA43" s="135"/>
      <c r="AB43" s="135"/>
      <c r="AC43" s="135"/>
      <c r="AD43" s="135"/>
      <c r="AE43" s="135"/>
      <c r="AF43" s="135"/>
    </row>
    <row r="44" spans="1:32">
      <c r="B44" s="131"/>
      <c r="C44" s="135"/>
      <c r="D44" s="135"/>
      <c r="E44" s="135"/>
      <c r="F44" s="135"/>
      <c r="G44" s="135"/>
      <c r="H44" s="135"/>
      <c r="I44" s="135"/>
      <c r="J44" s="135"/>
      <c r="K44" s="135"/>
      <c r="L44" s="135"/>
      <c r="M44" s="135"/>
      <c r="N44" s="135"/>
      <c r="O44" s="135"/>
      <c r="P44" s="135"/>
      <c r="Q44" s="135"/>
      <c r="R44" s="135"/>
      <c r="S44" s="135"/>
      <c r="T44" s="135"/>
      <c r="U44" s="135"/>
      <c r="V44" s="135"/>
      <c r="W44" s="135"/>
      <c r="X44" s="135"/>
      <c r="Y44" s="135"/>
      <c r="Z44" s="135"/>
      <c r="AA44" s="135"/>
      <c r="AB44" s="135"/>
      <c r="AC44" s="135"/>
      <c r="AD44" s="135"/>
      <c r="AE44" s="135"/>
      <c r="AF44" s="135"/>
    </row>
    <row r="45" spans="1:32">
      <c r="B45" s="131"/>
      <c r="C45" s="135"/>
      <c r="D45" s="135"/>
      <c r="E45" s="135"/>
      <c r="F45" s="135"/>
      <c r="G45" s="135"/>
      <c r="H45" s="135"/>
      <c r="I45" s="135"/>
      <c r="J45" s="135"/>
      <c r="K45" s="135"/>
      <c r="L45" s="135"/>
      <c r="M45" s="135"/>
      <c r="N45" s="135"/>
      <c r="O45" s="135"/>
      <c r="P45" s="135"/>
      <c r="Q45" s="135"/>
      <c r="R45" s="135"/>
      <c r="S45" s="135"/>
      <c r="T45" s="135"/>
      <c r="U45" s="135"/>
      <c r="V45" s="135"/>
      <c r="W45" s="135"/>
      <c r="X45" s="135"/>
      <c r="Y45" s="135"/>
      <c r="Z45" s="135"/>
      <c r="AA45" s="135"/>
      <c r="AB45" s="135"/>
      <c r="AC45" s="135"/>
      <c r="AD45" s="135"/>
      <c r="AE45" s="135"/>
      <c r="AF45" s="135"/>
    </row>
    <row r="46" spans="1:32">
      <c r="B46" s="131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  <c r="N46" s="135"/>
      <c r="O46" s="135"/>
      <c r="P46" s="135"/>
      <c r="Q46" s="135"/>
      <c r="R46" s="135"/>
      <c r="S46" s="135"/>
      <c r="T46" s="135"/>
      <c r="U46" s="135"/>
      <c r="V46" s="135"/>
      <c r="W46" s="135"/>
      <c r="X46" s="135"/>
      <c r="Y46" s="135"/>
      <c r="Z46" s="135"/>
      <c r="AA46" s="135"/>
      <c r="AB46" s="135"/>
      <c r="AC46" s="135"/>
      <c r="AD46" s="135"/>
      <c r="AE46" s="135"/>
      <c r="AF46" s="135"/>
    </row>
    <row r="47" spans="1:32">
      <c r="B47" s="131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5"/>
      <c r="N47" s="135"/>
      <c r="O47" s="135"/>
      <c r="P47" s="135"/>
      <c r="Q47" s="135"/>
      <c r="R47" s="135"/>
      <c r="S47" s="135"/>
      <c r="T47" s="135"/>
      <c r="U47" s="135"/>
      <c r="V47" s="135"/>
      <c r="W47" s="135"/>
      <c r="X47" s="135"/>
      <c r="Y47" s="135"/>
      <c r="Z47" s="135"/>
      <c r="AA47" s="135"/>
      <c r="AB47" s="135"/>
      <c r="AC47" s="135"/>
      <c r="AD47" s="135"/>
      <c r="AE47" s="135"/>
      <c r="AF47" s="135"/>
    </row>
    <row r="48" spans="1:32">
      <c r="B48" s="131"/>
      <c r="C48" s="135"/>
      <c r="D48" s="135"/>
      <c r="E48" s="135"/>
      <c r="F48" s="135"/>
      <c r="G48" s="135"/>
      <c r="H48" s="135"/>
      <c r="I48" s="135"/>
      <c r="J48" s="135"/>
      <c r="K48" s="135"/>
      <c r="L48" s="135"/>
      <c r="M48" s="135"/>
      <c r="N48" s="135"/>
      <c r="O48" s="135"/>
      <c r="P48" s="135"/>
      <c r="Q48" s="135"/>
      <c r="R48" s="135"/>
      <c r="S48" s="135"/>
      <c r="T48" s="135"/>
      <c r="U48" s="135"/>
      <c r="V48" s="135"/>
      <c r="W48" s="135"/>
      <c r="X48" s="135"/>
      <c r="Y48" s="135"/>
      <c r="Z48" s="135"/>
      <c r="AA48" s="135"/>
      <c r="AB48" s="135"/>
      <c r="AC48" s="135"/>
      <c r="AD48" s="135"/>
      <c r="AE48" s="135"/>
      <c r="AF48" s="135"/>
    </row>
    <row r="49" spans="2:32">
      <c r="B49" s="131"/>
      <c r="C49" s="135"/>
      <c r="D49" s="135"/>
      <c r="E49" s="135"/>
      <c r="F49" s="135"/>
      <c r="G49" s="135"/>
      <c r="H49" s="135"/>
      <c r="I49" s="135"/>
      <c r="J49" s="135"/>
      <c r="K49" s="135"/>
      <c r="L49" s="135"/>
      <c r="M49" s="135"/>
      <c r="N49" s="135"/>
      <c r="O49" s="135"/>
      <c r="P49" s="135"/>
      <c r="Q49" s="135"/>
      <c r="R49" s="135"/>
      <c r="S49" s="135"/>
      <c r="T49" s="135"/>
      <c r="U49" s="135"/>
      <c r="V49" s="135"/>
      <c r="W49" s="135"/>
      <c r="X49" s="135"/>
      <c r="Y49" s="135"/>
      <c r="Z49" s="135"/>
      <c r="AA49" s="135"/>
      <c r="AB49" s="135"/>
      <c r="AC49" s="135"/>
      <c r="AD49" s="135"/>
      <c r="AE49" s="135"/>
      <c r="AF49" s="135"/>
    </row>
    <row r="50" spans="2:32">
      <c r="B50" s="131"/>
      <c r="C50" s="135"/>
      <c r="D50" s="135"/>
      <c r="E50" s="135"/>
      <c r="F50" s="135"/>
      <c r="G50" s="135"/>
      <c r="H50" s="135"/>
      <c r="I50" s="135"/>
      <c r="J50" s="135"/>
      <c r="K50" s="135"/>
      <c r="L50" s="135"/>
      <c r="M50" s="135"/>
      <c r="N50" s="135"/>
      <c r="O50" s="135"/>
      <c r="P50" s="135"/>
      <c r="Q50" s="135"/>
      <c r="R50" s="135"/>
      <c r="S50" s="135"/>
      <c r="T50" s="135"/>
      <c r="U50" s="135"/>
      <c r="V50" s="135"/>
      <c r="W50" s="135"/>
      <c r="X50" s="135"/>
      <c r="Y50" s="135"/>
      <c r="Z50" s="135"/>
      <c r="AA50" s="135"/>
      <c r="AB50" s="135"/>
      <c r="AC50" s="135"/>
      <c r="AD50" s="135"/>
      <c r="AE50" s="135"/>
      <c r="AF50" s="135"/>
    </row>
  </sheetData>
  <sheetProtection formatColumns="0"/>
  <pageMargins left="0.78740157499999996" right="0.78740157499999996" top="1.48" bottom="0.984251969" header="0.49212598499999999" footer="0.49212598499999999"/>
  <pageSetup paperSize="9" scale="53" orientation="landscape" r:id="rId1"/>
  <headerFooter alignWithMargins="0">
    <oddHeader>&amp;C&amp;"Arial,Negrito"&amp;12PROGRAMA FEDERAL DE CONCESSÃO DE RODOVIAS&amp;"Arial,Normal"&amp;10
Edital de concessão nº 001/2009
Trechos da Rodovia BR-040 (trecho Brasília - Juiz de Fora)
QUADRO 8 - CUSTOS OPERACIONAIS</oddHeader>
    <oddFooter>&amp;L&amp;A&amp;RPágina &amp;P de &amp;N</oddFooter>
  </headerFooter>
  <colBreaks count="1" manualBreakCount="1">
    <brk id="12" min="5" max="28" man="1"/>
  </colBreaks>
  <ignoredErrors>
    <ignoredError sqref="D8:AL8 AG21:AL22 AG19:AL20 C30:AL50 AG23:AL23 AG24:AL29 C24:AF29 C22:AF22 A19:AF19 A23:AF23 A21:B22 A24:B29 AG18:AL18 D10:AL10 D9:AL9 D11:AL11 D12:AL12 D13:AL13 D14:AL14 D15:AL15 D16:AL16 D17:AL17 A20:B20 D20:AF20 D21:AF21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5">
    <tabColor rgb="FF00B0F0"/>
  </sheetPr>
  <dimension ref="A1:DA109"/>
  <sheetViews>
    <sheetView topLeftCell="A31" zoomScale="90" zoomScaleNormal="90" workbookViewId="0">
      <selection activeCell="G35" sqref="G35"/>
    </sheetView>
  </sheetViews>
  <sheetFormatPr defaultColWidth="9.140625" defaultRowHeight="12.75"/>
  <cols>
    <col min="1" max="1" width="2.5703125" style="597" customWidth="1"/>
    <col min="2" max="3" width="2.5703125" style="244" customWidth="1"/>
    <col min="4" max="4" width="3" style="244" customWidth="1"/>
    <col min="5" max="5" width="9.140625" style="244"/>
    <col min="6" max="6" width="45" style="244" customWidth="1"/>
    <col min="7" max="7" width="18.42578125" style="244" customWidth="1"/>
    <col min="8" max="8" width="3.85546875" style="244" customWidth="1"/>
    <col min="9" max="9" width="9.140625" style="244" customWidth="1"/>
    <col min="10" max="10" width="10.42578125" style="244" customWidth="1"/>
    <col min="11" max="11" width="9.140625" style="244" customWidth="1"/>
    <col min="12" max="12" width="12.7109375" style="244" bestFit="1" customWidth="1"/>
    <col min="13" max="42" width="8.7109375" style="244" customWidth="1"/>
    <col min="43" max="43" width="9.140625" style="244"/>
    <col min="44" max="44" width="12.85546875" style="244" bestFit="1" customWidth="1"/>
    <col min="45" max="45" width="9.140625" style="244"/>
    <col min="46" max="46" width="10.85546875" style="244" customWidth="1"/>
    <col min="47" max="16384" width="9.140625" style="244"/>
  </cols>
  <sheetData>
    <row r="1" spans="1:105" s="595" customFormat="1" ht="15" customHeight="1">
      <c r="D1" s="596"/>
    </row>
    <row r="2" spans="1:105" s="241" customFormat="1" ht="10.5" customHeight="1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598"/>
      <c r="AI2" s="598"/>
      <c r="AJ2" s="598"/>
      <c r="AK2" s="598"/>
      <c r="AL2" s="598"/>
      <c r="AM2" s="598"/>
      <c r="AN2" s="598"/>
      <c r="AO2" s="598"/>
      <c r="AP2" s="598"/>
      <c r="AQ2" s="598"/>
      <c r="AR2" s="598"/>
      <c r="AS2" s="598"/>
      <c r="AT2" s="598"/>
      <c r="AU2" s="598"/>
      <c r="AV2" s="598"/>
      <c r="AW2" s="598"/>
      <c r="AX2" s="598"/>
      <c r="AY2" s="598"/>
      <c r="AZ2" s="598"/>
      <c r="BA2" s="598"/>
      <c r="BB2" s="598"/>
      <c r="BC2" s="598"/>
      <c r="BD2" s="242"/>
      <c r="BE2" s="242"/>
      <c r="BF2" s="242"/>
      <c r="BG2" s="242"/>
      <c r="BH2" s="242"/>
      <c r="BI2" s="242"/>
      <c r="BJ2" s="242"/>
      <c r="BK2" s="242"/>
      <c r="BL2" s="242"/>
      <c r="BM2" s="242"/>
      <c r="BN2" s="242"/>
      <c r="BO2" s="242"/>
      <c r="BP2" s="242"/>
      <c r="BQ2" s="242"/>
      <c r="BR2" s="242"/>
      <c r="BS2" s="242"/>
      <c r="BT2" s="242"/>
      <c r="BU2" s="242"/>
      <c r="BV2" s="242"/>
      <c r="BW2" s="242"/>
      <c r="BX2" s="242"/>
      <c r="BY2" s="242"/>
      <c r="BZ2" s="242"/>
      <c r="CA2" s="242"/>
      <c r="CB2" s="242"/>
      <c r="CC2" s="242"/>
      <c r="CD2" s="242"/>
      <c r="CE2" s="242"/>
      <c r="CF2" s="242"/>
      <c r="CG2" s="242"/>
      <c r="CH2" s="242"/>
      <c r="CI2" s="242"/>
      <c r="CJ2" s="242"/>
      <c r="CK2" s="242"/>
      <c r="CL2" s="242"/>
      <c r="CM2" s="242"/>
      <c r="CN2" s="242"/>
      <c r="CO2" s="242"/>
      <c r="CP2" s="242"/>
      <c r="CQ2" s="242"/>
      <c r="CR2" s="242"/>
      <c r="CS2" s="242"/>
      <c r="CT2" s="242"/>
      <c r="CU2" s="242"/>
      <c r="CV2" s="242"/>
      <c r="CW2" s="242"/>
      <c r="CX2" s="242"/>
      <c r="CY2" s="242"/>
      <c r="CZ2" s="242"/>
      <c r="DA2" s="242"/>
    </row>
    <row r="3" spans="1:105" s="241" customFormat="1" ht="10.5" customHeight="1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599"/>
      <c r="AI3" s="599"/>
      <c r="AJ3" s="599"/>
      <c r="AK3" s="599"/>
      <c r="AL3" s="599"/>
      <c r="AM3" s="599"/>
      <c r="AN3" s="599"/>
      <c r="AO3" s="599"/>
      <c r="AP3" s="599"/>
      <c r="AQ3" s="599"/>
      <c r="AR3" s="599"/>
      <c r="AS3" s="599"/>
      <c r="AT3" s="599"/>
      <c r="AU3" s="599"/>
      <c r="AV3" s="599"/>
      <c r="AW3" s="599"/>
      <c r="AX3" s="599"/>
      <c r="AY3" s="599"/>
      <c r="AZ3" s="599"/>
      <c r="BA3" s="599"/>
      <c r="BB3" s="599"/>
      <c r="BC3" s="599"/>
      <c r="BD3" s="599"/>
      <c r="BE3" s="599"/>
      <c r="BF3" s="599"/>
      <c r="BG3" s="599"/>
      <c r="BH3" s="599"/>
      <c r="BI3" s="599"/>
      <c r="BJ3" s="599"/>
      <c r="BK3" s="599"/>
      <c r="BL3" s="599"/>
      <c r="BM3" s="599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</row>
    <row r="4" spans="1:105">
      <c r="A4" s="595"/>
      <c r="B4" s="598"/>
      <c r="C4" s="599"/>
      <c r="E4" s="245" t="s">
        <v>280</v>
      </c>
      <c r="AR4" s="246"/>
      <c r="AS4" s="272"/>
    </row>
    <row r="5" spans="1:105" ht="15">
      <c r="A5" s="595"/>
      <c r="B5" s="598"/>
      <c r="C5" s="599"/>
      <c r="E5" s="245"/>
      <c r="AR5" s="248"/>
      <c r="AS5" s="373"/>
      <c r="AT5" s="337"/>
    </row>
    <row r="6" spans="1:105">
      <c r="A6" s="595"/>
      <c r="B6" s="598"/>
      <c r="C6" s="599"/>
      <c r="E6" s="245" t="s">
        <v>281</v>
      </c>
    </row>
    <row r="7" spans="1:105">
      <c r="A7" s="595"/>
      <c r="B7" s="598"/>
      <c r="C7" s="599"/>
      <c r="E7" s="249" t="s">
        <v>282</v>
      </c>
      <c r="M7" s="250"/>
      <c r="N7" s="250"/>
      <c r="O7" s="250"/>
      <c r="P7" s="250"/>
      <c r="Q7" s="250"/>
      <c r="R7" s="250"/>
      <c r="S7" s="250"/>
      <c r="T7" s="250"/>
      <c r="U7" s="250"/>
      <c r="V7" s="250"/>
      <c r="W7" s="250"/>
      <c r="X7" s="250"/>
      <c r="Y7" s="250"/>
      <c r="Z7" s="250"/>
      <c r="AA7" s="250"/>
      <c r="AB7" s="250"/>
      <c r="AC7" s="250"/>
      <c r="AD7" s="250"/>
      <c r="AE7" s="250"/>
      <c r="AF7" s="250"/>
      <c r="AG7" s="250"/>
      <c r="AH7" s="250"/>
      <c r="AI7" s="250"/>
      <c r="AJ7" s="250"/>
      <c r="AK7" s="250"/>
      <c r="AL7" s="250"/>
      <c r="AM7" s="250"/>
      <c r="AN7" s="250"/>
      <c r="AO7" s="250"/>
      <c r="AP7" s="250"/>
    </row>
    <row r="8" spans="1:105" hidden="1">
      <c r="A8" s="595"/>
      <c r="B8" s="598"/>
      <c r="C8" s="599"/>
      <c r="E8" s="249"/>
      <c r="G8" s="257"/>
      <c r="N8" s="380"/>
    </row>
    <row r="9" spans="1:105">
      <c r="A9" s="595"/>
      <c r="B9" s="598"/>
      <c r="C9" s="599"/>
    </row>
    <row r="10" spans="1:105">
      <c r="A10" s="595"/>
      <c r="B10" s="598"/>
      <c r="C10" s="599"/>
      <c r="E10" s="245" t="s">
        <v>283</v>
      </c>
      <c r="K10" s="962"/>
      <c r="L10" s="251"/>
    </row>
    <row r="11" spans="1:105">
      <c r="A11" s="595"/>
      <c r="B11" s="598"/>
      <c r="C11" s="599"/>
      <c r="E11" s="249" t="s">
        <v>284</v>
      </c>
      <c r="K11" s="251"/>
      <c r="L11" s="251"/>
    </row>
    <row r="12" spans="1:105">
      <c r="A12" s="595"/>
      <c r="B12" s="598"/>
      <c r="C12" s="599"/>
      <c r="E12" s="249" t="s">
        <v>285</v>
      </c>
      <c r="K12" s="962"/>
      <c r="L12" s="251" t="s">
        <v>286</v>
      </c>
      <c r="M12" s="568">
        <v>0</v>
      </c>
      <c r="N12" s="244" t="s">
        <v>287</v>
      </c>
      <c r="O12" s="962"/>
      <c r="R12" s="962"/>
    </row>
    <row r="13" spans="1:105">
      <c r="A13" s="595"/>
      <c r="B13" s="598"/>
      <c r="C13" s="599"/>
      <c r="E13" s="249" t="s">
        <v>288</v>
      </c>
      <c r="K13" s="962"/>
      <c r="L13" s="251"/>
      <c r="O13" s="962"/>
      <c r="R13" s="962"/>
    </row>
    <row r="14" spans="1:105">
      <c r="A14" s="595"/>
      <c r="B14" s="598"/>
      <c r="C14" s="599"/>
      <c r="E14" s="249" t="s">
        <v>289</v>
      </c>
      <c r="K14" s="962"/>
      <c r="L14" s="251"/>
      <c r="O14" s="962"/>
      <c r="R14" s="962"/>
    </row>
    <row r="15" spans="1:105">
      <c r="A15" s="595"/>
      <c r="B15" s="598"/>
      <c r="C15" s="599"/>
      <c r="E15" s="249"/>
      <c r="K15" s="962"/>
      <c r="L15" s="251"/>
      <c r="O15" s="962"/>
      <c r="R15" s="962"/>
    </row>
    <row r="16" spans="1:105">
      <c r="A16" s="595"/>
      <c r="B16" s="598"/>
      <c r="C16" s="599"/>
      <c r="E16" s="1856" t="s">
        <v>290</v>
      </c>
      <c r="F16" s="1857"/>
      <c r="G16" s="1855" t="s">
        <v>291</v>
      </c>
      <c r="H16" s="1855"/>
      <c r="I16" s="1855"/>
      <c r="J16" s="1855"/>
      <c r="K16" s="1855"/>
      <c r="L16" s="1855"/>
      <c r="M16" s="963">
        <v>1</v>
      </c>
      <c r="N16" s="963">
        <v>2</v>
      </c>
      <c r="O16" s="963">
        <v>3</v>
      </c>
      <c r="P16" s="963">
        <v>4</v>
      </c>
      <c r="Q16" s="963">
        <v>5</v>
      </c>
      <c r="R16" s="963">
        <v>6</v>
      </c>
      <c r="S16" s="963">
        <v>7</v>
      </c>
      <c r="T16" s="963">
        <v>8</v>
      </c>
      <c r="U16" s="963">
        <v>9</v>
      </c>
      <c r="V16" s="963">
        <v>10</v>
      </c>
      <c r="W16" s="963">
        <v>11</v>
      </c>
      <c r="X16" s="963">
        <v>12</v>
      </c>
      <c r="Y16" s="963">
        <v>13</v>
      </c>
      <c r="Z16" s="963">
        <v>14</v>
      </c>
      <c r="AA16" s="963">
        <v>15</v>
      </c>
      <c r="AB16" s="963">
        <v>16</v>
      </c>
      <c r="AC16" s="963">
        <v>17</v>
      </c>
      <c r="AD16" s="963">
        <v>18</v>
      </c>
      <c r="AE16" s="963">
        <v>19</v>
      </c>
      <c r="AF16" s="963">
        <v>20</v>
      </c>
      <c r="AG16" s="963">
        <v>21</v>
      </c>
      <c r="AH16" s="963">
        <v>22</v>
      </c>
      <c r="AI16" s="963">
        <v>23</v>
      </c>
      <c r="AJ16" s="963">
        <v>24</v>
      </c>
      <c r="AK16" s="963">
        <v>25</v>
      </c>
      <c r="AL16" s="963">
        <v>26</v>
      </c>
      <c r="AM16" s="963">
        <v>27</v>
      </c>
      <c r="AN16" s="963">
        <v>28</v>
      </c>
      <c r="AO16" s="963">
        <v>29</v>
      </c>
      <c r="AP16" s="963">
        <v>30</v>
      </c>
    </row>
    <row r="17" spans="1:45">
      <c r="A17" s="595"/>
      <c r="B17" s="598"/>
      <c r="C17" s="599"/>
      <c r="E17" s="1858"/>
      <c r="F17" s="1859"/>
      <c r="G17" s="1854" t="s">
        <v>292</v>
      </c>
      <c r="H17" s="1854"/>
      <c r="I17" s="1854"/>
      <c r="J17" s="1854"/>
      <c r="K17" s="1854"/>
      <c r="L17" s="1854"/>
      <c r="M17" s="964">
        <v>500.78</v>
      </c>
      <c r="N17" s="964">
        <v>500.78</v>
      </c>
      <c r="O17" s="964">
        <v>500.78</v>
      </c>
      <c r="P17" s="964">
        <v>500.78</v>
      </c>
      <c r="Q17" s="964">
        <v>500.78</v>
      </c>
      <c r="R17" s="964">
        <v>500.78</v>
      </c>
      <c r="S17" s="964">
        <v>500.78</v>
      </c>
      <c r="T17" s="964">
        <v>500.78</v>
      </c>
      <c r="U17" s="964">
        <v>500.78</v>
      </c>
      <c r="V17" s="964">
        <v>500.78</v>
      </c>
      <c r="W17" s="964">
        <v>500.78</v>
      </c>
      <c r="X17" s="964">
        <v>500.78</v>
      </c>
      <c r="Y17" s="964">
        <v>500.78</v>
      </c>
      <c r="Z17" s="964">
        <v>500.78</v>
      </c>
      <c r="AA17" s="964">
        <v>500.78</v>
      </c>
      <c r="AB17" s="964">
        <v>500.78</v>
      </c>
      <c r="AC17" s="964">
        <v>500.78</v>
      </c>
      <c r="AD17" s="964">
        <v>500.78</v>
      </c>
      <c r="AE17" s="964">
        <v>500.78</v>
      </c>
      <c r="AF17" s="964">
        <v>500.78</v>
      </c>
      <c r="AG17" s="964">
        <v>500.78</v>
      </c>
      <c r="AH17" s="964">
        <v>500.78</v>
      </c>
      <c r="AI17" s="964">
        <v>500.78</v>
      </c>
      <c r="AJ17" s="964">
        <v>500.78</v>
      </c>
      <c r="AK17" s="964">
        <v>500.78</v>
      </c>
      <c r="AL17" s="964">
        <v>500.78</v>
      </c>
      <c r="AM17" s="964">
        <v>500.78</v>
      </c>
      <c r="AN17" s="964">
        <v>500.78</v>
      </c>
      <c r="AO17" s="964">
        <v>500.78</v>
      </c>
      <c r="AP17" s="964">
        <v>500.78</v>
      </c>
    </row>
    <row r="18" spans="1:45">
      <c r="A18" s="595"/>
      <c r="B18" s="598"/>
      <c r="C18" s="599"/>
      <c r="E18" s="1858"/>
      <c r="F18" s="1859"/>
      <c r="G18" s="1854" t="s">
        <v>293</v>
      </c>
      <c r="H18" s="1854"/>
      <c r="I18" s="1854"/>
      <c r="J18" s="1854"/>
      <c r="K18" s="1854"/>
      <c r="L18" s="1854"/>
      <c r="M18" s="963"/>
      <c r="N18" s="963"/>
      <c r="O18" s="963"/>
      <c r="P18" s="963"/>
      <c r="Q18" s="963">
        <v>1</v>
      </c>
      <c r="R18" s="963"/>
      <c r="S18" s="963"/>
      <c r="T18" s="963"/>
      <c r="U18" s="963"/>
      <c r="V18" s="963"/>
      <c r="W18" s="963">
        <v>1</v>
      </c>
      <c r="X18" s="963"/>
      <c r="Y18" s="963"/>
      <c r="Z18" s="963"/>
      <c r="AA18" s="963"/>
      <c r="AB18" s="963"/>
      <c r="AC18" s="963">
        <v>1</v>
      </c>
      <c r="AD18" s="963"/>
      <c r="AE18" s="963"/>
      <c r="AF18" s="963"/>
      <c r="AG18" s="963"/>
      <c r="AH18" s="963"/>
      <c r="AI18" s="963">
        <v>1</v>
      </c>
      <c r="AJ18" s="963"/>
      <c r="AK18" s="963"/>
      <c r="AL18" s="963"/>
      <c r="AM18" s="963"/>
      <c r="AN18" s="963"/>
      <c r="AO18" s="963">
        <v>1</v>
      </c>
      <c r="AP18" s="965"/>
    </row>
    <row r="19" spans="1:45">
      <c r="A19" s="595"/>
      <c r="B19" s="598"/>
      <c r="C19" s="599"/>
      <c r="E19" s="1860"/>
      <c r="F19" s="1861"/>
      <c r="G19" s="1854" t="s">
        <v>294</v>
      </c>
      <c r="H19" s="1854"/>
      <c r="I19" s="1854"/>
      <c r="J19" s="1851">
        <v>10</v>
      </c>
      <c r="K19" s="1852"/>
      <c r="L19" s="1853"/>
      <c r="M19" s="964">
        <f>J19</f>
        <v>10</v>
      </c>
      <c r="N19" s="964">
        <f>J19</f>
        <v>10</v>
      </c>
      <c r="O19" s="964">
        <f t="shared" ref="O19:AP19" si="0">M19</f>
        <v>10</v>
      </c>
      <c r="P19" s="964">
        <f t="shared" si="0"/>
        <v>10</v>
      </c>
      <c r="Q19" s="964">
        <f t="shared" si="0"/>
        <v>10</v>
      </c>
      <c r="R19" s="964">
        <f t="shared" si="0"/>
        <v>10</v>
      </c>
      <c r="S19" s="964">
        <f t="shared" si="0"/>
        <v>10</v>
      </c>
      <c r="T19" s="964">
        <f t="shared" si="0"/>
        <v>10</v>
      </c>
      <c r="U19" s="964">
        <f t="shared" si="0"/>
        <v>10</v>
      </c>
      <c r="V19" s="964">
        <f t="shared" si="0"/>
        <v>10</v>
      </c>
      <c r="W19" s="964">
        <f t="shared" si="0"/>
        <v>10</v>
      </c>
      <c r="X19" s="964">
        <f t="shared" si="0"/>
        <v>10</v>
      </c>
      <c r="Y19" s="964">
        <f t="shared" si="0"/>
        <v>10</v>
      </c>
      <c r="Z19" s="964">
        <f t="shared" si="0"/>
        <v>10</v>
      </c>
      <c r="AA19" s="964">
        <f t="shared" si="0"/>
        <v>10</v>
      </c>
      <c r="AB19" s="964">
        <f t="shared" si="0"/>
        <v>10</v>
      </c>
      <c r="AC19" s="964">
        <f t="shared" si="0"/>
        <v>10</v>
      </c>
      <c r="AD19" s="964">
        <f t="shared" si="0"/>
        <v>10</v>
      </c>
      <c r="AE19" s="964">
        <f t="shared" si="0"/>
        <v>10</v>
      </c>
      <c r="AF19" s="964">
        <f t="shared" si="0"/>
        <v>10</v>
      </c>
      <c r="AG19" s="964">
        <f t="shared" si="0"/>
        <v>10</v>
      </c>
      <c r="AH19" s="964">
        <f t="shared" si="0"/>
        <v>10</v>
      </c>
      <c r="AI19" s="964">
        <f t="shared" si="0"/>
        <v>10</v>
      </c>
      <c r="AJ19" s="964">
        <f t="shared" si="0"/>
        <v>10</v>
      </c>
      <c r="AK19" s="964">
        <f t="shared" si="0"/>
        <v>10</v>
      </c>
      <c r="AL19" s="964">
        <f t="shared" si="0"/>
        <v>10</v>
      </c>
      <c r="AM19" s="964">
        <f t="shared" si="0"/>
        <v>10</v>
      </c>
      <c r="AN19" s="964">
        <f t="shared" si="0"/>
        <v>10</v>
      </c>
      <c r="AO19" s="964">
        <f t="shared" si="0"/>
        <v>10</v>
      </c>
      <c r="AP19" s="964">
        <f t="shared" si="0"/>
        <v>10</v>
      </c>
    </row>
    <row r="20" spans="1:45">
      <c r="A20" s="595"/>
      <c r="B20" s="598"/>
      <c r="C20" s="599"/>
      <c r="D20" s="599"/>
      <c r="E20" s="599"/>
      <c r="F20" s="599"/>
      <c r="G20" s="599"/>
      <c r="H20" s="599"/>
      <c r="I20" s="599"/>
      <c r="J20" s="599"/>
      <c r="K20" s="599"/>
      <c r="L20" s="599"/>
      <c r="M20" s="599"/>
      <c r="N20" s="599"/>
      <c r="O20" s="599"/>
      <c r="P20" s="599"/>
      <c r="Q20" s="599"/>
      <c r="R20" s="599"/>
      <c r="S20" s="599"/>
      <c r="T20" s="599"/>
      <c r="U20" s="599"/>
      <c r="V20" s="599"/>
      <c r="W20" s="599"/>
      <c r="X20" s="599"/>
      <c r="Y20" s="599"/>
      <c r="Z20" s="599"/>
      <c r="AA20" s="599"/>
      <c r="AB20" s="599"/>
      <c r="AC20" s="599"/>
      <c r="AD20" s="599"/>
      <c r="AE20" s="599"/>
      <c r="AF20" s="599"/>
      <c r="AG20" s="599"/>
      <c r="AH20" s="599"/>
      <c r="AI20" s="599"/>
      <c r="AJ20" s="599"/>
      <c r="AK20" s="599"/>
      <c r="AL20" s="599"/>
      <c r="AM20" s="599"/>
      <c r="AN20" s="599"/>
      <c r="AO20" s="599"/>
      <c r="AP20" s="601"/>
      <c r="AR20" s="246"/>
    </row>
    <row r="21" spans="1:45">
      <c r="A21" s="595"/>
      <c r="B21" s="598"/>
      <c r="C21" s="599"/>
      <c r="E21" s="1839" t="s">
        <v>295</v>
      </c>
      <c r="F21" s="1841"/>
      <c r="G21" s="967" t="s">
        <v>296</v>
      </c>
      <c r="H21" s="1862" t="s">
        <v>297</v>
      </c>
      <c r="I21" s="1863"/>
      <c r="J21" s="1862" t="s">
        <v>298</v>
      </c>
      <c r="K21" s="1863"/>
      <c r="L21" s="968"/>
      <c r="M21" s="335"/>
      <c r="N21" s="335"/>
      <c r="O21" s="335"/>
      <c r="P21" s="335"/>
      <c r="Q21" s="335"/>
      <c r="R21" s="335"/>
      <c r="S21" s="335"/>
      <c r="T21" s="335"/>
      <c r="U21" s="335"/>
      <c r="V21" s="335"/>
      <c r="W21" s="335"/>
      <c r="X21" s="335"/>
      <c r="Y21" s="335"/>
      <c r="Z21" s="335"/>
      <c r="AA21" s="335"/>
      <c r="AB21" s="335"/>
      <c r="AC21" s="335"/>
      <c r="AD21" s="335"/>
      <c r="AE21" s="335"/>
      <c r="AF21" s="335"/>
      <c r="AG21" s="335"/>
      <c r="AH21" s="335"/>
      <c r="AI21" s="335"/>
      <c r="AJ21" s="335"/>
      <c r="AK21" s="335"/>
      <c r="AL21" s="335"/>
      <c r="AM21" s="335"/>
      <c r="AN21" s="335"/>
      <c r="AO21" s="335"/>
      <c r="AP21" s="336"/>
    </row>
    <row r="22" spans="1:45">
      <c r="A22" s="595"/>
      <c r="B22" s="598"/>
      <c r="C22" s="599"/>
      <c r="E22" s="1849" t="s">
        <v>299</v>
      </c>
      <c r="F22" s="1850"/>
      <c r="G22" s="969" t="s">
        <v>300</v>
      </c>
      <c r="H22" s="1842" t="s">
        <v>301</v>
      </c>
      <c r="I22" s="1843"/>
      <c r="J22" s="970">
        <v>100</v>
      </c>
      <c r="K22" s="971" t="s">
        <v>302</v>
      </c>
      <c r="L22" s="972">
        <f t="shared" ref="L22:L27" si="1">SUM(M22:AP22)</f>
        <v>2904524</v>
      </c>
      <c r="M22" s="973">
        <f>$J22*M$17*2*$M$12</f>
        <v>0</v>
      </c>
      <c r="N22" s="973">
        <f t="shared" ref="N22:AP23" si="2">$J22*N$17*2</f>
        <v>100156</v>
      </c>
      <c r="O22" s="973">
        <f t="shared" si="2"/>
        <v>100156</v>
      </c>
      <c r="P22" s="973">
        <f t="shared" si="2"/>
        <v>100156</v>
      </c>
      <c r="Q22" s="973">
        <f t="shared" si="2"/>
        <v>100156</v>
      </c>
      <c r="R22" s="973">
        <f t="shared" si="2"/>
        <v>100156</v>
      </c>
      <c r="S22" s="973">
        <f t="shared" si="2"/>
        <v>100156</v>
      </c>
      <c r="T22" s="973">
        <f t="shared" si="2"/>
        <v>100156</v>
      </c>
      <c r="U22" s="973">
        <f t="shared" si="2"/>
        <v>100156</v>
      </c>
      <c r="V22" s="973">
        <f t="shared" si="2"/>
        <v>100156</v>
      </c>
      <c r="W22" s="973">
        <f t="shared" si="2"/>
        <v>100156</v>
      </c>
      <c r="X22" s="973">
        <f t="shared" si="2"/>
        <v>100156</v>
      </c>
      <c r="Y22" s="973">
        <f t="shared" si="2"/>
        <v>100156</v>
      </c>
      <c r="Z22" s="973">
        <f t="shared" si="2"/>
        <v>100156</v>
      </c>
      <c r="AA22" s="973">
        <f t="shared" si="2"/>
        <v>100156</v>
      </c>
      <c r="AB22" s="973">
        <f t="shared" si="2"/>
        <v>100156</v>
      </c>
      <c r="AC22" s="973">
        <f t="shared" si="2"/>
        <v>100156</v>
      </c>
      <c r="AD22" s="973">
        <f t="shared" si="2"/>
        <v>100156</v>
      </c>
      <c r="AE22" s="973">
        <f t="shared" si="2"/>
        <v>100156</v>
      </c>
      <c r="AF22" s="973">
        <f t="shared" si="2"/>
        <v>100156</v>
      </c>
      <c r="AG22" s="973">
        <f t="shared" si="2"/>
        <v>100156</v>
      </c>
      <c r="AH22" s="973">
        <f t="shared" si="2"/>
        <v>100156</v>
      </c>
      <c r="AI22" s="973">
        <f t="shared" si="2"/>
        <v>100156</v>
      </c>
      <c r="AJ22" s="973">
        <f t="shared" si="2"/>
        <v>100156</v>
      </c>
      <c r="AK22" s="973">
        <f t="shared" si="2"/>
        <v>100156</v>
      </c>
      <c r="AL22" s="973">
        <f t="shared" si="2"/>
        <v>100156</v>
      </c>
      <c r="AM22" s="973">
        <f t="shared" si="2"/>
        <v>100156</v>
      </c>
      <c r="AN22" s="973">
        <f t="shared" si="2"/>
        <v>100156</v>
      </c>
      <c r="AO22" s="973">
        <f t="shared" si="2"/>
        <v>100156</v>
      </c>
      <c r="AP22" s="973">
        <f t="shared" si="2"/>
        <v>100156</v>
      </c>
      <c r="AR22" s="333"/>
      <c r="AS22" s="253"/>
    </row>
    <row r="23" spans="1:45">
      <c r="A23" s="595"/>
      <c r="B23" s="598"/>
      <c r="C23" s="599"/>
      <c r="E23" s="1849" t="s">
        <v>303</v>
      </c>
      <c r="F23" s="1850"/>
      <c r="G23" s="969" t="s">
        <v>304</v>
      </c>
      <c r="H23" s="1842" t="s">
        <v>301</v>
      </c>
      <c r="I23" s="1843"/>
      <c r="J23" s="970">
        <v>100</v>
      </c>
      <c r="K23" s="971" t="s">
        <v>302</v>
      </c>
      <c r="L23" s="972">
        <f t="shared" si="1"/>
        <v>2904524</v>
      </c>
      <c r="M23" s="973">
        <f>$J23*M$17*2*$M$12</f>
        <v>0</v>
      </c>
      <c r="N23" s="973">
        <f t="shared" si="2"/>
        <v>100156</v>
      </c>
      <c r="O23" s="973">
        <f t="shared" si="2"/>
        <v>100156</v>
      </c>
      <c r="P23" s="973">
        <f t="shared" si="2"/>
        <v>100156</v>
      </c>
      <c r="Q23" s="973">
        <f t="shared" si="2"/>
        <v>100156</v>
      </c>
      <c r="R23" s="973">
        <f t="shared" si="2"/>
        <v>100156</v>
      </c>
      <c r="S23" s="973">
        <f t="shared" si="2"/>
        <v>100156</v>
      </c>
      <c r="T23" s="973">
        <f t="shared" si="2"/>
        <v>100156</v>
      </c>
      <c r="U23" s="973">
        <f t="shared" si="2"/>
        <v>100156</v>
      </c>
      <c r="V23" s="973">
        <f t="shared" si="2"/>
        <v>100156</v>
      </c>
      <c r="W23" s="973">
        <f t="shared" si="2"/>
        <v>100156</v>
      </c>
      <c r="X23" s="973">
        <f t="shared" si="2"/>
        <v>100156</v>
      </c>
      <c r="Y23" s="973">
        <f t="shared" si="2"/>
        <v>100156</v>
      </c>
      <c r="Z23" s="973">
        <f t="shared" si="2"/>
        <v>100156</v>
      </c>
      <c r="AA23" s="973">
        <f t="shared" si="2"/>
        <v>100156</v>
      </c>
      <c r="AB23" s="973">
        <f t="shared" si="2"/>
        <v>100156</v>
      </c>
      <c r="AC23" s="973">
        <f t="shared" si="2"/>
        <v>100156</v>
      </c>
      <c r="AD23" s="973">
        <f t="shared" si="2"/>
        <v>100156</v>
      </c>
      <c r="AE23" s="973">
        <f t="shared" si="2"/>
        <v>100156</v>
      </c>
      <c r="AF23" s="973">
        <f t="shared" si="2"/>
        <v>100156</v>
      </c>
      <c r="AG23" s="973">
        <f t="shared" si="2"/>
        <v>100156</v>
      </c>
      <c r="AH23" s="973">
        <f t="shared" si="2"/>
        <v>100156</v>
      </c>
      <c r="AI23" s="973">
        <f t="shared" si="2"/>
        <v>100156</v>
      </c>
      <c r="AJ23" s="973">
        <f t="shared" si="2"/>
        <v>100156</v>
      </c>
      <c r="AK23" s="973">
        <f t="shared" si="2"/>
        <v>100156</v>
      </c>
      <c r="AL23" s="973">
        <f t="shared" si="2"/>
        <v>100156</v>
      </c>
      <c r="AM23" s="973">
        <f t="shared" si="2"/>
        <v>100156</v>
      </c>
      <c r="AN23" s="973">
        <f t="shared" si="2"/>
        <v>100156</v>
      </c>
      <c r="AO23" s="973">
        <f t="shared" si="2"/>
        <v>100156</v>
      </c>
      <c r="AP23" s="973">
        <f t="shared" si="2"/>
        <v>100156</v>
      </c>
      <c r="AR23" s="333"/>
      <c r="AS23" s="253"/>
    </row>
    <row r="24" spans="1:45">
      <c r="A24" s="595"/>
      <c r="B24" s="598"/>
      <c r="C24" s="599"/>
      <c r="E24" s="1849" t="s">
        <v>305</v>
      </c>
      <c r="F24" s="1850"/>
      <c r="G24" s="969" t="s">
        <v>306</v>
      </c>
      <c r="H24" s="1842" t="s">
        <v>307</v>
      </c>
      <c r="I24" s="1843"/>
      <c r="J24" s="970">
        <v>100</v>
      </c>
      <c r="K24" s="971" t="s">
        <v>302</v>
      </c>
      <c r="L24" s="972">
        <f t="shared" si="1"/>
        <v>500780</v>
      </c>
      <c r="M24" s="973">
        <f>M18*$J24*M$17*2*$M$12</f>
        <v>0</v>
      </c>
      <c r="N24" s="973">
        <f t="shared" ref="N24:AP24" si="3">N18*$J24*N$17*2</f>
        <v>0</v>
      </c>
      <c r="O24" s="973">
        <f t="shared" si="3"/>
        <v>0</v>
      </c>
      <c r="P24" s="973">
        <f t="shared" si="3"/>
        <v>0</v>
      </c>
      <c r="Q24" s="973">
        <f t="shared" si="3"/>
        <v>100156</v>
      </c>
      <c r="R24" s="973">
        <f t="shared" si="3"/>
        <v>0</v>
      </c>
      <c r="S24" s="973">
        <f t="shared" si="3"/>
        <v>0</v>
      </c>
      <c r="T24" s="973">
        <f t="shared" si="3"/>
        <v>0</v>
      </c>
      <c r="U24" s="973">
        <f t="shared" si="3"/>
        <v>0</v>
      </c>
      <c r="V24" s="973">
        <f t="shared" si="3"/>
        <v>0</v>
      </c>
      <c r="W24" s="973">
        <f t="shared" si="3"/>
        <v>100156</v>
      </c>
      <c r="X24" s="973">
        <f t="shared" si="3"/>
        <v>0</v>
      </c>
      <c r="Y24" s="973">
        <f t="shared" si="3"/>
        <v>0</v>
      </c>
      <c r="Z24" s="973">
        <f t="shared" si="3"/>
        <v>0</v>
      </c>
      <c r="AA24" s="973">
        <f t="shared" si="3"/>
        <v>0</v>
      </c>
      <c r="AB24" s="973">
        <f t="shared" si="3"/>
        <v>0</v>
      </c>
      <c r="AC24" s="973">
        <f t="shared" si="3"/>
        <v>100156</v>
      </c>
      <c r="AD24" s="973">
        <f t="shared" si="3"/>
        <v>0</v>
      </c>
      <c r="AE24" s="973">
        <f t="shared" si="3"/>
        <v>0</v>
      </c>
      <c r="AF24" s="973">
        <f t="shared" si="3"/>
        <v>0</v>
      </c>
      <c r="AG24" s="973">
        <f t="shared" si="3"/>
        <v>0</v>
      </c>
      <c r="AH24" s="973">
        <f t="shared" si="3"/>
        <v>0</v>
      </c>
      <c r="AI24" s="973">
        <f t="shared" si="3"/>
        <v>100156</v>
      </c>
      <c r="AJ24" s="973">
        <f t="shared" si="3"/>
        <v>0</v>
      </c>
      <c r="AK24" s="973">
        <f t="shared" si="3"/>
        <v>0</v>
      </c>
      <c r="AL24" s="973">
        <f t="shared" si="3"/>
        <v>0</v>
      </c>
      <c r="AM24" s="973">
        <f t="shared" si="3"/>
        <v>0</v>
      </c>
      <c r="AN24" s="973">
        <f t="shared" si="3"/>
        <v>0</v>
      </c>
      <c r="AO24" s="973">
        <f t="shared" si="3"/>
        <v>100156</v>
      </c>
      <c r="AP24" s="973">
        <f t="shared" si="3"/>
        <v>0</v>
      </c>
      <c r="AR24" s="333"/>
      <c r="AS24" s="253"/>
    </row>
    <row r="25" spans="1:45">
      <c r="A25" s="595"/>
      <c r="B25" s="598"/>
      <c r="C25" s="599"/>
      <c r="E25" s="1849" t="s">
        <v>308</v>
      </c>
      <c r="F25" s="1850"/>
      <c r="G25" s="969" t="s">
        <v>309</v>
      </c>
      <c r="H25" s="1842" t="s">
        <v>301</v>
      </c>
      <c r="I25" s="1843"/>
      <c r="J25" s="970">
        <v>17.45</v>
      </c>
      <c r="K25" s="971" t="s">
        <v>302</v>
      </c>
      <c r="L25" s="972">
        <f t="shared" si="1"/>
        <v>506839.43800000014</v>
      </c>
      <c r="M25" s="973">
        <f>$J25*M$17*2*$M$12</f>
        <v>0</v>
      </c>
      <c r="N25" s="973">
        <f t="shared" ref="N25:AP25" si="4">$J25*N$17*2</f>
        <v>17477.221999999998</v>
      </c>
      <c r="O25" s="973">
        <f t="shared" si="4"/>
        <v>17477.221999999998</v>
      </c>
      <c r="P25" s="973">
        <f t="shared" si="4"/>
        <v>17477.221999999998</v>
      </c>
      <c r="Q25" s="973">
        <f t="shared" si="4"/>
        <v>17477.221999999998</v>
      </c>
      <c r="R25" s="973">
        <f t="shared" si="4"/>
        <v>17477.221999999998</v>
      </c>
      <c r="S25" s="973">
        <f t="shared" si="4"/>
        <v>17477.221999999998</v>
      </c>
      <c r="T25" s="973">
        <f t="shared" si="4"/>
        <v>17477.221999999998</v>
      </c>
      <c r="U25" s="973">
        <f t="shared" si="4"/>
        <v>17477.221999999998</v>
      </c>
      <c r="V25" s="973">
        <f t="shared" si="4"/>
        <v>17477.221999999998</v>
      </c>
      <c r="W25" s="973">
        <f t="shared" si="4"/>
        <v>17477.221999999998</v>
      </c>
      <c r="X25" s="973">
        <f t="shared" si="4"/>
        <v>17477.221999999998</v>
      </c>
      <c r="Y25" s="973">
        <f t="shared" si="4"/>
        <v>17477.221999999998</v>
      </c>
      <c r="Z25" s="973">
        <f t="shared" si="4"/>
        <v>17477.221999999998</v>
      </c>
      <c r="AA25" s="973">
        <f t="shared" si="4"/>
        <v>17477.221999999998</v>
      </c>
      <c r="AB25" s="973">
        <f t="shared" si="4"/>
        <v>17477.221999999998</v>
      </c>
      <c r="AC25" s="973">
        <f t="shared" si="4"/>
        <v>17477.221999999998</v>
      </c>
      <c r="AD25" s="973">
        <f t="shared" si="4"/>
        <v>17477.221999999998</v>
      </c>
      <c r="AE25" s="973">
        <f t="shared" si="4"/>
        <v>17477.221999999998</v>
      </c>
      <c r="AF25" s="973">
        <f t="shared" si="4"/>
        <v>17477.221999999998</v>
      </c>
      <c r="AG25" s="973">
        <f t="shared" si="4"/>
        <v>17477.221999999998</v>
      </c>
      <c r="AH25" s="973">
        <f t="shared" si="4"/>
        <v>17477.221999999998</v>
      </c>
      <c r="AI25" s="973">
        <f t="shared" si="4"/>
        <v>17477.221999999998</v>
      </c>
      <c r="AJ25" s="973">
        <f t="shared" si="4"/>
        <v>17477.221999999998</v>
      </c>
      <c r="AK25" s="973">
        <f t="shared" si="4"/>
        <v>17477.221999999998</v>
      </c>
      <c r="AL25" s="973">
        <f t="shared" si="4"/>
        <v>17477.221999999998</v>
      </c>
      <c r="AM25" s="973">
        <f t="shared" si="4"/>
        <v>17477.221999999998</v>
      </c>
      <c r="AN25" s="973">
        <f t="shared" si="4"/>
        <v>17477.221999999998</v>
      </c>
      <c r="AO25" s="973">
        <f t="shared" si="4"/>
        <v>17477.221999999998</v>
      </c>
      <c r="AP25" s="973">
        <f t="shared" si="4"/>
        <v>17477.221999999998</v>
      </c>
      <c r="AR25" s="333"/>
      <c r="AS25" s="253"/>
    </row>
    <row r="26" spans="1:45">
      <c r="A26" s="595"/>
      <c r="B26" s="598"/>
      <c r="C26" s="599"/>
      <c r="E26" s="1849" t="s">
        <v>310</v>
      </c>
      <c r="F26" s="1850"/>
      <c r="G26" s="969" t="s">
        <v>311</v>
      </c>
      <c r="H26" s="1842" t="s">
        <v>301</v>
      </c>
      <c r="I26" s="1843"/>
      <c r="J26" s="974">
        <v>15132.12</v>
      </c>
      <c r="K26" s="975" t="s">
        <v>312</v>
      </c>
      <c r="L26" s="972">
        <f t="shared" si="1"/>
        <v>438831.47999999992</v>
      </c>
      <c r="M26" s="973">
        <f>$J26*M12</f>
        <v>0</v>
      </c>
      <c r="N26" s="973">
        <f t="shared" ref="N26:AP26" si="5">$J26</f>
        <v>15132.12</v>
      </c>
      <c r="O26" s="973">
        <f t="shared" si="5"/>
        <v>15132.12</v>
      </c>
      <c r="P26" s="973">
        <f t="shared" si="5"/>
        <v>15132.12</v>
      </c>
      <c r="Q26" s="973">
        <f t="shared" si="5"/>
        <v>15132.12</v>
      </c>
      <c r="R26" s="973">
        <f t="shared" si="5"/>
        <v>15132.12</v>
      </c>
      <c r="S26" s="973">
        <f t="shared" si="5"/>
        <v>15132.12</v>
      </c>
      <c r="T26" s="973">
        <f t="shared" si="5"/>
        <v>15132.12</v>
      </c>
      <c r="U26" s="973">
        <f t="shared" si="5"/>
        <v>15132.12</v>
      </c>
      <c r="V26" s="973">
        <f t="shared" si="5"/>
        <v>15132.12</v>
      </c>
      <c r="W26" s="973">
        <f t="shared" si="5"/>
        <v>15132.12</v>
      </c>
      <c r="X26" s="973">
        <f t="shared" si="5"/>
        <v>15132.12</v>
      </c>
      <c r="Y26" s="973">
        <f t="shared" si="5"/>
        <v>15132.12</v>
      </c>
      <c r="Z26" s="973">
        <f t="shared" si="5"/>
        <v>15132.12</v>
      </c>
      <c r="AA26" s="973">
        <f t="shared" si="5"/>
        <v>15132.12</v>
      </c>
      <c r="AB26" s="973">
        <f t="shared" si="5"/>
        <v>15132.12</v>
      </c>
      <c r="AC26" s="973">
        <f t="shared" si="5"/>
        <v>15132.12</v>
      </c>
      <c r="AD26" s="973">
        <f t="shared" si="5"/>
        <v>15132.12</v>
      </c>
      <c r="AE26" s="973">
        <f t="shared" si="5"/>
        <v>15132.12</v>
      </c>
      <c r="AF26" s="973">
        <f t="shared" si="5"/>
        <v>15132.12</v>
      </c>
      <c r="AG26" s="973">
        <f t="shared" si="5"/>
        <v>15132.12</v>
      </c>
      <c r="AH26" s="973">
        <f t="shared" si="5"/>
        <v>15132.12</v>
      </c>
      <c r="AI26" s="973">
        <f t="shared" si="5"/>
        <v>15132.12</v>
      </c>
      <c r="AJ26" s="973">
        <f t="shared" si="5"/>
        <v>15132.12</v>
      </c>
      <c r="AK26" s="973">
        <f t="shared" si="5"/>
        <v>15132.12</v>
      </c>
      <c r="AL26" s="973">
        <f t="shared" si="5"/>
        <v>15132.12</v>
      </c>
      <c r="AM26" s="973">
        <f t="shared" si="5"/>
        <v>15132.12</v>
      </c>
      <c r="AN26" s="973">
        <f t="shared" si="5"/>
        <v>15132.12</v>
      </c>
      <c r="AO26" s="973">
        <f t="shared" si="5"/>
        <v>15132.12</v>
      </c>
      <c r="AP26" s="973">
        <f t="shared" si="5"/>
        <v>15132.12</v>
      </c>
      <c r="AR26" s="333"/>
      <c r="AS26" s="253"/>
    </row>
    <row r="27" spans="1:45">
      <c r="A27" s="595"/>
      <c r="B27" s="598"/>
      <c r="C27" s="599"/>
      <c r="D27" s="254"/>
      <c r="E27" s="1846" t="s">
        <v>313</v>
      </c>
      <c r="F27" s="1847"/>
      <c r="G27" s="1847"/>
      <c r="H27" s="1847"/>
      <c r="I27" s="1847"/>
      <c r="J27" s="1847"/>
      <c r="K27" s="1848"/>
      <c r="L27" s="977">
        <f t="shared" si="1"/>
        <v>7255498.9180000033</v>
      </c>
      <c r="M27" s="973">
        <f t="shared" ref="M27:AP27" si="6">SUBTOTAL(9,M22:M26)</f>
        <v>0</v>
      </c>
      <c r="N27" s="973">
        <f t="shared" si="6"/>
        <v>232921.342</v>
      </c>
      <c r="O27" s="973">
        <f t="shared" si="6"/>
        <v>232921.342</v>
      </c>
      <c r="P27" s="973">
        <f t="shared" si="6"/>
        <v>232921.342</v>
      </c>
      <c r="Q27" s="973">
        <f t="shared" si="6"/>
        <v>333077.342</v>
      </c>
      <c r="R27" s="973">
        <f t="shared" si="6"/>
        <v>232921.342</v>
      </c>
      <c r="S27" s="973">
        <f t="shared" si="6"/>
        <v>232921.342</v>
      </c>
      <c r="T27" s="973">
        <f t="shared" si="6"/>
        <v>232921.342</v>
      </c>
      <c r="U27" s="973">
        <f t="shared" si="6"/>
        <v>232921.342</v>
      </c>
      <c r="V27" s="973">
        <f t="shared" si="6"/>
        <v>232921.342</v>
      </c>
      <c r="W27" s="973">
        <f t="shared" si="6"/>
        <v>333077.342</v>
      </c>
      <c r="X27" s="973">
        <f t="shared" si="6"/>
        <v>232921.342</v>
      </c>
      <c r="Y27" s="973">
        <f t="shared" si="6"/>
        <v>232921.342</v>
      </c>
      <c r="Z27" s="973">
        <f t="shared" si="6"/>
        <v>232921.342</v>
      </c>
      <c r="AA27" s="973">
        <f t="shared" si="6"/>
        <v>232921.342</v>
      </c>
      <c r="AB27" s="973">
        <f t="shared" si="6"/>
        <v>232921.342</v>
      </c>
      <c r="AC27" s="973">
        <f t="shared" si="6"/>
        <v>333077.342</v>
      </c>
      <c r="AD27" s="973">
        <f t="shared" si="6"/>
        <v>232921.342</v>
      </c>
      <c r="AE27" s="973">
        <f t="shared" si="6"/>
        <v>232921.342</v>
      </c>
      <c r="AF27" s="973">
        <f t="shared" si="6"/>
        <v>232921.342</v>
      </c>
      <c r="AG27" s="973">
        <f t="shared" si="6"/>
        <v>232921.342</v>
      </c>
      <c r="AH27" s="973">
        <f t="shared" si="6"/>
        <v>232921.342</v>
      </c>
      <c r="AI27" s="973">
        <f t="shared" si="6"/>
        <v>333077.342</v>
      </c>
      <c r="AJ27" s="973">
        <f t="shared" si="6"/>
        <v>232921.342</v>
      </c>
      <c r="AK27" s="973">
        <f t="shared" si="6"/>
        <v>232921.342</v>
      </c>
      <c r="AL27" s="973">
        <f t="shared" si="6"/>
        <v>232921.342</v>
      </c>
      <c r="AM27" s="973">
        <f t="shared" si="6"/>
        <v>232921.342</v>
      </c>
      <c r="AN27" s="973">
        <f t="shared" si="6"/>
        <v>232921.342</v>
      </c>
      <c r="AO27" s="973">
        <f t="shared" si="6"/>
        <v>333077.342</v>
      </c>
      <c r="AP27" s="973">
        <f t="shared" si="6"/>
        <v>232921.342</v>
      </c>
      <c r="AR27" s="333"/>
      <c r="AS27" s="253"/>
    </row>
    <row r="28" spans="1:45">
      <c r="A28" s="595"/>
      <c r="B28" s="598"/>
      <c r="C28" s="599"/>
      <c r="D28" s="599"/>
      <c r="E28" s="599"/>
      <c r="F28" s="599"/>
      <c r="G28" s="599"/>
      <c r="H28" s="599"/>
      <c r="I28" s="599"/>
      <c r="J28" s="599"/>
      <c r="K28" s="599"/>
      <c r="L28" s="599"/>
      <c r="M28" s="599"/>
      <c r="N28" s="599"/>
      <c r="O28" s="599"/>
      <c r="P28" s="599"/>
      <c r="Q28" s="599"/>
      <c r="R28" s="599"/>
      <c r="S28" s="599"/>
      <c r="T28" s="599"/>
      <c r="U28" s="599"/>
      <c r="V28" s="599"/>
      <c r="W28" s="599"/>
      <c r="X28" s="599"/>
      <c r="Y28" s="599"/>
      <c r="Z28" s="599"/>
      <c r="AA28" s="599"/>
      <c r="AB28" s="599"/>
      <c r="AC28" s="599"/>
      <c r="AD28" s="599"/>
      <c r="AE28" s="599"/>
      <c r="AF28" s="599"/>
      <c r="AG28" s="599"/>
      <c r="AH28" s="599"/>
      <c r="AI28" s="599"/>
      <c r="AJ28" s="599"/>
      <c r="AK28" s="599"/>
      <c r="AL28" s="599"/>
      <c r="AM28" s="599"/>
      <c r="AN28" s="599"/>
      <c r="AO28" s="599"/>
      <c r="AP28" s="978"/>
      <c r="AR28" s="333"/>
      <c r="AS28" s="253"/>
    </row>
    <row r="29" spans="1:45">
      <c r="A29" s="595"/>
      <c r="B29" s="598"/>
      <c r="C29" s="599"/>
      <c r="E29" s="979" t="s">
        <v>141</v>
      </c>
      <c r="F29" s="980"/>
      <c r="G29" s="980"/>
      <c r="H29" s="980"/>
      <c r="I29" s="980"/>
      <c r="J29" s="980"/>
      <c r="K29" s="980"/>
      <c r="L29" s="980"/>
      <c r="M29" s="981"/>
      <c r="N29" s="980"/>
      <c r="O29" s="980"/>
      <c r="P29" s="980"/>
      <c r="Q29" s="980"/>
      <c r="R29" s="980"/>
      <c r="S29" s="980"/>
      <c r="T29" s="980"/>
      <c r="U29" s="980"/>
      <c r="V29" s="980"/>
      <c r="W29" s="980"/>
      <c r="X29" s="980"/>
      <c r="Y29" s="980"/>
      <c r="Z29" s="980"/>
      <c r="AA29" s="980"/>
      <c r="AB29" s="980"/>
      <c r="AC29" s="980"/>
      <c r="AD29" s="980"/>
      <c r="AE29" s="980"/>
      <c r="AF29" s="980"/>
      <c r="AG29" s="980"/>
      <c r="AH29" s="980"/>
      <c r="AI29" s="980"/>
      <c r="AJ29" s="980"/>
      <c r="AK29" s="980"/>
      <c r="AL29" s="980"/>
      <c r="AM29" s="980"/>
      <c r="AN29" s="980"/>
      <c r="AO29" s="980"/>
      <c r="AP29" s="982"/>
      <c r="AR29" s="333"/>
      <c r="AS29" s="253"/>
    </row>
    <row r="30" spans="1:45">
      <c r="A30" s="595"/>
      <c r="B30" s="598"/>
      <c r="C30" s="599"/>
      <c r="D30" s="254"/>
      <c r="E30" s="1844" t="s">
        <v>314</v>
      </c>
      <c r="F30" s="1845"/>
      <c r="G30" s="969" t="s">
        <v>315</v>
      </c>
      <c r="H30" s="1842" t="s">
        <v>301</v>
      </c>
      <c r="I30" s="1843"/>
      <c r="J30" s="983">
        <v>72</v>
      </c>
      <c r="K30" s="975" t="s">
        <v>316</v>
      </c>
      <c r="L30" s="972">
        <f>SUM(M30:AP30)</f>
        <v>1045628.6400000002</v>
      </c>
      <c r="M30" s="973">
        <f>$J30*M$17*M12</f>
        <v>0</v>
      </c>
      <c r="N30" s="973">
        <f t="shared" ref="N30:AP32" si="7">$J30*N$17</f>
        <v>36056.159999999996</v>
      </c>
      <c r="O30" s="973">
        <f t="shared" si="7"/>
        <v>36056.159999999996</v>
      </c>
      <c r="P30" s="973">
        <f t="shared" si="7"/>
        <v>36056.159999999996</v>
      </c>
      <c r="Q30" s="973">
        <f t="shared" si="7"/>
        <v>36056.159999999996</v>
      </c>
      <c r="R30" s="973">
        <f t="shared" si="7"/>
        <v>36056.159999999996</v>
      </c>
      <c r="S30" s="973">
        <f t="shared" si="7"/>
        <v>36056.159999999996</v>
      </c>
      <c r="T30" s="973">
        <f t="shared" si="7"/>
        <v>36056.159999999996</v>
      </c>
      <c r="U30" s="973">
        <f t="shared" si="7"/>
        <v>36056.159999999996</v>
      </c>
      <c r="V30" s="973">
        <f t="shared" si="7"/>
        <v>36056.159999999996</v>
      </c>
      <c r="W30" s="973">
        <f t="shared" si="7"/>
        <v>36056.159999999996</v>
      </c>
      <c r="X30" s="973">
        <f t="shared" si="7"/>
        <v>36056.159999999996</v>
      </c>
      <c r="Y30" s="973">
        <f t="shared" si="7"/>
        <v>36056.159999999996</v>
      </c>
      <c r="Z30" s="973">
        <f t="shared" si="7"/>
        <v>36056.159999999996</v>
      </c>
      <c r="AA30" s="973">
        <f t="shared" si="7"/>
        <v>36056.159999999996</v>
      </c>
      <c r="AB30" s="973">
        <f t="shared" si="7"/>
        <v>36056.159999999996</v>
      </c>
      <c r="AC30" s="973">
        <f t="shared" si="7"/>
        <v>36056.159999999996</v>
      </c>
      <c r="AD30" s="973">
        <f t="shared" si="7"/>
        <v>36056.159999999996</v>
      </c>
      <c r="AE30" s="973">
        <f t="shared" si="7"/>
        <v>36056.159999999996</v>
      </c>
      <c r="AF30" s="973">
        <f t="shared" si="7"/>
        <v>36056.159999999996</v>
      </c>
      <c r="AG30" s="973">
        <f t="shared" si="7"/>
        <v>36056.159999999996</v>
      </c>
      <c r="AH30" s="973">
        <f t="shared" si="7"/>
        <v>36056.159999999996</v>
      </c>
      <c r="AI30" s="973">
        <f t="shared" si="7"/>
        <v>36056.159999999996</v>
      </c>
      <c r="AJ30" s="973">
        <f t="shared" si="7"/>
        <v>36056.159999999996</v>
      </c>
      <c r="AK30" s="973">
        <f t="shared" si="7"/>
        <v>36056.159999999996</v>
      </c>
      <c r="AL30" s="973">
        <f t="shared" si="7"/>
        <v>36056.159999999996</v>
      </c>
      <c r="AM30" s="973">
        <f t="shared" si="7"/>
        <v>36056.159999999996</v>
      </c>
      <c r="AN30" s="973">
        <f t="shared" si="7"/>
        <v>36056.159999999996</v>
      </c>
      <c r="AO30" s="973">
        <f t="shared" si="7"/>
        <v>36056.159999999996</v>
      </c>
      <c r="AP30" s="973">
        <f t="shared" si="7"/>
        <v>36056.159999999996</v>
      </c>
      <c r="AR30" s="333"/>
      <c r="AS30" s="253"/>
    </row>
    <row r="31" spans="1:45">
      <c r="A31" s="595"/>
      <c r="B31" s="598"/>
      <c r="C31" s="599"/>
      <c r="D31" s="254"/>
      <c r="E31" s="1844" t="s">
        <v>317</v>
      </c>
      <c r="F31" s="1845"/>
      <c r="G31" s="969" t="s">
        <v>318</v>
      </c>
      <c r="H31" s="1842" t="s">
        <v>301</v>
      </c>
      <c r="I31" s="1843"/>
      <c r="J31" s="983">
        <v>72</v>
      </c>
      <c r="K31" s="975" t="s">
        <v>316</v>
      </c>
      <c r="L31" s="972">
        <f>SUM(M31:AP31)</f>
        <v>1045628.6400000002</v>
      </c>
      <c r="M31" s="973">
        <f>$J31*M$17*M12</f>
        <v>0</v>
      </c>
      <c r="N31" s="973">
        <f t="shared" si="7"/>
        <v>36056.159999999996</v>
      </c>
      <c r="O31" s="973">
        <f t="shared" si="7"/>
        <v>36056.159999999996</v>
      </c>
      <c r="P31" s="973">
        <f t="shared" si="7"/>
        <v>36056.159999999996</v>
      </c>
      <c r="Q31" s="973">
        <f t="shared" si="7"/>
        <v>36056.159999999996</v>
      </c>
      <c r="R31" s="973">
        <f t="shared" si="7"/>
        <v>36056.159999999996</v>
      </c>
      <c r="S31" s="973">
        <f t="shared" si="7"/>
        <v>36056.159999999996</v>
      </c>
      <c r="T31" s="973">
        <f t="shared" si="7"/>
        <v>36056.159999999996</v>
      </c>
      <c r="U31" s="973">
        <f t="shared" si="7"/>
        <v>36056.159999999996</v>
      </c>
      <c r="V31" s="973">
        <f t="shared" si="7"/>
        <v>36056.159999999996</v>
      </c>
      <c r="W31" s="973">
        <f t="shared" si="7"/>
        <v>36056.159999999996</v>
      </c>
      <c r="X31" s="973">
        <f t="shared" si="7"/>
        <v>36056.159999999996</v>
      </c>
      <c r="Y31" s="973">
        <f t="shared" si="7"/>
        <v>36056.159999999996</v>
      </c>
      <c r="Z31" s="973">
        <f t="shared" si="7"/>
        <v>36056.159999999996</v>
      </c>
      <c r="AA31" s="973">
        <f t="shared" si="7"/>
        <v>36056.159999999996</v>
      </c>
      <c r="AB31" s="973">
        <f t="shared" si="7"/>
        <v>36056.159999999996</v>
      </c>
      <c r="AC31" s="973">
        <f t="shared" si="7"/>
        <v>36056.159999999996</v>
      </c>
      <c r="AD31" s="973">
        <f t="shared" si="7"/>
        <v>36056.159999999996</v>
      </c>
      <c r="AE31" s="973">
        <f t="shared" si="7"/>
        <v>36056.159999999996</v>
      </c>
      <c r="AF31" s="973">
        <f t="shared" si="7"/>
        <v>36056.159999999996</v>
      </c>
      <c r="AG31" s="973">
        <f t="shared" si="7"/>
        <v>36056.159999999996</v>
      </c>
      <c r="AH31" s="973">
        <f t="shared" si="7"/>
        <v>36056.159999999996</v>
      </c>
      <c r="AI31" s="973">
        <f t="shared" si="7"/>
        <v>36056.159999999996</v>
      </c>
      <c r="AJ31" s="973">
        <f t="shared" si="7"/>
        <v>36056.159999999996</v>
      </c>
      <c r="AK31" s="973">
        <f t="shared" si="7"/>
        <v>36056.159999999996</v>
      </c>
      <c r="AL31" s="973">
        <f t="shared" si="7"/>
        <v>36056.159999999996</v>
      </c>
      <c r="AM31" s="973">
        <f t="shared" si="7"/>
        <v>36056.159999999996</v>
      </c>
      <c r="AN31" s="973">
        <f t="shared" si="7"/>
        <v>36056.159999999996</v>
      </c>
      <c r="AO31" s="973">
        <f t="shared" si="7"/>
        <v>36056.159999999996</v>
      </c>
      <c r="AP31" s="973">
        <f t="shared" si="7"/>
        <v>36056.159999999996</v>
      </c>
      <c r="AR31" s="333"/>
      <c r="AS31" s="253"/>
    </row>
    <row r="32" spans="1:45">
      <c r="A32" s="595"/>
      <c r="B32" s="598"/>
      <c r="C32" s="599"/>
      <c r="D32" s="254"/>
      <c r="E32" s="1844" t="s">
        <v>319</v>
      </c>
      <c r="F32" s="1845"/>
      <c r="G32" s="969" t="s">
        <v>318</v>
      </c>
      <c r="H32" s="1842" t="s">
        <v>301</v>
      </c>
      <c r="I32" s="1843"/>
      <c r="J32" s="983">
        <v>72</v>
      </c>
      <c r="K32" s="975" t="s">
        <v>316</v>
      </c>
      <c r="L32" s="972">
        <f>SUM(M32:AP32)</f>
        <v>1045628.6400000002</v>
      </c>
      <c r="M32" s="973">
        <f>$J32*M$17*M12</f>
        <v>0</v>
      </c>
      <c r="N32" s="973">
        <f t="shared" si="7"/>
        <v>36056.159999999996</v>
      </c>
      <c r="O32" s="973">
        <f t="shared" si="7"/>
        <v>36056.159999999996</v>
      </c>
      <c r="P32" s="973">
        <f t="shared" si="7"/>
        <v>36056.159999999996</v>
      </c>
      <c r="Q32" s="973">
        <f t="shared" si="7"/>
        <v>36056.159999999996</v>
      </c>
      <c r="R32" s="973">
        <f t="shared" si="7"/>
        <v>36056.159999999996</v>
      </c>
      <c r="S32" s="973">
        <f t="shared" si="7"/>
        <v>36056.159999999996</v>
      </c>
      <c r="T32" s="973">
        <f t="shared" si="7"/>
        <v>36056.159999999996</v>
      </c>
      <c r="U32" s="973">
        <f t="shared" si="7"/>
        <v>36056.159999999996</v>
      </c>
      <c r="V32" s="973">
        <f t="shared" si="7"/>
        <v>36056.159999999996</v>
      </c>
      <c r="W32" s="973">
        <f t="shared" si="7"/>
        <v>36056.159999999996</v>
      </c>
      <c r="X32" s="973">
        <f t="shared" si="7"/>
        <v>36056.159999999996</v>
      </c>
      <c r="Y32" s="973">
        <f t="shared" si="7"/>
        <v>36056.159999999996</v>
      </c>
      <c r="Z32" s="973">
        <f t="shared" si="7"/>
        <v>36056.159999999996</v>
      </c>
      <c r="AA32" s="973">
        <f t="shared" si="7"/>
        <v>36056.159999999996</v>
      </c>
      <c r="AB32" s="973">
        <f t="shared" si="7"/>
        <v>36056.159999999996</v>
      </c>
      <c r="AC32" s="973">
        <f t="shared" si="7"/>
        <v>36056.159999999996</v>
      </c>
      <c r="AD32" s="973">
        <f t="shared" si="7"/>
        <v>36056.159999999996</v>
      </c>
      <c r="AE32" s="973">
        <f t="shared" si="7"/>
        <v>36056.159999999996</v>
      </c>
      <c r="AF32" s="973">
        <f t="shared" si="7"/>
        <v>36056.159999999996</v>
      </c>
      <c r="AG32" s="973">
        <f t="shared" si="7"/>
        <v>36056.159999999996</v>
      </c>
      <c r="AH32" s="973">
        <f t="shared" si="7"/>
        <v>36056.159999999996</v>
      </c>
      <c r="AI32" s="973">
        <f t="shared" si="7"/>
        <v>36056.159999999996</v>
      </c>
      <c r="AJ32" s="973">
        <f t="shared" si="7"/>
        <v>36056.159999999996</v>
      </c>
      <c r="AK32" s="973">
        <f t="shared" si="7"/>
        <v>36056.159999999996</v>
      </c>
      <c r="AL32" s="973">
        <f t="shared" si="7"/>
        <v>36056.159999999996</v>
      </c>
      <c r="AM32" s="973">
        <f t="shared" si="7"/>
        <v>36056.159999999996</v>
      </c>
      <c r="AN32" s="973">
        <f t="shared" si="7"/>
        <v>36056.159999999996</v>
      </c>
      <c r="AO32" s="973">
        <f t="shared" si="7"/>
        <v>36056.159999999996</v>
      </c>
      <c r="AP32" s="973">
        <f t="shared" si="7"/>
        <v>36056.159999999996</v>
      </c>
      <c r="AR32" s="333"/>
      <c r="AS32" s="253"/>
    </row>
    <row r="33" spans="1:45">
      <c r="A33" s="595"/>
      <c r="B33" s="598"/>
      <c r="C33" s="599"/>
      <c r="D33" s="254"/>
      <c r="E33" s="1846" t="s">
        <v>320</v>
      </c>
      <c r="F33" s="1847"/>
      <c r="G33" s="1847"/>
      <c r="H33" s="1847"/>
      <c r="I33" s="1847"/>
      <c r="J33" s="1847"/>
      <c r="K33" s="1848"/>
      <c r="L33" s="977">
        <f>SUBTOTAL(9,L30:L32)</f>
        <v>3136885.9200000009</v>
      </c>
      <c r="M33" s="973">
        <f t="shared" ref="M33:AJ33" si="8">SUBTOTAL(9,M30:M32)</f>
        <v>0</v>
      </c>
      <c r="N33" s="973">
        <f t="shared" si="8"/>
        <v>108168.47999999998</v>
      </c>
      <c r="O33" s="973">
        <f t="shared" si="8"/>
        <v>108168.47999999998</v>
      </c>
      <c r="P33" s="973">
        <f t="shared" si="8"/>
        <v>108168.47999999998</v>
      </c>
      <c r="Q33" s="973">
        <f t="shared" si="8"/>
        <v>108168.47999999998</v>
      </c>
      <c r="R33" s="973">
        <f t="shared" si="8"/>
        <v>108168.47999999998</v>
      </c>
      <c r="S33" s="973">
        <f t="shared" si="8"/>
        <v>108168.47999999998</v>
      </c>
      <c r="T33" s="973">
        <f t="shared" si="8"/>
        <v>108168.47999999998</v>
      </c>
      <c r="U33" s="973">
        <f t="shared" si="8"/>
        <v>108168.47999999998</v>
      </c>
      <c r="V33" s="973">
        <f t="shared" si="8"/>
        <v>108168.47999999998</v>
      </c>
      <c r="W33" s="973">
        <f t="shared" si="8"/>
        <v>108168.47999999998</v>
      </c>
      <c r="X33" s="973">
        <f t="shared" si="8"/>
        <v>108168.47999999998</v>
      </c>
      <c r="Y33" s="973">
        <f t="shared" si="8"/>
        <v>108168.47999999998</v>
      </c>
      <c r="Z33" s="973">
        <f t="shared" si="8"/>
        <v>108168.47999999998</v>
      </c>
      <c r="AA33" s="973">
        <f t="shared" si="8"/>
        <v>108168.47999999998</v>
      </c>
      <c r="AB33" s="973">
        <f t="shared" si="8"/>
        <v>108168.47999999998</v>
      </c>
      <c r="AC33" s="973">
        <f t="shared" si="8"/>
        <v>108168.47999999998</v>
      </c>
      <c r="AD33" s="973">
        <f t="shared" si="8"/>
        <v>108168.47999999998</v>
      </c>
      <c r="AE33" s="973">
        <f t="shared" si="8"/>
        <v>108168.47999999998</v>
      </c>
      <c r="AF33" s="973">
        <f t="shared" si="8"/>
        <v>108168.47999999998</v>
      </c>
      <c r="AG33" s="973">
        <f t="shared" si="8"/>
        <v>108168.47999999998</v>
      </c>
      <c r="AH33" s="973">
        <f t="shared" si="8"/>
        <v>108168.47999999998</v>
      </c>
      <c r="AI33" s="973">
        <f t="shared" si="8"/>
        <v>108168.47999999998</v>
      </c>
      <c r="AJ33" s="973">
        <f t="shared" si="8"/>
        <v>108168.47999999998</v>
      </c>
      <c r="AK33" s="973">
        <f t="shared" ref="AK33:AP33" si="9">SUBTOTAL(9,AK30:AK32)</f>
        <v>108168.47999999998</v>
      </c>
      <c r="AL33" s="973">
        <f t="shared" si="9"/>
        <v>108168.47999999998</v>
      </c>
      <c r="AM33" s="973">
        <f t="shared" si="9"/>
        <v>108168.47999999998</v>
      </c>
      <c r="AN33" s="973">
        <f t="shared" si="9"/>
        <v>108168.47999999998</v>
      </c>
      <c r="AO33" s="973">
        <f t="shared" si="9"/>
        <v>108168.47999999998</v>
      </c>
      <c r="AP33" s="973">
        <f t="shared" si="9"/>
        <v>108168.47999999998</v>
      </c>
      <c r="AR33" s="333"/>
      <c r="AS33" s="253"/>
    </row>
    <row r="34" spans="1:45">
      <c r="A34" s="595"/>
      <c r="B34" s="598"/>
      <c r="C34" s="599"/>
      <c r="D34" s="599"/>
      <c r="E34" s="599"/>
      <c r="F34" s="599"/>
      <c r="G34" s="599"/>
      <c r="H34" s="599"/>
      <c r="I34" s="599"/>
      <c r="J34" s="599"/>
      <c r="K34" s="599"/>
      <c r="L34" s="599"/>
      <c r="M34" s="599"/>
      <c r="N34" s="599"/>
      <c r="O34" s="599"/>
      <c r="P34" s="599"/>
      <c r="Q34" s="599"/>
      <c r="R34" s="599"/>
      <c r="S34" s="599"/>
      <c r="T34" s="599"/>
      <c r="U34" s="599"/>
      <c r="V34" s="599"/>
      <c r="W34" s="599"/>
      <c r="X34" s="599"/>
      <c r="Y34" s="599"/>
      <c r="Z34" s="599"/>
      <c r="AA34" s="599"/>
      <c r="AB34" s="599"/>
      <c r="AC34" s="599"/>
      <c r="AD34" s="599"/>
      <c r="AE34" s="599"/>
      <c r="AF34" s="599"/>
      <c r="AG34" s="599"/>
      <c r="AH34" s="599"/>
      <c r="AI34" s="599"/>
      <c r="AJ34" s="599"/>
      <c r="AK34" s="599"/>
      <c r="AL34" s="599"/>
      <c r="AM34" s="599"/>
      <c r="AN34" s="599"/>
      <c r="AO34" s="599"/>
      <c r="AP34" s="599"/>
      <c r="AR34" s="333"/>
      <c r="AS34" s="253"/>
    </row>
    <row r="35" spans="1:45">
      <c r="A35" s="595"/>
      <c r="B35" s="598"/>
      <c r="C35" s="599"/>
      <c r="D35" s="254"/>
      <c r="E35" s="966" t="s">
        <v>161</v>
      </c>
      <c r="F35" s="976"/>
      <c r="G35" s="969" t="s">
        <v>321</v>
      </c>
      <c r="H35" s="1842" t="s">
        <v>301</v>
      </c>
      <c r="I35" s="1843"/>
      <c r="J35" s="984">
        <v>26.56</v>
      </c>
      <c r="K35" s="975" t="s">
        <v>316</v>
      </c>
      <c r="L35" s="977">
        <f>SUM(M35:AP35)</f>
        <v>385720.7871999999</v>
      </c>
      <c r="M35" s="973">
        <f>$J35*M$17*M12</f>
        <v>0</v>
      </c>
      <c r="N35" s="973">
        <f t="shared" ref="N35:AP35" si="10">$J35*N$17</f>
        <v>13300.716799999998</v>
      </c>
      <c r="O35" s="973">
        <f t="shared" si="10"/>
        <v>13300.716799999998</v>
      </c>
      <c r="P35" s="973">
        <f t="shared" si="10"/>
        <v>13300.716799999998</v>
      </c>
      <c r="Q35" s="973">
        <f t="shared" si="10"/>
        <v>13300.716799999998</v>
      </c>
      <c r="R35" s="973">
        <f t="shared" si="10"/>
        <v>13300.716799999998</v>
      </c>
      <c r="S35" s="973">
        <f t="shared" si="10"/>
        <v>13300.716799999998</v>
      </c>
      <c r="T35" s="973">
        <f t="shared" si="10"/>
        <v>13300.716799999998</v>
      </c>
      <c r="U35" s="973">
        <f t="shared" si="10"/>
        <v>13300.716799999998</v>
      </c>
      <c r="V35" s="973">
        <f t="shared" si="10"/>
        <v>13300.716799999998</v>
      </c>
      <c r="W35" s="973">
        <f t="shared" si="10"/>
        <v>13300.716799999998</v>
      </c>
      <c r="X35" s="973">
        <f t="shared" si="10"/>
        <v>13300.716799999998</v>
      </c>
      <c r="Y35" s="973">
        <f t="shared" si="10"/>
        <v>13300.716799999998</v>
      </c>
      <c r="Z35" s="973">
        <f t="shared" si="10"/>
        <v>13300.716799999998</v>
      </c>
      <c r="AA35" s="973">
        <f t="shared" si="10"/>
        <v>13300.716799999998</v>
      </c>
      <c r="AB35" s="973">
        <f t="shared" si="10"/>
        <v>13300.716799999998</v>
      </c>
      <c r="AC35" s="973">
        <f t="shared" si="10"/>
        <v>13300.716799999998</v>
      </c>
      <c r="AD35" s="973">
        <f t="shared" si="10"/>
        <v>13300.716799999998</v>
      </c>
      <c r="AE35" s="973">
        <f t="shared" si="10"/>
        <v>13300.716799999998</v>
      </c>
      <c r="AF35" s="973">
        <f t="shared" si="10"/>
        <v>13300.716799999998</v>
      </c>
      <c r="AG35" s="973">
        <f t="shared" si="10"/>
        <v>13300.716799999998</v>
      </c>
      <c r="AH35" s="973">
        <f t="shared" si="10"/>
        <v>13300.716799999998</v>
      </c>
      <c r="AI35" s="973">
        <f t="shared" si="10"/>
        <v>13300.716799999998</v>
      </c>
      <c r="AJ35" s="973">
        <f t="shared" si="10"/>
        <v>13300.716799999998</v>
      </c>
      <c r="AK35" s="973">
        <f t="shared" si="10"/>
        <v>13300.716799999998</v>
      </c>
      <c r="AL35" s="973">
        <f t="shared" si="10"/>
        <v>13300.716799999998</v>
      </c>
      <c r="AM35" s="973">
        <f t="shared" si="10"/>
        <v>13300.716799999998</v>
      </c>
      <c r="AN35" s="973">
        <f t="shared" si="10"/>
        <v>13300.716799999998</v>
      </c>
      <c r="AO35" s="973">
        <f t="shared" si="10"/>
        <v>13300.716799999998</v>
      </c>
      <c r="AP35" s="973">
        <f t="shared" si="10"/>
        <v>13300.716799999998</v>
      </c>
      <c r="AR35" s="333"/>
      <c r="AS35" s="253"/>
    </row>
    <row r="36" spans="1:45">
      <c r="A36" s="595"/>
      <c r="B36" s="598"/>
      <c r="C36" s="599"/>
      <c r="D36" s="599"/>
      <c r="E36" s="599"/>
      <c r="F36" s="599"/>
      <c r="G36" s="599"/>
      <c r="H36" s="599"/>
      <c r="I36" s="599"/>
      <c r="J36" s="599"/>
      <c r="K36" s="599"/>
      <c r="L36" s="599"/>
      <c r="M36" s="599"/>
      <c r="N36" s="599"/>
      <c r="O36" s="599"/>
      <c r="P36" s="599"/>
      <c r="Q36" s="599"/>
      <c r="R36" s="599"/>
      <c r="S36" s="599"/>
      <c r="T36" s="599"/>
      <c r="U36" s="599"/>
      <c r="V36" s="599"/>
      <c r="W36" s="599"/>
      <c r="X36" s="599"/>
      <c r="Y36" s="599"/>
      <c r="Z36" s="599"/>
      <c r="AA36" s="599"/>
      <c r="AB36" s="599"/>
      <c r="AC36" s="599"/>
      <c r="AD36" s="599"/>
      <c r="AE36" s="599"/>
      <c r="AF36" s="599"/>
      <c r="AG36" s="599"/>
      <c r="AH36" s="599"/>
      <c r="AI36" s="599"/>
      <c r="AJ36" s="599"/>
      <c r="AK36" s="599"/>
      <c r="AL36" s="599"/>
      <c r="AM36" s="599"/>
      <c r="AN36" s="599"/>
      <c r="AO36" s="599"/>
      <c r="AP36" s="599"/>
      <c r="AR36" s="333"/>
      <c r="AS36" s="253"/>
    </row>
    <row r="37" spans="1:45">
      <c r="A37" s="595"/>
      <c r="B37" s="598"/>
      <c r="C37" s="599"/>
      <c r="D37" s="254"/>
      <c r="E37" s="966" t="s">
        <v>322</v>
      </c>
      <c r="F37" s="976"/>
      <c r="G37" s="969" t="s">
        <v>321</v>
      </c>
      <c r="H37" s="1842" t="s">
        <v>301</v>
      </c>
      <c r="I37" s="1843"/>
      <c r="J37" s="983">
        <v>97.56</v>
      </c>
      <c r="K37" s="975" t="s">
        <v>316</v>
      </c>
      <c r="L37" s="977">
        <f>SUM(M37:AP37)</f>
        <v>1416826.807199999</v>
      </c>
      <c r="M37" s="973">
        <f>$J37*M$17*M12</f>
        <v>0</v>
      </c>
      <c r="N37" s="973">
        <f t="shared" ref="N37:AP37" si="11">$J37*N$17</f>
        <v>48856.096799999999</v>
      </c>
      <c r="O37" s="973">
        <f t="shared" si="11"/>
        <v>48856.096799999999</v>
      </c>
      <c r="P37" s="973">
        <f t="shared" si="11"/>
        <v>48856.096799999999</v>
      </c>
      <c r="Q37" s="973">
        <f t="shared" si="11"/>
        <v>48856.096799999999</v>
      </c>
      <c r="R37" s="973">
        <f t="shared" si="11"/>
        <v>48856.096799999999</v>
      </c>
      <c r="S37" s="973">
        <f t="shared" si="11"/>
        <v>48856.096799999999</v>
      </c>
      <c r="T37" s="973">
        <f t="shared" si="11"/>
        <v>48856.096799999999</v>
      </c>
      <c r="U37" s="973">
        <f t="shared" si="11"/>
        <v>48856.096799999999</v>
      </c>
      <c r="V37" s="973">
        <f t="shared" si="11"/>
        <v>48856.096799999999</v>
      </c>
      <c r="W37" s="973">
        <f t="shared" si="11"/>
        <v>48856.096799999999</v>
      </c>
      <c r="X37" s="973">
        <f t="shared" si="11"/>
        <v>48856.096799999999</v>
      </c>
      <c r="Y37" s="973">
        <f t="shared" si="11"/>
        <v>48856.096799999999</v>
      </c>
      <c r="Z37" s="973">
        <f t="shared" si="11"/>
        <v>48856.096799999999</v>
      </c>
      <c r="AA37" s="973">
        <f t="shared" si="11"/>
        <v>48856.096799999999</v>
      </c>
      <c r="AB37" s="973">
        <f t="shared" si="11"/>
        <v>48856.096799999999</v>
      </c>
      <c r="AC37" s="973">
        <f t="shared" si="11"/>
        <v>48856.096799999999</v>
      </c>
      <c r="AD37" s="973">
        <f t="shared" si="11"/>
        <v>48856.096799999999</v>
      </c>
      <c r="AE37" s="973">
        <f t="shared" si="11"/>
        <v>48856.096799999999</v>
      </c>
      <c r="AF37" s="973">
        <f t="shared" si="11"/>
        <v>48856.096799999999</v>
      </c>
      <c r="AG37" s="973">
        <f t="shared" si="11"/>
        <v>48856.096799999999</v>
      </c>
      <c r="AH37" s="973">
        <f t="shared" si="11"/>
        <v>48856.096799999999</v>
      </c>
      <c r="AI37" s="973">
        <f t="shared" si="11"/>
        <v>48856.096799999999</v>
      </c>
      <c r="AJ37" s="973">
        <f t="shared" si="11"/>
        <v>48856.096799999999</v>
      </c>
      <c r="AK37" s="973">
        <f t="shared" si="11"/>
        <v>48856.096799999999</v>
      </c>
      <c r="AL37" s="973">
        <f t="shared" si="11"/>
        <v>48856.096799999999</v>
      </c>
      <c r="AM37" s="973">
        <f t="shared" si="11"/>
        <v>48856.096799999999</v>
      </c>
      <c r="AN37" s="973">
        <f t="shared" si="11"/>
        <v>48856.096799999999</v>
      </c>
      <c r="AO37" s="973">
        <f t="shared" si="11"/>
        <v>48856.096799999999</v>
      </c>
      <c r="AP37" s="973">
        <f t="shared" si="11"/>
        <v>48856.096799999999</v>
      </c>
      <c r="AR37" s="333"/>
      <c r="AS37" s="253"/>
    </row>
    <row r="38" spans="1:45">
      <c r="A38" s="595"/>
      <c r="B38" s="598"/>
      <c r="C38" s="599"/>
      <c r="D38" s="599"/>
      <c r="E38" s="599"/>
      <c r="F38" s="599"/>
      <c r="G38" s="599"/>
      <c r="H38" s="599"/>
      <c r="I38" s="599"/>
      <c r="J38" s="599"/>
      <c r="K38" s="599"/>
      <c r="L38" s="599"/>
      <c r="M38" s="599"/>
      <c r="N38" s="599"/>
      <c r="O38" s="599"/>
      <c r="P38" s="599"/>
      <c r="Q38" s="599"/>
      <c r="R38" s="599"/>
      <c r="S38" s="599"/>
      <c r="T38" s="599"/>
      <c r="U38" s="599"/>
      <c r="V38" s="599"/>
      <c r="W38" s="599"/>
      <c r="X38" s="599"/>
      <c r="Y38" s="599"/>
      <c r="Z38" s="599"/>
      <c r="AA38" s="599"/>
      <c r="AB38" s="599"/>
      <c r="AC38" s="599"/>
      <c r="AD38" s="599"/>
      <c r="AE38" s="599"/>
      <c r="AF38" s="599"/>
      <c r="AG38" s="599"/>
      <c r="AH38" s="599"/>
      <c r="AI38" s="599"/>
      <c r="AJ38" s="599"/>
      <c r="AK38" s="599"/>
      <c r="AL38" s="599"/>
      <c r="AM38" s="599"/>
      <c r="AN38" s="599"/>
      <c r="AO38" s="599"/>
      <c r="AP38" s="599"/>
      <c r="AR38" s="333"/>
      <c r="AS38" s="253"/>
    </row>
    <row r="39" spans="1:45">
      <c r="A39" s="595"/>
      <c r="B39" s="598"/>
      <c r="C39" s="599"/>
      <c r="D39" s="254"/>
      <c r="E39" s="966" t="s">
        <v>159</v>
      </c>
      <c r="F39" s="976"/>
      <c r="G39" s="969" t="s">
        <v>321</v>
      </c>
      <c r="H39" s="1842" t="s">
        <v>301</v>
      </c>
      <c r="I39" s="1843"/>
      <c r="J39" s="984">
        <v>41.23</v>
      </c>
      <c r="K39" s="975" t="s">
        <v>316</v>
      </c>
      <c r="L39" s="977">
        <f>SUM(M39:AP39)</f>
        <v>598767.6226</v>
      </c>
      <c r="M39" s="973">
        <f>$J39*M$17*M12</f>
        <v>0</v>
      </c>
      <c r="N39" s="973">
        <f t="shared" ref="N39:AP39" si="12">$J39*N$17</f>
        <v>20647.159399999997</v>
      </c>
      <c r="O39" s="973">
        <f t="shared" si="12"/>
        <v>20647.159399999997</v>
      </c>
      <c r="P39" s="973">
        <f t="shared" si="12"/>
        <v>20647.159399999997</v>
      </c>
      <c r="Q39" s="973">
        <f t="shared" si="12"/>
        <v>20647.159399999997</v>
      </c>
      <c r="R39" s="973">
        <f t="shared" si="12"/>
        <v>20647.159399999997</v>
      </c>
      <c r="S39" s="973">
        <f t="shared" si="12"/>
        <v>20647.159399999997</v>
      </c>
      <c r="T39" s="973">
        <f t="shared" si="12"/>
        <v>20647.159399999997</v>
      </c>
      <c r="U39" s="973">
        <f t="shared" si="12"/>
        <v>20647.159399999997</v>
      </c>
      <c r="V39" s="973">
        <f t="shared" si="12"/>
        <v>20647.159399999997</v>
      </c>
      <c r="W39" s="973">
        <f t="shared" si="12"/>
        <v>20647.159399999997</v>
      </c>
      <c r="X39" s="973">
        <f t="shared" si="12"/>
        <v>20647.159399999997</v>
      </c>
      <c r="Y39" s="973">
        <f t="shared" si="12"/>
        <v>20647.159399999997</v>
      </c>
      <c r="Z39" s="973">
        <f t="shared" si="12"/>
        <v>20647.159399999997</v>
      </c>
      <c r="AA39" s="973">
        <f t="shared" si="12"/>
        <v>20647.159399999997</v>
      </c>
      <c r="AB39" s="973">
        <f t="shared" si="12"/>
        <v>20647.159399999997</v>
      </c>
      <c r="AC39" s="973">
        <f t="shared" si="12"/>
        <v>20647.159399999997</v>
      </c>
      <c r="AD39" s="973">
        <f t="shared" si="12"/>
        <v>20647.159399999997</v>
      </c>
      <c r="AE39" s="973">
        <f t="shared" si="12"/>
        <v>20647.159399999997</v>
      </c>
      <c r="AF39" s="973">
        <f t="shared" si="12"/>
        <v>20647.159399999997</v>
      </c>
      <c r="AG39" s="973">
        <f t="shared" si="12"/>
        <v>20647.159399999997</v>
      </c>
      <c r="AH39" s="973">
        <f t="shared" si="12"/>
        <v>20647.159399999997</v>
      </c>
      <c r="AI39" s="973">
        <f t="shared" si="12"/>
        <v>20647.159399999997</v>
      </c>
      <c r="AJ39" s="973">
        <f t="shared" si="12"/>
        <v>20647.159399999997</v>
      </c>
      <c r="AK39" s="973">
        <f t="shared" si="12"/>
        <v>20647.159399999997</v>
      </c>
      <c r="AL39" s="973">
        <f t="shared" si="12"/>
        <v>20647.159399999997</v>
      </c>
      <c r="AM39" s="973">
        <f t="shared" si="12"/>
        <v>20647.159399999997</v>
      </c>
      <c r="AN39" s="973">
        <f t="shared" si="12"/>
        <v>20647.159399999997</v>
      </c>
      <c r="AO39" s="973">
        <f t="shared" si="12"/>
        <v>20647.159399999997</v>
      </c>
      <c r="AP39" s="973">
        <f t="shared" si="12"/>
        <v>20647.159399999997</v>
      </c>
      <c r="AR39" s="333"/>
      <c r="AS39" s="253"/>
    </row>
    <row r="40" spans="1:45">
      <c r="A40" s="595"/>
      <c r="B40" s="598"/>
      <c r="C40" s="599"/>
      <c r="D40" s="599"/>
      <c r="E40" s="599"/>
      <c r="F40" s="599"/>
      <c r="G40" s="599"/>
      <c r="H40" s="599"/>
      <c r="I40" s="599"/>
      <c r="J40" s="599"/>
      <c r="K40" s="599"/>
      <c r="L40" s="599"/>
      <c r="M40" s="599"/>
      <c r="N40" s="599"/>
      <c r="O40" s="599"/>
      <c r="P40" s="599"/>
      <c r="Q40" s="599"/>
      <c r="R40" s="599"/>
      <c r="S40" s="599"/>
      <c r="T40" s="599"/>
      <c r="U40" s="599"/>
      <c r="V40" s="599"/>
      <c r="W40" s="599"/>
      <c r="X40" s="599"/>
      <c r="Y40" s="599"/>
      <c r="Z40" s="599"/>
      <c r="AA40" s="599"/>
      <c r="AB40" s="599"/>
      <c r="AC40" s="599"/>
      <c r="AD40" s="599"/>
      <c r="AE40" s="599"/>
      <c r="AF40" s="599"/>
      <c r="AG40" s="599"/>
      <c r="AH40" s="599"/>
      <c r="AI40" s="599"/>
      <c r="AJ40" s="599"/>
      <c r="AK40" s="599"/>
      <c r="AL40" s="599"/>
      <c r="AM40" s="599"/>
      <c r="AN40" s="599"/>
      <c r="AO40" s="599"/>
      <c r="AP40" s="599"/>
      <c r="AR40" s="333"/>
      <c r="AS40" s="253"/>
    </row>
    <row r="41" spans="1:45">
      <c r="A41" s="595"/>
      <c r="B41" s="598"/>
      <c r="C41" s="599"/>
      <c r="D41" s="254"/>
      <c r="E41" s="985" t="s">
        <v>323</v>
      </c>
      <c r="F41" s="969"/>
      <c r="G41" s="969" t="s">
        <v>321</v>
      </c>
      <c r="H41" s="1842" t="s">
        <v>301</v>
      </c>
      <c r="I41" s="1843"/>
      <c r="J41" s="984">
        <v>921.32</v>
      </c>
      <c r="K41" s="971" t="s">
        <v>324</v>
      </c>
      <c r="L41" s="977">
        <f>SUM(M41:AP41)</f>
        <v>267182.8000000001</v>
      </c>
      <c r="M41" s="973">
        <f>$J41*M$19*M12</f>
        <v>0</v>
      </c>
      <c r="N41" s="973">
        <f t="shared" ref="N41:AP41" si="13">$J41*N$19</f>
        <v>9213.2000000000007</v>
      </c>
      <c r="O41" s="973">
        <f t="shared" si="13"/>
        <v>9213.2000000000007</v>
      </c>
      <c r="P41" s="973">
        <f t="shared" si="13"/>
        <v>9213.2000000000007</v>
      </c>
      <c r="Q41" s="973">
        <f t="shared" si="13"/>
        <v>9213.2000000000007</v>
      </c>
      <c r="R41" s="973">
        <f t="shared" si="13"/>
        <v>9213.2000000000007</v>
      </c>
      <c r="S41" s="973">
        <f t="shared" si="13"/>
        <v>9213.2000000000007</v>
      </c>
      <c r="T41" s="973">
        <f t="shared" si="13"/>
        <v>9213.2000000000007</v>
      </c>
      <c r="U41" s="973">
        <f t="shared" si="13"/>
        <v>9213.2000000000007</v>
      </c>
      <c r="V41" s="973">
        <f t="shared" si="13"/>
        <v>9213.2000000000007</v>
      </c>
      <c r="W41" s="973">
        <f t="shared" si="13"/>
        <v>9213.2000000000007</v>
      </c>
      <c r="X41" s="973">
        <f t="shared" si="13"/>
        <v>9213.2000000000007</v>
      </c>
      <c r="Y41" s="973">
        <f t="shared" si="13"/>
        <v>9213.2000000000007</v>
      </c>
      <c r="Z41" s="973">
        <f t="shared" si="13"/>
        <v>9213.2000000000007</v>
      </c>
      <c r="AA41" s="973">
        <f t="shared" si="13"/>
        <v>9213.2000000000007</v>
      </c>
      <c r="AB41" s="973">
        <f t="shared" si="13"/>
        <v>9213.2000000000007</v>
      </c>
      <c r="AC41" s="973">
        <f t="shared" si="13"/>
        <v>9213.2000000000007</v>
      </c>
      <c r="AD41" s="973">
        <f t="shared" si="13"/>
        <v>9213.2000000000007</v>
      </c>
      <c r="AE41" s="973">
        <f t="shared" si="13"/>
        <v>9213.2000000000007</v>
      </c>
      <c r="AF41" s="973">
        <f t="shared" si="13"/>
        <v>9213.2000000000007</v>
      </c>
      <c r="AG41" s="973">
        <f t="shared" si="13"/>
        <v>9213.2000000000007</v>
      </c>
      <c r="AH41" s="973">
        <f t="shared" si="13"/>
        <v>9213.2000000000007</v>
      </c>
      <c r="AI41" s="973">
        <f t="shared" si="13"/>
        <v>9213.2000000000007</v>
      </c>
      <c r="AJ41" s="973">
        <f t="shared" si="13"/>
        <v>9213.2000000000007</v>
      </c>
      <c r="AK41" s="973">
        <f t="shared" si="13"/>
        <v>9213.2000000000007</v>
      </c>
      <c r="AL41" s="973">
        <f t="shared" si="13"/>
        <v>9213.2000000000007</v>
      </c>
      <c r="AM41" s="973">
        <f t="shared" si="13"/>
        <v>9213.2000000000007</v>
      </c>
      <c r="AN41" s="973">
        <f t="shared" si="13"/>
        <v>9213.2000000000007</v>
      </c>
      <c r="AO41" s="973">
        <f t="shared" si="13"/>
        <v>9213.2000000000007</v>
      </c>
      <c r="AP41" s="973">
        <f t="shared" si="13"/>
        <v>9213.2000000000007</v>
      </c>
      <c r="AR41" s="333"/>
      <c r="AS41" s="253"/>
    </row>
    <row r="42" spans="1:45">
      <c r="A42" s="595"/>
      <c r="B42" s="598"/>
      <c r="C42" s="599"/>
      <c r="D42" s="599"/>
      <c r="E42" s="599"/>
      <c r="F42" s="599"/>
      <c r="G42" s="599"/>
      <c r="H42" s="599"/>
      <c r="I42" s="599"/>
      <c r="J42" s="599"/>
      <c r="K42" s="599"/>
      <c r="L42" s="599"/>
      <c r="M42" s="599"/>
      <c r="N42" s="599"/>
      <c r="O42" s="599"/>
      <c r="P42" s="599"/>
      <c r="Q42" s="599"/>
      <c r="R42" s="599"/>
      <c r="S42" s="599"/>
      <c r="T42" s="599"/>
      <c r="U42" s="599"/>
      <c r="V42" s="599"/>
      <c r="W42" s="599"/>
      <c r="X42" s="599"/>
      <c r="Y42" s="599"/>
      <c r="Z42" s="599"/>
      <c r="AA42" s="599"/>
      <c r="AB42" s="599"/>
      <c r="AC42" s="599"/>
      <c r="AD42" s="599"/>
      <c r="AE42" s="599"/>
      <c r="AF42" s="599"/>
      <c r="AG42" s="599"/>
      <c r="AH42" s="599"/>
      <c r="AI42" s="599"/>
      <c r="AJ42" s="599"/>
      <c r="AK42" s="599"/>
      <c r="AL42" s="599"/>
      <c r="AM42" s="599"/>
      <c r="AN42" s="599"/>
      <c r="AO42" s="599"/>
      <c r="AP42" s="986"/>
      <c r="AR42" s="333"/>
      <c r="AS42" s="253"/>
    </row>
    <row r="43" spans="1:45">
      <c r="A43" s="595"/>
      <c r="B43" s="598"/>
      <c r="C43" s="599"/>
      <c r="D43" s="254"/>
      <c r="E43" s="985" t="s">
        <v>325</v>
      </c>
      <c r="F43" s="969"/>
      <c r="G43" s="969" t="s">
        <v>321</v>
      </c>
      <c r="H43" s="1842" t="s">
        <v>301</v>
      </c>
      <c r="I43" s="1843"/>
      <c r="J43" s="983">
        <v>24.85</v>
      </c>
      <c r="K43" s="975" t="s">
        <v>316</v>
      </c>
      <c r="L43" s="977">
        <f>SUM(M43:AP43)</f>
        <v>360887.10699999979</v>
      </c>
      <c r="M43" s="973">
        <f>$J43*M$17*M12</f>
        <v>0</v>
      </c>
      <c r="N43" s="973">
        <f t="shared" ref="N43:AP43" si="14">$J43*N$17</f>
        <v>12444.383</v>
      </c>
      <c r="O43" s="973">
        <f t="shared" si="14"/>
        <v>12444.383</v>
      </c>
      <c r="P43" s="973">
        <f t="shared" si="14"/>
        <v>12444.383</v>
      </c>
      <c r="Q43" s="973">
        <f t="shared" si="14"/>
        <v>12444.383</v>
      </c>
      <c r="R43" s="973">
        <f t="shared" si="14"/>
        <v>12444.383</v>
      </c>
      <c r="S43" s="973">
        <f t="shared" si="14"/>
        <v>12444.383</v>
      </c>
      <c r="T43" s="973">
        <f t="shared" si="14"/>
        <v>12444.383</v>
      </c>
      <c r="U43" s="973">
        <f t="shared" si="14"/>
        <v>12444.383</v>
      </c>
      <c r="V43" s="973">
        <f t="shared" si="14"/>
        <v>12444.383</v>
      </c>
      <c r="W43" s="973">
        <f t="shared" si="14"/>
        <v>12444.383</v>
      </c>
      <c r="X43" s="973">
        <f t="shared" si="14"/>
        <v>12444.383</v>
      </c>
      <c r="Y43" s="973">
        <f t="shared" si="14"/>
        <v>12444.383</v>
      </c>
      <c r="Z43" s="973">
        <f t="shared" si="14"/>
        <v>12444.383</v>
      </c>
      <c r="AA43" s="973">
        <f t="shared" si="14"/>
        <v>12444.383</v>
      </c>
      <c r="AB43" s="973">
        <f t="shared" si="14"/>
        <v>12444.383</v>
      </c>
      <c r="AC43" s="973">
        <f t="shared" si="14"/>
        <v>12444.383</v>
      </c>
      <c r="AD43" s="973">
        <f t="shared" si="14"/>
        <v>12444.383</v>
      </c>
      <c r="AE43" s="973">
        <f t="shared" si="14"/>
        <v>12444.383</v>
      </c>
      <c r="AF43" s="973">
        <f t="shared" si="14"/>
        <v>12444.383</v>
      </c>
      <c r="AG43" s="973">
        <f t="shared" si="14"/>
        <v>12444.383</v>
      </c>
      <c r="AH43" s="973">
        <f t="shared" si="14"/>
        <v>12444.383</v>
      </c>
      <c r="AI43" s="973">
        <f t="shared" si="14"/>
        <v>12444.383</v>
      </c>
      <c r="AJ43" s="973">
        <f t="shared" si="14"/>
        <v>12444.383</v>
      </c>
      <c r="AK43" s="973">
        <f t="shared" si="14"/>
        <v>12444.383</v>
      </c>
      <c r="AL43" s="973">
        <f t="shared" si="14"/>
        <v>12444.383</v>
      </c>
      <c r="AM43" s="973">
        <f t="shared" si="14"/>
        <v>12444.383</v>
      </c>
      <c r="AN43" s="973">
        <f t="shared" si="14"/>
        <v>12444.383</v>
      </c>
      <c r="AO43" s="973">
        <f t="shared" si="14"/>
        <v>12444.383</v>
      </c>
      <c r="AP43" s="973">
        <f t="shared" si="14"/>
        <v>12444.383</v>
      </c>
      <c r="AR43" s="333"/>
      <c r="AS43" s="253"/>
    </row>
    <row r="44" spans="1:45">
      <c r="A44" s="595"/>
      <c r="B44" s="598"/>
      <c r="C44" s="599"/>
      <c r="D44" s="599"/>
      <c r="E44" s="599"/>
      <c r="F44" s="599"/>
      <c r="G44" s="599"/>
      <c r="H44" s="599"/>
      <c r="I44" s="599"/>
      <c r="J44" s="599"/>
      <c r="K44" s="599"/>
      <c r="L44" s="599"/>
      <c r="M44" s="599"/>
      <c r="N44" s="599"/>
      <c r="O44" s="599"/>
      <c r="P44" s="599"/>
      <c r="Q44" s="599"/>
      <c r="R44" s="599"/>
      <c r="S44" s="599"/>
      <c r="T44" s="599"/>
      <c r="U44" s="599"/>
      <c r="V44" s="599"/>
      <c r="W44" s="599"/>
      <c r="X44" s="599"/>
      <c r="Y44" s="599"/>
      <c r="Z44" s="599"/>
      <c r="AA44" s="599"/>
      <c r="AB44" s="599"/>
      <c r="AC44" s="599"/>
      <c r="AD44" s="599"/>
      <c r="AE44" s="599"/>
      <c r="AF44" s="599"/>
      <c r="AG44" s="599"/>
      <c r="AH44" s="599"/>
      <c r="AI44" s="599"/>
      <c r="AJ44" s="599"/>
      <c r="AK44" s="599"/>
      <c r="AL44" s="599"/>
      <c r="AM44" s="599"/>
      <c r="AN44" s="599"/>
      <c r="AO44" s="599"/>
      <c r="AP44" s="986"/>
      <c r="AR44" s="333"/>
      <c r="AS44" s="253"/>
    </row>
    <row r="45" spans="1:45">
      <c r="A45" s="595"/>
      <c r="B45" s="598"/>
      <c r="C45" s="599"/>
      <c r="D45" s="254"/>
      <c r="E45" s="985" t="s">
        <v>162</v>
      </c>
      <c r="F45" s="969"/>
      <c r="G45" s="969" t="s">
        <v>321</v>
      </c>
      <c r="H45" s="1842" t="s">
        <v>301</v>
      </c>
      <c r="I45" s="1843"/>
      <c r="J45" s="983">
        <f>22.66*0</f>
        <v>0</v>
      </c>
      <c r="K45" s="975" t="s">
        <v>316</v>
      </c>
      <c r="L45" s="977">
        <f>SUM(M45:AP45)</f>
        <v>0</v>
      </c>
      <c r="M45" s="973">
        <f>$J45*M$17*M12</f>
        <v>0</v>
      </c>
      <c r="N45" s="973">
        <f t="shared" ref="N45:AP45" si="15">$J45*N$17</f>
        <v>0</v>
      </c>
      <c r="O45" s="973">
        <f t="shared" si="15"/>
        <v>0</v>
      </c>
      <c r="P45" s="973">
        <f t="shared" si="15"/>
        <v>0</v>
      </c>
      <c r="Q45" s="973">
        <f t="shared" si="15"/>
        <v>0</v>
      </c>
      <c r="R45" s="973">
        <f t="shared" si="15"/>
        <v>0</v>
      </c>
      <c r="S45" s="973">
        <f t="shared" si="15"/>
        <v>0</v>
      </c>
      <c r="T45" s="973">
        <f t="shared" si="15"/>
        <v>0</v>
      </c>
      <c r="U45" s="973">
        <f t="shared" si="15"/>
        <v>0</v>
      </c>
      <c r="V45" s="973">
        <f t="shared" si="15"/>
        <v>0</v>
      </c>
      <c r="W45" s="973">
        <f t="shared" si="15"/>
        <v>0</v>
      </c>
      <c r="X45" s="973">
        <f t="shared" si="15"/>
        <v>0</v>
      </c>
      <c r="Y45" s="973">
        <f t="shared" si="15"/>
        <v>0</v>
      </c>
      <c r="Z45" s="973">
        <f t="shared" si="15"/>
        <v>0</v>
      </c>
      <c r="AA45" s="973">
        <f t="shared" si="15"/>
        <v>0</v>
      </c>
      <c r="AB45" s="973">
        <f t="shared" si="15"/>
        <v>0</v>
      </c>
      <c r="AC45" s="973">
        <f t="shared" si="15"/>
        <v>0</v>
      </c>
      <c r="AD45" s="973">
        <f t="shared" si="15"/>
        <v>0</v>
      </c>
      <c r="AE45" s="973">
        <f t="shared" si="15"/>
        <v>0</v>
      </c>
      <c r="AF45" s="973">
        <f t="shared" si="15"/>
        <v>0</v>
      </c>
      <c r="AG45" s="973">
        <f t="shared" si="15"/>
        <v>0</v>
      </c>
      <c r="AH45" s="973">
        <f t="shared" si="15"/>
        <v>0</v>
      </c>
      <c r="AI45" s="973">
        <f t="shared" si="15"/>
        <v>0</v>
      </c>
      <c r="AJ45" s="973">
        <f t="shared" si="15"/>
        <v>0</v>
      </c>
      <c r="AK45" s="973">
        <f t="shared" si="15"/>
        <v>0</v>
      </c>
      <c r="AL45" s="973">
        <f t="shared" si="15"/>
        <v>0</v>
      </c>
      <c r="AM45" s="973">
        <f t="shared" si="15"/>
        <v>0</v>
      </c>
      <c r="AN45" s="973">
        <f t="shared" si="15"/>
        <v>0</v>
      </c>
      <c r="AO45" s="973">
        <f t="shared" si="15"/>
        <v>0</v>
      </c>
      <c r="AP45" s="973">
        <f t="shared" si="15"/>
        <v>0</v>
      </c>
      <c r="AR45" s="333"/>
      <c r="AS45" s="253"/>
    </row>
    <row r="46" spans="1:45">
      <c r="A46" s="595"/>
      <c r="B46" s="598"/>
      <c r="C46" s="599"/>
      <c r="D46" s="599"/>
      <c r="E46" s="599"/>
      <c r="F46" s="599"/>
      <c r="G46" s="599"/>
      <c r="H46" s="599"/>
      <c r="I46" s="599"/>
      <c r="J46" s="599"/>
      <c r="K46" s="599"/>
      <c r="L46" s="599"/>
      <c r="M46" s="599"/>
      <c r="N46" s="599"/>
      <c r="O46" s="599"/>
      <c r="P46" s="599"/>
      <c r="Q46" s="599"/>
      <c r="R46" s="599"/>
      <c r="S46" s="599"/>
      <c r="T46" s="599"/>
      <c r="U46" s="599"/>
      <c r="V46" s="599"/>
      <c r="W46" s="599"/>
      <c r="X46" s="599"/>
      <c r="Y46" s="599"/>
      <c r="Z46" s="599"/>
      <c r="AA46" s="599"/>
      <c r="AB46" s="599"/>
      <c r="AC46" s="599"/>
      <c r="AD46" s="599"/>
      <c r="AE46" s="599"/>
      <c r="AF46" s="599"/>
      <c r="AG46" s="599"/>
      <c r="AH46" s="599"/>
      <c r="AI46" s="599"/>
      <c r="AJ46" s="599"/>
      <c r="AK46" s="599"/>
      <c r="AL46" s="599"/>
      <c r="AM46" s="599"/>
      <c r="AN46" s="599"/>
      <c r="AO46" s="599"/>
      <c r="AP46" s="986"/>
      <c r="AR46" s="333"/>
      <c r="AS46" s="253"/>
    </row>
    <row r="47" spans="1:45" ht="12" customHeight="1">
      <c r="A47" s="595"/>
      <c r="B47" s="598"/>
      <c r="C47" s="599"/>
      <c r="D47" s="254"/>
      <c r="E47" s="985" t="s">
        <v>163</v>
      </c>
      <c r="F47" s="969"/>
      <c r="G47" s="969" t="s">
        <v>321</v>
      </c>
      <c r="H47" s="1842" t="s">
        <v>301</v>
      </c>
      <c r="I47" s="1843"/>
      <c r="J47" s="983">
        <f>26.73*0</f>
        <v>0</v>
      </c>
      <c r="K47" s="975" t="s">
        <v>316</v>
      </c>
      <c r="L47" s="977">
        <f>SUM(M47:AP47)</f>
        <v>0</v>
      </c>
      <c r="M47" s="973">
        <f>$J47*M$17*M12</f>
        <v>0</v>
      </c>
      <c r="N47" s="973">
        <f>$J47*N$17</f>
        <v>0</v>
      </c>
      <c r="O47" s="973">
        <f t="shared" ref="O47:AP47" si="16">$J47*O$17</f>
        <v>0</v>
      </c>
      <c r="P47" s="973">
        <f t="shared" si="16"/>
        <v>0</v>
      </c>
      <c r="Q47" s="973">
        <f t="shared" si="16"/>
        <v>0</v>
      </c>
      <c r="R47" s="973">
        <f t="shared" si="16"/>
        <v>0</v>
      </c>
      <c r="S47" s="973">
        <f t="shared" si="16"/>
        <v>0</v>
      </c>
      <c r="T47" s="973">
        <f t="shared" si="16"/>
        <v>0</v>
      </c>
      <c r="U47" s="973">
        <f t="shared" si="16"/>
        <v>0</v>
      </c>
      <c r="V47" s="973">
        <f t="shared" si="16"/>
        <v>0</v>
      </c>
      <c r="W47" s="973">
        <f t="shared" si="16"/>
        <v>0</v>
      </c>
      <c r="X47" s="973">
        <f t="shared" si="16"/>
        <v>0</v>
      </c>
      <c r="Y47" s="973">
        <f t="shared" si="16"/>
        <v>0</v>
      </c>
      <c r="Z47" s="973">
        <f t="shared" si="16"/>
        <v>0</v>
      </c>
      <c r="AA47" s="973">
        <f t="shared" si="16"/>
        <v>0</v>
      </c>
      <c r="AB47" s="973">
        <f t="shared" si="16"/>
        <v>0</v>
      </c>
      <c r="AC47" s="973">
        <f t="shared" si="16"/>
        <v>0</v>
      </c>
      <c r="AD47" s="973">
        <f t="shared" si="16"/>
        <v>0</v>
      </c>
      <c r="AE47" s="973">
        <f t="shared" si="16"/>
        <v>0</v>
      </c>
      <c r="AF47" s="973">
        <f t="shared" si="16"/>
        <v>0</v>
      </c>
      <c r="AG47" s="973">
        <f t="shared" si="16"/>
        <v>0</v>
      </c>
      <c r="AH47" s="973">
        <f t="shared" si="16"/>
        <v>0</v>
      </c>
      <c r="AI47" s="973">
        <f t="shared" si="16"/>
        <v>0</v>
      </c>
      <c r="AJ47" s="973">
        <f t="shared" si="16"/>
        <v>0</v>
      </c>
      <c r="AK47" s="973">
        <f t="shared" si="16"/>
        <v>0</v>
      </c>
      <c r="AL47" s="973">
        <f t="shared" si="16"/>
        <v>0</v>
      </c>
      <c r="AM47" s="973">
        <f t="shared" si="16"/>
        <v>0</v>
      </c>
      <c r="AN47" s="973">
        <f t="shared" si="16"/>
        <v>0</v>
      </c>
      <c r="AO47" s="973">
        <f t="shared" si="16"/>
        <v>0</v>
      </c>
      <c r="AP47" s="973">
        <f t="shared" si="16"/>
        <v>0</v>
      </c>
      <c r="AR47" s="333"/>
      <c r="AS47" s="253"/>
    </row>
    <row r="48" spans="1:45" ht="12" customHeight="1">
      <c r="A48" s="595"/>
      <c r="B48" s="598"/>
      <c r="C48" s="599"/>
      <c r="D48" s="599"/>
      <c r="E48" s="599"/>
      <c r="F48" s="599"/>
      <c r="G48" s="599"/>
      <c r="H48" s="599"/>
      <c r="I48" s="599"/>
      <c r="J48" s="599"/>
      <c r="K48" s="599"/>
      <c r="L48" s="599"/>
      <c r="M48" s="599"/>
      <c r="N48" s="599"/>
      <c r="O48" s="599"/>
      <c r="P48" s="599"/>
      <c r="Q48" s="599"/>
      <c r="R48" s="599"/>
      <c r="S48" s="599"/>
      <c r="T48" s="599"/>
      <c r="U48" s="599"/>
      <c r="V48" s="599"/>
      <c r="W48" s="599"/>
      <c r="X48" s="599"/>
      <c r="Y48" s="599"/>
      <c r="Z48" s="599"/>
      <c r="AA48" s="599"/>
      <c r="AB48" s="599"/>
      <c r="AC48" s="599"/>
      <c r="AD48" s="599"/>
      <c r="AE48" s="599"/>
      <c r="AF48" s="599"/>
      <c r="AG48" s="599"/>
      <c r="AH48" s="599"/>
      <c r="AI48" s="599"/>
      <c r="AJ48" s="599"/>
      <c r="AK48" s="599"/>
      <c r="AL48" s="599"/>
      <c r="AM48" s="599"/>
      <c r="AN48" s="599"/>
      <c r="AO48" s="599"/>
      <c r="AP48" s="986"/>
      <c r="AR48" s="333"/>
      <c r="AS48" s="253"/>
    </row>
    <row r="49" spans="1:45">
      <c r="A49" s="595"/>
      <c r="B49" s="598"/>
      <c r="C49" s="599"/>
      <c r="D49" s="254"/>
      <c r="E49" s="985" t="s">
        <v>110</v>
      </c>
      <c r="F49" s="969"/>
      <c r="G49" s="969" t="s">
        <v>321</v>
      </c>
      <c r="H49" s="1842" t="s">
        <v>301</v>
      </c>
      <c r="I49" s="1843"/>
      <c r="J49" s="987">
        <f>16124.24</f>
        <v>16124.24</v>
      </c>
      <c r="K49" s="975" t="s">
        <v>312</v>
      </c>
      <c r="L49" s="977">
        <f>SUM(M49:AP49)</f>
        <v>467602.95999999985</v>
      </c>
      <c r="M49" s="973">
        <f>$J49*M12</f>
        <v>0</v>
      </c>
      <c r="N49" s="973">
        <f t="shared" ref="N49:AP49" si="17">$J49</f>
        <v>16124.24</v>
      </c>
      <c r="O49" s="973">
        <f t="shared" si="17"/>
        <v>16124.24</v>
      </c>
      <c r="P49" s="973">
        <f t="shared" si="17"/>
        <v>16124.24</v>
      </c>
      <c r="Q49" s="973">
        <f t="shared" si="17"/>
        <v>16124.24</v>
      </c>
      <c r="R49" s="973">
        <f t="shared" si="17"/>
        <v>16124.24</v>
      </c>
      <c r="S49" s="973">
        <f t="shared" si="17"/>
        <v>16124.24</v>
      </c>
      <c r="T49" s="973">
        <f t="shared" si="17"/>
        <v>16124.24</v>
      </c>
      <c r="U49" s="973">
        <f t="shared" si="17"/>
        <v>16124.24</v>
      </c>
      <c r="V49" s="973">
        <f t="shared" si="17"/>
        <v>16124.24</v>
      </c>
      <c r="W49" s="973">
        <f t="shared" si="17"/>
        <v>16124.24</v>
      </c>
      <c r="X49" s="973">
        <f t="shared" si="17"/>
        <v>16124.24</v>
      </c>
      <c r="Y49" s="973">
        <f t="shared" si="17"/>
        <v>16124.24</v>
      </c>
      <c r="Z49" s="973">
        <f t="shared" si="17"/>
        <v>16124.24</v>
      </c>
      <c r="AA49" s="973">
        <f t="shared" si="17"/>
        <v>16124.24</v>
      </c>
      <c r="AB49" s="973">
        <f t="shared" si="17"/>
        <v>16124.24</v>
      </c>
      <c r="AC49" s="973">
        <f t="shared" si="17"/>
        <v>16124.24</v>
      </c>
      <c r="AD49" s="973">
        <f t="shared" si="17"/>
        <v>16124.24</v>
      </c>
      <c r="AE49" s="973">
        <f t="shared" si="17"/>
        <v>16124.24</v>
      </c>
      <c r="AF49" s="973">
        <f t="shared" si="17"/>
        <v>16124.24</v>
      </c>
      <c r="AG49" s="973">
        <f t="shared" si="17"/>
        <v>16124.24</v>
      </c>
      <c r="AH49" s="973">
        <f t="shared" si="17"/>
        <v>16124.24</v>
      </c>
      <c r="AI49" s="973">
        <f t="shared" si="17"/>
        <v>16124.24</v>
      </c>
      <c r="AJ49" s="973">
        <f t="shared" si="17"/>
        <v>16124.24</v>
      </c>
      <c r="AK49" s="973">
        <f t="shared" si="17"/>
        <v>16124.24</v>
      </c>
      <c r="AL49" s="973">
        <f t="shared" si="17"/>
        <v>16124.24</v>
      </c>
      <c r="AM49" s="973">
        <f t="shared" si="17"/>
        <v>16124.24</v>
      </c>
      <c r="AN49" s="973">
        <f t="shared" si="17"/>
        <v>16124.24</v>
      </c>
      <c r="AO49" s="973">
        <f t="shared" si="17"/>
        <v>16124.24</v>
      </c>
      <c r="AP49" s="973">
        <f t="shared" si="17"/>
        <v>16124.24</v>
      </c>
      <c r="AR49" s="333"/>
      <c r="AS49" s="253"/>
    </row>
    <row r="50" spans="1:45">
      <c r="A50" s="595"/>
      <c r="B50" s="598"/>
      <c r="C50" s="599"/>
      <c r="D50" s="599"/>
      <c r="E50" s="599"/>
      <c r="F50" s="599"/>
      <c r="G50" s="599"/>
      <c r="H50" s="599"/>
      <c r="I50" s="599"/>
      <c r="J50" s="599"/>
      <c r="K50" s="599"/>
      <c r="L50" s="599"/>
      <c r="M50" s="599"/>
      <c r="N50" s="599"/>
      <c r="O50" s="599"/>
      <c r="P50" s="599"/>
      <c r="Q50" s="599"/>
      <c r="R50" s="599"/>
      <c r="S50" s="599"/>
      <c r="T50" s="599"/>
      <c r="U50" s="599"/>
      <c r="V50" s="599"/>
      <c r="W50" s="599"/>
      <c r="X50" s="599"/>
      <c r="Y50" s="599"/>
      <c r="Z50" s="599"/>
      <c r="AA50" s="599"/>
      <c r="AB50" s="599"/>
      <c r="AC50" s="599"/>
      <c r="AD50" s="599"/>
      <c r="AE50" s="599"/>
      <c r="AF50" s="599"/>
      <c r="AG50" s="599"/>
      <c r="AH50" s="599"/>
      <c r="AI50" s="599"/>
      <c r="AJ50" s="599"/>
      <c r="AK50" s="599"/>
      <c r="AL50" s="599"/>
      <c r="AM50" s="599"/>
      <c r="AN50" s="599"/>
      <c r="AO50" s="599"/>
      <c r="AP50" s="986"/>
      <c r="AR50" s="333"/>
      <c r="AS50" s="253"/>
    </row>
    <row r="51" spans="1:45">
      <c r="A51" s="595"/>
      <c r="B51" s="598"/>
      <c r="C51" s="599"/>
      <c r="D51" s="254"/>
      <c r="E51" s="985" t="s">
        <v>58</v>
      </c>
      <c r="F51" s="969"/>
      <c r="G51" s="969" t="s">
        <v>321</v>
      </c>
      <c r="H51" s="1842" t="s">
        <v>301</v>
      </c>
      <c r="I51" s="1843"/>
      <c r="J51" s="983">
        <f>18.63*0</f>
        <v>0</v>
      </c>
      <c r="K51" s="975" t="s">
        <v>316</v>
      </c>
      <c r="L51" s="977">
        <f>SUM(M51:AP51)</f>
        <v>0</v>
      </c>
      <c r="M51" s="973">
        <f>$J51*M17*M12</f>
        <v>0</v>
      </c>
      <c r="N51" s="973">
        <f t="shared" ref="N51:AP51" si="18">$J51*N17</f>
        <v>0</v>
      </c>
      <c r="O51" s="973">
        <f t="shared" si="18"/>
        <v>0</v>
      </c>
      <c r="P51" s="973">
        <f t="shared" si="18"/>
        <v>0</v>
      </c>
      <c r="Q51" s="973">
        <f t="shared" si="18"/>
        <v>0</v>
      </c>
      <c r="R51" s="973">
        <f t="shared" si="18"/>
        <v>0</v>
      </c>
      <c r="S51" s="973">
        <f t="shared" si="18"/>
        <v>0</v>
      </c>
      <c r="T51" s="973">
        <f t="shared" si="18"/>
        <v>0</v>
      </c>
      <c r="U51" s="973">
        <f t="shared" si="18"/>
        <v>0</v>
      </c>
      <c r="V51" s="973">
        <f t="shared" si="18"/>
        <v>0</v>
      </c>
      <c r="W51" s="973">
        <f t="shared" si="18"/>
        <v>0</v>
      </c>
      <c r="X51" s="973">
        <f t="shared" si="18"/>
        <v>0</v>
      </c>
      <c r="Y51" s="973">
        <f t="shared" si="18"/>
        <v>0</v>
      </c>
      <c r="Z51" s="973">
        <f t="shared" si="18"/>
        <v>0</v>
      </c>
      <c r="AA51" s="973">
        <f t="shared" si="18"/>
        <v>0</v>
      </c>
      <c r="AB51" s="973">
        <f t="shared" si="18"/>
        <v>0</v>
      </c>
      <c r="AC51" s="973">
        <f t="shared" si="18"/>
        <v>0</v>
      </c>
      <c r="AD51" s="973">
        <f t="shared" si="18"/>
        <v>0</v>
      </c>
      <c r="AE51" s="973">
        <f t="shared" si="18"/>
        <v>0</v>
      </c>
      <c r="AF51" s="973">
        <f t="shared" si="18"/>
        <v>0</v>
      </c>
      <c r="AG51" s="973">
        <f t="shared" si="18"/>
        <v>0</v>
      </c>
      <c r="AH51" s="973">
        <f t="shared" si="18"/>
        <v>0</v>
      </c>
      <c r="AI51" s="973">
        <f t="shared" si="18"/>
        <v>0</v>
      </c>
      <c r="AJ51" s="973">
        <f t="shared" si="18"/>
        <v>0</v>
      </c>
      <c r="AK51" s="973">
        <f t="shared" si="18"/>
        <v>0</v>
      </c>
      <c r="AL51" s="973">
        <f t="shared" si="18"/>
        <v>0</v>
      </c>
      <c r="AM51" s="973">
        <f t="shared" si="18"/>
        <v>0</v>
      </c>
      <c r="AN51" s="973">
        <f t="shared" si="18"/>
        <v>0</v>
      </c>
      <c r="AO51" s="973">
        <f t="shared" si="18"/>
        <v>0</v>
      </c>
      <c r="AP51" s="973">
        <f t="shared" si="18"/>
        <v>0</v>
      </c>
      <c r="AR51" s="333"/>
      <c r="AS51" s="253"/>
    </row>
    <row r="52" spans="1:45">
      <c r="A52" s="595"/>
      <c r="B52" s="598"/>
      <c r="C52" s="599"/>
      <c r="D52" s="599"/>
      <c r="E52" s="599"/>
      <c r="F52" s="599"/>
      <c r="G52" s="599"/>
      <c r="H52" s="599"/>
      <c r="I52" s="599"/>
      <c r="J52" s="599"/>
      <c r="K52" s="599"/>
      <c r="L52" s="599"/>
      <c r="M52" s="599"/>
      <c r="N52" s="599"/>
      <c r="O52" s="599"/>
      <c r="P52" s="599"/>
      <c r="Q52" s="599"/>
      <c r="R52" s="599"/>
      <c r="S52" s="599"/>
      <c r="T52" s="599"/>
      <c r="U52" s="599"/>
      <c r="V52" s="599"/>
      <c r="W52" s="599"/>
      <c r="X52" s="599"/>
      <c r="Y52" s="599"/>
      <c r="Z52" s="599"/>
      <c r="AA52" s="599"/>
      <c r="AB52" s="599"/>
      <c r="AC52" s="599"/>
      <c r="AD52" s="599"/>
      <c r="AE52" s="599"/>
      <c r="AF52" s="599"/>
      <c r="AG52" s="599"/>
      <c r="AH52" s="599"/>
      <c r="AI52" s="599"/>
      <c r="AJ52" s="599"/>
      <c r="AK52" s="599"/>
      <c r="AL52" s="599"/>
      <c r="AM52" s="599"/>
      <c r="AN52" s="599"/>
      <c r="AO52" s="599"/>
      <c r="AP52" s="986"/>
      <c r="AR52" s="252"/>
      <c r="AS52" s="253"/>
    </row>
    <row r="53" spans="1:45">
      <c r="A53" s="595"/>
      <c r="B53" s="598"/>
      <c r="C53" s="599"/>
      <c r="E53" s="1836" t="s">
        <v>326</v>
      </c>
      <c r="F53" s="1837"/>
      <c r="G53" s="1837"/>
      <c r="H53" s="1837"/>
      <c r="I53" s="1837"/>
      <c r="J53" s="1837"/>
      <c r="K53" s="1838"/>
      <c r="L53" s="977">
        <f>SUM(L33:L51)</f>
        <v>6633874.0039999997</v>
      </c>
      <c r="M53" s="973">
        <f>SUM(M33:M51)</f>
        <v>0</v>
      </c>
      <c r="N53" s="973">
        <f t="shared" ref="N53:AP53" si="19">SUM(N33:N51)</f>
        <v>228754.27599999998</v>
      </c>
      <c r="O53" s="973">
        <f t="shared" si="19"/>
        <v>228754.27599999998</v>
      </c>
      <c r="P53" s="973">
        <f t="shared" si="19"/>
        <v>228754.27599999998</v>
      </c>
      <c r="Q53" s="973">
        <f t="shared" si="19"/>
        <v>228754.27599999998</v>
      </c>
      <c r="R53" s="973">
        <f t="shared" si="19"/>
        <v>228754.27599999998</v>
      </c>
      <c r="S53" s="973">
        <f t="shared" si="19"/>
        <v>228754.27599999998</v>
      </c>
      <c r="T53" s="973">
        <f t="shared" si="19"/>
        <v>228754.27599999998</v>
      </c>
      <c r="U53" s="973">
        <f t="shared" si="19"/>
        <v>228754.27599999998</v>
      </c>
      <c r="V53" s="973">
        <f t="shared" si="19"/>
        <v>228754.27599999998</v>
      </c>
      <c r="W53" s="973">
        <f t="shared" si="19"/>
        <v>228754.27599999998</v>
      </c>
      <c r="X53" s="973">
        <f t="shared" si="19"/>
        <v>228754.27599999998</v>
      </c>
      <c r="Y53" s="973">
        <f t="shared" si="19"/>
        <v>228754.27599999998</v>
      </c>
      <c r="Z53" s="973">
        <f t="shared" si="19"/>
        <v>228754.27599999998</v>
      </c>
      <c r="AA53" s="973">
        <f t="shared" si="19"/>
        <v>228754.27599999998</v>
      </c>
      <c r="AB53" s="973">
        <f t="shared" si="19"/>
        <v>228754.27599999998</v>
      </c>
      <c r="AC53" s="973">
        <f t="shared" si="19"/>
        <v>228754.27599999998</v>
      </c>
      <c r="AD53" s="973">
        <f t="shared" si="19"/>
        <v>228754.27599999998</v>
      </c>
      <c r="AE53" s="973">
        <f t="shared" si="19"/>
        <v>228754.27599999998</v>
      </c>
      <c r="AF53" s="973">
        <f t="shared" si="19"/>
        <v>228754.27599999998</v>
      </c>
      <c r="AG53" s="973">
        <f t="shared" si="19"/>
        <v>228754.27599999998</v>
      </c>
      <c r="AH53" s="973">
        <f t="shared" si="19"/>
        <v>228754.27599999998</v>
      </c>
      <c r="AI53" s="973">
        <f t="shared" si="19"/>
        <v>228754.27599999998</v>
      </c>
      <c r="AJ53" s="973">
        <f t="shared" si="19"/>
        <v>228754.27599999998</v>
      </c>
      <c r="AK53" s="973">
        <f t="shared" si="19"/>
        <v>228754.27599999998</v>
      </c>
      <c r="AL53" s="973">
        <f t="shared" si="19"/>
        <v>228754.27599999998</v>
      </c>
      <c r="AM53" s="973">
        <f t="shared" si="19"/>
        <v>228754.27599999998</v>
      </c>
      <c r="AN53" s="973">
        <f t="shared" si="19"/>
        <v>228754.27599999998</v>
      </c>
      <c r="AO53" s="973">
        <f t="shared" si="19"/>
        <v>228754.27599999998</v>
      </c>
      <c r="AP53" s="973">
        <f t="shared" si="19"/>
        <v>228754.27599999998</v>
      </c>
      <c r="AR53" s="252"/>
    </row>
    <row r="54" spans="1:45">
      <c r="A54" s="595"/>
      <c r="B54" s="598"/>
      <c r="C54" s="599"/>
      <c r="D54" s="599"/>
      <c r="E54" s="599"/>
      <c r="F54" s="599"/>
      <c r="G54" s="599"/>
      <c r="H54" s="599"/>
      <c r="I54" s="599"/>
      <c r="J54" s="599"/>
      <c r="K54" s="599"/>
      <c r="L54" s="599"/>
      <c r="M54" s="599"/>
      <c r="N54" s="599"/>
      <c r="O54" s="599"/>
      <c r="P54" s="599"/>
      <c r="Q54" s="599"/>
      <c r="R54" s="599"/>
      <c r="S54" s="599"/>
      <c r="T54" s="599"/>
      <c r="U54" s="599"/>
      <c r="V54" s="599"/>
      <c r="W54" s="599"/>
      <c r="X54" s="599"/>
      <c r="Y54" s="599"/>
      <c r="Z54" s="599"/>
      <c r="AA54" s="599"/>
      <c r="AB54" s="599"/>
      <c r="AC54" s="599"/>
      <c r="AD54" s="599"/>
      <c r="AE54" s="599"/>
      <c r="AF54" s="599"/>
      <c r="AG54" s="599"/>
      <c r="AH54" s="599"/>
      <c r="AI54" s="599"/>
      <c r="AJ54" s="599"/>
      <c r="AK54" s="599"/>
      <c r="AL54" s="599"/>
      <c r="AM54" s="599"/>
      <c r="AN54" s="599"/>
      <c r="AO54" s="599"/>
      <c r="AP54" s="986"/>
      <c r="AR54" s="252"/>
    </row>
    <row r="55" spans="1:45">
      <c r="A55" s="595"/>
      <c r="B55" s="598"/>
      <c r="C55" s="599"/>
      <c r="E55" s="1839" t="s">
        <v>327</v>
      </c>
      <c r="F55" s="1840"/>
      <c r="G55" s="1840"/>
      <c r="H55" s="1840"/>
      <c r="I55" s="1840"/>
      <c r="J55" s="1840"/>
      <c r="K55" s="1841"/>
      <c r="L55" s="977">
        <f>L53+L27</f>
        <v>13889372.922000002</v>
      </c>
      <c r="M55" s="973">
        <f t="shared" ref="M55:AP55" si="20">M27+M53</f>
        <v>0</v>
      </c>
      <c r="N55" s="973">
        <f t="shared" si="20"/>
        <v>461675.61800000002</v>
      </c>
      <c r="O55" s="973">
        <f t="shared" si="20"/>
        <v>461675.61800000002</v>
      </c>
      <c r="P55" s="973">
        <f t="shared" si="20"/>
        <v>461675.61800000002</v>
      </c>
      <c r="Q55" s="973">
        <f t="shared" si="20"/>
        <v>561831.61800000002</v>
      </c>
      <c r="R55" s="973">
        <f t="shared" si="20"/>
        <v>461675.61800000002</v>
      </c>
      <c r="S55" s="973">
        <f t="shared" si="20"/>
        <v>461675.61800000002</v>
      </c>
      <c r="T55" s="973">
        <f t="shared" si="20"/>
        <v>461675.61800000002</v>
      </c>
      <c r="U55" s="973">
        <f t="shared" si="20"/>
        <v>461675.61800000002</v>
      </c>
      <c r="V55" s="973">
        <f t="shared" si="20"/>
        <v>461675.61800000002</v>
      </c>
      <c r="W55" s="973">
        <f t="shared" si="20"/>
        <v>561831.61800000002</v>
      </c>
      <c r="X55" s="973">
        <f t="shared" si="20"/>
        <v>461675.61800000002</v>
      </c>
      <c r="Y55" s="973">
        <f t="shared" si="20"/>
        <v>461675.61800000002</v>
      </c>
      <c r="Z55" s="973">
        <f t="shared" si="20"/>
        <v>461675.61800000002</v>
      </c>
      <c r="AA55" s="973">
        <f t="shared" si="20"/>
        <v>461675.61800000002</v>
      </c>
      <c r="AB55" s="973">
        <f t="shared" si="20"/>
        <v>461675.61800000002</v>
      </c>
      <c r="AC55" s="973">
        <f t="shared" si="20"/>
        <v>561831.61800000002</v>
      </c>
      <c r="AD55" s="973">
        <f t="shared" si="20"/>
        <v>461675.61800000002</v>
      </c>
      <c r="AE55" s="973">
        <f t="shared" si="20"/>
        <v>461675.61800000002</v>
      </c>
      <c r="AF55" s="973">
        <f t="shared" si="20"/>
        <v>461675.61800000002</v>
      </c>
      <c r="AG55" s="973">
        <f t="shared" si="20"/>
        <v>461675.61800000002</v>
      </c>
      <c r="AH55" s="973">
        <f t="shared" si="20"/>
        <v>461675.61800000002</v>
      </c>
      <c r="AI55" s="973">
        <f t="shared" si="20"/>
        <v>561831.61800000002</v>
      </c>
      <c r="AJ55" s="973">
        <f t="shared" si="20"/>
        <v>461675.61800000002</v>
      </c>
      <c r="AK55" s="973">
        <f t="shared" si="20"/>
        <v>461675.61800000002</v>
      </c>
      <c r="AL55" s="973">
        <f t="shared" si="20"/>
        <v>461675.61800000002</v>
      </c>
      <c r="AM55" s="973">
        <f t="shared" si="20"/>
        <v>461675.61800000002</v>
      </c>
      <c r="AN55" s="973">
        <f t="shared" si="20"/>
        <v>461675.61800000002</v>
      </c>
      <c r="AO55" s="973">
        <f t="shared" si="20"/>
        <v>561831.61800000002</v>
      </c>
      <c r="AP55" s="973">
        <f t="shared" si="20"/>
        <v>461675.61800000002</v>
      </c>
      <c r="AR55" s="252"/>
    </row>
    <row r="56" spans="1:45">
      <c r="A56" s="595"/>
      <c r="B56" s="598"/>
      <c r="C56" s="599"/>
      <c r="L56" s="334"/>
    </row>
    <row r="57" spans="1:45">
      <c r="A57" s="595"/>
      <c r="B57" s="598"/>
      <c r="C57" s="599"/>
    </row>
    <row r="58" spans="1:45">
      <c r="A58" s="595"/>
      <c r="B58" s="598"/>
      <c r="C58" s="599"/>
      <c r="L58" s="334"/>
    </row>
    <row r="59" spans="1:45">
      <c r="A59" s="595"/>
      <c r="B59" s="598"/>
      <c r="C59" s="599"/>
    </row>
    <row r="60" spans="1:45">
      <c r="A60" s="595"/>
      <c r="B60" s="598"/>
      <c r="C60" s="599"/>
    </row>
    <row r="61" spans="1:45">
      <c r="A61" s="595"/>
      <c r="B61" s="598"/>
      <c r="C61" s="599"/>
    </row>
    <row r="62" spans="1:45">
      <c r="A62" s="595"/>
      <c r="B62" s="598"/>
      <c r="C62" s="599"/>
    </row>
    <row r="63" spans="1:45">
      <c r="A63" s="595"/>
      <c r="B63" s="598"/>
      <c r="C63" s="599"/>
    </row>
    <row r="64" spans="1:45">
      <c r="A64" s="595"/>
      <c r="B64" s="598"/>
      <c r="C64" s="599"/>
    </row>
    <row r="65" spans="1:3">
      <c r="A65" s="595"/>
      <c r="B65" s="598"/>
      <c r="C65" s="599"/>
    </row>
    <row r="66" spans="1:3">
      <c r="A66" s="595"/>
      <c r="B66" s="598"/>
      <c r="C66" s="599"/>
    </row>
    <row r="67" spans="1:3">
      <c r="A67" s="595"/>
      <c r="B67" s="598"/>
      <c r="C67" s="599"/>
    </row>
    <row r="68" spans="1:3">
      <c r="A68" s="595"/>
      <c r="B68" s="598"/>
      <c r="C68" s="599"/>
    </row>
    <row r="69" spans="1:3">
      <c r="A69" s="595"/>
      <c r="B69" s="598"/>
      <c r="C69" s="599"/>
    </row>
    <row r="70" spans="1:3">
      <c r="A70" s="595"/>
      <c r="B70" s="598"/>
      <c r="C70" s="599"/>
    </row>
    <row r="71" spans="1:3">
      <c r="A71" s="595"/>
      <c r="B71" s="598"/>
      <c r="C71" s="599"/>
    </row>
    <row r="72" spans="1:3">
      <c r="A72" s="595"/>
      <c r="B72" s="598"/>
      <c r="C72" s="599"/>
    </row>
    <row r="73" spans="1:3">
      <c r="A73" s="595"/>
      <c r="B73" s="598"/>
      <c r="C73" s="599"/>
    </row>
    <row r="74" spans="1:3">
      <c r="A74" s="595"/>
      <c r="B74" s="598"/>
      <c r="C74" s="599"/>
    </row>
    <row r="75" spans="1:3">
      <c r="A75" s="595"/>
      <c r="B75" s="242"/>
      <c r="C75" s="599"/>
    </row>
    <row r="76" spans="1:3">
      <c r="A76" s="595"/>
      <c r="B76" s="242"/>
      <c r="C76" s="599"/>
    </row>
    <row r="77" spans="1:3">
      <c r="A77" s="595"/>
      <c r="B77" s="242"/>
      <c r="C77" s="599"/>
    </row>
    <row r="78" spans="1:3">
      <c r="A78" s="595"/>
      <c r="B78" s="242"/>
      <c r="C78" s="599"/>
    </row>
    <row r="79" spans="1:3">
      <c r="A79" s="595"/>
      <c r="B79" s="242"/>
      <c r="C79" s="599"/>
    </row>
    <row r="80" spans="1:3">
      <c r="A80" s="595"/>
      <c r="B80" s="242"/>
      <c r="C80" s="599"/>
    </row>
    <row r="81" spans="1:3">
      <c r="A81" s="595"/>
      <c r="B81" s="242"/>
      <c r="C81" s="599"/>
    </row>
    <row r="82" spans="1:3">
      <c r="A82" s="595"/>
      <c r="B82" s="242"/>
      <c r="C82" s="599"/>
    </row>
    <row r="83" spans="1:3">
      <c r="A83" s="595"/>
      <c r="B83" s="242"/>
      <c r="C83" s="599"/>
    </row>
    <row r="84" spans="1:3">
      <c r="A84" s="595"/>
      <c r="B84" s="242"/>
      <c r="C84" s="599"/>
    </row>
    <row r="85" spans="1:3">
      <c r="A85" s="595"/>
      <c r="B85" s="242"/>
      <c r="C85" s="599"/>
    </row>
    <row r="86" spans="1:3">
      <c r="A86" s="595"/>
      <c r="B86" s="242"/>
      <c r="C86" s="599"/>
    </row>
    <row r="87" spans="1:3">
      <c r="A87" s="595"/>
      <c r="B87" s="242"/>
      <c r="C87" s="599"/>
    </row>
    <row r="88" spans="1:3">
      <c r="A88" s="595"/>
      <c r="B88" s="242"/>
      <c r="C88" s="599"/>
    </row>
    <row r="89" spans="1:3">
      <c r="A89" s="595"/>
      <c r="B89" s="242"/>
      <c r="C89" s="599"/>
    </row>
    <row r="90" spans="1:3">
      <c r="A90" s="595"/>
      <c r="B90" s="242"/>
      <c r="C90" s="599"/>
    </row>
    <row r="91" spans="1:3">
      <c r="A91" s="595"/>
      <c r="B91" s="242"/>
      <c r="C91" s="599"/>
    </row>
    <row r="92" spans="1:3">
      <c r="A92" s="595"/>
      <c r="B92" s="242"/>
      <c r="C92" s="599"/>
    </row>
    <row r="93" spans="1:3">
      <c r="A93" s="595"/>
      <c r="B93" s="242"/>
      <c r="C93" s="599"/>
    </row>
    <row r="94" spans="1:3">
      <c r="A94" s="595"/>
      <c r="B94" s="242"/>
      <c r="C94" s="599"/>
    </row>
    <row r="95" spans="1:3">
      <c r="A95" s="595"/>
      <c r="B95" s="242"/>
      <c r="C95" s="599"/>
    </row>
    <row r="96" spans="1:3">
      <c r="A96" s="595"/>
      <c r="B96" s="242"/>
      <c r="C96" s="243"/>
    </row>
    <row r="97" spans="1:3">
      <c r="A97" s="595"/>
      <c r="B97" s="242"/>
      <c r="C97" s="243"/>
    </row>
    <row r="98" spans="1:3">
      <c r="A98" s="595"/>
      <c r="B98" s="242"/>
      <c r="C98" s="243"/>
    </row>
    <row r="99" spans="1:3">
      <c r="A99" s="595"/>
      <c r="B99" s="242"/>
      <c r="C99" s="243"/>
    </row>
    <row r="100" spans="1:3">
      <c r="A100" s="595"/>
      <c r="B100" s="242"/>
      <c r="C100" s="243"/>
    </row>
    <row r="101" spans="1:3">
      <c r="A101" s="595"/>
      <c r="B101" s="242"/>
      <c r="C101" s="243"/>
    </row>
    <row r="102" spans="1:3">
      <c r="A102" s="595"/>
      <c r="B102" s="242"/>
      <c r="C102" s="243"/>
    </row>
    <row r="103" spans="1:3">
      <c r="A103" s="595"/>
      <c r="B103" s="242"/>
      <c r="C103" s="243"/>
    </row>
    <row r="104" spans="1:3">
      <c r="A104" s="595"/>
      <c r="B104" s="242"/>
      <c r="C104" s="243"/>
    </row>
    <row r="105" spans="1:3">
      <c r="A105" s="595"/>
      <c r="B105" s="242"/>
      <c r="C105" s="243"/>
    </row>
    <row r="106" spans="1:3">
      <c r="A106" s="595"/>
      <c r="B106" s="242"/>
      <c r="C106" s="243"/>
    </row>
    <row r="107" spans="1:3">
      <c r="A107" s="595"/>
      <c r="B107" s="242"/>
      <c r="C107" s="243"/>
    </row>
    <row r="108" spans="1:3">
      <c r="A108" s="595"/>
      <c r="B108" s="242"/>
      <c r="C108" s="243"/>
    </row>
    <row r="109" spans="1:3">
      <c r="A109" s="595"/>
      <c r="B109" s="242"/>
      <c r="C109" s="243"/>
    </row>
  </sheetData>
  <mergeCells count="38">
    <mergeCell ref="G17:L17"/>
    <mergeCell ref="G16:L16"/>
    <mergeCell ref="E16:F19"/>
    <mergeCell ref="J21:K21"/>
    <mergeCell ref="E27:K27"/>
    <mergeCell ref="G19:I19"/>
    <mergeCell ref="G18:L18"/>
    <mergeCell ref="E26:F26"/>
    <mergeCell ref="H21:I21"/>
    <mergeCell ref="H22:I22"/>
    <mergeCell ref="H23:I23"/>
    <mergeCell ref="H24:I24"/>
    <mergeCell ref="H25:I25"/>
    <mergeCell ref="H26:I26"/>
    <mergeCell ref="E21:F21"/>
    <mergeCell ref="E22:F22"/>
    <mergeCell ref="E23:F23"/>
    <mergeCell ref="E24:F24"/>
    <mergeCell ref="E25:F25"/>
    <mergeCell ref="J19:L19"/>
    <mergeCell ref="E30:F30"/>
    <mergeCell ref="H30:I30"/>
    <mergeCell ref="E31:F31"/>
    <mergeCell ref="E32:F32"/>
    <mergeCell ref="H41:I41"/>
    <mergeCell ref="H43:I43"/>
    <mergeCell ref="E33:K33"/>
    <mergeCell ref="H39:I39"/>
    <mergeCell ref="H37:I37"/>
    <mergeCell ref="H35:I35"/>
    <mergeCell ref="H31:I31"/>
    <mergeCell ref="H32:I32"/>
    <mergeCell ref="E53:K53"/>
    <mergeCell ref="E55:K55"/>
    <mergeCell ref="H45:I45"/>
    <mergeCell ref="H47:I47"/>
    <mergeCell ref="H49:I49"/>
    <mergeCell ref="H51:I51"/>
  </mergeCells>
  <pageMargins left="0.78740157499999996" right="0.78740157499999996" top="0.984251969" bottom="0.984251969" header="0.49212598499999999" footer="0.49212598499999999"/>
  <pageSetup paperSize="9" orientation="portrait" r:id="rId1"/>
  <headerFooter alignWithMargins="0"/>
  <ignoredErrors>
    <ignoredError sqref="M55:AR58 M27:AQ27 N29:AQ29 N41:AQ41 AQ43 AQ45 AQ47 N49:AQ49 AQ51 AQ53:AR53 M33:AQ33 AS24:AT27 AS29:AT29 AS41:AT41 AS43:AT43 AS45:AT45 AS47:AT47 AS49:AT49 AS51:AT51 AS30:AT33 M61:AR62 M59:Q59 S59:AR59 M60:Q60 S60:AR60 AQ24 AQ25:AQ26 AQ30 AQ31 AQ32 AS55:AT58 AS53:AT53 AS61:AT62 AS59:AT59 AS60:AT60 N24:AP24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6">
    <tabColor theme="9" tint="-0.499984740745262"/>
  </sheetPr>
  <dimension ref="A1:BG43"/>
  <sheetViews>
    <sheetView showZeros="0" tabSelected="1" workbookViewId="0">
      <selection activeCell="E11" sqref="E11"/>
    </sheetView>
  </sheetViews>
  <sheetFormatPr defaultColWidth="9.140625" defaultRowHeight="12.75"/>
  <cols>
    <col min="1" max="1" width="2.28515625" style="602" customWidth="1"/>
    <col min="2" max="3" width="2.28515625" style="341" customWidth="1"/>
    <col min="4" max="4" width="33.7109375" style="341" customWidth="1"/>
    <col min="5" max="5" width="10.85546875" style="341" customWidth="1"/>
    <col min="6" max="35" width="10" style="341" customWidth="1"/>
    <col min="36" max="36" width="10.7109375" style="341" customWidth="1"/>
    <col min="37" max="16384" width="9.140625" style="341"/>
  </cols>
  <sheetData>
    <row r="1" spans="1:59" s="602" customFormat="1">
      <c r="A1" s="595"/>
      <c r="B1" s="596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  <c r="P1" s="595"/>
      <c r="Q1" s="595"/>
      <c r="R1" s="595"/>
      <c r="S1" s="595"/>
      <c r="T1" s="595"/>
      <c r="U1" s="595"/>
      <c r="V1" s="595"/>
      <c r="W1" s="595"/>
      <c r="X1" s="595"/>
      <c r="Y1" s="595"/>
      <c r="Z1" s="595"/>
      <c r="AA1" s="595"/>
      <c r="AB1" s="595"/>
      <c r="AC1" s="595"/>
      <c r="AD1" s="595"/>
      <c r="AE1" s="595"/>
      <c r="AF1" s="595"/>
      <c r="AG1" s="595"/>
      <c r="AH1" s="595"/>
      <c r="AI1" s="595"/>
      <c r="AJ1" s="595"/>
      <c r="AK1" s="595"/>
      <c r="AL1" s="595"/>
      <c r="AM1" s="595"/>
      <c r="AN1" s="595"/>
      <c r="AO1" s="595"/>
      <c r="AP1" s="595"/>
      <c r="AQ1" s="595"/>
      <c r="AR1" s="595"/>
      <c r="AS1" s="595"/>
      <c r="AT1" s="595"/>
      <c r="AU1" s="595"/>
      <c r="AV1" s="595"/>
      <c r="AW1" s="595"/>
      <c r="AX1" s="595"/>
      <c r="AY1" s="595"/>
      <c r="AZ1" s="595"/>
      <c r="BA1" s="595"/>
      <c r="BB1" s="595"/>
      <c r="BC1" s="595"/>
      <c r="BD1" s="595"/>
      <c r="BE1" s="595"/>
      <c r="BF1" s="595"/>
      <c r="BG1" s="595"/>
    </row>
    <row r="2" spans="1:59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598"/>
      <c r="AI2" s="598"/>
      <c r="AJ2" s="598"/>
      <c r="AK2" s="598"/>
      <c r="AL2" s="598"/>
      <c r="AM2" s="598"/>
      <c r="AN2" s="598"/>
      <c r="AO2" s="598"/>
      <c r="AP2" s="598"/>
      <c r="AQ2" s="598"/>
      <c r="AR2" s="598"/>
      <c r="AS2" s="598"/>
      <c r="AT2" s="598"/>
      <c r="AU2" s="598"/>
      <c r="AV2" s="242"/>
      <c r="AW2" s="242"/>
      <c r="AX2" s="242"/>
      <c r="AY2" s="242"/>
      <c r="AZ2" s="242"/>
      <c r="BA2" s="242"/>
      <c r="BB2" s="242"/>
      <c r="BC2" s="242"/>
      <c r="BD2" s="242"/>
      <c r="BE2" s="242"/>
      <c r="BF2" s="242"/>
      <c r="BG2" s="242"/>
    </row>
    <row r="3" spans="1:59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599"/>
      <c r="AI3" s="599"/>
      <c r="AJ3" s="599"/>
      <c r="AK3" s="599"/>
      <c r="AL3" s="599"/>
      <c r="AM3" s="599"/>
      <c r="AN3" s="599"/>
      <c r="AO3" s="599"/>
      <c r="AP3" s="599"/>
      <c r="AQ3" s="599"/>
      <c r="AR3" s="599"/>
      <c r="AS3" s="599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</row>
    <row r="4" spans="1:59" ht="33" customHeight="1">
      <c r="A4" s="595"/>
      <c r="B4" s="598"/>
      <c r="C4" s="599"/>
      <c r="D4" s="988" t="s">
        <v>328</v>
      </c>
      <c r="E4" s="989" t="s">
        <v>38</v>
      </c>
      <c r="F4" s="2000">
        <v>1</v>
      </c>
      <c r="G4" s="2000">
        <v>2</v>
      </c>
      <c r="H4" s="2000">
        <v>3</v>
      </c>
      <c r="I4" s="2000">
        <v>4</v>
      </c>
      <c r="J4" s="2000">
        <v>5</v>
      </c>
      <c r="K4" s="2000">
        <v>6</v>
      </c>
      <c r="L4" s="2000">
        <v>7</v>
      </c>
      <c r="M4" s="2000">
        <v>8</v>
      </c>
      <c r="N4" s="2000">
        <v>9</v>
      </c>
      <c r="O4" s="2000">
        <v>10</v>
      </c>
      <c r="P4" s="2000">
        <v>11</v>
      </c>
      <c r="Q4" s="2000">
        <v>12</v>
      </c>
      <c r="R4" s="2000">
        <v>13</v>
      </c>
      <c r="S4" s="2000">
        <v>14</v>
      </c>
      <c r="T4" s="2000">
        <v>15</v>
      </c>
      <c r="U4" s="2000">
        <v>16</v>
      </c>
      <c r="V4" s="2000">
        <v>17</v>
      </c>
      <c r="W4" s="2000">
        <v>18</v>
      </c>
      <c r="X4" s="2000">
        <v>19</v>
      </c>
      <c r="Y4" s="2000">
        <v>20</v>
      </c>
      <c r="Z4" s="2000">
        <v>21</v>
      </c>
      <c r="AA4" s="2000">
        <v>22</v>
      </c>
      <c r="AB4" s="2000">
        <v>23</v>
      </c>
      <c r="AC4" s="2000">
        <v>24</v>
      </c>
      <c r="AD4" s="2000">
        <v>25</v>
      </c>
      <c r="AE4" s="2000">
        <v>26</v>
      </c>
      <c r="AF4" s="2000">
        <v>27</v>
      </c>
      <c r="AG4" s="2000">
        <v>28</v>
      </c>
      <c r="AH4" s="2000">
        <v>29</v>
      </c>
      <c r="AI4" s="2000">
        <v>30</v>
      </c>
      <c r="AJ4" s="345"/>
      <c r="AK4" s="345"/>
      <c r="AL4" s="345"/>
      <c r="AM4" s="345"/>
      <c r="AN4" s="345"/>
      <c r="AO4" s="345"/>
      <c r="AP4" s="345"/>
      <c r="AQ4" s="345"/>
      <c r="AR4" s="345"/>
      <c r="AS4" s="345"/>
      <c r="AT4" s="345"/>
      <c r="AU4" s="345"/>
      <c r="AV4" s="345"/>
      <c r="AW4" s="345"/>
      <c r="AX4" s="345"/>
      <c r="AY4" s="345"/>
      <c r="AZ4" s="345"/>
      <c r="BA4" s="345"/>
      <c r="BB4" s="345"/>
      <c r="BC4" s="345"/>
      <c r="BD4" s="345"/>
      <c r="BE4" s="345"/>
      <c r="BF4" s="345"/>
    </row>
    <row r="5" spans="1:59" ht="18" customHeight="1">
      <c r="A5" s="595"/>
      <c r="B5" s="598"/>
      <c r="C5" s="599"/>
      <c r="D5" s="990" t="s">
        <v>329</v>
      </c>
      <c r="E5" s="991">
        <f>SUM(F5:AJ5)</f>
        <v>274602339.36065185</v>
      </c>
      <c r="F5" s="992">
        <f>Conservação!O9*Conservação!O8</f>
        <v>4417983.2159015741</v>
      </c>
      <c r="G5" s="992">
        <f>Conservação!X9</f>
        <v>6051136.7798354775</v>
      </c>
      <c r="H5" s="992">
        <f>Conservação!AF9</f>
        <v>11345881.462191518</v>
      </c>
      <c r="I5" s="992">
        <f>Conservação!AN9</f>
        <v>6051136.7798354775</v>
      </c>
      <c r="J5" s="992">
        <f>Conservação!AV9</f>
        <v>6051136.7798354775</v>
      </c>
      <c r="K5" s="992">
        <f>Conservação!BD9</f>
        <v>8925927.172542708</v>
      </c>
      <c r="L5" s="992">
        <f>Conservação!BL9</f>
        <v>12239057.784583179</v>
      </c>
      <c r="M5" s="992">
        <f>Conservação!BT9</f>
        <v>6527497.4851110289</v>
      </c>
      <c r="N5" s="992">
        <f>Conservação!CB9</f>
        <v>9383277.6348471045</v>
      </c>
      <c r="O5" s="992">
        <f>Conservação!CJ9</f>
        <v>12239057.784583179</v>
      </c>
      <c r="P5" s="992">
        <f>Conservação!CR9</f>
        <v>6527497.4851110289</v>
      </c>
      <c r="Q5" s="992">
        <f>Conservação!CZ9</f>
        <v>9383277.6348471045</v>
      </c>
      <c r="R5" s="992">
        <f>Conservação!DH9</f>
        <v>12239057.784583179</v>
      </c>
      <c r="S5" s="992">
        <f>Conservação!DP9</f>
        <v>6527497.4851110289</v>
      </c>
      <c r="T5" s="992">
        <f>Conservação!DX9</f>
        <v>9383277.6348471045</v>
      </c>
      <c r="U5" s="992">
        <f>Conservação!EF9</f>
        <v>12438999.011344207</v>
      </c>
      <c r="V5" s="992">
        <f>Conservação!EN9</f>
        <v>6634132.8060502429</v>
      </c>
      <c r="W5" s="992">
        <f>Conservação!EV9</f>
        <v>9536565.9086972233</v>
      </c>
      <c r="X5" s="992">
        <f>Conservação!FD9</f>
        <v>12438999.011344207</v>
      </c>
      <c r="Y5" s="992">
        <f>Conservação!FL9</f>
        <v>6634132.8060502429</v>
      </c>
      <c r="Z5" s="992">
        <f>Conservação!FT9</f>
        <v>9926691.4705229774</v>
      </c>
      <c r="AA5" s="992">
        <f>Conservação!GB9</f>
        <v>12947858.439812582</v>
      </c>
      <c r="AB5" s="992">
        <f>Conservação!GJ9</f>
        <v>6905524.5012333775</v>
      </c>
      <c r="AC5" s="992">
        <f>Conservação!GR9</f>
        <v>9926691.4705229774</v>
      </c>
      <c r="AD5" s="992">
        <f>Conservação!GZ9</f>
        <v>12947858.439812582</v>
      </c>
      <c r="AE5" s="992">
        <f>Conservação!HH9</f>
        <v>6958842.1617029822</v>
      </c>
      <c r="AF5" s="992">
        <f>Conservação!HP9</f>
        <v>10003335.607448036</v>
      </c>
      <c r="AG5" s="992">
        <f>Conservação!HX9</f>
        <v>13047829.053193094</v>
      </c>
      <c r="AH5" s="992">
        <f>Conservação!IF9</f>
        <v>6958842.1617029822</v>
      </c>
      <c r="AI5" s="992">
        <f>Conservação!IN9</f>
        <v>10003335.607448036</v>
      </c>
      <c r="AJ5" s="345"/>
      <c r="AK5" s="345"/>
      <c r="AL5" s="345"/>
      <c r="AM5" s="345"/>
      <c r="AN5" s="345"/>
      <c r="AO5" s="345"/>
      <c r="AP5" s="345"/>
      <c r="AQ5" s="345"/>
      <c r="AR5" s="345"/>
      <c r="AS5" s="345"/>
      <c r="AT5" s="345"/>
      <c r="AU5" s="345"/>
      <c r="AV5" s="345"/>
      <c r="AW5" s="345"/>
      <c r="AX5" s="345"/>
      <c r="AY5" s="345"/>
      <c r="AZ5" s="345"/>
      <c r="BA5" s="345"/>
      <c r="BB5" s="345"/>
      <c r="BC5" s="345"/>
      <c r="BD5" s="345"/>
      <c r="BE5" s="345"/>
      <c r="BF5" s="345"/>
    </row>
    <row r="6" spans="1:59" ht="18" customHeight="1">
      <c r="A6" s="595"/>
      <c r="B6" s="598"/>
      <c r="C6" s="599"/>
      <c r="D6" s="990" t="s">
        <v>330</v>
      </c>
      <c r="E6" s="991">
        <f t="shared" ref="E6:E13" si="0">SUM(F6:AJ6)</f>
        <v>36145935.267252266</v>
      </c>
      <c r="F6" s="992">
        <f>Conservação!O27*Conservação!O8</f>
        <v>828820.28800000029</v>
      </c>
      <c r="G6" s="992">
        <f>Conservação!X27</f>
        <v>828820.28800000029</v>
      </c>
      <c r="H6" s="992">
        <f>Conservação!AF27</f>
        <v>1554038.04</v>
      </c>
      <c r="I6" s="992">
        <f>Conservação!AN27</f>
        <v>828820.28800000029</v>
      </c>
      <c r="J6" s="992">
        <f>Conservação!AV27</f>
        <v>828820.28800000029</v>
      </c>
      <c r="K6" s="992">
        <f>Conservação!BD27</f>
        <v>1206029.5300580659</v>
      </c>
      <c r="L6" s="992">
        <f>Conservação!BL27</f>
        <v>1611380.4592742235</v>
      </c>
      <c r="M6" s="992">
        <f>Conservação!BT27</f>
        <v>859402.91161291942</v>
      </c>
      <c r="N6" s="992">
        <f>Conservação!CB27</f>
        <v>1235391.6854435715</v>
      </c>
      <c r="O6" s="992">
        <f>Conservação!CJ27</f>
        <v>1611380.4592742235</v>
      </c>
      <c r="P6" s="992">
        <f>Conservação!CR27</f>
        <v>859402.91161291942</v>
      </c>
      <c r="Q6" s="992">
        <f>Conservação!CZ27</f>
        <v>1235391.6854435715</v>
      </c>
      <c r="R6" s="992">
        <f>Conservação!DH27</f>
        <v>1611380.4592742235</v>
      </c>
      <c r="S6" s="992">
        <f>Conservação!DP27</f>
        <v>859402.91161291942</v>
      </c>
      <c r="T6" s="992">
        <f>Conservação!DX27</f>
        <v>1235391.6854435715</v>
      </c>
      <c r="U6" s="992">
        <f>Conservação!EF27</f>
        <v>1624216.7978198235</v>
      </c>
      <c r="V6" s="992">
        <f>Conservação!EN27</f>
        <v>866248.95883723942</v>
      </c>
      <c r="W6" s="992">
        <f>Conservação!EV27</f>
        <v>1245232.8783285315</v>
      </c>
      <c r="X6" s="992">
        <f>Conservação!FD27</f>
        <v>1624216.7978198235</v>
      </c>
      <c r="Y6" s="992">
        <f>Conservação!FL27</f>
        <v>866248.95883723942</v>
      </c>
      <c r="Z6" s="992">
        <f>Conservação!FT27</f>
        <v>1270279.1575177317</v>
      </c>
      <c r="AA6" s="992">
        <f>Conservação!GB27</f>
        <v>1656885.8576318235</v>
      </c>
      <c r="AB6" s="992">
        <f>Conservação!GJ27</f>
        <v>883672.45740363945</v>
      </c>
      <c r="AC6" s="992">
        <f>Conservação!GR27</f>
        <v>1270279.1575177317</v>
      </c>
      <c r="AD6" s="992">
        <f>Conservação!GZ27</f>
        <v>1656885.8576318235</v>
      </c>
      <c r="AE6" s="992">
        <f>Conservação!HH27</f>
        <v>887095.48101579945</v>
      </c>
      <c r="AF6" s="992">
        <f>Conservação!HP27</f>
        <v>1275199.7539602115</v>
      </c>
      <c r="AG6" s="992">
        <f>Conservação!HX27</f>
        <v>1663304.0269046235</v>
      </c>
      <c r="AH6" s="992">
        <f>Conservação!IF27</f>
        <v>887095.48101579945</v>
      </c>
      <c r="AI6" s="992">
        <f>Conservação!IN27</f>
        <v>1275199.7539602115</v>
      </c>
      <c r="AJ6" s="345"/>
      <c r="AK6" s="345"/>
      <c r="AL6" s="345"/>
      <c r="AM6" s="345"/>
      <c r="AN6" s="345"/>
      <c r="AO6" s="345"/>
      <c r="AP6" s="345"/>
      <c r="AQ6" s="345"/>
      <c r="AR6" s="345"/>
      <c r="AS6" s="345"/>
      <c r="AT6" s="345"/>
      <c r="AU6" s="345"/>
      <c r="AV6" s="345"/>
      <c r="AW6" s="345"/>
      <c r="AX6" s="345"/>
      <c r="AY6" s="345"/>
      <c r="AZ6" s="345"/>
      <c r="BA6" s="345"/>
      <c r="BB6" s="345"/>
      <c r="BC6" s="345"/>
      <c r="BD6" s="345"/>
      <c r="BE6" s="345"/>
      <c r="BF6" s="345"/>
    </row>
    <row r="7" spans="1:59" ht="18" customHeight="1">
      <c r="A7" s="595"/>
      <c r="B7" s="598"/>
      <c r="C7" s="599"/>
      <c r="D7" s="990" t="s">
        <v>143</v>
      </c>
      <c r="E7" s="991">
        <f t="shared" si="0"/>
        <v>19047156.756777</v>
      </c>
      <c r="F7" s="992">
        <f>Conservação!O41*Conservação!O8</f>
        <v>455537.38132799999</v>
      </c>
      <c r="G7" s="992">
        <f>Conservação!X41</f>
        <v>455537.38132799999</v>
      </c>
      <c r="H7" s="992">
        <f>Conservação!AF41</f>
        <v>854132.58999000001</v>
      </c>
      <c r="I7" s="992">
        <f>Conservação!AN41</f>
        <v>455537.38132799999</v>
      </c>
      <c r="J7" s="992">
        <f>Conservação!AV41</f>
        <v>455537.38132799999</v>
      </c>
      <c r="K7" s="992">
        <f>Conservação!BD41</f>
        <v>654834.985659</v>
      </c>
      <c r="L7" s="992">
        <f>Conservação!BL41</f>
        <v>854132.58999000001</v>
      </c>
      <c r="M7" s="992">
        <f>Conservação!BT41</f>
        <v>455537.38132799999</v>
      </c>
      <c r="N7" s="992">
        <f>Conservação!CB41</f>
        <v>654834.985659</v>
      </c>
      <c r="O7" s="992">
        <f>Conservação!CJ41</f>
        <v>854132.58999000001</v>
      </c>
      <c r="P7" s="992">
        <f>Conservação!CR41</f>
        <v>455537.38132799999</v>
      </c>
      <c r="Q7" s="992">
        <f>Conservação!CZ41</f>
        <v>654834.985659</v>
      </c>
      <c r="R7" s="992">
        <f>Conservação!DH41</f>
        <v>854132.58999000001</v>
      </c>
      <c r="S7" s="992">
        <f>Conservação!DP41</f>
        <v>455537.38132799999</v>
      </c>
      <c r="T7" s="992">
        <f>Conservação!DX41</f>
        <v>654834.985659</v>
      </c>
      <c r="U7" s="992">
        <f>Conservação!EF41</f>
        <v>854132.58999000001</v>
      </c>
      <c r="V7" s="992">
        <f>Conservação!EN41</f>
        <v>455537.38132799999</v>
      </c>
      <c r="W7" s="992">
        <f>Conservação!EV41</f>
        <v>654834.985659</v>
      </c>
      <c r="X7" s="992">
        <f>Conservação!FD41</f>
        <v>854132.58999000001</v>
      </c>
      <c r="Y7" s="992">
        <f>Conservação!FL41</f>
        <v>455537.38132799999</v>
      </c>
      <c r="Z7" s="992">
        <f>Conservação!FT41</f>
        <v>654834.985659</v>
      </c>
      <c r="AA7" s="992">
        <f>Conservação!GB41</f>
        <v>854132.58999000001</v>
      </c>
      <c r="AB7" s="992">
        <f>Conservação!GJ41</f>
        <v>455537.38132799999</v>
      </c>
      <c r="AC7" s="992">
        <f>Conservação!GR41</f>
        <v>654834.985659</v>
      </c>
      <c r="AD7" s="992">
        <f>Conservação!GZ41</f>
        <v>854132.58999000001</v>
      </c>
      <c r="AE7" s="992">
        <f>Conservação!HH41</f>
        <v>455537.38132799999</v>
      </c>
      <c r="AF7" s="992">
        <f>Conservação!HP41</f>
        <v>654834.985659</v>
      </c>
      <c r="AG7" s="992">
        <f>Conservação!HX41</f>
        <v>854132.58999000001</v>
      </c>
      <c r="AH7" s="992">
        <f>Conservação!IF41</f>
        <v>455537.38132799999</v>
      </c>
      <c r="AI7" s="992">
        <f>Conservação!IN41</f>
        <v>654834.985659</v>
      </c>
      <c r="AJ7" s="345"/>
      <c r="AK7" s="345"/>
      <c r="AL7" s="345"/>
      <c r="AM7" s="345"/>
      <c r="AN7" s="345"/>
      <c r="AO7" s="345"/>
      <c r="AP7" s="345"/>
      <c r="AQ7" s="345"/>
      <c r="AR7" s="345"/>
      <c r="AS7" s="345"/>
      <c r="AT7" s="345"/>
      <c r="AU7" s="345"/>
      <c r="AV7" s="345"/>
      <c r="AW7" s="345"/>
      <c r="AX7" s="345"/>
      <c r="AY7" s="345"/>
      <c r="AZ7" s="345"/>
      <c r="BA7" s="345"/>
      <c r="BB7" s="345"/>
      <c r="BC7" s="345"/>
      <c r="BD7" s="345"/>
      <c r="BE7" s="345"/>
      <c r="BF7" s="345"/>
    </row>
    <row r="8" spans="1:59" ht="18" customHeight="1">
      <c r="A8" s="595"/>
      <c r="B8" s="598"/>
      <c r="C8" s="599"/>
      <c r="D8" s="990" t="s">
        <v>331</v>
      </c>
      <c r="E8" s="991">
        <f t="shared" si="0"/>
        <v>1641973.7638489495</v>
      </c>
      <c r="F8" s="992">
        <f>Conservação!O51*Conservação!O8</f>
        <v>39269.925592799998</v>
      </c>
      <c r="G8" s="992">
        <f>Conservação!X51</f>
        <v>39269.925592799998</v>
      </c>
      <c r="H8" s="992">
        <f>Conservação!AF51</f>
        <v>73631.110486499994</v>
      </c>
      <c r="I8" s="992">
        <f>Conservação!AN51</f>
        <v>39269.925592799998</v>
      </c>
      <c r="J8" s="992">
        <f>Conservação!AV51</f>
        <v>39269.925592799998</v>
      </c>
      <c r="K8" s="992">
        <f>Conservação!BD51</f>
        <v>56450.518039649985</v>
      </c>
      <c r="L8" s="992">
        <f>Conservação!BL51</f>
        <v>73631.110486499994</v>
      </c>
      <c r="M8" s="992">
        <f>Conservação!BT51</f>
        <v>39269.925592799998</v>
      </c>
      <c r="N8" s="992">
        <f>Conservação!CB51</f>
        <v>56450.518039649985</v>
      </c>
      <c r="O8" s="992">
        <f>Conservação!CJ51</f>
        <v>73631.110486499994</v>
      </c>
      <c r="P8" s="992">
        <f>Conservação!CR51</f>
        <v>39269.925592799998</v>
      </c>
      <c r="Q8" s="992">
        <f>Conservação!CZ51</f>
        <v>56450.518039649985</v>
      </c>
      <c r="R8" s="992">
        <f>Conservação!DH51</f>
        <v>73631.110486499994</v>
      </c>
      <c r="S8" s="992">
        <f>Conservação!DP51</f>
        <v>39269.925592799998</v>
      </c>
      <c r="T8" s="992">
        <f>Conservação!DX51</f>
        <v>56450.518039649985</v>
      </c>
      <c r="U8" s="992">
        <f>Conservação!EF51</f>
        <v>73631.110486499994</v>
      </c>
      <c r="V8" s="992">
        <f>Conservação!EN51</f>
        <v>39269.925592799998</v>
      </c>
      <c r="W8" s="992">
        <f>Conservação!EV51</f>
        <v>56450.518039649985</v>
      </c>
      <c r="X8" s="992">
        <f>Conservação!FD51</f>
        <v>73631.110486499994</v>
      </c>
      <c r="Y8" s="992">
        <f>Conservação!FL51</f>
        <v>39269.925592799998</v>
      </c>
      <c r="Z8" s="992">
        <f>Conservação!FT51</f>
        <v>56450.518039649985</v>
      </c>
      <c r="AA8" s="992">
        <f>Conservação!GB51</f>
        <v>73631.110486499994</v>
      </c>
      <c r="AB8" s="992">
        <f>Conservação!GJ51</f>
        <v>39269.925592799998</v>
      </c>
      <c r="AC8" s="992">
        <f>Conservação!GR51</f>
        <v>56450.518039649985</v>
      </c>
      <c r="AD8" s="992">
        <f>Conservação!GZ51</f>
        <v>73631.110486499994</v>
      </c>
      <c r="AE8" s="992">
        <f>Conservação!HH51</f>
        <v>39269.925592799998</v>
      </c>
      <c r="AF8" s="992">
        <f>Conservação!HP51</f>
        <v>56450.518039649985</v>
      </c>
      <c r="AG8" s="992">
        <f>Conservação!HX51</f>
        <v>73631.110486499994</v>
      </c>
      <c r="AH8" s="992">
        <f>Conservação!IF51</f>
        <v>39269.925592799998</v>
      </c>
      <c r="AI8" s="992">
        <f>Conservação!IN51</f>
        <v>56450.518039649985</v>
      </c>
      <c r="AJ8" s="345"/>
      <c r="AK8" s="345"/>
      <c r="AL8" s="345"/>
      <c r="AM8" s="345"/>
      <c r="AN8" s="345"/>
      <c r="AO8" s="345"/>
      <c r="AP8" s="345"/>
      <c r="AQ8" s="345"/>
      <c r="AR8" s="345"/>
      <c r="AS8" s="345"/>
      <c r="AT8" s="345"/>
      <c r="AU8" s="345"/>
      <c r="AV8" s="345"/>
      <c r="AW8" s="345"/>
      <c r="AX8" s="345"/>
      <c r="AY8" s="345"/>
      <c r="AZ8" s="345"/>
      <c r="BA8" s="345"/>
      <c r="BB8" s="345"/>
      <c r="BC8" s="345"/>
      <c r="BD8" s="345"/>
      <c r="BE8" s="345"/>
      <c r="BF8" s="345"/>
    </row>
    <row r="9" spans="1:59" ht="18" customHeight="1">
      <c r="A9" s="595"/>
      <c r="B9" s="598"/>
      <c r="C9" s="599"/>
      <c r="D9" s="990" t="s">
        <v>332</v>
      </c>
      <c r="E9" s="991">
        <f t="shared" si="0"/>
        <v>3207060.4729950009</v>
      </c>
      <c r="F9" s="992">
        <f>Conservação!O56*Conservação!O8</f>
        <v>71358.669792000015</v>
      </c>
      <c r="G9" s="992">
        <f>Conservação!X56</f>
        <v>71358.669792000015</v>
      </c>
      <c r="H9" s="992">
        <f>Conservação!AF56</f>
        <v>152727.68317500001</v>
      </c>
      <c r="I9" s="992">
        <f>Conservação!AN56</f>
        <v>71358.669792000015</v>
      </c>
      <c r="J9" s="992">
        <f>Conservação!AV56</f>
        <v>71358.669792000015</v>
      </c>
      <c r="K9" s="992">
        <f>Conservação!BD56</f>
        <v>97530.040542000017</v>
      </c>
      <c r="L9" s="992">
        <f>Conservação!BL56</f>
        <v>152727.68317500001</v>
      </c>
      <c r="M9" s="992">
        <f>Conservação!BT56</f>
        <v>71358.669792000015</v>
      </c>
      <c r="N9" s="992">
        <f>Conservação!CB56</f>
        <v>109834.65579675001</v>
      </c>
      <c r="O9" s="992">
        <f>Conservação!CJ56</f>
        <v>152727.68317500001</v>
      </c>
      <c r="P9" s="992">
        <f>Conservação!CR56</f>
        <v>71358.669792000015</v>
      </c>
      <c r="Q9" s="992">
        <f>Conservação!CZ56</f>
        <v>109834.65579675001</v>
      </c>
      <c r="R9" s="992">
        <f>Conservação!DH56</f>
        <v>152727.68317500001</v>
      </c>
      <c r="S9" s="992">
        <f>Conservação!DP56</f>
        <v>71358.669792000015</v>
      </c>
      <c r="T9" s="992">
        <f>Conservação!DX56</f>
        <v>109834.65579675001</v>
      </c>
      <c r="U9" s="992">
        <f>Conservação!EF56</f>
        <v>152727.68317500001</v>
      </c>
      <c r="V9" s="992">
        <f>Conservação!EN56</f>
        <v>71358.669792000015</v>
      </c>
      <c r="W9" s="992">
        <f>Conservação!EV56</f>
        <v>109834.65579675001</v>
      </c>
      <c r="X9" s="992">
        <f>Conservação!FD56</f>
        <v>152727.68317500001</v>
      </c>
      <c r="Y9" s="992">
        <f>Conservação!FL56</f>
        <v>71358.669792000015</v>
      </c>
      <c r="Z9" s="992">
        <f>Conservação!FT56</f>
        <v>109834.65579675001</v>
      </c>
      <c r="AA9" s="992">
        <f>Conservação!GB56</f>
        <v>152727.68317500001</v>
      </c>
      <c r="AB9" s="992">
        <f>Conservação!GJ56</f>
        <v>71358.669792000015</v>
      </c>
      <c r="AC9" s="992">
        <f>Conservação!GR56</f>
        <v>109834.65579675001</v>
      </c>
      <c r="AD9" s="992">
        <f>Conservação!GZ56</f>
        <v>152727.68317500001</v>
      </c>
      <c r="AE9" s="992">
        <f>Conservação!HH56</f>
        <v>71358.669792000015</v>
      </c>
      <c r="AF9" s="992">
        <f>Conservação!HP56</f>
        <v>109834.65579675001</v>
      </c>
      <c r="AG9" s="992">
        <f>Conservação!HX56</f>
        <v>152727.68317500001</v>
      </c>
      <c r="AH9" s="992">
        <f>Conservação!IF56</f>
        <v>71358.669792000015</v>
      </c>
      <c r="AI9" s="992">
        <f>Conservação!IN56</f>
        <v>109834.65579675001</v>
      </c>
      <c r="AJ9" s="345"/>
      <c r="AK9" s="345"/>
      <c r="AL9" s="345"/>
      <c r="AM9" s="345"/>
      <c r="AN9" s="345"/>
      <c r="AO9" s="345"/>
      <c r="AP9" s="345"/>
      <c r="AQ9" s="345"/>
      <c r="AR9" s="345"/>
      <c r="AS9" s="345"/>
      <c r="AT9" s="345"/>
      <c r="AU9" s="345"/>
      <c r="AV9" s="345"/>
      <c r="AW9" s="345"/>
      <c r="AX9" s="345"/>
      <c r="AY9" s="345"/>
      <c r="AZ9" s="345"/>
      <c r="BA9" s="345"/>
      <c r="BB9" s="345"/>
      <c r="BC9" s="345"/>
      <c r="BD9" s="345"/>
      <c r="BE9" s="345"/>
      <c r="BF9" s="345"/>
    </row>
    <row r="10" spans="1:59" ht="18" customHeight="1">
      <c r="A10" s="595"/>
      <c r="B10" s="598"/>
      <c r="C10" s="599"/>
      <c r="D10" s="990" t="s">
        <v>333</v>
      </c>
      <c r="E10" s="991">
        <f t="shared" si="0"/>
        <v>8224890.7573422929</v>
      </c>
      <c r="F10" s="992">
        <f>Conservação!O61*Conservação!O8</f>
        <v>184829.52372480003</v>
      </c>
      <c r="G10" s="992">
        <f>Conservação!X61</f>
        <v>184829.52372480003</v>
      </c>
      <c r="H10" s="992">
        <f>Conservação!AF61</f>
        <v>346555.35698400001</v>
      </c>
      <c r="I10" s="992">
        <f>Conservação!AN61</f>
        <v>184829.52372480003</v>
      </c>
      <c r="J10" s="992">
        <f>Conservação!AV61</f>
        <v>184829.52372480003</v>
      </c>
      <c r="K10" s="992">
        <f>Conservação!BD61</f>
        <v>270556.72173459374</v>
      </c>
      <c r="L10" s="992">
        <f>Conservação!BL61</f>
        <v>365659.64938746183</v>
      </c>
      <c r="M10" s="992">
        <f>Conservação!BT61</f>
        <v>195018.47967331298</v>
      </c>
      <c r="N10" s="992">
        <f>Conservação!CB61</f>
        <v>280339.0645303874</v>
      </c>
      <c r="O10" s="992">
        <f>Conservação!CJ61</f>
        <v>365659.64938746183</v>
      </c>
      <c r="P10" s="992">
        <f>Conservação!CR61</f>
        <v>195018.47967331298</v>
      </c>
      <c r="Q10" s="992">
        <f>Conservação!CZ61</f>
        <v>280339.0645303874</v>
      </c>
      <c r="R10" s="992">
        <f>Conservação!DH61</f>
        <v>365659.64938746183</v>
      </c>
      <c r="S10" s="992">
        <f>Conservação!DP61</f>
        <v>195018.47967331298</v>
      </c>
      <c r="T10" s="992">
        <f>Conservação!DX61</f>
        <v>280339.0645303874</v>
      </c>
      <c r="U10" s="992">
        <f>Conservação!EF61</f>
        <v>369936.22453146189</v>
      </c>
      <c r="V10" s="992">
        <f>Conservação!EN61</f>
        <v>197299.31975011301</v>
      </c>
      <c r="W10" s="992">
        <f>Conservação!EV61</f>
        <v>283617.77214078745</v>
      </c>
      <c r="X10" s="992">
        <f>Conservação!FD61</f>
        <v>369936.22453146189</v>
      </c>
      <c r="Y10" s="992">
        <f>Conservação!FL61</f>
        <v>197299.31975011301</v>
      </c>
      <c r="Z10" s="992">
        <f>Conservação!FT61</f>
        <v>291962.23069878743</v>
      </c>
      <c r="AA10" s="992">
        <f>Conservação!GB61</f>
        <v>380820.30091146188</v>
      </c>
      <c r="AB10" s="992">
        <f>Conservação!GJ61</f>
        <v>203104.16048611299</v>
      </c>
      <c r="AC10" s="992">
        <f>Conservação!GR61</f>
        <v>291962.23069878743</v>
      </c>
      <c r="AD10" s="992">
        <f>Conservação!GZ61</f>
        <v>380820.30091146188</v>
      </c>
      <c r="AE10" s="992">
        <f>Conservação!HH61</f>
        <v>204244.58052451297</v>
      </c>
      <c r="AF10" s="992">
        <f>Conservação!HP61</f>
        <v>293601.58450398745</v>
      </c>
      <c r="AG10" s="992">
        <f>Conservação!HX61</f>
        <v>382958.58848346182</v>
      </c>
      <c r="AH10" s="992">
        <f>Conservação!IF61</f>
        <v>204244.58052451297</v>
      </c>
      <c r="AI10" s="992">
        <f>Conservação!IN61</f>
        <v>293601.58450398745</v>
      </c>
      <c r="AJ10" s="345"/>
      <c r="AK10" s="345"/>
      <c r="AL10" s="345"/>
      <c r="AM10" s="345"/>
      <c r="AN10" s="345"/>
      <c r="AO10" s="345"/>
      <c r="AP10" s="345"/>
      <c r="AQ10" s="345"/>
      <c r="AR10" s="345"/>
      <c r="AS10" s="345"/>
      <c r="AT10" s="345"/>
      <c r="AU10" s="345"/>
      <c r="AV10" s="345"/>
      <c r="AW10" s="345"/>
      <c r="AX10" s="345"/>
      <c r="AY10" s="345"/>
      <c r="AZ10" s="345"/>
      <c r="BA10" s="345"/>
      <c r="BB10" s="345"/>
      <c r="BC10" s="345"/>
      <c r="BD10" s="345"/>
      <c r="BE10" s="345"/>
      <c r="BF10" s="345"/>
    </row>
    <row r="11" spans="1:59" ht="18" customHeight="1">
      <c r="A11" s="595"/>
      <c r="B11" s="598"/>
      <c r="C11" s="599"/>
      <c r="D11" s="990" t="s">
        <v>334</v>
      </c>
      <c r="E11" s="991">
        <f t="shared" si="0"/>
        <v>6600481.7149999989</v>
      </c>
      <c r="F11" s="992">
        <f>Conservação!O67*Conservação!O8</f>
        <v>137747.52000000002</v>
      </c>
      <c r="G11" s="992">
        <f>Conservação!X67</f>
        <v>137747.52000000002</v>
      </c>
      <c r="H11" s="992">
        <f>Conservação!AF67</f>
        <v>258276.6</v>
      </c>
      <c r="I11" s="992">
        <f>Conservação!AN67</f>
        <v>137747.52000000002</v>
      </c>
      <c r="J11" s="992">
        <f>Conservação!AV67</f>
        <v>137747.52000000002</v>
      </c>
      <c r="K11" s="992">
        <f>Conservação!BD67</f>
        <v>198012.05999999997</v>
      </c>
      <c r="L11" s="992">
        <f>Conservação!BL67</f>
        <v>258276.6</v>
      </c>
      <c r="M11" s="992">
        <f>Conservação!BT67</f>
        <v>137747.52000000002</v>
      </c>
      <c r="N11" s="992">
        <f>Conservação!CB67</f>
        <v>198012.05999999997</v>
      </c>
      <c r="O11" s="992">
        <f>Conservação!CJ67</f>
        <v>258276.6</v>
      </c>
      <c r="P11" s="992">
        <f>Conservação!CR67</f>
        <v>225115.16000000003</v>
      </c>
      <c r="Q11" s="992">
        <f>Conservação!CZ67</f>
        <v>323603.04249999998</v>
      </c>
      <c r="R11" s="992">
        <f>Conservação!DH67</f>
        <v>422090.92499999999</v>
      </c>
      <c r="S11" s="992">
        <f>Conservação!DP67</f>
        <v>225115.16000000003</v>
      </c>
      <c r="T11" s="992">
        <f>Conservação!DX67</f>
        <v>323603.04249999998</v>
      </c>
      <c r="U11" s="992">
        <f>Conservação!EF67</f>
        <v>422090.92499999999</v>
      </c>
      <c r="V11" s="992">
        <f>Conservação!EN67</f>
        <v>225115.16000000003</v>
      </c>
      <c r="W11" s="992">
        <f>Conservação!EV67</f>
        <v>198012.05999999997</v>
      </c>
      <c r="X11" s="992">
        <f>Conservação!FD67</f>
        <v>258276.6</v>
      </c>
      <c r="Y11" s="992">
        <f>Conservação!FL67</f>
        <v>137747.52000000002</v>
      </c>
      <c r="Z11" s="992">
        <f>Conservação!FT67</f>
        <v>198012.05999999997</v>
      </c>
      <c r="AA11" s="992">
        <f>Conservação!GB67</f>
        <v>258276.6</v>
      </c>
      <c r="AB11" s="992">
        <f>Conservação!GJ67</f>
        <v>137747.52000000002</v>
      </c>
      <c r="AC11" s="992">
        <f>Conservação!GR67</f>
        <v>198012.05999999997</v>
      </c>
      <c r="AD11" s="992">
        <f>Conservação!GZ67</f>
        <v>258276.6</v>
      </c>
      <c r="AE11" s="992">
        <f>Conservação!HH67</f>
        <v>137747.52000000002</v>
      </c>
      <c r="AF11" s="992">
        <f>Conservação!HP67</f>
        <v>198012.05999999997</v>
      </c>
      <c r="AG11" s="992">
        <f>Conservação!HX67</f>
        <v>258276.6</v>
      </c>
      <c r="AH11" s="992">
        <f>Conservação!IF67</f>
        <v>137747.52000000002</v>
      </c>
      <c r="AI11" s="992">
        <f>Conservação!IN67</f>
        <v>198012.05999999997</v>
      </c>
      <c r="AJ11" s="345"/>
      <c r="AK11" s="345"/>
      <c r="AL11" s="345"/>
      <c r="AM11" s="345"/>
      <c r="AN11" s="345"/>
      <c r="AO11" s="345"/>
      <c r="AP11" s="345"/>
      <c r="AQ11" s="345"/>
      <c r="AR11" s="345"/>
      <c r="AS11" s="345"/>
      <c r="AT11" s="345"/>
      <c r="AU11" s="345"/>
      <c r="AV11" s="345"/>
      <c r="AW11" s="345"/>
      <c r="AX11" s="345"/>
      <c r="AY11" s="345"/>
      <c r="AZ11" s="345"/>
      <c r="BA11" s="345"/>
      <c r="BB11" s="345"/>
      <c r="BC11" s="345"/>
      <c r="BD11" s="345"/>
      <c r="BE11" s="345"/>
      <c r="BF11" s="345"/>
    </row>
    <row r="12" spans="1:59" ht="18" customHeight="1">
      <c r="A12" s="595"/>
      <c r="B12" s="598"/>
      <c r="C12" s="599"/>
      <c r="D12" s="990" t="s">
        <v>335</v>
      </c>
      <c r="E12" s="991">
        <f t="shared" si="0"/>
        <v>1276200.5312000006</v>
      </c>
      <c r="F12" s="992">
        <f>Conservação!O69*Conservação!O8</f>
        <v>71744.373120000018</v>
      </c>
      <c r="G12" s="992">
        <f>Conservação!X69</f>
        <v>71744.373120000018</v>
      </c>
      <c r="H12" s="992">
        <f>Conservação!AF69</f>
        <v>71744.373120000018</v>
      </c>
      <c r="I12" s="992">
        <f>Conservação!AN69</f>
        <v>71744.373120000018</v>
      </c>
      <c r="J12" s="992">
        <f>Conservação!AV69</f>
        <v>71744.373120000018</v>
      </c>
      <c r="K12" s="992">
        <f>Conservação!BD69</f>
        <v>71744.373120000018</v>
      </c>
      <c r="L12" s="992">
        <f>Conservação!BL69</f>
        <v>71744.373120000018</v>
      </c>
      <c r="M12" s="992">
        <f>Conservação!BT69</f>
        <v>71744.373120000018</v>
      </c>
      <c r="N12" s="992">
        <f>Conservação!CB69</f>
        <v>71744.373120000018</v>
      </c>
      <c r="O12" s="992">
        <f>Conservação!CJ69</f>
        <v>71744.373120000018</v>
      </c>
      <c r="P12" s="992">
        <f>Conservação!CR69</f>
        <v>27937.84</v>
      </c>
      <c r="Q12" s="992">
        <f>Conservação!CZ69</f>
        <v>27937.84</v>
      </c>
      <c r="R12" s="992">
        <f>Conservação!DH69</f>
        <v>27937.84</v>
      </c>
      <c r="S12" s="992">
        <f>Conservação!DP69</f>
        <v>27937.84</v>
      </c>
      <c r="T12" s="992">
        <f>Conservação!DX69</f>
        <v>27937.84</v>
      </c>
      <c r="U12" s="992">
        <f>Conservação!EF69</f>
        <v>27937.84</v>
      </c>
      <c r="V12" s="992">
        <f>Conservação!EN69</f>
        <v>27937.84</v>
      </c>
      <c r="W12" s="992">
        <f>Conservação!EV69</f>
        <v>27937.84</v>
      </c>
      <c r="X12" s="992">
        <f>Conservação!FD69</f>
        <v>27937.84</v>
      </c>
      <c r="Y12" s="992">
        <f>Conservação!FL69</f>
        <v>27937.84</v>
      </c>
      <c r="Z12" s="992">
        <f>Conservação!FT69</f>
        <v>27937.84</v>
      </c>
      <c r="AA12" s="992">
        <f>Conservação!GB69</f>
        <v>27937.84</v>
      </c>
      <c r="AB12" s="992">
        <f>Conservação!GJ69</f>
        <v>27937.84</v>
      </c>
      <c r="AC12" s="992">
        <f>Conservação!GR69</f>
        <v>27937.84</v>
      </c>
      <c r="AD12" s="992">
        <f>Conservação!GZ69</f>
        <v>27937.84</v>
      </c>
      <c r="AE12" s="992">
        <f>Conservação!HH69</f>
        <v>27937.84</v>
      </c>
      <c r="AF12" s="992">
        <f>Conservação!HP69</f>
        <v>27937.84</v>
      </c>
      <c r="AG12" s="992">
        <f>Conservação!HX69</f>
        <v>27937.84</v>
      </c>
      <c r="AH12" s="992">
        <f>Conservação!IF69</f>
        <v>27937.84</v>
      </c>
      <c r="AI12" s="992">
        <f>Conservação!IN69</f>
        <v>27937.84</v>
      </c>
      <c r="AJ12" s="345"/>
      <c r="AK12" s="345"/>
      <c r="AL12" s="345"/>
      <c r="AM12" s="345"/>
      <c r="AN12" s="345"/>
      <c r="AO12" s="345"/>
      <c r="AP12" s="345"/>
      <c r="AQ12" s="345"/>
      <c r="AR12" s="345"/>
      <c r="AS12" s="345"/>
      <c r="AT12" s="345"/>
      <c r="AU12" s="345"/>
      <c r="AV12" s="345"/>
      <c r="AW12" s="345"/>
      <c r="AX12" s="345"/>
      <c r="AY12" s="345"/>
      <c r="AZ12" s="345"/>
      <c r="BA12" s="345"/>
      <c r="BB12" s="345"/>
      <c r="BC12" s="345"/>
      <c r="BD12" s="345"/>
      <c r="BE12" s="345"/>
      <c r="BF12" s="345"/>
    </row>
    <row r="13" spans="1:59" ht="18" customHeight="1">
      <c r="A13" s="595"/>
      <c r="B13" s="598"/>
      <c r="C13" s="599"/>
      <c r="D13" s="990" t="s">
        <v>336</v>
      </c>
      <c r="E13" s="991">
        <f t="shared" si="0"/>
        <v>1579423.4822692359</v>
      </c>
      <c r="F13" s="992">
        <v>11787.282675936694</v>
      </c>
      <c r="G13" s="992">
        <v>47147.053256524559</v>
      </c>
      <c r="H13" s="992">
        <v>46835.436111246789</v>
      </c>
      <c r="I13" s="992">
        <v>48633.193965969003</v>
      </c>
      <c r="J13" s="992">
        <v>50431.371857573176</v>
      </c>
      <c r="K13" s="992">
        <v>55501.491868138452</v>
      </c>
      <c r="L13" s="992">
        <v>55681.769090769005</v>
      </c>
      <c r="M13" s="992">
        <v>55840.122995262063</v>
      </c>
      <c r="N13" s="992">
        <v>55998.476899755122</v>
      </c>
      <c r="O13" s="992">
        <v>56156.830804248173</v>
      </c>
      <c r="P13" s="992">
        <v>54357.441759680129</v>
      </c>
      <c r="Q13" s="992">
        <v>54151.803703333891</v>
      </c>
      <c r="R13" s="992">
        <v>54448.169726180116</v>
      </c>
      <c r="S13" s="992">
        <v>54497.734078249559</v>
      </c>
      <c r="T13" s="992">
        <v>54596.442745506516</v>
      </c>
      <c r="U13" s="992">
        <v>54646.007097575952</v>
      </c>
      <c r="V13" s="992">
        <v>54695.571449645402</v>
      </c>
      <c r="W13" s="992">
        <v>54839.380530127353</v>
      </c>
      <c r="X13" s="992">
        <v>54878.023923266235</v>
      </c>
      <c r="Y13" s="992">
        <v>54896.925582953736</v>
      </c>
      <c r="Z13" s="992">
        <v>54916.247279523173</v>
      </c>
      <c r="AA13" s="992">
        <v>54935.568976092625</v>
      </c>
      <c r="AB13" s="992">
        <v>54935.568976092625</v>
      </c>
      <c r="AC13" s="992">
        <v>54935.568976092625</v>
      </c>
      <c r="AD13" s="992">
        <v>54935.568976092625</v>
      </c>
      <c r="AE13" s="992">
        <v>54948.885792680136</v>
      </c>
      <c r="AF13" s="992">
        <v>54948.885792680136</v>
      </c>
      <c r="AG13" s="992">
        <v>54948.885792680136</v>
      </c>
      <c r="AH13" s="992">
        <v>54948.885792680136</v>
      </c>
      <c r="AI13" s="992">
        <v>54948.885792680136</v>
      </c>
      <c r="AJ13" s="345"/>
      <c r="AK13" s="345"/>
      <c r="AL13" s="345"/>
      <c r="AM13" s="345"/>
      <c r="AN13" s="345"/>
      <c r="AO13" s="345"/>
      <c r="AP13" s="345"/>
      <c r="AQ13" s="345"/>
      <c r="AR13" s="345"/>
      <c r="AS13" s="345"/>
      <c r="AT13" s="345"/>
      <c r="AU13" s="345"/>
      <c r="AV13" s="345"/>
      <c r="AW13" s="345"/>
      <c r="AX13" s="345"/>
      <c r="AY13" s="345"/>
      <c r="AZ13" s="345"/>
      <c r="BA13" s="345"/>
      <c r="BB13" s="345"/>
      <c r="BC13" s="345"/>
      <c r="BD13" s="345"/>
      <c r="BE13" s="345"/>
      <c r="BF13" s="345"/>
    </row>
    <row r="14" spans="1:59" ht="18" customHeight="1">
      <c r="A14" s="595"/>
      <c r="B14" s="598"/>
      <c r="C14" s="599"/>
      <c r="D14" s="993" t="s">
        <v>38</v>
      </c>
      <c r="E14" s="994">
        <f>SUM(F14:AJ14)</f>
        <v>352325462.10733658</v>
      </c>
      <c r="F14" s="994">
        <f>SUM(F5:F13)</f>
        <v>6219078.1801351113</v>
      </c>
      <c r="G14" s="994">
        <f t="shared" ref="G14:AH14" si="1">SUM(G5:G13)</f>
        <v>7887591.5146496026</v>
      </c>
      <c r="H14" s="994">
        <f t="shared" si="1"/>
        <v>14703822.652058264</v>
      </c>
      <c r="I14" s="994">
        <f t="shared" si="1"/>
        <v>7889077.6553590465</v>
      </c>
      <c r="J14" s="994">
        <f t="shared" si="1"/>
        <v>7890875.8332506511</v>
      </c>
      <c r="K14" s="994">
        <f t="shared" si="1"/>
        <v>11536586.893564157</v>
      </c>
      <c r="L14" s="994">
        <f t="shared" si="1"/>
        <v>15682292.019107133</v>
      </c>
      <c r="M14" s="994">
        <f t="shared" si="1"/>
        <v>8413416.8692253232</v>
      </c>
      <c r="N14" s="994">
        <f t="shared" si="1"/>
        <v>12045883.454336217</v>
      </c>
      <c r="O14" s="994">
        <f t="shared" si="1"/>
        <v>15682767.080820611</v>
      </c>
      <c r="P14" s="994">
        <f t="shared" si="1"/>
        <v>8455495.2948697414</v>
      </c>
      <c r="Q14" s="994">
        <f t="shared" si="1"/>
        <v>12125821.230519796</v>
      </c>
      <c r="R14" s="994">
        <f t="shared" si="1"/>
        <v>15801066.211622544</v>
      </c>
      <c r="S14" s="994">
        <f t="shared" si="1"/>
        <v>8455635.5871883109</v>
      </c>
      <c r="T14" s="994">
        <f t="shared" si="1"/>
        <v>12126265.869561968</v>
      </c>
      <c r="U14" s="994">
        <f t="shared" si="1"/>
        <v>16018318.189444568</v>
      </c>
      <c r="V14" s="994">
        <f t="shared" si="1"/>
        <v>8571595.6328000389</v>
      </c>
      <c r="W14" s="994">
        <f t="shared" si="1"/>
        <v>12167325.99919207</v>
      </c>
      <c r="X14" s="994">
        <f t="shared" si="1"/>
        <v>15854735.881270258</v>
      </c>
      <c r="Y14" s="994">
        <f t="shared" si="1"/>
        <v>8484429.34693335</v>
      </c>
      <c r="Z14" s="994">
        <f t="shared" si="1"/>
        <v>12590919.165514417</v>
      </c>
      <c r="AA14" s="994">
        <f t="shared" si="1"/>
        <v>16407205.990983458</v>
      </c>
      <c r="AB14" s="994">
        <f t="shared" si="1"/>
        <v>8779088.0248120222</v>
      </c>
      <c r="AC14" s="994">
        <f t="shared" si="1"/>
        <v>12590938.487210987</v>
      </c>
      <c r="AD14" s="994">
        <f t="shared" si="1"/>
        <v>16407205.990983458</v>
      </c>
      <c r="AE14" s="994">
        <f t="shared" si="1"/>
        <v>8836982.4457487743</v>
      </c>
      <c r="AF14" s="994">
        <f t="shared" si="1"/>
        <v>12674155.891200313</v>
      </c>
      <c r="AG14" s="994">
        <f t="shared" si="1"/>
        <v>16515746.378025359</v>
      </c>
      <c r="AH14" s="994">
        <f t="shared" si="1"/>
        <v>8836982.4457487743</v>
      </c>
      <c r="AI14" s="994">
        <f t="shared" ref="AI14" si="2">SUM(AI5:AI13)</f>
        <v>12674155.891200313</v>
      </c>
      <c r="AJ14" s="345"/>
      <c r="AK14" s="345"/>
      <c r="AL14" s="345"/>
      <c r="AM14" s="345"/>
      <c r="AN14" s="345"/>
      <c r="AO14" s="345"/>
      <c r="AP14" s="345"/>
      <c r="AQ14" s="345"/>
      <c r="AR14" s="345"/>
      <c r="AS14" s="345"/>
      <c r="AT14" s="345"/>
      <c r="AU14" s="345"/>
      <c r="AV14" s="345"/>
      <c r="AW14" s="345"/>
      <c r="AX14" s="345"/>
      <c r="AY14" s="345"/>
      <c r="AZ14" s="345"/>
      <c r="BA14" s="345"/>
      <c r="BB14" s="345"/>
      <c r="BC14" s="345"/>
      <c r="BD14" s="345"/>
      <c r="BE14" s="345"/>
      <c r="BF14" s="345"/>
    </row>
    <row r="15" spans="1:59">
      <c r="A15" s="595"/>
      <c r="B15" s="598"/>
      <c r="C15" s="599"/>
      <c r="D15" s="345"/>
      <c r="E15" s="346"/>
      <c r="F15" s="346">
        <f>F14*0.5%</f>
        <v>31095.390900675557</v>
      </c>
      <c r="G15" s="346">
        <f t="shared" ref="G15:AI15" si="3">G14*0.5%</f>
        <v>39437.957573248015</v>
      </c>
      <c r="H15" s="346">
        <f t="shared" si="3"/>
        <v>73519.113260291328</v>
      </c>
      <c r="I15" s="346">
        <f t="shared" si="3"/>
        <v>39445.388276795231</v>
      </c>
      <c r="J15" s="346">
        <f t="shared" si="3"/>
        <v>39454.379166253253</v>
      </c>
      <c r="K15" s="346">
        <f t="shared" si="3"/>
        <v>57682.934467820785</v>
      </c>
      <c r="L15" s="346">
        <f t="shared" si="3"/>
        <v>78411.460095535673</v>
      </c>
      <c r="M15" s="346">
        <f t="shared" si="3"/>
        <v>42067.084346126619</v>
      </c>
      <c r="N15" s="346">
        <f t="shared" si="3"/>
        <v>60229.417271681086</v>
      </c>
      <c r="O15" s="346">
        <f t="shared" si="3"/>
        <v>78413.835404103054</v>
      </c>
      <c r="P15" s="346">
        <f t="shared" si="3"/>
        <v>42277.47647434871</v>
      </c>
      <c r="Q15" s="346">
        <f t="shared" si="3"/>
        <v>60629.106152598979</v>
      </c>
      <c r="R15" s="346">
        <f t="shared" si="3"/>
        <v>79005.331058112715</v>
      </c>
      <c r="S15" s="346">
        <f t="shared" si="3"/>
        <v>42278.177935941552</v>
      </c>
      <c r="T15" s="346">
        <f t="shared" si="3"/>
        <v>60631.329347809842</v>
      </c>
      <c r="U15" s="346">
        <f t="shared" si="3"/>
        <v>80091.590947222838</v>
      </c>
      <c r="V15" s="346">
        <f t="shared" si="3"/>
        <v>42857.978164000197</v>
      </c>
      <c r="W15" s="346">
        <f t="shared" si="3"/>
        <v>60836.629995960349</v>
      </c>
      <c r="X15" s="346">
        <f t="shared" si="3"/>
        <v>79273.679406351293</v>
      </c>
      <c r="Y15" s="346">
        <f t="shared" si="3"/>
        <v>42422.146734666749</v>
      </c>
      <c r="Z15" s="346">
        <f t="shared" si="3"/>
        <v>62954.595827572084</v>
      </c>
      <c r="AA15" s="346">
        <f t="shared" si="3"/>
        <v>82036.029954917292</v>
      </c>
      <c r="AB15" s="346">
        <f t="shared" si="3"/>
        <v>43895.440124060115</v>
      </c>
      <c r="AC15" s="346">
        <f t="shared" si="3"/>
        <v>62954.692436054938</v>
      </c>
      <c r="AD15" s="346">
        <f t="shared" si="3"/>
        <v>82036.029954917292</v>
      </c>
      <c r="AE15" s="346">
        <f t="shared" si="3"/>
        <v>44184.912228743873</v>
      </c>
      <c r="AF15" s="346">
        <f t="shared" si="3"/>
        <v>63370.779456001568</v>
      </c>
      <c r="AG15" s="346">
        <f t="shared" si="3"/>
        <v>82578.731890126801</v>
      </c>
      <c r="AH15" s="346">
        <f t="shared" si="3"/>
        <v>44184.912228743873</v>
      </c>
      <c r="AI15" s="346">
        <f t="shared" si="3"/>
        <v>63370.779456001568</v>
      </c>
      <c r="AJ15" s="345"/>
      <c r="AK15" s="345"/>
      <c r="AL15" s="345"/>
      <c r="AM15" s="345"/>
      <c r="AN15" s="345"/>
      <c r="AO15" s="345"/>
      <c r="AP15" s="345"/>
      <c r="AQ15" s="345"/>
      <c r="AR15" s="345"/>
      <c r="AS15" s="345"/>
      <c r="AT15" s="345"/>
      <c r="AU15" s="345"/>
      <c r="AV15" s="345"/>
      <c r="AW15" s="345"/>
      <c r="AX15" s="345"/>
      <c r="AY15" s="345"/>
      <c r="AZ15" s="345"/>
      <c r="BA15" s="345"/>
      <c r="BB15" s="345"/>
      <c r="BC15" s="345"/>
      <c r="BD15" s="345"/>
      <c r="BE15" s="345"/>
      <c r="BF15" s="345"/>
    </row>
    <row r="16" spans="1:59">
      <c r="A16" s="595"/>
      <c r="B16" s="598"/>
      <c r="C16" s="599"/>
      <c r="D16" s="345"/>
      <c r="E16" s="347"/>
      <c r="F16" s="347"/>
      <c r="G16" s="347"/>
      <c r="H16" s="347"/>
      <c r="I16" s="347"/>
      <c r="J16" s="347"/>
      <c r="K16" s="347"/>
      <c r="L16" s="347"/>
      <c r="M16" s="347"/>
      <c r="N16" s="347"/>
      <c r="O16" s="347"/>
      <c r="P16" s="347"/>
      <c r="Q16" s="347"/>
      <c r="R16" s="347"/>
      <c r="S16" s="347"/>
      <c r="T16" s="347"/>
      <c r="U16" s="347"/>
      <c r="V16" s="347"/>
      <c r="W16" s="347"/>
      <c r="X16" s="347"/>
      <c r="Y16" s="347"/>
      <c r="Z16" s="347"/>
      <c r="AA16" s="347"/>
      <c r="AB16" s="347"/>
      <c r="AC16" s="347"/>
      <c r="AD16" s="347"/>
      <c r="AE16" s="347"/>
      <c r="AF16" s="347"/>
      <c r="AG16" s="347"/>
      <c r="AH16" s="347"/>
      <c r="AI16" s="347"/>
      <c r="AJ16" s="345"/>
      <c r="AK16" s="345"/>
      <c r="AL16" s="345"/>
      <c r="AM16" s="345"/>
      <c r="AN16" s="345"/>
      <c r="AO16" s="345"/>
      <c r="AP16" s="345"/>
      <c r="AQ16" s="345"/>
      <c r="AR16" s="345"/>
      <c r="AS16" s="345"/>
      <c r="AT16" s="345"/>
      <c r="AU16" s="345"/>
      <c r="AV16" s="345"/>
      <c r="AW16" s="345"/>
      <c r="AX16" s="345"/>
      <c r="AY16" s="345"/>
      <c r="AZ16" s="345"/>
      <c r="BA16" s="345"/>
      <c r="BB16" s="345"/>
      <c r="BC16" s="345"/>
      <c r="BD16" s="345"/>
      <c r="BE16" s="345"/>
      <c r="BF16" s="345"/>
    </row>
    <row r="17" spans="1:58">
      <c r="A17" s="595"/>
      <c r="B17" s="598"/>
      <c r="C17" s="599"/>
      <c r="D17" s="345"/>
      <c r="E17" s="348"/>
      <c r="F17" s="348"/>
      <c r="G17" s="348"/>
      <c r="H17" s="348"/>
      <c r="I17" s="348"/>
      <c r="J17" s="348"/>
      <c r="K17" s="348"/>
      <c r="L17" s="348"/>
      <c r="M17" s="348"/>
      <c r="N17" s="348"/>
      <c r="O17" s="348"/>
      <c r="P17" s="348"/>
      <c r="Q17" s="348"/>
      <c r="R17" s="348"/>
      <c r="S17" s="348"/>
      <c r="T17" s="348"/>
      <c r="U17" s="348"/>
      <c r="V17" s="348"/>
      <c r="W17" s="348"/>
      <c r="X17" s="348"/>
      <c r="Y17" s="348"/>
      <c r="Z17" s="348"/>
      <c r="AA17" s="348"/>
      <c r="AB17" s="348"/>
      <c r="AC17" s="348"/>
      <c r="AD17" s="348"/>
      <c r="AE17" s="348"/>
      <c r="AF17" s="348"/>
      <c r="AG17" s="348"/>
      <c r="AH17" s="348"/>
      <c r="AI17" s="348"/>
      <c r="AJ17" s="345"/>
      <c r="AK17" s="345"/>
      <c r="AL17" s="345"/>
      <c r="AM17" s="345"/>
      <c r="AN17" s="345"/>
      <c r="AO17" s="345"/>
      <c r="AP17" s="345"/>
      <c r="AQ17" s="345"/>
      <c r="AR17" s="345"/>
      <c r="AS17" s="345"/>
      <c r="AT17" s="345"/>
      <c r="AU17" s="345"/>
      <c r="AV17" s="345"/>
      <c r="AW17" s="345"/>
      <c r="AX17" s="345"/>
      <c r="AY17" s="345"/>
      <c r="AZ17" s="345"/>
      <c r="BA17" s="345"/>
      <c r="BB17" s="345"/>
      <c r="BC17" s="345"/>
      <c r="BD17" s="345"/>
      <c r="BE17" s="345"/>
      <c r="BF17" s="345"/>
    </row>
    <row r="18" spans="1:58">
      <c r="A18" s="595"/>
      <c r="B18" s="598"/>
      <c r="C18" s="599"/>
      <c r="D18" s="345"/>
      <c r="E18" s="348"/>
      <c r="F18" s="348"/>
      <c r="G18" s="348"/>
      <c r="H18" s="348"/>
      <c r="I18" s="348"/>
      <c r="J18" s="348"/>
      <c r="K18" s="348"/>
      <c r="L18" s="348"/>
      <c r="M18" s="348"/>
      <c r="N18" s="348"/>
      <c r="O18" s="348"/>
      <c r="P18" s="348"/>
      <c r="Q18" s="348"/>
      <c r="R18" s="348"/>
      <c r="S18" s="348"/>
      <c r="T18" s="348"/>
      <c r="U18" s="348"/>
      <c r="V18" s="348"/>
      <c r="W18" s="348"/>
      <c r="X18" s="348"/>
      <c r="Y18" s="348"/>
      <c r="Z18" s="348"/>
      <c r="AA18" s="348"/>
      <c r="AB18" s="348"/>
      <c r="AC18" s="348"/>
      <c r="AD18" s="348"/>
      <c r="AE18" s="348"/>
      <c r="AF18" s="348"/>
      <c r="AG18" s="348"/>
      <c r="AH18" s="348"/>
      <c r="AI18" s="348"/>
      <c r="AJ18" s="345"/>
      <c r="AK18" s="345"/>
      <c r="AL18" s="345"/>
      <c r="AM18" s="345"/>
      <c r="AN18" s="345"/>
      <c r="AO18" s="345"/>
      <c r="AP18" s="345"/>
      <c r="AQ18" s="345"/>
      <c r="AR18" s="345"/>
      <c r="AS18" s="345"/>
      <c r="AT18" s="345"/>
      <c r="AU18" s="345"/>
      <c r="AV18" s="345"/>
      <c r="AW18" s="345"/>
      <c r="AX18" s="345"/>
      <c r="AY18" s="345"/>
      <c r="AZ18" s="345"/>
      <c r="BA18" s="345"/>
      <c r="BB18" s="345"/>
      <c r="BC18" s="345"/>
      <c r="BD18" s="345"/>
      <c r="BE18" s="345"/>
      <c r="BF18" s="345"/>
    </row>
    <row r="19" spans="1:58">
      <c r="A19" s="595"/>
      <c r="B19" s="598"/>
      <c r="C19" s="599"/>
      <c r="D19" s="536" t="s">
        <v>337</v>
      </c>
      <c r="E19" s="348" t="s">
        <v>102</v>
      </c>
      <c r="F19" s="348">
        <v>500</v>
      </c>
      <c r="G19" s="348">
        <v>500</v>
      </c>
      <c r="H19" s="348">
        <v>500</v>
      </c>
      <c r="I19" s="348">
        <v>500</v>
      </c>
      <c r="J19" s="348">
        <v>500</v>
      </c>
      <c r="K19" s="348">
        <v>513.17434300000002</v>
      </c>
      <c r="L19" s="348">
        <v>539.66868600000009</v>
      </c>
      <c r="M19" s="348">
        <v>539.66868600000009</v>
      </c>
      <c r="N19" s="348">
        <v>539.66868600000009</v>
      </c>
      <c r="O19" s="348">
        <v>539.66868600000009</v>
      </c>
      <c r="P19" s="348">
        <v>539.66868600000009</v>
      </c>
      <c r="Q19" s="348">
        <v>539.66868600000009</v>
      </c>
      <c r="R19" s="348">
        <v>539.66868600000009</v>
      </c>
      <c r="S19" s="348">
        <v>539.66868600000009</v>
      </c>
      <c r="T19" s="348">
        <v>539.66868600000009</v>
      </c>
      <c r="U19" s="348">
        <v>548.54868600000009</v>
      </c>
      <c r="V19" s="348">
        <v>548.54868600000009</v>
      </c>
      <c r="W19" s="348">
        <v>548.54868600000009</v>
      </c>
      <c r="X19" s="348">
        <v>548.54868600000009</v>
      </c>
      <c r="Y19" s="348">
        <v>548.54868600000009</v>
      </c>
      <c r="Z19" s="348">
        <v>571.14868600000011</v>
      </c>
      <c r="AA19" s="348">
        <v>571.14868600000011</v>
      </c>
      <c r="AB19" s="348">
        <v>571.14868600000011</v>
      </c>
      <c r="AC19" s="348">
        <v>571.14868600000011</v>
      </c>
      <c r="AD19" s="348">
        <v>571.14868600000011</v>
      </c>
      <c r="AE19" s="348">
        <v>575.58868600000005</v>
      </c>
      <c r="AF19" s="348">
        <v>575.58868600000005</v>
      </c>
      <c r="AG19" s="348">
        <v>575.58868600000005</v>
      </c>
      <c r="AH19" s="348">
        <v>575.58868600000005</v>
      </c>
      <c r="AI19" s="348">
        <v>575.58868600000005</v>
      </c>
      <c r="AJ19" s="345"/>
      <c r="AK19" s="345"/>
      <c r="AL19" s="345"/>
      <c r="AM19" s="345"/>
      <c r="AN19" s="345"/>
      <c r="AO19" s="345"/>
      <c r="AP19" s="345"/>
      <c r="AQ19" s="345"/>
      <c r="AR19" s="345"/>
      <c r="AS19" s="345"/>
      <c r="AT19" s="345"/>
      <c r="AU19" s="345"/>
      <c r="AV19" s="345"/>
      <c r="AW19" s="345"/>
      <c r="AX19" s="345"/>
      <c r="AY19" s="345"/>
      <c r="AZ19" s="345"/>
      <c r="BA19" s="345"/>
      <c r="BB19" s="345"/>
      <c r="BC19" s="345"/>
      <c r="BD19" s="345"/>
      <c r="BE19" s="345"/>
      <c r="BF19" s="345"/>
    </row>
    <row r="20" spans="1:58" ht="13.5" customHeight="1">
      <c r="A20" s="595"/>
      <c r="B20" s="598"/>
      <c r="C20" s="599"/>
      <c r="D20" s="536" t="s">
        <v>338</v>
      </c>
      <c r="E20" s="348" t="s">
        <v>339</v>
      </c>
      <c r="F20" s="537">
        <v>2694050</v>
      </c>
      <c r="G20" s="537">
        <v>2787874</v>
      </c>
      <c r="H20" s="537">
        <v>3584844</v>
      </c>
      <c r="I20" s="537">
        <v>4232579</v>
      </c>
      <c r="J20" s="537">
        <v>4970110</v>
      </c>
      <c r="K20" s="537">
        <v>4970110</v>
      </c>
      <c r="L20" s="537">
        <v>4970110</v>
      </c>
      <c r="M20" s="537">
        <v>4970110</v>
      </c>
      <c r="N20" s="537">
        <v>5023278</v>
      </c>
      <c r="O20" s="537">
        <v>5103793</v>
      </c>
      <c r="P20" s="537">
        <v>5103793</v>
      </c>
      <c r="Q20" s="537">
        <v>5103793</v>
      </c>
      <c r="R20" s="537">
        <v>5103793</v>
      </c>
      <c r="S20" s="537">
        <v>5103793</v>
      </c>
      <c r="T20" s="537">
        <v>5103793</v>
      </c>
      <c r="U20" s="537">
        <v>5127316</v>
      </c>
      <c r="V20" s="537">
        <v>5151248</v>
      </c>
      <c r="W20" s="537">
        <v>5151248</v>
      </c>
      <c r="X20" s="537">
        <v>5151248</v>
      </c>
      <c r="Y20" s="537">
        <v>5151248</v>
      </c>
      <c r="Z20" s="537">
        <v>5151248</v>
      </c>
      <c r="AA20" s="537">
        <v>5151248</v>
      </c>
      <c r="AB20" s="537">
        <v>5151248</v>
      </c>
      <c r="AC20" s="537">
        <v>5151248</v>
      </c>
      <c r="AD20" s="537">
        <v>5151248</v>
      </c>
      <c r="AE20" s="537">
        <v>5151248</v>
      </c>
      <c r="AF20" s="537">
        <v>5151248</v>
      </c>
      <c r="AG20" s="537">
        <v>5151248</v>
      </c>
      <c r="AH20" s="537">
        <v>5151248</v>
      </c>
      <c r="AI20" s="537">
        <v>5151248</v>
      </c>
      <c r="AJ20" s="345"/>
      <c r="AK20" s="345"/>
      <c r="AL20" s="345"/>
      <c r="AM20" s="345"/>
      <c r="AN20" s="345"/>
      <c r="AO20" s="345"/>
      <c r="AP20" s="345"/>
      <c r="AQ20" s="345"/>
      <c r="AR20" s="345"/>
      <c r="AS20" s="345"/>
      <c r="AT20" s="345"/>
      <c r="AU20" s="345"/>
      <c r="AV20" s="345"/>
      <c r="AW20" s="345"/>
      <c r="AX20" s="345"/>
      <c r="AY20" s="345"/>
      <c r="AZ20" s="345"/>
      <c r="BA20" s="345"/>
      <c r="BB20" s="345"/>
      <c r="BC20" s="345"/>
      <c r="BD20" s="345"/>
      <c r="BE20" s="345"/>
      <c r="BF20" s="345"/>
    </row>
    <row r="21" spans="1:58">
      <c r="A21" s="595"/>
      <c r="B21" s="598"/>
      <c r="C21" s="599"/>
      <c r="D21" s="345"/>
      <c r="E21" s="348"/>
      <c r="F21" s="348"/>
      <c r="G21" s="348"/>
      <c r="H21" s="348"/>
      <c r="I21" s="348"/>
      <c r="J21" s="348"/>
      <c r="K21" s="348"/>
      <c r="L21" s="348"/>
      <c r="M21" s="348"/>
      <c r="N21" s="348"/>
      <c r="O21" s="348"/>
      <c r="P21" s="348"/>
      <c r="Q21" s="348"/>
      <c r="R21" s="348"/>
      <c r="S21" s="348"/>
      <c r="T21" s="348"/>
      <c r="U21" s="348"/>
      <c r="V21" s="348"/>
      <c r="W21" s="348"/>
      <c r="X21" s="348"/>
      <c r="Y21" s="348"/>
      <c r="Z21" s="348"/>
      <c r="AA21" s="348"/>
      <c r="AB21" s="348"/>
      <c r="AC21" s="348"/>
      <c r="AD21" s="348"/>
      <c r="AE21" s="348"/>
      <c r="AF21" s="348"/>
      <c r="AG21" s="348"/>
      <c r="AH21" s="348"/>
      <c r="AI21" s="348"/>
      <c r="AJ21" s="345"/>
      <c r="AK21" s="345"/>
      <c r="AL21" s="345"/>
      <c r="AM21" s="345"/>
      <c r="AN21" s="345"/>
      <c r="AO21" s="345"/>
      <c r="AP21" s="345"/>
      <c r="AQ21" s="345"/>
      <c r="AR21" s="345"/>
      <c r="AS21" s="345"/>
      <c r="AT21" s="345"/>
      <c r="AU21" s="345"/>
      <c r="AV21" s="345"/>
      <c r="AW21" s="345"/>
      <c r="AX21" s="345"/>
      <c r="AY21" s="345"/>
      <c r="AZ21" s="345"/>
      <c r="BA21" s="345"/>
      <c r="BB21" s="345"/>
      <c r="BC21" s="345"/>
      <c r="BD21" s="345"/>
      <c r="BE21" s="345"/>
      <c r="BF21" s="345"/>
    </row>
    <row r="22" spans="1:58">
      <c r="A22" s="595"/>
      <c r="B22" s="598"/>
      <c r="C22" s="599"/>
      <c r="D22" s="536" t="s">
        <v>340</v>
      </c>
      <c r="E22" s="538">
        <f>AVERAGE(G22:AI22)</f>
        <v>21811.675896149045</v>
      </c>
      <c r="F22" s="538"/>
      <c r="G22" s="538">
        <f t="shared" ref="G22:AI22" si="4">G14/G19</f>
        <v>15775.183029299205</v>
      </c>
      <c r="H22" s="538">
        <f t="shared" si="4"/>
        <v>29407.64530411653</v>
      </c>
      <c r="I22" s="538">
        <f t="shared" si="4"/>
        <v>15778.155310718093</v>
      </c>
      <c r="J22" s="538">
        <f t="shared" si="4"/>
        <v>15781.751666501303</v>
      </c>
      <c r="K22" s="538">
        <f t="shared" si="4"/>
        <v>22480.833367704348</v>
      </c>
      <c r="L22" s="538">
        <f t="shared" si="4"/>
        <v>29059.110572717444</v>
      </c>
      <c r="M22" s="538">
        <f t="shared" si="4"/>
        <v>15589.966747163317</v>
      </c>
      <c r="N22" s="538">
        <f t="shared" si="4"/>
        <v>22320.886437973193</v>
      </c>
      <c r="O22" s="538">
        <f t="shared" si="4"/>
        <v>29059.990856724653</v>
      </c>
      <c r="P22" s="538">
        <f t="shared" si="4"/>
        <v>15667.937596197196</v>
      </c>
      <c r="Q22" s="538">
        <f t="shared" si="4"/>
        <v>22469.010237365881</v>
      </c>
      <c r="R22" s="538">
        <f t="shared" si="4"/>
        <v>29279.197814383733</v>
      </c>
      <c r="S22" s="538">
        <f t="shared" si="4"/>
        <v>15668.197556284207</v>
      </c>
      <c r="T22" s="538">
        <f t="shared" si="4"/>
        <v>22469.834148505637</v>
      </c>
      <c r="U22" s="538">
        <f t="shared" si="4"/>
        <v>29201.269820277292</v>
      </c>
      <c r="V22" s="538">
        <f t="shared" si="4"/>
        <v>15625.952356761341</v>
      </c>
      <c r="W22" s="538">
        <f t="shared" si="4"/>
        <v>22180.940925983858</v>
      </c>
      <c r="X22" s="538">
        <f t="shared" si="4"/>
        <v>28903.060541230163</v>
      </c>
      <c r="Y22" s="538">
        <f t="shared" si="4"/>
        <v>15467.048893693547</v>
      </c>
      <c r="Z22" s="538">
        <f t="shared" si="4"/>
        <v>22044.906123647135</v>
      </c>
      <c r="AA22" s="538">
        <f t="shared" si="4"/>
        <v>28726.680798112622</v>
      </c>
      <c r="AB22" s="538">
        <f t="shared" si="4"/>
        <v>15370.932718581131</v>
      </c>
      <c r="AC22" s="538">
        <f t="shared" si="4"/>
        <v>22044.939953185825</v>
      </c>
      <c r="AD22" s="538">
        <f t="shared" si="4"/>
        <v>28726.680798112622</v>
      </c>
      <c r="AE22" s="538">
        <f t="shared" si="4"/>
        <v>15352.946749458473</v>
      </c>
      <c r="AF22" s="538">
        <f t="shared" si="4"/>
        <v>22019.46667728683</v>
      </c>
      <c r="AG22" s="538">
        <f t="shared" si="4"/>
        <v>28693.660559591604</v>
      </c>
      <c r="AH22" s="538">
        <f t="shared" si="4"/>
        <v>15352.946749458473</v>
      </c>
      <c r="AI22" s="538">
        <f t="shared" si="4"/>
        <v>22019.46667728683</v>
      </c>
      <c r="AJ22" s="345"/>
      <c r="AK22" s="345"/>
      <c r="AL22" s="345"/>
      <c r="AM22" s="345"/>
      <c r="AN22" s="345"/>
      <c r="AO22" s="345"/>
      <c r="AP22" s="345"/>
      <c r="AQ22" s="345"/>
      <c r="AR22" s="345"/>
      <c r="AS22" s="345"/>
      <c r="AT22" s="345"/>
      <c r="AU22" s="345"/>
      <c r="AV22" s="345"/>
      <c r="AW22" s="345"/>
      <c r="AX22" s="345"/>
      <c r="AY22" s="345"/>
      <c r="AZ22" s="345"/>
      <c r="BA22" s="345"/>
      <c r="BB22" s="345"/>
      <c r="BC22" s="345"/>
      <c r="BD22" s="345"/>
      <c r="BE22" s="345"/>
      <c r="BF22" s="345"/>
    </row>
    <row r="23" spans="1:58">
      <c r="A23" s="595"/>
      <c r="B23" s="598"/>
      <c r="C23" s="599"/>
      <c r="D23" s="536" t="s">
        <v>341</v>
      </c>
      <c r="E23" s="538">
        <f>AVERAGE(G23:AI23)</f>
        <v>1817.6396580124206</v>
      </c>
      <c r="F23" s="538"/>
      <c r="G23" s="538">
        <f t="shared" ref="G23:AI23" si="5">G22/12</f>
        <v>1314.5985857749338</v>
      </c>
      <c r="H23" s="538">
        <f t="shared" si="5"/>
        <v>2450.6371086763775</v>
      </c>
      <c r="I23" s="538">
        <f t="shared" si="5"/>
        <v>1314.8462758931744</v>
      </c>
      <c r="J23" s="538">
        <f t="shared" si="5"/>
        <v>1315.1459722084419</v>
      </c>
      <c r="K23" s="538">
        <f t="shared" si="5"/>
        <v>1873.402780642029</v>
      </c>
      <c r="L23" s="538">
        <f t="shared" si="5"/>
        <v>2421.5925477264536</v>
      </c>
      <c r="M23" s="538">
        <f t="shared" si="5"/>
        <v>1299.1638955969431</v>
      </c>
      <c r="N23" s="538">
        <f t="shared" si="5"/>
        <v>1860.0738698310995</v>
      </c>
      <c r="O23" s="538">
        <f t="shared" si="5"/>
        <v>2421.6659047270546</v>
      </c>
      <c r="P23" s="538">
        <f t="shared" si="5"/>
        <v>1305.6614663497664</v>
      </c>
      <c r="Q23" s="538">
        <f t="shared" si="5"/>
        <v>1872.41751978049</v>
      </c>
      <c r="R23" s="538">
        <f t="shared" si="5"/>
        <v>2439.9331511986443</v>
      </c>
      <c r="S23" s="538">
        <f t="shared" si="5"/>
        <v>1305.6831296903506</v>
      </c>
      <c r="T23" s="538">
        <f t="shared" si="5"/>
        <v>1872.4861790421364</v>
      </c>
      <c r="U23" s="538">
        <f t="shared" si="5"/>
        <v>2433.4391516897745</v>
      </c>
      <c r="V23" s="538">
        <f t="shared" si="5"/>
        <v>1302.1626963967785</v>
      </c>
      <c r="W23" s="538">
        <f t="shared" si="5"/>
        <v>1848.4117438319881</v>
      </c>
      <c r="X23" s="538">
        <f t="shared" si="5"/>
        <v>2408.5883784358471</v>
      </c>
      <c r="Y23" s="538">
        <f t="shared" si="5"/>
        <v>1288.9207411411289</v>
      </c>
      <c r="Z23" s="538">
        <f t="shared" si="5"/>
        <v>1837.075510303928</v>
      </c>
      <c r="AA23" s="538">
        <f t="shared" si="5"/>
        <v>2393.8900665093852</v>
      </c>
      <c r="AB23" s="538">
        <f t="shared" si="5"/>
        <v>1280.9110598817608</v>
      </c>
      <c r="AC23" s="538">
        <f t="shared" si="5"/>
        <v>1837.078329432152</v>
      </c>
      <c r="AD23" s="538">
        <f t="shared" si="5"/>
        <v>2393.8900665093852</v>
      </c>
      <c r="AE23" s="538">
        <f t="shared" si="5"/>
        <v>1279.4122291215394</v>
      </c>
      <c r="AF23" s="538">
        <f t="shared" si="5"/>
        <v>1834.9555564405691</v>
      </c>
      <c r="AG23" s="538">
        <f t="shared" si="5"/>
        <v>2391.138379965967</v>
      </c>
      <c r="AH23" s="538">
        <f t="shared" si="5"/>
        <v>1279.4122291215394</v>
      </c>
      <c r="AI23" s="538">
        <f t="shared" si="5"/>
        <v>1834.9555564405691</v>
      </c>
      <c r="AJ23" s="345"/>
      <c r="AK23" s="345"/>
      <c r="AL23" s="345"/>
      <c r="AM23" s="345"/>
      <c r="AN23" s="345"/>
      <c r="AO23" s="345"/>
      <c r="AP23" s="345"/>
      <c r="AQ23" s="345"/>
      <c r="AR23" s="345"/>
      <c r="AS23" s="345"/>
      <c r="AT23" s="345"/>
      <c r="AU23" s="345"/>
      <c r="AV23" s="345"/>
      <c r="AW23" s="345"/>
      <c r="AX23" s="345"/>
      <c r="AY23" s="345"/>
      <c r="AZ23" s="345"/>
      <c r="BA23" s="345"/>
      <c r="BB23" s="345"/>
      <c r="BC23" s="345"/>
      <c r="BD23" s="345"/>
      <c r="BE23" s="345"/>
      <c r="BF23" s="345"/>
    </row>
    <row r="24" spans="1:58">
      <c r="A24" s="595"/>
      <c r="B24" s="598"/>
      <c r="C24" s="599"/>
      <c r="D24" s="345"/>
      <c r="E24" s="348"/>
      <c r="F24" s="348"/>
      <c r="G24" s="348"/>
      <c r="H24" s="348"/>
      <c r="I24" s="348"/>
      <c r="J24" s="348"/>
      <c r="K24" s="348"/>
      <c r="L24" s="348"/>
      <c r="M24" s="348"/>
      <c r="N24" s="348"/>
      <c r="O24" s="348"/>
      <c r="P24" s="348"/>
      <c r="Q24" s="348"/>
      <c r="R24" s="348"/>
      <c r="S24" s="348"/>
      <c r="T24" s="348"/>
      <c r="U24" s="348"/>
      <c r="V24" s="348"/>
      <c r="W24" s="348"/>
      <c r="X24" s="348"/>
      <c r="Y24" s="348"/>
      <c r="Z24" s="348"/>
      <c r="AA24" s="348"/>
      <c r="AB24" s="348"/>
      <c r="AC24" s="348"/>
      <c r="AD24" s="348"/>
      <c r="AE24" s="348"/>
      <c r="AF24" s="348"/>
      <c r="AG24" s="348"/>
      <c r="AH24" s="348"/>
      <c r="AI24" s="348"/>
      <c r="AJ24" s="345"/>
      <c r="AK24" s="345"/>
      <c r="AL24" s="345"/>
      <c r="AM24" s="345"/>
      <c r="AN24" s="345"/>
      <c r="AO24" s="345"/>
      <c r="AP24" s="345"/>
      <c r="AQ24" s="345"/>
      <c r="AR24" s="345"/>
      <c r="AS24" s="345"/>
      <c r="AT24" s="345"/>
      <c r="AU24" s="345"/>
      <c r="AV24" s="345"/>
      <c r="AW24" s="345"/>
      <c r="AX24" s="345"/>
      <c r="AY24" s="345"/>
      <c r="AZ24" s="345"/>
      <c r="BA24" s="345"/>
      <c r="BB24" s="345"/>
      <c r="BC24" s="345"/>
      <c r="BD24" s="345"/>
      <c r="BE24" s="345"/>
      <c r="BF24" s="345"/>
    </row>
    <row r="25" spans="1:58" ht="15">
      <c r="A25" s="595"/>
      <c r="B25" s="598"/>
      <c r="C25" s="599"/>
      <c r="D25" s="536" t="s">
        <v>342</v>
      </c>
      <c r="E25" s="538">
        <f t="shared" ref="E25:E26" si="6">AVERAGE(G25:AI25)</f>
        <v>2.4337822051268798</v>
      </c>
      <c r="F25" s="539"/>
      <c r="G25" s="540">
        <f>G14/G20</f>
        <v>2.8292496413573938</v>
      </c>
      <c r="H25" s="540">
        <f t="shared" ref="H25:AI25" si="7">H14/H20</f>
        <v>4.1016631831282657</v>
      </c>
      <c r="I25" s="540">
        <f t="shared" si="7"/>
        <v>1.8638937761962733</v>
      </c>
      <c r="J25" s="540">
        <f t="shared" si="7"/>
        <v>1.5876662354053837</v>
      </c>
      <c r="K25" s="540">
        <f t="shared" si="7"/>
        <v>2.3211934732961961</v>
      </c>
      <c r="L25" s="540">
        <f t="shared" si="7"/>
        <v>3.1553209122347661</v>
      </c>
      <c r="M25" s="540">
        <f t="shared" si="7"/>
        <v>1.6928029498794439</v>
      </c>
      <c r="N25" s="540">
        <f t="shared" si="7"/>
        <v>2.3980125038542992</v>
      </c>
      <c r="O25" s="540">
        <f t="shared" si="7"/>
        <v>3.0727670735902906</v>
      </c>
      <c r="P25" s="540">
        <f t="shared" si="7"/>
        <v>1.6567081178389762</v>
      </c>
      <c r="Q25" s="540">
        <f t="shared" si="7"/>
        <v>2.3758450294750975</v>
      </c>
      <c r="R25" s="540">
        <f t="shared" si="7"/>
        <v>3.0959457430233837</v>
      </c>
      <c r="S25" s="540">
        <f t="shared" si="7"/>
        <v>1.6567356056933169</v>
      </c>
      <c r="T25" s="540">
        <f t="shared" si="7"/>
        <v>2.3759321488081451</v>
      </c>
      <c r="U25" s="540">
        <f t="shared" si="7"/>
        <v>3.124113705775998</v>
      </c>
      <c r="V25" s="540">
        <f t="shared" si="7"/>
        <v>1.6639842680453434</v>
      </c>
      <c r="W25" s="540">
        <f t="shared" si="7"/>
        <v>2.3620151852894815</v>
      </c>
      <c r="X25" s="540">
        <f t="shared" si="7"/>
        <v>3.0778436373613265</v>
      </c>
      <c r="Y25" s="540">
        <f t="shared" si="7"/>
        <v>1.6470628762065718</v>
      </c>
      <c r="Z25" s="540">
        <f t="shared" si="7"/>
        <v>2.44424635845807</v>
      </c>
      <c r="AA25" s="540">
        <f t="shared" si="7"/>
        <v>3.1850933969755402</v>
      </c>
      <c r="AB25" s="540">
        <f t="shared" si="7"/>
        <v>1.7042642918399624</v>
      </c>
      <c r="AC25" s="540">
        <f t="shared" si="7"/>
        <v>2.4442501093348614</v>
      </c>
      <c r="AD25" s="540">
        <f t="shared" si="7"/>
        <v>3.1850933969755402</v>
      </c>
      <c r="AE25" s="540">
        <f t="shared" si="7"/>
        <v>1.7155032034467714</v>
      </c>
      <c r="AF25" s="540">
        <f t="shared" si="7"/>
        <v>2.4604049137607649</v>
      </c>
      <c r="AG25" s="540">
        <f t="shared" si="7"/>
        <v>3.2061640942205383</v>
      </c>
      <c r="AH25" s="540">
        <f t="shared" si="7"/>
        <v>1.7155032034467714</v>
      </c>
      <c r="AI25" s="540">
        <f t="shared" si="7"/>
        <v>2.4604049137607649</v>
      </c>
      <c r="AJ25" s="345"/>
      <c r="AK25" s="345"/>
      <c r="AL25" s="345"/>
      <c r="AM25" s="345"/>
      <c r="AN25" s="345"/>
      <c r="AO25" s="345"/>
      <c r="AP25" s="345"/>
      <c r="AQ25" s="345"/>
      <c r="AR25" s="345"/>
      <c r="AS25" s="345"/>
      <c r="AT25" s="345"/>
      <c r="AU25" s="345"/>
      <c r="AV25" s="345"/>
      <c r="AW25" s="345"/>
      <c r="AX25" s="345"/>
      <c r="AY25" s="345"/>
      <c r="AZ25" s="345"/>
      <c r="BA25" s="345"/>
      <c r="BB25" s="345"/>
      <c r="BC25" s="345"/>
      <c r="BD25" s="345"/>
      <c r="BE25" s="345"/>
      <c r="BF25" s="345"/>
    </row>
    <row r="26" spans="1:58" ht="15">
      <c r="A26" s="595"/>
      <c r="B26" s="598"/>
      <c r="C26" s="599"/>
      <c r="D26" s="536" t="s">
        <v>343</v>
      </c>
      <c r="E26" s="538">
        <f t="shared" si="6"/>
        <v>0.20281518376057336</v>
      </c>
      <c r="F26" s="539"/>
      <c r="G26" s="540">
        <f>G25/12</f>
        <v>0.23577080344644949</v>
      </c>
      <c r="H26" s="540">
        <f t="shared" ref="H26:AI26" si="8">H25/12</f>
        <v>0.34180526526068883</v>
      </c>
      <c r="I26" s="540">
        <f t="shared" si="8"/>
        <v>0.15532448134968943</v>
      </c>
      <c r="J26" s="540">
        <f t="shared" si="8"/>
        <v>0.13230551961711531</v>
      </c>
      <c r="K26" s="540">
        <f t="shared" si="8"/>
        <v>0.19343278944134967</v>
      </c>
      <c r="L26" s="540">
        <f t="shared" si="8"/>
        <v>0.26294340935289717</v>
      </c>
      <c r="M26" s="540">
        <f t="shared" si="8"/>
        <v>0.14106691248995365</v>
      </c>
      <c r="N26" s="540">
        <f t="shared" si="8"/>
        <v>0.19983437532119161</v>
      </c>
      <c r="O26" s="540">
        <f t="shared" si="8"/>
        <v>0.25606392279919088</v>
      </c>
      <c r="P26" s="540">
        <f t="shared" si="8"/>
        <v>0.13805900981991467</v>
      </c>
      <c r="Q26" s="540">
        <f t="shared" si="8"/>
        <v>0.19798708578959145</v>
      </c>
      <c r="R26" s="540">
        <f t="shared" si="8"/>
        <v>0.25799547858528199</v>
      </c>
      <c r="S26" s="540">
        <f t="shared" si="8"/>
        <v>0.13806130047444307</v>
      </c>
      <c r="T26" s="540">
        <f t="shared" si="8"/>
        <v>0.19799434573401209</v>
      </c>
      <c r="U26" s="540">
        <f t="shared" si="8"/>
        <v>0.26034280881466648</v>
      </c>
      <c r="V26" s="540">
        <f t="shared" si="8"/>
        <v>0.13866535567044527</v>
      </c>
      <c r="W26" s="540">
        <f t="shared" si="8"/>
        <v>0.19683459877412346</v>
      </c>
      <c r="X26" s="540">
        <f t="shared" si="8"/>
        <v>0.25648696978011054</v>
      </c>
      <c r="Y26" s="540">
        <f t="shared" si="8"/>
        <v>0.13725523968388098</v>
      </c>
      <c r="Z26" s="540">
        <f t="shared" si="8"/>
        <v>0.20368719653817249</v>
      </c>
      <c r="AA26" s="540">
        <f t="shared" si="8"/>
        <v>0.2654244497479617</v>
      </c>
      <c r="AB26" s="540">
        <f t="shared" si="8"/>
        <v>0.14202202431999686</v>
      </c>
      <c r="AC26" s="540">
        <f t="shared" si="8"/>
        <v>0.20368750911123845</v>
      </c>
      <c r="AD26" s="540">
        <f t="shared" si="8"/>
        <v>0.2654244497479617</v>
      </c>
      <c r="AE26" s="540">
        <f t="shared" si="8"/>
        <v>0.14295860028723095</v>
      </c>
      <c r="AF26" s="540">
        <f t="shared" si="8"/>
        <v>0.20503374281339706</v>
      </c>
      <c r="AG26" s="540">
        <f t="shared" si="8"/>
        <v>0.26718034118504486</v>
      </c>
      <c r="AH26" s="540">
        <f t="shared" si="8"/>
        <v>0.14295860028723095</v>
      </c>
      <c r="AI26" s="540">
        <f t="shared" si="8"/>
        <v>0.20503374281339706</v>
      </c>
      <c r="AJ26" s="345"/>
      <c r="AK26" s="345"/>
      <c r="AL26" s="345"/>
      <c r="AM26" s="345"/>
      <c r="AN26" s="345"/>
      <c r="AO26" s="345"/>
      <c r="AP26" s="345"/>
      <c r="AQ26" s="345"/>
      <c r="AR26" s="345"/>
      <c r="AS26" s="345"/>
      <c r="AT26" s="345"/>
      <c r="AU26" s="345"/>
      <c r="AV26" s="345"/>
      <c r="AW26" s="345"/>
      <c r="AX26" s="345"/>
      <c r="AY26" s="345"/>
      <c r="AZ26" s="345"/>
      <c r="BA26" s="345"/>
      <c r="BB26" s="345"/>
      <c r="BC26" s="345"/>
      <c r="BD26" s="345"/>
      <c r="BE26" s="345"/>
      <c r="BF26" s="345"/>
    </row>
    <row r="27" spans="1:58" ht="15">
      <c r="A27" s="595"/>
      <c r="B27" s="598"/>
      <c r="C27" s="599"/>
      <c r="D27" s="345"/>
      <c r="E27" s="348"/>
      <c r="F27" s="349"/>
      <c r="G27" s="345"/>
      <c r="H27" s="345"/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5"/>
      <c r="AQ27" s="345"/>
      <c r="AR27" s="345"/>
      <c r="AS27" s="345"/>
      <c r="AT27" s="345"/>
      <c r="AU27" s="345"/>
      <c r="AV27" s="345"/>
      <c r="AW27" s="345"/>
      <c r="AX27" s="345"/>
      <c r="AY27" s="345"/>
      <c r="AZ27" s="345"/>
      <c r="BA27" s="345"/>
      <c r="BB27" s="345"/>
      <c r="BC27" s="345"/>
      <c r="BD27" s="345"/>
      <c r="BE27" s="345"/>
      <c r="BF27" s="345"/>
    </row>
    <row r="28" spans="1:58" ht="15">
      <c r="A28" s="595"/>
      <c r="B28" s="598"/>
      <c r="C28" s="599"/>
      <c r="D28" s="345"/>
      <c r="E28" s="348"/>
      <c r="F28" s="349"/>
      <c r="G28" s="345"/>
      <c r="H28" s="345"/>
      <c r="I28" s="345"/>
      <c r="J28" s="345"/>
      <c r="K28" s="345"/>
      <c r="L28" s="345"/>
      <c r="M28" s="345"/>
      <c r="N28" s="345"/>
      <c r="O28" s="345"/>
      <c r="P28" s="345"/>
      <c r="Q28" s="345"/>
      <c r="R28" s="34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5"/>
      <c r="AQ28" s="345"/>
      <c r="AR28" s="345"/>
      <c r="AS28" s="345"/>
      <c r="AT28" s="345"/>
      <c r="AU28" s="345"/>
      <c r="AV28" s="345"/>
      <c r="AW28" s="345"/>
      <c r="AX28" s="345"/>
      <c r="AY28" s="345"/>
      <c r="AZ28" s="345"/>
      <c r="BA28" s="345"/>
      <c r="BB28" s="345"/>
      <c r="BC28" s="345"/>
      <c r="BD28" s="345"/>
      <c r="BE28" s="345"/>
      <c r="BF28" s="345"/>
    </row>
    <row r="29" spans="1:58" ht="15">
      <c r="A29" s="595"/>
      <c r="B29" s="598"/>
      <c r="C29" s="599"/>
      <c r="D29" s="345"/>
      <c r="E29" s="348"/>
      <c r="F29" s="541"/>
      <c r="G29" s="345"/>
      <c r="H29" s="345"/>
      <c r="I29" s="345"/>
      <c r="J29" s="345"/>
      <c r="K29" s="345"/>
      <c r="L29" s="345"/>
      <c r="M29" s="345"/>
      <c r="N29" s="345"/>
      <c r="O29" s="345"/>
      <c r="P29" s="345"/>
      <c r="Q29" s="345"/>
      <c r="R29" s="345"/>
      <c r="S29" s="345"/>
      <c r="T29" s="345"/>
      <c r="U29" s="345"/>
      <c r="V29" s="345"/>
      <c r="W29" s="345"/>
      <c r="X29" s="345"/>
      <c r="Y29" s="345"/>
      <c r="Z29" s="345"/>
      <c r="AA29" s="345"/>
      <c r="AB29" s="345"/>
      <c r="AC29" s="345"/>
      <c r="AD29" s="345"/>
      <c r="AE29" s="345"/>
      <c r="AF29" s="345"/>
      <c r="AG29" s="345"/>
      <c r="AH29" s="345"/>
      <c r="AI29" s="345"/>
      <c r="AJ29" s="345"/>
      <c r="AK29" s="345"/>
      <c r="AL29" s="345"/>
      <c r="AM29" s="345"/>
      <c r="AN29" s="345"/>
      <c r="AO29" s="345"/>
      <c r="AP29" s="345"/>
      <c r="AQ29" s="345"/>
      <c r="AR29" s="345"/>
      <c r="AS29" s="345"/>
      <c r="AT29" s="345"/>
      <c r="AU29" s="345"/>
      <c r="AV29" s="345"/>
      <c r="AW29" s="345"/>
      <c r="AX29" s="345"/>
      <c r="AY29" s="345"/>
      <c r="AZ29" s="345"/>
      <c r="BA29" s="345"/>
      <c r="BB29" s="345"/>
      <c r="BC29" s="345"/>
      <c r="BD29" s="345"/>
      <c r="BE29" s="345"/>
      <c r="BF29" s="345"/>
    </row>
    <row r="30" spans="1:58" ht="15">
      <c r="A30" s="595"/>
      <c r="B30" s="598"/>
      <c r="C30" s="599"/>
      <c r="D30" s="345"/>
      <c r="E30" s="348"/>
      <c r="F30" s="349"/>
      <c r="G30" s="345"/>
      <c r="H30" s="345"/>
      <c r="I30" s="345"/>
      <c r="J30" s="345"/>
      <c r="K30" s="345"/>
      <c r="L30" s="345"/>
      <c r="M30" s="345"/>
      <c r="N30" s="345"/>
      <c r="O30" s="345"/>
      <c r="P30" s="345"/>
      <c r="Q30" s="345"/>
      <c r="R30" s="345"/>
      <c r="S30" s="345"/>
      <c r="T30" s="345"/>
      <c r="U30" s="345"/>
      <c r="V30" s="345"/>
      <c r="W30" s="345"/>
      <c r="X30" s="345"/>
      <c r="Y30" s="345"/>
      <c r="Z30" s="345"/>
      <c r="AA30" s="345"/>
      <c r="AB30" s="345"/>
      <c r="AC30" s="345"/>
      <c r="AD30" s="345"/>
      <c r="AE30" s="345"/>
      <c r="AF30" s="345"/>
      <c r="AG30" s="345"/>
      <c r="AH30" s="345"/>
      <c r="AI30" s="345"/>
      <c r="AJ30" s="345"/>
      <c r="AK30" s="345"/>
      <c r="AL30" s="345"/>
      <c r="AM30" s="345"/>
      <c r="AN30" s="345"/>
      <c r="AO30" s="345"/>
      <c r="AP30" s="345"/>
      <c r="AQ30" s="345"/>
      <c r="AR30" s="345"/>
      <c r="AS30" s="345"/>
      <c r="AT30" s="345"/>
      <c r="AU30" s="345"/>
      <c r="AV30" s="345"/>
      <c r="AW30" s="345"/>
      <c r="AX30" s="345"/>
      <c r="AY30" s="345"/>
      <c r="AZ30" s="345"/>
      <c r="BA30" s="345"/>
      <c r="BB30" s="345"/>
      <c r="BC30" s="345"/>
      <c r="BD30" s="345"/>
      <c r="BE30" s="345"/>
      <c r="BF30" s="345"/>
    </row>
    <row r="31" spans="1:58" ht="15">
      <c r="A31" s="595"/>
      <c r="B31" s="598"/>
      <c r="C31" s="599"/>
      <c r="D31" s="345"/>
      <c r="E31" s="348"/>
      <c r="F31" s="349"/>
      <c r="G31" s="345"/>
      <c r="H31" s="345"/>
      <c r="I31" s="345"/>
      <c r="J31" s="345"/>
      <c r="K31" s="345"/>
      <c r="L31" s="345"/>
      <c r="M31" s="345"/>
      <c r="N31" s="345"/>
      <c r="O31" s="345"/>
      <c r="P31" s="345"/>
      <c r="Q31" s="345"/>
      <c r="R31" s="345"/>
      <c r="S31" s="345"/>
      <c r="T31" s="345"/>
      <c r="U31" s="345"/>
      <c r="V31" s="345"/>
      <c r="W31" s="345"/>
      <c r="X31" s="345"/>
      <c r="Y31" s="345"/>
      <c r="Z31" s="345"/>
      <c r="AA31" s="345"/>
      <c r="AB31" s="345"/>
      <c r="AC31" s="345"/>
      <c r="AD31" s="345"/>
      <c r="AE31" s="345"/>
      <c r="AF31" s="345"/>
      <c r="AG31" s="345"/>
      <c r="AH31" s="345"/>
      <c r="AI31" s="345"/>
      <c r="AJ31" s="345"/>
      <c r="AK31" s="345"/>
      <c r="AL31" s="345"/>
      <c r="AM31" s="345"/>
      <c r="AN31" s="345"/>
      <c r="AO31" s="345"/>
      <c r="AP31" s="345"/>
      <c r="AQ31" s="345"/>
      <c r="AR31" s="345"/>
      <c r="AS31" s="345"/>
      <c r="AT31" s="345"/>
      <c r="AU31" s="345"/>
      <c r="AV31" s="345"/>
      <c r="AW31" s="345"/>
      <c r="AX31" s="345"/>
      <c r="AY31" s="345"/>
      <c r="AZ31" s="345"/>
      <c r="BA31" s="345"/>
      <c r="BB31" s="345"/>
      <c r="BC31" s="345"/>
      <c r="BD31" s="345"/>
      <c r="BE31" s="345"/>
      <c r="BF31" s="345"/>
    </row>
    <row r="32" spans="1:58">
      <c r="A32" s="595"/>
      <c r="B32" s="598"/>
      <c r="C32" s="599"/>
      <c r="D32" s="345"/>
      <c r="E32" s="348"/>
      <c r="F32" s="345"/>
      <c r="G32" s="345"/>
      <c r="H32" s="345"/>
      <c r="I32" s="345"/>
      <c r="J32" s="345"/>
      <c r="K32" s="345"/>
      <c r="L32" s="345"/>
      <c r="M32" s="345"/>
      <c r="N32" s="345"/>
      <c r="O32" s="345"/>
      <c r="P32" s="345"/>
      <c r="Q32" s="345"/>
      <c r="R32" s="345"/>
      <c r="S32" s="345"/>
      <c r="T32" s="345"/>
      <c r="U32" s="345"/>
      <c r="V32" s="345"/>
      <c r="W32" s="345"/>
      <c r="X32" s="345"/>
      <c r="Y32" s="345"/>
      <c r="Z32" s="345"/>
      <c r="AA32" s="345"/>
      <c r="AB32" s="345"/>
      <c r="AC32" s="345"/>
      <c r="AD32" s="345"/>
      <c r="AE32" s="345"/>
      <c r="AF32" s="345"/>
      <c r="AG32" s="345"/>
      <c r="AH32" s="345"/>
      <c r="AI32" s="345"/>
      <c r="AJ32" s="345"/>
      <c r="AK32" s="345"/>
      <c r="AL32" s="345"/>
      <c r="AM32" s="345"/>
      <c r="AN32" s="345"/>
      <c r="AO32" s="345"/>
      <c r="AP32" s="345"/>
      <c r="AQ32" s="345"/>
      <c r="AR32" s="345"/>
      <c r="AS32" s="345"/>
      <c r="AT32" s="345"/>
      <c r="AU32" s="345"/>
      <c r="AV32" s="345"/>
      <c r="AW32" s="345"/>
      <c r="AX32" s="345"/>
      <c r="AY32" s="345"/>
      <c r="AZ32" s="345"/>
      <c r="BA32" s="345"/>
      <c r="BB32" s="345"/>
      <c r="BC32" s="345"/>
      <c r="BD32" s="345"/>
      <c r="BE32" s="345"/>
      <c r="BF32" s="345"/>
    </row>
    <row r="33" spans="1:58">
      <c r="A33" s="595"/>
      <c r="B33" s="598"/>
      <c r="C33" s="599"/>
      <c r="D33" s="345"/>
      <c r="E33" s="348"/>
      <c r="F33" s="345"/>
      <c r="G33" s="345"/>
      <c r="H33" s="345"/>
      <c r="I33" s="345"/>
      <c r="J33" s="345"/>
      <c r="K33" s="345"/>
      <c r="L33" s="345"/>
      <c r="M33" s="345"/>
      <c r="N33" s="345"/>
      <c r="O33" s="345"/>
      <c r="P33" s="345"/>
      <c r="Q33" s="345"/>
      <c r="R33" s="345"/>
      <c r="S33" s="345"/>
      <c r="T33" s="345"/>
      <c r="U33" s="345"/>
      <c r="V33" s="345"/>
      <c r="W33" s="345"/>
      <c r="X33" s="345"/>
      <c r="Y33" s="345"/>
      <c r="Z33" s="345"/>
      <c r="AA33" s="345"/>
      <c r="AB33" s="345"/>
      <c r="AC33" s="345"/>
      <c r="AD33" s="345"/>
      <c r="AE33" s="345"/>
      <c r="AF33" s="345"/>
      <c r="AG33" s="345"/>
      <c r="AH33" s="345"/>
      <c r="AI33" s="345"/>
      <c r="AJ33" s="345"/>
      <c r="AK33" s="345"/>
      <c r="AL33" s="345"/>
      <c r="AM33" s="345"/>
      <c r="AN33" s="345"/>
      <c r="AO33" s="345"/>
      <c r="AP33" s="345"/>
      <c r="AQ33" s="345"/>
      <c r="AR33" s="345"/>
      <c r="AS33" s="345"/>
      <c r="AT33" s="345"/>
      <c r="AU33" s="345"/>
      <c r="AV33" s="345"/>
      <c r="AW33" s="345"/>
      <c r="AX33" s="345"/>
      <c r="AY33" s="345"/>
      <c r="AZ33" s="345"/>
      <c r="BA33" s="345"/>
      <c r="BB33" s="345"/>
      <c r="BC33" s="345"/>
      <c r="BD33" s="345"/>
      <c r="BE33" s="345"/>
      <c r="BF33" s="345"/>
    </row>
    <row r="34" spans="1:58">
      <c r="A34" s="595"/>
      <c r="B34" s="598"/>
      <c r="C34" s="599"/>
      <c r="D34" s="345"/>
      <c r="E34" s="345"/>
      <c r="F34" s="345"/>
      <c r="G34" s="345"/>
      <c r="H34" s="345"/>
      <c r="I34" s="345"/>
      <c r="J34" s="345"/>
      <c r="K34" s="345"/>
      <c r="L34" s="345"/>
      <c r="M34" s="345"/>
      <c r="N34" s="345"/>
      <c r="O34" s="345"/>
      <c r="P34" s="345"/>
      <c r="Q34" s="345"/>
      <c r="R34" s="345"/>
      <c r="S34" s="345"/>
      <c r="T34" s="345"/>
      <c r="U34" s="345"/>
      <c r="V34" s="345"/>
      <c r="W34" s="345"/>
      <c r="X34" s="345"/>
      <c r="Y34" s="345"/>
      <c r="Z34" s="345"/>
      <c r="AA34" s="345"/>
      <c r="AB34" s="345"/>
      <c r="AC34" s="345"/>
      <c r="AD34" s="345"/>
      <c r="AE34" s="345"/>
      <c r="AF34" s="345"/>
      <c r="AG34" s="345"/>
      <c r="AH34" s="345"/>
      <c r="AI34" s="345"/>
      <c r="AJ34" s="345"/>
      <c r="AK34" s="345"/>
      <c r="AL34" s="345"/>
      <c r="AM34" s="345"/>
      <c r="AN34" s="345"/>
      <c r="AO34" s="345"/>
      <c r="AP34" s="345"/>
      <c r="AQ34" s="345"/>
      <c r="AR34" s="345"/>
      <c r="AS34" s="345"/>
      <c r="AT34" s="345"/>
      <c r="AU34" s="345"/>
      <c r="AV34" s="345"/>
      <c r="AW34" s="345"/>
      <c r="AX34" s="345"/>
      <c r="AY34" s="345"/>
      <c r="AZ34" s="345"/>
      <c r="BA34" s="345"/>
      <c r="BB34" s="345"/>
      <c r="BC34" s="345"/>
      <c r="BD34" s="345"/>
      <c r="BE34" s="345"/>
      <c r="BF34" s="345"/>
    </row>
    <row r="35" spans="1:58">
      <c r="A35" s="595"/>
      <c r="B35" s="598"/>
      <c r="C35" s="599"/>
      <c r="D35" s="345"/>
      <c r="E35" s="348"/>
      <c r="F35" s="345"/>
      <c r="G35" s="345"/>
      <c r="H35" s="345"/>
      <c r="I35" s="345"/>
      <c r="J35" s="345"/>
      <c r="K35" s="345"/>
      <c r="L35" s="345"/>
      <c r="M35" s="345"/>
      <c r="N35" s="345"/>
      <c r="O35" s="345"/>
      <c r="P35" s="345"/>
      <c r="Q35" s="345"/>
      <c r="R35" s="345"/>
      <c r="S35" s="345"/>
      <c r="T35" s="345"/>
      <c r="U35" s="345"/>
      <c r="V35" s="345"/>
      <c r="W35" s="345"/>
      <c r="X35" s="345"/>
      <c r="Y35" s="345"/>
      <c r="Z35" s="345"/>
      <c r="AA35" s="345"/>
      <c r="AB35" s="345"/>
      <c r="AC35" s="345"/>
      <c r="AD35" s="345"/>
      <c r="AE35" s="345"/>
      <c r="AF35" s="345"/>
      <c r="AG35" s="345"/>
      <c r="AH35" s="345"/>
      <c r="AI35" s="345"/>
      <c r="AJ35" s="345"/>
      <c r="AK35" s="345"/>
      <c r="AL35" s="345"/>
      <c r="AM35" s="345"/>
      <c r="AN35" s="345"/>
      <c r="AO35" s="345"/>
      <c r="AP35" s="345"/>
      <c r="AQ35" s="345"/>
      <c r="AR35" s="345"/>
      <c r="AS35" s="345"/>
      <c r="AT35" s="345"/>
      <c r="AU35" s="345"/>
      <c r="AV35" s="345"/>
      <c r="AW35" s="345"/>
      <c r="AX35" s="345"/>
      <c r="AY35" s="345"/>
      <c r="AZ35" s="345"/>
      <c r="BA35" s="345"/>
      <c r="BB35" s="345"/>
      <c r="BC35" s="345"/>
      <c r="BD35" s="345"/>
      <c r="BE35" s="345"/>
      <c r="BF35" s="345"/>
    </row>
    <row r="36" spans="1:58">
      <c r="A36" s="595"/>
      <c r="B36" s="598"/>
      <c r="C36" s="599"/>
      <c r="D36" s="345"/>
      <c r="E36" s="345"/>
      <c r="F36" s="345"/>
      <c r="G36" s="345"/>
      <c r="H36" s="345"/>
      <c r="I36" s="345"/>
      <c r="J36" s="345"/>
      <c r="K36" s="345"/>
      <c r="L36" s="345"/>
      <c r="M36" s="345"/>
      <c r="N36" s="345"/>
      <c r="O36" s="345"/>
      <c r="P36" s="345"/>
      <c r="Q36" s="345"/>
      <c r="R36" s="345"/>
      <c r="S36" s="345"/>
      <c r="T36" s="345"/>
      <c r="U36" s="345"/>
      <c r="V36" s="345"/>
      <c r="W36" s="345"/>
      <c r="X36" s="345"/>
      <c r="Y36" s="345"/>
      <c r="Z36" s="345"/>
      <c r="AA36" s="345"/>
      <c r="AB36" s="345"/>
      <c r="AC36" s="345"/>
      <c r="AD36" s="345"/>
      <c r="AE36" s="345"/>
      <c r="AF36" s="345"/>
      <c r="AG36" s="345"/>
      <c r="AH36" s="345"/>
      <c r="AI36" s="345"/>
      <c r="AJ36" s="345"/>
      <c r="AK36" s="345"/>
      <c r="AL36" s="345"/>
      <c r="AM36" s="345"/>
      <c r="AN36" s="345"/>
      <c r="AO36" s="345"/>
      <c r="AP36" s="345"/>
      <c r="AQ36" s="345"/>
      <c r="AR36" s="345"/>
      <c r="AS36" s="345"/>
      <c r="AT36" s="345"/>
      <c r="AU36" s="345"/>
      <c r="AV36" s="345"/>
      <c r="AW36" s="345"/>
      <c r="AX36" s="345"/>
      <c r="AY36" s="345"/>
      <c r="AZ36" s="345"/>
      <c r="BA36" s="345"/>
      <c r="BB36" s="345"/>
      <c r="BC36" s="345"/>
      <c r="BD36" s="345"/>
      <c r="BE36" s="345"/>
      <c r="BF36" s="345"/>
    </row>
    <row r="37" spans="1:58">
      <c r="A37" s="595"/>
      <c r="B37" s="598"/>
      <c r="C37" s="599"/>
      <c r="D37" s="345"/>
      <c r="E37" s="345"/>
      <c r="F37" s="345"/>
      <c r="G37" s="345"/>
      <c r="H37" s="345"/>
      <c r="I37" s="345"/>
      <c r="J37" s="345"/>
      <c r="K37" s="345"/>
      <c r="L37" s="345"/>
      <c r="M37" s="345"/>
      <c r="N37" s="345"/>
      <c r="O37" s="345"/>
      <c r="P37" s="345"/>
      <c r="Q37" s="345"/>
      <c r="R37" s="345"/>
      <c r="S37" s="345"/>
      <c r="T37" s="345"/>
      <c r="U37" s="345"/>
      <c r="V37" s="345"/>
      <c r="W37" s="345"/>
      <c r="X37" s="345"/>
      <c r="Y37" s="345"/>
      <c r="Z37" s="345"/>
      <c r="AA37" s="345"/>
      <c r="AB37" s="345"/>
      <c r="AC37" s="345"/>
      <c r="AD37" s="345"/>
      <c r="AE37" s="345"/>
      <c r="AF37" s="345"/>
      <c r="AG37" s="345"/>
      <c r="AH37" s="345"/>
      <c r="AI37" s="345"/>
      <c r="AJ37" s="345"/>
      <c r="AK37" s="345"/>
      <c r="AL37" s="345"/>
      <c r="AM37" s="345"/>
      <c r="AN37" s="345"/>
      <c r="AO37" s="345"/>
      <c r="AP37" s="345"/>
      <c r="AQ37" s="345"/>
      <c r="AR37" s="345"/>
      <c r="AS37" s="345"/>
      <c r="AT37" s="345"/>
      <c r="AU37" s="345"/>
      <c r="AV37" s="345"/>
      <c r="AW37" s="345"/>
      <c r="AX37" s="345"/>
      <c r="AY37" s="345"/>
      <c r="AZ37" s="345"/>
      <c r="BA37" s="345"/>
      <c r="BB37" s="345"/>
      <c r="BC37" s="345"/>
      <c r="BD37" s="345"/>
      <c r="BE37" s="345"/>
      <c r="BF37" s="345"/>
    </row>
    <row r="38" spans="1:58">
      <c r="A38" s="595"/>
      <c r="B38" s="598"/>
      <c r="C38" s="599"/>
      <c r="D38" s="345"/>
      <c r="E38" s="345"/>
      <c r="F38" s="345"/>
      <c r="G38" s="345"/>
      <c r="H38" s="345"/>
      <c r="I38" s="345"/>
      <c r="J38" s="345"/>
      <c r="K38" s="345"/>
      <c r="L38" s="345"/>
      <c r="M38" s="345"/>
      <c r="N38" s="345"/>
      <c r="O38" s="345"/>
      <c r="P38" s="345"/>
      <c r="Q38" s="345"/>
      <c r="R38" s="345"/>
      <c r="S38" s="345"/>
      <c r="T38" s="345"/>
      <c r="U38" s="345"/>
      <c r="V38" s="345"/>
      <c r="W38" s="345"/>
      <c r="X38" s="345"/>
      <c r="Y38" s="345"/>
      <c r="Z38" s="345"/>
      <c r="AA38" s="345"/>
      <c r="AB38" s="345"/>
      <c r="AC38" s="345"/>
      <c r="AD38" s="345"/>
      <c r="AE38" s="345"/>
      <c r="AF38" s="345"/>
      <c r="AG38" s="345"/>
      <c r="AH38" s="345"/>
      <c r="AI38" s="345"/>
      <c r="AJ38" s="345"/>
      <c r="AK38" s="345"/>
      <c r="AL38" s="345"/>
      <c r="AM38" s="345"/>
      <c r="AN38" s="345"/>
      <c r="AO38" s="345"/>
      <c r="AP38" s="345"/>
      <c r="AQ38" s="345"/>
      <c r="AR38" s="345"/>
      <c r="AS38" s="345"/>
      <c r="AT38" s="345"/>
      <c r="AU38" s="345"/>
      <c r="AV38" s="345"/>
      <c r="AW38" s="345"/>
      <c r="AX38" s="345"/>
      <c r="AY38" s="345"/>
      <c r="AZ38" s="345"/>
    </row>
    <row r="39" spans="1:58">
      <c r="A39" s="595"/>
      <c r="B39" s="598"/>
      <c r="C39" s="599"/>
      <c r="D39" s="345"/>
      <c r="E39" s="345"/>
      <c r="F39" s="345"/>
      <c r="G39" s="345"/>
      <c r="H39" s="345"/>
      <c r="I39" s="345"/>
      <c r="J39" s="345"/>
      <c r="K39" s="345"/>
      <c r="L39" s="345"/>
      <c r="M39" s="345"/>
      <c r="N39" s="345"/>
      <c r="O39" s="345"/>
      <c r="P39" s="345"/>
      <c r="Q39" s="345"/>
      <c r="R39" s="345"/>
      <c r="S39" s="345"/>
      <c r="T39" s="345"/>
      <c r="U39" s="345"/>
      <c r="V39" s="345"/>
      <c r="W39" s="345"/>
      <c r="X39" s="345"/>
      <c r="Y39" s="345"/>
      <c r="Z39" s="345"/>
      <c r="AA39" s="345"/>
      <c r="AB39" s="345"/>
      <c r="AC39" s="345"/>
      <c r="AD39" s="345"/>
      <c r="AE39" s="345"/>
      <c r="AF39" s="345"/>
      <c r="AG39" s="345"/>
      <c r="AH39" s="345"/>
      <c r="AI39" s="345"/>
      <c r="AJ39" s="345"/>
      <c r="AK39" s="345"/>
      <c r="AL39" s="345"/>
      <c r="AM39" s="345"/>
      <c r="AN39" s="345"/>
      <c r="AO39" s="345"/>
      <c r="AP39" s="345"/>
      <c r="AQ39" s="345"/>
      <c r="AR39" s="345"/>
      <c r="AS39" s="345"/>
      <c r="AT39" s="345"/>
      <c r="AU39" s="345"/>
      <c r="AV39" s="345"/>
      <c r="AW39" s="345"/>
      <c r="AX39" s="345"/>
      <c r="AY39" s="345"/>
      <c r="AZ39" s="345"/>
    </row>
    <row r="40" spans="1:58">
      <c r="A40" s="595"/>
      <c r="B40" s="242"/>
      <c r="C40" s="243"/>
      <c r="D40" s="345"/>
      <c r="E40" s="345"/>
      <c r="F40" s="345"/>
      <c r="G40" s="345"/>
      <c r="H40" s="345"/>
      <c r="I40" s="345"/>
      <c r="J40" s="345"/>
      <c r="K40" s="345"/>
      <c r="L40" s="345"/>
      <c r="M40" s="345"/>
      <c r="N40" s="345"/>
      <c r="O40" s="345"/>
      <c r="P40" s="345"/>
      <c r="Q40" s="345"/>
      <c r="R40" s="345"/>
      <c r="S40" s="345"/>
      <c r="T40" s="345"/>
      <c r="U40" s="345"/>
      <c r="V40" s="345"/>
      <c r="W40" s="345"/>
      <c r="X40" s="345"/>
      <c r="Y40" s="345"/>
      <c r="Z40" s="345"/>
      <c r="AA40" s="345"/>
      <c r="AB40" s="345"/>
      <c r="AC40" s="345"/>
      <c r="AD40" s="345"/>
      <c r="AE40" s="345"/>
      <c r="AF40" s="345"/>
      <c r="AG40" s="345"/>
      <c r="AH40" s="345"/>
      <c r="AI40" s="345"/>
      <c r="AJ40" s="345"/>
      <c r="AK40" s="345"/>
      <c r="AL40" s="345"/>
      <c r="AM40" s="345"/>
      <c r="AN40" s="345"/>
      <c r="AO40" s="345"/>
      <c r="AP40" s="345"/>
      <c r="AQ40" s="345"/>
      <c r="AR40" s="345"/>
      <c r="AS40" s="345"/>
      <c r="AT40" s="345"/>
      <c r="AU40" s="345"/>
      <c r="AV40" s="345"/>
      <c r="AW40" s="345"/>
      <c r="AX40" s="345"/>
      <c r="AY40" s="345"/>
      <c r="AZ40" s="345"/>
    </row>
    <row r="41" spans="1:58">
      <c r="A41" s="595"/>
      <c r="B41" s="242"/>
      <c r="C41" s="243"/>
      <c r="D41" s="345"/>
      <c r="E41" s="345"/>
      <c r="F41" s="345"/>
      <c r="G41" s="345"/>
      <c r="H41" s="345"/>
      <c r="I41" s="345"/>
      <c r="J41" s="345"/>
      <c r="K41" s="345"/>
      <c r="L41" s="345"/>
      <c r="M41" s="345"/>
      <c r="N41" s="345"/>
      <c r="O41" s="345"/>
      <c r="P41" s="345"/>
      <c r="Q41" s="345"/>
      <c r="R41" s="345"/>
      <c r="S41" s="345"/>
      <c r="T41" s="345"/>
      <c r="U41" s="345"/>
      <c r="V41" s="345"/>
      <c r="W41" s="345"/>
      <c r="X41" s="345"/>
      <c r="Y41" s="345"/>
      <c r="Z41" s="345"/>
      <c r="AA41" s="345"/>
      <c r="AB41" s="345"/>
      <c r="AC41" s="345"/>
      <c r="AD41" s="345"/>
      <c r="AE41" s="345"/>
      <c r="AF41" s="345"/>
      <c r="AG41" s="345"/>
      <c r="AH41" s="345"/>
      <c r="AI41" s="345"/>
      <c r="AJ41" s="345"/>
      <c r="AK41" s="345"/>
      <c r="AL41" s="345"/>
      <c r="AM41" s="345"/>
      <c r="AN41" s="345"/>
      <c r="AO41" s="345"/>
      <c r="AP41" s="345"/>
      <c r="AQ41" s="345"/>
      <c r="AR41" s="345"/>
      <c r="AS41" s="345"/>
      <c r="AT41" s="345"/>
      <c r="AU41" s="345"/>
      <c r="AV41" s="345"/>
      <c r="AW41" s="345"/>
      <c r="AX41" s="345"/>
      <c r="AY41" s="345"/>
      <c r="AZ41" s="345"/>
    </row>
    <row r="42" spans="1:58">
      <c r="A42" s="595"/>
      <c r="B42" s="242"/>
      <c r="C42" s="243"/>
      <c r="D42" s="345"/>
      <c r="E42" s="345"/>
      <c r="F42" s="345"/>
      <c r="G42" s="345"/>
      <c r="H42" s="345"/>
      <c r="I42" s="345"/>
      <c r="J42" s="345"/>
      <c r="K42" s="345"/>
      <c r="L42" s="345"/>
      <c r="M42" s="345"/>
      <c r="N42" s="345"/>
      <c r="O42" s="345"/>
      <c r="P42" s="345"/>
      <c r="Q42" s="345"/>
      <c r="R42" s="345"/>
      <c r="S42" s="345"/>
      <c r="T42" s="345"/>
      <c r="U42" s="345"/>
      <c r="V42" s="345"/>
      <c r="W42" s="345"/>
      <c r="X42" s="345"/>
      <c r="Y42" s="345"/>
      <c r="Z42" s="345"/>
      <c r="AA42" s="345"/>
      <c r="AB42" s="345"/>
      <c r="AC42" s="345"/>
      <c r="AD42" s="345"/>
      <c r="AE42" s="345"/>
      <c r="AF42" s="345"/>
      <c r="AG42" s="345"/>
      <c r="AH42" s="345"/>
      <c r="AI42" s="345"/>
      <c r="AJ42" s="345"/>
      <c r="AK42" s="345"/>
      <c r="AL42" s="345"/>
      <c r="AM42" s="345"/>
      <c r="AN42" s="345"/>
      <c r="AO42" s="345"/>
      <c r="AP42" s="345"/>
      <c r="AQ42" s="345"/>
      <c r="AR42" s="345"/>
      <c r="AS42" s="345"/>
      <c r="AT42" s="345"/>
      <c r="AU42" s="345"/>
      <c r="AV42" s="345"/>
      <c r="AW42" s="345"/>
      <c r="AX42" s="345"/>
      <c r="AY42" s="345"/>
      <c r="AZ42" s="345"/>
    </row>
    <row r="43" spans="1:58">
      <c r="A43" s="595"/>
      <c r="B43" s="242"/>
      <c r="C43" s="243"/>
    </row>
  </sheetData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P5:P12 W5:W12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7">
    <tabColor theme="9" tint="-0.499984740745262"/>
    <pageSetUpPr fitToPage="1"/>
  </sheetPr>
  <dimension ref="A1:JA145"/>
  <sheetViews>
    <sheetView showZeros="0" zoomScale="90" zoomScaleNormal="90" workbookViewId="0">
      <pane ySplit="7" topLeftCell="A56" activePane="bottomLeft" state="frozen"/>
      <selection pane="bottomLeft" activeCell="I5" sqref="I5:Q5"/>
    </sheetView>
  </sheetViews>
  <sheetFormatPr defaultRowHeight="12.75"/>
  <cols>
    <col min="1" max="1" width="2.7109375" style="603" customWidth="1"/>
    <col min="2" max="3" width="2.7109375" style="343" customWidth="1"/>
    <col min="4" max="4" width="11" style="342" customWidth="1"/>
    <col min="5" max="5" width="9.85546875" style="376" customWidth="1"/>
    <col min="6" max="6" width="9" style="344" hidden="1" customWidth="1"/>
    <col min="7" max="7" width="49.42578125" style="343" customWidth="1"/>
    <col min="8" max="8" width="12.85546875" style="343" customWidth="1"/>
    <col min="9" max="9" width="8.7109375" style="343" customWidth="1"/>
    <col min="10" max="10" width="5.7109375" style="343" customWidth="1"/>
    <col min="11" max="11" width="8.7109375" style="343" customWidth="1"/>
    <col min="12" max="12" width="5.7109375" style="343" customWidth="1"/>
    <col min="13" max="13" width="8.7109375" style="343" customWidth="1"/>
    <col min="14" max="14" width="5.7109375" style="343" customWidth="1"/>
    <col min="15" max="15" width="10.42578125" style="343" customWidth="1"/>
    <col min="16" max="23" width="9" style="343" customWidth="1"/>
    <col min="24" max="24" width="10.5703125" style="343" customWidth="1"/>
    <col min="25" max="31" width="9" style="343" customWidth="1"/>
    <col min="32" max="32" width="11" style="343" customWidth="1"/>
    <col min="33" max="39" width="9" style="343" customWidth="1"/>
    <col min="40" max="40" width="10.140625" style="343" customWidth="1"/>
    <col min="41" max="41" width="9" style="343" customWidth="1"/>
    <col min="42" max="42" width="8.7109375" style="343" customWidth="1"/>
    <col min="43" max="43" width="5.7109375" style="343" customWidth="1"/>
    <col min="44" max="44" width="8.7109375" style="343" customWidth="1"/>
    <col min="45" max="45" width="5.7109375" style="343" customWidth="1"/>
    <col min="46" max="46" width="8.7109375" style="343" customWidth="1"/>
    <col min="47" max="47" width="5.7109375" style="343" customWidth="1"/>
    <col min="48" max="48" width="10.42578125" style="343" customWidth="1"/>
    <col min="49" max="55" width="9" style="343" customWidth="1"/>
    <col min="56" max="56" width="10.42578125" style="343" customWidth="1"/>
    <col min="57" max="57" width="9" style="343" customWidth="1"/>
    <col min="58" max="58" width="8.7109375" style="343" customWidth="1"/>
    <col min="59" max="59" width="5.7109375" style="343" customWidth="1"/>
    <col min="60" max="60" width="8.7109375" style="343" customWidth="1"/>
    <col min="61" max="61" width="5.7109375" style="343" customWidth="1"/>
    <col min="62" max="62" width="8.7109375" style="343" customWidth="1"/>
    <col min="63" max="63" width="5.7109375" style="343" customWidth="1"/>
    <col min="64" max="64" width="12.7109375" style="343" customWidth="1"/>
    <col min="65" max="89" width="11.140625" style="343" customWidth="1"/>
    <col min="90" max="90" width="8.7109375" style="343" customWidth="1"/>
    <col min="91" max="91" width="5.7109375" style="343" customWidth="1"/>
    <col min="92" max="92" width="8.28515625" style="343" customWidth="1"/>
    <col min="93" max="93" width="5.7109375" style="343" customWidth="1"/>
    <col min="94" max="94" width="8.7109375" style="343" customWidth="1"/>
    <col min="95" max="95" width="5.7109375" style="343" customWidth="1"/>
    <col min="96" max="96" width="10.42578125" style="343" customWidth="1"/>
    <col min="97" max="103" width="9.28515625" style="343" customWidth="1"/>
    <col min="104" max="104" width="11.140625" style="343" customWidth="1"/>
    <col min="105" max="111" width="9.28515625" style="343" customWidth="1"/>
    <col min="112" max="112" width="12" style="343" customWidth="1"/>
    <col min="113" max="119" width="9.28515625" style="343" customWidth="1"/>
    <col min="120" max="120" width="13.28515625" style="343" customWidth="1"/>
    <col min="121" max="127" width="9.28515625" style="343" customWidth="1"/>
    <col min="128" max="128" width="11.28515625" style="343" customWidth="1"/>
    <col min="129" max="135" width="9.28515625" style="343" customWidth="1"/>
    <col min="136" max="136" width="10.5703125" style="343" customWidth="1"/>
    <col min="137" max="143" width="9.28515625" style="343" customWidth="1"/>
    <col min="144" max="144" width="10.85546875" style="343" customWidth="1"/>
    <col min="145" max="145" width="9.28515625" style="343" customWidth="1"/>
    <col min="146" max="146" width="8.7109375" style="343" customWidth="1"/>
    <col min="147" max="147" width="5.7109375" style="343" customWidth="1"/>
    <col min="148" max="148" width="8.7109375" style="343" customWidth="1"/>
    <col min="149" max="149" width="5.7109375" style="343" customWidth="1"/>
    <col min="150" max="150" width="8.7109375" style="343" customWidth="1"/>
    <col min="151" max="151" width="5.7109375" style="343" customWidth="1"/>
    <col min="152" max="152" width="10.42578125" style="343" customWidth="1"/>
    <col min="153" max="159" width="8.85546875" style="343" customWidth="1"/>
    <col min="160" max="160" width="12.140625" style="343" customWidth="1"/>
    <col min="161" max="167" width="8.85546875" style="343" customWidth="1"/>
    <col min="168" max="168" width="11.7109375" style="343" customWidth="1"/>
    <col min="169" max="175" width="8.85546875" style="343" customWidth="1"/>
    <col min="176" max="176" width="12.28515625" style="343" customWidth="1"/>
    <col min="177" max="183" width="8.85546875" style="343" customWidth="1"/>
    <col min="184" max="184" width="11" style="343" customWidth="1"/>
    <col min="185" max="191" width="8.85546875" style="343" customWidth="1"/>
    <col min="192" max="192" width="12.5703125" style="343" customWidth="1"/>
    <col min="193" max="199" width="8.85546875" style="343" customWidth="1"/>
    <col min="200" max="200" width="13.28515625" style="343" customWidth="1"/>
    <col min="201" max="207" width="8.85546875" style="343" customWidth="1"/>
    <col min="208" max="208" width="14" style="343" customWidth="1"/>
    <col min="209" max="209" width="8.85546875" style="343" customWidth="1"/>
    <col min="210" max="210" width="9.140625" style="343"/>
    <col min="211" max="211" width="5.7109375" style="343" customWidth="1"/>
    <col min="212" max="212" width="9.140625" style="343"/>
    <col min="213" max="213" width="5.7109375" style="343" customWidth="1"/>
    <col min="214" max="214" width="9.140625" style="343"/>
    <col min="215" max="215" width="5.7109375" style="343" customWidth="1"/>
    <col min="216" max="216" width="11.7109375" style="343" customWidth="1"/>
    <col min="217" max="223" width="9.140625" style="343"/>
    <col min="224" max="224" width="11.140625" style="343" customWidth="1"/>
    <col min="225" max="231" width="9.140625" style="343"/>
    <col min="232" max="232" width="12" style="343" customWidth="1"/>
    <col min="233" max="239" width="9.140625" style="343"/>
    <col min="240" max="240" width="12.28515625" style="343" customWidth="1"/>
    <col min="241" max="247" width="9.140625" style="343"/>
    <col min="248" max="248" width="11.5703125" style="343" customWidth="1"/>
    <col min="249" max="411" width="9.140625" style="343"/>
    <col min="412" max="412" width="11" style="343" customWidth="1"/>
    <col min="413" max="413" width="20.7109375" style="343" customWidth="1"/>
    <col min="414" max="414" width="7.85546875" style="343" customWidth="1"/>
    <col min="415" max="415" width="49.42578125" style="343" customWidth="1"/>
    <col min="416" max="416" width="18.5703125" style="343" customWidth="1"/>
    <col min="417" max="417" width="8.7109375" style="343" customWidth="1"/>
    <col min="418" max="418" width="5.7109375" style="343" customWidth="1"/>
    <col min="419" max="419" width="8.7109375" style="343" customWidth="1"/>
    <col min="420" max="420" width="5.7109375" style="343" customWidth="1"/>
    <col min="421" max="421" width="8.7109375" style="343" customWidth="1"/>
    <col min="422" max="422" width="5.7109375" style="343" customWidth="1"/>
    <col min="423" max="423" width="10.42578125" style="343" customWidth="1"/>
    <col min="424" max="425" width="9" style="343" customWidth="1"/>
    <col min="426" max="426" width="8.7109375" style="343" customWidth="1"/>
    <col min="427" max="427" width="5.7109375" style="343" customWidth="1"/>
    <col min="428" max="428" width="8.7109375" style="343" customWidth="1"/>
    <col min="429" max="429" width="5.7109375" style="343" customWidth="1"/>
    <col min="430" max="430" width="8.7109375" style="343" customWidth="1"/>
    <col min="431" max="431" width="5.7109375" style="343" customWidth="1"/>
    <col min="432" max="432" width="10.42578125" style="343" customWidth="1"/>
    <col min="433" max="439" width="9" style="343" customWidth="1"/>
    <col min="440" max="440" width="10.42578125" style="343" customWidth="1"/>
    <col min="441" max="441" width="9" style="343" customWidth="1"/>
    <col min="442" max="442" width="8.7109375" style="343" customWidth="1"/>
    <col min="443" max="443" width="5.7109375" style="343" customWidth="1"/>
    <col min="444" max="444" width="8.7109375" style="343" customWidth="1"/>
    <col min="445" max="445" width="5.7109375" style="343" customWidth="1"/>
    <col min="446" max="446" width="8.7109375" style="343" customWidth="1"/>
    <col min="447" max="447" width="5.7109375" style="343" customWidth="1"/>
    <col min="448" max="448" width="10.42578125" style="343" customWidth="1"/>
    <col min="449" max="449" width="11.140625" style="343" customWidth="1"/>
    <col min="450" max="450" width="8.7109375" style="343" customWidth="1"/>
    <col min="451" max="451" width="5.7109375" style="343" customWidth="1"/>
    <col min="452" max="452" width="8.28515625" style="343" customWidth="1"/>
    <col min="453" max="453" width="5.7109375" style="343" customWidth="1"/>
    <col min="454" max="454" width="8.7109375" style="343" customWidth="1"/>
    <col min="455" max="455" width="5.7109375" style="343" customWidth="1"/>
    <col min="456" max="456" width="10.42578125" style="343" customWidth="1"/>
    <col min="457" max="457" width="9.28515625" style="343" customWidth="1"/>
    <col min="458" max="458" width="8.7109375" style="343" customWidth="1"/>
    <col min="459" max="459" width="5.7109375" style="343" customWidth="1"/>
    <col min="460" max="460" width="8.7109375" style="343" customWidth="1"/>
    <col min="461" max="461" width="5.7109375" style="343" customWidth="1"/>
    <col min="462" max="462" width="8.7109375" style="343" customWidth="1"/>
    <col min="463" max="463" width="5.7109375" style="343" customWidth="1"/>
    <col min="464" max="464" width="10.42578125" style="343" customWidth="1"/>
    <col min="465" max="465" width="8.85546875" style="343" customWidth="1"/>
    <col min="466" max="466" width="9.140625" style="343"/>
    <col min="467" max="467" width="11.28515625" style="343" bestFit="1" customWidth="1"/>
    <col min="468" max="667" width="9.140625" style="343"/>
    <col min="668" max="668" width="11" style="343" customWidth="1"/>
    <col min="669" max="669" width="20.7109375" style="343" customWidth="1"/>
    <col min="670" max="670" width="7.85546875" style="343" customWidth="1"/>
    <col min="671" max="671" width="49.42578125" style="343" customWidth="1"/>
    <col min="672" max="672" width="18.5703125" style="343" customWidth="1"/>
    <col min="673" max="673" width="8.7109375" style="343" customWidth="1"/>
    <col min="674" max="674" width="5.7109375" style="343" customWidth="1"/>
    <col min="675" max="675" width="8.7109375" style="343" customWidth="1"/>
    <col min="676" max="676" width="5.7109375" style="343" customWidth="1"/>
    <col min="677" max="677" width="8.7109375" style="343" customWidth="1"/>
    <col min="678" max="678" width="5.7109375" style="343" customWidth="1"/>
    <col min="679" max="679" width="10.42578125" style="343" customWidth="1"/>
    <col min="680" max="681" width="9" style="343" customWidth="1"/>
    <col min="682" max="682" width="8.7109375" style="343" customWidth="1"/>
    <col min="683" max="683" width="5.7109375" style="343" customWidth="1"/>
    <col min="684" max="684" width="8.7109375" style="343" customWidth="1"/>
    <col min="685" max="685" width="5.7109375" style="343" customWidth="1"/>
    <col min="686" max="686" width="8.7109375" style="343" customWidth="1"/>
    <col min="687" max="687" width="5.7109375" style="343" customWidth="1"/>
    <col min="688" max="688" width="10.42578125" style="343" customWidth="1"/>
    <col min="689" max="695" width="9" style="343" customWidth="1"/>
    <col min="696" max="696" width="10.42578125" style="343" customWidth="1"/>
    <col min="697" max="697" width="9" style="343" customWidth="1"/>
    <col min="698" max="698" width="8.7109375" style="343" customWidth="1"/>
    <col min="699" max="699" width="5.7109375" style="343" customWidth="1"/>
    <col min="700" max="700" width="8.7109375" style="343" customWidth="1"/>
    <col min="701" max="701" width="5.7109375" style="343" customWidth="1"/>
    <col min="702" max="702" width="8.7109375" style="343" customWidth="1"/>
    <col min="703" max="703" width="5.7109375" style="343" customWidth="1"/>
    <col min="704" max="704" width="10.42578125" style="343" customWidth="1"/>
    <col min="705" max="705" width="11.140625" style="343" customWidth="1"/>
    <col min="706" max="706" width="8.7109375" style="343" customWidth="1"/>
    <col min="707" max="707" width="5.7109375" style="343" customWidth="1"/>
    <col min="708" max="708" width="8.28515625" style="343" customWidth="1"/>
    <col min="709" max="709" width="5.7109375" style="343" customWidth="1"/>
    <col min="710" max="710" width="8.7109375" style="343" customWidth="1"/>
    <col min="711" max="711" width="5.7109375" style="343" customWidth="1"/>
    <col min="712" max="712" width="10.42578125" style="343" customWidth="1"/>
    <col min="713" max="713" width="9.28515625" style="343" customWidth="1"/>
    <col min="714" max="714" width="8.7109375" style="343" customWidth="1"/>
    <col min="715" max="715" width="5.7109375" style="343" customWidth="1"/>
    <col min="716" max="716" width="8.7109375" style="343" customWidth="1"/>
    <col min="717" max="717" width="5.7109375" style="343" customWidth="1"/>
    <col min="718" max="718" width="8.7109375" style="343" customWidth="1"/>
    <col min="719" max="719" width="5.7109375" style="343" customWidth="1"/>
    <col min="720" max="720" width="10.42578125" style="343" customWidth="1"/>
    <col min="721" max="721" width="8.85546875" style="343" customWidth="1"/>
    <col min="722" max="722" width="9.140625" style="343"/>
    <col min="723" max="723" width="11.28515625" style="343" bestFit="1" customWidth="1"/>
    <col min="724" max="923" width="9.140625" style="343"/>
    <col min="924" max="924" width="11" style="343" customWidth="1"/>
    <col min="925" max="925" width="20.7109375" style="343" customWidth="1"/>
    <col min="926" max="926" width="7.85546875" style="343" customWidth="1"/>
    <col min="927" max="927" width="49.42578125" style="343" customWidth="1"/>
    <col min="928" max="928" width="18.5703125" style="343" customWidth="1"/>
    <col min="929" max="929" width="8.7109375" style="343" customWidth="1"/>
    <col min="930" max="930" width="5.7109375" style="343" customWidth="1"/>
    <col min="931" max="931" width="8.7109375" style="343" customWidth="1"/>
    <col min="932" max="932" width="5.7109375" style="343" customWidth="1"/>
    <col min="933" max="933" width="8.7109375" style="343" customWidth="1"/>
    <col min="934" max="934" width="5.7109375" style="343" customWidth="1"/>
    <col min="935" max="935" width="10.42578125" style="343" customWidth="1"/>
    <col min="936" max="937" width="9" style="343" customWidth="1"/>
    <col min="938" max="938" width="8.7109375" style="343" customWidth="1"/>
    <col min="939" max="939" width="5.7109375" style="343" customWidth="1"/>
    <col min="940" max="940" width="8.7109375" style="343" customWidth="1"/>
    <col min="941" max="941" width="5.7109375" style="343" customWidth="1"/>
    <col min="942" max="942" width="8.7109375" style="343" customWidth="1"/>
    <col min="943" max="943" width="5.7109375" style="343" customWidth="1"/>
    <col min="944" max="944" width="10.42578125" style="343" customWidth="1"/>
    <col min="945" max="951" width="9" style="343" customWidth="1"/>
    <col min="952" max="952" width="10.42578125" style="343" customWidth="1"/>
    <col min="953" max="953" width="9" style="343" customWidth="1"/>
    <col min="954" max="954" width="8.7109375" style="343" customWidth="1"/>
    <col min="955" max="955" width="5.7109375" style="343" customWidth="1"/>
    <col min="956" max="956" width="8.7109375" style="343" customWidth="1"/>
    <col min="957" max="957" width="5.7109375" style="343" customWidth="1"/>
    <col min="958" max="958" width="8.7109375" style="343" customWidth="1"/>
    <col min="959" max="959" width="5.7109375" style="343" customWidth="1"/>
    <col min="960" max="960" width="10.42578125" style="343" customWidth="1"/>
    <col min="961" max="961" width="11.140625" style="343" customWidth="1"/>
    <col min="962" max="962" width="8.7109375" style="343" customWidth="1"/>
    <col min="963" max="963" width="5.7109375" style="343" customWidth="1"/>
    <col min="964" max="964" width="8.28515625" style="343" customWidth="1"/>
    <col min="965" max="965" width="5.7109375" style="343" customWidth="1"/>
    <col min="966" max="966" width="8.7109375" style="343" customWidth="1"/>
    <col min="967" max="967" width="5.7109375" style="343" customWidth="1"/>
    <col min="968" max="968" width="10.42578125" style="343" customWidth="1"/>
    <col min="969" max="969" width="9.28515625" style="343" customWidth="1"/>
    <col min="970" max="970" width="8.7109375" style="343" customWidth="1"/>
    <col min="971" max="971" width="5.7109375" style="343" customWidth="1"/>
    <col min="972" max="972" width="8.7109375" style="343" customWidth="1"/>
    <col min="973" max="973" width="5.7109375" style="343" customWidth="1"/>
    <col min="974" max="974" width="8.7109375" style="343" customWidth="1"/>
    <col min="975" max="975" width="5.7109375" style="343" customWidth="1"/>
    <col min="976" max="976" width="10.42578125" style="343" customWidth="1"/>
    <col min="977" max="977" width="8.85546875" style="343" customWidth="1"/>
    <col min="978" max="978" width="9.140625" style="343"/>
    <col min="979" max="979" width="11.28515625" style="343" bestFit="1" customWidth="1"/>
    <col min="980" max="1179" width="9.140625" style="343"/>
    <col min="1180" max="1180" width="11" style="343" customWidth="1"/>
    <col min="1181" max="1181" width="20.7109375" style="343" customWidth="1"/>
    <col min="1182" max="1182" width="7.85546875" style="343" customWidth="1"/>
    <col min="1183" max="1183" width="49.42578125" style="343" customWidth="1"/>
    <col min="1184" max="1184" width="18.5703125" style="343" customWidth="1"/>
    <col min="1185" max="1185" width="8.7109375" style="343" customWidth="1"/>
    <col min="1186" max="1186" width="5.7109375" style="343" customWidth="1"/>
    <col min="1187" max="1187" width="8.7109375" style="343" customWidth="1"/>
    <col min="1188" max="1188" width="5.7109375" style="343" customWidth="1"/>
    <col min="1189" max="1189" width="8.7109375" style="343" customWidth="1"/>
    <col min="1190" max="1190" width="5.7109375" style="343" customWidth="1"/>
    <col min="1191" max="1191" width="10.42578125" style="343" customWidth="1"/>
    <col min="1192" max="1193" width="9" style="343" customWidth="1"/>
    <col min="1194" max="1194" width="8.7109375" style="343" customWidth="1"/>
    <col min="1195" max="1195" width="5.7109375" style="343" customWidth="1"/>
    <col min="1196" max="1196" width="8.7109375" style="343" customWidth="1"/>
    <col min="1197" max="1197" width="5.7109375" style="343" customWidth="1"/>
    <col min="1198" max="1198" width="8.7109375" style="343" customWidth="1"/>
    <col min="1199" max="1199" width="5.7109375" style="343" customWidth="1"/>
    <col min="1200" max="1200" width="10.42578125" style="343" customWidth="1"/>
    <col min="1201" max="1207" width="9" style="343" customWidth="1"/>
    <col min="1208" max="1208" width="10.42578125" style="343" customWidth="1"/>
    <col min="1209" max="1209" width="9" style="343" customWidth="1"/>
    <col min="1210" max="1210" width="8.7109375" style="343" customWidth="1"/>
    <col min="1211" max="1211" width="5.7109375" style="343" customWidth="1"/>
    <col min="1212" max="1212" width="8.7109375" style="343" customWidth="1"/>
    <col min="1213" max="1213" width="5.7109375" style="343" customWidth="1"/>
    <col min="1214" max="1214" width="8.7109375" style="343" customWidth="1"/>
    <col min="1215" max="1215" width="5.7109375" style="343" customWidth="1"/>
    <col min="1216" max="1216" width="10.42578125" style="343" customWidth="1"/>
    <col min="1217" max="1217" width="11.140625" style="343" customWidth="1"/>
    <col min="1218" max="1218" width="8.7109375" style="343" customWidth="1"/>
    <col min="1219" max="1219" width="5.7109375" style="343" customWidth="1"/>
    <col min="1220" max="1220" width="8.28515625" style="343" customWidth="1"/>
    <col min="1221" max="1221" width="5.7109375" style="343" customWidth="1"/>
    <col min="1222" max="1222" width="8.7109375" style="343" customWidth="1"/>
    <col min="1223" max="1223" width="5.7109375" style="343" customWidth="1"/>
    <col min="1224" max="1224" width="10.42578125" style="343" customWidth="1"/>
    <col min="1225" max="1225" width="9.28515625" style="343" customWidth="1"/>
    <col min="1226" max="1226" width="8.7109375" style="343" customWidth="1"/>
    <col min="1227" max="1227" width="5.7109375" style="343" customWidth="1"/>
    <col min="1228" max="1228" width="8.7109375" style="343" customWidth="1"/>
    <col min="1229" max="1229" width="5.7109375" style="343" customWidth="1"/>
    <col min="1230" max="1230" width="8.7109375" style="343" customWidth="1"/>
    <col min="1231" max="1231" width="5.7109375" style="343" customWidth="1"/>
    <col min="1232" max="1232" width="10.42578125" style="343" customWidth="1"/>
    <col min="1233" max="1233" width="8.85546875" style="343" customWidth="1"/>
    <col min="1234" max="1234" width="9.140625" style="343"/>
    <col min="1235" max="1235" width="11.28515625" style="343" bestFit="1" customWidth="1"/>
    <col min="1236" max="1435" width="9.140625" style="343"/>
    <col min="1436" max="1436" width="11" style="343" customWidth="1"/>
    <col min="1437" max="1437" width="20.7109375" style="343" customWidth="1"/>
    <col min="1438" max="1438" width="7.85546875" style="343" customWidth="1"/>
    <col min="1439" max="1439" width="49.42578125" style="343" customWidth="1"/>
    <col min="1440" max="1440" width="18.5703125" style="343" customWidth="1"/>
    <col min="1441" max="1441" width="8.7109375" style="343" customWidth="1"/>
    <col min="1442" max="1442" width="5.7109375" style="343" customWidth="1"/>
    <col min="1443" max="1443" width="8.7109375" style="343" customWidth="1"/>
    <col min="1444" max="1444" width="5.7109375" style="343" customWidth="1"/>
    <col min="1445" max="1445" width="8.7109375" style="343" customWidth="1"/>
    <col min="1446" max="1446" width="5.7109375" style="343" customWidth="1"/>
    <col min="1447" max="1447" width="10.42578125" style="343" customWidth="1"/>
    <col min="1448" max="1449" width="9" style="343" customWidth="1"/>
    <col min="1450" max="1450" width="8.7109375" style="343" customWidth="1"/>
    <col min="1451" max="1451" width="5.7109375" style="343" customWidth="1"/>
    <col min="1452" max="1452" width="8.7109375" style="343" customWidth="1"/>
    <col min="1453" max="1453" width="5.7109375" style="343" customWidth="1"/>
    <col min="1454" max="1454" width="8.7109375" style="343" customWidth="1"/>
    <col min="1455" max="1455" width="5.7109375" style="343" customWidth="1"/>
    <col min="1456" max="1456" width="10.42578125" style="343" customWidth="1"/>
    <col min="1457" max="1463" width="9" style="343" customWidth="1"/>
    <col min="1464" max="1464" width="10.42578125" style="343" customWidth="1"/>
    <col min="1465" max="1465" width="9" style="343" customWidth="1"/>
    <col min="1466" max="1466" width="8.7109375" style="343" customWidth="1"/>
    <col min="1467" max="1467" width="5.7109375" style="343" customWidth="1"/>
    <col min="1468" max="1468" width="8.7109375" style="343" customWidth="1"/>
    <col min="1469" max="1469" width="5.7109375" style="343" customWidth="1"/>
    <col min="1470" max="1470" width="8.7109375" style="343" customWidth="1"/>
    <col min="1471" max="1471" width="5.7109375" style="343" customWidth="1"/>
    <col min="1472" max="1472" width="10.42578125" style="343" customWidth="1"/>
    <col min="1473" max="1473" width="11.140625" style="343" customWidth="1"/>
    <col min="1474" max="1474" width="8.7109375" style="343" customWidth="1"/>
    <col min="1475" max="1475" width="5.7109375" style="343" customWidth="1"/>
    <col min="1476" max="1476" width="8.28515625" style="343" customWidth="1"/>
    <col min="1477" max="1477" width="5.7109375" style="343" customWidth="1"/>
    <col min="1478" max="1478" width="8.7109375" style="343" customWidth="1"/>
    <col min="1479" max="1479" width="5.7109375" style="343" customWidth="1"/>
    <col min="1480" max="1480" width="10.42578125" style="343" customWidth="1"/>
    <col min="1481" max="1481" width="9.28515625" style="343" customWidth="1"/>
    <col min="1482" max="1482" width="8.7109375" style="343" customWidth="1"/>
    <col min="1483" max="1483" width="5.7109375" style="343" customWidth="1"/>
    <col min="1484" max="1484" width="8.7109375" style="343" customWidth="1"/>
    <col min="1485" max="1485" width="5.7109375" style="343" customWidth="1"/>
    <col min="1486" max="1486" width="8.7109375" style="343" customWidth="1"/>
    <col min="1487" max="1487" width="5.7109375" style="343" customWidth="1"/>
    <col min="1488" max="1488" width="10.42578125" style="343" customWidth="1"/>
    <col min="1489" max="1489" width="8.85546875" style="343" customWidth="1"/>
    <col min="1490" max="1490" width="9.140625" style="343"/>
    <col min="1491" max="1491" width="11.28515625" style="343" bestFit="1" customWidth="1"/>
    <col min="1492" max="1691" width="9.140625" style="343"/>
    <col min="1692" max="1692" width="11" style="343" customWidth="1"/>
    <col min="1693" max="1693" width="20.7109375" style="343" customWidth="1"/>
    <col min="1694" max="1694" width="7.85546875" style="343" customWidth="1"/>
    <col min="1695" max="1695" width="49.42578125" style="343" customWidth="1"/>
    <col min="1696" max="1696" width="18.5703125" style="343" customWidth="1"/>
    <col min="1697" max="1697" width="8.7109375" style="343" customWidth="1"/>
    <col min="1698" max="1698" width="5.7109375" style="343" customWidth="1"/>
    <col min="1699" max="1699" width="8.7109375" style="343" customWidth="1"/>
    <col min="1700" max="1700" width="5.7109375" style="343" customWidth="1"/>
    <col min="1701" max="1701" width="8.7109375" style="343" customWidth="1"/>
    <col min="1702" max="1702" width="5.7109375" style="343" customWidth="1"/>
    <col min="1703" max="1703" width="10.42578125" style="343" customWidth="1"/>
    <col min="1704" max="1705" width="9" style="343" customWidth="1"/>
    <col min="1706" max="1706" width="8.7109375" style="343" customWidth="1"/>
    <col min="1707" max="1707" width="5.7109375" style="343" customWidth="1"/>
    <col min="1708" max="1708" width="8.7109375" style="343" customWidth="1"/>
    <col min="1709" max="1709" width="5.7109375" style="343" customWidth="1"/>
    <col min="1710" max="1710" width="8.7109375" style="343" customWidth="1"/>
    <col min="1711" max="1711" width="5.7109375" style="343" customWidth="1"/>
    <col min="1712" max="1712" width="10.42578125" style="343" customWidth="1"/>
    <col min="1713" max="1719" width="9" style="343" customWidth="1"/>
    <col min="1720" max="1720" width="10.42578125" style="343" customWidth="1"/>
    <col min="1721" max="1721" width="9" style="343" customWidth="1"/>
    <col min="1722" max="1722" width="8.7109375" style="343" customWidth="1"/>
    <col min="1723" max="1723" width="5.7109375" style="343" customWidth="1"/>
    <col min="1724" max="1724" width="8.7109375" style="343" customWidth="1"/>
    <col min="1725" max="1725" width="5.7109375" style="343" customWidth="1"/>
    <col min="1726" max="1726" width="8.7109375" style="343" customWidth="1"/>
    <col min="1727" max="1727" width="5.7109375" style="343" customWidth="1"/>
    <col min="1728" max="1728" width="10.42578125" style="343" customWidth="1"/>
    <col min="1729" max="1729" width="11.140625" style="343" customWidth="1"/>
    <col min="1730" max="1730" width="8.7109375" style="343" customWidth="1"/>
    <col min="1731" max="1731" width="5.7109375" style="343" customWidth="1"/>
    <col min="1732" max="1732" width="8.28515625" style="343" customWidth="1"/>
    <col min="1733" max="1733" width="5.7109375" style="343" customWidth="1"/>
    <col min="1734" max="1734" width="8.7109375" style="343" customWidth="1"/>
    <col min="1735" max="1735" width="5.7109375" style="343" customWidth="1"/>
    <col min="1736" max="1736" width="10.42578125" style="343" customWidth="1"/>
    <col min="1737" max="1737" width="9.28515625" style="343" customWidth="1"/>
    <col min="1738" max="1738" width="8.7109375" style="343" customWidth="1"/>
    <col min="1739" max="1739" width="5.7109375" style="343" customWidth="1"/>
    <col min="1740" max="1740" width="8.7109375" style="343" customWidth="1"/>
    <col min="1741" max="1741" width="5.7109375" style="343" customWidth="1"/>
    <col min="1742" max="1742" width="8.7109375" style="343" customWidth="1"/>
    <col min="1743" max="1743" width="5.7109375" style="343" customWidth="1"/>
    <col min="1744" max="1744" width="10.42578125" style="343" customWidth="1"/>
    <col min="1745" max="1745" width="8.85546875" style="343" customWidth="1"/>
    <col min="1746" max="1746" width="9.140625" style="343"/>
    <col min="1747" max="1747" width="11.28515625" style="343" bestFit="1" customWidth="1"/>
    <col min="1748" max="1947" width="9.140625" style="343"/>
    <col min="1948" max="1948" width="11" style="343" customWidth="1"/>
    <col min="1949" max="1949" width="20.7109375" style="343" customWidth="1"/>
    <col min="1950" max="1950" width="7.85546875" style="343" customWidth="1"/>
    <col min="1951" max="1951" width="49.42578125" style="343" customWidth="1"/>
    <col min="1952" max="1952" width="18.5703125" style="343" customWidth="1"/>
    <col min="1953" max="1953" width="8.7109375" style="343" customWidth="1"/>
    <col min="1954" max="1954" width="5.7109375" style="343" customWidth="1"/>
    <col min="1955" max="1955" width="8.7109375" style="343" customWidth="1"/>
    <col min="1956" max="1956" width="5.7109375" style="343" customWidth="1"/>
    <col min="1957" max="1957" width="8.7109375" style="343" customWidth="1"/>
    <col min="1958" max="1958" width="5.7109375" style="343" customWidth="1"/>
    <col min="1959" max="1959" width="10.42578125" style="343" customWidth="1"/>
    <col min="1960" max="1961" width="9" style="343" customWidth="1"/>
    <col min="1962" max="1962" width="8.7109375" style="343" customWidth="1"/>
    <col min="1963" max="1963" width="5.7109375" style="343" customWidth="1"/>
    <col min="1964" max="1964" width="8.7109375" style="343" customWidth="1"/>
    <col min="1965" max="1965" width="5.7109375" style="343" customWidth="1"/>
    <col min="1966" max="1966" width="8.7109375" style="343" customWidth="1"/>
    <col min="1967" max="1967" width="5.7109375" style="343" customWidth="1"/>
    <col min="1968" max="1968" width="10.42578125" style="343" customWidth="1"/>
    <col min="1969" max="1975" width="9" style="343" customWidth="1"/>
    <col min="1976" max="1976" width="10.42578125" style="343" customWidth="1"/>
    <col min="1977" max="1977" width="9" style="343" customWidth="1"/>
    <col min="1978" max="1978" width="8.7109375" style="343" customWidth="1"/>
    <col min="1979" max="1979" width="5.7109375" style="343" customWidth="1"/>
    <col min="1980" max="1980" width="8.7109375" style="343" customWidth="1"/>
    <col min="1981" max="1981" width="5.7109375" style="343" customWidth="1"/>
    <col min="1982" max="1982" width="8.7109375" style="343" customWidth="1"/>
    <col min="1983" max="1983" width="5.7109375" style="343" customWidth="1"/>
    <col min="1984" max="1984" width="10.42578125" style="343" customWidth="1"/>
    <col min="1985" max="1985" width="11.140625" style="343" customWidth="1"/>
    <col min="1986" max="1986" width="8.7109375" style="343" customWidth="1"/>
    <col min="1987" max="1987" width="5.7109375" style="343" customWidth="1"/>
    <col min="1988" max="1988" width="8.28515625" style="343" customWidth="1"/>
    <col min="1989" max="1989" width="5.7109375" style="343" customWidth="1"/>
    <col min="1990" max="1990" width="8.7109375" style="343" customWidth="1"/>
    <col min="1991" max="1991" width="5.7109375" style="343" customWidth="1"/>
    <col min="1992" max="1992" width="10.42578125" style="343" customWidth="1"/>
    <col min="1993" max="1993" width="9.28515625" style="343" customWidth="1"/>
    <col min="1994" max="1994" width="8.7109375" style="343" customWidth="1"/>
    <col min="1995" max="1995" width="5.7109375" style="343" customWidth="1"/>
    <col min="1996" max="1996" width="8.7109375" style="343" customWidth="1"/>
    <col min="1997" max="1997" width="5.7109375" style="343" customWidth="1"/>
    <col min="1998" max="1998" width="8.7109375" style="343" customWidth="1"/>
    <col min="1999" max="1999" width="5.7109375" style="343" customWidth="1"/>
    <col min="2000" max="2000" width="10.42578125" style="343" customWidth="1"/>
    <col min="2001" max="2001" width="8.85546875" style="343" customWidth="1"/>
    <col min="2002" max="2002" width="9.140625" style="343"/>
    <col min="2003" max="2003" width="11.28515625" style="343" bestFit="1" customWidth="1"/>
    <col min="2004" max="2203" width="9.140625" style="343"/>
    <col min="2204" max="2204" width="11" style="343" customWidth="1"/>
    <col min="2205" max="2205" width="20.7109375" style="343" customWidth="1"/>
    <col min="2206" max="2206" width="7.85546875" style="343" customWidth="1"/>
    <col min="2207" max="2207" width="49.42578125" style="343" customWidth="1"/>
    <col min="2208" max="2208" width="18.5703125" style="343" customWidth="1"/>
    <col min="2209" max="2209" width="8.7109375" style="343" customWidth="1"/>
    <col min="2210" max="2210" width="5.7109375" style="343" customWidth="1"/>
    <col min="2211" max="2211" width="8.7109375" style="343" customWidth="1"/>
    <col min="2212" max="2212" width="5.7109375" style="343" customWidth="1"/>
    <col min="2213" max="2213" width="8.7109375" style="343" customWidth="1"/>
    <col min="2214" max="2214" width="5.7109375" style="343" customWidth="1"/>
    <col min="2215" max="2215" width="10.42578125" style="343" customWidth="1"/>
    <col min="2216" max="2217" width="9" style="343" customWidth="1"/>
    <col min="2218" max="2218" width="8.7109375" style="343" customWidth="1"/>
    <col min="2219" max="2219" width="5.7109375" style="343" customWidth="1"/>
    <col min="2220" max="2220" width="8.7109375" style="343" customWidth="1"/>
    <col min="2221" max="2221" width="5.7109375" style="343" customWidth="1"/>
    <col min="2222" max="2222" width="8.7109375" style="343" customWidth="1"/>
    <col min="2223" max="2223" width="5.7109375" style="343" customWidth="1"/>
    <col min="2224" max="2224" width="10.42578125" style="343" customWidth="1"/>
    <col min="2225" max="2231" width="9" style="343" customWidth="1"/>
    <col min="2232" max="2232" width="10.42578125" style="343" customWidth="1"/>
    <col min="2233" max="2233" width="9" style="343" customWidth="1"/>
    <col min="2234" max="2234" width="8.7109375" style="343" customWidth="1"/>
    <col min="2235" max="2235" width="5.7109375" style="343" customWidth="1"/>
    <col min="2236" max="2236" width="8.7109375" style="343" customWidth="1"/>
    <col min="2237" max="2237" width="5.7109375" style="343" customWidth="1"/>
    <col min="2238" max="2238" width="8.7109375" style="343" customWidth="1"/>
    <col min="2239" max="2239" width="5.7109375" style="343" customWidth="1"/>
    <col min="2240" max="2240" width="10.42578125" style="343" customWidth="1"/>
    <col min="2241" max="2241" width="11.140625" style="343" customWidth="1"/>
    <col min="2242" max="2242" width="8.7109375" style="343" customWidth="1"/>
    <col min="2243" max="2243" width="5.7109375" style="343" customWidth="1"/>
    <col min="2244" max="2244" width="8.28515625" style="343" customWidth="1"/>
    <col min="2245" max="2245" width="5.7109375" style="343" customWidth="1"/>
    <col min="2246" max="2246" width="8.7109375" style="343" customWidth="1"/>
    <col min="2247" max="2247" width="5.7109375" style="343" customWidth="1"/>
    <col min="2248" max="2248" width="10.42578125" style="343" customWidth="1"/>
    <col min="2249" max="2249" width="9.28515625" style="343" customWidth="1"/>
    <col min="2250" max="2250" width="8.7109375" style="343" customWidth="1"/>
    <col min="2251" max="2251" width="5.7109375" style="343" customWidth="1"/>
    <col min="2252" max="2252" width="8.7109375" style="343" customWidth="1"/>
    <col min="2253" max="2253" width="5.7109375" style="343" customWidth="1"/>
    <col min="2254" max="2254" width="8.7109375" style="343" customWidth="1"/>
    <col min="2255" max="2255" width="5.7109375" style="343" customWidth="1"/>
    <col min="2256" max="2256" width="10.42578125" style="343" customWidth="1"/>
    <col min="2257" max="2257" width="8.85546875" style="343" customWidth="1"/>
    <col min="2258" max="2258" width="9.140625" style="343"/>
    <col min="2259" max="2259" width="11.28515625" style="343" bestFit="1" customWidth="1"/>
    <col min="2260" max="2459" width="9.140625" style="343"/>
    <col min="2460" max="2460" width="11" style="343" customWidth="1"/>
    <col min="2461" max="2461" width="20.7109375" style="343" customWidth="1"/>
    <col min="2462" max="2462" width="7.85546875" style="343" customWidth="1"/>
    <col min="2463" max="2463" width="49.42578125" style="343" customWidth="1"/>
    <col min="2464" max="2464" width="18.5703125" style="343" customWidth="1"/>
    <col min="2465" max="2465" width="8.7109375" style="343" customWidth="1"/>
    <col min="2466" max="2466" width="5.7109375" style="343" customWidth="1"/>
    <col min="2467" max="2467" width="8.7109375" style="343" customWidth="1"/>
    <col min="2468" max="2468" width="5.7109375" style="343" customWidth="1"/>
    <col min="2469" max="2469" width="8.7109375" style="343" customWidth="1"/>
    <col min="2470" max="2470" width="5.7109375" style="343" customWidth="1"/>
    <col min="2471" max="2471" width="10.42578125" style="343" customWidth="1"/>
    <col min="2472" max="2473" width="9" style="343" customWidth="1"/>
    <col min="2474" max="2474" width="8.7109375" style="343" customWidth="1"/>
    <col min="2475" max="2475" width="5.7109375" style="343" customWidth="1"/>
    <col min="2476" max="2476" width="8.7109375" style="343" customWidth="1"/>
    <col min="2477" max="2477" width="5.7109375" style="343" customWidth="1"/>
    <col min="2478" max="2478" width="8.7109375" style="343" customWidth="1"/>
    <col min="2479" max="2479" width="5.7109375" style="343" customWidth="1"/>
    <col min="2480" max="2480" width="10.42578125" style="343" customWidth="1"/>
    <col min="2481" max="2487" width="9" style="343" customWidth="1"/>
    <col min="2488" max="2488" width="10.42578125" style="343" customWidth="1"/>
    <col min="2489" max="2489" width="9" style="343" customWidth="1"/>
    <col min="2490" max="2490" width="8.7109375" style="343" customWidth="1"/>
    <col min="2491" max="2491" width="5.7109375" style="343" customWidth="1"/>
    <col min="2492" max="2492" width="8.7109375" style="343" customWidth="1"/>
    <col min="2493" max="2493" width="5.7109375" style="343" customWidth="1"/>
    <col min="2494" max="2494" width="8.7109375" style="343" customWidth="1"/>
    <col min="2495" max="2495" width="5.7109375" style="343" customWidth="1"/>
    <col min="2496" max="2496" width="10.42578125" style="343" customWidth="1"/>
    <col min="2497" max="2497" width="11.140625" style="343" customWidth="1"/>
    <col min="2498" max="2498" width="8.7109375" style="343" customWidth="1"/>
    <col min="2499" max="2499" width="5.7109375" style="343" customWidth="1"/>
    <col min="2500" max="2500" width="8.28515625" style="343" customWidth="1"/>
    <col min="2501" max="2501" width="5.7109375" style="343" customWidth="1"/>
    <col min="2502" max="2502" width="8.7109375" style="343" customWidth="1"/>
    <col min="2503" max="2503" width="5.7109375" style="343" customWidth="1"/>
    <col min="2504" max="2504" width="10.42578125" style="343" customWidth="1"/>
    <col min="2505" max="2505" width="9.28515625" style="343" customWidth="1"/>
    <col min="2506" max="2506" width="8.7109375" style="343" customWidth="1"/>
    <col min="2507" max="2507" width="5.7109375" style="343" customWidth="1"/>
    <col min="2508" max="2508" width="8.7109375" style="343" customWidth="1"/>
    <col min="2509" max="2509" width="5.7109375" style="343" customWidth="1"/>
    <col min="2510" max="2510" width="8.7109375" style="343" customWidth="1"/>
    <col min="2511" max="2511" width="5.7109375" style="343" customWidth="1"/>
    <col min="2512" max="2512" width="10.42578125" style="343" customWidth="1"/>
    <col min="2513" max="2513" width="8.85546875" style="343" customWidth="1"/>
    <col min="2514" max="2514" width="9.140625" style="343"/>
    <col min="2515" max="2515" width="11.28515625" style="343" bestFit="1" customWidth="1"/>
    <col min="2516" max="2715" width="9.140625" style="343"/>
    <col min="2716" max="2716" width="11" style="343" customWidth="1"/>
    <col min="2717" max="2717" width="20.7109375" style="343" customWidth="1"/>
    <col min="2718" max="2718" width="7.85546875" style="343" customWidth="1"/>
    <col min="2719" max="2719" width="49.42578125" style="343" customWidth="1"/>
    <col min="2720" max="2720" width="18.5703125" style="343" customWidth="1"/>
    <col min="2721" max="2721" width="8.7109375" style="343" customWidth="1"/>
    <col min="2722" max="2722" width="5.7109375" style="343" customWidth="1"/>
    <col min="2723" max="2723" width="8.7109375" style="343" customWidth="1"/>
    <col min="2724" max="2724" width="5.7109375" style="343" customWidth="1"/>
    <col min="2725" max="2725" width="8.7109375" style="343" customWidth="1"/>
    <col min="2726" max="2726" width="5.7109375" style="343" customWidth="1"/>
    <col min="2727" max="2727" width="10.42578125" style="343" customWidth="1"/>
    <col min="2728" max="2729" width="9" style="343" customWidth="1"/>
    <col min="2730" max="2730" width="8.7109375" style="343" customWidth="1"/>
    <col min="2731" max="2731" width="5.7109375" style="343" customWidth="1"/>
    <col min="2732" max="2732" width="8.7109375" style="343" customWidth="1"/>
    <col min="2733" max="2733" width="5.7109375" style="343" customWidth="1"/>
    <col min="2734" max="2734" width="8.7109375" style="343" customWidth="1"/>
    <col min="2735" max="2735" width="5.7109375" style="343" customWidth="1"/>
    <col min="2736" max="2736" width="10.42578125" style="343" customWidth="1"/>
    <col min="2737" max="2743" width="9" style="343" customWidth="1"/>
    <col min="2744" max="2744" width="10.42578125" style="343" customWidth="1"/>
    <col min="2745" max="2745" width="9" style="343" customWidth="1"/>
    <col min="2746" max="2746" width="8.7109375" style="343" customWidth="1"/>
    <col min="2747" max="2747" width="5.7109375" style="343" customWidth="1"/>
    <col min="2748" max="2748" width="8.7109375" style="343" customWidth="1"/>
    <col min="2749" max="2749" width="5.7109375" style="343" customWidth="1"/>
    <col min="2750" max="2750" width="8.7109375" style="343" customWidth="1"/>
    <col min="2751" max="2751" width="5.7109375" style="343" customWidth="1"/>
    <col min="2752" max="2752" width="10.42578125" style="343" customWidth="1"/>
    <col min="2753" max="2753" width="11.140625" style="343" customWidth="1"/>
    <col min="2754" max="2754" width="8.7109375" style="343" customWidth="1"/>
    <col min="2755" max="2755" width="5.7109375" style="343" customWidth="1"/>
    <col min="2756" max="2756" width="8.28515625" style="343" customWidth="1"/>
    <col min="2757" max="2757" width="5.7109375" style="343" customWidth="1"/>
    <col min="2758" max="2758" width="8.7109375" style="343" customWidth="1"/>
    <col min="2759" max="2759" width="5.7109375" style="343" customWidth="1"/>
    <col min="2760" max="2760" width="10.42578125" style="343" customWidth="1"/>
    <col min="2761" max="2761" width="9.28515625" style="343" customWidth="1"/>
    <col min="2762" max="2762" width="8.7109375" style="343" customWidth="1"/>
    <col min="2763" max="2763" width="5.7109375" style="343" customWidth="1"/>
    <col min="2764" max="2764" width="8.7109375" style="343" customWidth="1"/>
    <col min="2765" max="2765" width="5.7109375" style="343" customWidth="1"/>
    <col min="2766" max="2766" width="8.7109375" style="343" customWidth="1"/>
    <col min="2767" max="2767" width="5.7109375" style="343" customWidth="1"/>
    <col min="2768" max="2768" width="10.42578125" style="343" customWidth="1"/>
    <col min="2769" max="2769" width="8.85546875" style="343" customWidth="1"/>
    <col min="2770" max="2770" width="9.140625" style="343"/>
    <col min="2771" max="2771" width="11.28515625" style="343" bestFit="1" customWidth="1"/>
    <col min="2772" max="2971" width="9.140625" style="343"/>
    <col min="2972" max="2972" width="11" style="343" customWidth="1"/>
    <col min="2973" max="2973" width="20.7109375" style="343" customWidth="1"/>
    <col min="2974" max="2974" width="7.85546875" style="343" customWidth="1"/>
    <col min="2975" max="2975" width="49.42578125" style="343" customWidth="1"/>
    <col min="2976" max="2976" width="18.5703125" style="343" customWidth="1"/>
    <col min="2977" max="2977" width="8.7109375" style="343" customWidth="1"/>
    <col min="2978" max="2978" width="5.7109375" style="343" customWidth="1"/>
    <col min="2979" max="2979" width="8.7109375" style="343" customWidth="1"/>
    <col min="2980" max="2980" width="5.7109375" style="343" customWidth="1"/>
    <col min="2981" max="2981" width="8.7109375" style="343" customWidth="1"/>
    <col min="2982" max="2982" width="5.7109375" style="343" customWidth="1"/>
    <col min="2983" max="2983" width="10.42578125" style="343" customWidth="1"/>
    <col min="2984" max="2985" width="9" style="343" customWidth="1"/>
    <col min="2986" max="2986" width="8.7109375" style="343" customWidth="1"/>
    <col min="2987" max="2987" width="5.7109375" style="343" customWidth="1"/>
    <col min="2988" max="2988" width="8.7109375" style="343" customWidth="1"/>
    <col min="2989" max="2989" width="5.7109375" style="343" customWidth="1"/>
    <col min="2990" max="2990" width="8.7109375" style="343" customWidth="1"/>
    <col min="2991" max="2991" width="5.7109375" style="343" customWidth="1"/>
    <col min="2992" max="2992" width="10.42578125" style="343" customWidth="1"/>
    <col min="2993" max="2999" width="9" style="343" customWidth="1"/>
    <col min="3000" max="3000" width="10.42578125" style="343" customWidth="1"/>
    <col min="3001" max="3001" width="9" style="343" customWidth="1"/>
    <col min="3002" max="3002" width="8.7109375" style="343" customWidth="1"/>
    <col min="3003" max="3003" width="5.7109375" style="343" customWidth="1"/>
    <col min="3004" max="3004" width="8.7109375" style="343" customWidth="1"/>
    <col min="3005" max="3005" width="5.7109375" style="343" customWidth="1"/>
    <col min="3006" max="3006" width="8.7109375" style="343" customWidth="1"/>
    <col min="3007" max="3007" width="5.7109375" style="343" customWidth="1"/>
    <col min="3008" max="3008" width="10.42578125" style="343" customWidth="1"/>
    <col min="3009" max="3009" width="11.140625" style="343" customWidth="1"/>
    <col min="3010" max="3010" width="8.7109375" style="343" customWidth="1"/>
    <col min="3011" max="3011" width="5.7109375" style="343" customWidth="1"/>
    <col min="3012" max="3012" width="8.28515625" style="343" customWidth="1"/>
    <col min="3013" max="3013" width="5.7109375" style="343" customWidth="1"/>
    <col min="3014" max="3014" width="8.7109375" style="343" customWidth="1"/>
    <col min="3015" max="3015" width="5.7109375" style="343" customWidth="1"/>
    <col min="3016" max="3016" width="10.42578125" style="343" customWidth="1"/>
    <col min="3017" max="3017" width="9.28515625" style="343" customWidth="1"/>
    <col min="3018" max="3018" width="8.7109375" style="343" customWidth="1"/>
    <col min="3019" max="3019" width="5.7109375" style="343" customWidth="1"/>
    <col min="3020" max="3020" width="8.7109375" style="343" customWidth="1"/>
    <col min="3021" max="3021" width="5.7109375" style="343" customWidth="1"/>
    <col min="3022" max="3022" width="8.7109375" style="343" customWidth="1"/>
    <col min="3023" max="3023" width="5.7109375" style="343" customWidth="1"/>
    <col min="3024" max="3024" width="10.42578125" style="343" customWidth="1"/>
    <col min="3025" max="3025" width="8.85546875" style="343" customWidth="1"/>
    <col min="3026" max="3026" width="9.140625" style="343"/>
    <col min="3027" max="3027" width="11.28515625" style="343" bestFit="1" customWidth="1"/>
    <col min="3028" max="3227" width="9.140625" style="343"/>
    <col min="3228" max="3228" width="11" style="343" customWidth="1"/>
    <col min="3229" max="3229" width="20.7109375" style="343" customWidth="1"/>
    <col min="3230" max="3230" width="7.85546875" style="343" customWidth="1"/>
    <col min="3231" max="3231" width="49.42578125" style="343" customWidth="1"/>
    <col min="3232" max="3232" width="18.5703125" style="343" customWidth="1"/>
    <col min="3233" max="3233" width="8.7109375" style="343" customWidth="1"/>
    <col min="3234" max="3234" width="5.7109375" style="343" customWidth="1"/>
    <col min="3235" max="3235" width="8.7109375" style="343" customWidth="1"/>
    <col min="3236" max="3236" width="5.7109375" style="343" customWidth="1"/>
    <col min="3237" max="3237" width="8.7109375" style="343" customWidth="1"/>
    <col min="3238" max="3238" width="5.7109375" style="343" customWidth="1"/>
    <col min="3239" max="3239" width="10.42578125" style="343" customWidth="1"/>
    <col min="3240" max="3241" width="9" style="343" customWidth="1"/>
    <col min="3242" max="3242" width="8.7109375" style="343" customWidth="1"/>
    <col min="3243" max="3243" width="5.7109375" style="343" customWidth="1"/>
    <col min="3244" max="3244" width="8.7109375" style="343" customWidth="1"/>
    <col min="3245" max="3245" width="5.7109375" style="343" customWidth="1"/>
    <col min="3246" max="3246" width="8.7109375" style="343" customWidth="1"/>
    <col min="3247" max="3247" width="5.7109375" style="343" customWidth="1"/>
    <col min="3248" max="3248" width="10.42578125" style="343" customWidth="1"/>
    <col min="3249" max="3255" width="9" style="343" customWidth="1"/>
    <col min="3256" max="3256" width="10.42578125" style="343" customWidth="1"/>
    <col min="3257" max="3257" width="9" style="343" customWidth="1"/>
    <col min="3258" max="3258" width="8.7109375" style="343" customWidth="1"/>
    <col min="3259" max="3259" width="5.7109375" style="343" customWidth="1"/>
    <col min="3260" max="3260" width="8.7109375" style="343" customWidth="1"/>
    <col min="3261" max="3261" width="5.7109375" style="343" customWidth="1"/>
    <col min="3262" max="3262" width="8.7109375" style="343" customWidth="1"/>
    <col min="3263" max="3263" width="5.7109375" style="343" customWidth="1"/>
    <col min="3264" max="3264" width="10.42578125" style="343" customWidth="1"/>
    <col min="3265" max="3265" width="11.140625" style="343" customWidth="1"/>
    <col min="3266" max="3266" width="8.7109375" style="343" customWidth="1"/>
    <col min="3267" max="3267" width="5.7109375" style="343" customWidth="1"/>
    <col min="3268" max="3268" width="8.28515625" style="343" customWidth="1"/>
    <col min="3269" max="3269" width="5.7109375" style="343" customWidth="1"/>
    <col min="3270" max="3270" width="8.7109375" style="343" customWidth="1"/>
    <col min="3271" max="3271" width="5.7109375" style="343" customWidth="1"/>
    <col min="3272" max="3272" width="10.42578125" style="343" customWidth="1"/>
    <col min="3273" max="3273" width="9.28515625" style="343" customWidth="1"/>
    <col min="3274" max="3274" width="8.7109375" style="343" customWidth="1"/>
    <col min="3275" max="3275" width="5.7109375" style="343" customWidth="1"/>
    <col min="3276" max="3276" width="8.7109375" style="343" customWidth="1"/>
    <col min="3277" max="3277" width="5.7109375" style="343" customWidth="1"/>
    <col min="3278" max="3278" width="8.7109375" style="343" customWidth="1"/>
    <col min="3279" max="3279" width="5.7109375" style="343" customWidth="1"/>
    <col min="3280" max="3280" width="10.42578125" style="343" customWidth="1"/>
    <col min="3281" max="3281" width="8.85546875" style="343" customWidth="1"/>
    <col min="3282" max="3282" width="9.140625" style="343"/>
    <col min="3283" max="3283" width="11.28515625" style="343" bestFit="1" customWidth="1"/>
    <col min="3284" max="3483" width="9.140625" style="343"/>
    <col min="3484" max="3484" width="11" style="343" customWidth="1"/>
    <col min="3485" max="3485" width="20.7109375" style="343" customWidth="1"/>
    <col min="3486" max="3486" width="7.85546875" style="343" customWidth="1"/>
    <col min="3487" max="3487" width="49.42578125" style="343" customWidth="1"/>
    <col min="3488" max="3488" width="18.5703125" style="343" customWidth="1"/>
    <col min="3489" max="3489" width="8.7109375" style="343" customWidth="1"/>
    <col min="3490" max="3490" width="5.7109375" style="343" customWidth="1"/>
    <col min="3491" max="3491" width="8.7109375" style="343" customWidth="1"/>
    <col min="3492" max="3492" width="5.7109375" style="343" customWidth="1"/>
    <col min="3493" max="3493" width="8.7109375" style="343" customWidth="1"/>
    <col min="3494" max="3494" width="5.7109375" style="343" customWidth="1"/>
    <col min="3495" max="3495" width="10.42578125" style="343" customWidth="1"/>
    <col min="3496" max="3497" width="9" style="343" customWidth="1"/>
    <col min="3498" max="3498" width="8.7109375" style="343" customWidth="1"/>
    <col min="3499" max="3499" width="5.7109375" style="343" customWidth="1"/>
    <col min="3500" max="3500" width="8.7109375" style="343" customWidth="1"/>
    <col min="3501" max="3501" width="5.7109375" style="343" customWidth="1"/>
    <col min="3502" max="3502" width="8.7109375" style="343" customWidth="1"/>
    <col min="3503" max="3503" width="5.7109375" style="343" customWidth="1"/>
    <col min="3504" max="3504" width="10.42578125" style="343" customWidth="1"/>
    <col min="3505" max="3511" width="9" style="343" customWidth="1"/>
    <col min="3512" max="3512" width="10.42578125" style="343" customWidth="1"/>
    <col min="3513" max="3513" width="9" style="343" customWidth="1"/>
    <col min="3514" max="3514" width="8.7109375" style="343" customWidth="1"/>
    <col min="3515" max="3515" width="5.7109375" style="343" customWidth="1"/>
    <col min="3516" max="3516" width="8.7109375" style="343" customWidth="1"/>
    <col min="3517" max="3517" width="5.7109375" style="343" customWidth="1"/>
    <col min="3518" max="3518" width="8.7109375" style="343" customWidth="1"/>
    <col min="3519" max="3519" width="5.7109375" style="343" customWidth="1"/>
    <col min="3520" max="3520" width="10.42578125" style="343" customWidth="1"/>
    <col min="3521" max="3521" width="11.140625" style="343" customWidth="1"/>
    <col min="3522" max="3522" width="8.7109375" style="343" customWidth="1"/>
    <col min="3523" max="3523" width="5.7109375" style="343" customWidth="1"/>
    <col min="3524" max="3524" width="8.28515625" style="343" customWidth="1"/>
    <col min="3525" max="3525" width="5.7109375" style="343" customWidth="1"/>
    <col min="3526" max="3526" width="8.7109375" style="343" customWidth="1"/>
    <col min="3527" max="3527" width="5.7109375" style="343" customWidth="1"/>
    <col min="3528" max="3528" width="10.42578125" style="343" customWidth="1"/>
    <col min="3529" max="3529" width="9.28515625" style="343" customWidth="1"/>
    <col min="3530" max="3530" width="8.7109375" style="343" customWidth="1"/>
    <col min="3531" max="3531" width="5.7109375" style="343" customWidth="1"/>
    <col min="3532" max="3532" width="8.7109375" style="343" customWidth="1"/>
    <col min="3533" max="3533" width="5.7109375" style="343" customWidth="1"/>
    <col min="3534" max="3534" width="8.7109375" style="343" customWidth="1"/>
    <col min="3535" max="3535" width="5.7109375" style="343" customWidth="1"/>
    <col min="3536" max="3536" width="10.42578125" style="343" customWidth="1"/>
    <col min="3537" max="3537" width="8.85546875" style="343" customWidth="1"/>
    <col min="3538" max="3538" width="9.140625" style="343"/>
    <col min="3539" max="3539" width="11.28515625" style="343" bestFit="1" customWidth="1"/>
    <col min="3540" max="3739" width="9.140625" style="343"/>
    <col min="3740" max="3740" width="11" style="343" customWidth="1"/>
    <col min="3741" max="3741" width="20.7109375" style="343" customWidth="1"/>
    <col min="3742" max="3742" width="7.85546875" style="343" customWidth="1"/>
    <col min="3743" max="3743" width="49.42578125" style="343" customWidth="1"/>
    <col min="3744" max="3744" width="18.5703125" style="343" customWidth="1"/>
    <col min="3745" max="3745" width="8.7109375" style="343" customWidth="1"/>
    <col min="3746" max="3746" width="5.7109375" style="343" customWidth="1"/>
    <col min="3747" max="3747" width="8.7109375" style="343" customWidth="1"/>
    <col min="3748" max="3748" width="5.7109375" style="343" customWidth="1"/>
    <col min="3749" max="3749" width="8.7109375" style="343" customWidth="1"/>
    <col min="3750" max="3750" width="5.7109375" style="343" customWidth="1"/>
    <col min="3751" max="3751" width="10.42578125" style="343" customWidth="1"/>
    <col min="3752" max="3753" width="9" style="343" customWidth="1"/>
    <col min="3754" max="3754" width="8.7109375" style="343" customWidth="1"/>
    <col min="3755" max="3755" width="5.7109375" style="343" customWidth="1"/>
    <col min="3756" max="3756" width="8.7109375" style="343" customWidth="1"/>
    <col min="3757" max="3757" width="5.7109375" style="343" customWidth="1"/>
    <col min="3758" max="3758" width="8.7109375" style="343" customWidth="1"/>
    <col min="3759" max="3759" width="5.7109375" style="343" customWidth="1"/>
    <col min="3760" max="3760" width="10.42578125" style="343" customWidth="1"/>
    <col min="3761" max="3767" width="9" style="343" customWidth="1"/>
    <col min="3768" max="3768" width="10.42578125" style="343" customWidth="1"/>
    <col min="3769" max="3769" width="9" style="343" customWidth="1"/>
    <col min="3770" max="3770" width="8.7109375" style="343" customWidth="1"/>
    <col min="3771" max="3771" width="5.7109375" style="343" customWidth="1"/>
    <col min="3772" max="3772" width="8.7109375" style="343" customWidth="1"/>
    <col min="3773" max="3773" width="5.7109375" style="343" customWidth="1"/>
    <col min="3774" max="3774" width="8.7109375" style="343" customWidth="1"/>
    <col min="3775" max="3775" width="5.7109375" style="343" customWidth="1"/>
    <col min="3776" max="3776" width="10.42578125" style="343" customWidth="1"/>
    <col min="3777" max="3777" width="11.140625" style="343" customWidth="1"/>
    <col min="3778" max="3778" width="8.7109375" style="343" customWidth="1"/>
    <col min="3779" max="3779" width="5.7109375" style="343" customWidth="1"/>
    <col min="3780" max="3780" width="8.28515625" style="343" customWidth="1"/>
    <col min="3781" max="3781" width="5.7109375" style="343" customWidth="1"/>
    <col min="3782" max="3782" width="8.7109375" style="343" customWidth="1"/>
    <col min="3783" max="3783" width="5.7109375" style="343" customWidth="1"/>
    <col min="3784" max="3784" width="10.42578125" style="343" customWidth="1"/>
    <col min="3785" max="3785" width="9.28515625" style="343" customWidth="1"/>
    <col min="3786" max="3786" width="8.7109375" style="343" customWidth="1"/>
    <col min="3787" max="3787" width="5.7109375" style="343" customWidth="1"/>
    <col min="3788" max="3788" width="8.7109375" style="343" customWidth="1"/>
    <col min="3789" max="3789" width="5.7109375" style="343" customWidth="1"/>
    <col min="3790" max="3790" width="8.7109375" style="343" customWidth="1"/>
    <col min="3791" max="3791" width="5.7109375" style="343" customWidth="1"/>
    <col min="3792" max="3792" width="10.42578125" style="343" customWidth="1"/>
    <col min="3793" max="3793" width="8.85546875" style="343" customWidth="1"/>
    <col min="3794" max="3794" width="9.140625" style="343"/>
    <col min="3795" max="3795" width="11.28515625" style="343" bestFit="1" customWidth="1"/>
    <col min="3796" max="3995" width="9.140625" style="343"/>
    <col min="3996" max="3996" width="11" style="343" customWidth="1"/>
    <col min="3997" max="3997" width="20.7109375" style="343" customWidth="1"/>
    <col min="3998" max="3998" width="7.85546875" style="343" customWidth="1"/>
    <col min="3999" max="3999" width="49.42578125" style="343" customWidth="1"/>
    <col min="4000" max="4000" width="18.5703125" style="343" customWidth="1"/>
    <col min="4001" max="4001" width="8.7109375" style="343" customWidth="1"/>
    <col min="4002" max="4002" width="5.7109375" style="343" customWidth="1"/>
    <col min="4003" max="4003" width="8.7109375" style="343" customWidth="1"/>
    <col min="4004" max="4004" width="5.7109375" style="343" customWidth="1"/>
    <col min="4005" max="4005" width="8.7109375" style="343" customWidth="1"/>
    <col min="4006" max="4006" width="5.7109375" style="343" customWidth="1"/>
    <col min="4007" max="4007" width="10.42578125" style="343" customWidth="1"/>
    <col min="4008" max="4009" width="9" style="343" customWidth="1"/>
    <col min="4010" max="4010" width="8.7109375" style="343" customWidth="1"/>
    <col min="4011" max="4011" width="5.7109375" style="343" customWidth="1"/>
    <col min="4012" max="4012" width="8.7109375" style="343" customWidth="1"/>
    <col min="4013" max="4013" width="5.7109375" style="343" customWidth="1"/>
    <col min="4014" max="4014" width="8.7109375" style="343" customWidth="1"/>
    <col min="4015" max="4015" width="5.7109375" style="343" customWidth="1"/>
    <col min="4016" max="4016" width="10.42578125" style="343" customWidth="1"/>
    <col min="4017" max="4023" width="9" style="343" customWidth="1"/>
    <col min="4024" max="4024" width="10.42578125" style="343" customWidth="1"/>
    <col min="4025" max="4025" width="9" style="343" customWidth="1"/>
    <col min="4026" max="4026" width="8.7109375" style="343" customWidth="1"/>
    <col min="4027" max="4027" width="5.7109375" style="343" customWidth="1"/>
    <col min="4028" max="4028" width="8.7109375" style="343" customWidth="1"/>
    <col min="4029" max="4029" width="5.7109375" style="343" customWidth="1"/>
    <col min="4030" max="4030" width="8.7109375" style="343" customWidth="1"/>
    <col min="4031" max="4031" width="5.7109375" style="343" customWidth="1"/>
    <col min="4032" max="4032" width="10.42578125" style="343" customWidth="1"/>
    <col min="4033" max="4033" width="11.140625" style="343" customWidth="1"/>
    <col min="4034" max="4034" width="8.7109375" style="343" customWidth="1"/>
    <col min="4035" max="4035" width="5.7109375" style="343" customWidth="1"/>
    <col min="4036" max="4036" width="8.28515625" style="343" customWidth="1"/>
    <col min="4037" max="4037" width="5.7109375" style="343" customWidth="1"/>
    <col min="4038" max="4038" width="8.7109375" style="343" customWidth="1"/>
    <col min="4039" max="4039" width="5.7109375" style="343" customWidth="1"/>
    <col min="4040" max="4040" width="10.42578125" style="343" customWidth="1"/>
    <col min="4041" max="4041" width="9.28515625" style="343" customWidth="1"/>
    <col min="4042" max="4042" width="8.7109375" style="343" customWidth="1"/>
    <col min="4043" max="4043" width="5.7109375" style="343" customWidth="1"/>
    <col min="4044" max="4044" width="8.7109375" style="343" customWidth="1"/>
    <col min="4045" max="4045" width="5.7109375" style="343" customWidth="1"/>
    <col min="4046" max="4046" width="8.7109375" style="343" customWidth="1"/>
    <col min="4047" max="4047" width="5.7109375" style="343" customWidth="1"/>
    <col min="4048" max="4048" width="10.42578125" style="343" customWidth="1"/>
    <col min="4049" max="4049" width="8.85546875" style="343" customWidth="1"/>
    <col min="4050" max="4050" width="9.140625" style="343"/>
    <col min="4051" max="4051" width="11.28515625" style="343" bestFit="1" customWidth="1"/>
    <col min="4052" max="4251" width="9.140625" style="343"/>
    <col min="4252" max="4252" width="11" style="343" customWidth="1"/>
    <col min="4253" max="4253" width="20.7109375" style="343" customWidth="1"/>
    <col min="4254" max="4254" width="7.85546875" style="343" customWidth="1"/>
    <col min="4255" max="4255" width="49.42578125" style="343" customWidth="1"/>
    <col min="4256" max="4256" width="18.5703125" style="343" customWidth="1"/>
    <col min="4257" max="4257" width="8.7109375" style="343" customWidth="1"/>
    <col min="4258" max="4258" width="5.7109375" style="343" customWidth="1"/>
    <col min="4259" max="4259" width="8.7109375" style="343" customWidth="1"/>
    <col min="4260" max="4260" width="5.7109375" style="343" customWidth="1"/>
    <col min="4261" max="4261" width="8.7109375" style="343" customWidth="1"/>
    <col min="4262" max="4262" width="5.7109375" style="343" customWidth="1"/>
    <col min="4263" max="4263" width="10.42578125" style="343" customWidth="1"/>
    <col min="4264" max="4265" width="9" style="343" customWidth="1"/>
    <col min="4266" max="4266" width="8.7109375" style="343" customWidth="1"/>
    <col min="4267" max="4267" width="5.7109375" style="343" customWidth="1"/>
    <col min="4268" max="4268" width="8.7109375" style="343" customWidth="1"/>
    <col min="4269" max="4269" width="5.7109375" style="343" customWidth="1"/>
    <col min="4270" max="4270" width="8.7109375" style="343" customWidth="1"/>
    <col min="4271" max="4271" width="5.7109375" style="343" customWidth="1"/>
    <col min="4272" max="4272" width="10.42578125" style="343" customWidth="1"/>
    <col min="4273" max="4279" width="9" style="343" customWidth="1"/>
    <col min="4280" max="4280" width="10.42578125" style="343" customWidth="1"/>
    <col min="4281" max="4281" width="9" style="343" customWidth="1"/>
    <col min="4282" max="4282" width="8.7109375" style="343" customWidth="1"/>
    <col min="4283" max="4283" width="5.7109375" style="343" customWidth="1"/>
    <col min="4284" max="4284" width="8.7109375" style="343" customWidth="1"/>
    <col min="4285" max="4285" width="5.7109375" style="343" customWidth="1"/>
    <col min="4286" max="4286" width="8.7109375" style="343" customWidth="1"/>
    <col min="4287" max="4287" width="5.7109375" style="343" customWidth="1"/>
    <col min="4288" max="4288" width="10.42578125" style="343" customWidth="1"/>
    <col min="4289" max="4289" width="11.140625" style="343" customWidth="1"/>
    <col min="4290" max="4290" width="8.7109375" style="343" customWidth="1"/>
    <col min="4291" max="4291" width="5.7109375" style="343" customWidth="1"/>
    <col min="4292" max="4292" width="8.28515625" style="343" customWidth="1"/>
    <col min="4293" max="4293" width="5.7109375" style="343" customWidth="1"/>
    <col min="4294" max="4294" width="8.7109375" style="343" customWidth="1"/>
    <col min="4295" max="4295" width="5.7109375" style="343" customWidth="1"/>
    <col min="4296" max="4296" width="10.42578125" style="343" customWidth="1"/>
    <col min="4297" max="4297" width="9.28515625" style="343" customWidth="1"/>
    <col min="4298" max="4298" width="8.7109375" style="343" customWidth="1"/>
    <col min="4299" max="4299" width="5.7109375" style="343" customWidth="1"/>
    <col min="4300" max="4300" width="8.7109375" style="343" customWidth="1"/>
    <col min="4301" max="4301" width="5.7109375" style="343" customWidth="1"/>
    <col min="4302" max="4302" width="8.7109375" style="343" customWidth="1"/>
    <col min="4303" max="4303" width="5.7109375" style="343" customWidth="1"/>
    <col min="4304" max="4304" width="10.42578125" style="343" customWidth="1"/>
    <col min="4305" max="4305" width="8.85546875" style="343" customWidth="1"/>
    <col min="4306" max="4306" width="9.140625" style="343"/>
    <col min="4307" max="4307" width="11.28515625" style="343" bestFit="1" customWidth="1"/>
    <col min="4308" max="4507" width="9.140625" style="343"/>
    <col min="4508" max="4508" width="11" style="343" customWidth="1"/>
    <col min="4509" max="4509" width="20.7109375" style="343" customWidth="1"/>
    <col min="4510" max="4510" width="7.85546875" style="343" customWidth="1"/>
    <col min="4511" max="4511" width="49.42578125" style="343" customWidth="1"/>
    <col min="4512" max="4512" width="18.5703125" style="343" customWidth="1"/>
    <col min="4513" max="4513" width="8.7109375" style="343" customWidth="1"/>
    <col min="4514" max="4514" width="5.7109375" style="343" customWidth="1"/>
    <col min="4515" max="4515" width="8.7109375" style="343" customWidth="1"/>
    <col min="4516" max="4516" width="5.7109375" style="343" customWidth="1"/>
    <col min="4517" max="4517" width="8.7109375" style="343" customWidth="1"/>
    <col min="4518" max="4518" width="5.7109375" style="343" customWidth="1"/>
    <col min="4519" max="4519" width="10.42578125" style="343" customWidth="1"/>
    <col min="4520" max="4521" width="9" style="343" customWidth="1"/>
    <col min="4522" max="4522" width="8.7109375" style="343" customWidth="1"/>
    <col min="4523" max="4523" width="5.7109375" style="343" customWidth="1"/>
    <col min="4524" max="4524" width="8.7109375" style="343" customWidth="1"/>
    <col min="4525" max="4525" width="5.7109375" style="343" customWidth="1"/>
    <col min="4526" max="4526" width="8.7109375" style="343" customWidth="1"/>
    <col min="4527" max="4527" width="5.7109375" style="343" customWidth="1"/>
    <col min="4528" max="4528" width="10.42578125" style="343" customWidth="1"/>
    <col min="4529" max="4535" width="9" style="343" customWidth="1"/>
    <col min="4536" max="4536" width="10.42578125" style="343" customWidth="1"/>
    <col min="4537" max="4537" width="9" style="343" customWidth="1"/>
    <col min="4538" max="4538" width="8.7109375" style="343" customWidth="1"/>
    <col min="4539" max="4539" width="5.7109375" style="343" customWidth="1"/>
    <col min="4540" max="4540" width="8.7109375" style="343" customWidth="1"/>
    <col min="4541" max="4541" width="5.7109375" style="343" customWidth="1"/>
    <col min="4542" max="4542" width="8.7109375" style="343" customWidth="1"/>
    <col min="4543" max="4543" width="5.7109375" style="343" customWidth="1"/>
    <col min="4544" max="4544" width="10.42578125" style="343" customWidth="1"/>
    <col min="4545" max="4545" width="11.140625" style="343" customWidth="1"/>
    <col min="4546" max="4546" width="8.7109375" style="343" customWidth="1"/>
    <col min="4547" max="4547" width="5.7109375" style="343" customWidth="1"/>
    <col min="4548" max="4548" width="8.28515625" style="343" customWidth="1"/>
    <col min="4549" max="4549" width="5.7109375" style="343" customWidth="1"/>
    <col min="4550" max="4550" width="8.7109375" style="343" customWidth="1"/>
    <col min="4551" max="4551" width="5.7109375" style="343" customWidth="1"/>
    <col min="4552" max="4552" width="10.42578125" style="343" customWidth="1"/>
    <col min="4553" max="4553" width="9.28515625" style="343" customWidth="1"/>
    <col min="4554" max="4554" width="8.7109375" style="343" customWidth="1"/>
    <col min="4555" max="4555" width="5.7109375" style="343" customWidth="1"/>
    <col min="4556" max="4556" width="8.7109375" style="343" customWidth="1"/>
    <col min="4557" max="4557" width="5.7109375" style="343" customWidth="1"/>
    <col min="4558" max="4558" width="8.7109375" style="343" customWidth="1"/>
    <col min="4559" max="4559" width="5.7109375" style="343" customWidth="1"/>
    <col min="4560" max="4560" width="10.42578125" style="343" customWidth="1"/>
    <col min="4561" max="4561" width="8.85546875" style="343" customWidth="1"/>
    <col min="4562" max="4562" width="9.140625" style="343"/>
    <col min="4563" max="4563" width="11.28515625" style="343" bestFit="1" customWidth="1"/>
    <col min="4564" max="4763" width="9.140625" style="343"/>
    <col min="4764" max="4764" width="11" style="343" customWidth="1"/>
    <col min="4765" max="4765" width="20.7109375" style="343" customWidth="1"/>
    <col min="4766" max="4766" width="7.85546875" style="343" customWidth="1"/>
    <col min="4767" max="4767" width="49.42578125" style="343" customWidth="1"/>
    <col min="4768" max="4768" width="18.5703125" style="343" customWidth="1"/>
    <col min="4769" max="4769" width="8.7109375" style="343" customWidth="1"/>
    <col min="4770" max="4770" width="5.7109375" style="343" customWidth="1"/>
    <col min="4771" max="4771" width="8.7109375" style="343" customWidth="1"/>
    <col min="4772" max="4772" width="5.7109375" style="343" customWidth="1"/>
    <col min="4773" max="4773" width="8.7109375" style="343" customWidth="1"/>
    <col min="4774" max="4774" width="5.7109375" style="343" customWidth="1"/>
    <col min="4775" max="4775" width="10.42578125" style="343" customWidth="1"/>
    <col min="4776" max="4777" width="9" style="343" customWidth="1"/>
    <col min="4778" max="4778" width="8.7109375" style="343" customWidth="1"/>
    <col min="4779" max="4779" width="5.7109375" style="343" customWidth="1"/>
    <col min="4780" max="4780" width="8.7109375" style="343" customWidth="1"/>
    <col min="4781" max="4781" width="5.7109375" style="343" customWidth="1"/>
    <col min="4782" max="4782" width="8.7109375" style="343" customWidth="1"/>
    <col min="4783" max="4783" width="5.7109375" style="343" customWidth="1"/>
    <col min="4784" max="4784" width="10.42578125" style="343" customWidth="1"/>
    <col min="4785" max="4791" width="9" style="343" customWidth="1"/>
    <col min="4792" max="4792" width="10.42578125" style="343" customWidth="1"/>
    <col min="4793" max="4793" width="9" style="343" customWidth="1"/>
    <col min="4794" max="4794" width="8.7109375" style="343" customWidth="1"/>
    <col min="4795" max="4795" width="5.7109375" style="343" customWidth="1"/>
    <col min="4796" max="4796" width="8.7109375" style="343" customWidth="1"/>
    <col min="4797" max="4797" width="5.7109375" style="343" customWidth="1"/>
    <col min="4798" max="4798" width="8.7109375" style="343" customWidth="1"/>
    <col min="4799" max="4799" width="5.7109375" style="343" customWidth="1"/>
    <col min="4800" max="4800" width="10.42578125" style="343" customWidth="1"/>
    <col min="4801" max="4801" width="11.140625" style="343" customWidth="1"/>
    <col min="4802" max="4802" width="8.7109375" style="343" customWidth="1"/>
    <col min="4803" max="4803" width="5.7109375" style="343" customWidth="1"/>
    <col min="4804" max="4804" width="8.28515625" style="343" customWidth="1"/>
    <col min="4805" max="4805" width="5.7109375" style="343" customWidth="1"/>
    <col min="4806" max="4806" width="8.7109375" style="343" customWidth="1"/>
    <col min="4807" max="4807" width="5.7109375" style="343" customWidth="1"/>
    <col min="4808" max="4808" width="10.42578125" style="343" customWidth="1"/>
    <col min="4809" max="4809" width="9.28515625" style="343" customWidth="1"/>
    <col min="4810" max="4810" width="8.7109375" style="343" customWidth="1"/>
    <col min="4811" max="4811" width="5.7109375" style="343" customWidth="1"/>
    <col min="4812" max="4812" width="8.7109375" style="343" customWidth="1"/>
    <col min="4813" max="4813" width="5.7109375" style="343" customWidth="1"/>
    <col min="4814" max="4814" width="8.7109375" style="343" customWidth="1"/>
    <col min="4815" max="4815" width="5.7109375" style="343" customWidth="1"/>
    <col min="4816" max="4816" width="10.42578125" style="343" customWidth="1"/>
    <col min="4817" max="4817" width="8.85546875" style="343" customWidth="1"/>
    <col min="4818" max="4818" width="9.140625" style="343"/>
    <col min="4819" max="4819" width="11.28515625" style="343" bestFit="1" customWidth="1"/>
    <col min="4820" max="5019" width="9.140625" style="343"/>
    <col min="5020" max="5020" width="11" style="343" customWidth="1"/>
    <col min="5021" max="5021" width="20.7109375" style="343" customWidth="1"/>
    <col min="5022" max="5022" width="7.85546875" style="343" customWidth="1"/>
    <col min="5023" max="5023" width="49.42578125" style="343" customWidth="1"/>
    <col min="5024" max="5024" width="18.5703125" style="343" customWidth="1"/>
    <col min="5025" max="5025" width="8.7109375" style="343" customWidth="1"/>
    <col min="5026" max="5026" width="5.7109375" style="343" customWidth="1"/>
    <col min="5027" max="5027" width="8.7109375" style="343" customWidth="1"/>
    <col min="5028" max="5028" width="5.7109375" style="343" customWidth="1"/>
    <col min="5029" max="5029" width="8.7109375" style="343" customWidth="1"/>
    <col min="5030" max="5030" width="5.7109375" style="343" customWidth="1"/>
    <col min="5031" max="5031" width="10.42578125" style="343" customWidth="1"/>
    <col min="5032" max="5033" width="9" style="343" customWidth="1"/>
    <col min="5034" max="5034" width="8.7109375" style="343" customWidth="1"/>
    <col min="5035" max="5035" width="5.7109375" style="343" customWidth="1"/>
    <col min="5036" max="5036" width="8.7109375" style="343" customWidth="1"/>
    <col min="5037" max="5037" width="5.7109375" style="343" customWidth="1"/>
    <col min="5038" max="5038" width="8.7109375" style="343" customWidth="1"/>
    <col min="5039" max="5039" width="5.7109375" style="343" customWidth="1"/>
    <col min="5040" max="5040" width="10.42578125" style="343" customWidth="1"/>
    <col min="5041" max="5047" width="9" style="343" customWidth="1"/>
    <col min="5048" max="5048" width="10.42578125" style="343" customWidth="1"/>
    <col min="5049" max="5049" width="9" style="343" customWidth="1"/>
    <col min="5050" max="5050" width="8.7109375" style="343" customWidth="1"/>
    <col min="5051" max="5051" width="5.7109375" style="343" customWidth="1"/>
    <col min="5052" max="5052" width="8.7109375" style="343" customWidth="1"/>
    <col min="5053" max="5053" width="5.7109375" style="343" customWidth="1"/>
    <col min="5054" max="5054" width="8.7109375" style="343" customWidth="1"/>
    <col min="5055" max="5055" width="5.7109375" style="343" customWidth="1"/>
    <col min="5056" max="5056" width="10.42578125" style="343" customWidth="1"/>
    <col min="5057" max="5057" width="11.140625" style="343" customWidth="1"/>
    <col min="5058" max="5058" width="8.7109375" style="343" customWidth="1"/>
    <col min="5059" max="5059" width="5.7109375" style="343" customWidth="1"/>
    <col min="5060" max="5060" width="8.28515625" style="343" customWidth="1"/>
    <col min="5061" max="5061" width="5.7109375" style="343" customWidth="1"/>
    <col min="5062" max="5062" width="8.7109375" style="343" customWidth="1"/>
    <col min="5063" max="5063" width="5.7109375" style="343" customWidth="1"/>
    <col min="5064" max="5064" width="10.42578125" style="343" customWidth="1"/>
    <col min="5065" max="5065" width="9.28515625" style="343" customWidth="1"/>
    <col min="5066" max="5066" width="8.7109375" style="343" customWidth="1"/>
    <col min="5067" max="5067" width="5.7109375" style="343" customWidth="1"/>
    <col min="5068" max="5068" width="8.7109375" style="343" customWidth="1"/>
    <col min="5069" max="5069" width="5.7109375" style="343" customWidth="1"/>
    <col min="5070" max="5070" width="8.7109375" style="343" customWidth="1"/>
    <col min="5071" max="5071" width="5.7109375" style="343" customWidth="1"/>
    <col min="5072" max="5072" width="10.42578125" style="343" customWidth="1"/>
    <col min="5073" max="5073" width="8.85546875" style="343" customWidth="1"/>
    <col min="5074" max="5074" width="9.140625" style="343"/>
    <col min="5075" max="5075" width="11.28515625" style="343" bestFit="1" customWidth="1"/>
    <col min="5076" max="5275" width="9.140625" style="343"/>
    <col min="5276" max="5276" width="11" style="343" customWidth="1"/>
    <col min="5277" max="5277" width="20.7109375" style="343" customWidth="1"/>
    <col min="5278" max="5278" width="7.85546875" style="343" customWidth="1"/>
    <col min="5279" max="5279" width="49.42578125" style="343" customWidth="1"/>
    <col min="5280" max="5280" width="18.5703125" style="343" customWidth="1"/>
    <col min="5281" max="5281" width="8.7109375" style="343" customWidth="1"/>
    <col min="5282" max="5282" width="5.7109375" style="343" customWidth="1"/>
    <col min="5283" max="5283" width="8.7109375" style="343" customWidth="1"/>
    <col min="5284" max="5284" width="5.7109375" style="343" customWidth="1"/>
    <col min="5285" max="5285" width="8.7109375" style="343" customWidth="1"/>
    <col min="5286" max="5286" width="5.7109375" style="343" customWidth="1"/>
    <col min="5287" max="5287" width="10.42578125" style="343" customWidth="1"/>
    <col min="5288" max="5289" width="9" style="343" customWidth="1"/>
    <col min="5290" max="5290" width="8.7109375" style="343" customWidth="1"/>
    <col min="5291" max="5291" width="5.7109375" style="343" customWidth="1"/>
    <col min="5292" max="5292" width="8.7109375" style="343" customWidth="1"/>
    <col min="5293" max="5293" width="5.7109375" style="343" customWidth="1"/>
    <col min="5294" max="5294" width="8.7109375" style="343" customWidth="1"/>
    <col min="5295" max="5295" width="5.7109375" style="343" customWidth="1"/>
    <col min="5296" max="5296" width="10.42578125" style="343" customWidth="1"/>
    <col min="5297" max="5303" width="9" style="343" customWidth="1"/>
    <col min="5304" max="5304" width="10.42578125" style="343" customWidth="1"/>
    <col min="5305" max="5305" width="9" style="343" customWidth="1"/>
    <col min="5306" max="5306" width="8.7109375" style="343" customWidth="1"/>
    <col min="5307" max="5307" width="5.7109375" style="343" customWidth="1"/>
    <col min="5308" max="5308" width="8.7109375" style="343" customWidth="1"/>
    <col min="5309" max="5309" width="5.7109375" style="343" customWidth="1"/>
    <col min="5310" max="5310" width="8.7109375" style="343" customWidth="1"/>
    <col min="5311" max="5311" width="5.7109375" style="343" customWidth="1"/>
    <col min="5312" max="5312" width="10.42578125" style="343" customWidth="1"/>
    <col min="5313" max="5313" width="11.140625" style="343" customWidth="1"/>
    <col min="5314" max="5314" width="8.7109375" style="343" customWidth="1"/>
    <col min="5315" max="5315" width="5.7109375" style="343" customWidth="1"/>
    <col min="5316" max="5316" width="8.28515625" style="343" customWidth="1"/>
    <col min="5317" max="5317" width="5.7109375" style="343" customWidth="1"/>
    <col min="5318" max="5318" width="8.7109375" style="343" customWidth="1"/>
    <col min="5319" max="5319" width="5.7109375" style="343" customWidth="1"/>
    <col min="5320" max="5320" width="10.42578125" style="343" customWidth="1"/>
    <col min="5321" max="5321" width="9.28515625" style="343" customWidth="1"/>
    <col min="5322" max="5322" width="8.7109375" style="343" customWidth="1"/>
    <col min="5323" max="5323" width="5.7109375" style="343" customWidth="1"/>
    <col min="5324" max="5324" width="8.7109375" style="343" customWidth="1"/>
    <col min="5325" max="5325" width="5.7109375" style="343" customWidth="1"/>
    <col min="5326" max="5326" width="8.7109375" style="343" customWidth="1"/>
    <col min="5327" max="5327" width="5.7109375" style="343" customWidth="1"/>
    <col min="5328" max="5328" width="10.42578125" style="343" customWidth="1"/>
    <col min="5329" max="5329" width="8.85546875" style="343" customWidth="1"/>
    <col min="5330" max="5330" width="9.140625" style="343"/>
    <col min="5331" max="5331" width="11.28515625" style="343" bestFit="1" customWidth="1"/>
    <col min="5332" max="5531" width="9.140625" style="343"/>
    <col min="5532" max="5532" width="11" style="343" customWidth="1"/>
    <col min="5533" max="5533" width="20.7109375" style="343" customWidth="1"/>
    <col min="5534" max="5534" width="7.85546875" style="343" customWidth="1"/>
    <col min="5535" max="5535" width="49.42578125" style="343" customWidth="1"/>
    <col min="5536" max="5536" width="18.5703125" style="343" customWidth="1"/>
    <col min="5537" max="5537" width="8.7109375" style="343" customWidth="1"/>
    <col min="5538" max="5538" width="5.7109375" style="343" customWidth="1"/>
    <col min="5539" max="5539" width="8.7109375" style="343" customWidth="1"/>
    <col min="5540" max="5540" width="5.7109375" style="343" customWidth="1"/>
    <col min="5541" max="5541" width="8.7109375" style="343" customWidth="1"/>
    <col min="5542" max="5542" width="5.7109375" style="343" customWidth="1"/>
    <col min="5543" max="5543" width="10.42578125" style="343" customWidth="1"/>
    <col min="5544" max="5545" width="9" style="343" customWidth="1"/>
    <col min="5546" max="5546" width="8.7109375" style="343" customWidth="1"/>
    <col min="5547" max="5547" width="5.7109375" style="343" customWidth="1"/>
    <col min="5548" max="5548" width="8.7109375" style="343" customWidth="1"/>
    <col min="5549" max="5549" width="5.7109375" style="343" customWidth="1"/>
    <col min="5550" max="5550" width="8.7109375" style="343" customWidth="1"/>
    <col min="5551" max="5551" width="5.7109375" style="343" customWidth="1"/>
    <col min="5552" max="5552" width="10.42578125" style="343" customWidth="1"/>
    <col min="5553" max="5559" width="9" style="343" customWidth="1"/>
    <col min="5560" max="5560" width="10.42578125" style="343" customWidth="1"/>
    <col min="5561" max="5561" width="9" style="343" customWidth="1"/>
    <col min="5562" max="5562" width="8.7109375" style="343" customWidth="1"/>
    <col min="5563" max="5563" width="5.7109375" style="343" customWidth="1"/>
    <col min="5564" max="5564" width="8.7109375" style="343" customWidth="1"/>
    <col min="5565" max="5565" width="5.7109375" style="343" customWidth="1"/>
    <col min="5566" max="5566" width="8.7109375" style="343" customWidth="1"/>
    <col min="5567" max="5567" width="5.7109375" style="343" customWidth="1"/>
    <col min="5568" max="5568" width="10.42578125" style="343" customWidth="1"/>
    <col min="5569" max="5569" width="11.140625" style="343" customWidth="1"/>
    <col min="5570" max="5570" width="8.7109375" style="343" customWidth="1"/>
    <col min="5571" max="5571" width="5.7109375" style="343" customWidth="1"/>
    <col min="5572" max="5572" width="8.28515625" style="343" customWidth="1"/>
    <col min="5573" max="5573" width="5.7109375" style="343" customWidth="1"/>
    <col min="5574" max="5574" width="8.7109375" style="343" customWidth="1"/>
    <col min="5575" max="5575" width="5.7109375" style="343" customWidth="1"/>
    <col min="5576" max="5576" width="10.42578125" style="343" customWidth="1"/>
    <col min="5577" max="5577" width="9.28515625" style="343" customWidth="1"/>
    <col min="5578" max="5578" width="8.7109375" style="343" customWidth="1"/>
    <col min="5579" max="5579" width="5.7109375" style="343" customWidth="1"/>
    <col min="5580" max="5580" width="8.7109375" style="343" customWidth="1"/>
    <col min="5581" max="5581" width="5.7109375" style="343" customWidth="1"/>
    <col min="5582" max="5582" width="8.7109375" style="343" customWidth="1"/>
    <col min="5583" max="5583" width="5.7109375" style="343" customWidth="1"/>
    <col min="5584" max="5584" width="10.42578125" style="343" customWidth="1"/>
    <col min="5585" max="5585" width="8.85546875" style="343" customWidth="1"/>
    <col min="5586" max="5586" width="9.140625" style="343"/>
    <col min="5587" max="5587" width="11.28515625" style="343" bestFit="1" customWidth="1"/>
    <col min="5588" max="5787" width="9.140625" style="343"/>
    <col min="5788" max="5788" width="11" style="343" customWidth="1"/>
    <col min="5789" max="5789" width="20.7109375" style="343" customWidth="1"/>
    <col min="5790" max="5790" width="7.85546875" style="343" customWidth="1"/>
    <col min="5791" max="5791" width="49.42578125" style="343" customWidth="1"/>
    <col min="5792" max="5792" width="18.5703125" style="343" customWidth="1"/>
    <col min="5793" max="5793" width="8.7109375" style="343" customWidth="1"/>
    <col min="5794" max="5794" width="5.7109375" style="343" customWidth="1"/>
    <col min="5795" max="5795" width="8.7109375" style="343" customWidth="1"/>
    <col min="5796" max="5796" width="5.7109375" style="343" customWidth="1"/>
    <col min="5797" max="5797" width="8.7109375" style="343" customWidth="1"/>
    <col min="5798" max="5798" width="5.7109375" style="343" customWidth="1"/>
    <col min="5799" max="5799" width="10.42578125" style="343" customWidth="1"/>
    <col min="5800" max="5801" width="9" style="343" customWidth="1"/>
    <col min="5802" max="5802" width="8.7109375" style="343" customWidth="1"/>
    <col min="5803" max="5803" width="5.7109375" style="343" customWidth="1"/>
    <col min="5804" max="5804" width="8.7109375" style="343" customWidth="1"/>
    <col min="5805" max="5805" width="5.7109375" style="343" customWidth="1"/>
    <col min="5806" max="5806" width="8.7109375" style="343" customWidth="1"/>
    <col min="5807" max="5807" width="5.7109375" style="343" customWidth="1"/>
    <col min="5808" max="5808" width="10.42578125" style="343" customWidth="1"/>
    <col min="5809" max="5815" width="9" style="343" customWidth="1"/>
    <col min="5816" max="5816" width="10.42578125" style="343" customWidth="1"/>
    <col min="5817" max="5817" width="9" style="343" customWidth="1"/>
    <col min="5818" max="5818" width="8.7109375" style="343" customWidth="1"/>
    <col min="5819" max="5819" width="5.7109375" style="343" customWidth="1"/>
    <col min="5820" max="5820" width="8.7109375" style="343" customWidth="1"/>
    <col min="5821" max="5821" width="5.7109375" style="343" customWidth="1"/>
    <col min="5822" max="5822" width="8.7109375" style="343" customWidth="1"/>
    <col min="5823" max="5823" width="5.7109375" style="343" customWidth="1"/>
    <col min="5824" max="5824" width="10.42578125" style="343" customWidth="1"/>
    <col min="5825" max="5825" width="11.140625" style="343" customWidth="1"/>
    <col min="5826" max="5826" width="8.7109375" style="343" customWidth="1"/>
    <col min="5827" max="5827" width="5.7109375" style="343" customWidth="1"/>
    <col min="5828" max="5828" width="8.28515625" style="343" customWidth="1"/>
    <col min="5829" max="5829" width="5.7109375" style="343" customWidth="1"/>
    <col min="5830" max="5830" width="8.7109375" style="343" customWidth="1"/>
    <col min="5831" max="5831" width="5.7109375" style="343" customWidth="1"/>
    <col min="5832" max="5832" width="10.42578125" style="343" customWidth="1"/>
    <col min="5833" max="5833" width="9.28515625" style="343" customWidth="1"/>
    <col min="5834" max="5834" width="8.7109375" style="343" customWidth="1"/>
    <col min="5835" max="5835" width="5.7109375" style="343" customWidth="1"/>
    <col min="5836" max="5836" width="8.7109375" style="343" customWidth="1"/>
    <col min="5837" max="5837" width="5.7109375" style="343" customWidth="1"/>
    <col min="5838" max="5838" width="8.7109375" style="343" customWidth="1"/>
    <col min="5839" max="5839" width="5.7109375" style="343" customWidth="1"/>
    <col min="5840" max="5840" width="10.42578125" style="343" customWidth="1"/>
    <col min="5841" max="5841" width="8.85546875" style="343" customWidth="1"/>
    <col min="5842" max="5842" width="9.140625" style="343"/>
    <col min="5843" max="5843" width="11.28515625" style="343" bestFit="1" customWidth="1"/>
    <col min="5844" max="6043" width="9.140625" style="343"/>
    <col min="6044" max="6044" width="11" style="343" customWidth="1"/>
    <col min="6045" max="6045" width="20.7109375" style="343" customWidth="1"/>
    <col min="6046" max="6046" width="7.85546875" style="343" customWidth="1"/>
    <col min="6047" max="6047" width="49.42578125" style="343" customWidth="1"/>
    <col min="6048" max="6048" width="18.5703125" style="343" customWidth="1"/>
    <col min="6049" max="6049" width="8.7109375" style="343" customWidth="1"/>
    <col min="6050" max="6050" width="5.7109375" style="343" customWidth="1"/>
    <col min="6051" max="6051" width="8.7109375" style="343" customWidth="1"/>
    <col min="6052" max="6052" width="5.7109375" style="343" customWidth="1"/>
    <col min="6053" max="6053" width="8.7109375" style="343" customWidth="1"/>
    <col min="6054" max="6054" width="5.7109375" style="343" customWidth="1"/>
    <col min="6055" max="6055" width="10.42578125" style="343" customWidth="1"/>
    <col min="6056" max="6057" width="9" style="343" customWidth="1"/>
    <col min="6058" max="6058" width="8.7109375" style="343" customWidth="1"/>
    <col min="6059" max="6059" width="5.7109375" style="343" customWidth="1"/>
    <col min="6060" max="6060" width="8.7109375" style="343" customWidth="1"/>
    <col min="6061" max="6061" width="5.7109375" style="343" customWidth="1"/>
    <col min="6062" max="6062" width="8.7109375" style="343" customWidth="1"/>
    <col min="6063" max="6063" width="5.7109375" style="343" customWidth="1"/>
    <col min="6064" max="6064" width="10.42578125" style="343" customWidth="1"/>
    <col min="6065" max="6071" width="9" style="343" customWidth="1"/>
    <col min="6072" max="6072" width="10.42578125" style="343" customWidth="1"/>
    <col min="6073" max="6073" width="9" style="343" customWidth="1"/>
    <col min="6074" max="6074" width="8.7109375" style="343" customWidth="1"/>
    <col min="6075" max="6075" width="5.7109375" style="343" customWidth="1"/>
    <col min="6076" max="6076" width="8.7109375" style="343" customWidth="1"/>
    <col min="6077" max="6077" width="5.7109375" style="343" customWidth="1"/>
    <col min="6078" max="6078" width="8.7109375" style="343" customWidth="1"/>
    <col min="6079" max="6079" width="5.7109375" style="343" customWidth="1"/>
    <col min="6080" max="6080" width="10.42578125" style="343" customWidth="1"/>
    <col min="6081" max="6081" width="11.140625" style="343" customWidth="1"/>
    <col min="6082" max="6082" width="8.7109375" style="343" customWidth="1"/>
    <col min="6083" max="6083" width="5.7109375" style="343" customWidth="1"/>
    <col min="6084" max="6084" width="8.28515625" style="343" customWidth="1"/>
    <col min="6085" max="6085" width="5.7109375" style="343" customWidth="1"/>
    <col min="6086" max="6086" width="8.7109375" style="343" customWidth="1"/>
    <col min="6087" max="6087" width="5.7109375" style="343" customWidth="1"/>
    <col min="6088" max="6088" width="10.42578125" style="343" customWidth="1"/>
    <col min="6089" max="6089" width="9.28515625" style="343" customWidth="1"/>
    <col min="6090" max="6090" width="8.7109375" style="343" customWidth="1"/>
    <col min="6091" max="6091" width="5.7109375" style="343" customWidth="1"/>
    <col min="6092" max="6092" width="8.7109375" style="343" customWidth="1"/>
    <col min="6093" max="6093" width="5.7109375" style="343" customWidth="1"/>
    <col min="6094" max="6094" width="8.7109375" style="343" customWidth="1"/>
    <col min="6095" max="6095" width="5.7109375" style="343" customWidth="1"/>
    <col min="6096" max="6096" width="10.42578125" style="343" customWidth="1"/>
    <col min="6097" max="6097" width="8.85546875" style="343" customWidth="1"/>
    <col min="6098" max="6098" width="9.140625" style="343"/>
    <col min="6099" max="6099" width="11.28515625" style="343" bestFit="1" customWidth="1"/>
    <col min="6100" max="6299" width="9.140625" style="343"/>
    <col min="6300" max="6300" width="11" style="343" customWidth="1"/>
    <col min="6301" max="6301" width="20.7109375" style="343" customWidth="1"/>
    <col min="6302" max="6302" width="7.85546875" style="343" customWidth="1"/>
    <col min="6303" max="6303" width="49.42578125" style="343" customWidth="1"/>
    <col min="6304" max="6304" width="18.5703125" style="343" customWidth="1"/>
    <col min="6305" max="6305" width="8.7109375" style="343" customWidth="1"/>
    <col min="6306" max="6306" width="5.7109375" style="343" customWidth="1"/>
    <col min="6307" max="6307" width="8.7109375" style="343" customWidth="1"/>
    <col min="6308" max="6308" width="5.7109375" style="343" customWidth="1"/>
    <col min="6309" max="6309" width="8.7109375" style="343" customWidth="1"/>
    <col min="6310" max="6310" width="5.7109375" style="343" customWidth="1"/>
    <col min="6311" max="6311" width="10.42578125" style="343" customWidth="1"/>
    <col min="6312" max="6313" width="9" style="343" customWidth="1"/>
    <col min="6314" max="6314" width="8.7109375" style="343" customWidth="1"/>
    <col min="6315" max="6315" width="5.7109375" style="343" customWidth="1"/>
    <col min="6316" max="6316" width="8.7109375" style="343" customWidth="1"/>
    <col min="6317" max="6317" width="5.7109375" style="343" customWidth="1"/>
    <col min="6318" max="6318" width="8.7109375" style="343" customWidth="1"/>
    <col min="6319" max="6319" width="5.7109375" style="343" customWidth="1"/>
    <col min="6320" max="6320" width="10.42578125" style="343" customWidth="1"/>
    <col min="6321" max="6327" width="9" style="343" customWidth="1"/>
    <col min="6328" max="6328" width="10.42578125" style="343" customWidth="1"/>
    <col min="6329" max="6329" width="9" style="343" customWidth="1"/>
    <col min="6330" max="6330" width="8.7109375" style="343" customWidth="1"/>
    <col min="6331" max="6331" width="5.7109375" style="343" customWidth="1"/>
    <col min="6332" max="6332" width="8.7109375" style="343" customWidth="1"/>
    <col min="6333" max="6333" width="5.7109375" style="343" customWidth="1"/>
    <col min="6334" max="6334" width="8.7109375" style="343" customWidth="1"/>
    <col min="6335" max="6335" width="5.7109375" style="343" customWidth="1"/>
    <col min="6336" max="6336" width="10.42578125" style="343" customWidth="1"/>
    <col min="6337" max="6337" width="11.140625" style="343" customWidth="1"/>
    <col min="6338" max="6338" width="8.7109375" style="343" customWidth="1"/>
    <col min="6339" max="6339" width="5.7109375" style="343" customWidth="1"/>
    <col min="6340" max="6340" width="8.28515625" style="343" customWidth="1"/>
    <col min="6341" max="6341" width="5.7109375" style="343" customWidth="1"/>
    <col min="6342" max="6342" width="8.7109375" style="343" customWidth="1"/>
    <col min="6343" max="6343" width="5.7109375" style="343" customWidth="1"/>
    <col min="6344" max="6344" width="10.42578125" style="343" customWidth="1"/>
    <col min="6345" max="6345" width="9.28515625" style="343" customWidth="1"/>
    <col min="6346" max="6346" width="8.7109375" style="343" customWidth="1"/>
    <col min="6347" max="6347" width="5.7109375" style="343" customWidth="1"/>
    <col min="6348" max="6348" width="8.7109375" style="343" customWidth="1"/>
    <col min="6349" max="6349" width="5.7109375" style="343" customWidth="1"/>
    <col min="6350" max="6350" width="8.7109375" style="343" customWidth="1"/>
    <col min="6351" max="6351" width="5.7109375" style="343" customWidth="1"/>
    <col min="6352" max="6352" width="10.42578125" style="343" customWidth="1"/>
    <col min="6353" max="6353" width="8.85546875" style="343" customWidth="1"/>
    <col min="6354" max="6354" width="9.140625" style="343"/>
    <col min="6355" max="6355" width="11.28515625" style="343" bestFit="1" customWidth="1"/>
    <col min="6356" max="6555" width="9.140625" style="343"/>
    <col min="6556" max="6556" width="11" style="343" customWidth="1"/>
    <col min="6557" max="6557" width="20.7109375" style="343" customWidth="1"/>
    <col min="6558" max="6558" width="7.85546875" style="343" customWidth="1"/>
    <col min="6559" max="6559" width="49.42578125" style="343" customWidth="1"/>
    <col min="6560" max="6560" width="18.5703125" style="343" customWidth="1"/>
    <col min="6561" max="6561" width="8.7109375" style="343" customWidth="1"/>
    <col min="6562" max="6562" width="5.7109375" style="343" customWidth="1"/>
    <col min="6563" max="6563" width="8.7109375" style="343" customWidth="1"/>
    <col min="6564" max="6564" width="5.7109375" style="343" customWidth="1"/>
    <col min="6565" max="6565" width="8.7109375" style="343" customWidth="1"/>
    <col min="6566" max="6566" width="5.7109375" style="343" customWidth="1"/>
    <col min="6567" max="6567" width="10.42578125" style="343" customWidth="1"/>
    <col min="6568" max="6569" width="9" style="343" customWidth="1"/>
    <col min="6570" max="6570" width="8.7109375" style="343" customWidth="1"/>
    <col min="6571" max="6571" width="5.7109375" style="343" customWidth="1"/>
    <col min="6572" max="6572" width="8.7109375" style="343" customWidth="1"/>
    <col min="6573" max="6573" width="5.7109375" style="343" customWidth="1"/>
    <col min="6574" max="6574" width="8.7109375" style="343" customWidth="1"/>
    <col min="6575" max="6575" width="5.7109375" style="343" customWidth="1"/>
    <col min="6576" max="6576" width="10.42578125" style="343" customWidth="1"/>
    <col min="6577" max="6583" width="9" style="343" customWidth="1"/>
    <col min="6584" max="6584" width="10.42578125" style="343" customWidth="1"/>
    <col min="6585" max="6585" width="9" style="343" customWidth="1"/>
    <col min="6586" max="6586" width="8.7109375" style="343" customWidth="1"/>
    <col min="6587" max="6587" width="5.7109375" style="343" customWidth="1"/>
    <col min="6588" max="6588" width="8.7109375" style="343" customWidth="1"/>
    <col min="6589" max="6589" width="5.7109375" style="343" customWidth="1"/>
    <col min="6590" max="6590" width="8.7109375" style="343" customWidth="1"/>
    <col min="6591" max="6591" width="5.7109375" style="343" customWidth="1"/>
    <col min="6592" max="6592" width="10.42578125" style="343" customWidth="1"/>
    <col min="6593" max="6593" width="11.140625" style="343" customWidth="1"/>
    <col min="6594" max="6594" width="8.7109375" style="343" customWidth="1"/>
    <col min="6595" max="6595" width="5.7109375" style="343" customWidth="1"/>
    <col min="6596" max="6596" width="8.28515625" style="343" customWidth="1"/>
    <col min="6597" max="6597" width="5.7109375" style="343" customWidth="1"/>
    <col min="6598" max="6598" width="8.7109375" style="343" customWidth="1"/>
    <col min="6599" max="6599" width="5.7109375" style="343" customWidth="1"/>
    <col min="6600" max="6600" width="10.42578125" style="343" customWidth="1"/>
    <col min="6601" max="6601" width="9.28515625" style="343" customWidth="1"/>
    <col min="6602" max="6602" width="8.7109375" style="343" customWidth="1"/>
    <col min="6603" max="6603" width="5.7109375" style="343" customWidth="1"/>
    <col min="6604" max="6604" width="8.7109375" style="343" customWidth="1"/>
    <col min="6605" max="6605" width="5.7109375" style="343" customWidth="1"/>
    <col min="6606" max="6606" width="8.7109375" style="343" customWidth="1"/>
    <col min="6607" max="6607" width="5.7109375" style="343" customWidth="1"/>
    <col min="6608" max="6608" width="10.42578125" style="343" customWidth="1"/>
    <col min="6609" max="6609" width="8.85546875" style="343" customWidth="1"/>
    <col min="6610" max="6610" width="9.140625" style="343"/>
    <col min="6611" max="6611" width="11.28515625" style="343" bestFit="1" customWidth="1"/>
    <col min="6612" max="6811" width="9.140625" style="343"/>
    <col min="6812" max="6812" width="11" style="343" customWidth="1"/>
    <col min="6813" max="6813" width="20.7109375" style="343" customWidth="1"/>
    <col min="6814" max="6814" width="7.85546875" style="343" customWidth="1"/>
    <col min="6815" max="6815" width="49.42578125" style="343" customWidth="1"/>
    <col min="6816" max="6816" width="18.5703125" style="343" customWidth="1"/>
    <col min="6817" max="6817" width="8.7109375" style="343" customWidth="1"/>
    <col min="6818" max="6818" width="5.7109375" style="343" customWidth="1"/>
    <col min="6819" max="6819" width="8.7109375" style="343" customWidth="1"/>
    <col min="6820" max="6820" width="5.7109375" style="343" customWidth="1"/>
    <col min="6821" max="6821" width="8.7109375" style="343" customWidth="1"/>
    <col min="6822" max="6822" width="5.7109375" style="343" customWidth="1"/>
    <col min="6823" max="6823" width="10.42578125" style="343" customWidth="1"/>
    <col min="6824" max="6825" width="9" style="343" customWidth="1"/>
    <col min="6826" max="6826" width="8.7109375" style="343" customWidth="1"/>
    <col min="6827" max="6827" width="5.7109375" style="343" customWidth="1"/>
    <col min="6828" max="6828" width="8.7109375" style="343" customWidth="1"/>
    <col min="6829" max="6829" width="5.7109375" style="343" customWidth="1"/>
    <col min="6830" max="6830" width="8.7109375" style="343" customWidth="1"/>
    <col min="6831" max="6831" width="5.7109375" style="343" customWidth="1"/>
    <col min="6832" max="6832" width="10.42578125" style="343" customWidth="1"/>
    <col min="6833" max="6839" width="9" style="343" customWidth="1"/>
    <col min="6840" max="6840" width="10.42578125" style="343" customWidth="1"/>
    <col min="6841" max="6841" width="9" style="343" customWidth="1"/>
    <col min="6842" max="6842" width="8.7109375" style="343" customWidth="1"/>
    <col min="6843" max="6843" width="5.7109375" style="343" customWidth="1"/>
    <col min="6844" max="6844" width="8.7109375" style="343" customWidth="1"/>
    <col min="6845" max="6845" width="5.7109375" style="343" customWidth="1"/>
    <col min="6846" max="6846" width="8.7109375" style="343" customWidth="1"/>
    <col min="6847" max="6847" width="5.7109375" style="343" customWidth="1"/>
    <col min="6848" max="6848" width="10.42578125" style="343" customWidth="1"/>
    <col min="6849" max="6849" width="11.140625" style="343" customWidth="1"/>
    <col min="6850" max="6850" width="8.7109375" style="343" customWidth="1"/>
    <col min="6851" max="6851" width="5.7109375" style="343" customWidth="1"/>
    <col min="6852" max="6852" width="8.28515625" style="343" customWidth="1"/>
    <col min="6853" max="6853" width="5.7109375" style="343" customWidth="1"/>
    <col min="6854" max="6854" width="8.7109375" style="343" customWidth="1"/>
    <col min="6855" max="6855" width="5.7109375" style="343" customWidth="1"/>
    <col min="6856" max="6856" width="10.42578125" style="343" customWidth="1"/>
    <col min="6857" max="6857" width="9.28515625" style="343" customWidth="1"/>
    <col min="6858" max="6858" width="8.7109375" style="343" customWidth="1"/>
    <col min="6859" max="6859" width="5.7109375" style="343" customWidth="1"/>
    <col min="6860" max="6860" width="8.7109375" style="343" customWidth="1"/>
    <col min="6861" max="6861" width="5.7109375" style="343" customWidth="1"/>
    <col min="6862" max="6862" width="8.7109375" style="343" customWidth="1"/>
    <col min="6863" max="6863" width="5.7109375" style="343" customWidth="1"/>
    <col min="6864" max="6864" width="10.42578125" style="343" customWidth="1"/>
    <col min="6865" max="6865" width="8.85546875" style="343" customWidth="1"/>
    <col min="6866" max="6866" width="9.140625" style="343"/>
    <col min="6867" max="6867" width="11.28515625" style="343" bestFit="1" customWidth="1"/>
    <col min="6868" max="7067" width="9.140625" style="343"/>
    <col min="7068" max="7068" width="11" style="343" customWidth="1"/>
    <col min="7069" max="7069" width="20.7109375" style="343" customWidth="1"/>
    <col min="7070" max="7070" width="7.85546875" style="343" customWidth="1"/>
    <col min="7071" max="7071" width="49.42578125" style="343" customWidth="1"/>
    <col min="7072" max="7072" width="18.5703125" style="343" customWidth="1"/>
    <col min="7073" max="7073" width="8.7109375" style="343" customWidth="1"/>
    <col min="7074" max="7074" width="5.7109375" style="343" customWidth="1"/>
    <col min="7075" max="7075" width="8.7109375" style="343" customWidth="1"/>
    <col min="7076" max="7076" width="5.7109375" style="343" customWidth="1"/>
    <col min="7077" max="7077" width="8.7109375" style="343" customWidth="1"/>
    <col min="7078" max="7078" width="5.7109375" style="343" customWidth="1"/>
    <col min="7079" max="7079" width="10.42578125" style="343" customWidth="1"/>
    <col min="7080" max="7081" width="9" style="343" customWidth="1"/>
    <col min="7082" max="7082" width="8.7109375" style="343" customWidth="1"/>
    <col min="7083" max="7083" width="5.7109375" style="343" customWidth="1"/>
    <col min="7084" max="7084" width="8.7109375" style="343" customWidth="1"/>
    <col min="7085" max="7085" width="5.7109375" style="343" customWidth="1"/>
    <col min="7086" max="7086" width="8.7109375" style="343" customWidth="1"/>
    <col min="7087" max="7087" width="5.7109375" style="343" customWidth="1"/>
    <col min="7088" max="7088" width="10.42578125" style="343" customWidth="1"/>
    <col min="7089" max="7095" width="9" style="343" customWidth="1"/>
    <col min="7096" max="7096" width="10.42578125" style="343" customWidth="1"/>
    <col min="7097" max="7097" width="9" style="343" customWidth="1"/>
    <col min="7098" max="7098" width="8.7109375" style="343" customWidth="1"/>
    <col min="7099" max="7099" width="5.7109375" style="343" customWidth="1"/>
    <col min="7100" max="7100" width="8.7109375" style="343" customWidth="1"/>
    <col min="7101" max="7101" width="5.7109375" style="343" customWidth="1"/>
    <col min="7102" max="7102" width="8.7109375" style="343" customWidth="1"/>
    <col min="7103" max="7103" width="5.7109375" style="343" customWidth="1"/>
    <col min="7104" max="7104" width="10.42578125" style="343" customWidth="1"/>
    <col min="7105" max="7105" width="11.140625" style="343" customWidth="1"/>
    <col min="7106" max="7106" width="8.7109375" style="343" customWidth="1"/>
    <col min="7107" max="7107" width="5.7109375" style="343" customWidth="1"/>
    <col min="7108" max="7108" width="8.28515625" style="343" customWidth="1"/>
    <col min="7109" max="7109" width="5.7109375" style="343" customWidth="1"/>
    <col min="7110" max="7110" width="8.7109375" style="343" customWidth="1"/>
    <col min="7111" max="7111" width="5.7109375" style="343" customWidth="1"/>
    <col min="7112" max="7112" width="10.42578125" style="343" customWidth="1"/>
    <col min="7113" max="7113" width="9.28515625" style="343" customWidth="1"/>
    <col min="7114" max="7114" width="8.7109375" style="343" customWidth="1"/>
    <col min="7115" max="7115" width="5.7109375" style="343" customWidth="1"/>
    <col min="7116" max="7116" width="8.7109375" style="343" customWidth="1"/>
    <col min="7117" max="7117" width="5.7109375" style="343" customWidth="1"/>
    <col min="7118" max="7118" width="8.7109375" style="343" customWidth="1"/>
    <col min="7119" max="7119" width="5.7109375" style="343" customWidth="1"/>
    <col min="7120" max="7120" width="10.42578125" style="343" customWidth="1"/>
    <col min="7121" max="7121" width="8.85546875" style="343" customWidth="1"/>
    <col min="7122" max="7122" width="9.140625" style="343"/>
    <col min="7123" max="7123" width="11.28515625" style="343" bestFit="1" customWidth="1"/>
    <col min="7124" max="7323" width="9.140625" style="343"/>
    <col min="7324" max="7324" width="11" style="343" customWidth="1"/>
    <col min="7325" max="7325" width="20.7109375" style="343" customWidth="1"/>
    <col min="7326" max="7326" width="7.85546875" style="343" customWidth="1"/>
    <col min="7327" max="7327" width="49.42578125" style="343" customWidth="1"/>
    <col min="7328" max="7328" width="18.5703125" style="343" customWidth="1"/>
    <col min="7329" max="7329" width="8.7109375" style="343" customWidth="1"/>
    <col min="7330" max="7330" width="5.7109375" style="343" customWidth="1"/>
    <col min="7331" max="7331" width="8.7109375" style="343" customWidth="1"/>
    <col min="7332" max="7332" width="5.7109375" style="343" customWidth="1"/>
    <col min="7333" max="7333" width="8.7109375" style="343" customWidth="1"/>
    <col min="7334" max="7334" width="5.7109375" style="343" customWidth="1"/>
    <col min="7335" max="7335" width="10.42578125" style="343" customWidth="1"/>
    <col min="7336" max="7337" width="9" style="343" customWidth="1"/>
    <col min="7338" max="7338" width="8.7109375" style="343" customWidth="1"/>
    <col min="7339" max="7339" width="5.7109375" style="343" customWidth="1"/>
    <col min="7340" max="7340" width="8.7109375" style="343" customWidth="1"/>
    <col min="7341" max="7341" width="5.7109375" style="343" customWidth="1"/>
    <col min="7342" max="7342" width="8.7109375" style="343" customWidth="1"/>
    <col min="7343" max="7343" width="5.7109375" style="343" customWidth="1"/>
    <col min="7344" max="7344" width="10.42578125" style="343" customWidth="1"/>
    <col min="7345" max="7351" width="9" style="343" customWidth="1"/>
    <col min="7352" max="7352" width="10.42578125" style="343" customWidth="1"/>
    <col min="7353" max="7353" width="9" style="343" customWidth="1"/>
    <col min="7354" max="7354" width="8.7109375" style="343" customWidth="1"/>
    <col min="7355" max="7355" width="5.7109375" style="343" customWidth="1"/>
    <col min="7356" max="7356" width="8.7109375" style="343" customWidth="1"/>
    <col min="7357" max="7357" width="5.7109375" style="343" customWidth="1"/>
    <col min="7358" max="7358" width="8.7109375" style="343" customWidth="1"/>
    <col min="7359" max="7359" width="5.7109375" style="343" customWidth="1"/>
    <col min="7360" max="7360" width="10.42578125" style="343" customWidth="1"/>
    <col min="7361" max="7361" width="11.140625" style="343" customWidth="1"/>
    <col min="7362" max="7362" width="8.7109375" style="343" customWidth="1"/>
    <col min="7363" max="7363" width="5.7109375" style="343" customWidth="1"/>
    <col min="7364" max="7364" width="8.28515625" style="343" customWidth="1"/>
    <col min="7365" max="7365" width="5.7109375" style="343" customWidth="1"/>
    <col min="7366" max="7366" width="8.7109375" style="343" customWidth="1"/>
    <col min="7367" max="7367" width="5.7109375" style="343" customWidth="1"/>
    <col min="7368" max="7368" width="10.42578125" style="343" customWidth="1"/>
    <col min="7369" max="7369" width="9.28515625" style="343" customWidth="1"/>
    <col min="7370" max="7370" width="8.7109375" style="343" customWidth="1"/>
    <col min="7371" max="7371" width="5.7109375" style="343" customWidth="1"/>
    <col min="7372" max="7372" width="8.7109375" style="343" customWidth="1"/>
    <col min="7373" max="7373" width="5.7109375" style="343" customWidth="1"/>
    <col min="7374" max="7374" width="8.7109375" style="343" customWidth="1"/>
    <col min="7375" max="7375" width="5.7109375" style="343" customWidth="1"/>
    <col min="7376" max="7376" width="10.42578125" style="343" customWidth="1"/>
    <col min="7377" max="7377" width="8.85546875" style="343" customWidth="1"/>
    <col min="7378" max="7378" width="9.140625" style="343"/>
    <col min="7379" max="7379" width="11.28515625" style="343" bestFit="1" customWidth="1"/>
    <col min="7380" max="7579" width="9.140625" style="343"/>
    <col min="7580" max="7580" width="11" style="343" customWidth="1"/>
    <col min="7581" max="7581" width="20.7109375" style="343" customWidth="1"/>
    <col min="7582" max="7582" width="7.85546875" style="343" customWidth="1"/>
    <col min="7583" max="7583" width="49.42578125" style="343" customWidth="1"/>
    <col min="7584" max="7584" width="18.5703125" style="343" customWidth="1"/>
    <col min="7585" max="7585" width="8.7109375" style="343" customWidth="1"/>
    <col min="7586" max="7586" width="5.7109375" style="343" customWidth="1"/>
    <col min="7587" max="7587" width="8.7109375" style="343" customWidth="1"/>
    <col min="7588" max="7588" width="5.7109375" style="343" customWidth="1"/>
    <col min="7589" max="7589" width="8.7109375" style="343" customWidth="1"/>
    <col min="7590" max="7590" width="5.7109375" style="343" customWidth="1"/>
    <col min="7591" max="7591" width="10.42578125" style="343" customWidth="1"/>
    <col min="7592" max="7593" width="9" style="343" customWidth="1"/>
    <col min="7594" max="7594" width="8.7109375" style="343" customWidth="1"/>
    <col min="7595" max="7595" width="5.7109375" style="343" customWidth="1"/>
    <col min="7596" max="7596" width="8.7109375" style="343" customWidth="1"/>
    <col min="7597" max="7597" width="5.7109375" style="343" customWidth="1"/>
    <col min="7598" max="7598" width="8.7109375" style="343" customWidth="1"/>
    <col min="7599" max="7599" width="5.7109375" style="343" customWidth="1"/>
    <col min="7600" max="7600" width="10.42578125" style="343" customWidth="1"/>
    <col min="7601" max="7607" width="9" style="343" customWidth="1"/>
    <col min="7608" max="7608" width="10.42578125" style="343" customWidth="1"/>
    <col min="7609" max="7609" width="9" style="343" customWidth="1"/>
    <col min="7610" max="7610" width="8.7109375" style="343" customWidth="1"/>
    <col min="7611" max="7611" width="5.7109375" style="343" customWidth="1"/>
    <col min="7612" max="7612" width="8.7109375" style="343" customWidth="1"/>
    <col min="7613" max="7613" width="5.7109375" style="343" customWidth="1"/>
    <col min="7614" max="7614" width="8.7109375" style="343" customWidth="1"/>
    <col min="7615" max="7615" width="5.7109375" style="343" customWidth="1"/>
    <col min="7616" max="7616" width="10.42578125" style="343" customWidth="1"/>
    <col min="7617" max="7617" width="11.140625" style="343" customWidth="1"/>
    <col min="7618" max="7618" width="8.7109375" style="343" customWidth="1"/>
    <col min="7619" max="7619" width="5.7109375" style="343" customWidth="1"/>
    <col min="7620" max="7620" width="8.28515625" style="343" customWidth="1"/>
    <col min="7621" max="7621" width="5.7109375" style="343" customWidth="1"/>
    <col min="7622" max="7622" width="8.7109375" style="343" customWidth="1"/>
    <col min="7623" max="7623" width="5.7109375" style="343" customWidth="1"/>
    <col min="7624" max="7624" width="10.42578125" style="343" customWidth="1"/>
    <col min="7625" max="7625" width="9.28515625" style="343" customWidth="1"/>
    <col min="7626" max="7626" width="8.7109375" style="343" customWidth="1"/>
    <col min="7627" max="7627" width="5.7109375" style="343" customWidth="1"/>
    <col min="7628" max="7628" width="8.7109375" style="343" customWidth="1"/>
    <col min="7629" max="7629" width="5.7109375" style="343" customWidth="1"/>
    <col min="7630" max="7630" width="8.7109375" style="343" customWidth="1"/>
    <col min="7631" max="7631" width="5.7109375" style="343" customWidth="1"/>
    <col min="7632" max="7632" width="10.42578125" style="343" customWidth="1"/>
    <col min="7633" max="7633" width="8.85546875" style="343" customWidth="1"/>
    <col min="7634" max="7634" width="9.140625" style="343"/>
    <col min="7635" max="7635" width="11.28515625" style="343" bestFit="1" customWidth="1"/>
    <col min="7636" max="7835" width="9.140625" style="343"/>
    <col min="7836" max="7836" width="11" style="343" customWidth="1"/>
    <col min="7837" max="7837" width="20.7109375" style="343" customWidth="1"/>
    <col min="7838" max="7838" width="7.85546875" style="343" customWidth="1"/>
    <col min="7839" max="7839" width="49.42578125" style="343" customWidth="1"/>
    <col min="7840" max="7840" width="18.5703125" style="343" customWidth="1"/>
    <col min="7841" max="7841" width="8.7109375" style="343" customWidth="1"/>
    <col min="7842" max="7842" width="5.7109375" style="343" customWidth="1"/>
    <col min="7843" max="7843" width="8.7109375" style="343" customWidth="1"/>
    <col min="7844" max="7844" width="5.7109375" style="343" customWidth="1"/>
    <col min="7845" max="7845" width="8.7109375" style="343" customWidth="1"/>
    <col min="7846" max="7846" width="5.7109375" style="343" customWidth="1"/>
    <col min="7847" max="7847" width="10.42578125" style="343" customWidth="1"/>
    <col min="7848" max="7849" width="9" style="343" customWidth="1"/>
    <col min="7850" max="7850" width="8.7109375" style="343" customWidth="1"/>
    <col min="7851" max="7851" width="5.7109375" style="343" customWidth="1"/>
    <col min="7852" max="7852" width="8.7109375" style="343" customWidth="1"/>
    <col min="7853" max="7853" width="5.7109375" style="343" customWidth="1"/>
    <col min="7854" max="7854" width="8.7109375" style="343" customWidth="1"/>
    <col min="7855" max="7855" width="5.7109375" style="343" customWidth="1"/>
    <col min="7856" max="7856" width="10.42578125" style="343" customWidth="1"/>
    <col min="7857" max="7863" width="9" style="343" customWidth="1"/>
    <col min="7864" max="7864" width="10.42578125" style="343" customWidth="1"/>
    <col min="7865" max="7865" width="9" style="343" customWidth="1"/>
    <col min="7866" max="7866" width="8.7109375" style="343" customWidth="1"/>
    <col min="7867" max="7867" width="5.7109375" style="343" customWidth="1"/>
    <col min="7868" max="7868" width="8.7109375" style="343" customWidth="1"/>
    <col min="7869" max="7869" width="5.7109375" style="343" customWidth="1"/>
    <col min="7870" max="7870" width="8.7109375" style="343" customWidth="1"/>
    <col min="7871" max="7871" width="5.7109375" style="343" customWidth="1"/>
    <col min="7872" max="7872" width="10.42578125" style="343" customWidth="1"/>
    <col min="7873" max="7873" width="11.140625" style="343" customWidth="1"/>
    <col min="7874" max="7874" width="8.7109375" style="343" customWidth="1"/>
    <col min="7875" max="7875" width="5.7109375" style="343" customWidth="1"/>
    <col min="7876" max="7876" width="8.28515625" style="343" customWidth="1"/>
    <col min="7877" max="7877" width="5.7109375" style="343" customWidth="1"/>
    <col min="7878" max="7878" width="8.7109375" style="343" customWidth="1"/>
    <col min="7879" max="7879" width="5.7109375" style="343" customWidth="1"/>
    <col min="7880" max="7880" width="10.42578125" style="343" customWidth="1"/>
    <col min="7881" max="7881" width="9.28515625" style="343" customWidth="1"/>
    <col min="7882" max="7882" width="8.7109375" style="343" customWidth="1"/>
    <col min="7883" max="7883" width="5.7109375" style="343" customWidth="1"/>
    <col min="7884" max="7884" width="8.7109375" style="343" customWidth="1"/>
    <col min="7885" max="7885" width="5.7109375" style="343" customWidth="1"/>
    <col min="7886" max="7886" width="8.7109375" style="343" customWidth="1"/>
    <col min="7887" max="7887" width="5.7109375" style="343" customWidth="1"/>
    <col min="7888" max="7888" width="10.42578125" style="343" customWidth="1"/>
    <col min="7889" max="7889" width="8.85546875" style="343" customWidth="1"/>
    <col min="7890" max="7890" width="9.140625" style="343"/>
    <col min="7891" max="7891" width="11.28515625" style="343" bestFit="1" customWidth="1"/>
    <col min="7892" max="8091" width="9.140625" style="343"/>
    <col min="8092" max="8092" width="11" style="343" customWidth="1"/>
    <col min="8093" max="8093" width="20.7109375" style="343" customWidth="1"/>
    <col min="8094" max="8094" width="7.85546875" style="343" customWidth="1"/>
    <col min="8095" max="8095" width="49.42578125" style="343" customWidth="1"/>
    <col min="8096" max="8096" width="18.5703125" style="343" customWidth="1"/>
    <col min="8097" max="8097" width="8.7109375" style="343" customWidth="1"/>
    <col min="8098" max="8098" width="5.7109375" style="343" customWidth="1"/>
    <col min="8099" max="8099" width="8.7109375" style="343" customWidth="1"/>
    <col min="8100" max="8100" width="5.7109375" style="343" customWidth="1"/>
    <col min="8101" max="8101" width="8.7109375" style="343" customWidth="1"/>
    <col min="8102" max="8102" width="5.7109375" style="343" customWidth="1"/>
    <col min="8103" max="8103" width="10.42578125" style="343" customWidth="1"/>
    <col min="8104" max="8105" width="9" style="343" customWidth="1"/>
    <col min="8106" max="8106" width="8.7109375" style="343" customWidth="1"/>
    <col min="8107" max="8107" width="5.7109375" style="343" customWidth="1"/>
    <col min="8108" max="8108" width="8.7109375" style="343" customWidth="1"/>
    <col min="8109" max="8109" width="5.7109375" style="343" customWidth="1"/>
    <col min="8110" max="8110" width="8.7109375" style="343" customWidth="1"/>
    <col min="8111" max="8111" width="5.7109375" style="343" customWidth="1"/>
    <col min="8112" max="8112" width="10.42578125" style="343" customWidth="1"/>
    <col min="8113" max="8119" width="9" style="343" customWidth="1"/>
    <col min="8120" max="8120" width="10.42578125" style="343" customWidth="1"/>
    <col min="8121" max="8121" width="9" style="343" customWidth="1"/>
    <col min="8122" max="8122" width="8.7109375" style="343" customWidth="1"/>
    <col min="8123" max="8123" width="5.7109375" style="343" customWidth="1"/>
    <col min="8124" max="8124" width="8.7109375" style="343" customWidth="1"/>
    <col min="8125" max="8125" width="5.7109375" style="343" customWidth="1"/>
    <col min="8126" max="8126" width="8.7109375" style="343" customWidth="1"/>
    <col min="8127" max="8127" width="5.7109375" style="343" customWidth="1"/>
    <col min="8128" max="8128" width="10.42578125" style="343" customWidth="1"/>
    <col min="8129" max="8129" width="11.140625" style="343" customWidth="1"/>
    <col min="8130" max="8130" width="8.7109375" style="343" customWidth="1"/>
    <col min="8131" max="8131" width="5.7109375" style="343" customWidth="1"/>
    <col min="8132" max="8132" width="8.28515625" style="343" customWidth="1"/>
    <col min="8133" max="8133" width="5.7109375" style="343" customWidth="1"/>
    <col min="8134" max="8134" width="8.7109375" style="343" customWidth="1"/>
    <col min="8135" max="8135" width="5.7109375" style="343" customWidth="1"/>
    <col min="8136" max="8136" width="10.42578125" style="343" customWidth="1"/>
    <col min="8137" max="8137" width="9.28515625" style="343" customWidth="1"/>
    <col min="8138" max="8138" width="8.7109375" style="343" customWidth="1"/>
    <col min="8139" max="8139" width="5.7109375" style="343" customWidth="1"/>
    <col min="8140" max="8140" width="8.7109375" style="343" customWidth="1"/>
    <col min="8141" max="8141" width="5.7109375" style="343" customWidth="1"/>
    <col min="8142" max="8142" width="8.7109375" style="343" customWidth="1"/>
    <col min="8143" max="8143" width="5.7109375" style="343" customWidth="1"/>
    <col min="8144" max="8144" width="10.42578125" style="343" customWidth="1"/>
    <col min="8145" max="8145" width="8.85546875" style="343" customWidth="1"/>
    <col min="8146" max="8146" width="9.140625" style="343"/>
    <col min="8147" max="8147" width="11.28515625" style="343" bestFit="1" customWidth="1"/>
    <col min="8148" max="8347" width="9.140625" style="343"/>
    <col min="8348" max="8348" width="11" style="343" customWidth="1"/>
    <col min="8349" max="8349" width="20.7109375" style="343" customWidth="1"/>
    <col min="8350" max="8350" width="7.85546875" style="343" customWidth="1"/>
    <col min="8351" max="8351" width="49.42578125" style="343" customWidth="1"/>
    <col min="8352" max="8352" width="18.5703125" style="343" customWidth="1"/>
    <col min="8353" max="8353" width="8.7109375" style="343" customWidth="1"/>
    <col min="8354" max="8354" width="5.7109375" style="343" customWidth="1"/>
    <col min="8355" max="8355" width="8.7109375" style="343" customWidth="1"/>
    <col min="8356" max="8356" width="5.7109375" style="343" customWidth="1"/>
    <col min="8357" max="8357" width="8.7109375" style="343" customWidth="1"/>
    <col min="8358" max="8358" width="5.7109375" style="343" customWidth="1"/>
    <col min="8359" max="8359" width="10.42578125" style="343" customWidth="1"/>
    <col min="8360" max="8361" width="9" style="343" customWidth="1"/>
    <col min="8362" max="8362" width="8.7109375" style="343" customWidth="1"/>
    <col min="8363" max="8363" width="5.7109375" style="343" customWidth="1"/>
    <col min="8364" max="8364" width="8.7109375" style="343" customWidth="1"/>
    <col min="8365" max="8365" width="5.7109375" style="343" customWidth="1"/>
    <col min="8366" max="8366" width="8.7109375" style="343" customWidth="1"/>
    <col min="8367" max="8367" width="5.7109375" style="343" customWidth="1"/>
    <col min="8368" max="8368" width="10.42578125" style="343" customWidth="1"/>
    <col min="8369" max="8375" width="9" style="343" customWidth="1"/>
    <col min="8376" max="8376" width="10.42578125" style="343" customWidth="1"/>
    <col min="8377" max="8377" width="9" style="343" customWidth="1"/>
    <col min="8378" max="8378" width="8.7109375" style="343" customWidth="1"/>
    <col min="8379" max="8379" width="5.7109375" style="343" customWidth="1"/>
    <col min="8380" max="8380" width="8.7109375" style="343" customWidth="1"/>
    <col min="8381" max="8381" width="5.7109375" style="343" customWidth="1"/>
    <col min="8382" max="8382" width="8.7109375" style="343" customWidth="1"/>
    <col min="8383" max="8383" width="5.7109375" style="343" customWidth="1"/>
    <col min="8384" max="8384" width="10.42578125" style="343" customWidth="1"/>
    <col min="8385" max="8385" width="11.140625" style="343" customWidth="1"/>
    <col min="8386" max="8386" width="8.7109375" style="343" customWidth="1"/>
    <col min="8387" max="8387" width="5.7109375" style="343" customWidth="1"/>
    <col min="8388" max="8388" width="8.28515625" style="343" customWidth="1"/>
    <col min="8389" max="8389" width="5.7109375" style="343" customWidth="1"/>
    <col min="8390" max="8390" width="8.7109375" style="343" customWidth="1"/>
    <col min="8391" max="8391" width="5.7109375" style="343" customWidth="1"/>
    <col min="8392" max="8392" width="10.42578125" style="343" customWidth="1"/>
    <col min="8393" max="8393" width="9.28515625" style="343" customWidth="1"/>
    <col min="8394" max="8394" width="8.7109375" style="343" customWidth="1"/>
    <col min="8395" max="8395" width="5.7109375" style="343" customWidth="1"/>
    <col min="8396" max="8396" width="8.7109375" style="343" customWidth="1"/>
    <col min="8397" max="8397" width="5.7109375" style="343" customWidth="1"/>
    <col min="8398" max="8398" width="8.7109375" style="343" customWidth="1"/>
    <col min="8399" max="8399" width="5.7109375" style="343" customWidth="1"/>
    <col min="8400" max="8400" width="10.42578125" style="343" customWidth="1"/>
    <col min="8401" max="8401" width="8.85546875" style="343" customWidth="1"/>
    <col min="8402" max="8402" width="9.140625" style="343"/>
    <col min="8403" max="8403" width="11.28515625" style="343" bestFit="1" customWidth="1"/>
    <col min="8404" max="8603" width="9.140625" style="343"/>
    <col min="8604" max="8604" width="11" style="343" customWidth="1"/>
    <col min="8605" max="8605" width="20.7109375" style="343" customWidth="1"/>
    <col min="8606" max="8606" width="7.85546875" style="343" customWidth="1"/>
    <col min="8607" max="8607" width="49.42578125" style="343" customWidth="1"/>
    <col min="8608" max="8608" width="18.5703125" style="343" customWidth="1"/>
    <col min="8609" max="8609" width="8.7109375" style="343" customWidth="1"/>
    <col min="8610" max="8610" width="5.7109375" style="343" customWidth="1"/>
    <col min="8611" max="8611" width="8.7109375" style="343" customWidth="1"/>
    <col min="8612" max="8612" width="5.7109375" style="343" customWidth="1"/>
    <col min="8613" max="8613" width="8.7109375" style="343" customWidth="1"/>
    <col min="8614" max="8614" width="5.7109375" style="343" customWidth="1"/>
    <col min="8615" max="8615" width="10.42578125" style="343" customWidth="1"/>
    <col min="8616" max="8617" width="9" style="343" customWidth="1"/>
    <col min="8618" max="8618" width="8.7109375" style="343" customWidth="1"/>
    <col min="8619" max="8619" width="5.7109375" style="343" customWidth="1"/>
    <col min="8620" max="8620" width="8.7109375" style="343" customWidth="1"/>
    <col min="8621" max="8621" width="5.7109375" style="343" customWidth="1"/>
    <col min="8622" max="8622" width="8.7109375" style="343" customWidth="1"/>
    <col min="8623" max="8623" width="5.7109375" style="343" customWidth="1"/>
    <col min="8624" max="8624" width="10.42578125" style="343" customWidth="1"/>
    <col min="8625" max="8631" width="9" style="343" customWidth="1"/>
    <col min="8632" max="8632" width="10.42578125" style="343" customWidth="1"/>
    <col min="8633" max="8633" width="9" style="343" customWidth="1"/>
    <col min="8634" max="8634" width="8.7109375" style="343" customWidth="1"/>
    <col min="8635" max="8635" width="5.7109375" style="343" customWidth="1"/>
    <col min="8636" max="8636" width="8.7109375" style="343" customWidth="1"/>
    <col min="8637" max="8637" width="5.7109375" style="343" customWidth="1"/>
    <col min="8638" max="8638" width="8.7109375" style="343" customWidth="1"/>
    <col min="8639" max="8639" width="5.7109375" style="343" customWidth="1"/>
    <col min="8640" max="8640" width="10.42578125" style="343" customWidth="1"/>
    <col min="8641" max="8641" width="11.140625" style="343" customWidth="1"/>
    <col min="8642" max="8642" width="8.7109375" style="343" customWidth="1"/>
    <col min="8643" max="8643" width="5.7109375" style="343" customWidth="1"/>
    <col min="8644" max="8644" width="8.28515625" style="343" customWidth="1"/>
    <col min="8645" max="8645" width="5.7109375" style="343" customWidth="1"/>
    <col min="8646" max="8646" width="8.7109375" style="343" customWidth="1"/>
    <col min="8647" max="8647" width="5.7109375" style="343" customWidth="1"/>
    <col min="8648" max="8648" width="10.42578125" style="343" customWidth="1"/>
    <col min="8649" max="8649" width="9.28515625" style="343" customWidth="1"/>
    <col min="8650" max="8650" width="8.7109375" style="343" customWidth="1"/>
    <col min="8651" max="8651" width="5.7109375" style="343" customWidth="1"/>
    <col min="8652" max="8652" width="8.7109375" style="343" customWidth="1"/>
    <col min="8653" max="8653" width="5.7109375" style="343" customWidth="1"/>
    <col min="8654" max="8654" width="8.7109375" style="343" customWidth="1"/>
    <col min="8655" max="8655" width="5.7109375" style="343" customWidth="1"/>
    <col min="8656" max="8656" width="10.42578125" style="343" customWidth="1"/>
    <col min="8657" max="8657" width="8.85546875" style="343" customWidth="1"/>
    <col min="8658" max="8658" width="9.140625" style="343"/>
    <col min="8659" max="8659" width="11.28515625" style="343" bestFit="1" customWidth="1"/>
    <col min="8660" max="8859" width="9.140625" style="343"/>
    <col min="8860" max="8860" width="11" style="343" customWidth="1"/>
    <col min="8861" max="8861" width="20.7109375" style="343" customWidth="1"/>
    <col min="8862" max="8862" width="7.85546875" style="343" customWidth="1"/>
    <col min="8863" max="8863" width="49.42578125" style="343" customWidth="1"/>
    <col min="8864" max="8864" width="18.5703125" style="343" customWidth="1"/>
    <col min="8865" max="8865" width="8.7109375" style="343" customWidth="1"/>
    <col min="8866" max="8866" width="5.7109375" style="343" customWidth="1"/>
    <col min="8867" max="8867" width="8.7109375" style="343" customWidth="1"/>
    <col min="8868" max="8868" width="5.7109375" style="343" customWidth="1"/>
    <col min="8869" max="8869" width="8.7109375" style="343" customWidth="1"/>
    <col min="8870" max="8870" width="5.7109375" style="343" customWidth="1"/>
    <col min="8871" max="8871" width="10.42578125" style="343" customWidth="1"/>
    <col min="8872" max="8873" width="9" style="343" customWidth="1"/>
    <col min="8874" max="8874" width="8.7109375" style="343" customWidth="1"/>
    <col min="8875" max="8875" width="5.7109375" style="343" customWidth="1"/>
    <col min="8876" max="8876" width="8.7109375" style="343" customWidth="1"/>
    <col min="8877" max="8877" width="5.7109375" style="343" customWidth="1"/>
    <col min="8878" max="8878" width="8.7109375" style="343" customWidth="1"/>
    <col min="8879" max="8879" width="5.7109375" style="343" customWidth="1"/>
    <col min="8880" max="8880" width="10.42578125" style="343" customWidth="1"/>
    <col min="8881" max="8887" width="9" style="343" customWidth="1"/>
    <col min="8888" max="8888" width="10.42578125" style="343" customWidth="1"/>
    <col min="8889" max="8889" width="9" style="343" customWidth="1"/>
    <col min="8890" max="8890" width="8.7109375" style="343" customWidth="1"/>
    <col min="8891" max="8891" width="5.7109375" style="343" customWidth="1"/>
    <col min="8892" max="8892" width="8.7109375" style="343" customWidth="1"/>
    <col min="8893" max="8893" width="5.7109375" style="343" customWidth="1"/>
    <col min="8894" max="8894" width="8.7109375" style="343" customWidth="1"/>
    <col min="8895" max="8895" width="5.7109375" style="343" customWidth="1"/>
    <col min="8896" max="8896" width="10.42578125" style="343" customWidth="1"/>
    <col min="8897" max="8897" width="11.140625" style="343" customWidth="1"/>
    <col min="8898" max="8898" width="8.7109375" style="343" customWidth="1"/>
    <col min="8899" max="8899" width="5.7109375" style="343" customWidth="1"/>
    <col min="8900" max="8900" width="8.28515625" style="343" customWidth="1"/>
    <col min="8901" max="8901" width="5.7109375" style="343" customWidth="1"/>
    <col min="8902" max="8902" width="8.7109375" style="343" customWidth="1"/>
    <col min="8903" max="8903" width="5.7109375" style="343" customWidth="1"/>
    <col min="8904" max="8904" width="10.42578125" style="343" customWidth="1"/>
    <col min="8905" max="8905" width="9.28515625" style="343" customWidth="1"/>
    <col min="8906" max="8906" width="8.7109375" style="343" customWidth="1"/>
    <col min="8907" max="8907" width="5.7109375" style="343" customWidth="1"/>
    <col min="8908" max="8908" width="8.7109375" style="343" customWidth="1"/>
    <col min="8909" max="8909" width="5.7109375" style="343" customWidth="1"/>
    <col min="8910" max="8910" width="8.7109375" style="343" customWidth="1"/>
    <col min="8911" max="8911" width="5.7109375" style="343" customWidth="1"/>
    <col min="8912" max="8912" width="10.42578125" style="343" customWidth="1"/>
    <col min="8913" max="8913" width="8.85546875" style="343" customWidth="1"/>
    <col min="8914" max="8914" width="9.140625" style="343"/>
    <col min="8915" max="8915" width="11.28515625" style="343" bestFit="1" customWidth="1"/>
    <col min="8916" max="9115" width="9.140625" style="343"/>
    <col min="9116" max="9116" width="11" style="343" customWidth="1"/>
    <col min="9117" max="9117" width="20.7109375" style="343" customWidth="1"/>
    <col min="9118" max="9118" width="7.85546875" style="343" customWidth="1"/>
    <col min="9119" max="9119" width="49.42578125" style="343" customWidth="1"/>
    <col min="9120" max="9120" width="18.5703125" style="343" customWidth="1"/>
    <col min="9121" max="9121" width="8.7109375" style="343" customWidth="1"/>
    <col min="9122" max="9122" width="5.7109375" style="343" customWidth="1"/>
    <col min="9123" max="9123" width="8.7109375" style="343" customWidth="1"/>
    <col min="9124" max="9124" width="5.7109375" style="343" customWidth="1"/>
    <col min="9125" max="9125" width="8.7109375" style="343" customWidth="1"/>
    <col min="9126" max="9126" width="5.7109375" style="343" customWidth="1"/>
    <col min="9127" max="9127" width="10.42578125" style="343" customWidth="1"/>
    <col min="9128" max="9129" width="9" style="343" customWidth="1"/>
    <col min="9130" max="9130" width="8.7109375" style="343" customWidth="1"/>
    <col min="9131" max="9131" width="5.7109375" style="343" customWidth="1"/>
    <col min="9132" max="9132" width="8.7109375" style="343" customWidth="1"/>
    <col min="9133" max="9133" width="5.7109375" style="343" customWidth="1"/>
    <col min="9134" max="9134" width="8.7109375" style="343" customWidth="1"/>
    <col min="9135" max="9135" width="5.7109375" style="343" customWidth="1"/>
    <col min="9136" max="9136" width="10.42578125" style="343" customWidth="1"/>
    <col min="9137" max="9143" width="9" style="343" customWidth="1"/>
    <col min="9144" max="9144" width="10.42578125" style="343" customWidth="1"/>
    <col min="9145" max="9145" width="9" style="343" customWidth="1"/>
    <col min="9146" max="9146" width="8.7109375" style="343" customWidth="1"/>
    <col min="9147" max="9147" width="5.7109375" style="343" customWidth="1"/>
    <col min="9148" max="9148" width="8.7109375" style="343" customWidth="1"/>
    <col min="9149" max="9149" width="5.7109375" style="343" customWidth="1"/>
    <col min="9150" max="9150" width="8.7109375" style="343" customWidth="1"/>
    <col min="9151" max="9151" width="5.7109375" style="343" customWidth="1"/>
    <col min="9152" max="9152" width="10.42578125" style="343" customWidth="1"/>
    <col min="9153" max="9153" width="11.140625" style="343" customWidth="1"/>
    <col min="9154" max="9154" width="8.7109375" style="343" customWidth="1"/>
    <col min="9155" max="9155" width="5.7109375" style="343" customWidth="1"/>
    <col min="9156" max="9156" width="8.28515625" style="343" customWidth="1"/>
    <col min="9157" max="9157" width="5.7109375" style="343" customWidth="1"/>
    <col min="9158" max="9158" width="8.7109375" style="343" customWidth="1"/>
    <col min="9159" max="9159" width="5.7109375" style="343" customWidth="1"/>
    <col min="9160" max="9160" width="10.42578125" style="343" customWidth="1"/>
    <col min="9161" max="9161" width="9.28515625" style="343" customWidth="1"/>
    <col min="9162" max="9162" width="8.7109375" style="343" customWidth="1"/>
    <col min="9163" max="9163" width="5.7109375" style="343" customWidth="1"/>
    <col min="9164" max="9164" width="8.7109375" style="343" customWidth="1"/>
    <col min="9165" max="9165" width="5.7109375" style="343" customWidth="1"/>
    <col min="9166" max="9166" width="8.7109375" style="343" customWidth="1"/>
    <col min="9167" max="9167" width="5.7109375" style="343" customWidth="1"/>
    <col min="9168" max="9168" width="10.42578125" style="343" customWidth="1"/>
    <col min="9169" max="9169" width="8.85546875" style="343" customWidth="1"/>
    <col min="9170" max="9170" width="9.140625" style="343"/>
    <col min="9171" max="9171" width="11.28515625" style="343" bestFit="1" customWidth="1"/>
    <col min="9172" max="9371" width="9.140625" style="343"/>
    <col min="9372" max="9372" width="11" style="343" customWidth="1"/>
    <col min="9373" max="9373" width="20.7109375" style="343" customWidth="1"/>
    <col min="9374" max="9374" width="7.85546875" style="343" customWidth="1"/>
    <col min="9375" max="9375" width="49.42578125" style="343" customWidth="1"/>
    <col min="9376" max="9376" width="18.5703125" style="343" customWidth="1"/>
    <col min="9377" max="9377" width="8.7109375" style="343" customWidth="1"/>
    <col min="9378" max="9378" width="5.7109375" style="343" customWidth="1"/>
    <col min="9379" max="9379" width="8.7109375" style="343" customWidth="1"/>
    <col min="9380" max="9380" width="5.7109375" style="343" customWidth="1"/>
    <col min="9381" max="9381" width="8.7109375" style="343" customWidth="1"/>
    <col min="9382" max="9382" width="5.7109375" style="343" customWidth="1"/>
    <col min="9383" max="9383" width="10.42578125" style="343" customWidth="1"/>
    <col min="9384" max="9385" width="9" style="343" customWidth="1"/>
    <col min="9386" max="9386" width="8.7109375" style="343" customWidth="1"/>
    <col min="9387" max="9387" width="5.7109375" style="343" customWidth="1"/>
    <col min="9388" max="9388" width="8.7109375" style="343" customWidth="1"/>
    <col min="9389" max="9389" width="5.7109375" style="343" customWidth="1"/>
    <col min="9390" max="9390" width="8.7109375" style="343" customWidth="1"/>
    <col min="9391" max="9391" width="5.7109375" style="343" customWidth="1"/>
    <col min="9392" max="9392" width="10.42578125" style="343" customWidth="1"/>
    <col min="9393" max="9399" width="9" style="343" customWidth="1"/>
    <col min="9400" max="9400" width="10.42578125" style="343" customWidth="1"/>
    <col min="9401" max="9401" width="9" style="343" customWidth="1"/>
    <col min="9402" max="9402" width="8.7109375" style="343" customWidth="1"/>
    <col min="9403" max="9403" width="5.7109375" style="343" customWidth="1"/>
    <col min="9404" max="9404" width="8.7109375" style="343" customWidth="1"/>
    <col min="9405" max="9405" width="5.7109375" style="343" customWidth="1"/>
    <col min="9406" max="9406" width="8.7109375" style="343" customWidth="1"/>
    <col min="9407" max="9407" width="5.7109375" style="343" customWidth="1"/>
    <col min="9408" max="9408" width="10.42578125" style="343" customWidth="1"/>
    <col min="9409" max="9409" width="11.140625" style="343" customWidth="1"/>
    <col min="9410" max="9410" width="8.7109375" style="343" customWidth="1"/>
    <col min="9411" max="9411" width="5.7109375" style="343" customWidth="1"/>
    <col min="9412" max="9412" width="8.28515625" style="343" customWidth="1"/>
    <col min="9413" max="9413" width="5.7109375" style="343" customWidth="1"/>
    <col min="9414" max="9414" width="8.7109375" style="343" customWidth="1"/>
    <col min="9415" max="9415" width="5.7109375" style="343" customWidth="1"/>
    <col min="9416" max="9416" width="10.42578125" style="343" customWidth="1"/>
    <col min="9417" max="9417" width="9.28515625" style="343" customWidth="1"/>
    <col min="9418" max="9418" width="8.7109375" style="343" customWidth="1"/>
    <col min="9419" max="9419" width="5.7109375" style="343" customWidth="1"/>
    <col min="9420" max="9420" width="8.7109375" style="343" customWidth="1"/>
    <col min="9421" max="9421" width="5.7109375" style="343" customWidth="1"/>
    <col min="9422" max="9422" width="8.7109375" style="343" customWidth="1"/>
    <col min="9423" max="9423" width="5.7109375" style="343" customWidth="1"/>
    <col min="9424" max="9424" width="10.42578125" style="343" customWidth="1"/>
    <col min="9425" max="9425" width="8.85546875" style="343" customWidth="1"/>
    <col min="9426" max="9426" width="9.140625" style="343"/>
    <col min="9427" max="9427" width="11.28515625" style="343" bestFit="1" customWidth="1"/>
    <col min="9428" max="9627" width="9.140625" style="343"/>
    <col min="9628" max="9628" width="11" style="343" customWidth="1"/>
    <col min="9629" max="9629" width="20.7109375" style="343" customWidth="1"/>
    <col min="9630" max="9630" width="7.85546875" style="343" customWidth="1"/>
    <col min="9631" max="9631" width="49.42578125" style="343" customWidth="1"/>
    <col min="9632" max="9632" width="18.5703125" style="343" customWidth="1"/>
    <col min="9633" max="9633" width="8.7109375" style="343" customWidth="1"/>
    <col min="9634" max="9634" width="5.7109375" style="343" customWidth="1"/>
    <col min="9635" max="9635" width="8.7109375" style="343" customWidth="1"/>
    <col min="9636" max="9636" width="5.7109375" style="343" customWidth="1"/>
    <col min="9637" max="9637" width="8.7109375" style="343" customWidth="1"/>
    <col min="9638" max="9638" width="5.7109375" style="343" customWidth="1"/>
    <col min="9639" max="9639" width="10.42578125" style="343" customWidth="1"/>
    <col min="9640" max="9641" width="9" style="343" customWidth="1"/>
    <col min="9642" max="9642" width="8.7109375" style="343" customWidth="1"/>
    <col min="9643" max="9643" width="5.7109375" style="343" customWidth="1"/>
    <col min="9644" max="9644" width="8.7109375" style="343" customWidth="1"/>
    <col min="9645" max="9645" width="5.7109375" style="343" customWidth="1"/>
    <col min="9646" max="9646" width="8.7109375" style="343" customWidth="1"/>
    <col min="9647" max="9647" width="5.7109375" style="343" customWidth="1"/>
    <col min="9648" max="9648" width="10.42578125" style="343" customWidth="1"/>
    <col min="9649" max="9655" width="9" style="343" customWidth="1"/>
    <col min="9656" max="9656" width="10.42578125" style="343" customWidth="1"/>
    <col min="9657" max="9657" width="9" style="343" customWidth="1"/>
    <col min="9658" max="9658" width="8.7109375" style="343" customWidth="1"/>
    <col min="9659" max="9659" width="5.7109375" style="343" customWidth="1"/>
    <col min="9660" max="9660" width="8.7109375" style="343" customWidth="1"/>
    <col min="9661" max="9661" width="5.7109375" style="343" customWidth="1"/>
    <col min="9662" max="9662" width="8.7109375" style="343" customWidth="1"/>
    <col min="9663" max="9663" width="5.7109375" style="343" customWidth="1"/>
    <col min="9664" max="9664" width="10.42578125" style="343" customWidth="1"/>
    <col min="9665" max="9665" width="11.140625" style="343" customWidth="1"/>
    <col min="9666" max="9666" width="8.7109375" style="343" customWidth="1"/>
    <col min="9667" max="9667" width="5.7109375" style="343" customWidth="1"/>
    <col min="9668" max="9668" width="8.28515625" style="343" customWidth="1"/>
    <col min="9669" max="9669" width="5.7109375" style="343" customWidth="1"/>
    <col min="9670" max="9670" width="8.7109375" style="343" customWidth="1"/>
    <col min="9671" max="9671" width="5.7109375" style="343" customWidth="1"/>
    <col min="9672" max="9672" width="10.42578125" style="343" customWidth="1"/>
    <col min="9673" max="9673" width="9.28515625" style="343" customWidth="1"/>
    <col min="9674" max="9674" width="8.7109375" style="343" customWidth="1"/>
    <col min="9675" max="9675" width="5.7109375" style="343" customWidth="1"/>
    <col min="9676" max="9676" width="8.7109375" style="343" customWidth="1"/>
    <col min="9677" max="9677" width="5.7109375" style="343" customWidth="1"/>
    <col min="9678" max="9678" width="8.7109375" style="343" customWidth="1"/>
    <col min="9679" max="9679" width="5.7109375" style="343" customWidth="1"/>
    <col min="9680" max="9680" width="10.42578125" style="343" customWidth="1"/>
    <col min="9681" max="9681" width="8.85546875" style="343" customWidth="1"/>
    <col min="9682" max="9682" width="9.140625" style="343"/>
    <col min="9683" max="9683" width="11.28515625" style="343" bestFit="1" customWidth="1"/>
    <col min="9684" max="9883" width="9.140625" style="343"/>
    <col min="9884" max="9884" width="11" style="343" customWidth="1"/>
    <col min="9885" max="9885" width="20.7109375" style="343" customWidth="1"/>
    <col min="9886" max="9886" width="7.85546875" style="343" customWidth="1"/>
    <col min="9887" max="9887" width="49.42578125" style="343" customWidth="1"/>
    <col min="9888" max="9888" width="18.5703125" style="343" customWidth="1"/>
    <col min="9889" max="9889" width="8.7109375" style="343" customWidth="1"/>
    <col min="9890" max="9890" width="5.7109375" style="343" customWidth="1"/>
    <col min="9891" max="9891" width="8.7109375" style="343" customWidth="1"/>
    <col min="9892" max="9892" width="5.7109375" style="343" customWidth="1"/>
    <col min="9893" max="9893" width="8.7109375" style="343" customWidth="1"/>
    <col min="9894" max="9894" width="5.7109375" style="343" customWidth="1"/>
    <col min="9895" max="9895" width="10.42578125" style="343" customWidth="1"/>
    <col min="9896" max="9897" width="9" style="343" customWidth="1"/>
    <col min="9898" max="9898" width="8.7109375" style="343" customWidth="1"/>
    <col min="9899" max="9899" width="5.7109375" style="343" customWidth="1"/>
    <col min="9900" max="9900" width="8.7109375" style="343" customWidth="1"/>
    <col min="9901" max="9901" width="5.7109375" style="343" customWidth="1"/>
    <col min="9902" max="9902" width="8.7109375" style="343" customWidth="1"/>
    <col min="9903" max="9903" width="5.7109375" style="343" customWidth="1"/>
    <col min="9904" max="9904" width="10.42578125" style="343" customWidth="1"/>
    <col min="9905" max="9911" width="9" style="343" customWidth="1"/>
    <col min="9912" max="9912" width="10.42578125" style="343" customWidth="1"/>
    <col min="9913" max="9913" width="9" style="343" customWidth="1"/>
    <col min="9914" max="9914" width="8.7109375" style="343" customWidth="1"/>
    <col min="9915" max="9915" width="5.7109375" style="343" customWidth="1"/>
    <col min="9916" max="9916" width="8.7109375" style="343" customWidth="1"/>
    <col min="9917" max="9917" width="5.7109375" style="343" customWidth="1"/>
    <col min="9918" max="9918" width="8.7109375" style="343" customWidth="1"/>
    <col min="9919" max="9919" width="5.7109375" style="343" customWidth="1"/>
    <col min="9920" max="9920" width="10.42578125" style="343" customWidth="1"/>
    <col min="9921" max="9921" width="11.140625" style="343" customWidth="1"/>
    <col min="9922" max="9922" width="8.7109375" style="343" customWidth="1"/>
    <col min="9923" max="9923" width="5.7109375" style="343" customWidth="1"/>
    <col min="9924" max="9924" width="8.28515625" style="343" customWidth="1"/>
    <col min="9925" max="9925" width="5.7109375" style="343" customWidth="1"/>
    <col min="9926" max="9926" width="8.7109375" style="343" customWidth="1"/>
    <col min="9927" max="9927" width="5.7109375" style="343" customWidth="1"/>
    <col min="9928" max="9928" width="10.42578125" style="343" customWidth="1"/>
    <col min="9929" max="9929" width="9.28515625" style="343" customWidth="1"/>
    <col min="9930" max="9930" width="8.7109375" style="343" customWidth="1"/>
    <col min="9931" max="9931" width="5.7109375" style="343" customWidth="1"/>
    <col min="9932" max="9932" width="8.7109375" style="343" customWidth="1"/>
    <col min="9933" max="9933" width="5.7109375" style="343" customWidth="1"/>
    <col min="9934" max="9934" width="8.7109375" style="343" customWidth="1"/>
    <col min="9935" max="9935" width="5.7109375" style="343" customWidth="1"/>
    <col min="9936" max="9936" width="10.42578125" style="343" customWidth="1"/>
    <col min="9937" max="9937" width="8.85546875" style="343" customWidth="1"/>
    <col min="9938" max="9938" width="9.140625" style="343"/>
    <col min="9939" max="9939" width="11.28515625" style="343" bestFit="1" customWidth="1"/>
    <col min="9940" max="10139" width="9.140625" style="343"/>
    <col min="10140" max="10140" width="11" style="343" customWidth="1"/>
    <col min="10141" max="10141" width="20.7109375" style="343" customWidth="1"/>
    <col min="10142" max="10142" width="7.85546875" style="343" customWidth="1"/>
    <col min="10143" max="10143" width="49.42578125" style="343" customWidth="1"/>
    <col min="10144" max="10144" width="18.5703125" style="343" customWidth="1"/>
    <col min="10145" max="10145" width="8.7109375" style="343" customWidth="1"/>
    <col min="10146" max="10146" width="5.7109375" style="343" customWidth="1"/>
    <col min="10147" max="10147" width="8.7109375" style="343" customWidth="1"/>
    <col min="10148" max="10148" width="5.7109375" style="343" customWidth="1"/>
    <col min="10149" max="10149" width="8.7109375" style="343" customWidth="1"/>
    <col min="10150" max="10150" width="5.7109375" style="343" customWidth="1"/>
    <col min="10151" max="10151" width="10.42578125" style="343" customWidth="1"/>
    <col min="10152" max="10153" width="9" style="343" customWidth="1"/>
    <col min="10154" max="10154" width="8.7109375" style="343" customWidth="1"/>
    <col min="10155" max="10155" width="5.7109375" style="343" customWidth="1"/>
    <col min="10156" max="10156" width="8.7109375" style="343" customWidth="1"/>
    <col min="10157" max="10157" width="5.7109375" style="343" customWidth="1"/>
    <col min="10158" max="10158" width="8.7109375" style="343" customWidth="1"/>
    <col min="10159" max="10159" width="5.7109375" style="343" customWidth="1"/>
    <col min="10160" max="10160" width="10.42578125" style="343" customWidth="1"/>
    <col min="10161" max="10167" width="9" style="343" customWidth="1"/>
    <col min="10168" max="10168" width="10.42578125" style="343" customWidth="1"/>
    <col min="10169" max="10169" width="9" style="343" customWidth="1"/>
    <col min="10170" max="10170" width="8.7109375" style="343" customWidth="1"/>
    <col min="10171" max="10171" width="5.7109375" style="343" customWidth="1"/>
    <col min="10172" max="10172" width="8.7109375" style="343" customWidth="1"/>
    <col min="10173" max="10173" width="5.7109375" style="343" customWidth="1"/>
    <col min="10174" max="10174" width="8.7109375" style="343" customWidth="1"/>
    <col min="10175" max="10175" width="5.7109375" style="343" customWidth="1"/>
    <col min="10176" max="10176" width="10.42578125" style="343" customWidth="1"/>
    <col min="10177" max="10177" width="11.140625" style="343" customWidth="1"/>
    <col min="10178" max="10178" width="8.7109375" style="343" customWidth="1"/>
    <col min="10179" max="10179" width="5.7109375" style="343" customWidth="1"/>
    <col min="10180" max="10180" width="8.28515625" style="343" customWidth="1"/>
    <col min="10181" max="10181" width="5.7109375" style="343" customWidth="1"/>
    <col min="10182" max="10182" width="8.7109375" style="343" customWidth="1"/>
    <col min="10183" max="10183" width="5.7109375" style="343" customWidth="1"/>
    <col min="10184" max="10184" width="10.42578125" style="343" customWidth="1"/>
    <col min="10185" max="10185" width="9.28515625" style="343" customWidth="1"/>
    <col min="10186" max="10186" width="8.7109375" style="343" customWidth="1"/>
    <col min="10187" max="10187" width="5.7109375" style="343" customWidth="1"/>
    <col min="10188" max="10188" width="8.7109375" style="343" customWidth="1"/>
    <col min="10189" max="10189" width="5.7109375" style="343" customWidth="1"/>
    <col min="10190" max="10190" width="8.7109375" style="343" customWidth="1"/>
    <col min="10191" max="10191" width="5.7109375" style="343" customWidth="1"/>
    <col min="10192" max="10192" width="10.42578125" style="343" customWidth="1"/>
    <col min="10193" max="10193" width="8.85546875" style="343" customWidth="1"/>
    <col min="10194" max="10194" width="9.140625" style="343"/>
    <col min="10195" max="10195" width="11.28515625" style="343" bestFit="1" customWidth="1"/>
    <col min="10196" max="10395" width="9.140625" style="343"/>
    <col min="10396" max="10396" width="11" style="343" customWidth="1"/>
    <col min="10397" max="10397" width="20.7109375" style="343" customWidth="1"/>
    <col min="10398" max="10398" width="7.85546875" style="343" customWidth="1"/>
    <col min="10399" max="10399" width="49.42578125" style="343" customWidth="1"/>
    <col min="10400" max="10400" width="18.5703125" style="343" customWidth="1"/>
    <col min="10401" max="10401" width="8.7109375" style="343" customWidth="1"/>
    <col min="10402" max="10402" width="5.7109375" style="343" customWidth="1"/>
    <col min="10403" max="10403" width="8.7109375" style="343" customWidth="1"/>
    <col min="10404" max="10404" width="5.7109375" style="343" customWidth="1"/>
    <col min="10405" max="10405" width="8.7109375" style="343" customWidth="1"/>
    <col min="10406" max="10406" width="5.7109375" style="343" customWidth="1"/>
    <col min="10407" max="10407" width="10.42578125" style="343" customWidth="1"/>
    <col min="10408" max="10409" width="9" style="343" customWidth="1"/>
    <col min="10410" max="10410" width="8.7109375" style="343" customWidth="1"/>
    <col min="10411" max="10411" width="5.7109375" style="343" customWidth="1"/>
    <col min="10412" max="10412" width="8.7109375" style="343" customWidth="1"/>
    <col min="10413" max="10413" width="5.7109375" style="343" customWidth="1"/>
    <col min="10414" max="10414" width="8.7109375" style="343" customWidth="1"/>
    <col min="10415" max="10415" width="5.7109375" style="343" customWidth="1"/>
    <col min="10416" max="10416" width="10.42578125" style="343" customWidth="1"/>
    <col min="10417" max="10423" width="9" style="343" customWidth="1"/>
    <col min="10424" max="10424" width="10.42578125" style="343" customWidth="1"/>
    <col min="10425" max="10425" width="9" style="343" customWidth="1"/>
    <col min="10426" max="10426" width="8.7109375" style="343" customWidth="1"/>
    <col min="10427" max="10427" width="5.7109375" style="343" customWidth="1"/>
    <col min="10428" max="10428" width="8.7109375" style="343" customWidth="1"/>
    <col min="10429" max="10429" width="5.7109375" style="343" customWidth="1"/>
    <col min="10430" max="10430" width="8.7109375" style="343" customWidth="1"/>
    <col min="10431" max="10431" width="5.7109375" style="343" customWidth="1"/>
    <col min="10432" max="10432" width="10.42578125" style="343" customWidth="1"/>
    <col min="10433" max="10433" width="11.140625" style="343" customWidth="1"/>
    <col min="10434" max="10434" width="8.7109375" style="343" customWidth="1"/>
    <col min="10435" max="10435" width="5.7109375" style="343" customWidth="1"/>
    <col min="10436" max="10436" width="8.28515625" style="343" customWidth="1"/>
    <col min="10437" max="10437" width="5.7109375" style="343" customWidth="1"/>
    <col min="10438" max="10438" width="8.7109375" style="343" customWidth="1"/>
    <col min="10439" max="10439" width="5.7109375" style="343" customWidth="1"/>
    <col min="10440" max="10440" width="10.42578125" style="343" customWidth="1"/>
    <col min="10441" max="10441" width="9.28515625" style="343" customWidth="1"/>
    <col min="10442" max="10442" width="8.7109375" style="343" customWidth="1"/>
    <col min="10443" max="10443" width="5.7109375" style="343" customWidth="1"/>
    <col min="10444" max="10444" width="8.7109375" style="343" customWidth="1"/>
    <col min="10445" max="10445" width="5.7109375" style="343" customWidth="1"/>
    <col min="10446" max="10446" width="8.7109375" style="343" customWidth="1"/>
    <col min="10447" max="10447" width="5.7109375" style="343" customWidth="1"/>
    <col min="10448" max="10448" width="10.42578125" style="343" customWidth="1"/>
    <col min="10449" max="10449" width="8.85546875" style="343" customWidth="1"/>
    <col min="10450" max="10450" width="9.140625" style="343"/>
    <col min="10451" max="10451" width="11.28515625" style="343" bestFit="1" customWidth="1"/>
    <col min="10452" max="10651" width="9.140625" style="343"/>
    <col min="10652" max="10652" width="11" style="343" customWidth="1"/>
    <col min="10653" max="10653" width="20.7109375" style="343" customWidth="1"/>
    <col min="10654" max="10654" width="7.85546875" style="343" customWidth="1"/>
    <col min="10655" max="10655" width="49.42578125" style="343" customWidth="1"/>
    <col min="10656" max="10656" width="18.5703125" style="343" customWidth="1"/>
    <col min="10657" max="10657" width="8.7109375" style="343" customWidth="1"/>
    <col min="10658" max="10658" width="5.7109375" style="343" customWidth="1"/>
    <col min="10659" max="10659" width="8.7109375" style="343" customWidth="1"/>
    <col min="10660" max="10660" width="5.7109375" style="343" customWidth="1"/>
    <col min="10661" max="10661" width="8.7109375" style="343" customWidth="1"/>
    <col min="10662" max="10662" width="5.7109375" style="343" customWidth="1"/>
    <col min="10663" max="10663" width="10.42578125" style="343" customWidth="1"/>
    <col min="10664" max="10665" width="9" style="343" customWidth="1"/>
    <col min="10666" max="10666" width="8.7109375" style="343" customWidth="1"/>
    <col min="10667" max="10667" width="5.7109375" style="343" customWidth="1"/>
    <col min="10668" max="10668" width="8.7109375" style="343" customWidth="1"/>
    <col min="10669" max="10669" width="5.7109375" style="343" customWidth="1"/>
    <col min="10670" max="10670" width="8.7109375" style="343" customWidth="1"/>
    <col min="10671" max="10671" width="5.7109375" style="343" customWidth="1"/>
    <col min="10672" max="10672" width="10.42578125" style="343" customWidth="1"/>
    <col min="10673" max="10679" width="9" style="343" customWidth="1"/>
    <col min="10680" max="10680" width="10.42578125" style="343" customWidth="1"/>
    <col min="10681" max="10681" width="9" style="343" customWidth="1"/>
    <col min="10682" max="10682" width="8.7109375" style="343" customWidth="1"/>
    <col min="10683" max="10683" width="5.7109375" style="343" customWidth="1"/>
    <col min="10684" max="10684" width="8.7109375" style="343" customWidth="1"/>
    <col min="10685" max="10685" width="5.7109375" style="343" customWidth="1"/>
    <col min="10686" max="10686" width="8.7109375" style="343" customWidth="1"/>
    <col min="10687" max="10687" width="5.7109375" style="343" customWidth="1"/>
    <col min="10688" max="10688" width="10.42578125" style="343" customWidth="1"/>
    <col min="10689" max="10689" width="11.140625" style="343" customWidth="1"/>
    <col min="10690" max="10690" width="8.7109375" style="343" customWidth="1"/>
    <col min="10691" max="10691" width="5.7109375" style="343" customWidth="1"/>
    <col min="10692" max="10692" width="8.28515625" style="343" customWidth="1"/>
    <col min="10693" max="10693" width="5.7109375" style="343" customWidth="1"/>
    <col min="10694" max="10694" width="8.7109375" style="343" customWidth="1"/>
    <col min="10695" max="10695" width="5.7109375" style="343" customWidth="1"/>
    <col min="10696" max="10696" width="10.42578125" style="343" customWidth="1"/>
    <col min="10697" max="10697" width="9.28515625" style="343" customWidth="1"/>
    <col min="10698" max="10698" width="8.7109375" style="343" customWidth="1"/>
    <col min="10699" max="10699" width="5.7109375" style="343" customWidth="1"/>
    <col min="10700" max="10700" width="8.7109375" style="343" customWidth="1"/>
    <col min="10701" max="10701" width="5.7109375" style="343" customWidth="1"/>
    <col min="10702" max="10702" width="8.7109375" style="343" customWidth="1"/>
    <col min="10703" max="10703" width="5.7109375" style="343" customWidth="1"/>
    <col min="10704" max="10704" width="10.42578125" style="343" customWidth="1"/>
    <col min="10705" max="10705" width="8.85546875" style="343" customWidth="1"/>
    <col min="10706" max="10706" width="9.140625" style="343"/>
    <col min="10707" max="10707" width="11.28515625" style="343" bestFit="1" customWidth="1"/>
    <col min="10708" max="10907" width="9.140625" style="343"/>
    <col min="10908" max="10908" width="11" style="343" customWidth="1"/>
    <col min="10909" max="10909" width="20.7109375" style="343" customWidth="1"/>
    <col min="10910" max="10910" width="7.85546875" style="343" customWidth="1"/>
    <col min="10911" max="10911" width="49.42578125" style="343" customWidth="1"/>
    <col min="10912" max="10912" width="18.5703125" style="343" customWidth="1"/>
    <col min="10913" max="10913" width="8.7109375" style="343" customWidth="1"/>
    <col min="10914" max="10914" width="5.7109375" style="343" customWidth="1"/>
    <col min="10915" max="10915" width="8.7109375" style="343" customWidth="1"/>
    <col min="10916" max="10916" width="5.7109375" style="343" customWidth="1"/>
    <col min="10917" max="10917" width="8.7109375" style="343" customWidth="1"/>
    <col min="10918" max="10918" width="5.7109375" style="343" customWidth="1"/>
    <col min="10919" max="10919" width="10.42578125" style="343" customWidth="1"/>
    <col min="10920" max="10921" width="9" style="343" customWidth="1"/>
    <col min="10922" max="10922" width="8.7109375" style="343" customWidth="1"/>
    <col min="10923" max="10923" width="5.7109375" style="343" customWidth="1"/>
    <col min="10924" max="10924" width="8.7109375" style="343" customWidth="1"/>
    <col min="10925" max="10925" width="5.7109375" style="343" customWidth="1"/>
    <col min="10926" max="10926" width="8.7109375" style="343" customWidth="1"/>
    <col min="10927" max="10927" width="5.7109375" style="343" customWidth="1"/>
    <col min="10928" max="10928" width="10.42578125" style="343" customWidth="1"/>
    <col min="10929" max="10935" width="9" style="343" customWidth="1"/>
    <col min="10936" max="10936" width="10.42578125" style="343" customWidth="1"/>
    <col min="10937" max="10937" width="9" style="343" customWidth="1"/>
    <col min="10938" max="10938" width="8.7109375" style="343" customWidth="1"/>
    <col min="10939" max="10939" width="5.7109375" style="343" customWidth="1"/>
    <col min="10940" max="10940" width="8.7109375" style="343" customWidth="1"/>
    <col min="10941" max="10941" width="5.7109375" style="343" customWidth="1"/>
    <col min="10942" max="10942" width="8.7109375" style="343" customWidth="1"/>
    <col min="10943" max="10943" width="5.7109375" style="343" customWidth="1"/>
    <col min="10944" max="10944" width="10.42578125" style="343" customWidth="1"/>
    <col min="10945" max="10945" width="11.140625" style="343" customWidth="1"/>
    <col min="10946" max="10946" width="8.7109375" style="343" customWidth="1"/>
    <col min="10947" max="10947" width="5.7109375" style="343" customWidth="1"/>
    <col min="10948" max="10948" width="8.28515625" style="343" customWidth="1"/>
    <col min="10949" max="10949" width="5.7109375" style="343" customWidth="1"/>
    <col min="10950" max="10950" width="8.7109375" style="343" customWidth="1"/>
    <col min="10951" max="10951" width="5.7109375" style="343" customWidth="1"/>
    <col min="10952" max="10952" width="10.42578125" style="343" customWidth="1"/>
    <col min="10953" max="10953" width="9.28515625" style="343" customWidth="1"/>
    <col min="10954" max="10954" width="8.7109375" style="343" customWidth="1"/>
    <col min="10955" max="10955" width="5.7109375" style="343" customWidth="1"/>
    <col min="10956" max="10956" width="8.7109375" style="343" customWidth="1"/>
    <col min="10957" max="10957" width="5.7109375" style="343" customWidth="1"/>
    <col min="10958" max="10958" width="8.7109375" style="343" customWidth="1"/>
    <col min="10959" max="10959" width="5.7109375" style="343" customWidth="1"/>
    <col min="10960" max="10960" width="10.42578125" style="343" customWidth="1"/>
    <col min="10961" max="10961" width="8.85546875" style="343" customWidth="1"/>
    <col min="10962" max="10962" width="9.140625" style="343"/>
    <col min="10963" max="10963" width="11.28515625" style="343" bestFit="1" customWidth="1"/>
    <col min="10964" max="11163" width="9.140625" style="343"/>
    <col min="11164" max="11164" width="11" style="343" customWidth="1"/>
    <col min="11165" max="11165" width="20.7109375" style="343" customWidth="1"/>
    <col min="11166" max="11166" width="7.85546875" style="343" customWidth="1"/>
    <col min="11167" max="11167" width="49.42578125" style="343" customWidth="1"/>
    <col min="11168" max="11168" width="18.5703125" style="343" customWidth="1"/>
    <col min="11169" max="11169" width="8.7109375" style="343" customWidth="1"/>
    <col min="11170" max="11170" width="5.7109375" style="343" customWidth="1"/>
    <col min="11171" max="11171" width="8.7109375" style="343" customWidth="1"/>
    <col min="11172" max="11172" width="5.7109375" style="343" customWidth="1"/>
    <col min="11173" max="11173" width="8.7109375" style="343" customWidth="1"/>
    <col min="11174" max="11174" width="5.7109375" style="343" customWidth="1"/>
    <col min="11175" max="11175" width="10.42578125" style="343" customWidth="1"/>
    <col min="11176" max="11177" width="9" style="343" customWidth="1"/>
    <col min="11178" max="11178" width="8.7109375" style="343" customWidth="1"/>
    <col min="11179" max="11179" width="5.7109375" style="343" customWidth="1"/>
    <col min="11180" max="11180" width="8.7109375" style="343" customWidth="1"/>
    <col min="11181" max="11181" width="5.7109375" style="343" customWidth="1"/>
    <col min="11182" max="11182" width="8.7109375" style="343" customWidth="1"/>
    <col min="11183" max="11183" width="5.7109375" style="343" customWidth="1"/>
    <col min="11184" max="11184" width="10.42578125" style="343" customWidth="1"/>
    <col min="11185" max="11191" width="9" style="343" customWidth="1"/>
    <col min="11192" max="11192" width="10.42578125" style="343" customWidth="1"/>
    <col min="11193" max="11193" width="9" style="343" customWidth="1"/>
    <col min="11194" max="11194" width="8.7109375" style="343" customWidth="1"/>
    <col min="11195" max="11195" width="5.7109375" style="343" customWidth="1"/>
    <col min="11196" max="11196" width="8.7109375" style="343" customWidth="1"/>
    <col min="11197" max="11197" width="5.7109375" style="343" customWidth="1"/>
    <col min="11198" max="11198" width="8.7109375" style="343" customWidth="1"/>
    <col min="11199" max="11199" width="5.7109375" style="343" customWidth="1"/>
    <col min="11200" max="11200" width="10.42578125" style="343" customWidth="1"/>
    <col min="11201" max="11201" width="11.140625" style="343" customWidth="1"/>
    <col min="11202" max="11202" width="8.7109375" style="343" customWidth="1"/>
    <col min="11203" max="11203" width="5.7109375" style="343" customWidth="1"/>
    <col min="11204" max="11204" width="8.28515625" style="343" customWidth="1"/>
    <col min="11205" max="11205" width="5.7109375" style="343" customWidth="1"/>
    <col min="11206" max="11206" width="8.7109375" style="343" customWidth="1"/>
    <col min="11207" max="11207" width="5.7109375" style="343" customWidth="1"/>
    <col min="11208" max="11208" width="10.42578125" style="343" customWidth="1"/>
    <col min="11209" max="11209" width="9.28515625" style="343" customWidth="1"/>
    <col min="11210" max="11210" width="8.7109375" style="343" customWidth="1"/>
    <col min="11211" max="11211" width="5.7109375" style="343" customWidth="1"/>
    <col min="11212" max="11212" width="8.7109375" style="343" customWidth="1"/>
    <col min="11213" max="11213" width="5.7109375" style="343" customWidth="1"/>
    <col min="11214" max="11214" width="8.7109375" style="343" customWidth="1"/>
    <col min="11215" max="11215" width="5.7109375" style="343" customWidth="1"/>
    <col min="11216" max="11216" width="10.42578125" style="343" customWidth="1"/>
    <col min="11217" max="11217" width="8.85546875" style="343" customWidth="1"/>
    <col min="11218" max="11218" width="9.140625" style="343"/>
    <col min="11219" max="11219" width="11.28515625" style="343" bestFit="1" customWidth="1"/>
    <col min="11220" max="11419" width="9.140625" style="343"/>
    <col min="11420" max="11420" width="11" style="343" customWidth="1"/>
    <col min="11421" max="11421" width="20.7109375" style="343" customWidth="1"/>
    <col min="11422" max="11422" width="7.85546875" style="343" customWidth="1"/>
    <col min="11423" max="11423" width="49.42578125" style="343" customWidth="1"/>
    <col min="11424" max="11424" width="18.5703125" style="343" customWidth="1"/>
    <col min="11425" max="11425" width="8.7109375" style="343" customWidth="1"/>
    <col min="11426" max="11426" width="5.7109375" style="343" customWidth="1"/>
    <col min="11427" max="11427" width="8.7109375" style="343" customWidth="1"/>
    <col min="11428" max="11428" width="5.7109375" style="343" customWidth="1"/>
    <col min="11429" max="11429" width="8.7109375" style="343" customWidth="1"/>
    <col min="11430" max="11430" width="5.7109375" style="343" customWidth="1"/>
    <col min="11431" max="11431" width="10.42578125" style="343" customWidth="1"/>
    <col min="11432" max="11433" width="9" style="343" customWidth="1"/>
    <col min="11434" max="11434" width="8.7109375" style="343" customWidth="1"/>
    <col min="11435" max="11435" width="5.7109375" style="343" customWidth="1"/>
    <col min="11436" max="11436" width="8.7109375" style="343" customWidth="1"/>
    <col min="11437" max="11437" width="5.7109375" style="343" customWidth="1"/>
    <col min="11438" max="11438" width="8.7109375" style="343" customWidth="1"/>
    <col min="11439" max="11439" width="5.7109375" style="343" customWidth="1"/>
    <col min="11440" max="11440" width="10.42578125" style="343" customWidth="1"/>
    <col min="11441" max="11447" width="9" style="343" customWidth="1"/>
    <col min="11448" max="11448" width="10.42578125" style="343" customWidth="1"/>
    <col min="11449" max="11449" width="9" style="343" customWidth="1"/>
    <col min="11450" max="11450" width="8.7109375" style="343" customWidth="1"/>
    <col min="11451" max="11451" width="5.7109375" style="343" customWidth="1"/>
    <col min="11452" max="11452" width="8.7109375" style="343" customWidth="1"/>
    <col min="11453" max="11453" width="5.7109375" style="343" customWidth="1"/>
    <col min="11454" max="11454" width="8.7109375" style="343" customWidth="1"/>
    <col min="11455" max="11455" width="5.7109375" style="343" customWidth="1"/>
    <col min="11456" max="11456" width="10.42578125" style="343" customWidth="1"/>
    <col min="11457" max="11457" width="11.140625" style="343" customWidth="1"/>
    <col min="11458" max="11458" width="8.7109375" style="343" customWidth="1"/>
    <col min="11459" max="11459" width="5.7109375" style="343" customWidth="1"/>
    <col min="11460" max="11460" width="8.28515625" style="343" customWidth="1"/>
    <col min="11461" max="11461" width="5.7109375" style="343" customWidth="1"/>
    <col min="11462" max="11462" width="8.7109375" style="343" customWidth="1"/>
    <col min="11463" max="11463" width="5.7109375" style="343" customWidth="1"/>
    <col min="11464" max="11464" width="10.42578125" style="343" customWidth="1"/>
    <col min="11465" max="11465" width="9.28515625" style="343" customWidth="1"/>
    <col min="11466" max="11466" width="8.7109375" style="343" customWidth="1"/>
    <col min="11467" max="11467" width="5.7109375" style="343" customWidth="1"/>
    <col min="11468" max="11468" width="8.7109375" style="343" customWidth="1"/>
    <col min="11469" max="11469" width="5.7109375" style="343" customWidth="1"/>
    <col min="11470" max="11470" width="8.7109375" style="343" customWidth="1"/>
    <col min="11471" max="11471" width="5.7109375" style="343" customWidth="1"/>
    <col min="11472" max="11472" width="10.42578125" style="343" customWidth="1"/>
    <col min="11473" max="11473" width="8.85546875" style="343" customWidth="1"/>
    <col min="11474" max="11474" width="9.140625" style="343"/>
    <col min="11475" max="11475" width="11.28515625" style="343" bestFit="1" customWidth="1"/>
    <col min="11476" max="11675" width="9.140625" style="343"/>
    <col min="11676" max="11676" width="11" style="343" customWidth="1"/>
    <col min="11677" max="11677" width="20.7109375" style="343" customWidth="1"/>
    <col min="11678" max="11678" width="7.85546875" style="343" customWidth="1"/>
    <col min="11679" max="11679" width="49.42578125" style="343" customWidth="1"/>
    <col min="11680" max="11680" width="18.5703125" style="343" customWidth="1"/>
    <col min="11681" max="11681" width="8.7109375" style="343" customWidth="1"/>
    <col min="11682" max="11682" width="5.7109375" style="343" customWidth="1"/>
    <col min="11683" max="11683" width="8.7109375" style="343" customWidth="1"/>
    <col min="11684" max="11684" width="5.7109375" style="343" customWidth="1"/>
    <col min="11685" max="11685" width="8.7109375" style="343" customWidth="1"/>
    <col min="11686" max="11686" width="5.7109375" style="343" customWidth="1"/>
    <col min="11687" max="11687" width="10.42578125" style="343" customWidth="1"/>
    <col min="11688" max="11689" width="9" style="343" customWidth="1"/>
    <col min="11690" max="11690" width="8.7109375" style="343" customWidth="1"/>
    <col min="11691" max="11691" width="5.7109375" style="343" customWidth="1"/>
    <col min="11692" max="11692" width="8.7109375" style="343" customWidth="1"/>
    <col min="11693" max="11693" width="5.7109375" style="343" customWidth="1"/>
    <col min="11694" max="11694" width="8.7109375" style="343" customWidth="1"/>
    <col min="11695" max="11695" width="5.7109375" style="343" customWidth="1"/>
    <col min="11696" max="11696" width="10.42578125" style="343" customWidth="1"/>
    <col min="11697" max="11703" width="9" style="343" customWidth="1"/>
    <col min="11704" max="11704" width="10.42578125" style="343" customWidth="1"/>
    <col min="11705" max="11705" width="9" style="343" customWidth="1"/>
    <col min="11706" max="11706" width="8.7109375" style="343" customWidth="1"/>
    <col min="11707" max="11707" width="5.7109375" style="343" customWidth="1"/>
    <col min="11708" max="11708" width="8.7109375" style="343" customWidth="1"/>
    <col min="11709" max="11709" width="5.7109375" style="343" customWidth="1"/>
    <col min="11710" max="11710" width="8.7109375" style="343" customWidth="1"/>
    <col min="11711" max="11711" width="5.7109375" style="343" customWidth="1"/>
    <col min="11712" max="11712" width="10.42578125" style="343" customWidth="1"/>
    <col min="11713" max="11713" width="11.140625" style="343" customWidth="1"/>
    <col min="11714" max="11714" width="8.7109375" style="343" customWidth="1"/>
    <col min="11715" max="11715" width="5.7109375" style="343" customWidth="1"/>
    <col min="11716" max="11716" width="8.28515625" style="343" customWidth="1"/>
    <col min="11717" max="11717" width="5.7109375" style="343" customWidth="1"/>
    <col min="11718" max="11718" width="8.7109375" style="343" customWidth="1"/>
    <col min="11719" max="11719" width="5.7109375" style="343" customWidth="1"/>
    <col min="11720" max="11720" width="10.42578125" style="343" customWidth="1"/>
    <col min="11721" max="11721" width="9.28515625" style="343" customWidth="1"/>
    <col min="11722" max="11722" width="8.7109375" style="343" customWidth="1"/>
    <col min="11723" max="11723" width="5.7109375" style="343" customWidth="1"/>
    <col min="11724" max="11724" width="8.7109375" style="343" customWidth="1"/>
    <col min="11725" max="11725" width="5.7109375" style="343" customWidth="1"/>
    <col min="11726" max="11726" width="8.7109375" style="343" customWidth="1"/>
    <col min="11727" max="11727" width="5.7109375" style="343" customWidth="1"/>
    <col min="11728" max="11728" width="10.42578125" style="343" customWidth="1"/>
    <col min="11729" max="11729" width="8.85546875" style="343" customWidth="1"/>
    <col min="11730" max="11730" width="9.140625" style="343"/>
    <col min="11731" max="11731" width="11.28515625" style="343" bestFit="1" customWidth="1"/>
    <col min="11732" max="11931" width="9.140625" style="343"/>
    <col min="11932" max="11932" width="11" style="343" customWidth="1"/>
    <col min="11933" max="11933" width="20.7109375" style="343" customWidth="1"/>
    <col min="11934" max="11934" width="7.85546875" style="343" customWidth="1"/>
    <col min="11935" max="11935" width="49.42578125" style="343" customWidth="1"/>
    <col min="11936" max="11936" width="18.5703125" style="343" customWidth="1"/>
    <col min="11937" max="11937" width="8.7109375" style="343" customWidth="1"/>
    <col min="11938" max="11938" width="5.7109375" style="343" customWidth="1"/>
    <col min="11939" max="11939" width="8.7109375" style="343" customWidth="1"/>
    <col min="11940" max="11940" width="5.7109375" style="343" customWidth="1"/>
    <col min="11941" max="11941" width="8.7109375" style="343" customWidth="1"/>
    <col min="11942" max="11942" width="5.7109375" style="343" customWidth="1"/>
    <col min="11943" max="11943" width="10.42578125" style="343" customWidth="1"/>
    <col min="11944" max="11945" width="9" style="343" customWidth="1"/>
    <col min="11946" max="11946" width="8.7109375" style="343" customWidth="1"/>
    <col min="11947" max="11947" width="5.7109375" style="343" customWidth="1"/>
    <col min="11948" max="11948" width="8.7109375" style="343" customWidth="1"/>
    <col min="11949" max="11949" width="5.7109375" style="343" customWidth="1"/>
    <col min="11950" max="11950" width="8.7109375" style="343" customWidth="1"/>
    <col min="11951" max="11951" width="5.7109375" style="343" customWidth="1"/>
    <col min="11952" max="11952" width="10.42578125" style="343" customWidth="1"/>
    <col min="11953" max="11959" width="9" style="343" customWidth="1"/>
    <col min="11960" max="11960" width="10.42578125" style="343" customWidth="1"/>
    <col min="11961" max="11961" width="9" style="343" customWidth="1"/>
    <col min="11962" max="11962" width="8.7109375" style="343" customWidth="1"/>
    <col min="11963" max="11963" width="5.7109375" style="343" customWidth="1"/>
    <col min="11964" max="11964" width="8.7109375" style="343" customWidth="1"/>
    <col min="11965" max="11965" width="5.7109375" style="343" customWidth="1"/>
    <col min="11966" max="11966" width="8.7109375" style="343" customWidth="1"/>
    <col min="11967" max="11967" width="5.7109375" style="343" customWidth="1"/>
    <col min="11968" max="11968" width="10.42578125" style="343" customWidth="1"/>
    <col min="11969" max="11969" width="11.140625" style="343" customWidth="1"/>
    <col min="11970" max="11970" width="8.7109375" style="343" customWidth="1"/>
    <col min="11971" max="11971" width="5.7109375" style="343" customWidth="1"/>
    <col min="11972" max="11972" width="8.28515625" style="343" customWidth="1"/>
    <col min="11973" max="11973" width="5.7109375" style="343" customWidth="1"/>
    <col min="11974" max="11974" width="8.7109375" style="343" customWidth="1"/>
    <col min="11975" max="11975" width="5.7109375" style="343" customWidth="1"/>
    <col min="11976" max="11976" width="10.42578125" style="343" customWidth="1"/>
    <col min="11977" max="11977" width="9.28515625" style="343" customWidth="1"/>
    <col min="11978" max="11978" width="8.7109375" style="343" customWidth="1"/>
    <col min="11979" max="11979" width="5.7109375" style="343" customWidth="1"/>
    <col min="11980" max="11980" width="8.7109375" style="343" customWidth="1"/>
    <col min="11981" max="11981" width="5.7109375" style="343" customWidth="1"/>
    <col min="11982" max="11982" width="8.7109375" style="343" customWidth="1"/>
    <col min="11983" max="11983" width="5.7109375" style="343" customWidth="1"/>
    <col min="11984" max="11984" width="10.42578125" style="343" customWidth="1"/>
    <col min="11985" max="11985" width="8.85546875" style="343" customWidth="1"/>
    <col min="11986" max="11986" width="9.140625" style="343"/>
    <col min="11987" max="11987" width="11.28515625" style="343" bestFit="1" customWidth="1"/>
    <col min="11988" max="12187" width="9.140625" style="343"/>
    <col min="12188" max="12188" width="11" style="343" customWidth="1"/>
    <col min="12189" max="12189" width="20.7109375" style="343" customWidth="1"/>
    <col min="12190" max="12190" width="7.85546875" style="343" customWidth="1"/>
    <col min="12191" max="12191" width="49.42578125" style="343" customWidth="1"/>
    <col min="12192" max="12192" width="18.5703125" style="343" customWidth="1"/>
    <col min="12193" max="12193" width="8.7109375" style="343" customWidth="1"/>
    <col min="12194" max="12194" width="5.7109375" style="343" customWidth="1"/>
    <col min="12195" max="12195" width="8.7109375" style="343" customWidth="1"/>
    <col min="12196" max="12196" width="5.7109375" style="343" customWidth="1"/>
    <col min="12197" max="12197" width="8.7109375" style="343" customWidth="1"/>
    <col min="12198" max="12198" width="5.7109375" style="343" customWidth="1"/>
    <col min="12199" max="12199" width="10.42578125" style="343" customWidth="1"/>
    <col min="12200" max="12201" width="9" style="343" customWidth="1"/>
    <col min="12202" max="12202" width="8.7109375" style="343" customWidth="1"/>
    <col min="12203" max="12203" width="5.7109375" style="343" customWidth="1"/>
    <col min="12204" max="12204" width="8.7109375" style="343" customWidth="1"/>
    <col min="12205" max="12205" width="5.7109375" style="343" customWidth="1"/>
    <col min="12206" max="12206" width="8.7109375" style="343" customWidth="1"/>
    <col min="12207" max="12207" width="5.7109375" style="343" customWidth="1"/>
    <col min="12208" max="12208" width="10.42578125" style="343" customWidth="1"/>
    <col min="12209" max="12215" width="9" style="343" customWidth="1"/>
    <col min="12216" max="12216" width="10.42578125" style="343" customWidth="1"/>
    <col min="12217" max="12217" width="9" style="343" customWidth="1"/>
    <col min="12218" max="12218" width="8.7109375" style="343" customWidth="1"/>
    <col min="12219" max="12219" width="5.7109375" style="343" customWidth="1"/>
    <col min="12220" max="12220" width="8.7109375" style="343" customWidth="1"/>
    <col min="12221" max="12221" width="5.7109375" style="343" customWidth="1"/>
    <col min="12222" max="12222" width="8.7109375" style="343" customWidth="1"/>
    <col min="12223" max="12223" width="5.7109375" style="343" customWidth="1"/>
    <col min="12224" max="12224" width="10.42578125" style="343" customWidth="1"/>
    <col min="12225" max="12225" width="11.140625" style="343" customWidth="1"/>
    <col min="12226" max="12226" width="8.7109375" style="343" customWidth="1"/>
    <col min="12227" max="12227" width="5.7109375" style="343" customWidth="1"/>
    <col min="12228" max="12228" width="8.28515625" style="343" customWidth="1"/>
    <col min="12229" max="12229" width="5.7109375" style="343" customWidth="1"/>
    <col min="12230" max="12230" width="8.7109375" style="343" customWidth="1"/>
    <col min="12231" max="12231" width="5.7109375" style="343" customWidth="1"/>
    <col min="12232" max="12232" width="10.42578125" style="343" customWidth="1"/>
    <col min="12233" max="12233" width="9.28515625" style="343" customWidth="1"/>
    <col min="12234" max="12234" width="8.7109375" style="343" customWidth="1"/>
    <col min="12235" max="12235" width="5.7109375" style="343" customWidth="1"/>
    <col min="12236" max="12236" width="8.7109375" style="343" customWidth="1"/>
    <col min="12237" max="12237" width="5.7109375" style="343" customWidth="1"/>
    <col min="12238" max="12238" width="8.7109375" style="343" customWidth="1"/>
    <col min="12239" max="12239" width="5.7109375" style="343" customWidth="1"/>
    <col min="12240" max="12240" width="10.42578125" style="343" customWidth="1"/>
    <col min="12241" max="12241" width="8.85546875" style="343" customWidth="1"/>
    <col min="12242" max="12242" width="9.140625" style="343"/>
    <col min="12243" max="12243" width="11.28515625" style="343" bestFit="1" customWidth="1"/>
    <col min="12244" max="12443" width="9.140625" style="343"/>
    <col min="12444" max="12444" width="11" style="343" customWidth="1"/>
    <col min="12445" max="12445" width="20.7109375" style="343" customWidth="1"/>
    <col min="12446" max="12446" width="7.85546875" style="343" customWidth="1"/>
    <col min="12447" max="12447" width="49.42578125" style="343" customWidth="1"/>
    <col min="12448" max="12448" width="18.5703125" style="343" customWidth="1"/>
    <col min="12449" max="12449" width="8.7109375" style="343" customWidth="1"/>
    <col min="12450" max="12450" width="5.7109375" style="343" customWidth="1"/>
    <col min="12451" max="12451" width="8.7109375" style="343" customWidth="1"/>
    <col min="12452" max="12452" width="5.7109375" style="343" customWidth="1"/>
    <col min="12453" max="12453" width="8.7109375" style="343" customWidth="1"/>
    <col min="12454" max="12454" width="5.7109375" style="343" customWidth="1"/>
    <col min="12455" max="12455" width="10.42578125" style="343" customWidth="1"/>
    <col min="12456" max="12457" width="9" style="343" customWidth="1"/>
    <col min="12458" max="12458" width="8.7109375" style="343" customWidth="1"/>
    <col min="12459" max="12459" width="5.7109375" style="343" customWidth="1"/>
    <col min="12460" max="12460" width="8.7109375" style="343" customWidth="1"/>
    <col min="12461" max="12461" width="5.7109375" style="343" customWidth="1"/>
    <col min="12462" max="12462" width="8.7109375" style="343" customWidth="1"/>
    <col min="12463" max="12463" width="5.7109375" style="343" customWidth="1"/>
    <col min="12464" max="12464" width="10.42578125" style="343" customWidth="1"/>
    <col min="12465" max="12471" width="9" style="343" customWidth="1"/>
    <col min="12472" max="12472" width="10.42578125" style="343" customWidth="1"/>
    <col min="12473" max="12473" width="9" style="343" customWidth="1"/>
    <col min="12474" max="12474" width="8.7109375" style="343" customWidth="1"/>
    <col min="12475" max="12475" width="5.7109375" style="343" customWidth="1"/>
    <col min="12476" max="12476" width="8.7109375" style="343" customWidth="1"/>
    <col min="12477" max="12477" width="5.7109375" style="343" customWidth="1"/>
    <col min="12478" max="12478" width="8.7109375" style="343" customWidth="1"/>
    <col min="12479" max="12479" width="5.7109375" style="343" customWidth="1"/>
    <col min="12480" max="12480" width="10.42578125" style="343" customWidth="1"/>
    <col min="12481" max="12481" width="11.140625" style="343" customWidth="1"/>
    <col min="12482" max="12482" width="8.7109375" style="343" customWidth="1"/>
    <col min="12483" max="12483" width="5.7109375" style="343" customWidth="1"/>
    <col min="12484" max="12484" width="8.28515625" style="343" customWidth="1"/>
    <col min="12485" max="12485" width="5.7109375" style="343" customWidth="1"/>
    <col min="12486" max="12486" width="8.7109375" style="343" customWidth="1"/>
    <col min="12487" max="12487" width="5.7109375" style="343" customWidth="1"/>
    <col min="12488" max="12488" width="10.42578125" style="343" customWidth="1"/>
    <col min="12489" max="12489" width="9.28515625" style="343" customWidth="1"/>
    <col min="12490" max="12490" width="8.7109375" style="343" customWidth="1"/>
    <col min="12491" max="12491" width="5.7109375" style="343" customWidth="1"/>
    <col min="12492" max="12492" width="8.7109375" style="343" customWidth="1"/>
    <col min="12493" max="12493" width="5.7109375" style="343" customWidth="1"/>
    <col min="12494" max="12494" width="8.7109375" style="343" customWidth="1"/>
    <col min="12495" max="12495" width="5.7109375" style="343" customWidth="1"/>
    <col min="12496" max="12496" width="10.42578125" style="343" customWidth="1"/>
    <col min="12497" max="12497" width="8.85546875" style="343" customWidth="1"/>
    <col min="12498" max="12498" width="9.140625" style="343"/>
    <col min="12499" max="12499" width="11.28515625" style="343" bestFit="1" customWidth="1"/>
    <col min="12500" max="12699" width="9.140625" style="343"/>
    <col min="12700" max="12700" width="11" style="343" customWidth="1"/>
    <col min="12701" max="12701" width="20.7109375" style="343" customWidth="1"/>
    <col min="12702" max="12702" width="7.85546875" style="343" customWidth="1"/>
    <col min="12703" max="12703" width="49.42578125" style="343" customWidth="1"/>
    <col min="12704" max="12704" width="18.5703125" style="343" customWidth="1"/>
    <col min="12705" max="12705" width="8.7109375" style="343" customWidth="1"/>
    <col min="12706" max="12706" width="5.7109375" style="343" customWidth="1"/>
    <col min="12707" max="12707" width="8.7109375" style="343" customWidth="1"/>
    <col min="12708" max="12708" width="5.7109375" style="343" customWidth="1"/>
    <col min="12709" max="12709" width="8.7109375" style="343" customWidth="1"/>
    <col min="12710" max="12710" width="5.7109375" style="343" customWidth="1"/>
    <col min="12711" max="12711" width="10.42578125" style="343" customWidth="1"/>
    <col min="12712" max="12713" width="9" style="343" customWidth="1"/>
    <col min="12714" max="12714" width="8.7109375" style="343" customWidth="1"/>
    <col min="12715" max="12715" width="5.7109375" style="343" customWidth="1"/>
    <col min="12716" max="12716" width="8.7109375" style="343" customWidth="1"/>
    <col min="12717" max="12717" width="5.7109375" style="343" customWidth="1"/>
    <col min="12718" max="12718" width="8.7109375" style="343" customWidth="1"/>
    <col min="12719" max="12719" width="5.7109375" style="343" customWidth="1"/>
    <col min="12720" max="12720" width="10.42578125" style="343" customWidth="1"/>
    <col min="12721" max="12727" width="9" style="343" customWidth="1"/>
    <col min="12728" max="12728" width="10.42578125" style="343" customWidth="1"/>
    <col min="12729" max="12729" width="9" style="343" customWidth="1"/>
    <col min="12730" max="12730" width="8.7109375" style="343" customWidth="1"/>
    <col min="12731" max="12731" width="5.7109375" style="343" customWidth="1"/>
    <col min="12732" max="12732" width="8.7109375" style="343" customWidth="1"/>
    <col min="12733" max="12733" width="5.7109375" style="343" customWidth="1"/>
    <col min="12734" max="12734" width="8.7109375" style="343" customWidth="1"/>
    <col min="12735" max="12735" width="5.7109375" style="343" customWidth="1"/>
    <col min="12736" max="12736" width="10.42578125" style="343" customWidth="1"/>
    <col min="12737" max="12737" width="11.140625" style="343" customWidth="1"/>
    <col min="12738" max="12738" width="8.7109375" style="343" customWidth="1"/>
    <col min="12739" max="12739" width="5.7109375" style="343" customWidth="1"/>
    <col min="12740" max="12740" width="8.28515625" style="343" customWidth="1"/>
    <col min="12741" max="12741" width="5.7109375" style="343" customWidth="1"/>
    <col min="12742" max="12742" width="8.7109375" style="343" customWidth="1"/>
    <col min="12743" max="12743" width="5.7109375" style="343" customWidth="1"/>
    <col min="12744" max="12744" width="10.42578125" style="343" customWidth="1"/>
    <col min="12745" max="12745" width="9.28515625" style="343" customWidth="1"/>
    <col min="12746" max="12746" width="8.7109375" style="343" customWidth="1"/>
    <col min="12747" max="12747" width="5.7109375" style="343" customWidth="1"/>
    <col min="12748" max="12748" width="8.7109375" style="343" customWidth="1"/>
    <col min="12749" max="12749" width="5.7109375" style="343" customWidth="1"/>
    <col min="12750" max="12750" width="8.7109375" style="343" customWidth="1"/>
    <col min="12751" max="12751" width="5.7109375" style="343" customWidth="1"/>
    <col min="12752" max="12752" width="10.42578125" style="343" customWidth="1"/>
    <col min="12753" max="12753" width="8.85546875" style="343" customWidth="1"/>
    <col min="12754" max="12754" width="9.140625" style="343"/>
    <col min="12755" max="12755" width="11.28515625" style="343" bestFit="1" customWidth="1"/>
    <col min="12756" max="12955" width="9.140625" style="343"/>
    <col min="12956" max="12956" width="11" style="343" customWidth="1"/>
    <col min="12957" max="12957" width="20.7109375" style="343" customWidth="1"/>
    <col min="12958" max="12958" width="7.85546875" style="343" customWidth="1"/>
    <col min="12959" max="12959" width="49.42578125" style="343" customWidth="1"/>
    <col min="12960" max="12960" width="18.5703125" style="343" customWidth="1"/>
    <col min="12961" max="12961" width="8.7109375" style="343" customWidth="1"/>
    <col min="12962" max="12962" width="5.7109375" style="343" customWidth="1"/>
    <col min="12963" max="12963" width="8.7109375" style="343" customWidth="1"/>
    <col min="12964" max="12964" width="5.7109375" style="343" customWidth="1"/>
    <col min="12965" max="12965" width="8.7109375" style="343" customWidth="1"/>
    <col min="12966" max="12966" width="5.7109375" style="343" customWidth="1"/>
    <col min="12967" max="12967" width="10.42578125" style="343" customWidth="1"/>
    <col min="12968" max="12969" width="9" style="343" customWidth="1"/>
    <col min="12970" max="12970" width="8.7109375" style="343" customWidth="1"/>
    <col min="12971" max="12971" width="5.7109375" style="343" customWidth="1"/>
    <col min="12972" max="12972" width="8.7109375" style="343" customWidth="1"/>
    <col min="12973" max="12973" width="5.7109375" style="343" customWidth="1"/>
    <col min="12974" max="12974" width="8.7109375" style="343" customWidth="1"/>
    <col min="12975" max="12975" width="5.7109375" style="343" customWidth="1"/>
    <col min="12976" max="12976" width="10.42578125" style="343" customWidth="1"/>
    <col min="12977" max="12983" width="9" style="343" customWidth="1"/>
    <col min="12984" max="12984" width="10.42578125" style="343" customWidth="1"/>
    <col min="12985" max="12985" width="9" style="343" customWidth="1"/>
    <col min="12986" max="12986" width="8.7109375" style="343" customWidth="1"/>
    <col min="12987" max="12987" width="5.7109375" style="343" customWidth="1"/>
    <col min="12988" max="12988" width="8.7109375" style="343" customWidth="1"/>
    <col min="12989" max="12989" width="5.7109375" style="343" customWidth="1"/>
    <col min="12990" max="12990" width="8.7109375" style="343" customWidth="1"/>
    <col min="12991" max="12991" width="5.7109375" style="343" customWidth="1"/>
    <col min="12992" max="12992" width="10.42578125" style="343" customWidth="1"/>
    <col min="12993" max="12993" width="11.140625" style="343" customWidth="1"/>
    <col min="12994" max="12994" width="8.7109375" style="343" customWidth="1"/>
    <col min="12995" max="12995" width="5.7109375" style="343" customWidth="1"/>
    <col min="12996" max="12996" width="8.28515625" style="343" customWidth="1"/>
    <col min="12997" max="12997" width="5.7109375" style="343" customWidth="1"/>
    <col min="12998" max="12998" width="8.7109375" style="343" customWidth="1"/>
    <col min="12999" max="12999" width="5.7109375" style="343" customWidth="1"/>
    <col min="13000" max="13000" width="10.42578125" style="343" customWidth="1"/>
    <col min="13001" max="13001" width="9.28515625" style="343" customWidth="1"/>
    <col min="13002" max="13002" width="8.7109375" style="343" customWidth="1"/>
    <col min="13003" max="13003" width="5.7109375" style="343" customWidth="1"/>
    <col min="13004" max="13004" width="8.7109375" style="343" customWidth="1"/>
    <col min="13005" max="13005" width="5.7109375" style="343" customWidth="1"/>
    <col min="13006" max="13006" width="8.7109375" style="343" customWidth="1"/>
    <col min="13007" max="13007" width="5.7109375" style="343" customWidth="1"/>
    <col min="13008" max="13008" width="10.42578125" style="343" customWidth="1"/>
    <col min="13009" max="13009" width="8.85546875" style="343" customWidth="1"/>
    <col min="13010" max="13010" width="9.140625" style="343"/>
    <col min="13011" max="13011" width="11.28515625" style="343" bestFit="1" customWidth="1"/>
    <col min="13012" max="13211" width="9.140625" style="343"/>
    <col min="13212" max="13212" width="11" style="343" customWidth="1"/>
    <col min="13213" max="13213" width="20.7109375" style="343" customWidth="1"/>
    <col min="13214" max="13214" width="7.85546875" style="343" customWidth="1"/>
    <col min="13215" max="13215" width="49.42578125" style="343" customWidth="1"/>
    <col min="13216" max="13216" width="18.5703125" style="343" customWidth="1"/>
    <col min="13217" max="13217" width="8.7109375" style="343" customWidth="1"/>
    <col min="13218" max="13218" width="5.7109375" style="343" customWidth="1"/>
    <col min="13219" max="13219" width="8.7109375" style="343" customWidth="1"/>
    <col min="13220" max="13220" width="5.7109375" style="343" customWidth="1"/>
    <col min="13221" max="13221" width="8.7109375" style="343" customWidth="1"/>
    <col min="13222" max="13222" width="5.7109375" style="343" customWidth="1"/>
    <col min="13223" max="13223" width="10.42578125" style="343" customWidth="1"/>
    <col min="13224" max="13225" width="9" style="343" customWidth="1"/>
    <col min="13226" max="13226" width="8.7109375" style="343" customWidth="1"/>
    <col min="13227" max="13227" width="5.7109375" style="343" customWidth="1"/>
    <col min="13228" max="13228" width="8.7109375" style="343" customWidth="1"/>
    <col min="13229" max="13229" width="5.7109375" style="343" customWidth="1"/>
    <col min="13230" max="13230" width="8.7109375" style="343" customWidth="1"/>
    <col min="13231" max="13231" width="5.7109375" style="343" customWidth="1"/>
    <col min="13232" max="13232" width="10.42578125" style="343" customWidth="1"/>
    <col min="13233" max="13239" width="9" style="343" customWidth="1"/>
    <col min="13240" max="13240" width="10.42578125" style="343" customWidth="1"/>
    <col min="13241" max="13241" width="9" style="343" customWidth="1"/>
    <col min="13242" max="13242" width="8.7109375" style="343" customWidth="1"/>
    <col min="13243" max="13243" width="5.7109375" style="343" customWidth="1"/>
    <col min="13244" max="13244" width="8.7109375" style="343" customWidth="1"/>
    <col min="13245" max="13245" width="5.7109375" style="343" customWidth="1"/>
    <col min="13246" max="13246" width="8.7109375" style="343" customWidth="1"/>
    <col min="13247" max="13247" width="5.7109375" style="343" customWidth="1"/>
    <col min="13248" max="13248" width="10.42578125" style="343" customWidth="1"/>
    <col min="13249" max="13249" width="11.140625" style="343" customWidth="1"/>
    <col min="13250" max="13250" width="8.7109375" style="343" customWidth="1"/>
    <col min="13251" max="13251" width="5.7109375" style="343" customWidth="1"/>
    <col min="13252" max="13252" width="8.28515625" style="343" customWidth="1"/>
    <col min="13253" max="13253" width="5.7109375" style="343" customWidth="1"/>
    <col min="13254" max="13254" width="8.7109375" style="343" customWidth="1"/>
    <col min="13255" max="13255" width="5.7109375" style="343" customWidth="1"/>
    <col min="13256" max="13256" width="10.42578125" style="343" customWidth="1"/>
    <col min="13257" max="13257" width="9.28515625" style="343" customWidth="1"/>
    <col min="13258" max="13258" width="8.7109375" style="343" customWidth="1"/>
    <col min="13259" max="13259" width="5.7109375" style="343" customWidth="1"/>
    <col min="13260" max="13260" width="8.7109375" style="343" customWidth="1"/>
    <col min="13261" max="13261" width="5.7109375" style="343" customWidth="1"/>
    <col min="13262" max="13262" width="8.7109375" style="343" customWidth="1"/>
    <col min="13263" max="13263" width="5.7109375" style="343" customWidth="1"/>
    <col min="13264" max="13264" width="10.42578125" style="343" customWidth="1"/>
    <col min="13265" max="13265" width="8.85546875" style="343" customWidth="1"/>
    <col min="13266" max="13266" width="9.140625" style="343"/>
    <col min="13267" max="13267" width="11.28515625" style="343" bestFit="1" customWidth="1"/>
    <col min="13268" max="13467" width="9.140625" style="343"/>
    <col min="13468" max="13468" width="11" style="343" customWidth="1"/>
    <col min="13469" max="13469" width="20.7109375" style="343" customWidth="1"/>
    <col min="13470" max="13470" width="7.85546875" style="343" customWidth="1"/>
    <col min="13471" max="13471" width="49.42578125" style="343" customWidth="1"/>
    <col min="13472" max="13472" width="18.5703125" style="343" customWidth="1"/>
    <col min="13473" max="13473" width="8.7109375" style="343" customWidth="1"/>
    <col min="13474" max="13474" width="5.7109375" style="343" customWidth="1"/>
    <col min="13475" max="13475" width="8.7109375" style="343" customWidth="1"/>
    <col min="13476" max="13476" width="5.7109375" style="343" customWidth="1"/>
    <col min="13477" max="13477" width="8.7109375" style="343" customWidth="1"/>
    <col min="13478" max="13478" width="5.7109375" style="343" customWidth="1"/>
    <col min="13479" max="13479" width="10.42578125" style="343" customWidth="1"/>
    <col min="13480" max="13481" width="9" style="343" customWidth="1"/>
    <col min="13482" max="13482" width="8.7109375" style="343" customWidth="1"/>
    <col min="13483" max="13483" width="5.7109375" style="343" customWidth="1"/>
    <col min="13484" max="13484" width="8.7109375" style="343" customWidth="1"/>
    <col min="13485" max="13485" width="5.7109375" style="343" customWidth="1"/>
    <col min="13486" max="13486" width="8.7109375" style="343" customWidth="1"/>
    <col min="13487" max="13487" width="5.7109375" style="343" customWidth="1"/>
    <col min="13488" max="13488" width="10.42578125" style="343" customWidth="1"/>
    <col min="13489" max="13495" width="9" style="343" customWidth="1"/>
    <col min="13496" max="13496" width="10.42578125" style="343" customWidth="1"/>
    <col min="13497" max="13497" width="9" style="343" customWidth="1"/>
    <col min="13498" max="13498" width="8.7109375" style="343" customWidth="1"/>
    <col min="13499" max="13499" width="5.7109375" style="343" customWidth="1"/>
    <col min="13500" max="13500" width="8.7109375" style="343" customWidth="1"/>
    <col min="13501" max="13501" width="5.7109375" style="343" customWidth="1"/>
    <col min="13502" max="13502" width="8.7109375" style="343" customWidth="1"/>
    <col min="13503" max="13503" width="5.7109375" style="343" customWidth="1"/>
    <col min="13504" max="13504" width="10.42578125" style="343" customWidth="1"/>
    <col min="13505" max="13505" width="11.140625" style="343" customWidth="1"/>
    <col min="13506" max="13506" width="8.7109375" style="343" customWidth="1"/>
    <col min="13507" max="13507" width="5.7109375" style="343" customWidth="1"/>
    <col min="13508" max="13508" width="8.28515625" style="343" customWidth="1"/>
    <col min="13509" max="13509" width="5.7109375" style="343" customWidth="1"/>
    <col min="13510" max="13510" width="8.7109375" style="343" customWidth="1"/>
    <col min="13511" max="13511" width="5.7109375" style="343" customWidth="1"/>
    <col min="13512" max="13512" width="10.42578125" style="343" customWidth="1"/>
    <col min="13513" max="13513" width="9.28515625" style="343" customWidth="1"/>
    <col min="13514" max="13514" width="8.7109375" style="343" customWidth="1"/>
    <col min="13515" max="13515" width="5.7109375" style="343" customWidth="1"/>
    <col min="13516" max="13516" width="8.7109375" style="343" customWidth="1"/>
    <col min="13517" max="13517" width="5.7109375" style="343" customWidth="1"/>
    <col min="13518" max="13518" width="8.7109375" style="343" customWidth="1"/>
    <col min="13519" max="13519" width="5.7109375" style="343" customWidth="1"/>
    <col min="13520" max="13520" width="10.42578125" style="343" customWidth="1"/>
    <col min="13521" max="13521" width="8.85546875" style="343" customWidth="1"/>
    <col min="13522" max="13522" width="9.140625" style="343"/>
    <col min="13523" max="13523" width="11.28515625" style="343" bestFit="1" customWidth="1"/>
    <col min="13524" max="13723" width="9.140625" style="343"/>
    <col min="13724" max="13724" width="11" style="343" customWidth="1"/>
    <col min="13725" max="13725" width="20.7109375" style="343" customWidth="1"/>
    <col min="13726" max="13726" width="7.85546875" style="343" customWidth="1"/>
    <col min="13727" max="13727" width="49.42578125" style="343" customWidth="1"/>
    <col min="13728" max="13728" width="18.5703125" style="343" customWidth="1"/>
    <col min="13729" max="13729" width="8.7109375" style="343" customWidth="1"/>
    <col min="13730" max="13730" width="5.7109375" style="343" customWidth="1"/>
    <col min="13731" max="13731" width="8.7109375" style="343" customWidth="1"/>
    <col min="13732" max="13732" width="5.7109375" style="343" customWidth="1"/>
    <col min="13733" max="13733" width="8.7109375" style="343" customWidth="1"/>
    <col min="13734" max="13734" width="5.7109375" style="343" customWidth="1"/>
    <col min="13735" max="13735" width="10.42578125" style="343" customWidth="1"/>
    <col min="13736" max="13737" width="9" style="343" customWidth="1"/>
    <col min="13738" max="13738" width="8.7109375" style="343" customWidth="1"/>
    <col min="13739" max="13739" width="5.7109375" style="343" customWidth="1"/>
    <col min="13740" max="13740" width="8.7109375" style="343" customWidth="1"/>
    <col min="13741" max="13741" width="5.7109375" style="343" customWidth="1"/>
    <col min="13742" max="13742" width="8.7109375" style="343" customWidth="1"/>
    <col min="13743" max="13743" width="5.7109375" style="343" customWidth="1"/>
    <col min="13744" max="13744" width="10.42578125" style="343" customWidth="1"/>
    <col min="13745" max="13751" width="9" style="343" customWidth="1"/>
    <col min="13752" max="13752" width="10.42578125" style="343" customWidth="1"/>
    <col min="13753" max="13753" width="9" style="343" customWidth="1"/>
    <col min="13754" max="13754" width="8.7109375" style="343" customWidth="1"/>
    <col min="13755" max="13755" width="5.7109375" style="343" customWidth="1"/>
    <col min="13756" max="13756" width="8.7109375" style="343" customWidth="1"/>
    <col min="13757" max="13757" width="5.7109375" style="343" customWidth="1"/>
    <col min="13758" max="13758" width="8.7109375" style="343" customWidth="1"/>
    <col min="13759" max="13759" width="5.7109375" style="343" customWidth="1"/>
    <col min="13760" max="13760" width="10.42578125" style="343" customWidth="1"/>
    <col min="13761" max="13761" width="11.140625" style="343" customWidth="1"/>
    <col min="13762" max="13762" width="8.7109375" style="343" customWidth="1"/>
    <col min="13763" max="13763" width="5.7109375" style="343" customWidth="1"/>
    <col min="13764" max="13764" width="8.28515625" style="343" customWidth="1"/>
    <col min="13765" max="13765" width="5.7109375" style="343" customWidth="1"/>
    <col min="13766" max="13766" width="8.7109375" style="343" customWidth="1"/>
    <col min="13767" max="13767" width="5.7109375" style="343" customWidth="1"/>
    <col min="13768" max="13768" width="10.42578125" style="343" customWidth="1"/>
    <col min="13769" max="13769" width="9.28515625" style="343" customWidth="1"/>
    <col min="13770" max="13770" width="8.7109375" style="343" customWidth="1"/>
    <col min="13771" max="13771" width="5.7109375" style="343" customWidth="1"/>
    <col min="13772" max="13772" width="8.7109375" style="343" customWidth="1"/>
    <col min="13773" max="13773" width="5.7109375" style="343" customWidth="1"/>
    <col min="13774" max="13774" width="8.7109375" style="343" customWidth="1"/>
    <col min="13775" max="13775" width="5.7109375" style="343" customWidth="1"/>
    <col min="13776" max="13776" width="10.42578125" style="343" customWidth="1"/>
    <col min="13777" max="13777" width="8.85546875" style="343" customWidth="1"/>
    <col min="13778" max="13778" width="9.140625" style="343"/>
    <col min="13779" max="13779" width="11.28515625" style="343" bestFit="1" customWidth="1"/>
    <col min="13780" max="13979" width="9.140625" style="343"/>
    <col min="13980" max="13980" width="11" style="343" customWidth="1"/>
    <col min="13981" max="13981" width="20.7109375" style="343" customWidth="1"/>
    <col min="13982" max="13982" width="7.85546875" style="343" customWidth="1"/>
    <col min="13983" max="13983" width="49.42578125" style="343" customWidth="1"/>
    <col min="13984" max="13984" width="18.5703125" style="343" customWidth="1"/>
    <col min="13985" max="13985" width="8.7109375" style="343" customWidth="1"/>
    <col min="13986" max="13986" width="5.7109375" style="343" customWidth="1"/>
    <col min="13987" max="13987" width="8.7109375" style="343" customWidth="1"/>
    <col min="13988" max="13988" width="5.7109375" style="343" customWidth="1"/>
    <col min="13989" max="13989" width="8.7109375" style="343" customWidth="1"/>
    <col min="13990" max="13990" width="5.7109375" style="343" customWidth="1"/>
    <col min="13991" max="13991" width="10.42578125" style="343" customWidth="1"/>
    <col min="13992" max="13993" width="9" style="343" customWidth="1"/>
    <col min="13994" max="13994" width="8.7109375" style="343" customWidth="1"/>
    <col min="13995" max="13995" width="5.7109375" style="343" customWidth="1"/>
    <col min="13996" max="13996" width="8.7109375" style="343" customWidth="1"/>
    <col min="13997" max="13997" width="5.7109375" style="343" customWidth="1"/>
    <col min="13998" max="13998" width="8.7109375" style="343" customWidth="1"/>
    <col min="13999" max="13999" width="5.7109375" style="343" customWidth="1"/>
    <col min="14000" max="14000" width="10.42578125" style="343" customWidth="1"/>
    <col min="14001" max="14007" width="9" style="343" customWidth="1"/>
    <col min="14008" max="14008" width="10.42578125" style="343" customWidth="1"/>
    <col min="14009" max="14009" width="9" style="343" customWidth="1"/>
    <col min="14010" max="14010" width="8.7109375" style="343" customWidth="1"/>
    <col min="14011" max="14011" width="5.7109375" style="343" customWidth="1"/>
    <col min="14012" max="14012" width="8.7109375" style="343" customWidth="1"/>
    <col min="14013" max="14013" width="5.7109375" style="343" customWidth="1"/>
    <col min="14014" max="14014" width="8.7109375" style="343" customWidth="1"/>
    <col min="14015" max="14015" width="5.7109375" style="343" customWidth="1"/>
    <col min="14016" max="14016" width="10.42578125" style="343" customWidth="1"/>
    <col min="14017" max="14017" width="11.140625" style="343" customWidth="1"/>
    <col min="14018" max="14018" width="8.7109375" style="343" customWidth="1"/>
    <col min="14019" max="14019" width="5.7109375" style="343" customWidth="1"/>
    <col min="14020" max="14020" width="8.28515625" style="343" customWidth="1"/>
    <col min="14021" max="14021" width="5.7109375" style="343" customWidth="1"/>
    <col min="14022" max="14022" width="8.7109375" style="343" customWidth="1"/>
    <col min="14023" max="14023" width="5.7109375" style="343" customWidth="1"/>
    <col min="14024" max="14024" width="10.42578125" style="343" customWidth="1"/>
    <col min="14025" max="14025" width="9.28515625" style="343" customWidth="1"/>
    <col min="14026" max="14026" width="8.7109375" style="343" customWidth="1"/>
    <col min="14027" max="14027" width="5.7109375" style="343" customWidth="1"/>
    <col min="14028" max="14028" width="8.7109375" style="343" customWidth="1"/>
    <col min="14029" max="14029" width="5.7109375" style="343" customWidth="1"/>
    <col min="14030" max="14030" width="8.7109375" style="343" customWidth="1"/>
    <col min="14031" max="14031" width="5.7109375" style="343" customWidth="1"/>
    <col min="14032" max="14032" width="10.42578125" style="343" customWidth="1"/>
    <col min="14033" max="14033" width="8.85546875" style="343" customWidth="1"/>
    <col min="14034" max="14034" width="9.140625" style="343"/>
    <col min="14035" max="14035" width="11.28515625" style="343" bestFit="1" customWidth="1"/>
    <col min="14036" max="14235" width="9.140625" style="343"/>
    <col min="14236" max="14236" width="11" style="343" customWidth="1"/>
    <col min="14237" max="14237" width="20.7109375" style="343" customWidth="1"/>
    <col min="14238" max="14238" width="7.85546875" style="343" customWidth="1"/>
    <col min="14239" max="14239" width="49.42578125" style="343" customWidth="1"/>
    <col min="14240" max="14240" width="18.5703125" style="343" customWidth="1"/>
    <col min="14241" max="14241" width="8.7109375" style="343" customWidth="1"/>
    <col min="14242" max="14242" width="5.7109375" style="343" customWidth="1"/>
    <col min="14243" max="14243" width="8.7109375" style="343" customWidth="1"/>
    <col min="14244" max="14244" width="5.7109375" style="343" customWidth="1"/>
    <col min="14245" max="14245" width="8.7109375" style="343" customWidth="1"/>
    <col min="14246" max="14246" width="5.7109375" style="343" customWidth="1"/>
    <col min="14247" max="14247" width="10.42578125" style="343" customWidth="1"/>
    <col min="14248" max="14249" width="9" style="343" customWidth="1"/>
    <col min="14250" max="14250" width="8.7109375" style="343" customWidth="1"/>
    <col min="14251" max="14251" width="5.7109375" style="343" customWidth="1"/>
    <col min="14252" max="14252" width="8.7109375" style="343" customWidth="1"/>
    <col min="14253" max="14253" width="5.7109375" style="343" customWidth="1"/>
    <col min="14254" max="14254" width="8.7109375" style="343" customWidth="1"/>
    <col min="14255" max="14255" width="5.7109375" style="343" customWidth="1"/>
    <col min="14256" max="14256" width="10.42578125" style="343" customWidth="1"/>
    <col min="14257" max="14263" width="9" style="343" customWidth="1"/>
    <col min="14264" max="14264" width="10.42578125" style="343" customWidth="1"/>
    <col min="14265" max="14265" width="9" style="343" customWidth="1"/>
    <col min="14266" max="14266" width="8.7109375" style="343" customWidth="1"/>
    <col min="14267" max="14267" width="5.7109375" style="343" customWidth="1"/>
    <col min="14268" max="14268" width="8.7109375" style="343" customWidth="1"/>
    <col min="14269" max="14269" width="5.7109375" style="343" customWidth="1"/>
    <col min="14270" max="14270" width="8.7109375" style="343" customWidth="1"/>
    <col min="14271" max="14271" width="5.7109375" style="343" customWidth="1"/>
    <col min="14272" max="14272" width="10.42578125" style="343" customWidth="1"/>
    <col min="14273" max="14273" width="11.140625" style="343" customWidth="1"/>
    <col min="14274" max="14274" width="8.7109375" style="343" customWidth="1"/>
    <col min="14275" max="14275" width="5.7109375" style="343" customWidth="1"/>
    <col min="14276" max="14276" width="8.28515625" style="343" customWidth="1"/>
    <col min="14277" max="14277" width="5.7109375" style="343" customWidth="1"/>
    <col min="14278" max="14278" width="8.7109375" style="343" customWidth="1"/>
    <col min="14279" max="14279" width="5.7109375" style="343" customWidth="1"/>
    <col min="14280" max="14280" width="10.42578125" style="343" customWidth="1"/>
    <col min="14281" max="14281" width="9.28515625" style="343" customWidth="1"/>
    <col min="14282" max="14282" width="8.7109375" style="343" customWidth="1"/>
    <col min="14283" max="14283" width="5.7109375" style="343" customWidth="1"/>
    <col min="14284" max="14284" width="8.7109375" style="343" customWidth="1"/>
    <col min="14285" max="14285" width="5.7109375" style="343" customWidth="1"/>
    <col min="14286" max="14286" width="8.7109375" style="343" customWidth="1"/>
    <col min="14287" max="14287" width="5.7109375" style="343" customWidth="1"/>
    <col min="14288" max="14288" width="10.42578125" style="343" customWidth="1"/>
    <col min="14289" max="14289" width="8.85546875" style="343" customWidth="1"/>
    <col min="14290" max="14290" width="9.140625" style="343"/>
    <col min="14291" max="14291" width="11.28515625" style="343" bestFit="1" customWidth="1"/>
    <col min="14292" max="14491" width="9.140625" style="343"/>
    <col min="14492" max="14492" width="11" style="343" customWidth="1"/>
    <col min="14493" max="14493" width="20.7109375" style="343" customWidth="1"/>
    <col min="14494" max="14494" width="7.85546875" style="343" customWidth="1"/>
    <col min="14495" max="14495" width="49.42578125" style="343" customWidth="1"/>
    <col min="14496" max="14496" width="18.5703125" style="343" customWidth="1"/>
    <col min="14497" max="14497" width="8.7109375" style="343" customWidth="1"/>
    <col min="14498" max="14498" width="5.7109375" style="343" customWidth="1"/>
    <col min="14499" max="14499" width="8.7109375" style="343" customWidth="1"/>
    <col min="14500" max="14500" width="5.7109375" style="343" customWidth="1"/>
    <col min="14501" max="14501" width="8.7109375" style="343" customWidth="1"/>
    <col min="14502" max="14502" width="5.7109375" style="343" customWidth="1"/>
    <col min="14503" max="14503" width="10.42578125" style="343" customWidth="1"/>
    <col min="14504" max="14505" width="9" style="343" customWidth="1"/>
    <col min="14506" max="14506" width="8.7109375" style="343" customWidth="1"/>
    <col min="14507" max="14507" width="5.7109375" style="343" customWidth="1"/>
    <col min="14508" max="14508" width="8.7109375" style="343" customWidth="1"/>
    <col min="14509" max="14509" width="5.7109375" style="343" customWidth="1"/>
    <col min="14510" max="14510" width="8.7109375" style="343" customWidth="1"/>
    <col min="14511" max="14511" width="5.7109375" style="343" customWidth="1"/>
    <col min="14512" max="14512" width="10.42578125" style="343" customWidth="1"/>
    <col min="14513" max="14519" width="9" style="343" customWidth="1"/>
    <col min="14520" max="14520" width="10.42578125" style="343" customWidth="1"/>
    <col min="14521" max="14521" width="9" style="343" customWidth="1"/>
    <col min="14522" max="14522" width="8.7109375" style="343" customWidth="1"/>
    <col min="14523" max="14523" width="5.7109375" style="343" customWidth="1"/>
    <col min="14524" max="14524" width="8.7109375" style="343" customWidth="1"/>
    <col min="14525" max="14525" width="5.7109375" style="343" customWidth="1"/>
    <col min="14526" max="14526" width="8.7109375" style="343" customWidth="1"/>
    <col min="14527" max="14527" width="5.7109375" style="343" customWidth="1"/>
    <col min="14528" max="14528" width="10.42578125" style="343" customWidth="1"/>
    <col min="14529" max="14529" width="11.140625" style="343" customWidth="1"/>
    <col min="14530" max="14530" width="8.7109375" style="343" customWidth="1"/>
    <col min="14531" max="14531" width="5.7109375" style="343" customWidth="1"/>
    <col min="14532" max="14532" width="8.28515625" style="343" customWidth="1"/>
    <col min="14533" max="14533" width="5.7109375" style="343" customWidth="1"/>
    <col min="14534" max="14534" width="8.7109375" style="343" customWidth="1"/>
    <col min="14535" max="14535" width="5.7109375" style="343" customWidth="1"/>
    <col min="14536" max="14536" width="10.42578125" style="343" customWidth="1"/>
    <col min="14537" max="14537" width="9.28515625" style="343" customWidth="1"/>
    <col min="14538" max="14538" width="8.7109375" style="343" customWidth="1"/>
    <col min="14539" max="14539" width="5.7109375" style="343" customWidth="1"/>
    <col min="14540" max="14540" width="8.7109375" style="343" customWidth="1"/>
    <col min="14541" max="14541" width="5.7109375" style="343" customWidth="1"/>
    <col min="14542" max="14542" width="8.7109375" style="343" customWidth="1"/>
    <col min="14543" max="14543" width="5.7109375" style="343" customWidth="1"/>
    <col min="14544" max="14544" width="10.42578125" style="343" customWidth="1"/>
    <col min="14545" max="14545" width="8.85546875" style="343" customWidth="1"/>
    <col min="14546" max="14546" width="9.140625" style="343"/>
    <col min="14547" max="14547" width="11.28515625" style="343" bestFit="1" customWidth="1"/>
    <col min="14548" max="14747" width="9.140625" style="343"/>
    <col min="14748" max="14748" width="11" style="343" customWidth="1"/>
    <col min="14749" max="14749" width="20.7109375" style="343" customWidth="1"/>
    <col min="14750" max="14750" width="7.85546875" style="343" customWidth="1"/>
    <col min="14751" max="14751" width="49.42578125" style="343" customWidth="1"/>
    <col min="14752" max="14752" width="18.5703125" style="343" customWidth="1"/>
    <col min="14753" max="14753" width="8.7109375" style="343" customWidth="1"/>
    <col min="14754" max="14754" width="5.7109375" style="343" customWidth="1"/>
    <col min="14755" max="14755" width="8.7109375" style="343" customWidth="1"/>
    <col min="14756" max="14756" width="5.7109375" style="343" customWidth="1"/>
    <col min="14757" max="14757" width="8.7109375" style="343" customWidth="1"/>
    <col min="14758" max="14758" width="5.7109375" style="343" customWidth="1"/>
    <col min="14759" max="14759" width="10.42578125" style="343" customWidth="1"/>
    <col min="14760" max="14761" width="9" style="343" customWidth="1"/>
    <col min="14762" max="14762" width="8.7109375" style="343" customWidth="1"/>
    <col min="14763" max="14763" width="5.7109375" style="343" customWidth="1"/>
    <col min="14764" max="14764" width="8.7109375" style="343" customWidth="1"/>
    <col min="14765" max="14765" width="5.7109375" style="343" customWidth="1"/>
    <col min="14766" max="14766" width="8.7109375" style="343" customWidth="1"/>
    <col min="14767" max="14767" width="5.7109375" style="343" customWidth="1"/>
    <col min="14768" max="14768" width="10.42578125" style="343" customWidth="1"/>
    <col min="14769" max="14775" width="9" style="343" customWidth="1"/>
    <col min="14776" max="14776" width="10.42578125" style="343" customWidth="1"/>
    <col min="14777" max="14777" width="9" style="343" customWidth="1"/>
    <col min="14778" max="14778" width="8.7109375" style="343" customWidth="1"/>
    <col min="14779" max="14779" width="5.7109375" style="343" customWidth="1"/>
    <col min="14780" max="14780" width="8.7109375" style="343" customWidth="1"/>
    <col min="14781" max="14781" width="5.7109375" style="343" customWidth="1"/>
    <col min="14782" max="14782" width="8.7109375" style="343" customWidth="1"/>
    <col min="14783" max="14783" width="5.7109375" style="343" customWidth="1"/>
    <col min="14784" max="14784" width="10.42578125" style="343" customWidth="1"/>
    <col min="14785" max="14785" width="11.140625" style="343" customWidth="1"/>
    <col min="14786" max="14786" width="8.7109375" style="343" customWidth="1"/>
    <col min="14787" max="14787" width="5.7109375" style="343" customWidth="1"/>
    <col min="14788" max="14788" width="8.28515625" style="343" customWidth="1"/>
    <col min="14789" max="14789" width="5.7109375" style="343" customWidth="1"/>
    <col min="14790" max="14790" width="8.7109375" style="343" customWidth="1"/>
    <col min="14791" max="14791" width="5.7109375" style="343" customWidth="1"/>
    <col min="14792" max="14792" width="10.42578125" style="343" customWidth="1"/>
    <col min="14793" max="14793" width="9.28515625" style="343" customWidth="1"/>
    <col min="14794" max="14794" width="8.7109375" style="343" customWidth="1"/>
    <col min="14795" max="14795" width="5.7109375" style="343" customWidth="1"/>
    <col min="14796" max="14796" width="8.7109375" style="343" customWidth="1"/>
    <col min="14797" max="14797" width="5.7109375" style="343" customWidth="1"/>
    <col min="14798" max="14798" width="8.7109375" style="343" customWidth="1"/>
    <col min="14799" max="14799" width="5.7109375" style="343" customWidth="1"/>
    <col min="14800" max="14800" width="10.42578125" style="343" customWidth="1"/>
    <col min="14801" max="14801" width="8.85546875" style="343" customWidth="1"/>
    <col min="14802" max="14802" width="9.140625" style="343"/>
    <col min="14803" max="14803" width="11.28515625" style="343" bestFit="1" customWidth="1"/>
    <col min="14804" max="15003" width="9.140625" style="343"/>
    <col min="15004" max="15004" width="11" style="343" customWidth="1"/>
    <col min="15005" max="15005" width="20.7109375" style="343" customWidth="1"/>
    <col min="15006" max="15006" width="7.85546875" style="343" customWidth="1"/>
    <col min="15007" max="15007" width="49.42578125" style="343" customWidth="1"/>
    <col min="15008" max="15008" width="18.5703125" style="343" customWidth="1"/>
    <col min="15009" max="15009" width="8.7109375" style="343" customWidth="1"/>
    <col min="15010" max="15010" width="5.7109375" style="343" customWidth="1"/>
    <col min="15011" max="15011" width="8.7109375" style="343" customWidth="1"/>
    <col min="15012" max="15012" width="5.7109375" style="343" customWidth="1"/>
    <col min="15013" max="15013" width="8.7109375" style="343" customWidth="1"/>
    <col min="15014" max="15014" width="5.7109375" style="343" customWidth="1"/>
    <col min="15015" max="15015" width="10.42578125" style="343" customWidth="1"/>
    <col min="15016" max="15017" width="9" style="343" customWidth="1"/>
    <col min="15018" max="15018" width="8.7109375" style="343" customWidth="1"/>
    <col min="15019" max="15019" width="5.7109375" style="343" customWidth="1"/>
    <col min="15020" max="15020" width="8.7109375" style="343" customWidth="1"/>
    <col min="15021" max="15021" width="5.7109375" style="343" customWidth="1"/>
    <col min="15022" max="15022" width="8.7109375" style="343" customWidth="1"/>
    <col min="15023" max="15023" width="5.7109375" style="343" customWidth="1"/>
    <col min="15024" max="15024" width="10.42578125" style="343" customWidth="1"/>
    <col min="15025" max="15031" width="9" style="343" customWidth="1"/>
    <col min="15032" max="15032" width="10.42578125" style="343" customWidth="1"/>
    <col min="15033" max="15033" width="9" style="343" customWidth="1"/>
    <col min="15034" max="15034" width="8.7109375" style="343" customWidth="1"/>
    <col min="15035" max="15035" width="5.7109375" style="343" customWidth="1"/>
    <col min="15036" max="15036" width="8.7109375" style="343" customWidth="1"/>
    <col min="15037" max="15037" width="5.7109375" style="343" customWidth="1"/>
    <col min="15038" max="15038" width="8.7109375" style="343" customWidth="1"/>
    <col min="15039" max="15039" width="5.7109375" style="343" customWidth="1"/>
    <col min="15040" max="15040" width="10.42578125" style="343" customWidth="1"/>
    <col min="15041" max="15041" width="11.140625" style="343" customWidth="1"/>
    <col min="15042" max="15042" width="8.7109375" style="343" customWidth="1"/>
    <col min="15043" max="15043" width="5.7109375" style="343" customWidth="1"/>
    <col min="15044" max="15044" width="8.28515625" style="343" customWidth="1"/>
    <col min="15045" max="15045" width="5.7109375" style="343" customWidth="1"/>
    <col min="15046" max="15046" width="8.7109375" style="343" customWidth="1"/>
    <col min="15047" max="15047" width="5.7109375" style="343" customWidth="1"/>
    <col min="15048" max="15048" width="10.42578125" style="343" customWidth="1"/>
    <col min="15049" max="15049" width="9.28515625" style="343" customWidth="1"/>
    <col min="15050" max="15050" width="8.7109375" style="343" customWidth="1"/>
    <col min="15051" max="15051" width="5.7109375" style="343" customWidth="1"/>
    <col min="15052" max="15052" width="8.7109375" style="343" customWidth="1"/>
    <col min="15053" max="15053" width="5.7109375" style="343" customWidth="1"/>
    <col min="15054" max="15054" width="8.7109375" style="343" customWidth="1"/>
    <col min="15055" max="15055" width="5.7109375" style="343" customWidth="1"/>
    <col min="15056" max="15056" width="10.42578125" style="343" customWidth="1"/>
    <col min="15057" max="15057" width="8.85546875" style="343" customWidth="1"/>
    <col min="15058" max="15058" width="9.140625" style="343"/>
    <col min="15059" max="15059" width="11.28515625" style="343" bestFit="1" customWidth="1"/>
    <col min="15060" max="15259" width="9.140625" style="343"/>
    <col min="15260" max="15260" width="11" style="343" customWidth="1"/>
    <col min="15261" max="15261" width="20.7109375" style="343" customWidth="1"/>
    <col min="15262" max="15262" width="7.85546875" style="343" customWidth="1"/>
    <col min="15263" max="15263" width="49.42578125" style="343" customWidth="1"/>
    <col min="15264" max="15264" width="18.5703125" style="343" customWidth="1"/>
    <col min="15265" max="15265" width="8.7109375" style="343" customWidth="1"/>
    <col min="15266" max="15266" width="5.7109375" style="343" customWidth="1"/>
    <col min="15267" max="15267" width="8.7109375" style="343" customWidth="1"/>
    <col min="15268" max="15268" width="5.7109375" style="343" customWidth="1"/>
    <col min="15269" max="15269" width="8.7109375" style="343" customWidth="1"/>
    <col min="15270" max="15270" width="5.7109375" style="343" customWidth="1"/>
    <col min="15271" max="15271" width="10.42578125" style="343" customWidth="1"/>
    <col min="15272" max="15273" width="9" style="343" customWidth="1"/>
    <col min="15274" max="15274" width="8.7109375" style="343" customWidth="1"/>
    <col min="15275" max="15275" width="5.7109375" style="343" customWidth="1"/>
    <col min="15276" max="15276" width="8.7109375" style="343" customWidth="1"/>
    <col min="15277" max="15277" width="5.7109375" style="343" customWidth="1"/>
    <col min="15278" max="15278" width="8.7109375" style="343" customWidth="1"/>
    <col min="15279" max="15279" width="5.7109375" style="343" customWidth="1"/>
    <col min="15280" max="15280" width="10.42578125" style="343" customWidth="1"/>
    <col min="15281" max="15287" width="9" style="343" customWidth="1"/>
    <col min="15288" max="15288" width="10.42578125" style="343" customWidth="1"/>
    <col min="15289" max="15289" width="9" style="343" customWidth="1"/>
    <col min="15290" max="15290" width="8.7109375" style="343" customWidth="1"/>
    <col min="15291" max="15291" width="5.7109375" style="343" customWidth="1"/>
    <col min="15292" max="15292" width="8.7109375" style="343" customWidth="1"/>
    <col min="15293" max="15293" width="5.7109375" style="343" customWidth="1"/>
    <col min="15294" max="15294" width="8.7109375" style="343" customWidth="1"/>
    <col min="15295" max="15295" width="5.7109375" style="343" customWidth="1"/>
    <col min="15296" max="15296" width="10.42578125" style="343" customWidth="1"/>
    <col min="15297" max="15297" width="11.140625" style="343" customWidth="1"/>
    <col min="15298" max="15298" width="8.7109375" style="343" customWidth="1"/>
    <col min="15299" max="15299" width="5.7109375" style="343" customWidth="1"/>
    <col min="15300" max="15300" width="8.28515625" style="343" customWidth="1"/>
    <col min="15301" max="15301" width="5.7109375" style="343" customWidth="1"/>
    <col min="15302" max="15302" width="8.7109375" style="343" customWidth="1"/>
    <col min="15303" max="15303" width="5.7109375" style="343" customWidth="1"/>
    <col min="15304" max="15304" width="10.42578125" style="343" customWidth="1"/>
    <col min="15305" max="15305" width="9.28515625" style="343" customWidth="1"/>
    <col min="15306" max="15306" width="8.7109375" style="343" customWidth="1"/>
    <col min="15307" max="15307" width="5.7109375" style="343" customWidth="1"/>
    <col min="15308" max="15308" width="8.7109375" style="343" customWidth="1"/>
    <col min="15309" max="15309" width="5.7109375" style="343" customWidth="1"/>
    <col min="15310" max="15310" width="8.7109375" style="343" customWidth="1"/>
    <col min="15311" max="15311" width="5.7109375" style="343" customWidth="1"/>
    <col min="15312" max="15312" width="10.42578125" style="343" customWidth="1"/>
    <col min="15313" max="15313" width="8.85546875" style="343" customWidth="1"/>
    <col min="15314" max="15314" width="9.140625" style="343"/>
    <col min="15315" max="15315" width="11.28515625" style="343" bestFit="1" customWidth="1"/>
    <col min="15316" max="15515" width="9.140625" style="343"/>
    <col min="15516" max="15516" width="11" style="343" customWidth="1"/>
    <col min="15517" max="15517" width="20.7109375" style="343" customWidth="1"/>
    <col min="15518" max="15518" width="7.85546875" style="343" customWidth="1"/>
    <col min="15519" max="15519" width="49.42578125" style="343" customWidth="1"/>
    <col min="15520" max="15520" width="18.5703125" style="343" customWidth="1"/>
    <col min="15521" max="15521" width="8.7109375" style="343" customWidth="1"/>
    <col min="15522" max="15522" width="5.7109375" style="343" customWidth="1"/>
    <col min="15523" max="15523" width="8.7109375" style="343" customWidth="1"/>
    <col min="15524" max="15524" width="5.7109375" style="343" customWidth="1"/>
    <col min="15525" max="15525" width="8.7109375" style="343" customWidth="1"/>
    <col min="15526" max="15526" width="5.7109375" style="343" customWidth="1"/>
    <col min="15527" max="15527" width="10.42578125" style="343" customWidth="1"/>
    <col min="15528" max="15529" width="9" style="343" customWidth="1"/>
    <col min="15530" max="15530" width="8.7109375" style="343" customWidth="1"/>
    <col min="15531" max="15531" width="5.7109375" style="343" customWidth="1"/>
    <col min="15532" max="15532" width="8.7109375" style="343" customWidth="1"/>
    <col min="15533" max="15533" width="5.7109375" style="343" customWidth="1"/>
    <col min="15534" max="15534" width="8.7109375" style="343" customWidth="1"/>
    <col min="15535" max="15535" width="5.7109375" style="343" customWidth="1"/>
    <col min="15536" max="15536" width="10.42578125" style="343" customWidth="1"/>
    <col min="15537" max="15543" width="9" style="343" customWidth="1"/>
    <col min="15544" max="15544" width="10.42578125" style="343" customWidth="1"/>
    <col min="15545" max="15545" width="9" style="343" customWidth="1"/>
    <col min="15546" max="15546" width="8.7109375" style="343" customWidth="1"/>
    <col min="15547" max="15547" width="5.7109375" style="343" customWidth="1"/>
    <col min="15548" max="15548" width="8.7109375" style="343" customWidth="1"/>
    <col min="15549" max="15549" width="5.7109375" style="343" customWidth="1"/>
    <col min="15550" max="15550" width="8.7109375" style="343" customWidth="1"/>
    <col min="15551" max="15551" width="5.7109375" style="343" customWidth="1"/>
    <col min="15552" max="15552" width="10.42578125" style="343" customWidth="1"/>
    <col min="15553" max="15553" width="11.140625" style="343" customWidth="1"/>
    <col min="15554" max="15554" width="8.7109375" style="343" customWidth="1"/>
    <col min="15555" max="15555" width="5.7109375" style="343" customWidth="1"/>
    <col min="15556" max="15556" width="8.28515625" style="343" customWidth="1"/>
    <col min="15557" max="15557" width="5.7109375" style="343" customWidth="1"/>
    <col min="15558" max="15558" width="8.7109375" style="343" customWidth="1"/>
    <col min="15559" max="15559" width="5.7109375" style="343" customWidth="1"/>
    <col min="15560" max="15560" width="10.42578125" style="343" customWidth="1"/>
    <col min="15561" max="15561" width="9.28515625" style="343" customWidth="1"/>
    <col min="15562" max="15562" width="8.7109375" style="343" customWidth="1"/>
    <col min="15563" max="15563" width="5.7109375" style="343" customWidth="1"/>
    <col min="15564" max="15564" width="8.7109375" style="343" customWidth="1"/>
    <col min="15565" max="15565" width="5.7109375" style="343" customWidth="1"/>
    <col min="15566" max="15566" width="8.7109375" style="343" customWidth="1"/>
    <col min="15567" max="15567" width="5.7109375" style="343" customWidth="1"/>
    <col min="15568" max="15568" width="10.42578125" style="343" customWidth="1"/>
    <col min="15569" max="15569" width="8.85546875" style="343" customWidth="1"/>
    <col min="15570" max="15570" width="9.140625" style="343"/>
    <col min="15571" max="15571" width="11.28515625" style="343" bestFit="1" customWidth="1"/>
    <col min="15572" max="15771" width="9.140625" style="343"/>
    <col min="15772" max="15772" width="11" style="343" customWidth="1"/>
    <col min="15773" max="15773" width="20.7109375" style="343" customWidth="1"/>
    <col min="15774" max="15774" width="7.85546875" style="343" customWidth="1"/>
    <col min="15775" max="15775" width="49.42578125" style="343" customWidth="1"/>
    <col min="15776" max="15776" width="18.5703125" style="343" customWidth="1"/>
    <col min="15777" max="15777" width="8.7109375" style="343" customWidth="1"/>
    <col min="15778" max="15778" width="5.7109375" style="343" customWidth="1"/>
    <col min="15779" max="15779" width="8.7109375" style="343" customWidth="1"/>
    <col min="15780" max="15780" width="5.7109375" style="343" customWidth="1"/>
    <col min="15781" max="15781" width="8.7109375" style="343" customWidth="1"/>
    <col min="15782" max="15782" width="5.7109375" style="343" customWidth="1"/>
    <col min="15783" max="15783" width="10.42578125" style="343" customWidth="1"/>
    <col min="15784" max="15785" width="9" style="343" customWidth="1"/>
    <col min="15786" max="15786" width="8.7109375" style="343" customWidth="1"/>
    <col min="15787" max="15787" width="5.7109375" style="343" customWidth="1"/>
    <col min="15788" max="15788" width="8.7109375" style="343" customWidth="1"/>
    <col min="15789" max="15789" width="5.7109375" style="343" customWidth="1"/>
    <col min="15790" max="15790" width="8.7109375" style="343" customWidth="1"/>
    <col min="15791" max="15791" width="5.7109375" style="343" customWidth="1"/>
    <col min="15792" max="15792" width="10.42578125" style="343" customWidth="1"/>
    <col min="15793" max="15799" width="9" style="343" customWidth="1"/>
    <col min="15800" max="15800" width="10.42578125" style="343" customWidth="1"/>
    <col min="15801" max="15801" width="9" style="343" customWidth="1"/>
    <col min="15802" max="15802" width="8.7109375" style="343" customWidth="1"/>
    <col min="15803" max="15803" width="5.7109375" style="343" customWidth="1"/>
    <col min="15804" max="15804" width="8.7109375" style="343" customWidth="1"/>
    <col min="15805" max="15805" width="5.7109375" style="343" customWidth="1"/>
    <col min="15806" max="15806" width="8.7109375" style="343" customWidth="1"/>
    <col min="15807" max="15807" width="5.7109375" style="343" customWidth="1"/>
    <col min="15808" max="15808" width="10.42578125" style="343" customWidth="1"/>
    <col min="15809" max="15809" width="11.140625" style="343" customWidth="1"/>
    <col min="15810" max="15810" width="8.7109375" style="343" customWidth="1"/>
    <col min="15811" max="15811" width="5.7109375" style="343" customWidth="1"/>
    <col min="15812" max="15812" width="8.28515625" style="343" customWidth="1"/>
    <col min="15813" max="15813" width="5.7109375" style="343" customWidth="1"/>
    <col min="15814" max="15814" width="8.7109375" style="343" customWidth="1"/>
    <col min="15815" max="15815" width="5.7109375" style="343" customWidth="1"/>
    <col min="15816" max="15816" width="10.42578125" style="343" customWidth="1"/>
    <col min="15817" max="15817" width="9.28515625" style="343" customWidth="1"/>
    <col min="15818" max="15818" width="8.7109375" style="343" customWidth="1"/>
    <col min="15819" max="15819" width="5.7109375" style="343" customWidth="1"/>
    <col min="15820" max="15820" width="8.7109375" style="343" customWidth="1"/>
    <col min="15821" max="15821" width="5.7109375" style="343" customWidth="1"/>
    <col min="15822" max="15822" width="8.7109375" style="343" customWidth="1"/>
    <col min="15823" max="15823" width="5.7109375" style="343" customWidth="1"/>
    <col min="15824" max="15824" width="10.42578125" style="343" customWidth="1"/>
    <col min="15825" max="15825" width="8.85546875" style="343" customWidth="1"/>
    <col min="15826" max="15826" width="9.140625" style="343"/>
    <col min="15827" max="15827" width="11.28515625" style="343" bestFit="1" customWidth="1"/>
    <col min="15828" max="16027" width="9.140625" style="343"/>
    <col min="16028" max="16028" width="11" style="343" customWidth="1"/>
    <col min="16029" max="16029" width="20.7109375" style="343" customWidth="1"/>
    <col min="16030" max="16030" width="7.85546875" style="343" customWidth="1"/>
    <col min="16031" max="16031" width="49.42578125" style="343" customWidth="1"/>
    <col min="16032" max="16032" width="18.5703125" style="343" customWidth="1"/>
    <col min="16033" max="16033" width="8.7109375" style="343" customWidth="1"/>
    <col min="16034" max="16034" width="5.7109375" style="343" customWidth="1"/>
    <col min="16035" max="16035" width="8.7109375" style="343" customWidth="1"/>
    <col min="16036" max="16036" width="5.7109375" style="343" customWidth="1"/>
    <col min="16037" max="16037" width="8.7109375" style="343" customWidth="1"/>
    <col min="16038" max="16038" width="5.7109375" style="343" customWidth="1"/>
    <col min="16039" max="16039" width="10.42578125" style="343" customWidth="1"/>
    <col min="16040" max="16041" width="9" style="343" customWidth="1"/>
    <col min="16042" max="16042" width="8.7109375" style="343" customWidth="1"/>
    <col min="16043" max="16043" width="5.7109375" style="343" customWidth="1"/>
    <col min="16044" max="16044" width="8.7109375" style="343" customWidth="1"/>
    <col min="16045" max="16045" width="5.7109375" style="343" customWidth="1"/>
    <col min="16046" max="16046" width="8.7109375" style="343" customWidth="1"/>
    <col min="16047" max="16047" width="5.7109375" style="343" customWidth="1"/>
    <col min="16048" max="16048" width="10.42578125" style="343" customWidth="1"/>
    <col min="16049" max="16055" width="9" style="343" customWidth="1"/>
    <col min="16056" max="16056" width="10.42578125" style="343" customWidth="1"/>
    <col min="16057" max="16057" width="9" style="343" customWidth="1"/>
    <col min="16058" max="16058" width="8.7109375" style="343" customWidth="1"/>
    <col min="16059" max="16059" width="5.7109375" style="343" customWidth="1"/>
    <col min="16060" max="16060" width="8.7109375" style="343" customWidth="1"/>
    <col min="16061" max="16061" width="5.7109375" style="343" customWidth="1"/>
    <col min="16062" max="16062" width="8.7109375" style="343" customWidth="1"/>
    <col min="16063" max="16063" width="5.7109375" style="343" customWidth="1"/>
    <col min="16064" max="16064" width="10.42578125" style="343" customWidth="1"/>
    <col min="16065" max="16065" width="11.140625" style="343" customWidth="1"/>
    <col min="16066" max="16066" width="8.7109375" style="343" customWidth="1"/>
    <col min="16067" max="16067" width="5.7109375" style="343" customWidth="1"/>
    <col min="16068" max="16068" width="8.28515625" style="343" customWidth="1"/>
    <col min="16069" max="16069" width="5.7109375" style="343" customWidth="1"/>
    <col min="16070" max="16070" width="8.7109375" style="343" customWidth="1"/>
    <col min="16071" max="16071" width="5.7109375" style="343" customWidth="1"/>
    <col min="16072" max="16072" width="10.42578125" style="343" customWidth="1"/>
    <col min="16073" max="16073" width="9.28515625" style="343" customWidth="1"/>
    <col min="16074" max="16074" width="8.7109375" style="343" customWidth="1"/>
    <col min="16075" max="16075" width="5.7109375" style="343" customWidth="1"/>
    <col min="16076" max="16076" width="8.7109375" style="343" customWidth="1"/>
    <col min="16077" max="16077" width="5.7109375" style="343" customWidth="1"/>
    <col min="16078" max="16078" width="8.7109375" style="343" customWidth="1"/>
    <col min="16079" max="16079" width="5.7109375" style="343" customWidth="1"/>
    <col min="16080" max="16080" width="10.42578125" style="343" customWidth="1"/>
    <col min="16081" max="16081" width="8.85546875" style="343" customWidth="1"/>
    <col min="16082" max="16082" width="9.140625" style="343"/>
    <col min="16083" max="16083" width="11.28515625" style="343" bestFit="1" customWidth="1"/>
    <col min="16084" max="16283" width="9.140625" style="343"/>
    <col min="16284" max="16284" width="11" style="343" customWidth="1"/>
    <col min="16285" max="16285" width="20.7109375" style="343" customWidth="1"/>
    <col min="16286" max="16286" width="7.85546875" style="343" customWidth="1"/>
    <col min="16287" max="16287" width="49.42578125" style="343" customWidth="1"/>
    <col min="16288" max="16288" width="18.5703125" style="343" customWidth="1"/>
    <col min="16289" max="16289" width="8.7109375" style="343" customWidth="1"/>
    <col min="16290" max="16290" width="5.7109375" style="343" customWidth="1"/>
    <col min="16291" max="16291" width="8.7109375" style="343" customWidth="1"/>
    <col min="16292" max="16292" width="5.7109375" style="343" customWidth="1"/>
    <col min="16293" max="16293" width="8.7109375" style="343" customWidth="1"/>
    <col min="16294" max="16294" width="5.7109375" style="343" customWidth="1"/>
    <col min="16295" max="16295" width="10.42578125" style="343" customWidth="1"/>
    <col min="16296" max="16297" width="9" style="343" customWidth="1"/>
    <col min="16298" max="16298" width="8.7109375" style="343" customWidth="1"/>
    <col min="16299" max="16299" width="5.7109375" style="343" customWidth="1"/>
    <col min="16300" max="16300" width="8.7109375" style="343" customWidth="1"/>
    <col min="16301" max="16301" width="5.7109375" style="343" customWidth="1"/>
    <col min="16302" max="16302" width="8.7109375" style="343" customWidth="1"/>
    <col min="16303" max="16303" width="5.7109375" style="343" customWidth="1"/>
    <col min="16304" max="16304" width="10.42578125" style="343" customWidth="1"/>
    <col min="16305" max="16311" width="9" style="343" customWidth="1"/>
    <col min="16312" max="16312" width="10.42578125" style="343" customWidth="1"/>
    <col min="16313" max="16313" width="9" style="343" customWidth="1"/>
    <col min="16314" max="16314" width="8.7109375" style="343" customWidth="1"/>
    <col min="16315" max="16315" width="5.7109375" style="343" customWidth="1"/>
    <col min="16316" max="16316" width="8.7109375" style="343" customWidth="1"/>
    <col min="16317" max="16317" width="5.7109375" style="343" customWidth="1"/>
    <col min="16318" max="16318" width="8.7109375" style="343" customWidth="1"/>
    <col min="16319" max="16319" width="5.7109375" style="343" customWidth="1"/>
    <col min="16320" max="16320" width="10.42578125" style="343" customWidth="1"/>
    <col min="16321" max="16321" width="11.140625" style="343" customWidth="1"/>
    <col min="16322" max="16322" width="8.7109375" style="343" customWidth="1"/>
    <col min="16323" max="16323" width="5.7109375" style="343" customWidth="1"/>
    <col min="16324" max="16324" width="8.28515625" style="343" customWidth="1"/>
    <col min="16325" max="16325" width="5.7109375" style="343" customWidth="1"/>
    <col min="16326" max="16326" width="8.7109375" style="343" customWidth="1"/>
    <col min="16327" max="16327" width="5.7109375" style="343" customWidth="1"/>
    <col min="16328" max="16328" width="10.42578125" style="343" customWidth="1"/>
    <col min="16329" max="16329" width="9.28515625" style="343" customWidth="1"/>
    <col min="16330" max="16330" width="8.7109375" style="343" customWidth="1"/>
    <col min="16331" max="16331" width="5.7109375" style="343" customWidth="1"/>
    <col min="16332" max="16332" width="8.7109375" style="343" customWidth="1"/>
    <col min="16333" max="16333" width="5.7109375" style="343" customWidth="1"/>
    <col min="16334" max="16334" width="8.7109375" style="343" customWidth="1"/>
    <col min="16335" max="16335" width="5.7109375" style="343" customWidth="1"/>
    <col min="16336" max="16336" width="10.42578125" style="343" customWidth="1"/>
    <col min="16337" max="16337" width="8.85546875" style="343" customWidth="1"/>
    <col min="16338" max="16338" width="9.140625" style="343"/>
    <col min="16339" max="16339" width="11.28515625" style="343" bestFit="1" customWidth="1"/>
    <col min="16340" max="16384" width="9.140625" style="343"/>
  </cols>
  <sheetData>
    <row r="1" spans="1:261" s="603" customFormat="1" ht="12" customHeight="1">
      <c r="A1" s="595"/>
      <c r="B1" s="596"/>
      <c r="C1" s="595"/>
      <c r="D1" s="595"/>
      <c r="E1" s="604"/>
      <c r="F1" s="595"/>
      <c r="G1" s="595"/>
      <c r="H1" s="595"/>
      <c r="I1" s="595"/>
      <c r="J1" s="595"/>
      <c r="K1" s="595"/>
      <c r="L1" s="595"/>
      <c r="M1" s="595"/>
      <c r="N1" s="595"/>
      <c r="O1" s="595"/>
      <c r="P1" s="595"/>
      <c r="Q1" s="595"/>
      <c r="R1" s="595"/>
      <c r="S1" s="595"/>
      <c r="T1" s="595"/>
      <c r="U1" s="595"/>
      <c r="V1" s="595"/>
      <c r="W1" s="595"/>
      <c r="X1" s="595"/>
      <c r="Y1" s="595"/>
      <c r="Z1" s="595"/>
      <c r="AA1" s="595"/>
      <c r="AB1" s="595"/>
      <c r="AC1" s="595"/>
      <c r="AD1" s="595"/>
      <c r="AE1" s="595"/>
      <c r="AF1" s="595"/>
      <c r="AG1" s="595"/>
      <c r="AH1" s="595"/>
      <c r="AI1" s="595"/>
      <c r="AJ1" s="595"/>
      <c r="AK1" s="595"/>
      <c r="AL1" s="595"/>
      <c r="AM1" s="595"/>
      <c r="AN1" s="595"/>
      <c r="AO1" s="595"/>
      <c r="AP1" s="595"/>
      <c r="AQ1" s="595"/>
      <c r="AR1" s="595"/>
      <c r="AS1" s="595"/>
      <c r="AT1" s="595"/>
      <c r="AU1" s="595"/>
      <c r="AV1" s="595"/>
      <c r="AW1" s="595"/>
      <c r="AX1" s="595"/>
      <c r="AY1" s="595"/>
      <c r="AZ1" s="595"/>
      <c r="BA1" s="595"/>
      <c r="BB1" s="595"/>
      <c r="BC1" s="595"/>
      <c r="BD1" s="595"/>
      <c r="BE1" s="595"/>
      <c r="BF1" s="595"/>
      <c r="BG1" s="595"/>
      <c r="BH1" s="595"/>
      <c r="BI1" s="595"/>
      <c r="BJ1" s="595"/>
      <c r="BK1" s="595"/>
      <c r="BL1" s="595"/>
      <c r="BM1" s="595"/>
      <c r="BN1" s="595"/>
      <c r="BO1" s="595"/>
      <c r="BP1" s="595"/>
      <c r="BQ1" s="595"/>
      <c r="BR1" s="595"/>
      <c r="BS1" s="595"/>
      <c r="BT1" s="595"/>
      <c r="BU1" s="595"/>
      <c r="BV1" s="595"/>
      <c r="BW1" s="595"/>
      <c r="BX1" s="595"/>
      <c r="BY1" s="595"/>
      <c r="BZ1" s="595"/>
      <c r="CA1" s="595"/>
      <c r="CB1" s="595"/>
      <c r="CC1" s="595"/>
      <c r="CD1" s="595"/>
      <c r="CE1" s="595"/>
      <c r="CF1" s="595"/>
      <c r="CG1" s="595"/>
      <c r="CH1" s="595"/>
      <c r="CI1" s="595"/>
      <c r="CJ1" s="595"/>
      <c r="CK1" s="595"/>
      <c r="CL1" s="595"/>
      <c r="CM1" s="595"/>
      <c r="CN1" s="595"/>
      <c r="CO1" s="595"/>
      <c r="CP1" s="595"/>
      <c r="CQ1" s="595"/>
      <c r="CR1" s="595"/>
      <c r="CS1" s="595"/>
      <c r="CT1" s="595"/>
      <c r="CU1" s="595"/>
      <c r="CV1" s="595"/>
      <c r="CW1" s="595"/>
      <c r="CX1" s="595"/>
      <c r="CY1" s="595"/>
      <c r="CZ1" s="595"/>
      <c r="DA1" s="595"/>
      <c r="DB1" s="595"/>
      <c r="DC1" s="595"/>
      <c r="DD1" s="595"/>
      <c r="DE1" s="595"/>
      <c r="DF1" s="595"/>
      <c r="DG1" s="595"/>
      <c r="DH1" s="595"/>
      <c r="DI1" s="595"/>
      <c r="DJ1" s="595"/>
      <c r="DK1" s="595"/>
      <c r="DL1" s="595"/>
      <c r="DM1" s="595"/>
      <c r="DN1" s="595"/>
      <c r="DO1" s="595"/>
      <c r="DP1" s="595"/>
      <c r="DQ1" s="595"/>
      <c r="DR1" s="595"/>
      <c r="DS1" s="595"/>
      <c r="DT1" s="595"/>
      <c r="DU1" s="595"/>
      <c r="DV1" s="595"/>
      <c r="DW1" s="595"/>
      <c r="DX1" s="595"/>
      <c r="DY1" s="595"/>
      <c r="DZ1" s="595"/>
      <c r="EA1" s="595"/>
      <c r="EB1" s="595"/>
      <c r="EC1" s="595"/>
      <c r="ED1" s="595"/>
      <c r="EE1" s="595"/>
      <c r="EF1" s="595"/>
      <c r="EG1" s="595"/>
      <c r="EH1" s="595"/>
      <c r="EI1" s="595"/>
      <c r="EJ1" s="595"/>
      <c r="EK1" s="595"/>
      <c r="EL1" s="595"/>
      <c r="EM1" s="595"/>
      <c r="EN1" s="595"/>
      <c r="EO1" s="595"/>
      <c r="EP1" s="595"/>
      <c r="EQ1" s="595"/>
      <c r="ER1" s="595"/>
      <c r="ES1" s="595"/>
      <c r="ET1" s="595"/>
      <c r="EU1" s="595"/>
      <c r="EV1" s="595"/>
      <c r="EW1" s="595"/>
      <c r="EX1" s="595"/>
      <c r="EY1" s="595"/>
      <c r="EZ1" s="595"/>
      <c r="FA1" s="595"/>
      <c r="FB1" s="595"/>
      <c r="FC1" s="595"/>
      <c r="FD1" s="595"/>
      <c r="FE1" s="595"/>
      <c r="FF1" s="595"/>
      <c r="FG1" s="595"/>
      <c r="FH1" s="595"/>
      <c r="FI1" s="595"/>
      <c r="FJ1" s="595"/>
      <c r="FK1" s="595"/>
      <c r="FL1" s="595"/>
      <c r="FM1" s="595"/>
      <c r="FN1" s="595"/>
      <c r="FO1" s="595"/>
      <c r="FP1" s="595"/>
      <c r="FQ1" s="595"/>
      <c r="FR1" s="595"/>
      <c r="FS1" s="595"/>
      <c r="FT1" s="595"/>
      <c r="FU1" s="595"/>
      <c r="FV1" s="595"/>
      <c r="FW1" s="595"/>
      <c r="FX1" s="595"/>
      <c r="FY1" s="595"/>
      <c r="FZ1" s="595"/>
      <c r="GA1" s="595"/>
      <c r="GB1" s="595"/>
      <c r="GC1" s="595"/>
      <c r="GD1" s="595"/>
      <c r="GE1" s="595"/>
      <c r="GF1" s="595"/>
      <c r="GG1" s="595"/>
      <c r="GH1" s="595"/>
      <c r="GI1" s="595"/>
      <c r="GJ1" s="595"/>
      <c r="GK1" s="595"/>
      <c r="GL1" s="595"/>
      <c r="GM1" s="595"/>
      <c r="GN1" s="595"/>
      <c r="GO1" s="595"/>
      <c r="GP1" s="595"/>
      <c r="GQ1" s="595"/>
      <c r="GR1" s="595"/>
      <c r="GS1" s="595"/>
      <c r="GT1" s="595"/>
      <c r="GU1" s="595"/>
      <c r="GV1" s="595"/>
      <c r="GW1" s="595"/>
      <c r="GX1" s="595"/>
      <c r="GY1" s="595"/>
      <c r="GZ1" s="595"/>
      <c r="HA1" s="595"/>
      <c r="HB1" s="595"/>
      <c r="HC1" s="595"/>
      <c r="HD1" s="595"/>
      <c r="HE1" s="595"/>
      <c r="HF1" s="595"/>
      <c r="HG1" s="595"/>
      <c r="HH1" s="595"/>
      <c r="HI1" s="595"/>
      <c r="HJ1" s="595"/>
      <c r="HK1" s="595"/>
      <c r="HL1" s="595"/>
      <c r="HM1" s="595"/>
      <c r="HN1" s="595"/>
      <c r="HO1" s="595"/>
      <c r="HP1" s="595"/>
      <c r="HQ1" s="595"/>
      <c r="HR1" s="595"/>
      <c r="HS1" s="595"/>
      <c r="HT1" s="595"/>
      <c r="HU1" s="595"/>
      <c r="HV1" s="595"/>
      <c r="HW1" s="595"/>
      <c r="HX1" s="595"/>
      <c r="HY1" s="595"/>
      <c r="HZ1" s="595"/>
      <c r="IA1" s="595"/>
      <c r="IB1" s="595"/>
      <c r="IC1" s="595"/>
      <c r="ID1" s="595"/>
      <c r="IE1" s="595"/>
      <c r="IF1" s="595"/>
      <c r="IG1" s="595"/>
      <c r="IH1" s="595"/>
      <c r="II1" s="595"/>
      <c r="IJ1" s="595"/>
      <c r="IK1" s="595"/>
      <c r="IL1" s="595"/>
      <c r="IM1" s="595"/>
      <c r="IN1" s="595"/>
      <c r="IO1" s="595"/>
    </row>
    <row r="2" spans="1:261" ht="12" customHeight="1">
      <c r="A2" s="595"/>
      <c r="B2" s="598"/>
      <c r="C2" s="598"/>
      <c r="D2" s="598"/>
      <c r="E2" s="605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598"/>
      <c r="AI2" s="598"/>
      <c r="AJ2" s="598"/>
      <c r="AK2" s="598"/>
      <c r="AL2" s="598"/>
      <c r="AM2" s="598"/>
      <c r="AN2" s="598"/>
      <c r="AO2" s="598"/>
      <c r="AP2" s="598"/>
      <c r="AQ2" s="598"/>
      <c r="AR2" s="598"/>
      <c r="AS2" s="598"/>
      <c r="AT2" s="598"/>
      <c r="AU2" s="598"/>
      <c r="AV2" s="598"/>
      <c r="AW2" s="598"/>
      <c r="AX2" s="598"/>
      <c r="AY2" s="598"/>
      <c r="AZ2" s="598"/>
      <c r="BA2" s="598"/>
      <c r="BB2" s="598"/>
      <c r="BC2" s="598"/>
      <c r="BD2" s="598"/>
      <c r="BE2" s="598"/>
      <c r="BF2" s="598"/>
      <c r="BG2" s="598"/>
      <c r="BH2" s="598"/>
      <c r="BI2" s="598"/>
      <c r="BJ2" s="598"/>
      <c r="BK2" s="598"/>
      <c r="BL2" s="598"/>
      <c r="BM2" s="598"/>
      <c r="BN2" s="598"/>
      <c r="BO2" s="598"/>
      <c r="BP2" s="598"/>
      <c r="BQ2" s="598"/>
      <c r="BR2" s="598"/>
      <c r="BS2" s="598"/>
      <c r="BT2" s="598"/>
      <c r="BU2" s="598"/>
      <c r="BV2" s="598"/>
      <c r="BW2" s="598"/>
      <c r="BX2" s="598"/>
      <c r="BY2" s="598"/>
      <c r="BZ2" s="598"/>
      <c r="CA2" s="598"/>
      <c r="CB2" s="598"/>
      <c r="CC2" s="598"/>
      <c r="CD2" s="598"/>
      <c r="CE2" s="598"/>
      <c r="CF2" s="598"/>
      <c r="CG2" s="598"/>
      <c r="CH2" s="598"/>
      <c r="CI2" s="598"/>
      <c r="CJ2" s="598"/>
      <c r="CK2" s="598"/>
      <c r="CL2" s="598"/>
      <c r="CM2" s="598"/>
      <c r="CN2" s="598"/>
      <c r="CO2" s="598"/>
      <c r="CP2" s="598"/>
      <c r="CQ2" s="598"/>
      <c r="CR2" s="598"/>
      <c r="CS2" s="598"/>
      <c r="CT2" s="598"/>
      <c r="CU2" s="598"/>
      <c r="CV2" s="598"/>
      <c r="CW2" s="598"/>
      <c r="CX2" s="598"/>
      <c r="CY2" s="598"/>
      <c r="CZ2" s="598"/>
      <c r="DA2" s="598"/>
      <c r="DB2" s="598"/>
      <c r="DC2" s="598"/>
      <c r="DD2" s="598"/>
      <c r="DE2" s="598"/>
      <c r="DF2" s="598"/>
      <c r="DG2" s="598"/>
      <c r="DH2" s="598"/>
      <c r="DI2" s="598"/>
      <c r="DJ2" s="598"/>
      <c r="DK2" s="598"/>
      <c r="DL2" s="598"/>
      <c r="DM2" s="598"/>
      <c r="DN2" s="598"/>
      <c r="DO2" s="598"/>
      <c r="DP2" s="598"/>
      <c r="DQ2" s="598"/>
      <c r="DR2" s="598"/>
      <c r="DS2" s="598"/>
      <c r="DT2" s="598"/>
      <c r="DU2" s="598"/>
      <c r="DV2" s="598"/>
      <c r="DW2" s="598"/>
      <c r="DX2" s="598"/>
      <c r="DY2" s="598"/>
      <c r="DZ2" s="598"/>
      <c r="EA2" s="598"/>
      <c r="EB2" s="598"/>
      <c r="EC2" s="598"/>
      <c r="ED2" s="598"/>
      <c r="EE2" s="598"/>
      <c r="EF2" s="598"/>
      <c r="EG2" s="598"/>
      <c r="EH2" s="598"/>
      <c r="EI2" s="598"/>
      <c r="EJ2" s="598"/>
      <c r="EK2" s="598"/>
      <c r="EL2" s="598"/>
      <c r="EM2" s="598"/>
      <c r="EN2" s="598"/>
      <c r="EO2" s="598"/>
      <c r="EP2" s="598"/>
      <c r="EQ2" s="598"/>
      <c r="ER2" s="598"/>
      <c r="ES2" s="598"/>
      <c r="ET2" s="598"/>
      <c r="EU2" s="598"/>
      <c r="EV2" s="598"/>
      <c r="EW2" s="598"/>
      <c r="EX2" s="598"/>
      <c r="EY2" s="598"/>
      <c r="EZ2" s="598"/>
      <c r="FA2" s="598"/>
      <c r="FB2" s="598"/>
      <c r="FC2" s="598"/>
      <c r="FD2" s="598"/>
      <c r="FE2" s="598"/>
      <c r="FF2" s="598"/>
      <c r="FG2" s="598"/>
      <c r="FH2" s="598"/>
      <c r="FI2" s="598"/>
      <c r="FJ2" s="598"/>
      <c r="FK2" s="598"/>
      <c r="FL2" s="598"/>
      <c r="FM2" s="598"/>
      <c r="FN2" s="598"/>
      <c r="FO2" s="598"/>
      <c r="FP2" s="598"/>
      <c r="FQ2" s="598"/>
      <c r="FR2" s="598"/>
      <c r="FS2" s="598"/>
      <c r="FT2" s="598"/>
      <c r="FU2" s="598"/>
      <c r="FV2" s="598"/>
      <c r="FW2" s="598"/>
      <c r="FX2" s="598"/>
      <c r="FY2" s="598"/>
      <c r="FZ2" s="598"/>
      <c r="GA2" s="598"/>
      <c r="GB2" s="598"/>
      <c r="GC2" s="598"/>
      <c r="GD2" s="598"/>
      <c r="GE2" s="598"/>
      <c r="GF2" s="598"/>
      <c r="GG2" s="598"/>
      <c r="GH2" s="598"/>
      <c r="GI2" s="598"/>
      <c r="GJ2" s="598"/>
      <c r="GK2" s="598"/>
      <c r="GL2" s="598"/>
      <c r="GM2" s="598"/>
      <c r="GN2" s="598"/>
      <c r="GO2" s="598"/>
      <c r="GP2" s="598"/>
      <c r="GQ2" s="598"/>
      <c r="GR2" s="598"/>
      <c r="GS2" s="598"/>
      <c r="GT2" s="598"/>
      <c r="GU2" s="598"/>
      <c r="GV2" s="598"/>
      <c r="GW2" s="598"/>
      <c r="GX2" s="598"/>
      <c r="GY2" s="598"/>
      <c r="GZ2" s="598"/>
      <c r="HA2" s="598"/>
      <c r="HB2" s="598"/>
      <c r="HC2" s="598"/>
      <c r="HD2" s="598"/>
      <c r="HE2" s="598"/>
      <c r="HF2" s="598"/>
      <c r="HG2" s="598"/>
      <c r="HH2" s="598"/>
      <c r="HI2" s="598"/>
      <c r="HJ2" s="598"/>
      <c r="HK2" s="598"/>
      <c r="HL2" s="598"/>
      <c r="HM2" s="598"/>
      <c r="HN2" s="598"/>
      <c r="HO2" s="598"/>
      <c r="HP2" s="598"/>
      <c r="HQ2" s="598"/>
      <c r="HR2" s="598"/>
      <c r="HS2" s="598"/>
      <c r="HT2" s="598"/>
      <c r="HU2" s="598"/>
      <c r="HV2" s="598"/>
      <c r="HW2" s="598"/>
      <c r="HX2" s="598"/>
      <c r="HY2" s="598"/>
      <c r="HZ2" s="598"/>
      <c r="IA2" s="598"/>
      <c r="IB2" s="598"/>
      <c r="IC2" s="598"/>
      <c r="ID2" s="598"/>
      <c r="IE2" s="598"/>
      <c r="IF2" s="598"/>
      <c r="IG2" s="598"/>
      <c r="IH2" s="598"/>
      <c r="II2" s="598"/>
      <c r="IJ2" s="598"/>
      <c r="IK2" s="598"/>
      <c r="IL2" s="598"/>
      <c r="IM2" s="598"/>
      <c r="IN2" s="598"/>
      <c r="IO2" s="598"/>
      <c r="IP2" s="606"/>
      <c r="IQ2" s="606"/>
      <c r="IR2" s="606"/>
      <c r="IS2" s="606"/>
      <c r="IT2" s="606"/>
      <c r="IU2" s="606"/>
      <c r="IV2" s="606"/>
      <c r="IW2" s="606"/>
      <c r="IX2" s="606"/>
      <c r="IY2" s="606"/>
      <c r="IZ2" s="606"/>
      <c r="JA2" s="606"/>
    </row>
    <row r="3" spans="1:261" ht="12" customHeight="1">
      <c r="A3" s="595"/>
      <c r="B3" s="598"/>
      <c r="C3" s="599"/>
      <c r="D3" s="599"/>
      <c r="E3" s="607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599"/>
      <c r="AI3" s="599"/>
      <c r="AJ3" s="599"/>
      <c r="AK3" s="599"/>
      <c r="AL3" s="599"/>
      <c r="AM3" s="599"/>
      <c r="AN3" s="599"/>
      <c r="AO3" s="599"/>
      <c r="AP3" s="599"/>
      <c r="AQ3" s="599"/>
      <c r="AR3" s="599"/>
      <c r="AS3" s="599"/>
      <c r="AT3" s="599"/>
      <c r="AU3" s="599"/>
      <c r="AV3" s="599"/>
      <c r="AW3" s="599"/>
      <c r="AX3" s="599"/>
      <c r="AY3" s="599"/>
      <c r="AZ3" s="599"/>
      <c r="BA3" s="599"/>
      <c r="BB3" s="599"/>
      <c r="BC3" s="599"/>
      <c r="BD3" s="599"/>
      <c r="BE3" s="599"/>
      <c r="BF3" s="599"/>
      <c r="BG3" s="599"/>
      <c r="BH3" s="599"/>
      <c r="BI3" s="599"/>
      <c r="BJ3" s="599"/>
      <c r="BK3" s="599"/>
      <c r="BL3" s="599"/>
      <c r="BM3" s="599"/>
      <c r="BN3" s="599"/>
      <c r="BO3" s="599"/>
      <c r="BP3" s="599"/>
      <c r="BQ3" s="599"/>
      <c r="BR3" s="599"/>
      <c r="BS3" s="599"/>
      <c r="BT3" s="599"/>
      <c r="BU3" s="599"/>
      <c r="BV3" s="599"/>
      <c r="BW3" s="599"/>
      <c r="BX3" s="599"/>
      <c r="BY3" s="599"/>
      <c r="BZ3" s="599"/>
      <c r="CA3" s="599"/>
      <c r="CB3" s="599"/>
      <c r="CC3" s="599"/>
      <c r="CD3" s="599"/>
      <c r="CE3" s="599"/>
      <c r="CF3" s="599"/>
      <c r="CG3" s="599"/>
      <c r="CH3" s="599"/>
      <c r="CI3" s="599"/>
      <c r="CJ3" s="599"/>
      <c r="CK3" s="599"/>
      <c r="CL3" s="599"/>
      <c r="CM3" s="599"/>
      <c r="CN3" s="599"/>
      <c r="CO3" s="599"/>
      <c r="CP3" s="599"/>
      <c r="CQ3" s="599"/>
      <c r="CR3" s="599"/>
      <c r="CS3" s="599"/>
      <c r="CT3" s="599"/>
      <c r="CU3" s="599"/>
      <c r="CV3" s="599"/>
      <c r="CW3" s="599"/>
      <c r="CX3" s="599"/>
      <c r="CY3" s="599"/>
      <c r="CZ3" s="599"/>
      <c r="DA3" s="599"/>
      <c r="DB3" s="599"/>
      <c r="DC3" s="599"/>
      <c r="DD3" s="599"/>
      <c r="DE3" s="599"/>
      <c r="DF3" s="599"/>
      <c r="DG3" s="599"/>
      <c r="DH3" s="599"/>
      <c r="DI3" s="599"/>
      <c r="DJ3" s="599"/>
      <c r="DK3" s="599"/>
      <c r="DL3" s="599"/>
      <c r="DM3" s="599"/>
      <c r="DN3" s="599"/>
      <c r="DO3" s="599"/>
      <c r="DP3" s="599"/>
      <c r="DQ3" s="599"/>
      <c r="DR3" s="599"/>
      <c r="DS3" s="599"/>
      <c r="DT3" s="599"/>
      <c r="DU3" s="599"/>
      <c r="DV3" s="599"/>
      <c r="DW3" s="599"/>
      <c r="DX3" s="599"/>
      <c r="DY3" s="599"/>
      <c r="DZ3" s="599"/>
      <c r="EA3" s="599"/>
      <c r="EB3" s="599"/>
      <c r="EC3" s="599"/>
      <c r="ED3" s="599"/>
      <c r="EE3" s="599"/>
      <c r="EF3" s="599"/>
      <c r="EG3" s="599"/>
      <c r="EH3" s="599"/>
      <c r="EI3" s="599"/>
      <c r="EJ3" s="599"/>
      <c r="EK3" s="599"/>
      <c r="EL3" s="599"/>
      <c r="EM3" s="599"/>
      <c r="EN3" s="599"/>
      <c r="EO3" s="599"/>
      <c r="EP3" s="599"/>
      <c r="EQ3" s="599"/>
      <c r="ER3" s="599"/>
      <c r="ES3" s="599"/>
      <c r="ET3" s="599"/>
      <c r="EU3" s="599"/>
      <c r="EV3" s="599"/>
      <c r="EW3" s="599"/>
      <c r="EX3" s="599"/>
      <c r="EY3" s="599"/>
      <c r="EZ3" s="599"/>
      <c r="FA3" s="599"/>
      <c r="FB3" s="599"/>
      <c r="FC3" s="599"/>
      <c r="FD3" s="599"/>
      <c r="FE3" s="599"/>
      <c r="FF3" s="599"/>
      <c r="FG3" s="599"/>
      <c r="FH3" s="599"/>
      <c r="FI3" s="599"/>
      <c r="FJ3" s="599"/>
      <c r="FK3" s="599"/>
      <c r="FL3" s="599"/>
      <c r="FM3" s="599"/>
      <c r="FN3" s="599"/>
      <c r="FO3" s="599"/>
      <c r="FP3" s="599"/>
      <c r="FQ3" s="599"/>
      <c r="FR3" s="599"/>
      <c r="FS3" s="599"/>
      <c r="FT3" s="599"/>
      <c r="FU3" s="599"/>
      <c r="FV3" s="599"/>
      <c r="FW3" s="599"/>
      <c r="FX3" s="599"/>
      <c r="FY3" s="599"/>
      <c r="FZ3" s="599"/>
      <c r="GA3" s="599"/>
      <c r="GB3" s="599"/>
      <c r="GC3" s="599"/>
      <c r="GD3" s="599"/>
      <c r="GE3" s="599"/>
      <c r="GF3" s="599"/>
      <c r="GG3" s="599"/>
      <c r="GH3" s="599"/>
      <c r="GI3" s="599"/>
      <c r="GJ3" s="599"/>
      <c r="GK3" s="599"/>
      <c r="GL3" s="599"/>
      <c r="GM3" s="599"/>
      <c r="GN3" s="599"/>
      <c r="GO3" s="599"/>
      <c r="GP3" s="599"/>
      <c r="GQ3" s="599"/>
      <c r="GR3" s="599"/>
      <c r="GS3" s="599"/>
      <c r="GT3" s="599"/>
      <c r="GU3" s="599"/>
      <c r="GV3" s="599"/>
      <c r="GW3" s="599"/>
      <c r="GX3" s="599"/>
      <c r="GY3" s="599"/>
      <c r="GZ3" s="599"/>
      <c r="HA3" s="599"/>
      <c r="HB3" s="599"/>
      <c r="HC3" s="599"/>
      <c r="HD3" s="599"/>
      <c r="HE3" s="599"/>
      <c r="HF3" s="599"/>
      <c r="HG3" s="599"/>
      <c r="HH3" s="599"/>
      <c r="HI3" s="599"/>
      <c r="HJ3" s="599"/>
      <c r="HK3" s="599"/>
      <c r="HL3" s="599"/>
      <c r="HM3" s="599"/>
      <c r="HN3" s="599"/>
      <c r="HO3" s="599"/>
      <c r="HP3" s="599"/>
      <c r="HQ3" s="599"/>
      <c r="HR3" s="599"/>
      <c r="HS3" s="599"/>
      <c r="HT3" s="599"/>
      <c r="HU3" s="599"/>
      <c r="HV3" s="599"/>
      <c r="HW3" s="599"/>
      <c r="HX3" s="599"/>
      <c r="HY3" s="599"/>
      <c r="HZ3" s="599"/>
      <c r="IA3" s="599"/>
      <c r="IB3" s="599"/>
      <c r="IC3" s="599"/>
      <c r="ID3" s="599"/>
      <c r="IE3" s="599"/>
      <c r="IF3" s="599"/>
      <c r="IG3" s="599"/>
      <c r="IH3" s="599"/>
      <c r="II3" s="599"/>
      <c r="IJ3" s="599"/>
      <c r="IK3" s="599"/>
      <c r="IL3" s="599"/>
      <c r="IM3" s="599"/>
      <c r="IN3" s="599"/>
      <c r="IO3" s="599"/>
      <c r="IP3" s="608"/>
      <c r="IQ3" s="608"/>
      <c r="IR3" s="608"/>
      <c r="IS3" s="608"/>
      <c r="IT3" s="608"/>
      <c r="IU3" s="608"/>
      <c r="IV3" s="608"/>
      <c r="IW3" s="608"/>
      <c r="IX3" s="608"/>
      <c r="IY3" s="608"/>
      <c r="IZ3" s="608"/>
      <c r="JA3" s="608"/>
    </row>
    <row r="4" spans="1:261">
      <c r="A4" s="595"/>
      <c r="B4" s="598"/>
      <c r="C4" s="599"/>
      <c r="D4" s="1866" t="s">
        <v>344</v>
      </c>
      <c r="E4" s="1868" t="s">
        <v>345</v>
      </c>
      <c r="F4" s="1871" t="s">
        <v>3</v>
      </c>
      <c r="G4" s="1871" t="s">
        <v>346</v>
      </c>
      <c r="H4" s="1874" t="s">
        <v>347</v>
      </c>
      <c r="I4" s="1864">
        <v>2025</v>
      </c>
      <c r="J4" s="1864"/>
      <c r="K4" s="1864"/>
      <c r="L4" s="1864"/>
      <c r="M4" s="1864"/>
      <c r="N4" s="1864"/>
      <c r="O4" s="1864"/>
      <c r="P4" s="1864"/>
      <c r="Q4" s="1864"/>
      <c r="R4" s="1864">
        <v>2026</v>
      </c>
      <c r="S4" s="1864"/>
      <c r="T4" s="1864"/>
      <c r="U4" s="1864"/>
      <c r="V4" s="1864"/>
      <c r="W4" s="1864"/>
      <c r="X4" s="1864"/>
      <c r="Y4" s="1864"/>
      <c r="Z4" s="1864">
        <v>2027</v>
      </c>
      <c r="AA4" s="1864"/>
      <c r="AB4" s="1864"/>
      <c r="AC4" s="1864"/>
      <c r="AD4" s="1864"/>
      <c r="AE4" s="1864"/>
      <c r="AF4" s="1864"/>
      <c r="AG4" s="1864"/>
      <c r="AH4" s="1864">
        <v>2028</v>
      </c>
      <c r="AI4" s="1864"/>
      <c r="AJ4" s="1864"/>
      <c r="AK4" s="1864"/>
      <c r="AL4" s="1864"/>
      <c r="AM4" s="1864"/>
      <c r="AN4" s="1864"/>
      <c r="AO4" s="1864"/>
      <c r="AP4" s="1864">
        <v>2029</v>
      </c>
      <c r="AQ4" s="1864"/>
      <c r="AR4" s="1864"/>
      <c r="AS4" s="1864"/>
      <c r="AT4" s="1864"/>
      <c r="AU4" s="1864"/>
      <c r="AV4" s="1864"/>
      <c r="AW4" s="1864"/>
      <c r="AX4" s="1864">
        <v>2030</v>
      </c>
      <c r="AY4" s="1864"/>
      <c r="AZ4" s="1864"/>
      <c r="BA4" s="1864"/>
      <c r="BB4" s="1864"/>
      <c r="BC4" s="1864"/>
      <c r="BD4" s="1864"/>
      <c r="BE4" s="1864"/>
      <c r="BF4" s="1864">
        <v>2031</v>
      </c>
      <c r="BG4" s="1864"/>
      <c r="BH4" s="1864"/>
      <c r="BI4" s="1864"/>
      <c r="BJ4" s="1864"/>
      <c r="BK4" s="1864"/>
      <c r="BL4" s="1864"/>
      <c r="BM4" s="1864"/>
      <c r="BN4" s="1864">
        <v>2032</v>
      </c>
      <c r="BO4" s="1864"/>
      <c r="BP4" s="1864"/>
      <c r="BQ4" s="1864"/>
      <c r="BR4" s="1864"/>
      <c r="BS4" s="1864"/>
      <c r="BT4" s="1864"/>
      <c r="BU4" s="1864"/>
      <c r="BV4" s="1864">
        <v>2033</v>
      </c>
      <c r="BW4" s="1864"/>
      <c r="BX4" s="1864"/>
      <c r="BY4" s="1864"/>
      <c r="BZ4" s="1864"/>
      <c r="CA4" s="1864"/>
      <c r="CB4" s="1864"/>
      <c r="CC4" s="1864"/>
      <c r="CD4" s="1864">
        <v>2034</v>
      </c>
      <c r="CE4" s="1864"/>
      <c r="CF4" s="1864"/>
      <c r="CG4" s="1864"/>
      <c r="CH4" s="1864"/>
      <c r="CI4" s="1864"/>
      <c r="CJ4" s="1864"/>
      <c r="CK4" s="1864"/>
      <c r="CL4" s="1864">
        <v>2035</v>
      </c>
      <c r="CM4" s="1864"/>
      <c r="CN4" s="1864"/>
      <c r="CO4" s="1864"/>
      <c r="CP4" s="1864"/>
      <c r="CQ4" s="1864"/>
      <c r="CR4" s="1864"/>
      <c r="CS4" s="1864"/>
      <c r="CT4" s="1864">
        <v>2036</v>
      </c>
      <c r="CU4" s="1864"/>
      <c r="CV4" s="1864"/>
      <c r="CW4" s="1864"/>
      <c r="CX4" s="1864"/>
      <c r="CY4" s="1864"/>
      <c r="CZ4" s="1864"/>
      <c r="DA4" s="1864"/>
      <c r="DB4" s="1864">
        <v>2037</v>
      </c>
      <c r="DC4" s="1864"/>
      <c r="DD4" s="1864"/>
      <c r="DE4" s="1864"/>
      <c r="DF4" s="1864"/>
      <c r="DG4" s="1864"/>
      <c r="DH4" s="1864"/>
      <c r="DI4" s="1864"/>
      <c r="DJ4" s="1864">
        <v>2038</v>
      </c>
      <c r="DK4" s="1864"/>
      <c r="DL4" s="1864"/>
      <c r="DM4" s="1864"/>
      <c r="DN4" s="1864"/>
      <c r="DO4" s="1864"/>
      <c r="DP4" s="1864"/>
      <c r="DQ4" s="1864"/>
      <c r="DR4" s="1864">
        <v>2039</v>
      </c>
      <c r="DS4" s="1864"/>
      <c r="DT4" s="1864"/>
      <c r="DU4" s="1864"/>
      <c r="DV4" s="1864"/>
      <c r="DW4" s="1864"/>
      <c r="DX4" s="1864"/>
      <c r="DY4" s="1864"/>
      <c r="DZ4" s="1864">
        <v>2040</v>
      </c>
      <c r="EA4" s="1864"/>
      <c r="EB4" s="1864"/>
      <c r="EC4" s="1864"/>
      <c r="ED4" s="1864"/>
      <c r="EE4" s="1864"/>
      <c r="EF4" s="1864"/>
      <c r="EG4" s="1864"/>
      <c r="EH4" s="1864">
        <v>2041</v>
      </c>
      <c r="EI4" s="1864"/>
      <c r="EJ4" s="1864"/>
      <c r="EK4" s="1864"/>
      <c r="EL4" s="1864"/>
      <c r="EM4" s="1864"/>
      <c r="EN4" s="1864"/>
      <c r="EO4" s="1864"/>
      <c r="EP4" s="1864">
        <v>2042</v>
      </c>
      <c r="EQ4" s="1864"/>
      <c r="ER4" s="1864"/>
      <c r="ES4" s="1864"/>
      <c r="ET4" s="1864"/>
      <c r="EU4" s="1864"/>
      <c r="EV4" s="1864"/>
      <c r="EW4" s="1864"/>
      <c r="EX4" s="1864">
        <v>2043</v>
      </c>
      <c r="EY4" s="1864"/>
      <c r="EZ4" s="1864"/>
      <c r="FA4" s="1864"/>
      <c r="FB4" s="1864"/>
      <c r="FC4" s="1864"/>
      <c r="FD4" s="1864"/>
      <c r="FE4" s="1864"/>
      <c r="FF4" s="1864">
        <v>2044</v>
      </c>
      <c r="FG4" s="1864"/>
      <c r="FH4" s="1864"/>
      <c r="FI4" s="1864"/>
      <c r="FJ4" s="1864"/>
      <c r="FK4" s="1864"/>
      <c r="FL4" s="1864"/>
      <c r="FM4" s="1864"/>
      <c r="FN4" s="1864">
        <v>2045</v>
      </c>
      <c r="FO4" s="1864"/>
      <c r="FP4" s="1864"/>
      <c r="FQ4" s="1864"/>
      <c r="FR4" s="1864"/>
      <c r="FS4" s="1864"/>
      <c r="FT4" s="1864"/>
      <c r="FU4" s="1864"/>
      <c r="FV4" s="1864">
        <v>2046</v>
      </c>
      <c r="FW4" s="1864"/>
      <c r="FX4" s="1864"/>
      <c r="FY4" s="1864"/>
      <c r="FZ4" s="1864"/>
      <c r="GA4" s="1864"/>
      <c r="GB4" s="1864"/>
      <c r="GC4" s="1864"/>
      <c r="GD4" s="1864">
        <v>2047</v>
      </c>
      <c r="GE4" s="1864"/>
      <c r="GF4" s="1864"/>
      <c r="GG4" s="1864"/>
      <c r="GH4" s="1864"/>
      <c r="GI4" s="1864"/>
      <c r="GJ4" s="1864"/>
      <c r="GK4" s="1864"/>
      <c r="GL4" s="1864">
        <v>2048</v>
      </c>
      <c r="GM4" s="1864"/>
      <c r="GN4" s="1864"/>
      <c r="GO4" s="1864"/>
      <c r="GP4" s="1864"/>
      <c r="GQ4" s="1864"/>
      <c r="GR4" s="1864"/>
      <c r="GS4" s="1864"/>
      <c r="GT4" s="1864">
        <v>2049</v>
      </c>
      <c r="GU4" s="1864"/>
      <c r="GV4" s="1864"/>
      <c r="GW4" s="1864"/>
      <c r="GX4" s="1864"/>
      <c r="GY4" s="1864"/>
      <c r="GZ4" s="1864"/>
      <c r="HA4" s="1864"/>
      <c r="HB4" s="1864">
        <v>2050</v>
      </c>
      <c r="HC4" s="1864"/>
      <c r="HD4" s="1864"/>
      <c r="HE4" s="1864"/>
      <c r="HF4" s="1864"/>
      <c r="HG4" s="1864"/>
      <c r="HH4" s="1864"/>
      <c r="HI4" s="1864"/>
      <c r="HJ4" s="1864">
        <v>2051</v>
      </c>
      <c r="HK4" s="1864"/>
      <c r="HL4" s="1864"/>
      <c r="HM4" s="1864"/>
      <c r="HN4" s="1864"/>
      <c r="HO4" s="1864"/>
      <c r="HP4" s="1864"/>
      <c r="HQ4" s="1864"/>
      <c r="HR4" s="1864">
        <v>2052</v>
      </c>
      <c r="HS4" s="1864"/>
      <c r="HT4" s="1864"/>
      <c r="HU4" s="1864"/>
      <c r="HV4" s="1864"/>
      <c r="HW4" s="1864"/>
      <c r="HX4" s="1864"/>
      <c r="HY4" s="1864"/>
      <c r="HZ4" s="1864">
        <v>2053</v>
      </c>
      <c r="IA4" s="1864"/>
      <c r="IB4" s="1864"/>
      <c r="IC4" s="1864"/>
      <c r="ID4" s="1864"/>
      <c r="IE4" s="1864"/>
      <c r="IF4" s="1864"/>
      <c r="IG4" s="1864"/>
      <c r="IH4" s="1864">
        <v>2054</v>
      </c>
      <c r="II4" s="1864"/>
      <c r="IJ4" s="1864"/>
      <c r="IK4" s="1864"/>
      <c r="IL4" s="1864"/>
      <c r="IM4" s="1864"/>
      <c r="IN4" s="1864"/>
      <c r="IO4" s="1864"/>
    </row>
    <row r="5" spans="1:261">
      <c r="A5" s="595"/>
      <c r="B5" s="598"/>
      <c r="C5" s="599"/>
      <c r="D5" s="1867"/>
      <c r="E5" s="1869"/>
      <c r="F5" s="1872"/>
      <c r="G5" s="1872"/>
      <c r="H5" s="1875"/>
      <c r="I5" s="1864" t="s">
        <v>348</v>
      </c>
      <c r="J5" s="1864"/>
      <c r="K5" s="1864"/>
      <c r="L5" s="1864"/>
      <c r="M5" s="1864"/>
      <c r="N5" s="1864"/>
      <c r="O5" s="1864"/>
      <c r="P5" s="1864"/>
      <c r="Q5" s="1864"/>
      <c r="R5" s="1864" t="s">
        <v>349</v>
      </c>
      <c r="S5" s="1864"/>
      <c r="T5" s="1864"/>
      <c r="U5" s="1864"/>
      <c r="V5" s="1864"/>
      <c r="W5" s="1864"/>
      <c r="X5" s="1864"/>
      <c r="Y5" s="1864"/>
      <c r="Z5" s="1864" t="s">
        <v>350</v>
      </c>
      <c r="AA5" s="1864"/>
      <c r="AB5" s="1864"/>
      <c r="AC5" s="1864"/>
      <c r="AD5" s="1864"/>
      <c r="AE5" s="1864"/>
      <c r="AF5" s="1864"/>
      <c r="AG5" s="1864"/>
      <c r="AH5" s="1864" t="s">
        <v>351</v>
      </c>
      <c r="AI5" s="1864"/>
      <c r="AJ5" s="1864"/>
      <c r="AK5" s="1864"/>
      <c r="AL5" s="1864"/>
      <c r="AM5" s="1864"/>
      <c r="AN5" s="1864"/>
      <c r="AO5" s="1864"/>
      <c r="AP5" s="1864" t="s">
        <v>352</v>
      </c>
      <c r="AQ5" s="1864"/>
      <c r="AR5" s="1864"/>
      <c r="AS5" s="1864"/>
      <c r="AT5" s="1864"/>
      <c r="AU5" s="1864"/>
      <c r="AV5" s="1864"/>
      <c r="AW5" s="1864"/>
      <c r="AX5" s="1864" t="s">
        <v>353</v>
      </c>
      <c r="AY5" s="1864"/>
      <c r="AZ5" s="1864"/>
      <c r="BA5" s="1864"/>
      <c r="BB5" s="1864"/>
      <c r="BC5" s="1864"/>
      <c r="BD5" s="1864"/>
      <c r="BE5" s="1864"/>
      <c r="BF5" s="1864" t="s">
        <v>354</v>
      </c>
      <c r="BG5" s="1864"/>
      <c r="BH5" s="1864"/>
      <c r="BI5" s="1864"/>
      <c r="BJ5" s="1864"/>
      <c r="BK5" s="1864"/>
      <c r="BL5" s="1864"/>
      <c r="BM5" s="1864"/>
      <c r="BN5" s="1864" t="s">
        <v>355</v>
      </c>
      <c r="BO5" s="1864"/>
      <c r="BP5" s="1864"/>
      <c r="BQ5" s="1864"/>
      <c r="BR5" s="1864"/>
      <c r="BS5" s="1864"/>
      <c r="BT5" s="1864"/>
      <c r="BU5" s="1864"/>
      <c r="BV5" s="1864" t="s">
        <v>356</v>
      </c>
      <c r="BW5" s="1864"/>
      <c r="BX5" s="1864"/>
      <c r="BY5" s="1864"/>
      <c r="BZ5" s="1864"/>
      <c r="CA5" s="1864"/>
      <c r="CB5" s="1864"/>
      <c r="CC5" s="1864"/>
      <c r="CD5" s="1864" t="s">
        <v>357</v>
      </c>
      <c r="CE5" s="1864"/>
      <c r="CF5" s="1864"/>
      <c r="CG5" s="1864"/>
      <c r="CH5" s="1864"/>
      <c r="CI5" s="1864"/>
      <c r="CJ5" s="1864"/>
      <c r="CK5" s="1864"/>
      <c r="CL5" s="1864" t="s">
        <v>358</v>
      </c>
      <c r="CM5" s="1864"/>
      <c r="CN5" s="1864"/>
      <c r="CO5" s="1864"/>
      <c r="CP5" s="1864"/>
      <c r="CQ5" s="1864"/>
      <c r="CR5" s="1864"/>
      <c r="CS5" s="1864"/>
      <c r="CT5" s="1864" t="s">
        <v>359</v>
      </c>
      <c r="CU5" s="1864"/>
      <c r="CV5" s="1864"/>
      <c r="CW5" s="1864"/>
      <c r="CX5" s="1864"/>
      <c r="CY5" s="1864"/>
      <c r="CZ5" s="1864"/>
      <c r="DA5" s="1864"/>
      <c r="DB5" s="1864" t="s">
        <v>360</v>
      </c>
      <c r="DC5" s="1864"/>
      <c r="DD5" s="1864"/>
      <c r="DE5" s="1864"/>
      <c r="DF5" s="1864"/>
      <c r="DG5" s="1864"/>
      <c r="DH5" s="1864"/>
      <c r="DI5" s="1864"/>
      <c r="DJ5" s="1864" t="s">
        <v>361</v>
      </c>
      <c r="DK5" s="1864"/>
      <c r="DL5" s="1864"/>
      <c r="DM5" s="1864"/>
      <c r="DN5" s="1864"/>
      <c r="DO5" s="1864"/>
      <c r="DP5" s="1864"/>
      <c r="DQ5" s="1864"/>
      <c r="DR5" s="1864" t="s">
        <v>362</v>
      </c>
      <c r="DS5" s="1864"/>
      <c r="DT5" s="1864"/>
      <c r="DU5" s="1864"/>
      <c r="DV5" s="1864"/>
      <c r="DW5" s="1864"/>
      <c r="DX5" s="1864"/>
      <c r="DY5" s="1864"/>
      <c r="DZ5" s="1864" t="s">
        <v>363</v>
      </c>
      <c r="EA5" s="1864"/>
      <c r="EB5" s="1864"/>
      <c r="EC5" s="1864"/>
      <c r="ED5" s="1864"/>
      <c r="EE5" s="1864"/>
      <c r="EF5" s="1864"/>
      <c r="EG5" s="1864"/>
      <c r="EH5" s="1864" t="s">
        <v>364</v>
      </c>
      <c r="EI5" s="1864"/>
      <c r="EJ5" s="1864"/>
      <c r="EK5" s="1864"/>
      <c r="EL5" s="1864"/>
      <c r="EM5" s="1864"/>
      <c r="EN5" s="1864"/>
      <c r="EO5" s="1864"/>
      <c r="EP5" s="1864" t="s">
        <v>365</v>
      </c>
      <c r="EQ5" s="1864"/>
      <c r="ER5" s="1864"/>
      <c r="ES5" s="1864"/>
      <c r="ET5" s="1864"/>
      <c r="EU5" s="1864"/>
      <c r="EV5" s="1864"/>
      <c r="EW5" s="1864"/>
      <c r="EX5" s="1864" t="s">
        <v>366</v>
      </c>
      <c r="EY5" s="1864"/>
      <c r="EZ5" s="1864"/>
      <c r="FA5" s="1864"/>
      <c r="FB5" s="1864"/>
      <c r="FC5" s="1864"/>
      <c r="FD5" s="1864"/>
      <c r="FE5" s="1864"/>
      <c r="FF5" s="1864" t="s">
        <v>367</v>
      </c>
      <c r="FG5" s="1864"/>
      <c r="FH5" s="1864"/>
      <c r="FI5" s="1864"/>
      <c r="FJ5" s="1864"/>
      <c r="FK5" s="1864"/>
      <c r="FL5" s="1864"/>
      <c r="FM5" s="1864"/>
      <c r="FN5" s="1864" t="s">
        <v>368</v>
      </c>
      <c r="FO5" s="1864"/>
      <c r="FP5" s="1864"/>
      <c r="FQ5" s="1864"/>
      <c r="FR5" s="1864"/>
      <c r="FS5" s="1864"/>
      <c r="FT5" s="1864"/>
      <c r="FU5" s="1864"/>
      <c r="FV5" s="1864" t="s">
        <v>369</v>
      </c>
      <c r="FW5" s="1864"/>
      <c r="FX5" s="1864"/>
      <c r="FY5" s="1864"/>
      <c r="FZ5" s="1864"/>
      <c r="GA5" s="1864"/>
      <c r="GB5" s="1864"/>
      <c r="GC5" s="1864"/>
      <c r="GD5" s="1864" t="s">
        <v>370</v>
      </c>
      <c r="GE5" s="1864"/>
      <c r="GF5" s="1864"/>
      <c r="GG5" s="1864"/>
      <c r="GH5" s="1864"/>
      <c r="GI5" s="1864"/>
      <c r="GJ5" s="1864"/>
      <c r="GK5" s="1864"/>
      <c r="GL5" s="1864" t="s">
        <v>371</v>
      </c>
      <c r="GM5" s="1864"/>
      <c r="GN5" s="1864"/>
      <c r="GO5" s="1864"/>
      <c r="GP5" s="1864"/>
      <c r="GQ5" s="1864"/>
      <c r="GR5" s="1864"/>
      <c r="GS5" s="1864"/>
      <c r="GT5" s="1864" t="s">
        <v>372</v>
      </c>
      <c r="GU5" s="1864"/>
      <c r="GV5" s="1864"/>
      <c r="GW5" s="1864"/>
      <c r="GX5" s="1864"/>
      <c r="GY5" s="1864"/>
      <c r="GZ5" s="1864"/>
      <c r="HA5" s="1864"/>
      <c r="HB5" s="1864" t="s">
        <v>373</v>
      </c>
      <c r="HC5" s="1864"/>
      <c r="HD5" s="1864"/>
      <c r="HE5" s="1864"/>
      <c r="HF5" s="1864"/>
      <c r="HG5" s="1864"/>
      <c r="HH5" s="1864"/>
      <c r="HI5" s="1864"/>
      <c r="HJ5" s="1864" t="s">
        <v>374</v>
      </c>
      <c r="HK5" s="1864"/>
      <c r="HL5" s="1864"/>
      <c r="HM5" s="1864"/>
      <c r="HN5" s="1864"/>
      <c r="HO5" s="1864"/>
      <c r="HP5" s="1864"/>
      <c r="HQ5" s="1864"/>
      <c r="HR5" s="1864" t="s">
        <v>375</v>
      </c>
      <c r="HS5" s="1864"/>
      <c r="HT5" s="1864"/>
      <c r="HU5" s="1864"/>
      <c r="HV5" s="1864"/>
      <c r="HW5" s="1864"/>
      <c r="HX5" s="1864"/>
      <c r="HY5" s="1864"/>
      <c r="HZ5" s="1864" t="s">
        <v>376</v>
      </c>
      <c r="IA5" s="1864"/>
      <c r="IB5" s="1864"/>
      <c r="IC5" s="1864"/>
      <c r="ID5" s="1864"/>
      <c r="IE5" s="1864"/>
      <c r="IF5" s="1864"/>
      <c r="IG5" s="1864"/>
      <c r="IH5" s="1864" t="s">
        <v>377</v>
      </c>
      <c r="II5" s="1864"/>
      <c r="IJ5" s="1864"/>
      <c r="IK5" s="1864"/>
      <c r="IL5" s="1864"/>
      <c r="IM5" s="1864"/>
      <c r="IN5" s="1864"/>
      <c r="IO5" s="1864"/>
    </row>
    <row r="6" spans="1:261">
      <c r="A6" s="595"/>
      <c r="B6" s="598"/>
      <c r="C6" s="599"/>
      <c r="D6" s="1867"/>
      <c r="E6" s="1869"/>
      <c r="F6" s="1872"/>
      <c r="G6" s="1872"/>
      <c r="H6" s="1875"/>
      <c r="I6" s="1865" t="s">
        <v>378</v>
      </c>
      <c r="J6" s="1865"/>
      <c r="K6" s="1865" t="s">
        <v>379</v>
      </c>
      <c r="L6" s="1865"/>
      <c r="M6" s="1865" t="s">
        <v>380</v>
      </c>
      <c r="N6" s="1865"/>
      <c r="O6" s="996" t="s">
        <v>381</v>
      </c>
      <c r="P6" s="996" t="s">
        <v>382</v>
      </c>
      <c r="Q6" s="996"/>
      <c r="R6" s="1865" t="s">
        <v>378</v>
      </c>
      <c r="S6" s="1865"/>
      <c r="T6" s="1865" t="s">
        <v>379</v>
      </c>
      <c r="U6" s="1865"/>
      <c r="V6" s="1865" t="s">
        <v>380</v>
      </c>
      <c r="W6" s="1865"/>
      <c r="X6" s="996" t="s">
        <v>381</v>
      </c>
      <c r="Y6" s="996" t="s">
        <v>382</v>
      </c>
      <c r="Z6" s="1865" t="s">
        <v>378</v>
      </c>
      <c r="AA6" s="1865"/>
      <c r="AB6" s="1865" t="s">
        <v>379</v>
      </c>
      <c r="AC6" s="1865"/>
      <c r="AD6" s="1865" t="s">
        <v>380</v>
      </c>
      <c r="AE6" s="1865"/>
      <c r="AF6" s="996" t="s">
        <v>381</v>
      </c>
      <c r="AG6" s="996" t="s">
        <v>382</v>
      </c>
      <c r="AH6" s="1865" t="s">
        <v>378</v>
      </c>
      <c r="AI6" s="1865"/>
      <c r="AJ6" s="1865" t="s">
        <v>379</v>
      </c>
      <c r="AK6" s="1865"/>
      <c r="AL6" s="1865" t="s">
        <v>380</v>
      </c>
      <c r="AM6" s="1865"/>
      <c r="AN6" s="996" t="s">
        <v>381</v>
      </c>
      <c r="AO6" s="996" t="s">
        <v>382</v>
      </c>
      <c r="AP6" s="1865" t="s">
        <v>378</v>
      </c>
      <c r="AQ6" s="1865"/>
      <c r="AR6" s="1865" t="s">
        <v>379</v>
      </c>
      <c r="AS6" s="1865"/>
      <c r="AT6" s="1865" t="s">
        <v>380</v>
      </c>
      <c r="AU6" s="1865"/>
      <c r="AV6" s="996" t="s">
        <v>381</v>
      </c>
      <c r="AW6" s="996" t="s">
        <v>382</v>
      </c>
      <c r="AX6" s="1865" t="s">
        <v>378</v>
      </c>
      <c r="AY6" s="1865"/>
      <c r="AZ6" s="1865" t="s">
        <v>379</v>
      </c>
      <c r="BA6" s="1865"/>
      <c r="BB6" s="1865" t="s">
        <v>380</v>
      </c>
      <c r="BC6" s="1865"/>
      <c r="BD6" s="996" t="s">
        <v>381</v>
      </c>
      <c r="BE6" s="996" t="s">
        <v>382</v>
      </c>
      <c r="BF6" s="1865" t="s">
        <v>378</v>
      </c>
      <c r="BG6" s="1865"/>
      <c r="BH6" s="1865" t="s">
        <v>379</v>
      </c>
      <c r="BI6" s="1865"/>
      <c r="BJ6" s="1865" t="s">
        <v>380</v>
      </c>
      <c r="BK6" s="1865"/>
      <c r="BL6" s="996" t="s">
        <v>381</v>
      </c>
      <c r="BM6" s="996" t="s">
        <v>382</v>
      </c>
      <c r="BN6" s="1865" t="s">
        <v>378</v>
      </c>
      <c r="BO6" s="1865"/>
      <c r="BP6" s="1865" t="s">
        <v>379</v>
      </c>
      <c r="BQ6" s="1865"/>
      <c r="BR6" s="1865" t="s">
        <v>380</v>
      </c>
      <c r="BS6" s="1865"/>
      <c r="BT6" s="996" t="s">
        <v>381</v>
      </c>
      <c r="BU6" s="996" t="s">
        <v>382</v>
      </c>
      <c r="BV6" s="1865" t="s">
        <v>378</v>
      </c>
      <c r="BW6" s="1865"/>
      <c r="BX6" s="1865" t="s">
        <v>379</v>
      </c>
      <c r="BY6" s="1865"/>
      <c r="BZ6" s="1865" t="s">
        <v>380</v>
      </c>
      <c r="CA6" s="1865"/>
      <c r="CB6" s="996" t="s">
        <v>381</v>
      </c>
      <c r="CC6" s="996" t="s">
        <v>382</v>
      </c>
      <c r="CD6" s="1865" t="s">
        <v>378</v>
      </c>
      <c r="CE6" s="1865"/>
      <c r="CF6" s="1865" t="s">
        <v>379</v>
      </c>
      <c r="CG6" s="1865"/>
      <c r="CH6" s="1865" t="s">
        <v>380</v>
      </c>
      <c r="CI6" s="1865"/>
      <c r="CJ6" s="996" t="s">
        <v>381</v>
      </c>
      <c r="CK6" s="996" t="s">
        <v>382</v>
      </c>
      <c r="CL6" s="1865" t="s">
        <v>378</v>
      </c>
      <c r="CM6" s="1865"/>
      <c r="CN6" s="1865" t="s">
        <v>379</v>
      </c>
      <c r="CO6" s="1865"/>
      <c r="CP6" s="1865" t="s">
        <v>380</v>
      </c>
      <c r="CQ6" s="1865"/>
      <c r="CR6" s="996" t="s">
        <v>381</v>
      </c>
      <c r="CS6" s="996" t="s">
        <v>382</v>
      </c>
      <c r="CT6" s="1865" t="s">
        <v>378</v>
      </c>
      <c r="CU6" s="1865"/>
      <c r="CV6" s="1865" t="s">
        <v>379</v>
      </c>
      <c r="CW6" s="1865"/>
      <c r="CX6" s="1865" t="s">
        <v>380</v>
      </c>
      <c r="CY6" s="1865"/>
      <c r="CZ6" s="996" t="s">
        <v>381</v>
      </c>
      <c r="DA6" s="996" t="s">
        <v>382</v>
      </c>
      <c r="DB6" s="1865" t="s">
        <v>378</v>
      </c>
      <c r="DC6" s="1865"/>
      <c r="DD6" s="1865" t="s">
        <v>379</v>
      </c>
      <c r="DE6" s="1865"/>
      <c r="DF6" s="1865" t="s">
        <v>380</v>
      </c>
      <c r="DG6" s="1865"/>
      <c r="DH6" s="996" t="s">
        <v>381</v>
      </c>
      <c r="DI6" s="996" t="s">
        <v>382</v>
      </c>
      <c r="DJ6" s="1865" t="s">
        <v>378</v>
      </c>
      <c r="DK6" s="1865"/>
      <c r="DL6" s="1865" t="s">
        <v>379</v>
      </c>
      <c r="DM6" s="1865"/>
      <c r="DN6" s="1865" t="s">
        <v>380</v>
      </c>
      <c r="DO6" s="1865"/>
      <c r="DP6" s="996" t="s">
        <v>381</v>
      </c>
      <c r="DQ6" s="996" t="s">
        <v>382</v>
      </c>
      <c r="DR6" s="1865" t="s">
        <v>378</v>
      </c>
      <c r="DS6" s="1865"/>
      <c r="DT6" s="1865" t="s">
        <v>379</v>
      </c>
      <c r="DU6" s="1865"/>
      <c r="DV6" s="1865" t="s">
        <v>380</v>
      </c>
      <c r="DW6" s="1865"/>
      <c r="DX6" s="996" t="s">
        <v>381</v>
      </c>
      <c r="DY6" s="996" t="s">
        <v>382</v>
      </c>
      <c r="DZ6" s="1865" t="s">
        <v>378</v>
      </c>
      <c r="EA6" s="1865"/>
      <c r="EB6" s="1865" t="s">
        <v>379</v>
      </c>
      <c r="EC6" s="1865"/>
      <c r="ED6" s="1865" t="s">
        <v>380</v>
      </c>
      <c r="EE6" s="1865"/>
      <c r="EF6" s="996" t="s">
        <v>381</v>
      </c>
      <c r="EG6" s="996" t="s">
        <v>382</v>
      </c>
      <c r="EH6" s="1865" t="s">
        <v>378</v>
      </c>
      <c r="EI6" s="1865"/>
      <c r="EJ6" s="1865" t="s">
        <v>379</v>
      </c>
      <c r="EK6" s="1865"/>
      <c r="EL6" s="1865" t="s">
        <v>380</v>
      </c>
      <c r="EM6" s="1865"/>
      <c r="EN6" s="996" t="s">
        <v>381</v>
      </c>
      <c r="EO6" s="996" t="s">
        <v>382</v>
      </c>
      <c r="EP6" s="1865" t="s">
        <v>378</v>
      </c>
      <c r="EQ6" s="1865"/>
      <c r="ER6" s="1865" t="s">
        <v>379</v>
      </c>
      <c r="ES6" s="1865"/>
      <c r="ET6" s="1865" t="s">
        <v>380</v>
      </c>
      <c r="EU6" s="1865"/>
      <c r="EV6" s="996" t="s">
        <v>381</v>
      </c>
      <c r="EW6" s="996" t="s">
        <v>382</v>
      </c>
      <c r="EX6" s="1865" t="s">
        <v>378</v>
      </c>
      <c r="EY6" s="1865"/>
      <c r="EZ6" s="1865" t="s">
        <v>379</v>
      </c>
      <c r="FA6" s="1865"/>
      <c r="FB6" s="1865" t="s">
        <v>380</v>
      </c>
      <c r="FC6" s="1865"/>
      <c r="FD6" s="996" t="s">
        <v>381</v>
      </c>
      <c r="FE6" s="996" t="s">
        <v>382</v>
      </c>
      <c r="FF6" s="1865" t="s">
        <v>378</v>
      </c>
      <c r="FG6" s="1865"/>
      <c r="FH6" s="1865" t="s">
        <v>379</v>
      </c>
      <c r="FI6" s="1865"/>
      <c r="FJ6" s="1865" t="s">
        <v>380</v>
      </c>
      <c r="FK6" s="1865"/>
      <c r="FL6" s="996" t="s">
        <v>381</v>
      </c>
      <c r="FM6" s="996" t="s">
        <v>382</v>
      </c>
      <c r="FN6" s="1865" t="s">
        <v>378</v>
      </c>
      <c r="FO6" s="1865"/>
      <c r="FP6" s="1865" t="s">
        <v>379</v>
      </c>
      <c r="FQ6" s="1865"/>
      <c r="FR6" s="1865" t="s">
        <v>380</v>
      </c>
      <c r="FS6" s="1865"/>
      <c r="FT6" s="996" t="s">
        <v>381</v>
      </c>
      <c r="FU6" s="996" t="s">
        <v>382</v>
      </c>
      <c r="FV6" s="1865" t="s">
        <v>378</v>
      </c>
      <c r="FW6" s="1865"/>
      <c r="FX6" s="1865" t="s">
        <v>379</v>
      </c>
      <c r="FY6" s="1865"/>
      <c r="FZ6" s="1865" t="s">
        <v>380</v>
      </c>
      <c r="GA6" s="1865"/>
      <c r="GB6" s="996" t="s">
        <v>381</v>
      </c>
      <c r="GC6" s="996" t="s">
        <v>382</v>
      </c>
      <c r="GD6" s="1865" t="s">
        <v>378</v>
      </c>
      <c r="GE6" s="1865"/>
      <c r="GF6" s="1865" t="s">
        <v>379</v>
      </c>
      <c r="GG6" s="1865"/>
      <c r="GH6" s="1865" t="s">
        <v>380</v>
      </c>
      <c r="GI6" s="1865"/>
      <c r="GJ6" s="996" t="s">
        <v>381</v>
      </c>
      <c r="GK6" s="996" t="s">
        <v>382</v>
      </c>
      <c r="GL6" s="1865" t="s">
        <v>378</v>
      </c>
      <c r="GM6" s="1865"/>
      <c r="GN6" s="1865" t="s">
        <v>379</v>
      </c>
      <c r="GO6" s="1865"/>
      <c r="GP6" s="1865" t="s">
        <v>380</v>
      </c>
      <c r="GQ6" s="1865"/>
      <c r="GR6" s="996" t="s">
        <v>381</v>
      </c>
      <c r="GS6" s="996" t="s">
        <v>382</v>
      </c>
      <c r="GT6" s="1865" t="s">
        <v>378</v>
      </c>
      <c r="GU6" s="1865"/>
      <c r="GV6" s="1865" t="s">
        <v>379</v>
      </c>
      <c r="GW6" s="1865"/>
      <c r="GX6" s="1865" t="s">
        <v>380</v>
      </c>
      <c r="GY6" s="1865"/>
      <c r="GZ6" s="996" t="s">
        <v>381</v>
      </c>
      <c r="HA6" s="996" t="s">
        <v>382</v>
      </c>
      <c r="HB6" s="1865" t="s">
        <v>378</v>
      </c>
      <c r="HC6" s="1865"/>
      <c r="HD6" s="1865" t="s">
        <v>379</v>
      </c>
      <c r="HE6" s="1865"/>
      <c r="HF6" s="1865" t="s">
        <v>380</v>
      </c>
      <c r="HG6" s="1865"/>
      <c r="HH6" s="996" t="s">
        <v>381</v>
      </c>
      <c r="HI6" s="996" t="s">
        <v>382</v>
      </c>
      <c r="HJ6" s="1865" t="s">
        <v>378</v>
      </c>
      <c r="HK6" s="1865"/>
      <c r="HL6" s="1865" t="s">
        <v>379</v>
      </c>
      <c r="HM6" s="1865"/>
      <c r="HN6" s="1865" t="s">
        <v>380</v>
      </c>
      <c r="HO6" s="1865"/>
      <c r="HP6" s="996" t="s">
        <v>381</v>
      </c>
      <c r="HQ6" s="996" t="s">
        <v>382</v>
      </c>
      <c r="HR6" s="1865" t="s">
        <v>378</v>
      </c>
      <c r="HS6" s="1865"/>
      <c r="HT6" s="1865" t="s">
        <v>379</v>
      </c>
      <c r="HU6" s="1865"/>
      <c r="HV6" s="1865" t="s">
        <v>380</v>
      </c>
      <c r="HW6" s="1865"/>
      <c r="HX6" s="996" t="s">
        <v>381</v>
      </c>
      <c r="HY6" s="996" t="s">
        <v>382</v>
      </c>
      <c r="HZ6" s="1865" t="s">
        <v>378</v>
      </c>
      <c r="IA6" s="1865"/>
      <c r="IB6" s="1865" t="s">
        <v>379</v>
      </c>
      <c r="IC6" s="1865"/>
      <c r="ID6" s="1865" t="s">
        <v>380</v>
      </c>
      <c r="IE6" s="1865"/>
      <c r="IF6" s="996" t="s">
        <v>381</v>
      </c>
      <c r="IG6" s="996" t="s">
        <v>382</v>
      </c>
      <c r="IH6" s="1865" t="s">
        <v>378</v>
      </c>
      <c r="II6" s="1865"/>
      <c r="IJ6" s="1865" t="s">
        <v>379</v>
      </c>
      <c r="IK6" s="1865"/>
      <c r="IL6" s="1865" t="s">
        <v>380</v>
      </c>
      <c r="IM6" s="1865"/>
      <c r="IN6" s="996" t="s">
        <v>381</v>
      </c>
      <c r="IO6" s="996" t="s">
        <v>382</v>
      </c>
    </row>
    <row r="7" spans="1:261">
      <c r="A7" s="595"/>
      <c r="B7" s="598"/>
      <c r="C7" s="599"/>
      <c r="D7" s="1867"/>
      <c r="E7" s="1870"/>
      <c r="F7" s="1873"/>
      <c r="G7" s="1873"/>
      <c r="H7" s="1875"/>
      <c r="I7" s="996" t="s">
        <v>383</v>
      </c>
      <c r="J7" s="996" t="s">
        <v>384</v>
      </c>
      <c r="K7" s="996" t="s">
        <v>383</v>
      </c>
      <c r="L7" s="996" t="s">
        <v>384</v>
      </c>
      <c r="M7" s="996" t="s">
        <v>383</v>
      </c>
      <c r="N7" s="996" t="s">
        <v>384</v>
      </c>
      <c r="O7" s="996" t="s">
        <v>385</v>
      </c>
      <c r="P7" s="996" t="s">
        <v>385</v>
      </c>
      <c r="Q7" s="996"/>
      <c r="R7" s="996" t="s">
        <v>383</v>
      </c>
      <c r="S7" s="996" t="s">
        <v>384</v>
      </c>
      <c r="T7" s="996" t="s">
        <v>383</v>
      </c>
      <c r="U7" s="996" t="s">
        <v>384</v>
      </c>
      <c r="V7" s="996" t="s">
        <v>383</v>
      </c>
      <c r="W7" s="996" t="s">
        <v>384</v>
      </c>
      <c r="X7" s="996" t="s">
        <v>385</v>
      </c>
      <c r="Y7" s="996" t="s">
        <v>385</v>
      </c>
      <c r="Z7" s="996" t="s">
        <v>383</v>
      </c>
      <c r="AA7" s="996" t="s">
        <v>384</v>
      </c>
      <c r="AB7" s="996" t="s">
        <v>383</v>
      </c>
      <c r="AC7" s="996" t="s">
        <v>384</v>
      </c>
      <c r="AD7" s="996" t="s">
        <v>383</v>
      </c>
      <c r="AE7" s="996" t="s">
        <v>384</v>
      </c>
      <c r="AF7" s="996" t="s">
        <v>385</v>
      </c>
      <c r="AG7" s="996" t="s">
        <v>385</v>
      </c>
      <c r="AH7" s="996" t="s">
        <v>383</v>
      </c>
      <c r="AI7" s="996" t="s">
        <v>384</v>
      </c>
      <c r="AJ7" s="996" t="s">
        <v>383</v>
      </c>
      <c r="AK7" s="996" t="s">
        <v>384</v>
      </c>
      <c r="AL7" s="996" t="s">
        <v>383</v>
      </c>
      <c r="AM7" s="996" t="s">
        <v>384</v>
      </c>
      <c r="AN7" s="996" t="s">
        <v>385</v>
      </c>
      <c r="AO7" s="996" t="s">
        <v>385</v>
      </c>
      <c r="AP7" s="996" t="s">
        <v>383</v>
      </c>
      <c r="AQ7" s="996" t="s">
        <v>384</v>
      </c>
      <c r="AR7" s="996" t="s">
        <v>383</v>
      </c>
      <c r="AS7" s="996" t="s">
        <v>384</v>
      </c>
      <c r="AT7" s="996" t="s">
        <v>383</v>
      </c>
      <c r="AU7" s="996" t="s">
        <v>384</v>
      </c>
      <c r="AV7" s="996" t="s">
        <v>385</v>
      </c>
      <c r="AW7" s="996" t="s">
        <v>385</v>
      </c>
      <c r="AX7" s="996" t="s">
        <v>383</v>
      </c>
      <c r="AY7" s="996" t="s">
        <v>384</v>
      </c>
      <c r="AZ7" s="996" t="s">
        <v>383</v>
      </c>
      <c r="BA7" s="996" t="s">
        <v>384</v>
      </c>
      <c r="BB7" s="996" t="s">
        <v>383</v>
      </c>
      <c r="BC7" s="996" t="s">
        <v>384</v>
      </c>
      <c r="BD7" s="996" t="s">
        <v>385</v>
      </c>
      <c r="BE7" s="996" t="s">
        <v>385</v>
      </c>
      <c r="BF7" s="996" t="s">
        <v>383</v>
      </c>
      <c r="BG7" s="996" t="s">
        <v>384</v>
      </c>
      <c r="BH7" s="996" t="s">
        <v>383</v>
      </c>
      <c r="BI7" s="996" t="s">
        <v>384</v>
      </c>
      <c r="BJ7" s="996" t="s">
        <v>383</v>
      </c>
      <c r="BK7" s="996" t="s">
        <v>384</v>
      </c>
      <c r="BL7" s="996" t="s">
        <v>385</v>
      </c>
      <c r="BM7" s="996" t="s">
        <v>385</v>
      </c>
      <c r="BN7" s="996" t="s">
        <v>383</v>
      </c>
      <c r="BO7" s="996" t="s">
        <v>384</v>
      </c>
      <c r="BP7" s="996" t="s">
        <v>383</v>
      </c>
      <c r="BQ7" s="996" t="s">
        <v>384</v>
      </c>
      <c r="BR7" s="996" t="s">
        <v>383</v>
      </c>
      <c r="BS7" s="996" t="s">
        <v>384</v>
      </c>
      <c r="BT7" s="996" t="s">
        <v>385</v>
      </c>
      <c r="BU7" s="996" t="s">
        <v>385</v>
      </c>
      <c r="BV7" s="996" t="s">
        <v>383</v>
      </c>
      <c r="BW7" s="996" t="s">
        <v>384</v>
      </c>
      <c r="BX7" s="996" t="s">
        <v>383</v>
      </c>
      <c r="BY7" s="996" t="s">
        <v>384</v>
      </c>
      <c r="BZ7" s="996" t="s">
        <v>383</v>
      </c>
      <c r="CA7" s="996" t="s">
        <v>384</v>
      </c>
      <c r="CB7" s="996" t="s">
        <v>385</v>
      </c>
      <c r="CC7" s="996" t="s">
        <v>385</v>
      </c>
      <c r="CD7" s="996" t="s">
        <v>383</v>
      </c>
      <c r="CE7" s="996" t="s">
        <v>384</v>
      </c>
      <c r="CF7" s="996" t="s">
        <v>383</v>
      </c>
      <c r="CG7" s="996" t="s">
        <v>384</v>
      </c>
      <c r="CH7" s="996" t="s">
        <v>383</v>
      </c>
      <c r="CI7" s="996" t="s">
        <v>384</v>
      </c>
      <c r="CJ7" s="996" t="s">
        <v>385</v>
      </c>
      <c r="CK7" s="996" t="s">
        <v>385</v>
      </c>
      <c r="CL7" s="996" t="s">
        <v>383</v>
      </c>
      <c r="CM7" s="996" t="s">
        <v>384</v>
      </c>
      <c r="CN7" s="996" t="s">
        <v>383</v>
      </c>
      <c r="CO7" s="996" t="s">
        <v>384</v>
      </c>
      <c r="CP7" s="996" t="s">
        <v>383</v>
      </c>
      <c r="CQ7" s="996" t="s">
        <v>384</v>
      </c>
      <c r="CR7" s="996" t="s">
        <v>385</v>
      </c>
      <c r="CS7" s="996" t="s">
        <v>385</v>
      </c>
      <c r="CT7" s="996" t="s">
        <v>383</v>
      </c>
      <c r="CU7" s="996" t="s">
        <v>384</v>
      </c>
      <c r="CV7" s="996" t="s">
        <v>383</v>
      </c>
      <c r="CW7" s="996" t="s">
        <v>384</v>
      </c>
      <c r="CX7" s="996" t="s">
        <v>383</v>
      </c>
      <c r="CY7" s="996" t="s">
        <v>384</v>
      </c>
      <c r="CZ7" s="996" t="s">
        <v>385</v>
      </c>
      <c r="DA7" s="996" t="s">
        <v>385</v>
      </c>
      <c r="DB7" s="996" t="s">
        <v>383</v>
      </c>
      <c r="DC7" s="996" t="s">
        <v>384</v>
      </c>
      <c r="DD7" s="996" t="s">
        <v>383</v>
      </c>
      <c r="DE7" s="996" t="s">
        <v>384</v>
      </c>
      <c r="DF7" s="996" t="s">
        <v>383</v>
      </c>
      <c r="DG7" s="996" t="s">
        <v>384</v>
      </c>
      <c r="DH7" s="996" t="s">
        <v>385</v>
      </c>
      <c r="DI7" s="996" t="s">
        <v>385</v>
      </c>
      <c r="DJ7" s="996" t="s">
        <v>383</v>
      </c>
      <c r="DK7" s="996" t="s">
        <v>384</v>
      </c>
      <c r="DL7" s="996" t="s">
        <v>383</v>
      </c>
      <c r="DM7" s="996" t="s">
        <v>384</v>
      </c>
      <c r="DN7" s="996" t="s">
        <v>383</v>
      </c>
      <c r="DO7" s="996" t="s">
        <v>384</v>
      </c>
      <c r="DP7" s="996" t="s">
        <v>385</v>
      </c>
      <c r="DQ7" s="996" t="s">
        <v>385</v>
      </c>
      <c r="DR7" s="996" t="s">
        <v>383</v>
      </c>
      <c r="DS7" s="996" t="s">
        <v>384</v>
      </c>
      <c r="DT7" s="996" t="s">
        <v>383</v>
      </c>
      <c r="DU7" s="996" t="s">
        <v>384</v>
      </c>
      <c r="DV7" s="996" t="s">
        <v>383</v>
      </c>
      <c r="DW7" s="996" t="s">
        <v>384</v>
      </c>
      <c r="DX7" s="996" t="s">
        <v>385</v>
      </c>
      <c r="DY7" s="996" t="s">
        <v>385</v>
      </c>
      <c r="DZ7" s="996" t="s">
        <v>383</v>
      </c>
      <c r="EA7" s="996" t="s">
        <v>384</v>
      </c>
      <c r="EB7" s="996" t="s">
        <v>383</v>
      </c>
      <c r="EC7" s="996" t="s">
        <v>384</v>
      </c>
      <c r="ED7" s="996" t="s">
        <v>383</v>
      </c>
      <c r="EE7" s="996" t="s">
        <v>384</v>
      </c>
      <c r="EF7" s="996" t="s">
        <v>385</v>
      </c>
      <c r="EG7" s="996" t="s">
        <v>385</v>
      </c>
      <c r="EH7" s="996" t="s">
        <v>383</v>
      </c>
      <c r="EI7" s="996" t="s">
        <v>384</v>
      </c>
      <c r="EJ7" s="996" t="s">
        <v>383</v>
      </c>
      <c r="EK7" s="996" t="s">
        <v>384</v>
      </c>
      <c r="EL7" s="996" t="s">
        <v>383</v>
      </c>
      <c r="EM7" s="996" t="s">
        <v>384</v>
      </c>
      <c r="EN7" s="996" t="s">
        <v>385</v>
      </c>
      <c r="EO7" s="996" t="s">
        <v>385</v>
      </c>
      <c r="EP7" s="996" t="s">
        <v>383</v>
      </c>
      <c r="EQ7" s="996" t="s">
        <v>384</v>
      </c>
      <c r="ER7" s="996" t="s">
        <v>383</v>
      </c>
      <c r="ES7" s="996" t="s">
        <v>384</v>
      </c>
      <c r="ET7" s="996" t="s">
        <v>383</v>
      </c>
      <c r="EU7" s="996" t="s">
        <v>384</v>
      </c>
      <c r="EV7" s="996" t="s">
        <v>385</v>
      </c>
      <c r="EW7" s="996" t="s">
        <v>385</v>
      </c>
      <c r="EX7" s="996" t="s">
        <v>383</v>
      </c>
      <c r="EY7" s="996" t="s">
        <v>384</v>
      </c>
      <c r="EZ7" s="996" t="s">
        <v>383</v>
      </c>
      <c r="FA7" s="996" t="s">
        <v>384</v>
      </c>
      <c r="FB7" s="996" t="s">
        <v>383</v>
      </c>
      <c r="FC7" s="996" t="s">
        <v>384</v>
      </c>
      <c r="FD7" s="996" t="s">
        <v>385</v>
      </c>
      <c r="FE7" s="996" t="s">
        <v>385</v>
      </c>
      <c r="FF7" s="996" t="s">
        <v>383</v>
      </c>
      <c r="FG7" s="996" t="s">
        <v>384</v>
      </c>
      <c r="FH7" s="996" t="s">
        <v>383</v>
      </c>
      <c r="FI7" s="996" t="s">
        <v>384</v>
      </c>
      <c r="FJ7" s="996" t="s">
        <v>383</v>
      </c>
      <c r="FK7" s="996" t="s">
        <v>384</v>
      </c>
      <c r="FL7" s="996" t="s">
        <v>385</v>
      </c>
      <c r="FM7" s="996" t="s">
        <v>385</v>
      </c>
      <c r="FN7" s="996" t="s">
        <v>383</v>
      </c>
      <c r="FO7" s="996" t="s">
        <v>384</v>
      </c>
      <c r="FP7" s="996" t="s">
        <v>383</v>
      </c>
      <c r="FQ7" s="996" t="s">
        <v>384</v>
      </c>
      <c r="FR7" s="996" t="s">
        <v>383</v>
      </c>
      <c r="FS7" s="996" t="s">
        <v>384</v>
      </c>
      <c r="FT7" s="996" t="s">
        <v>385</v>
      </c>
      <c r="FU7" s="996" t="s">
        <v>385</v>
      </c>
      <c r="FV7" s="996" t="s">
        <v>383</v>
      </c>
      <c r="FW7" s="996" t="s">
        <v>384</v>
      </c>
      <c r="FX7" s="996" t="s">
        <v>383</v>
      </c>
      <c r="FY7" s="996" t="s">
        <v>384</v>
      </c>
      <c r="FZ7" s="996" t="s">
        <v>383</v>
      </c>
      <c r="GA7" s="996" t="s">
        <v>384</v>
      </c>
      <c r="GB7" s="996" t="s">
        <v>385</v>
      </c>
      <c r="GC7" s="996" t="s">
        <v>385</v>
      </c>
      <c r="GD7" s="996" t="s">
        <v>383</v>
      </c>
      <c r="GE7" s="996" t="s">
        <v>384</v>
      </c>
      <c r="GF7" s="996" t="s">
        <v>383</v>
      </c>
      <c r="GG7" s="996" t="s">
        <v>384</v>
      </c>
      <c r="GH7" s="996" t="s">
        <v>383</v>
      </c>
      <c r="GI7" s="996" t="s">
        <v>384</v>
      </c>
      <c r="GJ7" s="996" t="s">
        <v>385</v>
      </c>
      <c r="GK7" s="996" t="s">
        <v>385</v>
      </c>
      <c r="GL7" s="996" t="s">
        <v>383</v>
      </c>
      <c r="GM7" s="996" t="s">
        <v>384</v>
      </c>
      <c r="GN7" s="996" t="s">
        <v>383</v>
      </c>
      <c r="GO7" s="996" t="s">
        <v>384</v>
      </c>
      <c r="GP7" s="996" t="s">
        <v>383</v>
      </c>
      <c r="GQ7" s="996" t="s">
        <v>384</v>
      </c>
      <c r="GR7" s="996" t="s">
        <v>385</v>
      </c>
      <c r="GS7" s="996" t="s">
        <v>385</v>
      </c>
      <c r="GT7" s="996" t="s">
        <v>383</v>
      </c>
      <c r="GU7" s="996" t="s">
        <v>384</v>
      </c>
      <c r="GV7" s="996" t="s">
        <v>383</v>
      </c>
      <c r="GW7" s="996" t="s">
        <v>384</v>
      </c>
      <c r="GX7" s="996" t="s">
        <v>383</v>
      </c>
      <c r="GY7" s="996" t="s">
        <v>384</v>
      </c>
      <c r="GZ7" s="996" t="s">
        <v>385</v>
      </c>
      <c r="HA7" s="996" t="s">
        <v>385</v>
      </c>
      <c r="HB7" s="996" t="s">
        <v>383</v>
      </c>
      <c r="HC7" s="996" t="s">
        <v>384</v>
      </c>
      <c r="HD7" s="996" t="s">
        <v>383</v>
      </c>
      <c r="HE7" s="996" t="s">
        <v>384</v>
      </c>
      <c r="HF7" s="996" t="s">
        <v>383</v>
      </c>
      <c r="HG7" s="996" t="s">
        <v>384</v>
      </c>
      <c r="HH7" s="996" t="s">
        <v>385</v>
      </c>
      <c r="HI7" s="996" t="s">
        <v>385</v>
      </c>
      <c r="HJ7" s="996" t="s">
        <v>383</v>
      </c>
      <c r="HK7" s="996" t="s">
        <v>384</v>
      </c>
      <c r="HL7" s="996" t="s">
        <v>383</v>
      </c>
      <c r="HM7" s="996" t="s">
        <v>384</v>
      </c>
      <c r="HN7" s="996" t="s">
        <v>383</v>
      </c>
      <c r="HO7" s="996" t="s">
        <v>384</v>
      </c>
      <c r="HP7" s="996" t="s">
        <v>385</v>
      </c>
      <c r="HQ7" s="996" t="s">
        <v>385</v>
      </c>
      <c r="HR7" s="996" t="s">
        <v>383</v>
      </c>
      <c r="HS7" s="996" t="s">
        <v>384</v>
      </c>
      <c r="HT7" s="996" t="s">
        <v>383</v>
      </c>
      <c r="HU7" s="996" t="s">
        <v>384</v>
      </c>
      <c r="HV7" s="996" t="s">
        <v>383</v>
      </c>
      <c r="HW7" s="996" t="s">
        <v>384</v>
      </c>
      <c r="HX7" s="996" t="s">
        <v>385</v>
      </c>
      <c r="HY7" s="996" t="s">
        <v>385</v>
      </c>
      <c r="HZ7" s="996" t="s">
        <v>383</v>
      </c>
      <c r="IA7" s="996" t="s">
        <v>384</v>
      </c>
      <c r="IB7" s="996" t="s">
        <v>383</v>
      </c>
      <c r="IC7" s="996" t="s">
        <v>384</v>
      </c>
      <c r="ID7" s="996" t="s">
        <v>383</v>
      </c>
      <c r="IE7" s="996" t="s">
        <v>384</v>
      </c>
      <c r="IF7" s="996" t="s">
        <v>385</v>
      </c>
      <c r="IG7" s="996" t="s">
        <v>385</v>
      </c>
      <c r="IH7" s="996" t="s">
        <v>383</v>
      </c>
      <c r="II7" s="996" t="s">
        <v>384</v>
      </c>
      <c r="IJ7" s="996" t="s">
        <v>383</v>
      </c>
      <c r="IK7" s="996" t="s">
        <v>384</v>
      </c>
      <c r="IL7" s="996" t="s">
        <v>383</v>
      </c>
      <c r="IM7" s="996" t="s">
        <v>384</v>
      </c>
      <c r="IN7" s="996" t="s">
        <v>385</v>
      </c>
      <c r="IO7" s="996" t="s">
        <v>385</v>
      </c>
    </row>
    <row r="8" spans="1:261">
      <c r="A8" s="595"/>
      <c r="B8" s="598"/>
      <c r="C8" s="599"/>
      <c r="D8" s="997"/>
      <c r="E8" s="998"/>
      <c r="F8" s="999"/>
      <c r="G8" s="1000" t="s">
        <v>386</v>
      </c>
      <c r="H8" s="1000"/>
      <c r="I8" s="1001"/>
      <c r="J8" s="1001"/>
      <c r="K8" s="1002">
        <v>3</v>
      </c>
      <c r="L8" s="1001"/>
      <c r="M8" s="1001"/>
      <c r="N8" s="1001"/>
      <c r="O8" s="1003">
        <v>1</v>
      </c>
      <c r="P8" s="1001"/>
      <c r="Q8" s="1001"/>
      <c r="R8" s="1001"/>
      <c r="S8" s="1001"/>
      <c r="T8" s="1002">
        <v>3</v>
      </c>
      <c r="U8" s="1001"/>
      <c r="V8" s="1001"/>
      <c r="W8" s="1001"/>
      <c r="X8" s="1003">
        <v>1</v>
      </c>
      <c r="Y8" s="1001"/>
      <c r="Z8" s="1001"/>
      <c r="AA8" s="1001"/>
      <c r="AB8" s="1002">
        <v>5</v>
      </c>
      <c r="AC8" s="1001"/>
      <c r="AD8" s="1001"/>
      <c r="AE8" s="1001"/>
      <c r="AF8" s="1003">
        <v>1</v>
      </c>
      <c r="AG8" s="1001"/>
      <c r="AH8" s="1001"/>
      <c r="AI8" s="1001"/>
      <c r="AJ8" s="1002">
        <v>3</v>
      </c>
      <c r="AK8" s="1001"/>
      <c r="AL8" s="1001"/>
      <c r="AM8" s="1001"/>
      <c r="AN8" s="1003">
        <v>1</v>
      </c>
      <c r="AO8" s="1001"/>
      <c r="AP8" s="1001"/>
      <c r="AQ8" s="1001"/>
      <c r="AR8" s="1002">
        <v>3</v>
      </c>
      <c r="AS8" s="1001"/>
      <c r="AT8" s="1001"/>
      <c r="AU8" s="1001"/>
      <c r="AV8" s="1003">
        <v>1</v>
      </c>
      <c r="AW8" s="1001"/>
      <c r="AX8" s="1001"/>
      <c r="AY8" s="1001"/>
      <c r="AZ8" s="1002">
        <v>4</v>
      </c>
      <c r="BA8" s="1001"/>
      <c r="BB8" s="1001"/>
      <c r="BC8" s="1001"/>
      <c r="BD8" s="1003">
        <v>1</v>
      </c>
      <c r="BE8" s="1001"/>
      <c r="BF8" s="1001">
        <f>I8</f>
        <v>0</v>
      </c>
      <c r="BG8" s="1001">
        <f>J8</f>
        <v>0</v>
      </c>
      <c r="BH8" s="1002">
        <v>5</v>
      </c>
      <c r="BI8" s="1001"/>
      <c r="BJ8" s="1001"/>
      <c r="BK8" s="1001"/>
      <c r="BL8" s="1003">
        <v>1</v>
      </c>
      <c r="BM8" s="1001"/>
      <c r="BN8" s="1001">
        <f>Q8</f>
        <v>0</v>
      </c>
      <c r="BO8" s="1001">
        <f>R8</f>
        <v>0</v>
      </c>
      <c r="BP8" s="1002">
        <v>3</v>
      </c>
      <c r="BQ8" s="1001"/>
      <c r="BR8" s="1001"/>
      <c r="BS8" s="1001"/>
      <c r="BT8" s="1003">
        <v>1</v>
      </c>
      <c r="BU8" s="1001"/>
      <c r="BV8" s="1001">
        <f>Y8</f>
        <v>0</v>
      </c>
      <c r="BW8" s="1001">
        <f>Z8</f>
        <v>0</v>
      </c>
      <c r="BX8" s="1002">
        <v>4</v>
      </c>
      <c r="BY8" s="1001"/>
      <c r="BZ8" s="1001"/>
      <c r="CA8" s="1001"/>
      <c r="CB8" s="1003">
        <v>1</v>
      </c>
      <c r="CC8" s="1001"/>
      <c r="CD8" s="1001">
        <f>AG8</f>
        <v>0</v>
      </c>
      <c r="CE8" s="1001">
        <f>AH8</f>
        <v>0</v>
      </c>
      <c r="CF8" s="1002">
        <v>5</v>
      </c>
      <c r="CG8" s="1001"/>
      <c r="CH8" s="1001"/>
      <c r="CI8" s="1001"/>
      <c r="CJ8" s="1003">
        <v>1</v>
      </c>
      <c r="CK8" s="1001"/>
      <c r="CL8" s="1001">
        <f>Q8</f>
        <v>0</v>
      </c>
      <c r="CM8" s="1001">
        <f>BF8</f>
        <v>0</v>
      </c>
      <c r="CN8" s="1002">
        <v>3</v>
      </c>
      <c r="CO8" s="1001"/>
      <c r="CP8" s="1001"/>
      <c r="CQ8" s="1001"/>
      <c r="CR8" s="1003">
        <v>1</v>
      </c>
      <c r="CS8" s="1001"/>
      <c r="CT8" s="1001">
        <f>Y8</f>
        <v>0</v>
      </c>
      <c r="CU8" s="1001">
        <f>BN8</f>
        <v>0</v>
      </c>
      <c r="CV8" s="1002">
        <v>4</v>
      </c>
      <c r="CW8" s="1001"/>
      <c r="CX8" s="1001"/>
      <c r="CY8" s="1001"/>
      <c r="CZ8" s="1003">
        <v>1</v>
      </c>
      <c r="DA8" s="1001"/>
      <c r="DB8" s="1001">
        <f>AG8</f>
        <v>0</v>
      </c>
      <c r="DC8" s="1001">
        <f>BV8</f>
        <v>0</v>
      </c>
      <c r="DD8" s="1002">
        <v>5</v>
      </c>
      <c r="DE8" s="1001"/>
      <c r="DF8" s="1001"/>
      <c r="DG8" s="1001"/>
      <c r="DH8" s="1003">
        <v>1</v>
      </c>
      <c r="DI8" s="1001"/>
      <c r="DJ8" s="1001">
        <f>AO8</f>
        <v>0</v>
      </c>
      <c r="DK8" s="1001">
        <f>CD8</f>
        <v>0</v>
      </c>
      <c r="DL8" s="1002">
        <v>3</v>
      </c>
      <c r="DM8" s="1001"/>
      <c r="DN8" s="1001"/>
      <c r="DO8" s="1001"/>
      <c r="DP8" s="1003">
        <v>1</v>
      </c>
      <c r="DQ8" s="1001"/>
      <c r="DR8" s="1001">
        <f>AW8</f>
        <v>0</v>
      </c>
      <c r="DS8" s="1001">
        <f>CL8</f>
        <v>0</v>
      </c>
      <c r="DT8" s="1002">
        <v>4</v>
      </c>
      <c r="DU8" s="1001"/>
      <c r="DV8" s="1001"/>
      <c r="DW8" s="1001"/>
      <c r="DX8" s="1003">
        <v>1</v>
      </c>
      <c r="DY8" s="1001"/>
      <c r="DZ8" s="1001">
        <f>BE8</f>
        <v>0</v>
      </c>
      <c r="EA8" s="1001">
        <f>CT8</f>
        <v>0</v>
      </c>
      <c r="EB8" s="1002">
        <v>5</v>
      </c>
      <c r="EC8" s="1001"/>
      <c r="ED8" s="1001"/>
      <c r="EE8" s="1001"/>
      <c r="EF8" s="1003">
        <v>1</v>
      </c>
      <c r="EG8" s="1001"/>
      <c r="EH8" s="1001">
        <f>BM8</f>
        <v>0</v>
      </c>
      <c r="EI8" s="1001">
        <f>DB8</f>
        <v>0</v>
      </c>
      <c r="EJ8" s="1002">
        <v>3</v>
      </c>
      <c r="EK8" s="1001"/>
      <c r="EL8" s="1001"/>
      <c r="EM8" s="1001"/>
      <c r="EN8" s="1003">
        <v>1</v>
      </c>
      <c r="EO8" s="1001"/>
      <c r="EP8" s="1001">
        <f>CL8</f>
        <v>0</v>
      </c>
      <c r="EQ8" s="1001">
        <f>CM8</f>
        <v>0</v>
      </c>
      <c r="ER8" s="1002">
        <v>4</v>
      </c>
      <c r="ES8" s="1001"/>
      <c r="ET8" s="1001"/>
      <c r="EU8" s="1004"/>
      <c r="EV8" s="1003">
        <v>1</v>
      </c>
      <c r="EW8" s="1001"/>
      <c r="EX8" s="1001">
        <f>CT8</f>
        <v>0</v>
      </c>
      <c r="EY8" s="1001">
        <f>CU8</f>
        <v>0</v>
      </c>
      <c r="EZ8" s="1002">
        <v>5</v>
      </c>
      <c r="FA8" s="1001"/>
      <c r="FB8" s="1001"/>
      <c r="FC8" s="1004"/>
      <c r="FD8" s="1003">
        <v>1</v>
      </c>
      <c r="FE8" s="1001"/>
      <c r="FF8" s="1001">
        <f>DB8</f>
        <v>0</v>
      </c>
      <c r="FG8" s="1001">
        <f>DC8</f>
        <v>0</v>
      </c>
      <c r="FH8" s="1002">
        <v>3</v>
      </c>
      <c r="FI8" s="1001"/>
      <c r="FJ8" s="1001"/>
      <c r="FK8" s="1004"/>
      <c r="FL8" s="1003">
        <v>1</v>
      </c>
      <c r="FM8" s="1001"/>
      <c r="FN8" s="1001">
        <f>DJ8</f>
        <v>0</v>
      </c>
      <c r="FO8" s="1001">
        <f>DK8</f>
        <v>0</v>
      </c>
      <c r="FP8" s="1002">
        <v>4</v>
      </c>
      <c r="FQ8" s="1001"/>
      <c r="FR8" s="1001"/>
      <c r="FS8" s="1004"/>
      <c r="FT8" s="1003">
        <v>1</v>
      </c>
      <c r="FU8" s="1001"/>
      <c r="FV8" s="1001">
        <f>DR8</f>
        <v>0</v>
      </c>
      <c r="FW8" s="1001">
        <f>DS8</f>
        <v>0</v>
      </c>
      <c r="FX8" s="1002">
        <v>5</v>
      </c>
      <c r="FY8" s="1001"/>
      <c r="FZ8" s="1001"/>
      <c r="GA8" s="1004"/>
      <c r="GB8" s="1003">
        <v>1</v>
      </c>
      <c r="GC8" s="1001"/>
      <c r="GD8" s="1001">
        <f>DZ8</f>
        <v>0</v>
      </c>
      <c r="GE8" s="1001">
        <f>EA8</f>
        <v>0</v>
      </c>
      <c r="GF8" s="1002">
        <v>3</v>
      </c>
      <c r="GG8" s="1001"/>
      <c r="GH8" s="1001"/>
      <c r="GI8" s="1004"/>
      <c r="GJ8" s="1003">
        <v>1</v>
      </c>
      <c r="GK8" s="1001"/>
      <c r="GL8" s="1001">
        <f>EH8</f>
        <v>0</v>
      </c>
      <c r="GM8" s="1001">
        <f>EI8</f>
        <v>0</v>
      </c>
      <c r="GN8" s="1002">
        <v>4</v>
      </c>
      <c r="GO8" s="1001"/>
      <c r="GP8" s="1001"/>
      <c r="GQ8" s="1004"/>
      <c r="GR8" s="1003">
        <v>1</v>
      </c>
      <c r="GS8" s="1001"/>
      <c r="GT8" s="1001">
        <f>EP8</f>
        <v>0</v>
      </c>
      <c r="GU8" s="1001">
        <f>EQ8</f>
        <v>0</v>
      </c>
      <c r="GV8" s="1002">
        <v>5</v>
      </c>
      <c r="GW8" s="1001"/>
      <c r="GX8" s="1001"/>
      <c r="GY8" s="1004"/>
      <c r="GZ8" s="1003">
        <v>1</v>
      </c>
      <c r="HA8" s="1001"/>
      <c r="HB8" s="1001">
        <f>EP8</f>
        <v>0</v>
      </c>
      <c r="HC8" s="1001">
        <f>EQ8</f>
        <v>0</v>
      </c>
      <c r="HD8" s="1002">
        <v>3</v>
      </c>
      <c r="HE8" s="1001"/>
      <c r="HF8" s="1001"/>
      <c r="HG8" s="1004"/>
      <c r="HH8" s="1003">
        <v>1</v>
      </c>
      <c r="HI8" s="1001"/>
      <c r="HJ8" s="1001">
        <f>EX8</f>
        <v>0</v>
      </c>
      <c r="HK8" s="1001">
        <f>EY8</f>
        <v>0</v>
      </c>
      <c r="HL8" s="1002">
        <v>4</v>
      </c>
      <c r="HM8" s="1001"/>
      <c r="HN8" s="1001"/>
      <c r="HO8" s="1004"/>
      <c r="HP8" s="1003">
        <v>1</v>
      </c>
      <c r="HQ8" s="1001"/>
      <c r="HR8" s="1001">
        <f>FF8</f>
        <v>0</v>
      </c>
      <c r="HS8" s="1001">
        <f>FG8</f>
        <v>0</v>
      </c>
      <c r="HT8" s="1002">
        <v>5</v>
      </c>
      <c r="HU8" s="1001"/>
      <c r="HV8" s="1001"/>
      <c r="HW8" s="1004"/>
      <c r="HX8" s="1003">
        <v>1</v>
      </c>
      <c r="HY8" s="1001"/>
      <c r="HZ8" s="1001">
        <f>FN8</f>
        <v>0</v>
      </c>
      <c r="IA8" s="1001">
        <f>FO8</f>
        <v>0</v>
      </c>
      <c r="IB8" s="1002">
        <v>3</v>
      </c>
      <c r="IC8" s="1001"/>
      <c r="ID8" s="1001"/>
      <c r="IE8" s="1004"/>
      <c r="IF8" s="1003">
        <v>1</v>
      </c>
      <c r="IG8" s="1001"/>
      <c r="IH8" s="1001">
        <f>FV8</f>
        <v>0</v>
      </c>
      <c r="II8" s="1001">
        <f>FW8</f>
        <v>0</v>
      </c>
      <c r="IJ8" s="1002">
        <v>4</v>
      </c>
      <c r="IK8" s="1001"/>
      <c r="IL8" s="1001"/>
      <c r="IM8" s="1004"/>
      <c r="IN8" s="1003">
        <v>1</v>
      </c>
      <c r="IO8" s="1001"/>
    </row>
    <row r="9" spans="1:261">
      <c r="A9" s="595"/>
      <c r="B9" s="598"/>
      <c r="C9" s="599"/>
      <c r="D9" s="1005"/>
      <c r="E9" s="1006"/>
      <c r="F9" s="995" t="s">
        <v>66</v>
      </c>
      <c r="G9" s="1007" t="s">
        <v>387</v>
      </c>
      <c r="H9" s="1008">
        <f>SUBTOTAL(9,H10:H26)</f>
        <v>274602339.36065179</v>
      </c>
      <c r="I9" s="1009"/>
      <c r="J9" s="1009"/>
      <c r="K9" s="1009"/>
      <c r="L9" s="1009"/>
      <c r="M9" s="1009"/>
      <c r="N9" s="1009"/>
      <c r="O9" s="1008">
        <f>SUBTOTAL(9,O10:O26)</f>
        <v>4417983.2159015741</v>
      </c>
      <c r="P9" s="1010">
        <f>O9/$H9</f>
        <v>1.6088658334768118E-2</v>
      </c>
      <c r="Q9" s="1011">
        <f t="shared" ref="Q9:Q42" si="0">O9/O$71</f>
        <v>0.71174096540408394</v>
      </c>
      <c r="R9" s="1009"/>
      <c r="S9" s="1009"/>
      <c r="T9" s="1009"/>
      <c r="U9" s="1009"/>
      <c r="V9" s="1009"/>
      <c r="W9" s="1009"/>
      <c r="X9" s="1008">
        <f>SUBTOTAL(9,X10:X26)</f>
        <v>6051136.7798354775</v>
      </c>
      <c r="Y9" s="1010">
        <f>X9/$X71</f>
        <v>0.77178491724949005</v>
      </c>
      <c r="Z9" s="1009"/>
      <c r="AA9" s="1009"/>
      <c r="AB9" s="1009"/>
      <c r="AC9" s="1009"/>
      <c r="AD9" s="1009"/>
      <c r="AE9" s="1009"/>
      <c r="AF9" s="1008">
        <f>SUBTOTAL(9,AF10:AF26)</f>
        <v>11345881.462191518</v>
      </c>
      <c r="AG9" s="1010">
        <f>AF9/$X71</f>
        <v>1.4470967198427935</v>
      </c>
      <c r="AH9" s="1009"/>
      <c r="AI9" s="1009"/>
      <c r="AJ9" s="1009"/>
      <c r="AK9" s="1009"/>
      <c r="AL9" s="1009"/>
      <c r="AM9" s="1009"/>
      <c r="AN9" s="1008">
        <f>SUBTOTAL(9,AN10:AN26)</f>
        <v>6051136.7798354775</v>
      </c>
      <c r="AO9" s="1010">
        <f>AN9/$X71</f>
        <v>0.77178491724949005</v>
      </c>
      <c r="AP9" s="1009"/>
      <c r="AQ9" s="1009"/>
      <c r="AR9" s="1009"/>
      <c r="AS9" s="1009"/>
      <c r="AT9" s="1009"/>
      <c r="AU9" s="1009"/>
      <c r="AV9" s="1008">
        <f>SUBTOTAL(9,AV10:AV26)</f>
        <v>6051136.7798354775</v>
      </c>
      <c r="AW9" s="1010">
        <f>AV9/$X71</f>
        <v>0.77178491724949005</v>
      </c>
      <c r="AX9" s="1009"/>
      <c r="AY9" s="1009"/>
      <c r="AZ9" s="1009"/>
      <c r="BA9" s="1009"/>
      <c r="BB9" s="1009"/>
      <c r="BC9" s="1009"/>
      <c r="BD9" s="1008">
        <f>SUBTOTAL(9,BD10:BD26)</f>
        <v>8925927.172542708</v>
      </c>
      <c r="BE9" s="1010">
        <f>BD9/$BD71</f>
        <v>0.77744628319062448</v>
      </c>
      <c r="BF9" s="1009">
        <f>I9</f>
        <v>0</v>
      </c>
      <c r="BG9" s="1009">
        <f>J9</f>
        <v>0</v>
      </c>
      <c r="BH9" s="1009"/>
      <c r="BI9" s="1009"/>
      <c r="BJ9" s="1012"/>
      <c r="BK9" s="1009"/>
      <c r="BL9" s="1008">
        <f>SUBTOTAL(9,BL10:BL26)</f>
        <v>12239057.784583179</v>
      </c>
      <c r="BM9" s="1010">
        <f>BL9/$BL71</f>
        <v>0.78321898279701196</v>
      </c>
      <c r="BN9" s="1009">
        <f>Q9</f>
        <v>0.71174096540408394</v>
      </c>
      <c r="BO9" s="1009">
        <f>R9</f>
        <v>0</v>
      </c>
      <c r="BP9" s="1009"/>
      <c r="BQ9" s="1009"/>
      <c r="BR9" s="1012"/>
      <c r="BS9" s="1009"/>
      <c r="BT9" s="1008">
        <f>SUBTOTAL(9,BT10:BT26)</f>
        <v>6527497.4851110289</v>
      </c>
      <c r="BU9" s="1010">
        <f>BT9/$BL71</f>
        <v>0.41771679082507301</v>
      </c>
      <c r="BV9" s="1009">
        <f>Y9</f>
        <v>0.77178491724949005</v>
      </c>
      <c r="BW9" s="1009">
        <f>Z9</f>
        <v>0</v>
      </c>
      <c r="BX9" s="1009"/>
      <c r="BY9" s="1009"/>
      <c r="BZ9" s="1012"/>
      <c r="CA9" s="1009"/>
      <c r="CB9" s="1008">
        <f>SUBTOTAL(9,CB10:CB26)</f>
        <v>9383277.6348471045</v>
      </c>
      <c r="CC9" s="1010">
        <f>CB9/$BL71</f>
        <v>0.60046788681104246</v>
      </c>
      <c r="CD9" s="1009">
        <f>AG9</f>
        <v>1.4470967198427935</v>
      </c>
      <c r="CE9" s="1009">
        <f>AH9</f>
        <v>0</v>
      </c>
      <c r="CF9" s="1009"/>
      <c r="CG9" s="1009"/>
      <c r="CH9" s="1012"/>
      <c r="CI9" s="1009"/>
      <c r="CJ9" s="1008">
        <f>SUBTOTAL(9,CJ10:CJ26)</f>
        <v>12239057.784583179</v>
      </c>
      <c r="CK9" s="1010">
        <f>CJ9/$BL71</f>
        <v>0.78321898279701196</v>
      </c>
      <c r="CL9" s="1009">
        <f>BF9</f>
        <v>0</v>
      </c>
      <c r="CM9" s="1009">
        <f>BG9</f>
        <v>0</v>
      </c>
      <c r="CN9" s="1009"/>
      <c r="CO9" s="1009"/>
      <c r="CP9" s="1009"/>
      <c r="CQ9" s="1009"/>
      <c r="CR9" s="1008">
        <f>SUBTOTAL(9,CR10:CR26)</f>
        <v>6527497.4851110289</v>
      </c>
      <c r="CS9" s="1010">
        <f>CR9/$CR71</f>
        <v>0.77697778553825059</v>
      </c>
      <c r="CT9" s="1009">
        <f>BN9</f>
        <v>0.71174096540408394</v>
      </c>
      <c r="CU9" s="1009">
        <f>BO9</f>
        <v>0</v>
      </c>
      <c r="CV9" s="1009"/>
      <c r="CW9" s="1009"/>
      <c r="CX9" s="1009"/>
      <c r="CY9" s="1009"/>
      <c r="CZ9" s="1008">
        <f>SUBTOTAL(9,CZ10:CZ26)</f>
        <v>9383277.6348471045</v>
      </c>
      <c r="DA9" s="1010">
        <f>CZ9/$CR71</f>
        <v>1.1169055667112353</v>
      </c>
      <c r="DB9" s="1009">
        <f>BV9</f>
        <v>0.77178491724949005</v>
      </c>
      <c r="DC9" s="1009">
        <f>BW9</f>
        <v>0</v>
      </c>
      <c r="DD9" s="1009"/>
      <c r="DE9" s="1009"/>
      <c r="DF9" s="1009"/>
      <c r="DG9" s="1009"/>
      <c r="DH9" s="1008">
        <f>SUBTOTAL(9,DH10:DH26)</f>
        <v>12239057.784583179</v>
      </c>
      <c r="DI9" s="1010">
        <f>DH9/$CR71</f>
        <v>1.4568333478842199</v>
      </c>
      <c r="DJ9" s="1009">
        <f>CD9</f>
        <v>1.4470967198427935</v>
      </c>
      <c r="DK9" s="1009">
        <f>CE9</f>
        <v>0</v>
      </c>
      <c r="DL9" s="1009"/>
      <c r="DM9" s="1009"/>
      <c r="DN9" s="1009"/>
      <c r="DO9" s="1009"/>
      <c r="DP9" s="1008">
        <f>SUBTOTAL(9,DP10:DP26)</f>
        <v>6527497.4851110289</v>
      </c>
      <c r="DQ9" s="1010">
        <f>DP9/$CR71</f>
        <v>0.77697778553825059</v>
      </c>
      <c r="DR9" s="1009">
        <f>CL9</f>
        <v>0</v>
      </c>
      <c r="DS9" s="1009">
        <f>CM9</f>
        <v>0</v>
      </c>
      <c r="DT9" s="1009"/>
      <c r="DU9" s="1009"/>
      <c r="DV9" s="1009"/>
      <c r="DW9" s="1009"/>
      <c r="DX9" s="1008">
        <f>SUBTOTAL(9,DX10:DX26)</f>
        <v>9383277.6348471045</v>
      </c>
      <c r="DY9" s="1010">
        <f>DX9/$CR71</f>
        <v>1.1169055667112353</v>
      </c>
      <c r="DZ9" s="1009">
        <f>CT9</f>
        <v>0.71174096540408394</v>
      </c>
      <c r="EA9" s="1009">
        <f>CU9</f>
        <v>0</v>
      </c>
      <c r="EB9" s="1009"/>
      <c r="EC9" s="1009"/>
      <c r="ED9" s="1009"/>
      <c r="EE9" s="1009"/>
      <c r="EF9" s="1008">
        <f>SUBTOTAL(9,EF10:EF26)</f>
        <v>12438999.011344207</v>
      </c>
      <c r="EG9" s="1010">
        <f>EF9/$CR71</f>
        <v>1.4806326510568266</v>
      </c>
      <c r="EH9" s="1009">
        <f>DB9</f>
        <v>0.77178491724949005</v>
      </c>
      <c r="EI9" s="1009">
        <f>DC9</f>
        <v>0</v>
      </c>
      <c r="EJ9" s="1009"/>
      <c r="EK9" s="1009"/>
      <c r="EL9" s="1009"/>
      <c r="EM9" s="1009"/>
      <c r="EN9" s="1008">
        <f>SUBTOTAL(9,EN10:EN26)</f>
        <v>6634132.8060502429</v>
      </c>
      <c r="EO9" s="1010">
        <f>EN9/$CR71</f>
        <v>0.78967074723030739</v>
      </c>
      <c r="EP9" s="1009">
        <f>CL9</f>
        <v>0</v>
      </c>
      <c r="EQ9" s="1009">
        <f>CM9</f>
        <v>0</v>
      </c>
      <c r="ER9" s="1009"/>
      <c r="ES9" s="1009"/>
      <c r="ET9" s="1008"/>
      <c r="EU9" s="1010"/>
      <c r="EV9" s="1008">
        <f>SUBTOTAL(9,EV10:EV26)</f>
        <v>9536565.9086972233</v>
      </c>
      <c r="EW9" s="1010">
        <f>EV9/$EV71</f>
        <v>0.78733345257150178</v>
      </c>
      <c r="EX9" s="1009">
        <f>CT9</f>
        <v>0.71174096540408394</v>
      </c>
      <c r="EY9" s="1009">
        <f>CU9</f>
        <v>0</v>
      </c>
      <c r="EZ9" s="1009"/>
      <c r="FA9" s="1009"/>
      <c r="FB9" s="1008"/>
      <c r="FC9" s="1010"/>
      <c r="FD9" s="1008">
        <f>SUBTOTAL(9,FD10:FD26)</f>
        <v>12438999.011344207</v>
      </c>
      <c r="FE9" s="1010">
        <f>FD9/$EV71</f>
        <v>1.0269566772671765</v>
      </c>
      <c r="FF9" s="1009">
        <f>DB9</f>
        <v>0.77178491724949005</v>
      </c>
      <c r="FG9" s="1009">
        <f>DC9</f>
        <v>0</v>
      </c>
      <c r="FH9" s="1009"/>
      <c r="FI9" s="1009"/>
      <c r="FJ9" s="1008"/>
      <c r="FK9" s="1010"/>
      <c r="FL9" s="1008">
        <f>SUBTOTAL(9,FL10:FL26)</f>
        <v>6634132.8060502429</v>
      </c>
      <c r="FM9" s="1010">
        <f>FL9/$EV71</f>
        <v>0.54771022787582735</v>
      </c>
      <c r="FN9" s="1009">
        <f>DJ9</f>
        <v>1.4470967198427935</v>
      </c>
      <c r="FO9" s="1009">
        <f>DK9</f>
        <v>0</v>
      </c>
      <c r="FP9" s="1009"/>
      <c r="FQ9" s="1009"/>
      <c r="FR9" s="1008"/>
      <c r="FS9" s="1010"/>
      <c r="FT9" s="1008">
        <f>SUBTOTAL(9,FT10:FT26)</f>
        <v>9926691.4705229774</v>
      </c>
      <c r="FU9" s="1010">
        <f>FT9/$EV71</f>
        <v>0.81954199687029838</v>
      </c>
      <c r="FV9" s="1009">
        <f>DR9</f>
        <v>0</v>
      </c>
      <c r="FW9" s="1009">
        <f>DS9</f>
        <v>0</v>
      </c>
      <c r="FX9" s="1009"/>
      <c r="FY9" s="1009"/>
      <c r="FZ9" s="1008"/>
      <c r="GA9" s="1010"/>
      <c r="GB9" s="1008">
        <f>SUBTOTAL(9,GB10:GB26)</f>
        <v>12947858.439812582</v>
      </c>
      <c r="GC9" s="1010">
        <f>GB9/$EV71</f>
        <v>1.0689678220047372</v>
      </c>
      <c r="GD9" s="1009">
        <f>DZ9</f>
        <v>0.71174096540408394</v>
      </c>
      <c r="GE9" s="1009">
        <f>EA9</f>
        <v>0</v>
      </c>
      <c r="GF9" s="1009"/>
      <c r="GG9" s="1009"/>
      <c r="GH9" s="1008"/>
      <c r="GI9" s="1010"/>
      <c r="GJ9" s="1008">
        <f>SUBTOTAL(9,GJ10:GJ26)</f>
        <v>6905524.5012333775</v>
      </c>
      <c r="GK9" s="1010">
        <f>GJ9/$EV71</f>
        <v>0.57011617173585993</v>
      </c>
      <c r="GL9" s="1009">
        <f>EH9</f>
        <v>0.77178491724949005</v>
      </c>
      <c r="GM9" s="1009">
        <f>EI9</f>
        <v>0</v>
      </c>
      <c r="GN9" s="1009"/>
      <c r="GO9" s="1009"/>
      <c r="GP9" s="1008"/>
      <c r="GQ9" s="1010"/>
      <c r="GR9" s="1008">
        <f>SUBTOTAL(9,GR10:GR26)</f>
        <v>9926691.4705229774</v>
      </c>
      <c r="GS9" s="1010">
        <f>GR9/$EV71</f>
        <v>0.81954199687029838</v>
      </c>
      <c r="GT9" s="1009">
        <f>EP9</f>
        <v>0</v>
      </c>
      <c r="GU9" s="1009">
        <f>EQ9</f>
        <v>0</v>
      </c>
      <c r="GV9" s="1009"/>
      <c r="GW9" s="1009"/>
      <c r="GX9" s="1008"/>
      <c r="GY9" s="1010"/>
      <c r="GZ9" s="1008">
        <f>SUBTOTAL(9,GZ10:GZ26)</f>
        <v>12947858.439812582</v>
      </c>
      <c r="HA9" s="1010">
        <f>GZ9/$EV71</f>
        <v>1.0689678220047372</v>
      </c>
      <c r="HB9" s="1009">
        <f>EP9</f>
        <v>0</v>
      </c>
      <c r="HC9" s="1009">
        <f>EQ9</f>
        <v>0</v>
      </c>
      <c r="HD9" s="1009"/>
      <c r="HE9" s="1009"/>
      <c r="HF9" s="1008"/>
      <c r="HG9" s="1010"/>
      <c r="HH9" s="1008">
        <f>SUBTOTAL(9,HH10:HH26)</f>
        <v>6958842.1617029822</v>
      </c>
      <c r="HI9" s="1010">
        <f>HH9/$HH71</f>
        <v>0.79239530505025457</v>
      </c>
      <c r="HJ9" s="1009">
        <f>EX9</f>
        <v>0.71174096540408394</v>
      </c>
      <c r="HK9" s="1009">
        <f>EY9</f>
        <v>0</v>
      </c>
      <c r="HL9" s="1009"/>
      <c r="HM9" s="1009"/>
      <c r="HN9" s="1008"/>
      <c r="HO9" s="1010"/>
      <c r="HP9" s="1008">
        <f>SUBTOTAL(9,HP10:HP26)</f>
        <v>10003335.607448036</v>
      </c>
      <c r="HQ9" s="1010">
        <f>HP9/$HH71</f>
        <v>1.1390682510097407</v>
      </c>
      <c r="HR9" s="1009">
        <f>FF9</f>
        <v>0.77178491724949005</v>
      </c>
      <c r="HS9" s="1009">
        <f>FG9</f>
        <v>0</v>
      </c>
      <c r="HT9" s="1009"/>
      <c r="HU9" s="1009"/>
      <c r="HV9" s="1008"/>
      <c r="HW9" s="1010"/>
      <c r="HX9" s="1008">
        <f>SUBTOTAL(9,HX10:HX26)</f>
        <v>13047829.053193094</v>
      </c>
      <c r="HY9" s="1010">
        <f>HX9/$HH71</f>
        <v>1.4857411969692276</v>
      </c>
      <c r="HZ9" s="1009">
        <f>FN9</f>
        <v>1.4470967198427935</v>
      </c>
      <c r="IA9" s="1009">
        <f>FO9</f>
        <v>0</v>
      </c>
      <c r="IB9" s="1009"/>
      <c r="IC9" s="1009"/>
      <c r="ID9" s="1008"/>
      <c r="IE9" s="1010"/>
      <c r="IF9" s="1008">
        <f>SUBTOTAL(9,IF10:IF26)</f>
        <v>6958842.1617029822</v>
      </c>
      <c r="IG9" s="1010">
        <f>IF9/$HH71</f>
        <v>0.79239530505025457</v>
      </c>
      <c r="IH9" s="1009">
        <f>FV9</f>
        <v>0</v>
      </c>
      <c r="II9" s="1009">
        <f>FW9</f>
        <v>0</v>
      </c>
      <c r="IJ9" s="1009"/>
      <c r="IK9" s="1009"/>
      <c r="IL9" s="1008"/>
      <c r="IM9" s="1010"/>
      <c r="IN9" s="1008">
        <f>SUBTOTAL(9,IN10:IN26)</f>
        <v>10003335.607448036</v>
      </c>
      <c r="IO9" s="1010">
        <f>IN9/$HH71</f>
        <v>1.1390682510097407</v>
      </c>
    </row>
    <row r="10" spans="1:261" s="341" customFormat="1" ht="24.75" customHeight="1">
      <c r="A10" s="1753"/>
      <c r="B10" s="1754"/>
      <c r="C10" s="1755"/>
      <c r="D10" s="1013">
        <f>VLOOKUP(E10,'DER MG'!$D$5:$I$150,6,0)</f>
        <v>4.6900000000000004</v>
      </c>
      <c r="E10" s="1014">
        <v>42643</v>
      </c>
      <c r="F10" s="1756"/>
      <c r="G10" s="1015" t="s">
        <v>388</v>
      </c>
      <c r="H10" s="992">
        <f>SUMIF($I$7:$IO$7,"ANO",I10:IO10)</f>
        <v>28863754.632357389</v>
      </c>
      <c r="I10" s="992">
        <v>364</v>
      </c>
      <c r="J10" s="1757" t="s">
        <v>339</v>
      </c>
      <c r="K10" s="1758">
        <f>VLOOKUP($G10,'Quantidades Padrão'!$E$7:$J$103,K$8,0)</f>
        <v>271.06666666666672</v>
      </c>
      <c r="L10" s="1759" t="s">
        <v>389</v>
      </c>
      <c r="M10" s="992">
        <f>I10*K10</f>
        <v>98668.266666666692</v>
      </c>
      <c r="N10" s="1759" t="s">
        <v>339</v>
      </c>
      <c r="O10" s="992">
        <f>$D10*M10</f>
        <v>462754.17066666682</v>
      </c>
      <c r="P10" s="992"/>
      <c r="Q10" s="1760">
        <f t="shared" si="0"/>
        <v>7.455010218001637E-2</v>
      </c>
      <c r="R10" s="992">
        <f>R29</f>
        <v>500</v>
      </c>
      <c r="S10" s="1757" t="s">
        <v>339</v>
      </c>
      <c r="T10" s="1758">
        <f>VLOOKUP($G10,'Quantidades Padrão'!$E$7:$J$103,T$8,0)</f>
        <v>271.06666666666672</v>
      </c>
      <c r="U10" s="1759" t="s">
        <v>389</v>
      </c>
      <c r="V10" s="992">
        <f>R10*T10</f>
        <v>135533.33333333337</v>
      </c>
      <c r="W10" s="1759" t="s">
        <v>390</v>
      </c>
      <c r="X10" s="992">
        <f t="shared" ref="X10:X26" si="1">$D10*V10</f>
        <v>635651.3333333336</v>
      </c>
      <c r="Y10" s="992"/>
      <c r="Z10" s="992">
        <f>Z29</f>
        <v>500</v>
      </c>
      <c r="AA10" s="1757" t="s">
        <v>339</v>
      </c>
      <c r="AB10" s="1758">
        <f>VLOOKUP($G10,'Quantidades Padrão'!$E$7:$J$103,AB$8,0)</f>
        <v>508.25000000000006</v>
      </c>
      <c r="AC10" s="1759" t="s">
        <v>389</v>
      </c>
      <c r="AD10" s="992">
        <f>Z10*AB10</f>
        <v>254125.00000000003</v>
      </c>
      <c r="AE10" s="1759" t="s">
        <v>390</v>
      </c>
      <c r="AF10" s="992">
        <f t="shared" ref="AF10:AF26" si="2">$D10*AD10</f>
        <v>1191846.2500000002</v>
      </c>
      <c r="AG10" s="992"/>
      <c r="AH10" s="992">
        <f>AH29</f>
        <v>500</v>
      </c>
      <c r="AI10" s="1757" t="s">
        <v>339</v>
      </c>
      <c r="AJ10" s="1758">
        <f>VLOOKUP($G10,'Quantidades Padrão'!$E$7:$J$103,AJ$8,0)</f>
        <v>271.06666666666672</v>
      </c>
      <c r="AK10" s="1759" t="s">
        <v>389</v>
      </c>
      <c r="AL10" s="992">
        <f>AH10*AJ10</f>
        <v>135533.33333333337</v>
      </c>
      <c r="AM10" s="1759" t="s">
        <v>390</v>
      </c>
      <c r="AN10" s="992">
        <f t="shared" ref="AN10:AN26" si="3">$D10*AL10</f>
        <v>635651.3333333336</v>
      </c>
      <c r="AO10" s="992"/>
      <c r="AP10" s="992">
        <f>AP29</f>
        <v>500</v>
      </c>
      <c r="AQ10" s="1757" t="s">
        <v>339</v>
      </c>
      <c r="AR10" s="1758">
        <f>VLOOKUP($G10,'Quantidades Padrão'!$E$7:$J$103,AR$8,0)</f>
        <v>271.06666666666672</v>
      </c>
      <c r="AS10" s="1759" t="s">
        <v>389</v>
      </c>
      <c r="AT10" s="992">
        <f>AP10*AR10</f>
        <v>135533.33333333337</v>
      </c>
      <c r="AU10" s="1759" t="s">
        <v>390</v>
      </c>
      <c r="AV10" s="992">
        <f t="shared" ref="AV10:AV26" si="4">$D10*AT10</f>
        <v>635651.3333333336</v>
      </c>
      <c r="AW10" s="992"/>
      <c r="AX10" s="992">
        <f>AX29</f>
        <v>513.17434300000002</v>
      </c>
      <c r="AY10" s="1757" t="s">
        <v>339</v>
      </c>
      <c r="AZ10" s="1758">
        <f>VLOOKUP($G10,'Quantidades Padrão'!$E$7:$J$103,AZ$8,0)</f>
        <v>389.65833333333336</v>
      </c>
      <c r="BA10" s="1759" t="s">
        <v>389</v>
      </c>
      <c r="BB10" s="992">
        <f>AX10*AZ10</f>
        <v>199962.65920280837</v>
      </c>
      <c r="BC10" s="1759" t="s">
        <v>390</v>
      </c>
      <c r="BD10" s="992">
        <f>$D10*BB10</f>
        <v>937824.87166117132</v>
      </c>
      <c r="BE10" s="992"/>
      <c r="BF10" s="992">
        <f>BF29</f>
        <v>539.66868600000009</v>
      </c>
      <c r="BG10" s="1757" t="s">
        <v>339</v>
      </c>
      <c r="BH10" s="1758">
        <f>VLOOKUP($G10,'Quantidades Padrão'!$E$7:$J$103,BH$8,0)</f>
        <v>508.25000000000006</v>
      </c>
      <c r="BI10" s="1759" t="s">
        <v>389</v>
      </c>
      <c r="BJ10" s="992">
        <f>BF10*BH10</f>
        <v>274286.60965950007</v>
      </c>
      <c r="BK10" s="1759" t="s">
        <v>390</v>
      </c>
      <c r="BL10" s="992">
        <f>$D10*BJ10</f>
        <v>1286404.1993030554</v>
      </c>
      <c r="BM10" s="992"/>
      <c r="BN10" s="992">
        <f>BN29</f>
        <v>539.66868600000009</v>
      </c>
      <c r="BO10" s="1757" t="s">
        <v>339</v>
      </c>
      <c r="BP10" s="1758">
        <f>VLOOKUP($G10,'Quantidades Padrão'!$E$7:$J$103,BP$8,0)</f>
        <v>271.06666666666672</v>
      </c>
      <c r="BQ10" s="1759" t="s">
        <v>389</v>
      </c>
      <c r="BR10" s="992">
        <f>BN10*BP10</f>
        <v>146286.19181840005</v>
      </c>
      <c r="BS10" s="1759" t="s">
        <v>390</v>
      </c>
      <c r="BT10" s="992">
        <f>$D10*BR10</f>
        <v>686082.23962829635</v>
      </c>
      <c r="BU10" s="992"/>
      <c r="BV10" s="992">
        <f>BV29</f>
        <v>539.66868600000009</v>
      </c>
      <c r="BW10" s="1757" t="s">
        <v>339</v>
      </c>
      <c r="BX10" s="1758">
        <f>VLOOKUP($G10,'Quantidades Padrão'!$E$7:$J$103,BX$8,0)</f>
        <v>389.65833333333336</v>
      </c>
      <c r="BY10" s="1759" t="s">
        <v>389</v>
      </c>
      <c r="BZ10" s="992">
        <f>BV10*BX10</f>
        <v>210286.40073895006</v>
      </c>
      <c r="CA10" s="1759" t="s">
        <v>390</v>
      </c>
      <c r="CB10" s="992">
        <f>$D10*BZ10</f>
        <v>986243.21946567588</v>
      </c>
      <c r="CC10" s="992"/>
      <c r="CD10" s="992">
        <f>CD29</f>
        <v>539.66868600000009</v>
      </c>
      <c r="CE10" s="1757" t="s">
        <v>339</v>
      </c>
      <c r="CF10" s="1758">
        <f>VLOOKUP($G10,'Quantidades Padrão'!$E$7:$J$103,CF$8,0)</f>
        <v>508.25000000000006</v>
      </c>
      <c r="CG10" s="1759" t="s">
        <v>389</v>
      </c>
      <c r="CH10" s="992">
        <f>CD10*CF10</f>
        <v>274286.60965950007</v>
      </c>
      <c r="CI10" s="1759" t="s">
        <v>390</v>
      </c>
      <c r="CJ10" s="992">
        <f>$D10*CH10</f>
        <v>1286404.1993030554</v>
      </c>
      <c r="CK10" s="992"/>
      <c r="CL10" s="992">
        <f>CL29</f>
        <v>539.66868600000009</v>
      </c>
      <c r="CM10" s="1757" t="s">
        <v>339</v>
      </c>
      <c r="CN10" s="1758">
        <f>VLOOKUP($G10,'Quantidades Padrão'!$E$7:$J$103,CN$8,0)</f>
        <v>271.06666666666672</v>
      </c>
      <c r="CO10" s="1759" t="s">
        <v>389</v>
      </c>
      <c r="CP10" s="992">
        <f>CL10*CN10</f>
        <v>146286.19181840005</v>
      </c>
      <c r="CQ10" s="1759" t="s">
        <v>390</v>
      </c>
      <c r="CR10" s="992">
        <f>$D10*CP10</f>
        <v>686082.23962829635</v>
      </c>
      <c r="CS10" s="992"/>
      <c r="CT10" s="992">
        <f>CT29</f>
        <v>539.66868600000009</v>
      </c>
      <c r="CU10" s="1757" t="s">
        <v>339</v>
      </c>
      <c r="CV10" s="1758">
        <f>VLOOKUP($G10,'Quantidades Padrão'!$E$7:$J$103,CV$8,0)</f>
        <v>389.65833333333336</v>
      </c>
      <c r="CW10" s="1759" t="s">
        <v>389</v>
      </c>
      <c r="CX10" s="992">
        <f>CT10*CV10</f>
        <v>210286.40073895006</v>
      </c>
      <c r="CY10" s="1759" t="s">
        <v>390</v>
      </c>
      <c r="CZ10" s="992">
        <f>$D10*CX10</f>
        <v>986243.21946567588</v>
      </c>
      <c r="DA10" s="992"/>
      <c r="DB10" s="992">
        <f>DB29</f>
        <v>539.66868600000009</v>
      </c>
      <c r="DC10" s="1757" t="s">
        <v>339</v>
      </c>
      <c r="DD10" s="1758">
        <f>VLOOKUP($G10,'Quantidades Padrão'!$E$7:$J$103,DD$8,0)</f>
        <v>508.25000000000006</v>
      </c>
      <c r="DE10" s="1759" t="s">
        <v>389</v>
      </c>
      <c r="DF10" s="992">
        <f>DB10*DD10</f>
        <v>274286.60965950007</v>
      </c>
      <c r="DG10" s="1759" t="s">
        <v>390</v>
      </c>
      <c r="DH10" s="992">
        <f>$D10*DF10</f>
        <v>1286404.1993030554</v>
      </c>
      <c r="DI10" s="992"/>
      <c r="DJ10" s="992">
        <f>DJ29</f>
        <v>539.66868600000009</v>
      </c>
      <c r="DK10" s="1757" t="s">
        <v>339</v>
      </c>
      <c r="DL10" s="1758">
        <f>VLOOKUP($G10,'Quantidades Padrão'!$E$7:$J$103,DL$8,0)</f>
        <v>271.06666666666672</v>
      </c>
      <c r="DM10" s="1759" t="s">
        <v>389</v>
      </c>
      <c r="DN10" s="992">
        <f>DJ10*DL10</f>
        <v>146286.19181840005</v>
      </c>
      <c r="DO10" s="1759" t="s">
        <v>390</v>
      </c>
      <c r="DP10" s="992">
        <f>$D10*DN10</f>
        <v>686082.23962829635</v>
      </c>
      <c r="DQ10" s="992"/>
      <c r="DR10" s="992">
        <f>DR29</f>
        <v>539.66868600000009</v>
      </c>
      <c r="DS10" s="1757" t="s">
        <v>339</v>
      </c>
      <c r="DT10" s="1758">
        <f>VLOOKUP($G10,'Quantidades Padrão'!$E$7:$J$103,DT$8,0)</f>
        <v>389.65833333333336</v>
      </c>
      <c r="DU10" s="1759" t="s">
        <v>389</v>
      </c>
      <c r="DV10" s="992">
        <f>DR10*DT10</f>
        <v>210286.40073895006</v>
      </c>
      <c r="DW10" s="1759" t="s">
        <v>390</v>
      </c>
      <c r="DX10" s="992">
        <f>$D10*DV10</f>
        <v>986243.21946567588</v>
      </c>
      <c r="DY10" s="992"/>
      <c r="DZ10" s="992">
        <f>DZ29</f>
        <v>548.54868600000009</v>
      </c>
      <c r="EA10" s="1757" t="s">
        <v>339</v>
      </c>
      <c r="EB10" s="1758">
        <f>VLOOKUP($G10,'Quantidades Padrão'!$E$7:$J$103,EB$8,0)</f>
        <v>508.25000000000006</v>
      </c>
      <c r="EC10" s="1759" t="s">
        <v>389</v>
      </c>
      <c r="ED10" s="992">
        <f>DZ10*EB10</f>
        <v>278799.86965950008</v>
      </c>
      <c r="EE10" s="1759" t="s">
        <v>390</v>
      </c>
      <c r="EF10" s="992">
        <f>$D10*ED10</f>
        <v>1307571.3887030554</v>
      </c>
      <c r="EG10" s="992"/>
      <c r="EH10" s="992">
        <f>EH29</f>
        <v>548.54868600000009</v>
      </c>
      <c r="EI10" s="1757" t="s">
        <v>339</v>
      </c>
      <c r="EJ10" s="1758">
        <f>VLOOKUP($G10,'Quantidades Padrão'!$E$7:$J$103,EJ$8,0)</f>
        <v>271.06666666666672</v>
      </c>
      <c r="EK10" s="1759" t="s">
        <v>389</v>
      </c>
      <c r="EL10" s="992">
        <f>EH10*EJ10</f>
        <v>148693.26381840004</v>
      </c>
      <c r="EM10" s="1759" t="s">
        <v>390</v>
      </c>
      <c r="EN10" s="992">
        <f>$D10*EL10</f>
        <v>697371.40730829618</v>
      </c>
      <c r="EO10" s="992"/>
      <c r="EP10" s="992">
        <f>EP29</f>
        <v>548.54868600000009</v>
      </c>
      <c r="EQ10" s="1757" t="s">
        <v>339</v>
      </c>
      <c r="ER10" s="1758">
        <f>VLOOKUP($G10,'Quantidades Padrão'!$E$7:$J$103,ER$8,0)</f>
        <v>389.65833333333336</v>
      </c>
      <c r="ES10" s="1759" t="s">
        <v>389</v>
      </c>
      <c r="ET10" s="992">
        <f>EP10*ER10</f>
        <v>213746.56673895006</v>
      </c>
      <c r="EU10" s="1759" t="s">
        <v>390</v>
      </c>
      <c r="EV10" s="992">
        <f>$D10*ET10</f>
        <v>1002471.3980056759</v>
      </c>
      <c r="EW10" s="992"/>
      <c r="EX10" s="992">
        <f>EX29</f>
        <v>548.54868600000009</v>
      </c>
      <c r="EY10" s="1757" t="s">
        <v>339</v>
      </c>
      <c r="EZ10" s="1758">
        <f>VLOOKUP($G10,'Quantidades Padrão'!$E$7:$J$103,EZ$8,0)</f>
        <v>508.25000000000006</v>
      </c>
      <c r="FA10" s="1759" t="s">
        <v>389</v>
      </c>
      <c r="FB10" s="992">
        <f>EX10*EZ10</f>
        <v>278799.86965950008</v>
      </c>
      <c r="FC10" s="1759" t="s">
        <v>390</v>
      </c>
      <c r="FD10" s="992">
        <f>$D10*FB10</f>
        <v>1307571.3887030554</v>
      </c>
      <c r="FE10" s="992"/>
      <c r="FF10" s="992">
        <f>FF29</f>
        <v>548.54868600000009</v>
      </c>
      <c r="FG10" s="1757" t="s">
        <v>339</v>
      </c>
      <c r="FH10" s="1758">
        <f>VLOOKUP($G10,'Quantidades Padrão'!$E$7:$J$103,FH$8,0)</f>
        <v>271.06666666666672</v>
      </c>
      <c r="FI10" s="1759" t="s">
        <v>389</v>
      </c>
      <c r="FJ10" s="992">
        <f>FF10*FH10</f>
        <v>148693.26381840004</v>
      </c>
      <c r="FK10" s="1759" t="s">
        <v>390</v>
      </c>
      <c r="FL10" s="992">
        <f>$D10*FJ10</f>
        <v>697371.40730829618</v>
      </c>
      <c r="FM10" s="992"/>
      <c r="FN10" s="992">
        <f>FN29</f>
        <v>571.14868600000011</v>
      </c>
      <c r="FO10" s="1757" t="s">
        <v>339</v>
      </c>
      <c r="FP10" s="1758">
        <f>VLOOKUP($G10,'Quantidades Padrão'!$E$7:$J$103,FP$8,0)</f>
        <v>389.65833333333336</v>
      </c>
      <c r="FQ10" s="1759" t="s">
        <v>389</v>
      </c>
      <c r="FR10" s="992">
        <f>FN10*FP10</f>
        <v>222552.84507228338</v>
      </c>
      <c r="FS10" s="1759" t="s">
        <v>390</v>
      </c>
      <c r="FT10" s="992">
        <f>$D10*FR10</f>
        <v>1043772.8433890091</v>
      </c>
      <c r="FU10" s="992"/>
      <c r="FV10" s="992">
        <f>FV29</f>
        <v>571.14868600000011</v>
      </c>
      <c r="FW10" s="1757" t="s">
        <v>339</v>
      </c>
      <c r="FX10" s="1758">
        <f>VLOOKUP($G10,'Quantidades Padrão'!$E$7:$J$103,FX$8,0)</f>
        <v>508.25000000000006</v>
      </c>
      <c r="FY10" s="1759" t="s">
        <v>389</v>
      </c>
      <c r="FZ10" s="992">
        <f>FV10*FX10</f>
        <v>290286.31965950009</v>
      </c>
      <c r="GA10" s="1759" t="s">
        <v>390</v>
      </c>
      <c r="GB10" s="992">
        <f>$D10*FZ10</f>
        <v>1361442.8392030555</v>
      </c>
      <c r="GC10" s="992"/>
      <c r="GD10" s="992">
        <f>GD29</f>
        <v>571.14868600000011</v>
      </c>
      <c r="GE10" s="1757" t="s">
        <v>339</v>
      </c>
      <c r="GF10" s="1758">
        <f>VLOOKUP($G10,'Quantidades Padrão'!$E$7:$J$103,GF$8,0)</f>
        <v>271.06666666666672</v>
      </c>
      <c r="GG10" s="1759" t="s">
        <v>389</v>
      </c>
      <c r="GH10" s="992">
        <f>GD10*GF10</f>
        <v>154819.37048506673</v>
      </c>
      <c r="GI10" s="1759" t="s">
        <v>390</v>
      </c>
      <c r="GJ10" s="992">
        <f>$D10*GH10</f>
        <v>726102.847574963</v>
      </c>
      <c r="GK10" s="992"/>
      <c r="GL10" s="992">
        <f>GL29</f>
        <v>571.14868600000011</v>
      </c>
      <c r="GM10" s="1757" t="s">
        <v>339</v>
      </c>
      <c r="GN10" s="1758">
        <f>VLOOKUP($G10,'Quantidades Padrão'!$E$7:$J$103,GN$8,0)</f>
        <v>389.65833333333336</v>
      </c>
      <c r="GO10" s="1759" t="s">
        <v>389</v>
      </c>
      <c r="GP10" s="992">
        <f>GL10*GN10</f>
        <v>222552.84507228338</v>
      </c>
      <c r="GQ10" s="1759" t="s">
        <v>390</v>
      </c>
      <c r="GR10" s="992">
        <f>$D10*GP10</f>
        <v>1043772.8433890091</v>
      </c>
      <c r="GS10" s="992"/>
      <c r="GT10" s="992">
        <f>GT29</f>
        <v>571.14868600000011</v>
      </c>
      <c r="GU10" s="1757" t="s">
        <v>339</v>
      </c>
      <c r="GV10" s="1758">
        <f>VLOOKUP($G10,'Quantidades Padrão'!$E$7:$J$103,GV$8,0)</f>
        <v>508.25000000000006</v>
      </c>
      <c r="GW10" s="1759" t="s">
        <v>389</v>
      </c>
      <c r="GX10" s="992">
        <f>GT10*GV10</f>
        <v>290286.31965950009</v>
      </c>
      <c r="GY10" s="1759" t="s">
        <v>390</v>
      </c>
      <c r="GZ10" s="992">
        <f>$D10*GX10</f>
        <v>1361442.8392030555</v>
      </c>
      <c r="HA10" s="992"/>
      <c r="HB10" s="992">
        <f>HB29</f>
        <v>575.58868600000005</v>
      </c>
      <c r="HC10" s="1757" t="s">
        <v>339</v>
      </c>
      <c r="HD10" s="1758">
        <f>VLOOKUP($G10,'Quantidades Padrão'!$E$7:$J$103,HD$8,0)</f>
        <v>271.06666666666672</v>
      </c>
      <c r="HE10" s="1759" t="s">
        <v>389</v>
      </c>
      <c r="HF10" s="992">
        <f>HB10*HD10</f>
        <v>156022.90648506672</v>
      </c>
      <c r="HG10" s="1759" t="s">
        <v>390</v>
      </c>
      <c r="HH10" s="992">
        <f>$D10*HF10</f>
        <v>731747.43141496298</v>
      </c>
      <c r="HI10" s="992"/>
      <c r="HJ10" s="992">
        <f>HJ29</f>
        <v>575.58868600000005</v>
      </c>
      <c r="HK10" s="1757" t="s">
        <v>339</v>
      </c>
      <c r="HL10" s="1758">
        <f>VLOOKUP($G10,'Quantidades Padrão'!$E$7:$J$103,HL$8,0)</f>
        <v>389.65833333333336</v>
      </c>
      <c r="HM10" s="1759" t="s">
        <v>389</v>
      </c>
      <c r="HN10" s="992">
        <f>HJ10*HL10</f>
        <v>224282.92807228336</v>
      </c>
      <c r="HO10" s="1759" t="s">
        <v>390</v>
      </c>
      <c r="HP10" s="992">
        <f>$D10*HN10</f>
        <v>1051886.932659009</v>
      </c>
      <c r="HQ10" s="992"/>
      <c r="HR10" s="992">
        <f>HR29</f>
        <v>575.58868600000005</v>
      </c>
      <c r="HS10" s="1757" t="s">
        <v>339</v>
      </c>
      <c r="HT10" s="1758">
        <f>VLOOKUP($G10,'Quantidades Padrão'!$E$7:$J$103,HT$8,0)</f>
        <v>508.25000000000006</v>
      </c>
      <c r="HU10" s="1759" t="s">
        <v>389</v>
      </c>
      <c r="HV10" s="992">
        <f>HR10*HT10</f>
        <v>292542.94965950004</v>
      </c>
      <c r="HW10" s="1759" t="s">
        <v>390</v>
      </c>
      <c r="HX10" s="992">
        <f>$D10*HV10</f>
        <v>1372026.4339030553</v>
      </c>
      <c r="HY10" s="992"/>
      <c r="HZ10" s="992">
        <f>HZ29</f>
        <v>575.58868600000005</v>
      </c>
      <c r="IA10" s="1757" t="s">
        <v>339</v>
      </c>
      <c r="IB10" s="1758">
        <f>VLOOKUP($G10,'Quantidades Padrão'!$E$7:$J$103,IB$8,0)</f>
        <v>271.06666666666672</v>
      </c>
      <c r="IC10" s="1759" t="s">
        <v>389</v>
      </c>
      <c r="ID10" s="992">
        <f>HZ10*IB10</f>
        <v>156022.90648506672</v>
      </c>
      <c r="IE10" s="1759" t="s">
        <v>390</v>
      </c>
      <c r="IF10" s="992">
        <f>$D10*ID10</f>
        <v>731747.43141496298</v>
      </c>
      <c r="IG10" s="992"/>
      <c r="IH10" s="992">
        <f>IH29</f>
        <v>575.58868600000005</v>
      </c>
      <c r="II10" s="1757" t="s">
        <v>339</v>
      </c>
      <c r="IJ10" s="1758">
        <f>VLOOKUP($G10,'Quantidades Padrão'!$E$7:$J$103,IJ$8,0)</f>
        <v>389.65833333333336</v>
      </c>
      <c r="IK10" s="1759" t="s">
        <v>389</v>
      </c>
      <c r="IL10" s="992">
        <f>IH10*IJ10</f>
        <v>224282.92807228336</v>
      </c>
      <c r="IM10" s="1759" t="s">
        <v>390</v>
      </c>
      <c r="IN10" s="992">
        <f>$D10*IL10</f>
        <v>1051886.932659009</v>
      </c>
      <c r="IO10" s="992"/>
    </row>
    <row r="11" spans="1:261" s="341" customFormat="1" ht="45">
      <c r="A11" s="1753"/>
      <c r="B11" s="1754"/>
      <c r="C11" s="1755"/>
      <c r="D11" s="1013">
        <f>VLOOKUP(E11,'DER MG'!$D$5:$I$150,6,0)</f>
        <v>1707.62</v>
      </c>
      <c r="E11" s="1017">
        <v>41326</v>
      </c>
      <c r="F11" s="1756"/>
      <c r="G11" s="1018" t="s">
        <v>391</v>
      </c>
      <c r="H11" s="992">
        <f t="shared" ref="H11:H26" si="5">SUMIF($I$7:$IO$7,"ANO",I11:IO11)</f>
        <v>161680579.58112556</v>
      </c>
      <c r="I11" s="992">
        <v>364</v>
      </c>
      <c r="J11" s="1757" t="s">
        <v>392</v>
      </c>
      <c r="K11" s="1758">
        <f>VLOOKUP($G11,'Quantidades Padrão'!$E$7:$J$103,K$8,0)</f>
        <v>4.1702564102564113</v>
      </c>
      <c r="L11" s="1759" t="s">
        <v>393</v>
      </c>
      <c r="M11" s="992">
        <f>I11*K11</f>
        <v>1517.9733333333336</v>
      </c>
      <c r="N11" s="1759" t="s">
        <v>339</v>
      </c>
      <c r="O11" s="992">
        <f>$D11*M11</f>
        <v>2592121.6234666668</v>
      </c>
      <c r="P11" s="992"/>
      <c r="Q11" s="1760">
        <f t="shared" si="0"/>
        <v>0.41759306375148275</v>
      </c>
      <c r="R11" s="992">
        <f>R10</f>
        <v>500</v>
      </c>
      <c r="S11" s="1757" t="s">
        <v>339</v>
      </c>
      <c r="T11" s="1758">
        <f>VLOOKUP($G11,'Quantidades Padrão'!$E$7:$J$103,T$8,0)</f>
        <v>4.1702564102564113</v>
      </c>
      <c r="U11" s="1759" t="s">
        <v>393</v>
      </c>
      <c r="V11" s="992">
        <f>R11*T11</f>
        <v>2085.1282051282055</v>
      </c>
      <c r="W11" s="1759" t="s">
        <v>339</v>
      </c>
      <c r="X11" s="992">
        <f t="shared" si="1"/>
        <v>3560606.6256410261</v>
      </c>
      <c r="Y11" s="992"/>
      <c r="Z11" s="992">
        <f>Z10</f>
        <v>500</v>
      </c>
      <c r="AA11" s="1757" t="s">
        <v>339</v>
      </c>
      <c r="AB11" s="1758">
        <f>VLOOKUP($G11,'Quantidades Padrão'!$E$7:$J$103,AB$8,0)</f>
        <v>7.8192307692307708</v>
      </c>
      <c r="AC11" s="1759" t="s">
        <v>393</v>
      </c>
      <c r="AD11" s="992">
        <f>Z11*AB11</f>
        <v>3909.6153846153852</v>
      </c>
      <c r="AE11" s="1759" t="s">
        <v>339</v>
      </c>
      <c r="AF11" s="992">
        <f t="shared" si="2"/>
        <v>6676137.4230769239</v>
      </c>
      <c r="AG11" s="992"/>
      <c r="AH11" s="992">
        <f>AH10</f>
        <v>500</v>
      </c>
      <c r="AI11" s="1757" t="s">
        <v>339</v>
      </c>
      <c r="AJ11" s="1758">
        <f>VLOOKUP($G11,'Quantidades Padrão'!$E$7:$J$103,AJ$8,0)</f>
        <v>4.1702564102564113</v>
      </c>
      <c r="AK11" s="1759" t="s">
        <v>393</v>
      </c>
      <c r="AL11" s="992">
        <f>AH11*AJ11</f>
        <v>2085.1282051282055</v>
      </c>
      <c r="AM11" s="1759" t="s">
        <v>339</v>
      </c>
      <c r="AN11" s="992">
        <f t="shared" si="3"/>
        <v>3560606.6256410261</v>
      </c>
      <c r="AO11" s="992"/>
      <c r="AP11" s="992">
        <f>AP10</f>
        <v>500</v>
      </c>
      <c r="AQ11" s="1757" t="s">
        <v>339</v>
      </c>
      <c r="AR11" s="1758">
        <f>VLOOKUP($G11,'Quantidades Padrão'!$E$7:$J$103,AR$8,0)</f>
        <v>4.1702564102564113</v>
      </c>
      <c r="AS11" s="1759" t="s">
        <v>393</v>
      </c>
      <c r="AT11" s="992">
        <f>AP11*AR11</f>
        <v>2085.1282051282055</v>
      </c>
      <c r="AU11" s="1759" t="s">
        <v>339</v>
      </c>
      <c r="AV11" s="992">
        <f t="shared" si="4"/>
        <v>3560606.6256410261</v>
      </c>
      <c r="AW11" s="992"/>
      <c r="AX11" s="992">
        <f>AX10</f>
        <v>513.17434300000002</v>
      </c>
      <c r="AY11" s="1757" t="s">
        <v>339</v>
      </c>
      <c r="AZ11" s="1758">
        <f>VLOOKUP($G11,'Quantidades Padrão'!$E$7:$J$103,AZ$8,0)</f>
        <v>5.9947435897435906</v>
      </c>
      <c r="BA11" s="1759" t="s">
        <v>393</v>
      </c>
      <c r="BB11" s="992">
        <f>AX11*AZ11</f>
        <v>3076.3486031201287</v>
      </c>
      <c r="BC11" s="1759" t="s">
        <v>339</v>
      </c>
      <c r="BD11" s="992">
        <f>$D11*BB11</f>
        <v>5253234.4016599935</v>
      </c>
      <c r="BE11" s="992"/>
      <c r="BF11" s="992">
        <f>BF10</f>
        <v>539.66868600000009</v>
      </c>
      <c r="BG11" s="1757" t="s">
        <v>339</v>
      </c>
      <c r="BH11" s="1758">
        <f>VLOOKUP($G11,'Quantidades Padrão'!$E$7:$J$103,BH$8,0)</f>
        <v>7.8192307692307708</v>
      </c>
      <c r="BI11" s="1759" t="s">
        <v>393</v>
      </c>
      <c r="BJ11" s="992">
        <f>BF11*BH11</f>
        <v>4219.7939947615396</v>
      </c>
      <c r="BK11" s="1759" t="s">
        <v>339</v>
      </c>
      <c r="BL11" s="992">
        <f>$D11*BJ11</f>
        <v>7205804.6213346999</v>
      </c>
      <c r="BM11" s="992"/>
      <c r="BN11" s="992">
        <f>BN10</f>
        <v>539.66868600000009</v>
      </c>
      <c r="BO11" s="1757" t="s">
        <v>339</v>
      </c>
      <c r="BP11" s="1758">
        <f>VLOOKUP($G11,'Quantidades Padrão'!$E$7:$J$103,BP$8,0)</f>
        <v>4.1702564102564113</v>
      </c>
      <c r="BQ11" s="1759" t="s">
        <v>393</v>
      </c>
      <c r="BR11" s="992">
        <f>BN11*BP11</f>
        <v>2250.5567972061549</v>
      </c>
      <c r="BS11" s="1759" t="s">
        <v>339</v>
      </c>
      <c r="BT11" s="992">
        <f>$D11*BR11</f>
        <v>3843095.7980451738</v>
      </c>
      <c r="BU11" s="992"/>
      <c r="BV11" s="992">
        <f>BV10</f>
        <v>539.66868600000009</v>
      </c>
      <c r="BW11" s="1757" t="s">
        <v>339</v>
      </c>
      <c r="BX11" s="1758">
        <f>VLOOKUP($G11,'Quantidades Padrão'!$E$7:$J$103,BX$8,0)</f>
        <v>5.9947435897435906</v>
      </c>
      <c r="BY11" s="1759" t="s">
        <v>393</v>
      </c>
      <c r="BZ11" s="992">
        <f>BV11*BX11</f>
        <v>3235.175395983847</v>
      </c>
      <c r="CA11" s="1759" t="s">
        <v>339</v>
      </c>
      <c r="CB11" s="992">
        <f>$D11*BZ11</f>
        <v>5524450.2096899366</v>
      </c>
      <c r="CC11" s="992"/>
      <c r="CD11" s="992">
        <f>CD10</f>
        <v>539.66868600000009</v>
      </c>
      <c r="CE11" s="1757" t="s">
        <v>339</v>
      </c>
      <c r="CF11" s="1758">
        <f>VLOOKUP($G11,'Quantidades Padrão'!$E$7:$J$103,CF$8,0)</f>
        <v>7.8192307692307708</v>
      </c>
      <c r="CG11" s="1759" t="s">
        <v>393</v>
      </c>
      <c r="CH11" s="992">
        <f>CD11*CF11</f>
        <v>4219.7939947615396</v>
      </c>
      <c r="CI11" s="1759" t="s">
        <v>339</v>
      </c>
      <c r="CJ11" s="992">
        <f>$D11*CH11</f>
        <v>7205804.6213346999</v>
      </c>
      <c r="CK11" s="992"/>
      <c r="CL11" s="992">
        <f>CL10</f>
        <v>539.66868600000009</v>
      </c>
      <c r="CM11" s="1757" t="s">
        <v>339</v>
      </c>
      <c r="CN11" s="1758">
        <f>VLOOKUP($G11,'Quantidades Padrão'!$E$7:$J$103,CN$8,0)</f>
        <v>4.1702564102564113</v>
      </c>
      <c r="CO11" s="1759" t="s">
        <v>393</v>
      </c>
      <c r="CP11" s="992">
        <f>CL11*CN11</f>
        <v>2250.5567972061549</v>
      </c>
      <c r="CQ11" s="1759" t="s">
        <v>339</v>
      </c>
      <c r="CR11" s="992">
        <f>$D11*CP11</f>
        <v>3843095.7980451738</v>
      </c>
      <c r="CS11" s="992"/>
      <c r="CT11" s="992">
        <f>CT10</f>
        <v>539.66868600000009</v>
      </c>
      <c r="CU11" s="1757" t="s">
        <v>339</v>
      </c>
      <c r="CV11" s="1758">
        <f>VLOOKUP($G11,'Quantidades Padrão'!$E$7:$J$103,CV$8,0)</f>
        <v>5.9947435897435906</v>
      </c>
      <c r="CW11" s="1759" t="s">
        <v>393</v>
      </c>
      <c r="CX11" s="992">
        <f>CT11*CV11</f>
        <v>3235.175395983847</v>
      </c>
      <c r="CY11" s="1759" t="s">
        <v>339</v>
      </c>
      <c r="CZ11" s="992">
        <f>$D11*CX11</f>
        <v>5524450.2096899366</v>
      </c>
      <c r="DA11" s="992"/>
      <c r="DB11" s="992">
        <f>DB10</f>
        <v>539.66868600000009</v>
      </c>
      <c r="DC11" s="1757" t="s">
        <v>339</v>
      </c>
      <c r="DD11" s="1758">
        <f>VLOOKUP($G11,'Quantidades Padrão'!$E$7:$J$103,DD$8,0)</f>
        <v>7.8192307692307708</v>
      </c>
      <c r="DE11" s="1759" t="s">
        <v>393</v>
      </c>
      <c r="DF11" s="992">
        <f>DB11*DD11</f>
        <v>4219.7939947615396</v>
      </c>
      <c r="DG11" s="1759" t="s">
        <v>339</v>
      </c>
      <c r="DH11" s="992">
        <f>$D11*DF11</f>
        <v>7205804.6213346999</v>
      </c>
      <c r="DI11" s="992"/>
      <c r="DJ11" s="992">
        <f>DJ10</f>
        <v>539.66868600000009</v>
      </c>
      <c r="DK11" s="1757" t="s">
        <v>339</v>
      </c>
      <c r="DL11" s="1758">
        <f>VLOOKUP($G11,'Quantidades Padrão'!$E$7:$J$103,DL$8,0)</f>
        <v>4.1702564102564113</v>
      </c>
      <c r="DM11" s="1759" t="s">
        <v>393</v>
      </c>
      <c r="DN11" s="992">
        <f>DJ11*DL11</f>
        <v>2250.5567972061549</v>
      </c>
      <c r="DO11" s="1759" t="s">
        <v>339</v>
      </c>
      <c r="DP11" s="992">
        <f>$D11*DN11</f>
        <v>3843095.7980451738</v>
      </c>
      <c r="DQ11" s="992"/>
      <c r="DR11" s="992">
        <f>DR10</f>
        <v>539.66868600000009</v>
      </c>
      <c r="DS11" s="1757" t="s">
        <v>339</v>
      </c>
      <c r="DT11" s="1758">
        <f>VLOOKUP($G11,'Quantidades Padrão'!$E$7:$J$103,DT$8,0)</f>
        <v>5.9947435897435906</v>
      </c>
      <c r="DU11" s="1759" t="s">
        <v>393</v>
      </c>
      <c r="DV11" s="992">
        <f>DR11*DT11</f>
        <v>3235.175395983847</v>
      </c>
      <c r="DW11" s="1759" t="s">
        <v>339</v>
      </c>
      <c r="DX11" s="992">
        <f>$D11*DV11</f>
        <v>5524450.2096899366</v>
      </c>
      <c r="DY11" s="992"/>
      <c r="DZ11" s="992">
        <f>DZ10</f>
        <v>548.54868600000009</v>
      </c>
      <c r="EA11" s="1757" t="s">
        <v>339</v>
      </c>
      <c r="EB11" s="1758">
        <f>VLOOKUP($G11,'Quantidades Padrão'!$E$7:$J$103,EB$8,0)</f>
        <v>7.8192307692307708</v>
      </c>
      <c r="EC11" s="1759" t="s">
        <v>393</v>
      </c>
      <c r="ED11" s="992">
        <f>DZ11*EB11</f>
        <v>4289.2287639923088</v>
      </c>
      <c r="EE11" s="1759" t="s">
        <v>339</v>
      </c>
      <c r="EF11" s="992">
        <f>$D11*ED11</f>
        <v>7324372.8219685461</v>
      </c>
      <c r="EG11" s="992"/>
      <c r="EH11" s="992">
        <f>EH10</f>
        <v>548.54868600000009</v>
      </c>
      <c r="EI11" s="1757" t="s">
        <v>339</v>
      </c>
      <c r="EJ11" s="1758">
        <f>VLOOKUP($G11,'Quantidades Padrão'!$E$7:$J$103,EJ$8,0)</f>
        <v>4.1702564102564113</v>
      </c>
      <c r="EK11" s="1759" t="s">
        <v>393</v>
      </c>
      <c r="EL11" s="992">
        <f>EH11*EJ11</f>
        <v>2287.5886741292315</v>
      </c>
      <c r="EM11" s="1759" t="s">
        <v>339</v>
      </c>
      <c r="EN11" s="992">
        <f>$D11*EL11</f>
        <v>3906332.1717165583</v>
      </c>
      <c r="EO11" s="992"/>
      <c r="EP11" s="992">
        <f>EP10</f>
        <v>548.54868600000009</v>
      </c>
      <c r="EQ11" s="1757" t="s">
        <v>339</v>
      </c>
      <c r="ER11" s="1758">
        <f>VLOOKUP($G11,'Quantidades Padrão'!$E$7:$J$103,ER$8,0)</f>
        <v>5.9947435897435906</v>
      </c>
      <c r="ES11" s="1759" t="s">
        <v>393</v>
      </c>
      <c r="ET11" s="992">
        <f>EP11*ER11</f>
        <v>3288.4087190607702</v>
      </c>
      <c r="EU11" s="1759" t="s">
        <v>339</v>
      </c>
      <c r="EV11" s="992">
        <f>$D11*ET11</f>
        <v>5615352.496842552</v>
      </c>
      <c r="EW11" s="992"/>
      <c r="EX11" s="992">
        <f>EX10</f>
        <v>548.54868600000009</v>
      </c>
      <c r="EY11" s="1757" t="s">
        <v>339</v>
      </c>
      <c r="EZ11" s="1758">
        <f>VLOOKUP($G11,'Quantidades Padrão'!$E$7:$J$103,EZ$8,0)</f>
        <v>7.8192307692307708</v>
      </c>
      <c r="FA11" s="1759" t="s">
        <v>393</v>
      </c>
      <c r="FB11" s="992">
        <f>EX11*EZ11</f>
        <v>4289.2287639923088</v>
      </c>
      <c r="FC11" s="1759" t="s">
        <v>339</v>
      </c>
      <c r="FD11" s="992">
        <f>$D11*FB11</f>
        <v>7324372.8219685461</v>
      </c>
      <c r="FE11" s="992"/>
      <c r="FF11" s="992">
        <f>FF10</f>
        <v>548.54868600000009</v>
      </c>
      <c r="FG11" s="1757" t="s">
        <v>339</v>
      </c>
      <c r="FH11" s="1758">
        <f>VLOOKUP($G11,'Quantidades Padrão'!$E$7:$J$103,FH$8,0)</f>
        <v>4.1702564102564113</v>
      </c>
      <c r="FI11" s="1759" t="s">
        <v>393</v>
      </c>
      <c r="FJ11" s="992">
        <f>FF11*FH11</f>
        <v>2287.5886741292315</v>
      </c>
      <c r="FK11" s="1759" t="s">
        <v>339</v>
      </c>
      <c r="FL11" s="992">
        <f>$D11*FJ11</f>
        <v>3906332.1717165583</v>
      </c>
      <c r="FM11" s="992"/>
      <c r="FN11" s="992">
        <f>FN10</f>
        <v>571.14868600000011</v>
      </c>
      <c r="FO11" s="1757" t="s">
        <v>339</v>
      </c>
      <c r="FP11" s="1758">
        <f>VLOOKUP($G11,'Quantidades Padrão'!$E$7:$J$103,FP$8,0)</f>
        <v>5.9947435897435906</v>
      </c>
      <c r="FQ11" s="1759" t="s">
        <v>393</v>
      </c>
      <c r="FR11" s="992">
        <f>FN11*FP11</f>
        <v>3423.8899241889753</v>
      </c>
      <c r="FS11" s="1759" t="s">
        <v>339</v>
      </c>
      <c r="FT11" s="992">
        <f>$D11*FR11</f>
        <v>5846702.9123435775</v>
      </c>
      <c r="FU11" s="992"/>
      <c r="FV11" s="992">
        <f>FV10</f>
        <v>571.14868600000011</v>
      </c>
      <c r="FW11" s="1757" t="s">
        <v>339</v>
      </c>
      <c r="FX11" s="1758">
        <f>VLOOKUP($G11,'Quantidades Padrão'!$E$7:$J$103,FX$8,0)</f>
        <v>7.8192307692307708</v>
      </c>
      <c r="FY11" s="1759" t="s">
        <v>393</v>
      </c>
      <c r="FZ11" s="992">
        <f>FV11*FX11</f>
        <v>4465.9433793769249</v>
      </c>
      <c r="GA11" s="1759" t="s">
        <v>339</v>
      </c>
      <c r="GB11" s="992">
        <f>$D11*FZ11</f>
        <v>7626134.2334916238</v>
      </c>
      <c r="GC11" s="992"/>
      <c r="GD11" s="992">
        <f>GD10</f>
        <v>571.14868600000011</v>
      </c>
      <c r="GE11" s="1757" t="s">
        <v>339</v>
      </c>
      <c r="GF11" s="1758">
        <f>VLOOKUP($G11,'Quantidades Padrão'!$E$7:$J$103,GF$8,0)</f>
        <v>4.1702564102564113</v>
      </c>
      <c r="GG11" s="1759" t="s">
        <v>393</v>
      </c>
      <c r="GH11" s="992">
        <f>GD11*GF11</f>
        <v>2381.8364690010267</v>
      </c>
      <c r="GI11" s="1759" t="s">
        <v>339</v>
      </c>
      <c r="GJ11" s="992">
        <f>$D11*GH11</f>
        <v>4067271.5911955331</v>
      </c>
      <c r="GK11" s="992"/>
      <c r="GL11" s="992">
        <f>GL10</f>
        <v>571.14868600000011</v>
      </c>
      <c r="GM11" s="1757" t="s">
        <v>339</v>
      </c>
      <c r="GN11" s="1758">
        <f>VLOOKUP($G11,'Quantidades Padrão'!$E$7:$J$103,GN$8,0)</f>
        <v>5.9947435897435906</v>
      </c>
      <c r="GO11" s="1759" t="s">
        <v>393</v>
      </c>
      <c r="GP11" s="992">
        <f>GL11*GN11</f>
        <v>3423.8899241889753</v>
      </c>
      <c r="GQ11" s="1759" t="s">
        <v>339</v>
      </c>
      <c r="GR11" s="992">
        <f>$D11*GP11</f>
        <v>5846702.9123435775</v>
      </c>
      <c r="GS11" s="992"/>
      <c r="GT11" s="992">
        <f>GT10</f>
        <v>571.14868600000011</v>
      </c>
      <c r="GU11" s="1757" t="s">
        <v>339</v>
      </c>
      <c r="GV11" s="1758">
        <f>VLOOKUP($G11,'Quantidades Padrão'!$E$7:$J$103,GV$8,0)</f>
        <v>7.8192307692307708</v>
      </c>
      <c r="GW11" s="1759" t="s">
        <v>393</v>
      </c>
      <c r="GX11" s="992">
        <f>GT11*GV11</f>
        <v>4465.9433793769249</v>
      </c>
      <c r="GY11" s="1759" t="s">
        <v>339</v>
      </c>
      <c r="GZ11" s="992">
        <f>$D11*GX11</f>
        <v>7626134.2334916238</v>
      </c>
      <c r="HA11" s="992"/>
      <c r="HB11" s="992">
        <f>HB10</f>
        <v>575.58868600000005</v>
      </c>
      <c r="HC11" s="1757" t="s">
        <v>339</v>
      </c>
      <c r="HD11" s="1758">
        <f>VLOOKUP($G11,'Quantidades Padrão'!$E$7:$J$103,HD$8,0)</f>
        <v>4.1702564102564113</v>
      </c>
      <c r="HE11" s="1759" t="s">
        <v>393</v>
      </c>
      <c r="HF11" s="992">
        <f>HB11*HD11</f>
        <v>2400.3524074625648</v>
      </c>
      <c r="HG11" s="1759" t="s">
        <v>339</v>
      </c>
      <c r="HH11" s="992">
        <f>$D11*HF11</f>
        <v>4098889.7780312244</v>
      </c>
      <c r="HI11" s="992"/>
      <c r="HJ11" s="992">
        <f>HJ10</f>
        <v>575.58868600000005</v>
      </c>
      <c r="HK11" s="1757" t="s">
        <v>339</v>
      </c>
      <c r="HL11" s="1758">
        <f>VLOOKUP($G11,'Quantidades Padrão'!$E$7:$J$103,HL$8,0)</f>
        <v>5.9947435897435906</v>
      </c>
      <c r="HM11" s="1759" t="s">
        <v>393</v>
      </c>
      <c r="HN11" s="992">
        <f>HJ11*HL11</f>
        <v>3450.5065857274367</v>
      </c>
      <c r="HO11" s="1759" t="s">
        <v>339</v>
      </c>
      <c r="HP11" s="992">
        <f>$D11*HN11</f>
        <v>5892154.0559198847</v>
      </c>
      <c r="HQ11" s="992"/>
      <c r="HR11" s="992">
        <f>HR10</f>
        <v>575.58868600000005</v>
      </c>
      <c r="HS11" s="1757" t="s">
        <v>339</v>
      </c>
      <c r="HT11" s="1758">
        <f>VLOOKUP($G11,'Quantidades Padrão'!$E$7:$J$103,HT$8,0)</f>
        <v>7.8192307692307708</v>
      </c>
      <c r="HU11" s="1759" t="s">
        <v>393</v>
      </c>
      <c r="HV11" s="992">
        <f>HR11*HT11</f>
        <v>4500.6607639923086</v>
      </c>
      <c r="HW11" s="1759" t="s">
        <v>339</v>
      </c>
      <c r="HX11" s="992">
        <f>$D11*HV11</f>
        <v>7685418.333808546</v>
      </c>
      <c r="HY11" s="992"/>
      <c r="HZ11" s="992">
        <f>HZ10</f>
        <v>575.58868600000005</v>
      </c>
      <c r="IA11" s="1757" t="s">
        <v>339</v>
      </c>
      <c r="IB11" s="1758">
        <f>VLOOKUP($G11,'Quantidades Padrão'!$E$7:$J$103,IB$8,0)</f>
        <v>4.1702564102564113</v>
      </c>
      <c r="IC11" s="1759" t="s">
        <v>393</v>
      </c>
      <c r="ID11" s="992">
        <f>HZ11*IB11</f>
        <v>2400.3524074625648</v>
      </c>
      <c r="IE11" s="1759" t="s">
        <v>339</v>
      </c>
      <c r="IF11" s="992">
        <f>$D11*ID11</f>
        <v>4098889.7780312244</v>
      </c>
      <c r="IG11" s="992"/>
      <c r="IH11" s="992">
        <f>IH10</f>
        <v>575.58868600000005</v>
      </c>
      <c r="II11" s="1757" t="s">
        <v>339</v>
      </c>
      <c r="IJ11" s="1758">
        <f>VLOOKUP($G11,'Quantidades Padrão'!$E$7:$J$103,IJ$8,0)</f>
        <v>5.9947435897435906</v>
      </c>
      <c r="IK11" s="1759" t="s">
        <v>393</v>
      </c>
      <c r="IL11" s="992">
        <f>IH11*IJ11</f>
        <v>3450.5065857274367</v>
      </c>
      <c r="IM11" s="1759" t="s">
        <v>339</v>
      </c>
      <c r="IN11" s="992">
        <f>$D11*IL11</f>
        <v>5892154.0559198847</v>
      </c>
      <c r="IO11" s="992"/>
    </row>
    <row r="12" spans="1:261" s="341" customFormat="1" ht="36" customHeight="1">
      <c r="A12" s="1753"/>
      <c r="B12" s="1754"/>
      <c r="C12" s="1755"/>
      <c r="D12" s="1013">
        <f>VLOOKUP(E12,'DER MG'!$D$5:$I$150,6,0)</f>
        <v>272.98</v>
      </c>
      <c r="E12" s="1017">
        <v>41334</v>
      </c>
      <c r="F12" s="1756"/>
      <c r="G12" s="1018" t="s">
        <v>394</v>
      </c>
      <c r="H12" s="992">
        <f t="shared" si="5"/>
        <v>43077074.73369921</v>
      </c>
      <c r="I12" s="992">
        <v>364</v>
      </c>
      <c r="J12" s="1757" t="s">
        <v>392</v>
      </c>
      <c r="K12" s="1758">
        <f>VLOOKUP($G12,'Quantidades Padrão'!$E$7:$J$103,K$8,0)</f>
        <v>6.9504273504273524</v>
      </c>
      <c r="L12" s="1759" t="s">
        <v>393</v>
      </c>
      <c r="M12" s="992">
        <f t="shared" ref="M12:M24" si="6">I12*K12</f>
        <v>2529.9555555555562</v>
      </c>
      <c r="N12" s="1759" t="s">
        <v>392</v>
      </c>
      <c r="O12" s="992">
        <f t="shared" ref="O12:O24" si="7">$D12*M12</f>
        <v>690627.26755555579</v>
      </c>
      <c r="P12" s="992"/>
      <c r="Q12" s="1760">
        <f t="shared" si="0"/>
        <v>0.11126065766278972</v>
      </c>
      <c r="R12" s="992">
        <f t="shared" ref="R12:R24" si="8">R11</f>
        <v>500</v>
      </c>
      <c r="S12" s="1757" t="s">
        <v>392</v>
      </c>
      <c r="T12" s="1758">
        <f>VLOOKUP($G12,'Quantidades Padrão'!$E$7:$J$103,T$8,0)</f>
        <v>6.9504273504273524</v>
      </c>
      <c r="U12" s="1759" t="s">
        <v>393</v>
      </c>
      <c r="V12" s="992">
        <f t="shared" ref="V12:V24" si="9">R12*T12</f>
        <v>3475.2136752136762</v>
      </c>
      <c r="W12" s="1759" t="s">
        <v>392</v>
      </c>
      <c r="X12" s="992">
        <f t="shared" si="1"/>
        <v>948663.82905982935</v>
      </c>
      <c r="Y12" s="992"/>
      <c r="Z12" s="992">
        <f t="shared" ref="Z12:Z24" si="10">Z11</f>
        <v>500</v>
      </c>
      <c r="AA12" s="1757" t="s">
        <v>392</v>
      </c>
      <c r="AB12" s="1758">
        <f>VLOOKUP($G12,'Quantidades Padrão'!$E$7:$J$103,AB$8,0)</f>
        <v>13.032051282051286</v>
      </c>
      <c r="AC12" s="1759" t="s">
        <v>393</v>
      </c>
      <c r="AD12" s="992">
        <f t="shared" ref="AD12:AD24" si="11">Z12*AB12</f>
        <v>6516.0256410256434</v>
      </c>
      <c r="AE12" s="1759" t="s">
        <v>392</v>
      </c>
      <c r="AF12" s="992">
        <f t="shared" si="2"/>
        <v>1778744.6794871802</v>
      </c>
      <c r="AG12" s="992"/>
      <c r="AH12" s="992">
        <f t="shared" ref="AH12:AH24" si="12">AH11</f>
        <v>500</v>
      </c>
      <c r="AI12" s="1757" t="s">
        <v>392</v>
      </c>
      <c r="AJ12" s="1758">
        <f>VLOOKUP($G12,'Quantidades Padrão'!$E$7:$J$103,AJ$8,0)</f>
        <v>6.9504273504273524</v>
      </c>
      <c r="AK12" s="1759" t="s">
        <v>393</v>
      </c>
      <c r="AL12" s="992">
        <f t="shared" ref="AL12:AL24" si="13">AH12*AJ12</f>
        <v>3475.2136752136762</v>
      </c>
      <c r="AM12" s="1759" t="s">
        <v>392</v>
      </c>
      <c r="AN12" s="992">
        <f t="shared" si="3"/>
        <v>948663.82905982935</v>
      </c>
      <c r="AO12" s="992"/>
      <c r="AP12" s="992">
        <f t="shared" ref="AP12:AP24" si="14">AP11</f>
        <v>500</v>
      </c>
      <c r="AQ12" s="1757" t="s">
        <v>392</v>
      </c>
      <c r="AR12" s="1758">
        <f>VLOOKUP($G12,'Quantidades Padrão'!$E$7:$J$103,AR$8,0)</f>
        <v>6.9504273504273524</v>
      </c>
      <c r="AS12" s="1759" t="s">
        <v>393</v>
      </c>
      <c r="AT12" s="992">
        <f t="shared" ref="AT12:AT24" si="15">AP12*AR12</f>
        <v>3475.2136752136762</v>
      </c>
      <c r="AU12" s="1759" t="s">
        <v>392</v>
      </c>
      <c r="AV12" s="992">
        <f t="shared" si="4"/>
        <v>948663.82905982935</v>
      </c>
      <c r="AW12" s="992"/>
      <c r="AX12" s="992">
        <f t="shared" ref="AX12:AX24" si="16">AX11</f>
        <v>513.17434300000002</v>
      </c>
      <c r="AY12" s="1757" t="s">
        <v>392</v>
      </c>
      <c r="AZ12" s="1758">
        <f>VLOOKUP($G12,'Quantidades Padrão'!$E$7:$J$103,AZ$8,0)</f>
        <v>9.9912393162393194</v>
      </c>
      <c r="BA12" s="1759" t="s">
        <v>393</v>
      </c>
      <c r="BB12" s="992">
        <f t="shared" ref="BB12:BB24" si="17">AX12*AZ12</f>
        <v>5127.2476718668822</v>
      </c>
      <c r="BC12" s="1759" t="s">
        <v>392</v>
      </c>
      <c r="BD12" s="992">
        <f t="shared" ref="BD12:BD24" si="18">$D12*BB12</f>
        <v>1399636.0694662216</v>
      </c>
      <c r="BE12" s="992"/>
      <c r="BF12" s="992">
        <f t="shared" ref="BF12:BF24" si="19">BF11</f>
        <v>539.66868600000009</v>
      </c>
      <c r="BG12" s="1757" t="s">
        <v>392</v>
      </c>
      <c r="BH12" s="1758">
        <f>VLOOKUP($G12,'Quantidades Padrão'!$E$7:$J$103,BH$8,0)</f>
        <v>13.032051282051286</v>
      </c>
      <c r="BI12" s="1759" t="s">
        <v>393</v>
      </c>
      <c r="BJ12" s="992">
        <f t="shared" ref="BJ12:BJ24" si="20">BF12*BH12</f>
        <v>7032.9899912692345</v>
      </c>
      <c r="BK12" s="1759" t="s">
        <v>392</v>
      </c>
      <c r="BL12" s="992">
        <f t="shared" ref="BL12:BL24" si="21">$D12*BJ12</f>
        <v>1919865.6078166757</v>
      </c>
      <c r="BM12" s="992"/>
      <c r="BN12" s="992">
        <f t="shared" ref="BN12:BN24" si="22">BN11</f>
        <v>539.66868600000009</v>
      </c>
      <c r="BO12" s="1757" t="s">
        <v>392</v>
      </c>
      <c r="BP12" s="1758">
        <f>VLOOKUP($G12,'Quantidades Padrão'!$E$7:$J$103,BP$8,0)</f>
        <v>6.9504273504273524</v>
      </c>
      <c r="BQ12" s="1759" t="s">
        <v>393</v>
      </c>
      <c r="BR12" s="992">
        <f t="shared" ref="BR12:BR24" si="23">BN12*BP12</f>
        <v>3750.9279953435916</v>
      </c>
      <c r="BS12" s="1759" t="s">
        <v>392</v>
      </c>
      <c r="BT12" s="992">
        <f t="shared" ref="BT12:BT24" si="24">$D12*BR12</f>
        <v>1023928.3241688937</v>
      </c>
      <c r="BU12" s="992"/>
      <c r="BV12" s="992">
        <f t="shared" ref="BV12:BV24" si="25">BV11</f>
        <v>539.66868600000009</v>
      </c>
      <c r="BW12" s="1757" t="s">
        <v>392</v>
      </c>
      <c r="BX12" s="1758">
        <f>VLOOKUP($G12,'Quantidades Padrão'!$E$7:$J$103,BX$8,0)</f>
        <v>9.9912393162393194</v>
      </c>
      <c r="BY12" s="1759" t="s">
        <v>393</v>
      </c>
      <c r="BZ12" s="992">
        <f t="shared" ref="BZ12:BZ24" si="26">BV12*BX12</f>
        <v>5391.9589933064126</v>
      </c>
      <c r="CA12" s="1759" t="s">
        <v>392</v>
      </c>
      <c r="CB12" s="992">
        <f t="shared" ref="CB12:CB24" si="27">$D12*BZ12</f>
        <v>1471896.9659927846</v>
      </c>
      <c r="CC12" s="992"/>
      <c r="CD12" s="992">
        <f t="shared" ref="CD12:CD24" si="28">CD11</f>
        <v>539.66868600000009</v>
      </c>
      <c r="CE12" s="1757" t="s">
        <v>392</v>
      </c>
      <c r="CF12" s="1758">
        <f>VLOOKUP($G12,'Quantidades Padrão'!$E$7:$J$103,CF$8,0)</f>
        <v>13.032051282051286</v>
      </c>
      <c r="CG12" s="1759" t="s">
        <v>393</v>
      </c>
      <c r="CH12" s="992">
        <f t="shared" ref="CH12:CH24" si="29">CD12*CF12</f>
        <v>7032.9899912692345</v>
      </c>
      <c r="CI12" s="1759" t="s">
        <v>392</v>
      </c>
      <c r="CJ12" s="992">
        <f t="shared" ref="CJ12:CJ24" si="30">$D12*CH12</f>
        <v>1919865.6078166757</v>
      </c>
      <c r="CK12" s="992"/>
      <c r="CL12" s="992">
        <f t="shared" ref="CL12:CL24" si="31">CL11</f>
        <v>539.66868600000009</v>
      </c>
      <c r="CM12" s="1757" t="s">
        <v>392</v>
      </c>
      <c r="CN12" s="1758">
        <f>VLOOKUP($G12,'Quantidades Padrão'!$E$7:$J$103,CN$8,0)</f>
        <v>6.9504273504273524</v>
      </c>
      <c r="CO12" s="1759" t="s">
        <v>393</v>
      </c>
      <c r="CP12" s="992">
        <f t="shared" ref="CP12:CP24" si="32">CL12*CN12</f>
        <v>3750.9279953435916</v>
      </c>
      <c r="CQ12" s="1759" t="s">
        <v>392</v>
      </c>
      <c r="CR12" s="992">
        <f t="shared" ref="CR12:CR24" si="33">$D12*CP12</f>
        <v>1023928.3241688937</v>
      </c>
      <c r="CS12" s="992"/>
      <c r="CT12" s="992">
        <f t="shared" ref="CT12:CT24" si="34">CT11</f>
        <v>539.66868600000009</v>
      </c>
      <c r="CU12" s="1757" t="s">
        <v>392</v>
      </c>
      <c r="CV12" s="1758">
        <f>VLOOKUP($G12,'Quantidades Padrão'!$E$7:$J$103,CV$8,0)</f>
        <v>9.9912393162393194</v>
      </c>
      <c r="CW12" s="1759" t="s">
        <v>393</v>
      </c>
      <c r="CX12" s="992">
        <f t="shared" ref="CX12:CX24" si="35">CT12*CV12</f>
        <v>5391.9589933064126</v>
      </c>
      <c r="CY12" s="1759" t="s">
        <v>392</v>
      </c>
      <c r="CZ12" s="992">
        <f t="shared" ref="CZ12:CZ24" si="36">$D12*CX12</f>
        <v>1471896.9659927846</v>
      </c>
      <c r="DA12" s="992"/>
      <c r="DB12" s="992">
        <f t="shared" ref="DB12:DB24" si="37">DB11</f>
        <v>539.66868600000009</v>
      </c>
      <c r="DC12" s="1757" t="s">
        <v>392</v>
      </c>
      <c r="DD12" s="1758">
        <f>VLOOKUP($G12,'Quantidades Padrão'!$E$7:$J$103,DD$8,0)</f>
        <v>13.032051282051286</v>
      </c>
      <c r="DE12" s="1759" t="s">
        <v>393</v>
      </c>
      <c r="DF12" s="992">
        <f t="shared" ref="DF12:DF24" si="38">DB12*DD12</f>
        <v>7032.9899912692345</v>
      </c>
      <c r="DG12" s="1759" t="s">
        <v>392</v>
      </c>
      <c r="DH12" s="992">
        <f t="shared" ref="DH12:DH24" si="39">$D12*DF12</f>
        <v>1919865.6078166757</v>
      </c>
      <c r="DI12" s="992"/>
      <c r="DJ12" s="992">
        <f t="shared" ref="DJ12:DJ24" si="40">DJ11</f>
        <v>539.66868600000009</v>
      </c>
      <c r="DK12" s="1757" t="s">
        <v>392</v>
      </c>
      <c r="DL12" s="1758">
        <f>VLOOKUP($G12,'Quantidades Padrão'!$E$7:$J$103,DL$8,0)</f>
        <v>6.9504273504273524</v>
      </c>
      <c r="DM12" s="1759" t="s">
        <v>393</v>
      </c>
      <c r="DN12" s="992">
        <f t="shared" ref="DN12:DN24" si="41">DJ12*DL12</f>
        <v>3750.9279953435916</v>
      </c>
      <c r="DO12" s="1759" t="s">
        <v>392</v>
      </c>
      <c r="DP12" s="992">
        <f t="shared" ref="DP12:DP24" si="42">$D12*DN12</f>
        <v>1023928.3241688937</v>
      </c>
      <c r="DQ12" s="992"/>
      <c r="DR12" s="992">
        <f t="shared" ref="DR12:DR24" si="43">DR11</f>
        <v>539.66868600000009</v>
      </c>
      <c r="DS12" s="1757" t="s">
        <v>392</v>
      </c>
      <c r="DT12" s="1758">
        <f>VLOOKUP($G12,'Quantidades Padrão'!$E$7:$J$103,DT$8,0)</f>
        <v>9.9912393162393194</v>
      </c>
      <c r="DU12" s="1759" t="s">
        <v>393</v>
      </c>
      <c r="DV12" s="992">
        <f t="shared" ref="DV12:DV24" si="44">DR12*DT12</f>
        <v>5391.9589933064126</v>
      </c>
      <c r="DW12" s="1759" t="s">
        <v>392</v>
      </c>
      <c r="DX12" s="992">
        <f t="shared" ref="DX12:DX24" si="45">$D12*DV12</f>
        <v>1471896.9659927846</v>
      </c>
      <c r="DY12" s="992"/>
      <c r="DZ12" s="992">
        <f t="shared" ref="DZ12:DZ24" si="46">DZ11</f>
        <v>548.54868600000009</v>
      </c>
      <c r="EA12" s="1757" t="s">
        <v>392</v>
      </c>
      <c r="EB12" s="1758">
        <f>VLOOKUP($G12,'Quantidades Padrão'!$E$7:$J$103,EB$8,0)</f>
        <v>13.032051282051286</v>
      </c>
      <c r="EC12" s="1759" t="s">
        <v>393</v>
      </c>
      <c r="ED12" s="992">
        <f t="shared" ref="ED12:ED24" si="47">DZ12*EB12</f>
        <v>7148.7146066538498</v>
      </c>
      <c r="EE12" s="1759" t="s">
        <v>392</v>
      </c>
      <c r="EF12" s="992">
        <f t="shared" ref="EF12:EF24" si="48">$D12*ED12</f>
        <v>1951456.1133243681</v>
      </c>
      <c r="EG12" s="992"/>
      <c r="EH12" s="992">
        <f t="shared" ref="EH12:EH24" si="49">EH11</f>
        <v>548.54868600000009</v>
      </c>
      <c r="EI12" s="1757" t="s">
        <v>392</v>
      </c>
      <c r="EJ12" s="1758">
        <f>VLOOKUP($G12,'Quantidades Padrão'!$E$7:$J$103,EJ$8,0)</f>
        <v>6.9504273504273524</v>
      </c>
      <c r="EK12" s="1759" t="s">
        <v>393</v>
      </c>
      <c r="EL12" s="992">
        <f t="shared" ref="EL12:EL24" si="50">EH12*EJ12</f>
        <v>3812.6477902153865</v>
      </c>
      <c r="EM12" s="1759" t="s">
        <v>392</v>
      </c>
      <c r="EN12" s="992">
        <f t="shared" ref="EN12:EN24" si="51">$D12*EL12</f>
        <v>1040776.5937729963</v>
      </c>
      <c r="EO12" s="992"/>
      <c r="EP12" s="992">
        <f t="shared" ref="EP12:EP24" si="52">EP11</f>
        <v>548.54868600000009</v>
      </c>
      <c r="EQ12" s="1757" t="s">
        <v>392</v>
      </c>
      <c r="ER12" s="1758">
        <f>VLOOKUP($G12,'Quantidades Padrão'!$E$7:$J$103,ER$8,0)</f>
        <v>9.9912393162393194</v>
      </c>
      <c r="ES12" s="1759" t="s">
        <v>393</v>
      </c>
      <c r="ET12" s="992">
        <f t="shared" ref="ET12:ET24" si="53">EP12*ER12</f>
        <v>5480.6811984346177</v>
      </c>
      <c r="EU12" s="1759" t="s">
        <v>392</v>
      </c>
      <c r="EV12" s="992">
        <f t="shared" ref="EV12:EV24" si="54">$D12*ET12</f>
        <v>1496116.3535486821</v>
      </c>
      <c r="EW12" s="992"/>
      <c r="EX12" s="992">
        <f t="shared" ref="EX12:EX24" si="55">EX11</f>
        <v>548.54868600000009</v>
      </c>
      <c r="EY12" s="1757" t="s">
        <v>392</v>
      </c>
      <c r="EZ12" s="1758">
        <f>VLOOKUP($G12,'Quantidades Padrão'!$E$7:$J$103,EZ$8,0)</f>
        <v>13.032051282051286</v>
      </c>
      <c r="FA12" s="1759" t="s">
        <v>393</v>
      </c>
      <c r="FB12" s="992">
        <f t="shared" ref="FB12:FB24" si="56">EX12*EZ12</f>
        <v>7148.7146066538498</v>
      </c>
      <c r="FC12" s="1759" t="s">
        <v>392</v>
      </c>
      <c r="FD12" s="992">
        <f t="shared" ref="FD12:FD24" si="57">$D12*FB12</f>
        <v>1951456.1133243681</v>
      </c>
      <c r="FE12" s="992"/>
      <c r="FF12" s="992">
        <f t="shared" ref="FF12:FF24" si="58">FF11</f>
        <v>548.54868600000009</v>
      </c>
      <c r="FG12" s="1757" t="s">
        <v>392</v>
      </c>
      <c r="FH12" s="1758">
        <f>VLOOKUP($G12,'Quantidades Padrão'!$E$7:$J$103,FH$8,0)</f>
        <v>6.9504273504273524</v>
      </c>
      <c r="FI12" s="1759" t="s">
        <v>393</v>
      </c>
      <c r="FJ12" s="992">
        <f t="shared" ref="FJ12:FJ24" si="59">FF12*FH12</f>
        <v>3812.6477902153865</v>
      </c>
      <c r="FK12" s="1759" t="s">
        <v>392</v>
      </c>
      <c r="FL12" s="992">
        <f t="shared" ref="FL12:FL24" si="60">$D12*FJ12</f>
        <v>1040776.5937729963</v>
      </c>
      <c r="FM12" s="992"/>
      <c r="FN12" s="992">
        <f t="shared" ref="FN12:FN24" si="61">FN11</f>
        <v>571.14868600000011</v>
      </c>
      <c r="FO12" s="1757" t="s">
        <v>392</v>
      </c>
      <c r="FP12" s="1758">
        <f>VLOOKUP($G12,'Quantidades Padrão'!$E$7:$J$103,FP$8,0)</f>
        <v>9.9912393162393194</v>
      </c>
      <c r="FQ12" s="1759" t="s">
        <v>393</v>
      </c>
      <c r="FR12" s="992">
        <f t="shared" ref="FR12:FR24" si="62">FN12*FP12</f>
        <v>5706.4832069816266</v>
      </c>
      <c r="FS12" s="1759" t="s">
        <v>392</v>
      </c>
      <c r="FT12" s="992">
        <f t="shared" ref="FT12:FT24" si="63">$D12*FR12</f>
        <v>1557755.7858418445</v>
      </c>
      <c r="FU12" s="992"/>
      <c r="FV12" s="992">
        <f t="shared" ref="FV12:FV24" si="64">FV11</f>
        <v>571.14868600000011</v>
      </c>
      <c r="FW12" s="1757" t="s">
        <v>392</v>
      </c>
      <c r="FX12" s="1758">
        <f>VLOOKUP($G12,'Quantidades Padrão'!$E$7:$J$103,FX$8,0)</f>
        <v>13.032051282051286</v>
      </c>
      <c r="FY12" s="1759" t="s">
        <v>393</v>
      </c>
      <c r="FZ12" s="992">
        <f t="shared" ref="FZ12:FZ24" si="65">FV12*FX12</f>
        <v>7443.2389656282094</v>
      </c>
      <c r="GA12" s="1759" t="s">
        <v>392</v>
      </c>
      <c r="GB12" s="992">
        <f t="shared" ref="GB12:GB24" si="66">$D12*FZ12</f>
        <v>2031855.3728371887</v>
      </c>
      <c r="GC12" s="992"/>
      <c r="GD12" s="992">
        <f t="shared" ref="GD12:GD24" si="67">GD11</f>
        <v>571.14868600000011</v>
      </c>
      <c r="GE12" s="1757" t="s">
        <v>392</v>
      </c>
      <c r="GF12" s="1758">
        <f>VLOOKUP($G12,'Quantidades Padrão'!$E$7:$J$103,GF$8,0)</f>
        <v>6.9504273504273524</v>
      </c>
      <c r="GG12" s="1759" t="s">
        <v>393</v>
      </c>
      <c r="GH12" s="992">
        <f t="shared" ref="GH12:GH24" si="68">GD12*GF12</f>
        <v>3969.7274483350448</v>
      </c>
      <c r="GI12" s="1759" t="s">
        <v>392</v>
      </c>
      <c r="GJ12" s="992">
        <f t="shared" ref="GJ12:GJ24" si="69">$D12*GH12</f>
        <v>1083656.1988465006</v>
      </c>
      <c r="GK12" s="992"/>
      <c r="GL12" s="992">
        <f t="shared" ref="GL12:GL24" si="70">GL11</f>
        <v>571.14868600000011</v>
      </c>
      <c r="GM12" s="1757" t="s">
        <v>392</v>
      </c>
      <c r="GN12" s="1758">
        <f>VLOOKUP($G12,'Quantidades Padrão'!$E$7:$J$103,GN$8,0)</f>
        <v>9.9912393162393194</v>
      </c>
      <c r="GO12" s="1759" t="s">
        <v>393</v>
      </c>
      <c r="GP12" s="992">
        <f t="shared" ref="GP12:GP24" si="71">GL12*GN12</f>
        <v>5706.4832069816266</v>
      </c>
      <c r="GQ12" s="1759" t="s">
        <v>392</v>
      </c>
      <c r="GR12" s="992">
        <f t="shared" ref="GR12:GR24" si="72">$D12*GP12</f>
        <v>1557755.7858418445</v>
      </c>
      <c r="GS12" s="992"/>
      <c r="GT12" s="992">
        <f t="shared" ref="GT12:GT24" si="73">GT11</f>
        <v>571.14868600000011</v>
      </c>
      <c r="GU12" s="1757" t="s">
        <v>392</v>
      </c>
      <c r="GV12" s="1758">
        <f>VLOOKUP($G12,'Quantidades Padrão'!$E$7:$J$103,GV$8,0)</f>
        <v>13.032051282051286</v>
      </c>
      <c r="GW12" s="1759" t="s">
        <v>393</v>
      </c>
      <c r="GX12" s="992">
        <f t="shared" ref="GX12:GX24" si="74">GT12*GV12</f>
        <v>7443.2389656282094</v>
      </c>
      <c r="GY12" s="1759" t="s">
        <v>392</v>
      </c>
      <c r="GZ12" s="992">
        <f t="shared" ref="GZ12:GZ24" si="75">$D12*GX12</f>
        <v>2031855.3728371887</v>
      </c>
      <c r="HA12" s="992"/>
      <c r="HB12" s="992">
        <f t="shared" ref="HB12:HB24" si="76">HB11</f>
        <v>575.58868600000005</v>
      </c>
      <c r="HC12" s="1757" t="s">
        <v>392</v>
      </c>
      <c r="HD12" s="1758">
        <f>VLOOKUP($G12,'Quantidades Padrão'!$E$7:$J$103,HD$8,0)</f>
        <v>6.9504273504273524</v>
      </c>
      <c r="HE12" s="1759" t="s">
        <v>393</v>
      </c>
      <c r="HF12" s="992">
        <f t="shared" ref="HF12:HF24" si="77">HB12*HD12</f>
        <v>4000.5873457709417</v>
      </c>
      <c r="HG12" s="1759" t="s">
        <v>392</v>
      </c>
      <c r="HH12" s="992">
        <f t="shared" ref="HH12:HH24" si="78">$D12*HF12</f>
        <v>1092080.3336485517</v>
      </c>
      <c r="HI12" s="992"/>
      <c r="HJ12" s="992">
        <f t="shared" ref="HJ12:HJ24" si="79">HJ11</f>
        <v>575.58868600000005</v>
      </c>
      <c r="HK12" s="1757" t="s">
        <v>392</v>
      </c>
      <c r="HL12" s="1758">
        <f>VLOOKUP($G12,'Quantidades Padrão'!$E$7:$J$103,HL$8,0)</f>
        <v>9.9912393162393194</v>
      </c>
      <c r="HM12" s="1759" t="s">
        <v>393</v>
      </c>
      <c r="HN12" s="992">
        <f t="shared" ref="HN12:HN24" si="80">HJ12*HL12</f>
        <v>5750.8443095457287</v>
      </c>
      <c r="HO12" s="1759" t="s">
        <v>392</v>
      </c>
      <c r="HP12" s="992">
        <f t="shared" ref="HP12:HP24" si="81">$D12*HN12</f>
        <v>1569865.4796197931</v>
      </c>
      <c r="HQ12" s="992"/>
      <c r="HR12" s="992">
        <f t="shared" ref="HR12:HR24" si="82">HR11</f>
        <v>575.58868600000005</v>
      </c>
      <c r="HS12" s="1757" t="s">
        <v>392</v>
      </c>
      <c r="HT12" s="1758">
        <f>VLOOKUP($G12,'Quantidades Padrão'!$E$7:$J$103,HT$8,0)</f>
        <v>13.032051282051286</v>
      </c>
      <c r="HU12" s="1759" t="s">
        <v>393</v>
      </c>
      <c r="HV12" s="992">
        <f t="shared" ref="HV12:HV24" si="83">HR12*HT12</f>
        <v>7501.1012733205162</v>
      </c>
      <c r="HW12" s="1759" t="s">
        <v>392</v>
      </c>
      <c r="HX12" s="992">
        <f t="shared" ref="HX12:HX24" si="84">$D12*HV12</f>
        <v>2047650.6255910345</v>
      </c>
      <c r="HY12" s="992"/>
      <c r="HZ12" s="992">
        <f t="shared" ref="HZ12:HZ24" si="85">HZ11</f>
        <v>575.58868600000005</v>
      </c>
      <c r="IA12" s="1757" t="s">
        <v>392</v>
      </c>
      <c r="IB12" s="1758">
        <f>VLOOKUP($G12,'Quantidades Padrão'!$E$7:$J$103,IB$8,0)</f>
        <v>6.9504273504273524</v>
      </c>
      <c r="IC12" s="1759" t="s">
        <v>393</v>
      </c>
      <c r="ID12" s="992">
        <f t="shared" ref="ID12:ID24" si="86">HZ12*IB12</f>
        <v>4000.5873457709417</v>
      </c>
      <c r="IE12" s="1759" t="s">
        <v>392</v>
      </c>
      <c r="IF12" s="992">
        <f t="shared" ref="IF12:IF24" si="87">$D12*ID12</f>
        <v>1092080.3336485517</v>
      </c>
      <c r="IG12" s="992"/>
      <c r="IH12" s="992">
        <f t="shared" ref="IH12:IH24" si="88">IH11</f>
        <v>575.58868600000005</v>
      </c>
      <c r="II12" s="1757" t="s">
        <v>392</v>
      </c>
      <c r="IJ12" s="1758">
        <f>VLOOKUP($G12,'Quantidades Padrão'!$E$7:$J$103,IJ$8,0)</f>
        <v>9.9912393162393194</v>
      </c>
      <c r="IK12" s="1759" t="s">
        <v>393</v>
      </c>
      <c r="IL12" s="992">
        <f t="shared" ref="IL12:IL24" si="89">IH12*IJ12</f>
        <v>5750.8443095457287</v>
      </c>
      <c r="IM12" s="1759" t="s">
        <v>392</v>
      </c>
      <c r="IN12" s="992">
        <f t="shared" ref="IN12:IN24" si="90">$D12*IL12</f>
        <v>1569865.4796197931</v>
      </c>
      <c r="IO12" s="992"/>
    </row>
    <row r="13" spans="1:261" s="341" customFormat="1" ht="27" customHeight="1">
      <c r="A13" s="1753"/>
      <c r="B13" s="1754"/>
      <c r="C13" s="1755"/>
      <c r="D13" s="1013">
        <f>VLOOKUP(E13,'DER MG'!$D$5:$I$150,6,0)</f>
        <v>2.46</v>
      </c>
      <c r="E13" s="1017">
        <v>41337</v>
      </c>
      <c r="F13" s="1756"/>
      <c r="G13" s="1018" t="s">
        <v>395</v>
      </c>
      <c r="H13" s="992">
        <f t="shared" si="5"/>
        <v>323496.23856723343</v>
      </c>
      <c r="I13" s="992">
        <v>364</v>
      </c>
      <c r="J13" s="1757" t="s">
        <v>396</v>
      </c>
      <c r="K13" s="1758">
        <f>VLOOKUP($G13,'Quantidades Padrão'!$E$7:$J$103,K$8,0)</f>
        <v>5.7920227920227934</v>
      </c>
      <c r="L13" s="1759" t="s">
        <v>396</v>
      </c>
      <c r="M13" s="992">
        <f t="shared" si="6"/>
        <v>2108.296296296297</v>
      </c>
      <c r="N13" s="1759" t="s">
        <v>396</v>
      </c>
      <c r="O13" s="992">
        <f t="shared" si="7"/>
        <v>5186.4088888888909</v>
      </c>
      <c r="P13" s="992"/>
      <c r="Q13" s="1760">
        <f t="shared" si="0"/>
        <v>8.3553501431870084E-4</v>
      </c>
      <c r="R13" s="992">
        <f t="shared" si="8"/>
        <v>500</v>
      </c>
      <c r="S13" s="1757" t="s">
        <v>396</v>
      </c>
      <c r="T13" s="1758">
        <f>VLOOKUP($G13,'Quantidades Padrão'!$E$7:$J$103,T$8,0)</f>
        <v>5.7920227920227934</v>
      </c>
      <c r="U13" s="1759" t="s">
        <v>396</v>
      </c>
      <c r="V13" s="992">
        <f t="shared" si="9"/>
        <v>2896.0113960113968</v>
      </c>
      <c r="W13" s="1759" t="s">
        <v>396</v>
      </c>
      <c r="X13" s="992">
        <f t="shared" si="1"/>
        <v>7124.188034188036</v>
      </c>
      <c r="Y13" s="992"/>
      <c r="Z13" s="992">
        <f t="shared" si="10"/>
        <v>500</v>
      </c>
      <c r="AA13" s="1757" t="s">
        <v>396</v>
      </c>
      <c r="AB13" s="1758">
        <f>VLOOKUP($G13,'Quantidades Padrão'!$E$7:$J$103,AB$8,0)</f>
        <v>10.860042735042738</v>
      </c>
      <c r="AC13" s="1759" t="s">
        <v>396</v>
      </c>
      <c r="AD13" s="992">
        <f t="shared" si="11"/>
        <v>5430.021367521369</v>
      </c>
      <c r="AE13" s="1759" t="s">
        <v>396</v>
      </c>
      <c r="AF13" s="992">
        <f t="shared" si="2"/>
        <v>13357.852564102568</v>
      </c>
      <c r="AG13" s="992"/>
      <c r="AH13" s="992">
        <f t="shared" si="12"/>
        <v>500</v>
      </c>
      <c r="AI13" s="1757" t="s">
        <v>396</v>
      </c>
      <c r="AJ13" s="1758">
        <f>VLOOKUP($G13,'Quantidades Padrão'!$E$7:$J$103,AJ$8,0)</f>
        <v>5.7920227920227934</v>
      </c>
      <c r="AK13" s="1759" t="s">
        <v>396</v>
      </c>
      <c r="AL13" s="992">
        <f t="shared" si="13"/>
        <v>2896.0113960113968</v>
      </c>
      <c r="AM13" s="1759" t="s">
        <v>396</v>
      </c>
      <c r="AN13" s="992">
        <f t="shared" si="3"/>
        <v>7124.188034188036</v>
      </c>
      <c r="AO13" s="992"/>
      <c r="AP13" s="992">
        <f t="shared" si="14"/>
        <v>500</v>
      </c>
      <c r="AQ13" s="1757" t="s">
        <v>396</v>
      </c>
      <c r="AR13" s="1758">
        <f>VLOOKUP($G13,'Quantidades Padrão'!$E$7:$J$103,AR$8,0)</f>
        <v>5.7920227920227934</v>
      </c>
      <c r="AS13" s="1759" t="s">
        <v>396</v>
      </c>
      <c r="AT13" s="992">
        <f t="shared" si="15"/>
        <v>2896.0113960113968</v>
      </c>
      <c r="AU13" s="1759" t="s">
        <v>396</v>
      </c>
      <c r="AV13" s="992">
        <f t="shared" si="4"/>
        <v>7124.188034188036</v>
      </c>
      <c r="AW13" s="992"/>
      <c r="AX13" s="992">
        <f t="shared" si="16"/>
        <v>513.17434300000002</v>
      </c>
      <c r="AY13" s="1757" t="s">
        <v>396</v>
      </c>
      <c r="AZ13" s="1758">
        <f>VLOOKUP($G13,'Quantidades Padrão'!$E$7:$J$103,AZ$8,0)</f>
        <v>8.3260327635327638</v>
      </c>
      <c r="BA13" s="1759" t="s">
        <v>396</v>
      </c>
      <c r="BB13" s="992">
        <f t="shared" si="17"/>
        <v>4272.7063932224009</v>
      </c>
      <c r="BC13" s="1759" t="s">
        <v>396</v>
      </c>
      <c r="BD13" s="992">
        <f t="shared" si="18"/>
        <v>10510.857727327106</v>
      </c>
      <c r="BE13" s="992"/>
      <c r="BF13" s="992">
        <f t="shared" si="19"/>
        <v>539.66868600000009</v>
      </c>
      <c r="BG13" s="1757" t="s">
        <v>396</v>
      </c>
      <c r="BH13" s="1758">
        <f>VLOOKUP($G13,'Quantidades Padrão'!$E$7:$J$103,BH$8,0)</f>
        <v>10.860042735042738</v>
      </c>
      <c r="BI13" s="1759" t="s">
        <v>396</v>
      </c>
      <c r="BJ13" s="992">
        <f t="shared" si="20"/>
        <v>5860.8249927243614</v>
      </c>
      <c r="BK13" s="1759" t="s">
        <v>396</v>
      </c>
      <c r="BL13" s="992">
        <f t="shared" si="21"/>
        <v>14417.629482101929</v>
      </c>
      <c r="BM13" s="992"/>
      <c r="BN13" s="992">
        <f t="shared" si="22"/>
        <v>539.66868600000009</v>
      </c>
      <c r="BO13" s="1757" t="s">
        <v>396</v>
      </c>
      <c r="BP13" s="1758">
        <f>VLOOKUP($G13,'Quantidades Padrão'!$E$7:$J$103,BP$8,0)</f>
        <v>5.7920227920227934</v>
      </c>
      <c r="BQ13" s="1759" t="s">
        <v>396</v>
      </c>
      <c r="BR13" s="992">
        <f t="shared" si="23"/>
        <v>3125.7733294529926</v>
      </c>
      <c r="BS13" s="1759" t="s">
        <v>396</v>
      </c>
      <c r="BT13" s="992">
        <f t="shared" si="24"/>
        <v>7689.4023904543619</v>
      </c>
      <c r="BU13" s="992"/>
      <c r="BV13" s="992">
        <f t="shared" si="25"/>
        <v>539.66868600000009</v>
      </c>
      <c r="BW13" s="1757" t="s">
        <v>396</v>
      </c>
      <c r="BX13" s="1758">
        <f>VLOOKUP($G13,'Quantidades Padrão'!$E$7:$J$103,BX$8,0)</f>
        <v>8.3260327635327638</v>
      </c>
      <c r="BY13" s="1759" t="s">
        <v>396</v>
      </c>
      <c r="BZ13" s="992">
        <f t="shared" si="26"/>
        <v>4493.2991610886766</v>
      </c>
      <c r="CA13" s="1759" t="s">
        <v>396</v>
      </c>
      <c r="CB13" s="992">
        <f t="shared" si="27"/>
        <v>11053.515936278143</v>
      </c>
      <c r="CC13" s="992"/>
      <c r="CD13" s="992">
        <f t="shared" si="28"/>
        <v>539.66868600000009</v>
      </c>
      <c r="CE13" s="1757" t="s">
        <v>396</v>
      </c>
      <c r="CF13" s="1758">
        <f>VLOOKUP($G13,'Quantidades Padrão'!$E$7:$J$103,CF$8,0)</f>
        <v>10.860042735042738</v>
      </c>
      <c r="CG13" s="1759" t="s">
        <v>396</v>
      </c>
      <c r="CH13" s="992">
        <f t="shared" si="29"/>
        <v>5860.8249927243614</v>
      </c>
      <c r="CI13" s="1759" t="s">
        <v>396</v>
      </c>
      <c r="CJ13" s="992">
        <f t="shared" si="30"/>
        <v>14417.629482101929</v>
      </c>
      <c r="CK13" s="992"/>
      <c r="CL13" s="992">
        <f t="shared" si="31"/>
        <v>539.66868600000009</v>
      </c>
      <c r="CM13" s="1757" t="s">
        <v>396</v>
      </c>
      <c r="CN13" s="1758">
        <f>VLOOKUP($G13,'Quantidades Padrão'!$E$7:$J$103,CN$8,0)</f>
        <v>5.7920227920227934</v>
      </c>
      <c r="CO13" s="1759" t="s">
        <v>396</v>
      </c>
      <c r="CP13" s="992">
        <f t="shared" si="32"/>
        <v>3125.7733294529926</v>
      </c>
      <c r="CQ13" s="1759" t="s">
        <v>396</v>
      </c>
      <c r="CR13" s="992">
        <f t="shared" si="33"/>
        <v>7689.4023904543619</v>
      </c>
      <c r="CS13" s="992"/>
      <c r="CT13" s="992">
        <f t="shared" si="34"/>
        <v>539.66868600000009</v>
      </c>
      <c r="CU13" s="1757" t="s">
        <v>396</v>
      </c>
      <c r="CV13" s="1758">
        <f>VLOOKUP($G13,'Quantidades Padrão'!$E$7:$J$103,CV$8,0)</f>
        <v>8.3260327635327638</v>
      </c>
      <c r="CW13" s="1759" t="s">
        <v>396</v>
      </c>
      <c r="CX13" s="992">
        <f t="shared" si="35"/>
        <v>4493.2991610886766</v>
      </c>
      <c r="CY13" s="1759" t="s">
        <v>396</v>
      </c>
      <c r="CZ13" s="992">
        <f t="shared" si="36"/>
        <v>11053.515936278143</v>
      </c>
      <c r="DA13" s="992"/>
      <c r="DB13" s="992">
        <f t="shared" si="37"/>
        <v>539.66868600000009</v>
      </c>
      <c r="DC13" s="1757" t="s">
        <v>396</v>
      </c>
      <c r="DD13" s="1758">
        <f>VLOOKUP($G13,'Quantidades Padrão'!$E$7:$J$103,DD$8,0)</f>
        <v>10.860042735042738</v>
      </c>
      <c r="DE13" s="1759" t="s">
        <v>396</v>
      </c>
      <c r="DF13" s="992">
        <f t="shared" si="38"/>
        <v>5860.8249927243614</v>
      </c>
      <c r="DG13" s="1759" t="s">
        <v>396</v>
      </c>
      <c r="DH13" s="992">
        <f t="shared" si="39"/>
        <v>14417.629482101929</v>
      </c>
      <c r="DI13" s="992"/>
      <c r="DJ13" s="992">
        <f t="shared" si="40"/>
        <v>539.66868600000009</v>
      </c>
      <c r="DK13" s="1757" t="s">
        <v>396</v>
      </c>
      <c r="DL13" s="1758">
        <f>VLOOKUP($G13,'Quantidades Padrão'!$E$7:$J$103,DL$8,0)</f>
        <v>5.7920227920227934</v>
      </c>
      <c r="DM13" s="1759" t="s">
        <v>396</v>
      </c>
      <c r="DN13" s="992">
        <f t="shared" si="41"/>
        <v>3125.7733294529926</v>
      </c>
      <c r="DO13" s="1759" t="s">
        <v>396</v>
      </c>
      <c r="DP13" s="992">
        <f t="shared" si="42"/>
        <v>7689.4023904543619</v>
      </c>
      <c r="DQ13" s="992"/>
      <c r="DR13" s="992">
        <f t="shared" si="43"/>
        <v>539.66868600000009</v>
      </c>
      <c r="DS13" s="1757" t="s">
        <v>396</v>
      </c>
      <c r="DT13" s="1758">
        <f>VLOOKUP($G13,'Quantidades Padrão'!$E$7:$J$103,DT$8,0)</f>
        <v>8.3260327635327638</v>
      </c>
      <c r="DU13" s="1759" t="s">
        <v>396</v>
      </c>
      <c r="DV13" s="992">
        <f t="shared" si="44"/>
        <v>4493.2991610886766</v>
      </c>
      <c r="DW13" s="1759" t="s">
        <v>396</v>
      </c>
      <c r="DX13" s="992">
        <f t="shared" si="45"/>
        <v>11053.515936278143</v>
      </c>
      <c r="DY13" s="992"/>
      <c r="DZ13" s="992">
        <f t="shared" si="46"/>
        <v>548.54868600000009</v>
      </c>
      <c r="EA13" s="1757" t="s">
        <v>396</v>
      </c>
      <c r="EB13" s="1758">
        <f>VLOOKUP($G13,'Quantidades Padrão'!$E$7:$J$103,EB$8,0)</f>
        <v>10.860042735042738</v>
      </c>
      <c r="EC13" s="1759" t="s">
        <v>396</v>
      </c>
      <c r="ED13" s="992">
        <f t="shared" si="47"/>
        <v>5957.2621722115409</v>
      </c>
      <c r="EE13" s="1759" t="s">
        <v>396</v>
      </c>
      <c r="EF13" s="992">
        <f t="shared" si="48"/>
        <v>14654.86494364039</v>
      </c>
      <c r="EG13" s="992"/>
      <c r="EH13" s="992">
        <f t="shared" si="49"/>
        <v>548.54868600000009</v>
      </c>
      <c r="EI13" s="1757" t="s">
        <v>396</v>
      </c>
      <c r="EJ13" s="1758">
        <f>VLOOKUP($G13,'Quantidades Padrão'!$E$7:$J$103,EJ$8,0)</f>
        <v>5.7920227920227934</v>
      </c>
      <c r="EK13" s="1759" t="s">
        <v>396</v>
      </c>
      <c r="EL13" s="992">
        <f t="shared" si="50"/>
        <v>3177.2064918461551</v>
      </c>
      <c r="EM13" s="1759" t="s">
        <v>396</v>
      </c>
      <c r="EN13" s="992">
        <f t="shared" si="51"/>
        <v>7815.927969941542</v>
      </c>
      <c r="EO13" s="992"/>
      <c r="EP13" s="992">
        <f t="shared" si="52"/>
        <v>548.54868600000009</v>
      </c>
      <c r="EQ13" s="1757" t="s">
        <v>396</v>
      </c>
      <c r="ER13" s="1758">
        <f>VLOOKUP($G13,'Quantidades Padrão'!$E$7:$J$103,ER$8,0)</f>
        <v>8.3260327635327638</v>
      </c>
      <c r="ES13" s="1759" t="s">
        <v>396</v>
      </c>
      <c r="ET13" s="992">
        <f t="shared" si="53"/>
        <v>4567.2343320288473</v>
      </c>
      <c r="EU13" s="1759" t="s">
        <v>396</v>
      </c>
      <c r="EV13" s="992">
        <f t="shared" si="54"/>
        <v>11235.396456790964</v>
      </c>
      <c r="EW13" s="992"/>
      <c r="EX13" s="992">
        <f t="shared" si="55"/>
        <v>548.54868600000009</v>
      </c>
      <c r="EY13" s="1757" t="s">
        <v>396</v>
      </c>
      <c r="EZ13" s="1758">
        <f>VLOOKUP($G13,'Quantidades Padrão'!$E$7:$J$103,EZ$8,0)</f>
        <v>10.860042735042738</v>
      </c>
      <c r="FA13" s="1759" t="s">
        <v>396</v>
      </c>
      <c r="FB13" s="992">
        <f t="shared" si="56"/>
        <v>5957.2621722115409</v>
      </c>
      <c r="FC13" s="1759" t="s">
        <v>396</v>
      </c>
      <c r="FD13" s="992">
        <f t="shared" si="57"/>
        <v>14654.86494364039</v>
      </c>
      <c r="FE13" s="992"/>
      <c r="FF13" s="992">
        <f t="shared" si="58"/>
        <v>548.54868600000009</v>
      </c>
      <c r="FG13" s="1757" t="s">
        <v>396</v>
      </c>
      <c r="FH13" s="1758">
        <f>VLOOKUP($G13,'Quantidades Padrão'!$E$7:$J$103,FH$8,0)</f>
        <v>5.7920227920227934</v>
      </c>
      <c r="FI13" s="1759" t="s">
        <v>396</v>
      </c>
      <c r="FJ13" s="992">
        <f t="shared" si="59"/>
        <v>3177.2064918461551</v>
      </c>
      <c r="FK13" s="1759" t="s">
        <v>396</v>
      </c>
      <c r="FL13" s="992">
        <f t="shared" si="60"/>
        <v>7815.927969941542</v>
      </c>
      <c r="FM13" s="992"/>
      <c r="FN13" s="992">
        <f t="shared" si="61"/>
        <v>571.14868600000011</v>
      </c>
      <c r="FO13" s="1757" t="s">
        <v>396</v>
      </c>
      <c r="FP13" s="1758">
        <f>VLOOKUP($G13,'Quantidades Padrão'!$E$7:$J$103,FP$8,0)</f>
        <v>8.3260327635327638</v>
      </c>
      <c r="FQ13" s="1759" t="s">
        <v>396</v>
      </c>
      <c r="FR13" s="992">
        <f t="shared" si="62"/>
        <v>4755.4026724846881</v>
      </c>
      <c r="FS13" s="1759" t="s">
        <v>396</v>
      </c>
      <c r="FT13" s="992">
        <f t="shared" si="63"/>
        <v>11698.290574312332</v>
      </c>
      <c r="FU13" s="992"/>
      <c r="FV13" s="992">
        <f t="shared" si="64"/>
        <v>571.14868600000011</v>
      </c>
      <c r="FW13" s="1757" t="s">
        <v>396</v>
      </c>
      <c r="FX13" s="1758">
        <f>VLOOKUP($G13,'Quantidades Padrão'!$E$7:$J$103,FX$8,0)</f>
        <v>10.860042735042738</v>
      </c>
      <c r="FY13" s="1759" t="s">
        <v>396</v>
      </c>
      <c r="FZ13" s="992">
        <f t="shared" si="65"/>
        <v>6202.6991380235067</v>
      </c>
      <c r="GA13" s="1759" t="s">
        <v>396</v>
      </c>
      <c r="GB13" s="992">
        <f t="shared" si="66"/>
        <v>15258.639879537826</v>
      </c>
      <c r="GC13" s="992"/>
      <c r="GD13" s="992">
        <f t="shared" si="67"/>
        <v>571.14868600000011</v>
      </c>
      <c r="GE13" s="1757" t="s">
        <v>396</v>
      </c>
      <c r="GF13" s="1758">
        <f>VLOOKUP($G13,'Quantidades Padrão'!$E$7:$J$103,GF$8,0)</f>
        <v>5.7920227920227934</v>
      </c>
      <c r="GG13" s="1759" t="s">
        <v>396</v>
      </c>
      <c r="GH13" s="992">
        <f t="shared" si="68"/>
        <v>3308.1062069458703</v>
      </c>
      <c r="GI13" s="1759" t="s">
        <v>396</v>
      </c>
      <c r="GJ13" s="992">
        <f t="shared" si="69"/>
        <v>8137.9412690868412</v>
      </c>
      <c r="GK13" s="992"/>
      <c r="GL13" s="992">
        <f t="shared" si="70"/>
        <v>571.14868600000011</v>
      </c>
      <c r="GM13" s="1757" t="s">
        <v>396</v>
      </c>
      <c r="GN13" s="1758">
        <f>VLOOKUP($G13,'Quantidades Padrão'!$E$7:$J$103,GN$8,0)</f>
        <v>8.3260327635327638</v>
      </c>
      <c r="GO13" s="1759" t="s">
        <v>396</v>
      </c>
      <c r="GP13" s="992">
        <f t="shared" si="71"/>
        <v>4755.4026724846881</v>
      </c>
      <c r="GQ13" s="1759" t="s">
        <v>396</v>
      </c>
      <c r="GR13" s="992">
        <f t="shared" si="72"/>
        <v>11698.290574312332</v>
      </c>
      <c r="GS13" s="992"/>
      <c r="GT13" s="992">
        <f t="shared" si="73"/>
        <v>571.14868600000011</v>
      </c>
      <c r="GU13" s="1757" t="s">
        <v>396</v>
      </c>
      <c r="GV13" s="1758">
        <f>VLOOKUP($G13,'Quantidades Padrão'!$E$7:$J$103,GV$8,0)</f>
        <v>10.860042735042738</v>
      </c>
      <c r="GW13" s="1759" t="s">
        <v>396</v>
      </c>
      <c r="GX13" s="992">
        <f t="shared" si="74"/>
        <v>6202.6991380235067</v>
      </c>
      <c r="GY13" s="1759" t="s">
        <v>396</v>
      </c>
      <c r="GZ13" s="992">
        <f t="shared" si="75"/>
        <v>15258.639879537826</v>
      </c>
      <c r="HA13" s="992"/>
      <c r="HB13" s="992">
        <f t="shared" si="76"/>
        <v>575.58868600000005</v>
      </c>
      <c r="HC13" s="1757" t="s">
        <v>396</v>
      </c>
      <c r="HD13" s="1758">
        <f>VLOOKUP($G13,'Quantidades Padrão'!$E$7:$J$103,HD$8,0)</f>
        <v>5.7920227920227934</v>
      </c>
      <c r="HE13" s="1759" t="s">
        <v>396</v>
      </c>
      <c r="HF13" s="992">
        <f t="shared" si="77"/>
        <v>3333.8227881424514</v>
      </c>
      <c r="HG13" s="1759" t="s">
        <v>396</v>
      </c>
      <c r="HH13" s="992">
        <f t="shared" si="78"/>
        <v>8201.2040588304299</v>
      </c>
      <c r="HI13" s="992"/>
      <c r="HJ13" s="992">
        <f t="shared" si="79"/>
        <v>575.58868600000005</v>
      </c>
      <c r="HK13" s="1757" t="s">
        <v>396</v>
      </c>
      <c r="HL13" s="1758">
        <f>VLOOKUP($G13,'Quantidades Padrão'!$E$7:$J$103,HL$8,0)</f>
        <v>8.3260327635327638</v>
      </c>
      <c r="HM13" s="1759" t="s">
        <v>396</v>
      </c>
      <c r="HN13" s="992">
        <f t="shared" si="80"/>
        <v>4792.3702579547726</v>
      </c>
      <c r="HO13" s="1759" t="s">
        <v>396</v>
      </c>
      <c r="HP13" s="992">
        <f t="shared" si="81"/>
        <v>11789.23083456874</v>
      </c>
      <c r="HQ13" s="992"/>
      <c r="HR13" s="992">
        <f t="shared" si="82"/>
        <v>575.58868600000005</v>
      </c>
      <c r="HS13" s="1757" t="s">
        <v>396</v>
      </c>
      <c r="HT13" s="1758">
        <f>VLOOKUP($G13,'Quantidades Padrão'!$E$7:$J$103,HT$8,0)</f>
        <v>10.860042735042738</v>
      </c>
      <c r="HU13" s="1759" t="s">
        <v>396</v>
      </c>
      <c r="HV13" s="992">
        <f t="shared" si="83"/>
        <v>6250.917727767096</v>
      </c>
      <c r="HW13" s="1759" t="s">
        <v>396</v>
      </c>
      <c r="HX13" s="992">
        <f t="shared" si="84"/>
        <v>15377.257610307057</v>
      </c>
      <c r="HY13" s="992"/>
      <c r="HZ13" s="992">
        <f t="shared" si="85"/>
        <v>575.58868600000005</v>
      </c>
      <c r="IA13" s="1757" t="s">
        <v>396</v>
      </c>
      <c r="IB13" s="1758">
        <f>VLOOKUP($G13,'Quantidades Padrão'!$E$7:$J$103,IB$8,0)</f>
        <v>5.7920227920227934</v>
      </c>
      <c r="IC13" s="1759" t="s">
        <v>396</v>
      </c>
      <c r="ID13" s="992">
        <f t="shared" si="86"/>
        <v>3333.8227881424514</v>
      </c>
      <c r="IE13" s="1759" t="s">
        <v>396</v>
      </c>
      <c r="IF13" s="992">
        <f t="shared" si="87"/>
        <v>8201.2040588304299</v>
      </c>
      <c r="IG13" s="992"/>
      <c r="IH13" s="992">
        <f t="shared" si="88"/>
        <v>575.58868600000005</v>
      </c>
      <c r="II13" s="1757" t="s">
        <v>396</v>
      </c>
      <c r="IJ13" s="1758">
        <f>VLOOKUP($G13,'Quantidades Padrão'!$E$7:$J$103,IJ$8,0)</f>
        <v>8.3260327635327638</v>
      </c>
      <c r="IK13" s="1759" t="s">
        <v>396</v>
      </c>
      <c r="IL13" s="992">
        <f t="shared" si="89"/>
        <v>4792.3702579547726</v>
      </c>
      <c r="IM13" s="1759" t="s">
        <v>396</v>
      </c>
      <c r="IN13" s="992">
        <f t="shared" si="90"/>
        <v>11789.23083456874</v>
      </c>
      <c r="IO13" s="992"/>
    </row>
    <row r="14" spans="1:261" s="341" customFormat="1" ht="27" customHeight="1">
      <c r="A14" s="1753"/>
      <c r="B14" s="1754"/>
      <c r="C14" s="1755"/>
      <c r="D14" s="1013">
        <f>VLOOKUP(E14,'DER MG'!$D$5:$I$150,6,0)</f>
        <v>1.78</v>
      </c>
      <c r="E14" s="1017">
        <v>41339</v>
      </c>
      <c r="F14" s="1756"/>
      <c r="G14" s="1018" t="s">
        <v>397</v>
      </c>
      <c r="H14" s="992">
        <f t="shared" si="5"/>
        <v>310456.72394462593</v>
      </c>
      <c r="I14" s="992">
        <v>364</v>
      </c>
      <c r="J14" s="1757" t="s">
        <v>396</v>
      </c>
      <c r="K14" s="1758">
        <f>VLOOKUP($G14,'Quantidades Padrão'!$E$7:$J$103,K$8,0)</f>
        <v>7.6820512820512832</v>
      </c>
      <c r="L14" s="1759" t="s">
        <v>396</v>
      </c>
      <c r="M14" s="992">
        <f t="shared" si="6"/>
        <v>2796.2666666666669</v>
      </c>
      <c r="N14" s="1759" t="s">
        <v>396</v>
      </c>
      <c r="O14" s="992">
        <f t="shared" si="7"/>
        <v>4977.3546666666671</v>
      </c>
      <c r="P14" s="992"/>
      <c r="Q14" s="1760">
        <f t="shared" si="0"/>
        <v>8.0185619602652183E-4</v>
      </c>
      <c r="R14" s="992">
        <f t="shared" si="8"/>
        <v>500</v>
      </c>
      <c r="S14" s="1757" t="s">
        <v>396</v>
      </c>
      <c r="T14" s="1758">
        <f>VLOOKUP($G14,'Quantidades Padrão'!$E$7:$J$103,T$8,0)</f>
        <v>7.6820512820512832</v>
      </c>
      <c r="U14" s="1759" t="s">
        <v>396</v>
      </c>
      <c r="V14" s="992">
        <f t="shared" si="9"/>
        <v>3841.0256410256416</v>
      </c>
      <c r="W14" s="1759" t="s">
        <v>396</v>
      </c>
      <c r="X14" s="992">
        <f t="shared" si="1"/>
        <v>6837.0256410256425</v>
      </c>
      <c r="Y14" s="992"/>
      <c r="Z14" s="992">
        <f t="shared" si="10"/>
        <v>500</v>
      </c>
      <c r="AA14" s="1757" t="s">
        <v>396</v>
      </c>
      <c r="AB14" s="1758">
        <f>VLOOKUP($G14,'Quantidades Padrão'!$E$7:$J$103,AB$8,0)</f>
        <v>14.403846153846155</v>
      </c>
      <c r="AC14" s="1759" t="s">
        <v>396</v>
      </c>
      <c r="AD14" s="992">
        <f t="shared" si="11"/>
        <v>7201.9230769230771</v>
      </c>
      <c r="AE14" s="1759" t="s">
        <v>396</v>
      </c>
      <c r="AF14" s="992">
        <f t="shared" si="2"/>
        <v>12819.423076923078</v>
      </c>
      <c r="AG14" s="992"/>
      <c r="AH14" s="992">
        <f t="shared" si="12"/>
        <v>500</v>
      </c>
      <c r="AI14" s="1757" t="s">
        <v>396</v>
      </c>
      <c r="AJ14" s="1758">
        <f>VLOOKUP($G14,'Quantidades Padrão'!$E$7:$J$103,AJ$8,0)</f>
        <v>7.6820512820512832</v>
      </c>
      <c r="AK14" s="1759" t="s">
        <v>396</v>
      </c>
      <c r="AL14" s="992">
        <f t="shared" si="13"/>
        <v>3841.0256410256416</v>
      </c>
      <c r="AM14" s="1759" t="s">
        <v>396</v>
      </c>
      <c r="AN14" s="992">
        <f t="shared" si="3"/>
        <v>6837.0256410256425</v>
      </c>
      <c r="AO14" s="992"/>
      <c r="AP14" s="992">
        <f t="shared" si="14"/>
        <v>500</v>
      </c>
      <c r="AQ14" s="1757" t="s">
        <v>396</v>
      </c>
      <c r="AR14" s="1758">
        <f>VLOOKUP($G14,'Quantidades Padrão'!$E$7:$J$103,AR$8,0)</f>
        <v>7.6820512820512832</v>
      </c>
      <c r="AS14" s="1759" t="s">
        <v>396</v>
      </c>
      <c r="AT14" s="992">
        <f t="shared" si="15"/>
        <v>3841.0256410256416</v>
      </c>
      <c r="AU14" s="1759" t="s">
        <v>396</v>
      </c>
      <c r="AV14" s="992">
        <f t="shared" si="4"/>
        <v>6837.0256410256425</v>
      </c>
      <c r="AW14" s="992"/>
      <c r="AX14" s="992">
        <f t="shared" si="16"/>
        <v>513.17434300000002</v>
      </c>
      <c r="AY14" s="1757" t="s">
        <v>396</v>
      </c>
      <c r="AZ14" s="1758">
        <f>VLOOKUP($G14,'Quantidades Padrão'!$E$7:$J$103,AZ$8,0)</f>
        <v>11.04294871794872</v>
      </c>
      <c r="BA14" s="1759" t="s">
        <v>396</v>
      </c>
      <c r="BB14" s="992">
        <f t="shared" si="17"/>
        <v>5666.9579531160271</v>
      </c>
      <c r="BC14" s="1759" t="s">
        <v>396</v>
      </c>
      <c r="BD14" s="992">
        <f t="shared" si="18"/>
        <v>10087.185156546528</v>
      </c>
      <c r="BE14" s="992"/>
      <c r="BF14" s="992">
        <f t="shared" si="19"/>
        <v>539.66868600000009</v>
      </c>
      <c r="BG14" s="1757" t="s">
        <v>396</v>
      </c>
      <c r="BH14" s="1758">
        <f>VLOOKUP($G14,'Quantidades Padrão'!$E$7:$J$103,BH$8,0)</f>
        <v>14.403846153846155</v>
      </c>
      <c r="BI14" s="1759" t="s">
        <v>396</v>
      </c>
      <c r="BJ14" s="992">
        <f t="shared" si="20"/>
        <v>7773.3047271923097</v>
      </c>
      <c r="BK14" s="1759" t="s">
        <v>396</v>
      </c>
      <c r="BL14" s="992">
        <f t="shared" si="21"/>
        <v>13836.482414402311</v>
      </c>
      <c r="BM14" s="992"/>
      <c r="BN14" s="992">
        <f t="shared" si="22"/>
        <v>539.66868600000009</v>
      </c>
      <c r="BO14" s="1757" t="s">
        <v>396</v>
      </c>
      <c r="BP14" s="1758">
        <f>VLOOKUP($G14,'Quantidades Padrão'!$E$7:$J$103,BP$8,0)</f>
        <v>7.6820512820512832</v>
      </c>
      <c r="BQ14" s="1759" t="s">
        <v>396</v>
      </c>
      <c r="BR14" s="992">
        <f t="shared" si="23"/>
        <v>4145.7625211692321</v>
      </c>
      <c r="BS14" s="1759" t="s">
        <v>396</v>
      </c>
      <c r="BT14" s="992">
        <f t="shared" si="24"/>
        <v>7379.4572876812335</v>
      </c>
      <c r="BU14" s="992"/>
      <c r="BV14" s="992">
        <f t="shared" si="25"/>
        <v>539.66868600000009</v>
      </c>
      <c r="BW14" s="1757" t="s">
        <v>396</v>
      </c>
      <c r="BX14" s="1758">
        <f>VLOOKUP($G14,'Quantidades Padrão'!$E$7:$J$103,BX$8,0)</f>
        <v>11.04294871794872</v>
      </c>
      <c r="BY14" s="1759" t="s">
        <v>396</v>
      </c>
      <c r="BZ14" s="992">
        <f t="shared" si="26"/>
        <v>5959.5336241807718</v>
      </c>
      <c r="CA14" s="1759" t="s">
        <v>396</v>
      </c>
      <c r="CB14" s="992">
        <f t="shared" si="27"/>
        <v>10607.969851041775</v>
      </c>
      <c r="CC14" s="992"/>
      <c r="CD14" s="992">
        <f t="shared" si="28"/>
        <v>539.66868600000009</v>
      </c>
      <c r="CE14" s="1757" t="s">
        <v>396</v>
      </c>
      <c r="CF14" s="1758">
        <f>VLOOKUP($G14,'Quantidades Padrão'!$E$7:$J$103,CF$8,0)</f>
        <v>14.403846153846155</v>
      </c>
      <c r="CG14" s="1759" t="s">
        <v>396</v>
      </c>
      <c r="CH14" s="992">
        <f t="shared" si="29"/>
        <v>7773.3047271923097</v>
      </c>
      <c r="CI14" s="1759" t="s">
        <v>396</v>
      </c>
      <c r="CJ14" s="992">
        <f t="shared" si="30"/>
        <v>13836.482414402311</v>
      </c>
      <c r="CK14" s="992"/>
      <c r="CL14" s="992">
        <f t="shared" si="31"/>
        <v>539.66868600000009</v>
      </c>
      <c r="CM14" s="1757" t="s">
        <v>396</v>
      </c>
      <c r="CN14" s="1758">
        <f>VLOOKUP($G14,'Quantidades Padrão'!$E$7:$J$103,CN$8,0)</f>
        <v>7.6820512820512832</v>
      </c>
      <c r="CO14" s="1759" t="s">
        <v>396</v>
      </c>
      <c r="CP14" s="992">
        <f t="shared" si="32"/>
        <v>4145.7625211692321</v>
      </c>
      <c r="CQ14" s="1759" t="s">
        <v>396</v>
      </c>
      <c r="CR14" s="992">
        <f t="shared" si="33"/>
        <v>7379.4572876812335</v>
      </c>
      <c r="CS14" s="992"/>
      <c r="CT14" s="992">
        <f t="shared" si="34"/>
        <v>539.66868600000009</v>
      </c>
      <c r="CU14" s="1757" t="s">
        <v>396</v>
      </c>
      <c r="CV14" s="1758">
        <f>VLOOKUP($G14,'Quantidades Padrão'!$E$7:$J$103,CV$8,0)</f>
        <v>11.04294871794872</v>
      </c>
      <c r="CW14" s="1759" t="s">
        <v>396</v>
      </c>
      <c r="CX14" s="992">
        <f t="shared" si="35"/>
        <v>5959.5336241807718</v>
      </c>
      <c r="CY14" s="1759" t="s">
        <v>396</v>
      </c>
      <c r="CZ14" s="992">
        <f t="shared" si="36"/>
        <v>10607.969851041775</v>
      </c>
      <c r="DA14" s="992"/>
      <c r="DB14" s="992">
        <f t="shared" si="37"/>
        <v>539.66868600000009</v>
      </c>
      <c r="DC14" s="1757" t="s">
        <v>396</v>
      </c>
      <c r="DD14" s="1758">
        <f>VLOOKUP($G14,'Quantidades Padrão'!$E$7:$J$103,DD$8,0)</f>
        <v>14.403846153846155</v>
      </c>
      <c r="DE14" s="1759" t="s">
        <v>396</v>
      </c>
      <c r="DF14" s="992">
        <f t="shared" si="38"/>
        <v>7773.3047271923097</v>
      </c>
      <c r="DG14" s="1759" t="s">
        <v>396</v>
      </c>
      <c r="DH14" s="992">
        <f t="shared" si="39"/>
        <v>13836.482414402311</v>
      </c>
      <c r="DI14" s="992"/>
      <c r="DJ14" s="992">
        <f t="shared" si="40"/>
        <v>539.66868600000009</v>
      </c>
      <c r="DK14" s="1757" t="s">
        <v>396</v>
      </c>
      <c r="DL14" s="1758">
        <f>VLOOKUP($G14,'Quantidades Padrão'!$E$7:$J$103,DL$8,0)</f>
        <v>7.6820512820512832</v>
      </c>
      <c r="DM14" s="1759" t="s">
        <v>396</v>
      </c>
      <c r="DN14" s="992">
        <f t="shared" si="41"/>
        <v>4145.7625211692321</v>
      </c>
      <c r="DO14" s="1759" t="s">
        <v>396</v>
      </c>
      <c r="DP14" s="992">
        <f t="shared" si="42"/>
        <v>7379.4572876812335</v>
      </c>
      <c r="DQ14" s="992"/>
      <c r="DR14" s="992">
        <f t="shared" si="43"/>
        <v>539.66868600000009</v>
      </c>
      <c r="DS14" s="1757" t="s">
        <v>396</v>
      </c>
      <c r="DT14" s="1758">
        <f>VLOOKUP($G14,'Quantidades Padrão'!$E$7:$J$103,DT$8,0)</f>
        <v>11.04294871794872</v>
      </c>
      <c r="DU14" s="1759" t="s">
        <v>396</v>
      </c>
      <c r="DV14" s="992">
        <f t="shared" si="44"/>
        <v>5959.5336241807718</v>
      </c>
      <c r="DW14" s="1759" t="s">
        <v>396</v>
      </c>
      <c r="DX14" s="992">
        <f t="shared" si="45"/>
        <v>10607.969851041775</v>
      </c>
      <c r="DY14" s="992"/>
      <c r="DZ14" s="992">
        <f t="shared" si="46"/>
        <v>548.54868600000009</v>
      </c>
      <c r="EA14" s="1757" t="s">
        <v>396</v>
      </c>
      <c r="EB14" s="1758">
        <f>VLOOKUP($G14,'Quantidades Padrão'!$E$7:$J$103,EB$8,0)</f>
        <v>14.403846153846155</v>
      </c>
      <c r="EC14" s="1759" t="s">
        <v>396</v>
      </c>
      <c r="ED14" s="992">
        <f t="shared" si="47"/>
        <v>7901.2108810384634</v>
      </c>
      <c r="EE14" s="1759" t="s">
        <v>396</v>
      </c>
      <c r="EF14" s="992">
        <f t="shared" si="48"/>
        <v>14064.155368248465</v>
      </c>
      <c r="EG14" s="992"/>
      <c r="EH14" s="992">
        <f t="shared" si="49"/>
        <v>548.54868600000009</v>
      </c>
      <c r="EI14" s="1757" t="s">
        <v>396</v>
      </c>
      <c r="EJ14" s="1758">
        <f>VLOOKUP($G14,'Quantidades Padrão'!$E$7:$J$103,EJ$8,0)</f>
        <v>7.6820512820512832</v>
      </c>
      <c r="EK14" s="1759" t="s">
        <v>396</v>
      </c>
      <c r="EL14" s="992">
        <f t="shared" si="50"/>
        <v>4213.9791365538476</v>
      </c>
      <c r="EM14" s="1759" t="s">
        <v>396</v>
      </c>
      <c r="EN14" s="992">
        <f t="shared" si="51"/>
        <v>7500.8828630658491</v>
      </c>
      <c r="EO14" s="992"/>
      <c r="EP14" s="992">
        <f t="shared" si="52"/>
        <v>548.54868600000009</v>
      </c>
      <c r="EQ14" s="1757" t="s">
        <v>396</v>
      </c>
      <c r="ER14" s="1758">
        <f>VLOOKUP($G14,'Quantidades Padrão'!$E$7:$J$103,ER$8,0)</f>
        <v>11.04294871794872</v>
      </c>
      <c r="ES14" s="1759" t="s">
        <v>396</v>
      </c>
      <c r="ET14" s="992">
        <f t="shared" si="53"/>
        <v>6057.5950087961555</v>
      </c>
      <c r="EU14" s="1759" t="s">
        <v>396</v>
      </c>
      <c r="EV14" s="992">
        <f t="shared" si="54"/>
        <v>10782.519115657156</v>
      </c>
      <c r="EW14" s="992"/>
      <c r="EX14" s="992">
        <f t="shared" si="55"/>
        <v>548.54868600000009</v>
      </c>
      <c r="EY14" s="1757" t="s">
        <v>396</v>
      </c>
      <c r="EZ14" s="1758">
        <f>VLOOKUP($G14,'Quantidades Padrão'!$E$7:$J$103,EZ$8,0)</f>
        <v>14.403846153846155</v>
      </c>
      <c r="FA14" s="1759" t="s">
        <v>396</v>
      </c>
      <c r="FB14" s="992">
        <f t="shared" si="56"/>
        <v>7901.2108810384634</v>
      </c>
      <c r="FC14" s="1759" t="s">
        <v>396</v>
      </c>
      <c r="FD14" s="992">
        <f t="shared" si="57"/>
        <v>14064.155368248465</v>
      </c>
      <c r="FE14" s="992"/>
      <c r="FF14" s="992">
        <f t="shared" si="58"/>
        <v>548.54868600000009</v>
      </c>
      <c r="FG14" s="1757" t="s">
        <v>396</v>
      </c>
      <c r="FH14" s="1758">
        <f>VLOOKUP($G14,'Quantidades Padrão'!$E$7:$J$103,FH$8,0)</f>
        <v>7.6820512820512832</v>
      </c>
      <c r="FI14" s="1759" t="s">
        <v>396</v>
      </c>
      <c r="FJ14" s="992">
        <f t="shared" si="59"/>
        <v>4213.9791365538476</v>
      </c>
      <c r="FK14" s="1759" t="s">
        <v>396</v>
      </c>
      <c r="FL14" s="992">
        <f t="shared" si="60"/>
        <v>7500.8828630658491</v>
      </c>
      <c r="FM14" s="992"/>
      <c r="FN14" s="992">
        <f t="shared" si="61"/>
        <v>571.14868600000011</v>
      </c>
      <c r="FO14" s="1757" t="s">
        <v>396</v>
      </c>
      <c r="FP14" s="1758">
        <f>VLOOKUP($G14,'Quantidades Padrão'!$E$7:$J$103,FP$8,0)</f>
        <v>11.04294871794872</v>
      </c>
      <c r="FQ14" s="1759" t="s">
        <v>396</v>
      </c>
      <c r="FR14" s="992">
        <f t="shared" si="62"/>
        <v>6307.1656498217972</v>
      </c>
      <c r="FS14" s="1759" t="s">
        <v>396</v>
      </c>
      <c r="FT14" s="992">
        <f t="shared" si="63"/>
        <v>11226.754856682799</v>
      </c>
      <c r="FU14" s="992"/>
      <c r="FV14" s="992">
        <f t="shared" si="64"/>
        <v>571.14868600000011</v>
      </c>
      <c r="FW14" s="1757" t="s">
        <v>396</v>
      </c>
      <c r="FX14" s="1758">
        <f>VLOOKUP($G14,'Quantidades Padrão'!$E$7:$J$103,FX$8,0)</f>
        <v>14.403846153846155</v>
      </c>
      <c r="FY14" s="1759" t="s">
        <v>396</v>
      </c>
      <c r="FZ14" s="992">
        <f t="shared" si="65"/>
        <v>8226.7378041153861</v>
      </c>
      <c r="GA14" s="1759" t="s">
        <v>396</v>
      </c>
      <c r="GB14" s="992">
        <f t="shared" si="66"/>
        <v>14643.593291325387</v>
      </c>
      <c r="GC14" s="992"/>
      <c r="GD14" s="992">
        <f t="shared" si="67"/>
        <v>571.14868600000011</v>
      </c>
      <c r="GE14" s="1757" t="s">
        <v>396</v>
      </c>
      <c r="GF14" s="1758">
        <f>VLOOKUP($G14,'Quantidades Padrão'!$E$7:$J$103,GF$8,0)</f>
        <v>7.6820512820512832</v>
      </c>
      <c r="GG14" s="1759" t="s">
        <v>396</v>
      </c>
      <c r="GH14" s="992">
        <f t="shared" si="68"/>
        <v>4387.5934955282064</v>
      </c>
      <c r="GI14" s="1759" t="s">
        <v>396</v>
      </c>
      <c r="GJ14" s="992">
        <f t="shared" si="69"/>
        <v>7809.9164220402072</v>
      </c>
      <c r="GK14" s="992"/>
      <c r="GL14" s="992">
        <f t="shared" si="70"/>
        <v>571.14868600000011</v>
      </c>
      <c r="GM14" s="1757" t="s">
        <v>396</v>
      </c>
      <c r="GN14" s="1758">
        <f>VLOOKUP($G14,'Quantidades Padrão'!$E$7:$J$103,GN$8,0)</f>
        <v>11.04294871794872</v>
      </c>
      <c r="GO14" s="1759" t="s">
        <v>396</v>
      </c>
      <c r="GP14" s="992">
        <f t="shared" si="71"/>
        <v>6307.1656498217972</v>
      </c>
      <c r="GQ14" s="1759" t="s">
        <v>396</v>
      </c>
      <c r="GR14" s="992">
        <f t="shared" si="72"/>
        <v>11226.754856682799</v>
      </c>
      <c r="GS14" s="992"/>
      <c r="GT14" s="992">
        <f t="shared" si="73"/>
        <v>571.14868600000011</v>
      </c>
      <c r="GU14" s="1757" t="s">
        <v>396</v>
      </c>
      <c r="GV14" s="1758">
        <f>VLOOKUP($G14,'Quantidades Padrão'!$E$7:$J$103,GV$8,0)</f>
        <v>14.403846153846155</v>
      </c>
      <c r="GW14" s="1759" t="s">
        <v>396</v>
      </c>
      <c r="GX14" s="992">
        <f t="shared" si="74"/>
        <v>8226.7378041153861</v>
      </c>
      <c r="GY14" s="1759" t="s">
        <v>396</v>
      </c>
      <c r="GZ14" s="992">
        <f t="shared" si="75"/>
        <v>14643.593291325387</v>
      </c>
      <c r="HA14" s="992"/>
      <c r="HB14" s="992">
        <f t="shared" si="76"/>
        <v>575.58868600000005</v>
      </c>
      <c r="HC14" s="1757" t="s">
        <v>396</v>
      </c>
      <c r="HD14" s="1758">
        <f>VLOOKUP($G14,'Quantidades Padrão'!$E$7:$J$103,HD$8,0)</f>
        <v>7.6820512820512832</v>
      </c>
      <c r="HE14" s="1759" t="s">
        <v>396</v>
      </c>
      <c r="HF14" s="992">
        <f t="shared" si="77"/>
        <v>4421.7018032205142</v>
      </c>
      <c r="HG14" s="1759" t="s">
        <v>396</v>
      </c>
      <c r="HH14" s="992">
        <f t="shared" si="78"/>
        <v>7870.6292097325149</v>
      </c>
      <c r="HI14" s="992"/>
      <c r="HJ14" s="992">
        <f t="shared" si="79"/>
        <v>575.58868600000005</v>
      </c>
      <c r="HK14" s="1757" t="s">
        <v>396</v>
      </c>
      <c r="HL14" s="1758">
        <f>VLOOKUP($G14,'Quantidades Padrão'!$E$7:$J$103,HL$8,0)</f>
        <v>11.04294871794872</v>
      </c>
      <c r="HM14" s="1759" t="s">
        <v>396</v>
      </c>
      <c r="HN14" s="992">
        <f t="shared" si="80"/>
        <v>6356.1963421294886</v>
      </c>
      <c r="HO14" s="1759" t="s">
        <v>396</v>
      </c>
      <c r="HP14" s="992">
        <f t="shared" si="81"/>
        <v>11314.029488990489</v>
      </c>
      <c r="HQ14" s="992"/>
      <c r="HR14" s="992">
        <f t="shared" si="82"/>
        <v>575.58868600000005</v>
      </c>
      <c r="HS14" s="1757" t="s">
        <v>396</v>
      </c>
      <c r="HT14" s="1758">
        <f>VLOOKUP($G14,'Quantidades Padrão'!$E$7:$J$103,HT$8,0)</f>
        <v>14.403846153846155</v>
      </c>
      <c r="HU14" s="1759" t="s">
        <v>396</v>
      </c>
      <c r="HV14" s="992">
        <f t="shared" si="83"/>
        <v>8290.690881038463</v>
      </c>
      <c r="HW14" s="1759" t="s">
        <v>396</v>
      </c>
      <c r="HX14" s="992">
        <f t="shared" si="84"/>
        <v>14757.429768248465</v>
      </c>
      <c r="HY14" s="992"/>
      <c r="HZ14" s="992">
        <f t="shared" si="85"/>
        <v>575.58868600000005</v>
      </c>
      <c r="IA14" s="1757" t="s">
        <v>396</v>
      </c>
      <c r="IB14" s="1758">
        <f>VLOOKUP($G14,'Quantidades Padrão'!$E$7:$J$103,IB$8,0)</f>
        <v>7.6820512820512832</v>
      </c>
      <c r="IC14" s="1759" t="s">
        <v>396</v>
      </c>
      <c r="ID14" s="992">
        <f t="shared" si="86"/>
        <v>4421.7018032205142</v>
      </c>
      <c r="IE14" s="1759" t="s">
        <v>396</v>
      </c>
      <c r="IF14" s="992">
        <f t="shared" si="87"/>
        <v>7870.6292097325149</v>
      </c>
      <c r="IG14" s="992"/>
      <c r="IH14" s="992">
        <f t="shared" si="88"/>
        <v>575.58868600000005</v>
      </c>
      <c r="II14" s="1757" t="s">
        <v>396</v>
      </c>
      <c r="IJ14" s="1758">
        <f>VLOOKUP($G14,'Quantidades Padrão'!$E$7:$J$103,IJ$8,0)</f>
        <v>11.04294871794872</v>
      </c>
      <c r="IK14" s="1759" t="s">
        <v>396</v>
      </c>
      <c r="IL14" s="992">
        <f t="shared" si="89"/>
        <v>6356.1963421294886</v>
      </c>
      <c r="IM14" s="1759" t="s">
        <v>396</v>
      </c>
      <c r="IN14" s="992">
        <f t="shared" si="90"/>
        <v>11314.029488990489</v>
      </c>
      <c r="IO14" s="992"/>
    </row>
    <row r="15" spans="1:261" s="341" customFormat="1" ht="27" customHeight="1">
      <c r="A15" s="1753"/>
      <c r="B15" s="1754"/>
      <c r="C15" s="1755"/>
      <c r="D15" s="1013">
        <f>VLOOKUP(E15,'DER MG'!$D$5:$I$150,6,0)</f>
        <v>1.71</v>
      </c>
      <c r="E15" s="1017">
        <v>41340</v>
      </c>
      <c r="F15" s="1756"/>
      <c r="G15" s="1018" t="s">
        <v>398</v>
      </c>
      <c r="H15" s="992">
        <f t="shared" si="5"/>
        <v>937350.07662895904</v>
      </c>
      <c r="I15" s="992">
        <v>364</v>
      </c>
      <c r="J15" s="1757" t="s">
        <v>396</v>
      </c>
      <c r="K15" s="1758">
        <f>VLOOKUP($G15,'Quantidades Padrão'!$E$7:$J$103,K$8,0)</f>
        <v>24.14358974358975</v>
      </c>
      <c r="L15" s="1759" t="s">
        <v>396</v>
      </c>
      <c r="M15" s="992">
        <f t="shared" si="6"/>
        <v>8788.2666666666682</v>
      </c>
      <c r="N15" s="1759" t="s">
        <v>396</v>
      </c>
      <c r="O15" s="992">
        <f t="shared" si="7"/>
        <v>15027.936000000002</v>
      </c>
      <c r="P15" s="992"/>
      <c r="Q15" s="1760">
        <f t="shared" si="0"/>
        <v>2.4210136512454053E-3</v>
      </c>
      <c r="R15" s="992">
        <f t="shared" si="8"/>
        <v>500</v>
      </c>
      <c r="S15" s="1757" t="s">
        <v>396</v>
      </c>
      <c r="T15" s="1758">
        <f>VLOOKUP($G15,'Quantidades Padrão'!$E$7:$J$103,T$8,0)</f>
        <v>24.14358974358975</v>
      </c>
      <c r="U15" s="1759" t="s">
        <v>396</v>
      </c>
      <c r="V15" s="992">
        <f t="shared" si="9"/>
        <v>12071.794871794875</v>
      </c>
      <c r="W15" s="1759" t="s">
        <v>396</v>
      </c>
      <c r="X15" s="992">
        <f t="shared" si="1"/>
        <v>20642.769230769234</v>
      </c>
      <c r="Y15" s="992"/>
      <c r="Z15" s="992">
        <f t="shared" si="10"/>
        <v>500</v>
      </c>
      <c r="AA15" s="1757" t="s">
        <v>396</v>
      </c>
      <c r="AB15" s="1758">
        <f>VLOOKUP($G15,'Quantidades Padrão'!$E$7:$J$103,AB$8,0)</f>
        <v>45.269230769230781</v>
      </c>
      <c r="AC15" s="1759" t="s">
        <v>396</v>
      </c>
      <c r="AD15" s="992">
        <f t="shared" si="11"/>
        <v>22634.61538461539</v>
      </c>
      <c r="AE15" s="1759" t="s">
        <v>396</v>
      </c>
      <c r="AF15" s="992">
        <f t="shared" si="2"/>
        <v>38705.192307692319</v>
      </c>
      <c r="AG15" s="992"/>
      <c r="AH15" s="992">
        <f t="shared" si="12"/>
        <v>500</v>
      </c>
      <c r="AI15" s="1757" t="s">
        <v>396</v>
      </c>
      <c r="AJ15" s="1758">
        <f>VLOOKUP($G15,'Quantidades Padrão'!$E$7:$J$103,AJ$8,0)</f>
        <v>24.14358974358975</v>
      </c>
      <c r="AK15" s="1759" t="s">
        <v>396</v>
      </c>
      <c r="AL15" s="992">
        <f t="shared" si="13"/>
        <v>12071.794871794875</v>
      </c>
      <c r="AM15" s="1759" t="s">
        <v>396</v>
      </c>
      <c r="AN15" s="992">
        <f t="shared" si="3"/>
        <v>20642.769230769234</v>
      </c>
      <c r="AO15" s="992"/>
      <c r="AP15" s="992">
        <f t="shared" si="14"/>
        <v>500</v>
      </c>
      <c r="AQ15" s="1757" t="s">
        <v>396</v>
      </c>
      <c r="AR15" s="1758">
        <f>VLOOKUP($G15,'Quantidades Padrão'!$E$7:$J$103,AR$8,0)</f>
        <v>24.14358974358975</v>
      </c>
      <c r="AS15" s="1759" t="s">
        <v>396</v>
      </c>
      <c r="AT15" s="992">
        <f t="shared" si="15"/>
        <v>12071.794871794875</v>
      </c>
      <c r="AU15" s="1759" t="s">
        <v>396</v>
      </c>
      <c r="AV15" s="992">
        <f t="shared" si="4"/>
        <v>20642.769230769234</v>
      </c>
      <c r="AW15" s="992"/>
      <c r="AX15" s="992">
        <f t="shared" si="16"/>
        <v>513.17434300000002</v>
      </c>
      <c r="AY15" s="1757" t="s">
        <v>396</v>
      </c>
      <c r="AZ15" s="1758">
        <f>VLOOKUP($G15,'Quantidades Padrão'!$E$7:$J$103,AZ$8,0)</f>
        <v>34.706410256410265</v>
      </c>
      <c r="BA15" s="1759" t="s">
        <v>396</v>
      </c>
      <c r="BB15" s="992">
        <f t="shared" si="17"/>
        <v>17810.439281221799</v>
      </c>
      <c r="BC15" s="1759" t="s">
        <v>396</v>
      </c>
      <c r="BD15" s="992">
        <f t="shared" si="18"/>
        <v>30455.851170889277</v>
      </c>
      <c r="BE15" s="992"/>
      <c r="BF15" s="992">
        <f t="shared" si="19"/>
        <v>539.66868600000009</v>
      </c>
      <c r="BG15" s="1757" t="s">
        <v>396</v>
      </c>
      <c r="BH15" s="1758">
        <f>VLOOKUP($G15,'Quantidades Padrão'!$E$7:$J$103,BH$8,0)</f>
        <v>45.269230769230781</v>
      </c>
      <c r="BI15" s="1759" t="s">
        <v>396</v>
      </c>
      <c r="BJ15" s="992">
        <f t="shared" si="20"/>
        <v>24430.386285461547</v>
      </c>
      <c r="BK15" s="1759" t="s">
        <v>396</v>
      </c>
      <c r="BL15" s="992">
        <f t="shared" si="21"/>
        <v>41775.960548139243</v>
      </c>
      <c r="BM15" s="992"/>
      <c r="BN15" s="992">
        <f t="shared" si="22"/>
        <v>539.66868600000009</v>
      </c>
      <c r="BO15" s="1757" t="s">
        <v>396</v>
      </c>
      <c r="BP15" s="1758">
        <f>VLOOKUP($G15,'Quantidades Padrão'!$E$7:$J$103,BP$8,0)</f>
        <v>24.14358974358975</v>
      </c>
      <c r="BQ15" s="1759" t="s">
        <v>396</v>
      </c>
      <c r="BR15" s="992">
        <f t="shared" si="23"/>
        <v>13029.53935224616</v>
      </c>
      <c r="BS15" s="1759" t="s">
        <v>396</v>
      </c>
      <c r="BT15" s="992">
        <f t="shared" si="24"/>
        <v>22280.512292340933</v>
      </c>
      <c r="BU15" s="992"/>
      <c r="BV15" s="992">
        <f t="shared" si="25"/>
        <v>539.66868600000009</v>
      </c>
      <c r="BW15" s="1757" t="s">
        <v>396</v>
      </c>
      <c r="BX15" s="1758">
        <f>VLOOKUP($G15,'Quantidades Padrão'!$E$7:$J$103,BX$8,0)</f>
        <v>34.706410256410265</v>
      </c>
      <c r="BY15" s="1759" t="s">
        <v>396</v>
      </c>
      <c r="BZ15" s="992">
        <f t="shared" si="26"/>
        <v>18729.962818853855</v>
      </c>
      <c r="CA15" s="1759" t="s">
        <v>396</v>
      </c>
      <c r="CB15" s="992">
        <f t="shared" si="27"/>
        <v>32028.236420240093</v>
      </c>
      <c r="CC15" s="992"/>
      <c r="CD15" s="992">
        <f t="shared" si="28"/>
        <v>539.66868600000009</v>
      </c>
      <c r="CE15" s="1757" t="s">
        <v>396</v>
      </c>
      <c r="CF15" s="1758">
        <f>VLOOKUP($G15,'Quantidades Padrão'!$E$7:$J$103,CF$8,0)</f>
        <v>45.269230769230781</v>
      </c>
      <c r="CG15" s="1759" t="s">
        <v>396</v>
      </c>
      <c r="CH15" s="992">
        <f t="shared" si="29"/>
        <v>24430.386285461547</v>
      </c>
      <c r="CI15" s="1759" t="s">
        <v>396</v>
      </c>
      <c r="CJ15" s="992">
        <f t="shared" si="30"/>
        <v>41775.960548139243</v>
      </c>
      <c r="CK15" s="992"/>
      <c r="CL15" s="992">
        <f t="shared" si="31"/>
        <v>539.66868600000009</v>
      </c>
      <c r="CM15" s="1757" t="s">
        <v>396</v>
      </c>
      <c r="CN15" s="1758">
        <f>VLOOKUP($G15,'Quantidades Padrão'!$E$7:$J$103,CN$8,0)</f>
        <v>24.14358974358975</v>
      </c>
      <c r="CO15" s="1759" t="s">
        <v>396</v>
      </c>
      <c r="CP15" s="992">
        <f t="shared" si="32"/>
        <v>13029.53935224616</v>
      </c>
      <c r="CQ15" s="1759" t="s">
        <v>396</v>
      </c>
      <c r="CR15" s="992">
        <f t="shared" si="33"/>
        <v>22280.512292340933</v>
      </c>
      <c r="CS15" s="992"/>
      <c r="CT15" s="992">
        <f t="shared" si="34"/>
        <v>539.66868600000009</v>
      </c>
      <c r="CU15" s="1757" t="s">
        <v>396</v>
      </c>
      <c r="CV15" s="1758">
        <f>VLOOKUP($G15,'Quantidades Padrão'!$E$7:$J$103,CV$8,0)</f>
        <v>34.706410256410265</v>
      </c>
      <c r="CW15" s="1759" t="s">
        <v>396</v>
      </c>
      <c r="CX15" s="992">
        <f t="shared" si="35"/>
        <v>18729.962818853855</v>
      </c>
      <c r="CY15" s="1759" t="s">
        <v>396</v>
      </c>
      <c r="CZ15" s="992">
        <f t="shared" si="36"/>
        <v>32028.236420240093</v>
      </c>
      <c r="DA15" s="992"/>
      <c r="DB15" s="992">
        <f t="shared" si="37"/>
        <v>539.66868600000009</v>
      </c>
      <c r="DC15" s="1757" t="s">
        <v>396</v>
      </c>
      <c r="DD15" s="1758">
        <f>VLOOKUP($G15,'Quantidades Padrão'!$E$7:$J$103,DD$8,0)</f>
        <v>45.269230769230781</v>
      </c>
      <c r="DE15" s="1759" t="s">
        <v>396</v>
      </c>
      <c r="DF15" s="992">
        <f t="shared" si="38"/>
        <v>24430.386285461547</v>
      </c>
      <c r="DG15" s="1759" t="s">
        <v>396</v>
      </c>
      <c r="DH15" s="992">
        <f t="shared" si="39"/>
        <v>41775.960548139243</v>
      </c>
      <c r="DI15" s="992"/>
      <c r="DJ15" s="992">
        <f t="shared" si="40"/>
        <v>539.66868600000009</v>
      </c>
      <c r="DK15" s="1757" t="s">
        <v>396</v>
      </c>
      <c r="DL15" s="1758">
        <f>VLOOKUP($G15,'Quantidades Padrão'!$E$7:$J$103,DL$8,0)</f>
        <v>24.14358974358975</v>
      </c>
      <c r="DM15" s="1759" t="s">
        <v>396</v>
      </c>
      <c r="DN15" s="992">
        <f t="shared" si="41"/>
        <v>13029.53935224616</v>
      </c>
      <c r="DO15" s="1759" t="s">
        <v>396</v>
      </c>
      <c r="DP15" s="992">
        <f t="shared" si="42"/>
        <v>22280.512292340933</v>
      </c>
      <c r="DQ15" s="992"/>
      <c r="DR15" s="992">
        <f t="shared" si="43"/>
        <v>539.66868600000009</v>
      </c>
      <c r="DS15" s="1757" t="s">
        <v>396</v>
      </c>
      <c r="DT15" s="1758">
        <f>VLOOKUP($G15,'Quantidades Padrão'!$E$7:$J$103,DT$8,0)</f>
        <v>34.706410256410265</v>
      </c>
      <c r="DU15" s="1759" t="s">
        <v>396</v>
      </c>
      <c r="DV15" s="992">
        <f t="shared" si="44"/>
        <v>18729.962818853855</v>
      </c>
      <c r="DW15" s="1759" t="s">
        <v>396</v>
      </c>
      <c r="DX15" s="992">
        <f t="shared" si="45"/>
        <v>32028.236420240093</v>
      </c>
      <c r="DY15" s="992"/>
      <c r="DZ15" s="992">
        <f t="shared" si="46"/>
        <v>548.54868600000009</v>
      </c>
      <c r="EA15" s="1757" t="s">
        <v>396</v>
      </c>
      <c r="EB15" s="1758">
        <f>VLOOKUP($G15,'Quantidades Padrão'!$E$7:$J$103,EB$8,0)</f>
        <v>45.269230769230781</v>
      </c>
      <c r="EC15" s="1759" t="s">
        <v>396</v>
      </c>
      <c r="ED15" s="992">
        <f t="shared" si="47"/>
        <v>24832.377054692319</v>
      </c>
      <c r="EE15" s="1759" t="s">
        <v>396</v>
      </c>
      <c r="EF15" s="992">
        <f t="shared" si="48"/>
        <v>42463.364763523867</v>
      </c>
      <c r="EG15" s="992"/>
      <c r="EH15" s="992">
        <f t="shared" si="49"/>
        <v>548.54868600000009</v>
      </c>
      <c r="EI15" s="1757" t="s">
        <v>396</v>
      </c>
      <c r="EJ15" s="1758">
        <f>VLOOKUP($G15,'Quantidades Padrão'!$E$7:$J$103,EJ$8,0)</f>
        <v>24.14358974358975</v>
      </c>
      <c r="EK15" s="1759" t="s">
        <v>396</v>
      </c>
      <c r="EL15" s="992">
        <f t="shared" si="50"/>
        <v>13243.934429169236</v>
      </c>
      <c r="EM15" s="1759" t="s">
        <v>396</v>
      </c>
      <c r="EN15" s="992">
        <f t="shared" si="51"/>
        <v>22647.127873879392</v>
      </c>
      <c r="EO15" s="992"/>
      <c r="EP15" s="992">
        <f t="shared" si="52"/>
        <v>548.54868600000009</v>
      </c>
      <c r="EQ15" s="1757" t="s">
        <v>396</v>
      </c>
      <c r="ER15" s="1758">
        <f>VLOOKUP($G15,'Quantidades Padrão'!$E$7:$J$103,ER$8,0)</f>
        <v>34.706410256410265</v>
      </c>
      <c r="ES15" s="1759" t="s">
        <v>396</v>
      </c>
      <c r="ET15" s="992">
        <f t="shared" si="53"/>
        <v>19038.155741930776</v>
      </c>
      <c r="EU15" s="1759" t="s">
        <v>396</v>
      </c>
      <c r="EV15" s="992">
        <f t="shared" si="54"/>
        <v>32555.246318701626</v>
      </c>
      <c r="EW15" s="992"/>
      <c r="EX15" s="992">
        <f t="shared" si="55"/>
        <v>548.54868600000009</v>
      </c>
      <c r="EY15" s="1757" t="s">
        <v>396</v>
      </c>
      <c r="EZ15" s="1758">
        <f>VLOOKUP($G15,'Quantidades Padrão'!$E$7:$J$103,EZ$8,0)</f>
        <v>45.269230769230781</v>
      </c>
      <c r="FA15" s="1759" t="s">
        <v>396</v>
      </c>
      <c r="FB15" s="992">
        <f t="shared" si="56"/>
        <v>24832.377054692319</v>
      </c>
      <c r="FC15" s="1759" t="s">
        <v>396</v>
      </c>
      <c r="FD15" s="992">
        <f t="shared" si="57"/>
        <v>42463.364763523867</v>
      </c>
      <c r="FE15" s="992"/>
      <c r="FF15" s="992">
        <f t="shared" si="58"/>
        <v>548.54868600000009</v>
      </c>
      <c r="FG15" s="1757" t="s">
        <v>396</v>
      </c>
      <c r="FH15" s="1758">
        <f>VLOOKUP($G15,'Quantidades Padrão'!$E$7:$J$103,FH$8,0)</f>
        <v>24.14358974358975</v>
      </c>
      <c r="FI15" s="1759" t="s">
        <v>396</v>
      </c>
      <c r="FJ15" s="992">
        <f t="shared" si="59"/>
        <v>13243.934429169236</v>
      </c>
      <c r="FK15" s="1759" t="s">
        <v>396</v>
      </c>
      <c r="FL15" s="992">
        <f t="shared" si="60"/>
        <v>22647.127873879392</v>
      </c>
      <c r="FM15" s="992"/>
      <c r="FN15" s="992">
        <f t="shared" si="61"/>
        <v>571.14868600000011</v>
      </c>
      <c r="FO15" s="1757" t="s">
        <v>396</v>
      </c>
      <c r="FP15" s="1758">
        <f>VLOOKUP($G15,'Quantidades Padrão'!$E$7:$J$103,FP$8,0)</f>
        <v>34.706410256410265</v>
      </c>
      <c r="FQ15" s="1759" t="s">
        <v>396</v>
      </c>
      <c r="FR15" s="992">
        <f t="shared" si="62"/>
        <v>19822.52061372565</v>
      </c>
      <c r="FS15" s="1759" t="s">
        <v>396</v>
      </c>
      <c r="FT15" s="992">
        <f t="shared" si="63"/>
        <v>33896.510249470863</v>
      </c>
      <c r="FU15" s="992"/>
      <c r="FV15" s="992">
        <f t="shared" si="64"/>
        <v>571.14868600000011</v>
      </c>
      <c r="FW15" s="1757" t="s">
        <v>396</v>
      </c>
      <c r="FX15" s="1758">
        <f>VLOOKUP($G15,'Quantidades Padrão'!$E$7:$J$103,FX$8,0)</f>
        <v>45.269230769230781</v>
      </c>
      <c r="FY15" s="1759" t="s">
        <v>396</v>
      </c>
      <c r="FZ15" s="992">
        <f t="shared" si="65"/>
        <v>25855.461670076933</v>
      </c>
      <c r="GA15" s="1759" t="s">
        <v>396</v>
      </c>
      <c r="GB15" s="992">
        <f t="shared" si="66"/>
        <v>44212.839455831556</v>
      </c>
      <c r="GC15" s="992"/>
      <c r="GD15" s="992">
        <f t="shared" si="67"/>
        <v>571.14868600000011</v>
      </c>
      <c r="GE15" s="1757" t="s">
        <v>396</v>
      </c>
      <c r="GF15" s="1758">
        <f>VLOOKUP($G15,'Quantidades Padrão'!$E$7:$J$103,GF$8,0)</f>
        <v>24.14358974358975</v>
      </c>
      <c r="GG15" s="1759" t="s">
        <v>396</v>
      </c>
      <c r="GH15" s="992">
        <f t="shared" si="68"/>
        <v>13789.579557374365</v>
      </c>
      <c r="GI15" s="1759" t="s">
        <v>396</v>
      </c>
      <c r="GJ15" s="992">
        <f t="shared" si="69"/>
        <v>23580.181043110166</v>
      </c>
      <c r="GK15" s="992"/>
      <c r="GL15" s="992">
        <f t="shared" si="70"/>
        <v>571.14868600000011</v>
      </c>
      <c r="GM15" s="1757" t="s">
        <v>396</v>
      </c>
      <c r="GN15" s="1758">
        <f>VLOOKUP($G15,'Quantidades Padrão'!$E$7:$J$103,GN$8,0)</f>
        <v>34.706410256410265</v>
      </c>
      <c r="GO15" s="1759" t="s">
        <v>396</v>
      </c>
      <c r="GP15" s="992">
        <f t="shared" si="71"/>
        <v>19822.52061372565</v>
      </c>
      <c r="GQ15" s="1759" t="s">
        <v>396</v>
      </c>
      <c r="GR15" s="992">
        <f t="shared" si="72"/>
        <v>33896.510249470863</v>
      </c>
      <c r="GS15" s="992"/>
      <c r="GT15" s="992">
        <f t="shared" si="73"/>
        <v>571.14868600000011</v>
      </c>
      <c r="GU15" s="1757" t="s">
        <v>396</v>
      </c>
      <c r="GV15" s="1758">
        <f>VLOOKUP($G15,'Quantidades Padrão'!$E$7:$J$103,GV$8,0)</f>
        <v>45.269230769230781</v>
      </c>
      <c r="GW15" s="1759" t="s">
        <v>396</v>
      </c>
      <c r="GX15" s="992">
        <f t="shared" si="74"/>
        <v>25855.461670076933</v>
      </c>
      <c r="GY15" s="1759" t="s">
        <v>396</v>
      </c>
      <c r="GZ15" s="992">
        <f t="shared" si="75"/>
        <v>44212.839455831556</v>
      </c>
      <c r="HA15" s="992"/>
      <c r="HB15" s="992">
        <f t="shared" si="76"/>
        <v>575.58868600000005</v>
      </c>
      <c r="HC15" s="1757" t="s">
        <v>396</v>
      </c>
      <c r="HD15" s="1758">
        <f>VLOOKUP($G15,'Quantidades Padrão'!$E$7:$J$103,HD$8,0)</f>
        <v>24.14358974358975</v>
      </c>
      <c r="HE15" s="1759" t="s">
        <v>396</v>
      </c>
      <c r="HF15" s="992">
        <f t="shared" si="77"/>
        <v>13896.777095835903</v>
      </c>
      <c r="HG15" s="1759" t="s">
        <v>396</v>
      </c>
      <c r="HH15" s="992">
        <f t="shared" si="78"/>
        <v>23763.488833879393</v>
      </c>
      <c r="HI15" s="992"/>
      <c r="HJ15" s="992">
        <f t="shared" si="79"/>
        <v>575.58868600000005</v>
      </c>
      <c r="HK15" s="1757" t="s">
        <v>396</v>
      </c>
      <c r="HL15" s="1758">
        <f>VLOOKUP($G15,'Quantidades Padrão'!$E$7:$J$103,HL$8,0)</f>
        <v>34.706410256410265</v>
      </c>
      <c r="HM15" s="1759" t="s">
        <v>396</v>
      </c>
      <c r="HN15" s="992">
        <f t="shared" si="80"/>
        <v>19976.617075264108</v>
      </c>
      <c r="HO15" s="1759" t="s">
        <v>396</v>
      </c>
      <c r="HP15" s="992">
        <f t="shared" si="81"/>
        <v>34160.015198701622</v>
      </c>
      <c r="HQ15" s="992"/>
      <c r="HR15" s="992">
        <f t="shared" si="82"/>
        <v>575.58868600000005</v>
      </c>
      <c r="HS15" s="1757" t="s">
        <v>396</v>
      </c>
      <c r="HT15" s="1758">
        <f>VLOOKUP($G15,'Quantidades Padrão'!$E$7:$J$103,HT$8,0)</f>
        <v>45.269230769230781</v>
      </c>
      <c r="HU15" s="1759" t="s">
        <v>396</v>
      </c>
      <c r="HV15" s="992">
        <f t="shared" si="83"/>
        <v>26056.457054692317</v>
      </c>
      <c r="HW15" s="1759" t="s">
        <v>396</v>
      </c>
      <c r="HX15" s="992">
        <f t="shared" si="84"/>
        <v>44556.541563523861</v>
      </c>
      <c r="HY15" s="992"/>
      <c r="HZ15" s="992">
        <f t="shared" si="85"/>
        <v>575.58868600000005</v>
      </c>
      <c r="IA15" s="1757" t="s">
        <v>396</v>
      </c>
      <c r="IB15" s="1758">
        <f>VLOOKUP($G15,'Quantidades Padrão'!$E$7:$J$103,IB$8,0)</f>
        <v>24.14358974358975</v>
      </c>
      <c r="IC15" s="1759" t="s">
        <v>396</v>
      </c>
      <c r="ID15" s="992">
        <f t="shared" si="86"/>
        <v>13896.777095835903</v>
      </c>
      <c r="IE15" s="1759" t="s">
        <v>396</v>
      </c>
      <c r="IF15" s="992">
        <f t="shared" si="87"/>
        <v>23763.488833879393</v>
      </c>
      <c r="IG15" s="992"/>
      <c r="IH15" s="992">
        <f t="shared" si="88"/>
        <v>575.58868600000005</v>
      </c>
      <c r="II15" s="1757" t="s">
        <v>396</v>
      </c>
      <c r="IJ15" s="1758">
        <f>VLOOKUP($G15,'Quantidades Padrão'!$E$7:$J$103,IJ$8,0)</f>
        <v>34.706410256410265</v>
      </c>
      <c r="IK15" s="1759" t="s">
        <v>396</v>
      </c>
      <c r="IL15" s="992">
        <f t="shared" si="89"/>
        <v>19976.617075264108</v>
      </c>
      <c r="IM15" s="1759" t="s">
        <v>396</v>
      </c>
      <c r="IN15" s="992">
        <f t="shared" si="90"/>
        <v>34160.015198701622</v>
      </c>
      <c r="IO15" s="992"/>
    </row>
    <row r="16" spans="1:261" s="341" customFormat="1" ht="27" customHeight="1">
      <c r="A16" s="1753"/>
      <c r="B16" s="1754"/>
      <c r="C16" s="1755"/>
      <c r="D16" s="1013">
        <f>VLOOKUP(E16,'DER MG'!$D$5:$I$150,6,0)</f>
        <v>1.49</v>
      </c>
      <c r="E16" s="1017">
        <v>41344</v>
      </c>
      <c r="F16" s="1756"/>
      <c r="G16" s="1018" t="s">
        <v>399</v>
      </c>
      <c r="H16" s="992">
        <f t="shared" si="5"/>
        <v>5967882.6948159682</v>
      </c>
      <c r="I16" s="992">
        <v>364</v>
      </c>
      <c r="J16" s="1757" t="s">
        <v>396</v>
      </c>
      <c r="K16" s="1758">
        <f>VLOOKUP($G16,'Quantidades Padrão'!$E$7:$J$103,K$8,0)</f>
        <v>176.41282051282056</v>
      </c>
      <c r="L16" s="1759" t="s">
        <v>396</v>
      </c>
      <c r="M16" s="992">
        <f t="shared" si="6"/>
        <v>64214.266666666685</v>
      </c>
      <c r="N16" s="1759" t="s">
        <v>396</v>
      </c>
      <c r="O16" s="992">
        <f t="shared" si="7"/>
        <v>95679.257333333357</v>
      </c>
      <c r="P16" s="992"/>
      <c r="Q16" s="1760">
        <f t="shared" si="0"/>
        <v>1.5414012153433587E-2</v>
      </c>
      <c r="R16" s="992">
        <f t="shared" si="8"/>
        <v>500</v>
      </c>
      <c r="S16" s="1757" t="s">
        <v>396</v>
      </c>
      <c r="T16" s="1758">
        <f>VLOOKUP($G16,'Quantidades Padrão'!$E$7:$J$103,T$8,0)</f>
        <v>176.41282051282056</v>
      </c>
      <c r="U16" s="1759" t="s">
        <v>396</v>
      </c>
      <c r="V16" s="992">
        <f t="shared" si="9"/>
        <v>88206.41025641028</v>
      </c>
      <c r="W16" s="1759" t="s">
        <v>396</v>
      </c>
      <c r="X16" s="992">
        <f t="shared" si="1"/>
        <v>131427.55128205131</v>
      </c>
      <c r="Y16" s="992"/>
      <c r="Z16" s="992">
        <f t="shared" si="10"/>
        <v>500</v>
      </c>
      <c r="AA16" s="1757" t="s">
        <v>396</v>
      </c>
      <c r="AB16" s="1758">
        <f>VLOOKUP($G16,'Quantidades Padrão'!$E$7:$J$103,AB$8,0)</f>
        <v>330.77403846153851</v>
      </c>
      <c r="AC16" s="1759" t="s">
        <v>396</v>
      </c>
      <c r="AD16" s="992">
        <f t="shared" si="11"/>
        <v>165387.01923076925</v>
      </c>
      <c r="AE16" s="1759" t="s">
        <v>396</v>
      </c>
      <c r="AF16" s="992">
        <f t="shared" si="2"/>
        <v>246426.65865384619</v>
      </c>
      <c r="AG16" s="992"/>
      <c r="AH16" s="992">
        <f t="shared" si="12"/>
        <v>500</v>
      </c>
      <c r="AI16" s="1757" t="s">
        <v>396</v>
      </c>
      <c r="AJ16" s="1758">
        <f>VLOOKUP($G16,'Quantidades Padrão'!$E$7:$J$103,AJ$8,0)</f>
        <v>176.41282051282056</v>
      </c>
      <c r="AK16" s="1759" t="s">
        <v>396</v>
      </c>
      <c r="AL16" s="992">
        <f t="shared" si="13"/>
        <v>88206.41025641028</v>
      </c>
      <c r="AM16" s="1759" t="s">
        <v>396</v>
      </c>
      <c r="AN16" s="992">
        <f t="shared" si="3"/>
        <v>131427.55128205131</v>
      </c>
      <c r="AO16" s="992"/>
      <c r="AP16" s="992">
        <f t="shared" si="14"/>
        <v>500</v>
      </c>
      <c r="AQ16" s="1757" t="s">
        <v>396</v>
      </c>
      <c r="AR16" s="1758">
        <f>VLOOKUP($G16,'Quantidades Padrão'!$E$7:$J$103,AR$8,0)</f>
        <v>176.41282051282056</v>
      </c>
      <c r="AS16" s="1759" t="s">
        <v>396</v>
      </c>
      <c r="AT16" s="992">
        <f t="shared" si="15"/>
        <v>88206.41025641028</v>
      </c>
      <c r="AU16" s="1759" t="s">
        <v>396</v>
      </c>
      <c r="AV16" s="992">
        <f t="shared" si="4"/>
        <v>131427.55128205131</v>
      </c>
      <c r="AW16" s="992"/>
      <c r="AX16" s="992">
        <f t="shared" si="16"/>
        <v>513.17434300000002</v>
      </c>
      <c r="AY16" s="1757" t="s">
        <v>396</v>
      </c>
      <c r="AZ16" s="1758">
        <f>VLOOKUP($G16,'Quantidades Padrão'!$E$7:$J$103,AZ$8,0)</f>
        <v>253.59342948717955</v>
      </c>
      <c r="BA16" s="1759" t="s">
        <v>396</v>
      </c>
      <c r="BB16" s="992">
        <f t="shared" si="17"/>
        <v>130137.6415662002</v>
      </c>
      <c r="BC16" s="1759" t="s">
        <v>396</v>
      </c>
      <c r="BD16" s="992">
        <f t="shared" si="18"/>
        <v>193905.0859336383</v>
      </c>
      <c r="BE16" s="992"/>
      <c r="BF16" s="992">
        <f t="shared" si="19"/>
        <v>539.66868600000009</v>
      </c>
      <c r="BG16" s="1757" t="s">
        <v>396</v>
      </c>
      <c r="BH16" s="1758">
        <f>VLOOKUP($G16,'Quantidades Padrão'!$E$7:$J$103,BH$8,0)</f>
        <v>330.77403846153851</v>
      </c>
      <c r="BI16" s="1759" t="s">
        <v>396</v>
      </c>
      <c r="BJ16" s="992">
        <f t="shared" si="20"/>
        <v>178508.39069945199</v>
      </c>
      <c r="BK16" s="1759" t="s">
        <v>396</v>
      </c>
      <c r="BL16" s="992">
        <f t="shared" si="21"/>
        <v>265977.50214218348</v>
      </c>
      <c r="BM16" s="992"/>
      <c r="BN16" s="992">
        <f t="shared" si="22"/>
        <v>539.66868600000009</v>
      </c>
      <c r="BO16" s="1757" t="s">
        <v>396</v>
      </c>
      <c r="BP16" s="1758">
        <f>VLOOKUP($G16,'Quantidades Padrão'!$E$7:$J$103,BP$8,0)</f>
        <v>176.41282051282056</v>
      </c>
      <c r="BQ16" s="1759" t="s">
        <v>396</v>
      </c>
      <c r="BR16" s="992">
        <f t="shared" si="23"/>
        <v>95204.47503970773</v>
      </c>
      <c r="BS16" s="1759" t="s">
        <v>396</v>
      </c>
      <c r="BT16" s="992">
        <f t="shared" si="24"/>
        <v>141854.66780916453</v>
      </c>
      <c r="BU16" s="992"/>
      <c r="BV16" s="992">
        <f t="shared" si="25"/>
        <v>539.66868600000009</v>
      </c>
      <c r="BW16" s="1757" t="s">
        <v>396</v>
      </c>
      <c r="BX16" s="1758">
        <f>VLOOKUP($G16,'Quantidades Padrão'!$E$7:$J$103,BX$8,0)</f>
        <v>253.59342948717955</v>
      </c>
      <c r="BY16" s="1759" t="s">
        <v>396</v>
      </c>
      <c r="BZ16" s="992">
        <f t="shared" si="26"/>
        <v>136856.43286957988</v>
      </c>
      <c r="CA16" s="1759" t="s">
        <v>396</v>
      </c>
      <c r="CB16" s="992">
        <f t="shared" si="27"/>
        <v>203916.08497567402</v>
      </c>
      <c r="CC16" s="992"/>
      <c r="CD16" s="992">
        <f t="shared" si="28"/>
        <v>539.66868600000009</v>
      </c>
      <c r="CE16" s="1757" t="s">
        <v>396</v>
      </c>
      <c r="CF16" s="1758">
        <f>VLOOKUP($G16,'Quantidades Padrão'!$E$7:$J$103,CF$8,0)</f>
        <v>330.77403846153851</v>
      </c>
      <c r="CG16" s="1759" t="s">
        <v>396</v>
      </c>
      <c r="CH16" s="992">
        <f t="shared" si="29"/>
        <v>178508.39069945199</v>
      </c>
      <c r="CI16" s="1759" t="s">
        <v>396</v>
      </c>
      <c r="CJ16" s="992">
        <f t="shared" si="30"/>
        <v>265977.50214218348</v>
      </c>
      <c r="CK16" s="992"/>
      <c r="CL16" s="992">
        <f t="shared" si="31"/>
        <v>539.66868600000009</v>
      </c>
      <c r="CM16" s="1757" t="s">
        <v>396</v>
      </c>
      <c r="CN16" s="1758">
        <f>VLOOKUP($G16,'Quantidades Padrão'!$E$7:$J$103,CN$8,0)</f>
        <v>176.41282051282056</v>
      </c>
      <c r="CO16" s="1759" t="s">
        <v>396</v>
      </c>
      <c r="CP16" s="992">
        <f t="shared" si="32"/>
        <v>95204.47503970773</v>
      </c>
      <c r="CQ16" s="1759" t="s">
        <v>396</v>
      </c>
      <c r="CR16" s="992">
        <f t="shared" si="33"/>
        <v>141854.66780916453</v>
      </c>
      <c r="CS16" s="992"/>
      <c r="CT16" s="992">
        <f t="shared" si="34"/>
        <v>539.66868600000009</v>
      </c>
      <c r="CU16" s="1757" t="s">
        <v>396</v>
      </c>
      <c r="CV16" s="1758">
        <f>VLOOKUP($G16,'Quantidades Padrão'!$E$7:$J$103,CV$8,0)</f>
        <v>253.59342948717955</v>
      </c>
      <c r="CW16" s="1759" t="s">
        <v>396</v>
      </c>
      <c r="CX16" s="992">
        <f t="shared" si="35"/>
        <v>136856.43286957988</v>
      </c>
      <c r="CY16" s="1759" t="s">
        <v>396</v>
      </c>
      <c r="CZ16" s="992">
        <f t="shared" si="36"/>
        <v>203916.08497567402</v>
      </c>
      <c r="DA16" s="992"/>
      <c r="DB16" s="992">
        <f t="shared" si="37"/>
        <v>539.66868600000009</v>
      </c>
      <c r="DC16" s="1757" t="s">
        <v>396</v>
      </c>
      <c r="DD16" s="1758">
        <f>VLOOKUP($G16,'Quantidades Padrão'!$E$7:$J$103,DD$8,0)</f>
        <v>330.77403846153851</v>
      </c>
      <c r="DE16" s="1759" t="s">
        <v>396</v>
      </c>
      <c r="DF16" s="992">
        <f t="shared" si="38"/>
        <v>178508.39069945199</v>
      </c>
      <c r="DG16" s="1759" t="s">
        <v>396</v>
      </c>
      <c r="DH16" s="992">
        <f t="shared" si="39"/>
        <v>265977.50214218348</v>
      </c>
      <c r="DI16" s="992"/>
      <c r="DJ16" s="992">
        <f t="shared" si="40"/>
        <v>539.66868600000009</v>
      </c>
      <c r="DK16" s="1757" t="s">
        <v>396</v>
      </c>
      <c r="DL16" s="1758">
        <f>VLOOKUP($G16,'Quantidades Padrão'!$E$7:$J$103,DL$8,0)</f>
        <v>176.41282051282056</v>
      </c>
      <c r="DM16" s="1759" t="s">
        <v>396</v>
      </c>
      <c r="DN16" s="992">
        <f t="shared" si="41"/>
        <v>95204.47503970773</v>
      </c>
      <c r="DO16" s="1759" t="s">
        <v>396</v>
      </c>
      <c r="DP16" s="992">
        <f t="shared" si="42"/>
        <v>141854.66780916453</v>
      </c>
      <c r="DQ16" s="992"/>
      <c r="DR16" s="992">
        <f t="shared" si="43"/>
        <v>539.66868600000009</v>
      </c>
      <c r="DS16" s="1757" t="s">
        <v>396</v>
      </c>
      <c r="DT16" s="1758">
        <f>VLOOKUP($G16,'Quantidades Padrão'!$E$7:$J$103,DT$8,0)</f>
        <v>253.59342948717955</v>
      </c>
      <c r="DU16" s="1759" t="s">
        <v>396</v>
      </c>
      <c r="DV16" s="992">
        <f t="shared" si="44"/>
        <v>136856.43286957988</v>
      </c>
      <c r="DW16" s="1759" t="s">
        <v>396</v>
      </c>
      <c r="DX16" s="992">
        <f t="shared" si="45"/>
        <v>203916.08497567402</v>
      </c>
      <c r="DY16" s="992"/>
      <c r="DZ16" s="992">
        <f t="shared" si="46"/>
        <v>548.54868600000009</v>
      </c>
      <c r="EA16" s="1757" t="s">
        <v>396</v>
      </c>
      <c r="EB16" s="1758">
        <f>VLOOKUP($G16,'Quantidades Padrão'!$E$7:$J$103,EB$8,0)</f>
        <v>330.77403846153851</v>
      </c>
      <c r="EC16" s="1759" t="s">
        <v>396</v>
      </c>
      <c r="ED16" s="992">
        <f t="shared" si="47"/>
        <v>181445.66416099045</v>
      </c>
      <c r="EE16" s="1759" t="s">
        <v>396</v>
      </c>
      <c r="EF16" s="992">
        <f t="shared" si="48"/>
        <v>270354.03959987574</v>
      </c>
      <c r="EG16" s="992"/>
      <c r="EH16" s="992">
        <f t="shared" si="49"/>
        <v>548.54868600000009</v>
      </c>
      <c r="EI16" s="1757" t="s">
        <v>396</v>
      </c>
      <c r="EJ16" s="1758">
        <f>VLOOKUP($G16,'Quantidades Padrão'!$E$7:$J$103,EJ$8,0)</f>
        <v>176.41282051282056</v>
      </c>
      <c r="EK16" s="1759" t="s">
        <v>396</v>
      </c>
      <c r="EL16" s="992">
        <f t="shared" si="50"/>
        <v>96771.020885861581</v>
      </c>
      <c r="EM16" s="1759" t="s">
        <v>396</v>
      </c>
      <c r="EN16" s="992">
        <f t="shared" si="51"/>
        <v>144188.82111993377</v>
      </c>
      <c r="EO16" s="992"/>
      <c r="EP16" s="992">
        <f t="shared" si="52"/>
        <v>548.54868600000009</v>
      </c>
      <c r="EQ16" s="1757" t="s">
        <v>396</v>
      </c>
      <c r="ER16" s="1758">
        <f>VLOOKUP($G16,'Quantidades Padrão'!$E$7:$J$103,ER$8,0)</f>
        <v>253.59342948717955</v>
      </c>
      <c r="ES16" s="1759" t="s">
        <v>396</v>
      </c>
      <c r="ET16" s="992">
        <f t="shared" si="53"/>
        <v>139108.34252342602</v>
      </c>
      <c r="EU16" s="1759" t="s">
        <v>396</v>
      </c>
      <c r="EV16" s="992">
        <f t="shared" si="54"/>
        <v>207271.43035990477</v>
      </c>
      <c r="EW16" s="992"/>
      <c r="EX16" s="992">
        <f t="shared" si="55"/>
        <v>548.54868600000009</v>
      </c>
      <c r="EY16" s="1757" t="s">
        <v>396</v>
      </c>
      <c r="EZ16" s="1758">
        <f>VLOOKUP($G16,'Quantidades Padrão'!$E$7:$J$103,EZ$8,0)</f>
        <v>330.77403846153851</v>
      </c>
      <c r="FA16" s="1759" t="s">
        <v>396</v>
      </c>
      <c r="FB16" s="992">
        <f t="shared" si="56"/>
        <v>181445.66416099045</v>
      </c>
      <c r="FC16" s="1759" t="s">
        <v>396</v>
      </c>
      <c r="FD16" s="992">
        <f t="shared" si="57"/>
        <v>270354.03959987574</v>
      </c>
      <c r="FE16" s="992"/>
      <c r="FF16" s="992">
        <f t="shared" si="58"/>
        <v>548.54868600000009</v>
      </c>
      <c r="FG16" s="1757" t="s">
        <v>396</v>
      </c>
      <c r="FH16" s="1758">
        <f>VLOOKUP($G16,'Quantidades Padrão'!$E$7:$J$103,FH$8,0)</f>
        <v>176.41282051282056</v>
      </c>
      <c r="FI16" s="1759" t="s">
        <v>396</v>
      </c>
      <c r="FJ16" s="992">
        <f t="shared" si="59"/>
        <v>96771.020885861581</v>
      </c>
      <c r="FK16" s="1759" t="s">
        <v>396</v>
      </c>
      <c r="FL16" s="992">
        <f t="shared" si="60"/>
        <v>144188.82111993377</v>
      </c>
      <c r="FM16" s="992"/>
      <c r="FN16" s="992">
        <f t="shared" si="61"/>
        <v>571.14868600000011</v>
      </c>
      <c r="FO16" s="1757" t="s">
        <v>396</v>
      </c>
      <c r="FP16" s="1758">
        <f>VLOOKUP($G16,'Quantidades Padrão'!$E$7:$J$103,FP$8,0)</f>
        <v>253.59342948717955</v>
      </c>
      <c r="FQ16" s="1759" t="s">
        <v>396</v>
      </c>
      <c r="FR16" s="992">
        <f t="shared" si="62"/>
        <v>144839.55402983629</v>
      </c>
      <c r="FS16" s="1759" t="s">
        <v>396</v>
      </c>
      <c r="FT16" s="992">
        <f t="shared" si="63"/>
        <v>215810.93550445608</v>
      </c>
      <c r="FU16" s="992"/>
      <c r="FV16" s="992">
        <f t="shared" si="64"/>
        <v>571.14868600000011</v>
      </c>
      <c r="FW16" s="1757" t="s">
        <v>396</v>
      </c>
      <c r="FX16" s="1758">
        <f>VLOOKUP($G16,'Quantidades Padrão'!$E$7:$J$103,FX$8,0)</f>
        <v>330.77403846153851</v>
      </c>
      <c r="FY16" s="1759" t="s">
        <v>396</v>
      </c>
      <c r="FZ16" s="992">
        <f t="shared" si="65"/>
        <v>188921.15743022121</v>
      </c>
      <c r="GA16" s="1759" t="s">
        <v>396</v>
      </c>
      <c r="GB16" s="992">
        <f t="shared" si="66"/>
        <v>281492.52457102959</v>
      </c>
      <c r="GC16" s="992"/>
      <c r="GD16" s="992">
        <f t="shared" si="67"/>
        <v>571.14868600000011</v>
      </c>
      <c r="GE16" s="1757" t="s">
        <v>396</v>
      </c>
      <c r="GF16" s="1758">
        <f>VLOOKUP($G16,'Quantidades Padrão'!$E$7:$J$103,GF$8,0)</f>
        <v>176.41282051282056</v>
      </c>
      <c r="GG16" s="1759" t="s">
        <v>396</v>
      </c>
      <c r="GH16" s="992">
        <f t="shared" si="68"/>
        <v>100757.95062945133</v>
      </c>
      <c r="GI16" s="1759" t="s">
        <v>396</v>
      </c>
      <c r="GJ16" s="992">
        <f t="shared" si="69"/>
        <v>150129.34643788249</v>
      </c>
      <c r="GK16" s="992"/>
      <c r="GL16" s="992">
        <f t="shared" si="70"/>
        <v>571.14868600000011</v>
      </c>
      <c r="GM16" s="1757" t="s">
        <v>396</v>
      </c>
      <c r="GN16" s="1758">
        <f>VLOOKUP($G16,'Quantidades Padrão'!$E$7:$J$103,GN$8,0)</f>
        <v>253.59342948717955</v>
      </c>
      <c r="GO16" s="1759" t="s">
        <v>396</v>
      </c>
      <c r="GP16" s="992">
        <f t="shared" si="71"/>
        <v>144839.55402983629</v>
      </c>
      <c r="GQ16" s="1759" t="s">
        <v>396</v>
      </c>
      <c r="GR16" s="992">
        <f t="shared" si="72"/>
        <v>215810.93550445608</v>
      </c>
      <c r="GS16" s="992"/>
      <c r="GT16" s="992">
        <f t="shared" si="73"/>
        <v>571.14868600000011</v>
      </c>
      <c r="GU16" s="1757" t="s">
        <v>396</v>
      </c>
      <c r="GV16" s="1758">
        <f>VLOOKUP($G16,'Quantidades Padrão'!$E$7:$J$103,GV$8,0)</f>
        <v>330.77403846153851</v>
      </c>
      <c r="GW16" s="1759" t="s">
        <v>396</v>
      </c>
      <c r="GX16" s="992">
        <f t="shared" si="74"/>
        <v>188921.15743022121</v>
      </c>
      <c r="GY16" s="1759" t="s">
        <v>396</v>
      </c>
      <c r="GZ16" s="992">
        <f t="shared" si="75"/>
        <v>281492.52457102959</v>
      </c>
      <c r="HA16" s="992"/>
      <c r="HB16" s="992">
        <f t="shared" si="76"/>
        <v>575.58868600000005</v>
      </c>
      <c r="HC16" s="1757" t="s">
        <v>396</v>
      </c>
      <c r="HD16" s="1758">
        <f>VLOOKUP($G16,'Quantidades Padrão'!$E$7:$J$103,HD$8,0)</f>
        <v>176.41282051282056</v>
      </c>
      <c r="HE16" s="1759" t="s">
        <v>396</v>
      </c>
      <c r="HF16" s="992">
        <f t="shared" si="77"/>
        <v>101541.22355252824</v>
      </c>
      <c r="HG16" s="1759" t="s">
        <v>396</v>
      </c>
      <c r="HH16" s="992">
        <f t="shared" si="78"/>
        <v>151296.42309326708</v>
      </c>
      <c r="HI16" s="992"/>
      <c r="HJ16" s="992">
        <f t="shared" si="79"/>
        <v>575.58868600000005</v>
      </c>
      <c r="HK16" s="1757" t="s">
        <v>396</v>
      </c>
      <c r="HL16" s="1758">
        <f>VLOOKUP($G16,'Quantidades Padrão'!$E$7:$J$103,HL$8,0)</f>
        <v>253.59342948717955</v>
      </c>
      <c r="HM16" s="1759" t="s">
        <v>396</v>
      </c>
      <c r="HN16" s="992">
        <f t="shared" si="80"/>
        <v>145965.50885675935</v>
      </c>
      <c r="HO16" s="1759" t="s">
        <v>396</v>
      </c>
      <c r="HP16" s="992">
        <f t="shared" si="81"/>
        <v>217488.60819657144</v>
      </c>
      <c r="HQ16" s="992"/>
      <c r="HR16" s="992">
        <f t="shared" si="82"/>
        <v>575.58868600000005</v>
      </c>
      <c r="HS16" s="1757" t="s">
        <v>396</v>
      </c>
      <c r="HT16" s="1758">
        <f>VLOOKUP($G16,'Quantidades Padrão'!$E$7:$J$103,HT$8,0)</f>
        <v>330.77403846153851</v>
      </c>
      <c r="HU16" s="1759" t="s">
        <v>396</v>
      </c>
      <c r="HV16" s="992">
        <f t="shared" si="83"/>
        <v>190389.79416099042</v>
      </c>
      <c r="HW16" s="1759" t="s">
        <v>396</v>
      </c>
      <c r="HX16" s="992">
        <f t="shared" si="84"/>
        <v>283680.79329987575</v>
      </c>
      <c r="HY16" s="992"/>
      <c r="HZ16" s="992">
        <f t="shared" si="85"/>
        <v>575.58868600000005</v>
      </c>
      <c r="IA16" s="1757" t="s">
        <v>396</v>
      </c>
      <c r="IB16" s="1758">
        <f>VLOOKUP($G16,'Quantidades Padrão'!$E$7:$J$103,IB$8,0)</f>
        <v>176.41282051282056</v>
      </c>
      <c r="IC16" s="1759" t="s">
        <v>396</v>
      </c>
      <c r="ID16" s="992">
        <f t="shared" si="86"/>
        <v>101541.22355252824</v>
      </c>
      <c r="IE16" s="1759" t="s">
        <v>396</v>
      </c>
      <c r="IF16" s="992">
        <f t="shared" si="87"/>
        <v>151296.42309326708</v>
      </c>
      <c r="IG16" s="992"/>
      <c r="IH16" s="992">
        <f t="shared" si="88"/>
        <v>575.58868600000005</v>
      </c>
      <c r="II16" s="1757" t="s">
        <v>396</v>
      </c>
      <c r="IJ16" s="1758">
        <f>VLOOKUP($G16,'Quantidades Padrão'!$E$7:$J$103,IJ$8,0)</f>
        <v>253.59342948717955</v>
      </c>
      <c r="IK16" s="1759" t="s">
        <v>396</v>
      </c>
      <c r="IL16" s="992">
        <f t="shared" si="89"/>
        <v>145965.50885675935</v>
      </c>
      <c r="IM16" s="1759" t="s">
        <v>396</v>
      </c>
      <c r="IN16" s="992">
        <f t="shared" si="90"/>
        <v>217488.60819657144</v>
      </c>
      <c r="IO16" s="992"/>
    </row>
    <row r="17" spans="1:249" s="341" customFormat="1" ht="27" customHeight="1">
      <c r="A17" s="1753"/>
      <c r="B17" s="1754"/>
      <c r="C17" s="1755"/>
      <c r="D17" s="1013">
        <f>VLOOKUP(E17,'DER MG'!$D$5:$I$150,6,0)</f>
        <v>2.62</v>
      </c>
      <c r="E17" s="1017">
        <v>41361</v>
      </c>
      <c r="F17" s="1756"/>
      <c r="G17" s="1018" t="s">
        <v>400</v>
      </c>
      <c r="H17" s="992">
        <f t="shared" si="5"/>
        <v>24134610.600079689</v>
      </c>
      <c r="I17" s="992">
        <v>364</v>
      </c>
      <c r="J17" s="1757" t="s">
        <v>401</v>
      </c>
      <c r="K17" s="1758">
        <f>VLOOKUP($G17,'Quantidades Padrão'!$E$7:$J$103,K$8,0)</f>
        <v>405.72814814814819</v>
      </c>
      <c r="L17" s="1759" t="s">
        <v>401</v>
      </c>
      <c r="M17" s="992">
        <f t="shared" si="6"/>
        <v>147685.04592592595</v>
      </c>
      <c r="N17" s="1759" t="s">
        <v>401</v>
      </c>
      <c r="O17" s="992">
        <f t="shared" si="7"/>
        <v>386934.820325926</v>
      </c>
      <c r="P17" s="992"/>
      <c r="Q17" s="1760">
        <f t="shared" si="0"/>
        <v>6.2335538436632615E-2</v>
      </c>
      <c r="R17" s="992">
        <f t="shared" si="8"/>
        <v>500</v>
      </c>
      <c r="S17" s="1757" t="s">
        <v>401</v>
      </c>
      <c r="T17" s="1758">
        <f>VLOOKUP($G17,'Quantidades Padrão'!$E$7:$J$103,T$8,0)</f>
        <v>405.72814814814819</v>
      </c>
      <c r="U17" s="1759" t="s">
        <v>401</v>
      </c>
      <c r="V17" s="992">
        <f t="shared" si="9"/>
        <v>202864.0740740741</v>
      </c>
      <c r="W17" s="1759" t="s">
        <v>401</v>
      </c>
      <c r="X17" s="992">
        <f t="shared" si="1"/>
        <v>531503.87407407421</v>
      </c>
      <c r="Y17" s="992"/>
      <c r="Z17" s="992">
        <f t="shared" si="10"/>
        <v>500</v>
      </c>
      <c r="AA17" s="1757" t="s">
        <v>401</v>
      </c>
      <c r="AB17" s="1758">
        <f>VLOOKUP($G17,'Quantidades Padrão'!$E$7:$J$103,AB$8,0)</f>
        <v>760.74027777777792</v>
      </c>
      <c r="AC17" s="1759" t="s">
        <v>401</v>
      </c>
      <c r="AD17" s="992">
        <f t="shared" si="11"/>
        <v>380370.13888888893</v>
      </c>
      <c r="AE17" s="1759" t="s">
        <v>401</v>
      </c>
      <c r="AF17" s="992">
        <f t="shared" si="2"/>
        <v>996569.76388888899</v>
      </c>
      <c r="AG17" s="992"/>
      <c r="AH17" s="992">
        <f t="shared" si="12"/>
        <v>500</v>
      </c>
      <c r="AI17" s="1757" t="s">
        <v>401</v>
      </c>
      <c r="AJ17" s="1758">
        <f>VLOOKUP($G17,'Quantidades Padrão'!$E$7:$J$103,AJ$8,0)</f>
        <v>405.72814814814819</v>
      </c>
      <c r="AK17" s="1759" t="s">
        <v>401</v>
      </c>
      <c r="AL17" s="992">
        <f t="shared" si="13"/>
        <v>202864.0740740741</v>
      </c>
      <c r="AM17" s="1759" t="s">
        <v>401</v>
      </c>
      <c r="AN17" s="992">
        <f t="shared" si="3"/>
        <v>531503.87407407421</v>
      </c>
      <c r="AO17" s="992"/>
      <c r="AP17" s="992">
        <f t="shared" si="14"/>
        <v>500</v>
      </c>
      <c r="AQ17" s="1757" t="s">
        <v>401</v>
      </c>
      <c r="AR17" s="1758">
        <f>VLOOKUP($G17,'Quantidades Padrão'!$E$7:$J$103,AR$8,0)</f>
        <v>405.72814814814819</v>
      </c>
      <c r="AS17" s="1759" t="s">
        <v>401</v>
      </c>
      <c r="AT17" s="992">
        <f t="shared" si="15"/>
        <v>202864.0740740741</v>
      </c>
      <c r="AU17" s="1759" t="s">
        <v>401</v>
      </c>
      <c r="AV17" s="992">
        <f t="shared" si="4"/>
        <v>531503.87407407421</v>
      </c>
      <c r="AW17" s="992"/>
      <c r="AX17" s="992">
        <f t="shared" si="16"/>
        <v>513.17434300000002</v>
      </c>
      <c r="AY17" s="1757" t="s">
        <v>401</v>
      </c>
      <c r="AZ17" s="1758">
        <f>VLOOKUP($G17,'Quantidades Padrão'!$E$7:$J$103,AZ$8,0)</f>
        <v>583.23421296296294</v>
      </c>
      <c r="BA17" s="1759" t="s">
        <v>401</v>
      </c>
      <c r="BB17" s="992">
        <f t="shared" si="17"/>
        <v>299300.83405239059</v>
      </c>
      <c r="BC17" s="1759" t="s">
        <v>401</v>
      </c>
      <c r="BD17" s="992">
        <f t="shared" si="18"/>
        <v>784168.18521726341</v>
      </c>
      <c r="BE17" s="992"/>
      <c r="BF17" s="992">
        <f t="shared" si="19"/>
        <v>539.66868600000009</v>
      </c>
      <c r="BG17" s="1757" t="s">
        <v>401</v>
      </c>
      <c r="BH17" s="1758">
        <f>VLOOKUP($G17,'Quantidades Padrão'!$E$7:$J$103,BH$8,0)</f>
        <v>760.74027777777792</v>
      </c>
      <c r="BI17" s="1759" t="s">
        <v>401</v>
      </c>
      <c r="BJ17" s="992">
        <f t="shared" si="20"/>
        <v>410547.70609560848</v>
      </c>
      <c r="BK17" s="1759" t="s">
        <v>401</v>
      </c>
      <c r="BL17" s="992">
        <f t="shared" si="21"/>
        <v>1075634.9899704943</v>
      </c>
      <c r="BM17" s="992"/>
      <c r="BN17" s="992">
        <f t="shared" si="22"/>
        <v>539.66868600000009</v>
      </c>
      <c r="BO17" s="1757" t="s">
        <v>401</v>
      </c>
      <c r="BP17" s="1758">
        <f>VLOOKUP($G17,'Quantidades Padrão'!$E$7:$J$103,BP$8,0)</f>
        <v>405.72814814814819</v>
      </c>
      <c r="BQ17" s="1759" t="s">
        <v>401</v>
      </c>
      <c r="BR17" s="992">
        <f t="shared" si="23"/>
        <v>218958.77658432451</v>
      </c>
      <c r="BS17" s="1759" t="s">
        <v>401</v>
      </c>
      <c r="BT17" s="992">
        <f t="shared" si="24"/>
        <v>573671.99465093028</v>
      </c>
      <c r="BU17" s="992"/>
      <c r="BV17" s="992">
        <f t="shared" si="25"/>
        <v>539.66868600000009</v>
      </c>
      <c r="BW17" s="1757" t="s">
        <v>401</v>
      </c>
      <c r="BX17" s="1758">
        <f>VLOOKUP($G17,'Quantidades Padrão'!$E$7:$J$103,BX$8,0)</f>
        <v>583.23421296296294</v>
      </c>
      <c r="BY17" s="1759" t="s">
        <v>401</v>
      </c>
      <c r="BZ17" s="992">
        <f t="shared" si="26"/>
        <v>314753.24133996642</v>
      </c>
      <c r="CA17" s="1759" t="s">
        <v>401</v>
      </c>
      <c r="CB17" s="992">
        <f t="shared" si="27"/>
        <v>824653.49231071211</v>
      </c>
      <c r="CC17" s="992"/>
      <c r="CD17" s="992">
        <f t="shared" si="28"/>
        <v>539.66868600000009</v>
      </c>
      <c r="CE17" s="1757" t="s">
        <v>401</v>
      </c>
      <c r="CF17" s="1758">
        <f>VLOOKUP($G17,'Quantidades Padrão'!$E$7:$J$103,CF$8,0)</f>
        <v>760.74027777777792</v>
      </c>
      <c r="CG17" s="1759" t="s">
        <v>401</v>
      </c>
      <c r="CH17" s="992">
        <f t="shared" si="29"/>
        <v>410547.70609560848</v>
      </c>
      <c r="CI17" s="1759" t="s">
        <v>401</v>
      </c>
      <c r="CJ17" s="992">
        <f t="shared" si="30"/>
        <v>1075634.9899704943</v>
      </c>
      <c r="CK17" s="992"/>
      <c r="CL17" s="992">
        <f t="shared" si="31"/>
        <v>539.66868600000009</v>
      </c>
      <c r="CM17" s="1757" t="s">
        <v>401</v>
      </c>
      <c r="CN17" s="1758">
        <f>VLOOKUP($G17,'Quantidades Padrão'!$E$7:$J$103,CN$8,0)</f>
        <v>405.72814814814819</v>
      </c>
      <c r="CO17" s="1759" t="s">
        <v>401</v>
      </c>
      <c r="CP17" s="992">
        <f t="shared" si="32"/>
        <v>218958.77658432451</v>
      </c>
      <c r="CQ17" s="1759" t="s">
        <v>401</v>
      </c>
      <c r="CR17" s="992">
        <f t="shared" si="33"/>
        <v>573671.99465093028</v>
      </c>
      <c r="CS17" s="992"/>
      <c r="CT17" s="992">
        <f t="shared" si="34"/>
        <v>539.66868600000009</v>
      </c>
      <c r="CU17" s="1757" t="s">
        <v>401</v>
      </c>
      <c r="CV17" s="1758">
        <f>VLOOKUP($G17,'Quantidades Padrão'!$E$7:$J$103,CV$8,0)</f>
        <v>583.23421296296294</v>
      </c>
      <c r="CW17" s="1759" t="s">
        <v>401</v>
      </c>
      <c r="CX17" s="992">
        <f t="shared" si="35"/>
        <v>314753.24133996642</v>
      </c>
      <c r="CY17" s="1759" t="s">
        <v>401</v>
      </c>
      <c r="CZ17" s="992">
        <f t="shared" si="36"/>
        <v>824653.49231071211</v>
      </c>
      <c r="DA17" s="992"/>
      <c r="DB17" s="992">
        <f t="shared" si="37"/>
        <v>539.66868600000009</v>
      </c>
      <c r="DC17" s="1757" t="s">
        <v>401</v>
      </c>
      <c r="DD17" s="1758">
        <f>VLOOKUP($G17,'Quantidades Padrão'!$E$7:$J$103,DD$8,0)</f>
        <v>760.74027777777792</v>
      </c>
      <c r="DE17" s="1759" t="s">
        <v>401</v>
      </c>
      <c r="DF17" s="992">
        <f t="shared" si="38"/>
        <v>410547.70609560848</v>
      </c>
      <c r="DG17" s="1759" t="s">
        <v>401</v>
      </c>
      <c r="DH17" s="992">
        <f t="shared" si="39"/>
        <v>1075634.9899704943</v>
      </c>
      <c r="DI17" s="992"/>
      <c r="DJ17" s="992">
        <f t="shared" si="40"/>
        <v>539.66868600000009</v>
      </c>
      <c r="DK17" s="1757" t="s">
        <v>401</v>
      </c>
      <c r="DL17" s="1758">
        <f>VLOOKUP($G17,'Quantidades Padrão'!$E$7:$J$103,DL$8,0)</f>
        <v>405.72814814814819</v>
      </c>
      <c r="DM17" s="1759" t="s">
        <v>401</v>
      </c>
      <c r="DN17" s="992">
        <f t="shared" si="41"/>
        <v>218958.77658432451</v>
      </c>
      <c r="DO17" s="1759" t="s">
        <v>401</v>
      </c>
      <c r="DP17" s="992">
        <f t="shared" si="42"/>
        <v>573671.99465093028</v>
      </c>
      <c r="DQ17" s="992"/>
      <c r="DR17" s="992">
        <f t="shared" si="43"/>
        <v>539.66868600000009</v>
      </c>
      <c r="DS17" s="1757" t="s">
        <v>401</v>
      </c>
      <c r="DT17" s="1758">
        <f>VLOOKUP($G17,'Quantidades Padrão'!$E$7:$J$103,DT$8,0)</f>
        <v>583.23421296296294</v>
      </c>
      <c r="DU17" s="1759" t="s">
        <v>401</v>
      </c>
      <c r="DV17" s="992">
        <f t="shared" si="44"/>
        <v>314753.24133996642</v>
      </c>
      <c r="DW17" s="1759" t="s">
        <v>401</v>
      </c>
      <c r="DX17" s="992">
        <f t="shared" si="45"/>
        <v>824653.49231071211</v>
      </c>
      <c r="DY17" s="992"/>
      <c r="DZ17" s="992">
        <f t="shared" si="46"/>
        <v>548.54868600000009</v>
      </c>
      <c r="EA17" s="1757" t="s">
        <v>401</v>
      </c>
      <c r="EB17" s="1758">
        <f>VLOOKUP($G17,'Quantidades Padrão'!$E$7:$J$103,EB$8,0)</f>
        <v>760.74027777777792</v>
      </c>
      <c r="EC17" s="1759" t="s">
        <v>401</v>
      </c>
      <c r="ED17" s="992">
        <f t="shared" si="47"/>
        <v>417303.07976227516</v>
      </c>
      <c r="EE17" s="1759" t="s">
        <v>401</v>
      </c>
      <c r="EF17" s="992">
        <f t="shared" si="48"/>
        <v>1093334.0689771608</v>
      </c>
      <c r="EG17" s="992"/>
      <c r="EH17" s="992">
        <f t="shared" si="49"/>
        <v>548.54868600000009</v>
      </c>
      <c r="EI17" s="1757" t="s">
        <v>401</v>
      </c>
      <c r="EJ17" s="1758">
        <f>VLOOKUP($G17,'Quantidades Padrão'!$E$7:$J$103,EJ$8,0)</f>
        <v>405.72814814814819</v>
      </c>
      <c r="EK17" s="1759" t="s">
        <v>401</v>
      </c>
      <c r="EL17" s="992">
        <f t="shared" si="50"/>
        <v>222561.64253988006</v>
      </c>
      <c r="EM17" s="1759" t="s">
        <v>401</v>
      </c>
      <c r="EN17" s="992">
        <f t="shared" si="51"/>
        <v>583111.50345448579</v>
      </c>
      <c r="EO17" s="992"/>
      <c r="EP17" s="992">
        <f t="shared" si="52"/>
        <v>548.54868600000009</v>
      </c>
      <c r="EQ17" s="1757" t="s">
        <v>401</v>
      </c>
      <c r="ER17" s="1758">
        <f>VLOOKUP($G17,'Quantidades Padrão'!$E$7:$J$103,ER$8,0)</f>
        <v>583.23421296296294</v>
      </c>
      <c r="ES17" s="1759" t="s">
        <v>401</v>
      </c>
      <c r="ET17" s="992">
        <f t="shared" si="53"/>
        <v>319932.36115107755</v>
      </c>
      <c r="EU17" s="1759" t="s">
        <v>401</v>
      </c>
      <c r="EV17" s="992">
        <f t="shared" si="54"/>
        <v>838222.78621582326</v>
      </c>
      <c r="EW17" s="992"/>
      <c r="EX17" s="992">
        <f t="shared" si="55"/>
        <v>548.54868600000009</v>
      </c>
      <c r="EY17" s="1757" t="s">
        <v>401</v>
      </c>
      <c r="EZ17" s="1758">
        <f>VLOOKUP($G17,'Quantidades Padrão'!$E$7:$J$103,EZ$8,0)</f>
        <v>760.74027777777792</v>
      </c>
      <c r="FA17" s="1759" t="s">
        <v>401</v>
      </c>
      <c r="FB17" s="992">
        <f t="shared" si="56"/>
        <v>417303.07976227516</v>
      </c>
      <c r="FC17" s="1759" t="s">
        <v>401</v>
      </c>
      <c r="FD17" s="992">
        <f t="shared" si="57"/>
        <v>1093334.0689771608</v>
      </c>
      <c r="FE17" s="992"/>
      <c r="FF17" s="992">
        <f t="shared" si="58"/>
        <v>548.54868600000009</v>
      </c>
      <c r="FG17" s="1757" t="s">
        <v>401</v>
      </c>
      <c r="FH17" s="1758">
        <f>VLOOKUP($G17,'Quantidades Padrão'!$E$7:$J$103,FH$8,0)</f>
        <v>405.72814814814819</v>
      </c>
      <c r="FI17" s="1759" t="s">
        <v>401</v>
      </c>
      <c r="FJ17" s="992">
        <f t="shared" si="59"/>
        <v>222561.64253988006</v>
      </c>
      <c r="FK17" s="1759" t="s">
        <v>401</v>
      </c>
      <c r="FL17" s="992">
        <f t="shared" si="60"/>
        <v>583111.50345448579</v>
      </c>
      <c r="FM17" s="992"/>
      <c r="FN17" s="992">
        <f t="shared" si="61"/>
        <v>571.14868600000011</v>
      </c>
      <c r="FO17" s="1757" t="s">
        <v>401</v>
      </c>
      <c r="FP17" s="1758">
        <f>VLOOKUP($G17,'Quantidades Padrão'!$E$7:$J$103,FP$8,0)</f>
        <v>583.23421296296294</v>
      </c>
      <c r="FQ17" s="1759" t="s">
        <v>401</v>
      </c>
      <c r="FR17" s="992">
        <f t="shared" si="62"/>
        <v>333113.45436404052</v>
      </c>
      <c r="FS17" s="1759" t="s">
        <v>401</v>
      </c>
      <c r="FT17" s="992">
        <f t="shared" si="63"/>
        <v>872757.25043378619</v>
      </c>
      <c r="FU17" s="992"/>
      <c r="FV17" s="992">
        <f t="shared" si="64"/>
        <v>571.14868600000011</v>
      </c>
      <c r="FW17" s="1757" t="s">
        <v>401</v>
      </c>
      <c r="FX17" s="1758">
        <f>VLOOKUP($G17,'Quantidades Padrão'!$E$7:$J$103,FX$8,0)</f>
        <v>760.74027777777792</v>
      </c>
      <c r="FY17" s="1759" t="s">
        <v>401</v>
      </c>
      <c r="FZ17" s="992">
        <f t="shared" si="65"/>
        <v>434495.81004005292</v>
      </c>
      <c r="GA17" s="1759" t="s">
        <v>401</v>
      </c>
      <c r="GB17" s="992">
        <f t="shared" si="66"/>
        <v>1138379.0223049386</v>
      </c>
      <c r="GC17" s="992"/>
      <c r="GD17" s="992">
        <f t="shared" si="67"/>
        <v>571.14868600000011</v>
      </c>
      <c r="GE17" s="1757" t="s">
        <v>401</v>
      </c>
      <c r="GF17" s="1758">
        <f>VLOOKUP($G17,'Quantidades Padrão'!$E$7:$J$103,GF$8,0)</f>
        <v>405.72814814814819</v>
      </c>
      <c r="GG17" s="1759" t="s">
        <v>401</v>
      </c>
      <c r="GH17" s="992">
        <f t="shared" si="68"/>
        <v>231731.09868802823</v>
      </c>
      <c r="GI17" s="1759" t="s">
        <v>401</v>
      </c>
      <c r="GJ17" s="992">
        <f t="shared" si="69"/>
        <v>607135.47856263397</v>
      </c>
      <c r="GK17" s="992"/>
      <c r="GL17" s="992">
        <f t="shared" si="70"/>
        <v>571.14868600000011</v>
      </c>
      <c r="GM17" s="1757" t="s">
        <v>401</v>
      </c>
      <c r="GN17" s="1758">
        <f>VLOOKUP($G17,'Quantidades Padrão'!$E$7:$J$103,GN$8,0)</f>
        <v>583.23421296296294</v>
      </c>
      <c r="GO17" s="1759" t="s">
        <v>401</v>
      </c>
      <c r="GP17" s="992">
        <f t="shared" si="71"/>
        <v>333113.45436404052</v>
      </c>
      <c r="GQ17" s="1759" t="s">
        <v>401</v>
      </c>
      <c r="GR17" s="992">
        <f t="shared" si="72"/>
        <v>872757.25043378619</v>
      </c>
      <c r="GS17" s="992"/>
      <c r="GT17" s="992">
        <f t="shared" si="73"/>
        <v>571.14868600000011</v>
      </c>
      <c r="GU17" s="1757" t="s">
        <v>401</v>
      </c>
      <c r="GV17" s="1758">
        <f>VLOOKUP($G17,'Quantidades Padrão'!$E$7:$J$103,GV$8,0)</f>
        <v>760.74027777777792</v>
      </c>
      <c r="GW17" s="1759" t="s">
        <v>401</v>
      </c>
      <c r="GX17" s="992">
        <f t="shared" si="74"/>
        <v>434495.81004005292</v>
      </c>
      <c r="GY17" s="1759" t="s">
        <v>401</v>
      </c>
      <c r="GZ17" s="992">
        <f t="shared" si="75"/>
        <v>1138379.0223049386</v>
      </c>
      <c r="HA17" s="992"/>
      <c r="HB17" s="992">
        <f t="shared" si="76"/>
        <v>575.58868600000005</v>
      </c>
      <c r="HC17" s="1757" t="s">
        <v>401</v>
      </c>
      <c r="HD17" s="1758">
        <f>VLOOKUP($G17,'Quantidades Padrão'!$E$7:$J$103,HD$8,0)</f>
        <v>405.72814814814819</v>
      </c>
      <c r="HE17" s="1759" t="s">
        <v>401</v>
      </c>
      <c r="HF17" s="992">
        <f t="shared" si="77"/>
        <v>233532.53166580596</v>
      </c>
      <c r="HG17" s="1759" t="s">
        <v>401</v>
      </c>
      <c r="HH17" s="992">
        <f t="shared" si="78"/>
        <v>611855.23296441161</v>
      </c>
      <c r="HI17" s="992"/>
      <c r="HJ17" s="992">
        <f t="shared" si="79"/>
        <v>575.58868600000005</v>
      </c>
      <c r="HK17" s="1757" t="s">
        <v>401</v>
      </c>
      <c r="HL17" s="1758">
        <f>VLOOKUP($G17,'Quantidades Padrão'!$E$7:$J$103,HL$8,0)</f>
        <v>583.23421296296294</v>
      </c>
      <c r="HM17" s="1759" t="s">
        <v>401</v>
      </c>
      <c r="HN17" s="992">
        <f t="shared" si="80"/>
        <v>335703.01426959602</v>
      </c>
      <c r="HO17" s="1759" t="s">
        <v>401</v>
      </c>
      <c r="HP17" s="992">
        <f t="shared" si="81"/>
        <v>879541.89738634159</v>
      </c>
      <c r="HQ17" s="992"/>
      <c r="HR17" s="992">
        <f t="shared" si="82"/>
        <v>575.58868600000005</v>
      </c>
      <c r="HS17" s="1757" t="s">
        <v>401</v>
      </c>
      <c r="HT17" s="1758">
        <f>VLOOKUP($G17,'Quantidades Padrão'!$E$7:$J$103,HT$8,0)</f>
        <v>760.74027777777792</v>
      </c>
      <c r="HU17" s="1759" t="s">
        <v>401</v>
      </c>
      <c r="HV17" s="992">
        <f t="shared" si="83"/>
        <v>437873.4968733862</v>
      </c>
      <c r="HW17" s="1759" t="s">
        <v>401</v>
      </c>
      <c r="HX17" s="992">
        <f t="shared" si="84"/>
        <v>1147228.5618082718</v>
      </c>
      <c r="HY17" s="992"/>
      <c r="HZ17" s="992">
        <f t="shared" si="85"/>
        <v>575.58868600000005</v>
      </c>
      <c r="IA17" s="1757" t="s">
        <v>401</v>
      </c>
      <c r="IB17" s="1758">
        <f>VLOOKUP($G17,'Quantidades Padrão'!$E$7:$J$103,IB$8,0)</f>
        <v>405.72814814814819</v>
      </c>
      <c r="IC17" s="1759" t="s">
        <v>401</v>
      </c>
      <c r="ID17" s="992">
        <f t="shared" si="86"/>
        <v>233532.53166580596</v>
      </c>
      <c r="IE17" s="1759" t="s">
        <v>401</v>
      </c>
      <c r="IF17" s="992">
        <f t="shared" si="87"/>
        <v>611855.23296441161</v>
      </c>
      <c r="IG17" s="992"/>
      <c r="IH17" s="992">
        <f t="shared" si="88"/>
        <v>575.58868600000005</v>
      </c>
      <c r="II17" s="1757" t="s">
        <v>401</v>
      </c>
      <c r="IJ17" s="1758">
        <f>VLOOKUP($G17,'Quantidades Padrão'!$E$7:$J$103,IJ$8,0)</f>
        <v>583.23421296296294</v>
      </c>
      <c r="IK17" s="1759" t="s">
        <v>401</v>
      </c>
      <c r="IL17" s="992">
        <f t="shared" si="89"/>
        <v>335703.01426959602</v>
      </c>
      <c r="IM17" s="1759" t="s">
        <v>401</v>
      </c>
      <c r="IN17" s="992">
        <f t="shared" si="90"/>
        <v>879541.89738634159</v>
      </c>
      <c r="IO17" s="992"/>
    </row>
    <row r="18" spans="1:249" s="341" customFormat="1" ht="27" customHeight="1">
      <c r="A18" s="1753"/>
      <c r="B18" s="1754"/>
      <c r="C18" s="1755"/>
      <c r="D18" s="1013">
        <f>VLOOKUP(E18,'DER MG'!$D$5:$I$150,6,0)</f>
        <v>1.89</v>
      </c>
      <c r="E18" s="1017">
        <v>41363</v>
      </c>
      <c r="F18" s="1756"/>
      <c r="G18" s="1018" t="s">
        <v>402</v>
      </c>
      <c r="H18" s="992">
        <f t="shared" si="5"/>
        <v>184442.68852328198</v>
      </c>
      <c r="I18" s="992">
        <v>364</v>
      </c>
      <c r="J18" s="1757" t="s">
        <v>396</v>
      </c>
      <c r="K18" s="1758">
        <f>VLOOKUP($G18,'Quantidades Padrão'!$E$7:$J$103,K$8,0)</f>
        <v>4.2982905982905981</v>
      </c>
      <c r="L18" s="1759" t="s">
        <v>396</v>
      </c>
      <c r="M18" s="992">
        <f t="shared" si="6"/>
        <v>1564.5777777777778</v>
      </c>
      <c r="N18" s="1759" t="s">
        <v>396</v>
      </c>
      <c r="O18" s="992">
        <f t="shared" si="7"/>
        <v>2957.0519999999997</v>
      </c>
      <c r="P18" s="992"/>
      <c r="Q18" s="1760">
        <f t="shared" si="0"/>
        <v>4.7638366702137453E-4</v>
      </c>
      <c r="R18" s="992">
        <f t="shared" si="8"/>
        <v>500</v>
      </c>
      <c r="S18" s="1757" t="s">
        <v>396</v>
      </c>
      <c r="T18" s="1758">
        <f>VLOOKUP($G18,'Quantidades Padrão'!$E$7:$J$103,T$8,0)</f>
        <v>4.2982905982905981</v>
      </c>
      <c r="U18" s="1759" t="s">
        <v>396</v>
      </c>
      <c r="V18" s="992">
        <f t="shared" si="9"/>
        <v>2149.1452991452988</v>
      </c>
      <c r="W18" s="1759" t="s">
        <v>396</v>
      </c>
      <c r="X18" s="992">
        <f t="shared" si="1"/>
        <v>4061.8846153846148</v>
      </c>
      <c r="Y18" s="992"/>
      <c r="Z18" s="992">
        <f t="shared" si="10"/>
        <v>500</v>
      </c>
      <c r="AA18" s="1757" t="s">
        <v>396</v>
      </c>
      <c r="AB18" s="1758">
        <f>VLOOKUP($G18,'Quantidades Padrão'!$E$7:$J$103,AB$8,0)</f>
        <v>8.0592948717948723</v>
      </c>
      <c r="AC18" s="1759" t="s">
        <v>396</v>
      </c>
      <c r="AD18" s="992">
        <f t="shared" si="11"/>
        <v>4029.647435897436</v>
      </c>
      <c r="AE18" s="1759" t="s">
        <v>396</v>
      </c>
      <c r="AF18" s="992">
        <f t="shared" si="2"/>
        <v>7616.0336538461534</v>
      </c>
      <c r="AG18" s="992"/>
      <c r="AH18" s="992">
        <f t="shared" si="12"/>
        <v>500</v>
      </c>
      <c r="AI18" s="1757" t="s">
        <v>396</v>
      </c>
      <c r="AJ18" s="1758">
        <f>VLOOKUP($G18,'Quantidades Padrão'!$E$7:$J$103,AJ$8,0)</f>
        <v>4.2982905982905981</v>
      </c>
      <c r="AK18" s="1759" t="s">
        <v>396</v>
      </c>
      <c r="AL18" s="992">
        <f t="shared" si="13"/>
        <v>2149.1452991452988</v>
      </c>
      <c r="AM18" s="1759" t="s">
        <v>396</v>
      </c>
      <c r="AN18" s="992">
        <f t="shared" si="3"/>
        <v>4061.8846153846148</v>
      </c>
      <c r="AO18" s="992"/>
      <c r="AP18" s="992">
        <f t="shared" si="14"/>
        <v>500</v>
      </c>
      <c r="AQ18" s="1757" t="s">
        <v>396</v>
      </c>
      <c r="AR18" s="1758">
        <f>VLOOKUP($G18,'Quantidades Padrão'!$E$7:$J$103,AR$8,0)</f>
        <v>4.2982905982905981</v>
      </c>
      <c r="AS18" s="1759" t="s">
        <v>396</v>
      </c>
      <c r="AT18" s="992">
        <f t="shared" si="15"/>
        <v>2149.1452991452988</v>
      </c>
      <c r="AU18" s="1759" t="s">
        <v>396</v>
      </c>
      <c r="AV18" s="992">
        <f t="shared" si="4"/>
        <v>4061.8846153846148</v>
      </c>
      <c r="AW18" s="992"/>
      <c r="AX18" s="992">
        <f t="shared" si="16"/>
        <v>513.17434300000002</v>
      </c>
      <c r="AY18" s="1757" t="s">
        <v>396</v>
      </c>
      <c r="AZ18" s="1758">
        <f>VLOOKUP($G18,'Quantidades Padrão'!$E$7:$J$103,AZ$8,0)</f>
        <v>6.1787927350427347</v>
      </c>
      <c r="BA18" s="1759" t="s">
        <v>396</v>
      </c>
      <c r="BB18" s="992">
        <f t="shared" si="17"/>
        <v>3170.7979023387288</v>
      </c>
      <c r="BC18" s="1759" t="s">
        <v>396</v>
      </c>
      <c r="BD18" s="992">
        <f t="shared" si="18"/>
        <v>5992.8080354201975</v>
      </c>
      <c r="BE18" s="992"/>
      <c r="BF18" s="992">
        <f t="shared" si="19"/>
        <v>539.66868600000009</v>
      </c>
      <c r="BG18" s="1757" t="s">
        <v>396</v>
      </c>
      <c r="BH18" s="1758">
        <f>VLOOKUP($G18,'Quantidades Padrão'!$E$7:$J$103,BH$8,0)</f>
        <v>8.0592948717948723</v>
      </c>
      <c r="BI18" s="1759" t="s">
        <v>396</v>
      </c>
      <c r="BJ18" s="992">
        <f t="shared" si="20"/>
        <v>4349.3490735480782</v>
      </c>
      <c r="BK18" s="1759" t="s">
        <v>396</v>
      </c>
      <c r="BL18" s="992">
        <f t="shared" si="21"/>
        <v>8220.2697490058672</v>
      </c>
      <c r="BM18" s="992"/>
      <c r="BN18" s="992">
        <f t="shared" si="22"/>
        <v>539.66868600000009</v>
      </c>
      <c r="BO18" s="1757" t="s">
        <v>396</v>
      </c>
      <c r="BP18" s="1758">
        <f>VLOOKUP($G18,'Quantidades Padrão'!$E$7:$J$103,BP$8,0)</f>
        <v>4.2982905982905981</v>
      </c>
      <c r="BQ18" s="1759" t="s">
        <v>396</v>
      </c>
      <c r="BR18" s="992">
        <f t="shared" si="23"/>
        <v>2319.6528392256414</v>
      </c>
      <c r="BS18" s="1759" t="s">
        <v>396</v>
      </c>
      <c r="BT18" s="992">
        <f t="shared" si="24"/>
        <v>4384.1438661364618</v>
      </c>
      <c r="BU18" s="992"/>
      <c r="BV18" s="992">
        <f t="shared" si="25"/>
        <v>539.66868600000009</v>
      </c>
      <c r="BW18" s="1757" t="s">
        <v>396</v>
      </c>
      <c r="BX18" s="1758">
        <f>VLOOKUP($G18,'Quantidades Padrão'!$E$7:$J$103,BX$8,0)</f>
        <v>6.1787927350427347</v>
      </c>
      <c r="BY18" s="1759" t="s">
        <v>396</v>
      </c>
      <c r="BZ18" s="992">
        <f t="shared" si="26"/>
        <v>3334.5009563868593</v>
      </c>
      <c r="CA18" s="1759" t="s">
        <v>396</v>
      </c>
      <c r="CB18" s="992">
        <f t="shared" si="27"/>
        <v>6302.2068075711641</v>
      </c>
      <c r="CC18" s="992"/>
      <c r="CD18" s="992">
        <f t="shared" si="28"/>
        <v>539.66868600000009</v>
      </c>
      <c r="CE18" s="1757" t="s">
        <v>396</v>
      </c>
      <c r="CF18" s="1758">
        <f>VLOOKUP($G18,'Quantidades Padrão'!$E$7:$J$103,CF$8,0)</f>
        <v>8.0592948717948723</v>
      </c>
      <c r="CG18" s="1759" t="s">
        <v>396</v>
      </c>
      <c r="CH18" s="992">
        <f t="shared" si="29"/>
        <v>4349.3490735480782</v>
      </c>
      <c r="CI18" s="1759" t="s">
        <v>396</v>
      </c>
      <c r="CJ18" s="992">
        <f t="shared" si="30"/>
        <v>8220.2697490058672</v>
      </c>
      <c r="CK18" s="992"/>
      <c r="CL18" s="992">
        <f t="shared" si="31"/>
        <v>539.66868600000009</v>
      </c>
      <c r="CM18" s="1757" t="s">
        <v>396</v>
      </c>
      <c r="CN18" s="1758">
        <f>VLOOKUP($G18,'Quantidades Padrão'!$E$7:$J$103,CN$8,0)</f>
        <v>4.2982905982905981</v>
      </c>
      <c r="CO18" s="1759" t="s">
        <v>396</v>
      </c>
      <c r="CP18" s="992">
        <f t="shared" si="32"/>
        <v>2319.6528392256414</v>
      </c>
      <c r="CQ18" s="1759" t="s">
        <v>396</v>
      </c>
      <c r="CR18" s="992">
        <f t="shared" si="33"/>
        <v>4384.1438661364618</v>
      </c>
      <c r="CS18" s="992"/>
      <c r="CT18" s="992">
        <f t="shared" si="34"/>
        <v>539.66868600000009</v>
      </c>
      <c r="CU18" s="1757" t="s">
        <v>396</v>
      </c>
      <c r="CV18" s="1758">
        <f>VLOOKUP($G18,'Quantidades Padrão'!$E$7:$J$103,CV$8,0)</f>
        <v>6.1787927350427347</v>
      </c>
      <c r="CW18" s="1759" t="s">
        <v>396</v>
      </c>
      <c r="CX18" s="992">
        <f t="shared" si="35"/>
        <v>3334.5009563868593</v>
      </c>
      <c r="CY18" s="1759" t="s">
        <v>396</v>
      </c>
      <c r="CZ18" s="992">
        <f t="shared" si="36"/>
        <v>6302.2068075711641</v>
      </c>
      <c r="DA18" s="992"/>
      <c r="DB18" s="992">
        <f t="shared" si="37"/>
        <v>539.66868600000009</v>
      </c>
      <c r="DC18" s="1757" t="s">
        <v>396</v>
      </c>
      <c r="DD18" s="1758">
        <f>VLOOKUP($G18,'Quantidades Padrão'!$E$7:$J$103,DD$8,0)</f>
        <v>8.0592948717948723</v>
      </c>
      <c r="DE18" s="1759" t="s">
        <v>396</v>
      </c>
      <c r="DF18" s="992">
        <f t="shared" si="38"/>
        <v>4349.3490735480782</v>
      </c>
      <c r="DG18" s="1759" t="s">
        <v>396</v>
      </c>
      <c r="DH18" s="992">
        <f t="shared" si="39"/>
        <v>8220.2697490058672</v>
      </c>
      <c r="DI18" s="992"/>
      <c r="DJ18" s="992">
        <f t="shared" si="40"/>
        <v>539.66868600000009</v>
      </c>
      <c r="DK18" s="1757" t="s">
        <v>396</v>
      </c>
      <c r="DL18" s="1758">
        <f>VLOOKUP($G18,'Quantidades Padrão'!$E$7:$J$103,DL$8,0)</f>
        <v>4.2982905982905981</v>
      </c>
      <c r="DM18" s="1759" t="s">
        <v>396</v>
      </c>
      <c r="DN18" s="992">
        <f t="shared" si="41"/>
        <v>2319.6528392256414</v>
      </c>
      <c r="DO18" s="1759" t="s">
        <v>396</v>
      </c>
      <c r="DP18" s="992">
        <f t="shared" si="42"/>
        <v>4384.1438661364618</v>
      </c>
      <c r="DQ18" s="992"/>
      <c r="DR18" s="992">
        <f t="shared" si="43"/>
        <v>539.66868600000009</v>
      </c>
      <c r="DS18" s="1757" t="s">
        <v>396</v>
      </c>
      <c r="DT18" s="1758">
        <f>VLOOKUP($G18,'Quantidades Padrão'!$E$7:$J$103,DT$8,0)</f>
        <v>6.1787927350427347</v>
      </c>
      <c r="DU18" s="1759" t="s">
        <v>396</v>
      </c>
      <c r="DV18" s="992">
        <f t="shared" si="44"/>
        <v>3334.5009563868593</v>
      </c>
      <c r="DW18" s="1759" t="s">
        <v>396</v>
      </c>
      <c r="DX18" s="992">
        <f t="shared" si="45"/>
        <v>6302.2068075711641</v>
      </c>
      <c r="DY18" s="992"/>
      <c r="DZ18" s="992">
        <f t="shared" si="46"/>
        <v>548.54868600000009</v>
      </c>
      <c r="EA18" s="1757" t="s">
        <v>396</v>
      </c>
      <c r="EB18" s="1758">
        <f>VLOOKUP($G18,'Quantidades Padrão'!$E$7:$J$103,EB$8,0)</f>
        <v>8.0592948717948723</v>
      </c>
      <c r="EC18" s="1759" t="s">
        <v>396</v>
      </c>
      <c r="ED18" s="992">
        <f t="shared" si="47"/>
        <v>4420.9156120096168</v>
      </c>
      <c r="EE18" s="1759" t="s">
        <v>396</v>
      </c>
      <c r="EF18" s="992">
        <f t="shared" si="48"/>
        <v>8355.5305066981746</v>
      </c>
      <c r="EG18" s="992"/>
      <c r="EH18" s="992">
        <f t="shared" si="49"/>
        <v>548.54868600000009</v>
      </c>
      <c r="EI18" s="1757" t="s">
        <v>396</v>
      </c>
      <c r="EJ18" s="1758">
        <f>VLOOKUP($G18,'Quantidades Padrão'!$E$7:$J$103,EJ$8,0)</f>
        <v>4.2982905982905981</v>
      </c>
      <c r="EK18" s="1759" t="s">
        <v>396</v>
      </c>
      <c r="EL18" s="992">
        <f t="shared" si="50"/>
        <v>2357.8216597384617</v>
      </c>
      <c r="EM18" s="1759" t="s">
        <v>396</v>
      </c>
      <c r="EN18" s="992">
        <f t="shared" si="51"/>
        <v>4456.2829369056926</v>
      </c>
      <c r="EO18" s="992"/>
      <c r="EP18" s="992">
        <f t="shared" si="52"/>
        <v>548.54868600000009</v>
      </c>
      <c r="EQ18" s="1757" t="s">
        <v>396</v>
      </c>
      <c r="ER18" s="1758">
        <f>VLOOKUP($G18,'Quantidades Padrão'!$E$7:$J$103,ER$8,0)</f>
        <v>6.1787927350427347</v>
      </c>
      <c r="ES18" s="1759" t="s">
        <v>396</v>
      </c>
      <c r="ET18" s="992">
        <f t="shared" si="53"/>
        <v>3389.3686358740388</v>
      </c>
      <c r="EU18" s="1759" t="s">
        <v>396</v>
      </c>
      <c r="EV18" s="992">
        <f t="shared" si="54"/>
        <v>6405.9067218019327</v>
      </c>
      <c r="EW18" s="992"/>
      <c r="EX18" s="992">
        <f t="shared" si="55"/>
        <v>548.54868600000009</v>
      </c>
      <c r="EY18" s="1757" t="s">
        <v>396</v>
      </c>
      <c r="EZ18" s="1758">
        <f>VLOOKUP($G18,'Quantidades Padrão'!$E$7:$J$103,EZ$8,0)</f>
        <v>8.0592948717948723</v>
      </c>
      <c r="FA18" s="1759" t="s">
        <v>396</v>
      </c>
      <c r="FB18" s="992">
        <f t="shared" si="56"/>
        <v>4420.9156120096168</v>
      </c>
      <c r="FC18" s="1759" t="s">
        <v>396</v>
      </c>
      <c r="FD18" s="992">
        <f t="shared" si="57"/>
        <v>8355.5305066981746</v>
      </c>
      <c r="FE18" s="992"/>
      <c r="FF18" s="992">
        <f t="shared" si="58"/>
        <v>548.54868600000009</v>
      </c>
      <c r="FG18" s="1757" t="s">
        <v>396</v>
      </c>
      <c r="FH18" s="1758">
        <f>VLOOKUP($G18,'Quantidades Padrão'!$E$7:$J$103,FH$8,0)</f>
        <v>4.2982905982905981</v>
      </c>
      <c r="FI18" s="1759" t="s">
        <v>396</v>
      </c>
      <c r="FJ18" s="992">
        <f t="shared" si="59"/>
        <v>2357.8216597384617</v>
      </c>
      <c r="FK18" s="1759" t="s">
        <v>396</v>
      </c>
      <c r="FL18" s="992">
        <f t="shared" si="60"/>
        <v>4456.2829369056926</v>
      </c>
      <c r="FM18" s="992"/>
      <c r="FN18" s="992">
        <f t="shared" si="61"/>
        <v>571.14868600000011</v>
      </c>
      <c r="FO18" s="1757" t="s">
        <v>396</v>
      </c>
      <c r="FP18" s="1758">
        <f>VLOOKUP($G18,'Quantidades Padrão'!$E$7:$J$103,FP$8,0)</f>
        <v>6.1787927350427347</v>
      </c>
      <c r="FQ18" s="1759" t="s">
        <v>396</v>
      </c>
      <c r="FR18" s="992">
        <f t="shared" si="62"/>
        <v>3529.0093516860047</v>
      </c>
      <c r="FS18" s="1759" t="s">
        <v>396</v>
      </c>
      <c r="FT18" s="992">
        <f t="shared" si="63"/>
        <v>6669.8276746865486</v>
      </c>
      <c r="FU18" s="992"/>
      <c r="FV18" s="992">
        <f t="shared" si="64"/>
        <v>571.14868600000011</v>
      </c>
      <c r="FW18" s="1757" t="s">
        <v>396</v>
      </c>
      <c r="FX18" s="1758">
        <f>VLOOKUP($G18,'Quantidades Padrão'!$E$7:$J$103,FX$8,0)</f>
        <v>8.0592948717948723</v>
      </c>
      <c r="FY18" s="1759" t="s">
        <v>396</v>
      </c>
      <c r="FZ18" s="992">
        <f t="shared" si="65"/>
        <v>4603.0556761121807</v>
      </c>
      <c r="GA18" s="1759" t="s">
        <v>396</v>
      </c>
      <c r="GB18" s="992">
        <f t="shared" si="66"/>
        <v>8699.7752278520202</v>
      </c>
      <c r="GC18" s="992"/>
      <c r="GD18" s="992">
        <f t="shared" si="67"/>
        <v>571.14868600000011</v>
      </c>
      <c r="GE18" s="1757" t="s">
        <v>396</v>
      </c>
      <c r="GF18" s="1758">
        <f>VLOOKUP($G18,'Quantidades Padrão'!$E$7:$J$103,GF$8,0)</f>
        <v>4.2982905982905981</v>
      </c>
      <c r="GG18" s="1759" t="s">
        <v>396</v>
      </c>
      <c r="GH18" s="992">
        <f t="shared" si="68"/>
        <v>2454.9630272598292</v>
      </c>
      <c r="GI18" s="1759" t="s">
        <v>396</v>
      </c>
      <c r="GJ18" s="992">
        <f t="shared" si="69"/>
        <v>4639.8801215210769</v>
      </c>
      <c r="GK18" s="992"/>
      <c r="GL18" s="992">
        <f t="shared" si="70"/>
        <v>571.14868600000011</v>
      </c>
      <c r="GM18" s="1757" t="s">
        <v>396</v>
      </c>
      <c r="GN18" s="1758">
        <f>VLOOKUP($G18,'Quantidades Padrão'!$E$7:$J$103,GN$8,0)</f>
        <v>6.1787927350427347</v>
      </c>
      <c r="GO18" s="1759" t="s">
        <v>396</v>
      </c>
      <c r="GP18" s="992">
        <f t="shared" si="71"/>
        <v>3529.0093516860047</v>
      </c>
      <c r="GQ18" s="1759" t="s">
        <v>396</v>
      </c>
      <c r="GR18" s="992">
        <f t="shared" si="72"/>
        <v>6669.8276746865486</v>
      </c>
      <c r="GS18" s="992"/>
      <c r="GT18" s="992">
        <f t="shared" si="73"/>
        <v>571.14868600000011</v>
      </c>
      <c r="GU18" s="1757" t="s">
        <v>396</v>
      </c>
      <c r="GV18" s="1758">
        <f>VLOOKUP($G18,'Quantidades Padrão'!$E$7:$J$103,GV$8,0)</f>
        <v>8.0592948717948723</v>
      </c>
      <c r="GW18" s="1759" t="s">
        <v>396</v>
      </c>
      <c r="GX18" s="992">
        <f t="shared" si="74"/>
        <v>4603.0556761121807</v>
      </c>
      <c r="GY18" s="1759" t="s">
        <v>396</v>
      </c>
      <c r="GZ18" s="992">
        <f t="shared" si="75"/>
        <v>8699.7752278520202</v>
      </c>
      <c r="HA18" s="992"/>
      <c r="HB18" s="992">
        <f t="shared" si="76"/>
        <v>575.58868600000005</v>
      </c>
      <c r="HC18" s="1757" t="s">
        <v>396</v>
      </c>
      <c r="HD18" s="1758">
        <f>VLOOKUP($G18,'Quantidades Padrão'!$E$7:$J$103,HD$8,0)</f>
        <v>4.2982905982905981</v>
      </c>
      <c r="HE18" s="1759" t="s">
        <v>396</v>
      </c>
      <c r="HF18" s="992">
        <f t="shared" si="77"/>
        <v>2474.0474375162394</v>
      </c>
      <c r="HG18" s="1759" t="s">
        <v>396</v>
      </c>
      <c r="HH18" s="992">
        <f t="shared" si="78"/>
        <v>4675.9496569056919</v>
      </c>
      <c r="HI18" s="992"/>
      <c r="HJ18" s="992">
        <f t="shared" si="79"/>
        <v>575.58868600000005</v>
      </c>
      <c r="HK18" s="1757" t="s">
        <v>396</v>
      </c>
      <c r="HL18" s="1758">
        <f>VLOOKUP($G18,'Quantidades Padrão'!$E$7:$J$103,HL$8,0)</f>
        <v>6.1787927350427347</v>
      </c>
      <c r="HM18" s="1759" t="s">
        <v>396</v>
      </c>
      <c r="HN18" s="992">
        <f t="shared" si="80"/>
        <v>3556.4431914295942</v>
      </c>
      <c r="HO18" s="1759" t="s">
        <v>396</v>
      </c>
      <c r="HP18" s="992">
        <f t="shared" si="81"/>
        <v>6721.6776318019329</v>
      </c>
      <c r="HQ18" s="992"/>
      <c r="HR18" s="992">
        <f t="shared" si="82"/>
        <v>575.58868600000005</v>
      </c>
      <c r="HS18" s="1757" t="s">
        <v>396</v>
      </c>
      <c r="HT18" s="1758">
        <f>VLOOKUP($G18,'Quantidades Padrão'!$E$7:$J$103,HT$8,0)</f>
        <v>8.0592948717948723</v>
      </c>
      <c r="HU18" s="1759" t="s">
        <v>396</v>
      </c>
      <c r="HV18" s="992">
        <f t="shared" si="83"/>
        <v>4638.838945342949</v>
      </c>
      <c r="HW18" s="1759" t="s">
        <v>396</v>
      </c>
      <c r="HX18" s="992">
        <f t="shared" si="84"/>
        <v>8767.4056066981739</v>
      </c>
      <c r="HY18" s="992"/>
      <c r="HZ18" s="992">
        <f t="shared" si="85"/>
        <v>575.58868600000005</v>
      </c>
      <c r="IA18" s="1757" t="s">
        <v>396</v>
      </c>
      <c r="IB18" s="1758">
        <f>VLOOKUP($G18,'Quantidades Padrão'!$E$7:$J$103,IB$8,0)</f>
        <v>4.2982905982905981</v>
      </c>
      <c r="IC18" s="1759" t="s">
        <v>396</v>
      </c>
      <c r="ID18" s="992">
        <f t="shared" si="86"/>
        <v>2474.0474375162394</v>
      </c>
      <c r="IE18" s="1759" t="s">
        <v>396</v>
      </c>
      <c r="IF18" s="992">
        <f t="shared" si="87"/>
        <v>4675.9496569056919</v>
      </c>
      <c r="IG18" s="992"/>
      <c r="IH18" s="992">
        <f t="shared" si="88"/>
        <v>575.58868600000005</v>
      </c>
      <c r="II18" s="1757" t="s">
        <v>396</v>
      </c>
      <c r="IJ18" s="1758">
        <f>VLOOKUP($G18,'Quantidades Padrão'!$E$7:$J$103,IJ$8,0)</f>
        <v>6.1787927350427347</v>
      </c>
      <c r="IK18" s="1759" t="s">
        <v>396</v>
      </c>
      <c r="IL18" s="992">
        <f t="shared" si="89"/>
        <v>3556.4431914295942</v>
      </c>
      <c r="IM18" s="1759" t="s">
        <v>396</v>
      </c>
      <c r="IN18" s="992">
        <f t="shared" si="90"/>
        <v>6721.6776318019329</v>
      </c>
      <c r="IO18" s="992"/>
    </row>
    <row r="19" spans="1:249" s="341" customFormat="1" ht="27" customHeight="1">
      <c r="A19" s="1753"/>
      <c r="B19" s="1754"/>
      <c r="C19" s="1755"/>
      <c r="D19" s="1013">
        <f>VLOOKUP(E19,'DER MG'!$D$5:$I$150,6,0)</f>
        <v>1.8</v>
      </c>
      <c r="E19" s="1017">
        <v>41365</v>
      </c>
      <c r="F19" s="1756"/>
      <c r="G19" s="1018" t="s">
        <v>403</v>
      </c>
      <c r="H19" s="992">
        <f t="shared" si="5"/>
        <v>921901.98924166663</v>
      </c>
      <c r="I19" s="992">
        <v>364</v>
      </c>
      <c r="J19" s="1757" t="s">
        <v>396</v>
      </c>
      <c r="K19" s="1758">
        <f>VLOOKUP($G19,'Quantidades Padrão'!$E$7:$J$103,K$8,0)</f>
        <v>22.558404558404565</v>
      </c>
      <c r="L19" s="1759" t="s">
        <v>396</v>
      </c>
      <c r="M19" s="992">
        <f t="shared" si="6"/>
        <v>8211.2592592592609</v>
      </c>
      <c r="N19" s="1759" t="s">
        <v>396</v>
      </c>
      <c r="O19" s="992">
        <f t="shared" si="7"/>
        <v>14780.26666666667</v>
      </c>
      <c r="P19" s="992"/>
      <c r="Q19" s="1760">
        <f t="shared" si="0"/>
        <v>2.3811139047336528E-3</v>
      </c>
      <c r="R19" s="992">
        <f t="shared" si="8"/>
        <v>500</v>
      </c>
      <c r="S19" s="1757" t="s">
        <v>396</v>
      </c>
      <c r="T19" s="1758">
        <f>VLOOKUP($G19,'Quantidades Padrão'!$E$7:$J$103,T$8,0)</f>
        <v>22.558404558404565</v>
      </c>
      <c r="U19" s="1759" t="s">
        <v>396</v>
      </c>
      <c r="V19" s="992">
        <f t="shared" si="9"/>
        <v>11279.202279202282</v>
      </c>
      <c r="W19" s="1759" t="s">
        <v>396</v>
      </c>
      <c r="X19" s="992">
        <f t="shared" si="1"/>
        <v>20302.564102564109</v>
      </c>
      <c r="Y19" s="992"/>
      <c r="Z19" s="992">
        <f t="shared" si="10"/>
        <v>500</v>
      </c>
      <c r="AA19" s="1757" t="s">
        <v>396</v>
      </c>
      <c r="AB19" s="1758">
        <f>VLOOKUP($G19,'Quantidades Padrão'!$E$7:$J$103,AB$8,0)</f>
        <v>42.297008547008552</v>
      </c>
      <c r="AC19" s="1759" t="s">
        <v>396</v>
      </c>
      <c r="AD19" s="992">
        <f t="shared" si="11"/>
        <v>21148.504273504277</v>
      </c>
      <c r="AE19" s="1759" t="s">
        <v>396</v>
      </c>
      <c r="AF19" s="992">
        <f t="shared" si="2"/>
        <v>38067.307692307702</v>
      </c>
      <c r="AG19" s="992"/>
      <c r="AH19" s="992">
        <f t="shared" si="12"/>
        <v>500</v>
      </c>
      <c r="AI19" s="1757" t="s">
        <v>396</v>
      </c>
      <c r="AJ19" s="1758">
        <f>VLOOKUP($G19,'Quantidades Padrão'!$E$7:$J$103,AJ$8,0)</f>
        <v>22.558404558404565</v>
      </c>
      <c r="AK19" s="1759" t="s">
        <v>396</v>
      </c>
      <c r="AL19" s="992">
        <f t="shared" si="13"/>
        <v>11279.202279202282</v>
      </c>
      <c r="AM19" s="1759" t="s">
        <v>396</v>
      </c>
      <c r="AN19" s="992">
        <f t="shared" si="3"/>
        <v>20302.564102564109</v>
      </c>
      <c r="AO19" s="992"/>
      <c r="AP19" s="992">
        <f t="shared" si="14"/>
        <v>500</v>
      </c>
      <c r="AQ19" s="1757" t="s">
        <v>396</v>
      </c>
      <c r="AR19" s="1758">
        <f>VLOOKUP($G19,'Quantidades Padrão'!$E$7:$J$103,AR$8,0)</f>
        <v>22.558404558404565</v>
      </c>
      <c r="AS19" s="1759" t="s">
        <v>396</v>
      </c>
      <c r="AT19" s="992">
        <f t="shared" si="15"/>
        <v>11279.202279202282</v>
      </c>
      <c r="AU19" s="1759" t="s">
        <v>396</v>
      </c>
      <c r="AV19" s="992">
        <f t="shared" si="4"/>
        <v>20302.564102564109</v>
      </c>
      <c r="AW19" s="992"/>
      <c r="AX19" s="992">
        <f t="shared" si="16"/>
        <v>513.17434300000002</v>
      </c>
      <c r="AY19" s="1757" t="s">
        <v>396</v>
      </c>
      <c r="AZ19" s="1758">
        <f>VLOOKUP($G19,'Quantidades Padrão'!$E$7:$J$103,AZ$8,0)</f>
        <v>32.42770655270656</v>
      </c>
      <c r="BA19" s="1759" t="s">
        <v>396</v>
      </c>
      <c r="BB19" s="992">
        <f t="shared" si="17"/>
        <v>16641.067005181983</v>
      </c>
      <c r="BC19" s="1759" t="s">
        <v>396</v>
      </c>
      <c r="BD19" s="992">
        <f t="shared" si="18"/>
        <v>29953.920609327572</v>
      </c>
      <c r="BE19" s="992"/>
      <c r="BF19" s="992">
        <f t="shared" si="19"/>
        <v>539.66868600000009</v>
      </c>
      <c r="BG19" s="1757" t="s">
        <v>396</v>
      </c>
      <c r="BH19" s="1758">
        <f>VLOOKUP($G19,'Quantidades Padrão'!$E$7:$J$103,BH$8,0)</f>
        <v>42.297008547008552</v>
      </c>
      <c r="BI19" s="1759" t="s">
        <v>396</v>
      </c>
      <c r="BJ19" s="992">
        <f t="shared" si="20"/>
        <v>22826.37102429488</v>
      </c>
      <c r="BK19" s="1759" t="s">
        <v>396</v>
      </c>
      <c r="BL19" s="992">
        <f t="shared" si="21"/>
        <v>41087.467843730788</v>
      </c>
      <c r="BM19" s="992"/>
      <c r="BN19" s="992">
        <f t="shared" si="22"/>
        <v>539.66868600000009</v>
      </c>
      <c r="BO19" s="1757" t="s">
        <v>396</v>
      </c>
      <c r="BP19" s="1758">
        <f>VLOOKUP($G19,'Quantidades Padrão'!$E$7:$J$103,BP$8,0)</f>
        <v>22.558404558404565</v>
      </c>
      <c r="BQ19" s="1759" t="s">
        <v>396</v>
      </c>
      <c r="BR19" s="992">
        <f t="shared" si="23"/>
        <v>12174.064546290603</v>
      </c>
      <c r="BS19" s="1759" t="s">
        <v>396</v>
      </c>
      <c r="BT19" s="992">
        <f t="shared" si="24"/>
        <v>21913.316183323088</v>
      </c>
      <c r="BU19" s="992"/>
      <c r="BV19" s="992">
        <f t="shared" si="25"/>
        <v>539.66868600000009</v>
      </c>
      <c r="BW19" s="1757" t="s">
        <v>396</v>
      </c>
      <c r="BX19" s="1758">
        <f>VLOOKUP($G19,'Quantidades Padrão'!$E$7:$J$103,BX$8,0)</f>
        <v>32.42770655270656</v>
      </c>
      <c r="BY19" s="1759" t="s">
        <v>396</v>
      </c>
      <c r="BZ19" s="992">
        <f t="shared" si="26"/>
        <v>17500.217785292742</v>
      </c>
      <c r="CA19" s="1759" t="s">
        <v>396</v>
      </c>
      <c r="CB19" s="992">
        <f t="shared" si="27"/>
        <v>31500.392013526936</v>
      </c>
      <c r="CC19" s="992"/>
      <c r="CD19" s="992">
        <f t="shared" si="28"/>
        <v>539.66868600000009</v>
      </c>
      <c r="CE19" s="1757" t="s">
        <v>396</v>
      </c>
      <c r="CF19" s="1758">
        <f>VLOOKUP($G19,'Quantidades Padrão'!$E$7:$J$103,CF$8,0)</f>
        <v>42.297008547008552</v>
      </c>
      <c r="CG19" s="1759" t="s">
        <v>396</v>
      </c>
      <c r="CH19" s="992">
        <f t="shared" si="29"/>
        <v>22826.37102429488</v>
      </c>
      <c r="CI19" s="1759" t="s">
        <v>396</v>
      </c>
      <c r="CJ19" s="992">
        <f t="shared" si="30"/>
        <v>41087.467843730788</v>
      </c>
      <c r="CK19" s="992"/>
      <c r="CL19" s="992">
        <f t="shared" si="31"/>
        <v>539.66868600000009</v>
      </c>
      <c r="CM19" s="1757" t="s">
        <v>396</v>
      </c>
      <c r="CN19" s="1758">
        <f>VLOOKUP($G19,'Quantidades Padrão'!$E$7:$J$103,CN$8,0)</f>
        <v>22.558404558404565</v>
      </c>
      <c r="CO19" s="1759" t="s">
        <v>396</v>
      </c>
      <c r="CP19" s="992">
        <f t="shared" si="32"/>
        <v>12174.064546290603</v>
      </c>
      <c r="CQ19" s="1759" t="s">
        <v>396</v>
      </c>
      <c r="CR19" s="992">
        <f t="shared" si="33"/>
        <v>21913.316183323088</v>
      </c>
      <c r="CS19" s="992"/>
      <c r="CT19" s="992">
        <f t="shared" si="34"/>
        <v>539.66868600000009</v>
      </c>
      <c r="CU19" s="1757" t="s">
        <v>396</v>
      </c>
      <c r="CV19" s="1758">
        <f>VLOOKUP($G19,'Quantidades Padrão'!$E$7:$J$103,CV$8,0)</f>
        <v>32.42770655270656</v>
      </c>
      <c r="CW19" s="1759" t="s">
        <v>396</v>
      </c>
      <c r="CX19" s="992">
        <f t="shared" si="35"/>
        <v>17500.217785292742</v>
      </c>
      <c r="CY19" s="1759" t="s">
        <v>396</v>
      </c>
      <c r="CZ19" s="992">
        <f t="shared" si="36"/>
        <v>31500.392013526936</v>
      </c>
      <c r="DA19" s="992"/>
      <c r="DB19" s="992">
        <f t="shared" si="37"/>
        <v>539.66868600000009</v>
      </c>
      <c r="DC19" s="1757" t="s">
        <v>396</v>
      </c>
      <c r="DD19" s="1758">
        <f>VLOOKUP($G19,'Quantidades Padrão'!$E$7:$J$103,DD$8,0)</f>
        <v>42.297008547008552</v>
      </c>
      <c r="DE19" s="1759" t="s">
        <v>396</v>
      </c>
      <c r="DF19" s="992">
        <f t="shared" si="38"/>
        <v>22826.37102429488</v>
      </c>
      <c r="DG19" s="1759" t="s">
        <v>396</v>
      </c>
      <c r="DH19" s="992">
        <f t="shared" si="39"/>
        <v>41087.467843730788</v>
      </c>
      <c r="DI19" s="992"/>
      <c r="DJ19" s="992">
        <f t="shared" si="40"/>
        <v>539.66868600000009</v>
      </c>
      <c r="DK19" s="1757" t="s">
        <v>396</v>
      </c>
      <c r="DL19" s="1758">
        <f>VLOOKUP($G19,'Quantidades Padrão'!$E$7:$J$103,DL$8,0)</f>
        <v>22.558404558404565</v>
      </c>
      <c r="DM19" s="1759" t="s">
        <v>396</v>
      </c>
      <c r="DN19" s="992">
        <f t="shared" si="41"/>
        <v>12174.064546290603</v>
      </c>
      <c r="DO19" s="1759" t="s">
        <v>396</v>
      </c>
      <c r="DP19" s="992">
        <f t="shared" si="42"/>
        <v>21913.316183323088</v>
      </c>
      <c r="DQ19" s="992"/>
      <c r="DR19" s="992">
        <f t="shared" si="43"/>
        <v>539.66868600000009</v>
      </c>
      <c r="DS19" s="1757" t="s">
        <v>396</v>
      </c>
      <c r="DT19" s="1758">
        <f>VLOOKUP($G19,'Quantidades Padrão'!$E$7:$J$103,DT$8,0)</f>
        <v>32.42770655270656</v>
      </c>
      <c r="DU19" s="1759" t="s">
        <v>396</v>
      </c>
      <c r="DV19" s="992">
        <f t="shared" si="44"/>
        <v>17500.217785292742</v>
      </c>
      <c r="DW19" s="1759" t="s">
        <v>396</v>
      </c>
      <c r="DX19" s="992">
        <f t="shared" si="45"/>
        <v>31500.392013526936</v>
      </c>
      <c r="DY19" s="992"/>
      <c r="DZ19" s="992">
        <f t="shared" si="46"/>
        <v>548.54868600000009</v>
      </c>
      <c r="EA19" s="1757" t="s">
        <v>396</v>
      </c>
      <c r="EB19" s="1758">
        <f>VLOOKUP($G19,'Quantidades Padrão'!$E$7:$J$103,EB$8,0)</f>
        <v>42.297008547008552</v>
      </c>
      <c r="EC19" s="1759" t="s">
        <v>396</v>
      </c>
      <c r="ED19" s="992">
        <f t="shared" si="47"/>
        <v>23201.968460192315</v>
      </c>
      <c r="EE19" s="1759" t="s">
        <v>396</v>
      </c>
      <c r="EF19" s="992">
        <f t="shared" si="48"/>
        <v>41763.543228346171</v>
      </c>
      <c r="EG19" s="992"/>
      <c r="EH19" s="992">
        <f t="shared" si="49"/>
        <v>548.54868600000009</v>
      </c>
      <c r="EI19" s="1757" t="s">
        <v>396</v>
      </c>
      <c r="EJ19" s="1758">
        <f>VLOOKUP($G19,'Quantidades Padrão'!$E$7:$J$103,EJ$8,0)</f>
        <v>22.558404558404565</v>
      </c>
      <c r="EK19" s="1759" t="s">
        <v>396</v>
      </c>
      <c r="EL19" s="992">
        <f t="shared" si="50"/>
        <v>12374.383178769236</v>
      </c>
      <c r="EM19" s="1759" t="s">
        <v>396</v>
      </c>
      <c r="EN19" s="992">
        <f t="shared" si="51"/>
        <v>22273.889721784624</v>
      </c>
      <c r="EO19" s="992"/>
      <c r="EP19" s="992">
        <f t="shared" si="52"/>
        <v>548.54868600000009</v>
      </c>
      <c r="EQ19" s="1757" t="s">
        <v>396</v>
      </c>
      <c r="ER19" s="1758">
        <f>VLOOKUP($G19,'Quantidades Padrão'!$E$7:$J$103,ER$8,0)</f>
        <v>32.42770655270656</v>
      </c>
      <c r="ES19" s="1759" t="s">
        <v>396</v>
      </c>
      <c r="ET19" s="992">
        <f t="shared" si="53"/>
        <v>17788.175819480777</v>
      </c>
      <c r="EU19" s="1759" t="s">
        <v>396</v>
      </c>
      <c r="EV19" s="992">
        <f t="shared" si="54"/>
        <v>32018.716475065401</v>
      </c>
      <c r="EW19" s="992"/>
      <c r="EX19" s="992">
        <f t="shared" si="55"/>
        <v>548.54868600000009</v>
      </c>
      <c r="EY19" s="1757" t="s">
        <v>396</v>
      </c>
      <c r="EZ19" s="1758">
        <f>VLOOKUP($G19,'Quantidades Padrão'!$E$7:$J$103,EZ$8,0)</f>
        <v>42.297008547008552</v>
      </c>
      <c r="FA19" s="1759" t="s">
        <v>396</v>
      </c>
      <c r="FB19" s="992">
        <f t="shared" si="56"/>
        <v>23201.968460192315</v>
      </c>
      <c r="FC19" s="1759" t="s">
        <v>396</v>
      </c>
      <c r="FD19" s="992">
        <f t="shared" si="57"/>
        <v>41763.543228346171</v>
      </c>
      <c r="FE19" s="992"/>
      <c r="FF19" s="992">
        <f t="shared" si="58"/>
        <v>548.54868600000009</v>
      </c>
      <c r="FG19" s="1757" t="s">
        <v>396</v>
      </c>
      <c r="FH19" s="1758">
        <f>VLOOKUP($G19,'Quantidades Padrão'!$E$7:$J$103,FH$8,0)</f>
        <v>22.558404558404565</v>
      </c>
      <c r="FI19" s="1759" t="s">
        <v>396</v>
      </c>
      <c r="FJ19" s="992">
        <f t="shared" si="59"/>
        <v>12374.383178769236</v>
      </c>
      <c r="FK19" s="1759" t="s">
        <v>396</v>
      </c>
      <c r="FL19" s="992">
        <f t="shared" si="60"/>
        <v>22273.889721784624</v>
      </c>
      <c r="FM19" s="992"/>
      <c r="FN19" s="992">
        <f t="shared" si="61"/>
        <v>571.14868600000011</v>
      </c>
      <c r="FO19" s="1757" t="s">
        <v>396</v>
      </c>
      <c r="FP19" s="1758">
        <f>VLOOKUP($G19,'Quantidades Padrão'!$E$7:$J$103,FP$8,0)</f>
        <v>32.42770655270656</v>
      </c>
      <c r="FQ19" s="1759" t="s">
        <v>396</v>
      </c>
      <c r="FR19" s="992">
        <f t="shared" si="62"/>
        <v>18521.041987571945</v>
      </c>
      <c r="FS19" s="1759" t="s">
        <v>396</v>
      </c>
      <c r="FT19" s="992">
        <f t="shared" si="63"/>
        <v>33337.8755776295</v>
      </c>
      <c r="FU19" s="992"/>
      <c r="FV19" s="992">
        <f t="shared" si="64"/>
        <v>571.14868600000011</v>
      </c>
      <c r="FW19" s="1757" t="s">
        <v>396</v>
      </c>
      <c r="FX19" s="1758">
        <f>VLOOKUP($G19,'Quantidades Padrão'!$E$7:$J$103,FX$8,0)</f>
        <v>42.297008547008552</v>
      </c>
      <c r="FY19" s="1759" t="s">
        <v>396</v>
      </c>
      <c r="FZ19" s="992">
        <f t="shared" si="65"/>
        <v>24157.880853354709</v>
      </c>
      <c r="GA19" s="1759" t="s">
        <v>396</v>
      </c>
      <c r="GB19" s="992">
        <f t="shared" si="66"/>
        <v>43484.18553603848</v>
      </c>
      <c r="GC19" s="992"/>
      <c r="GD19" s="992">
        <f t="shared" si="67"/>
        <v>571.14868600000011</v>
      </c>
      <c r="GE19" s="1757" t="s">
        <v>396</v>
      </c>
      <c r="GF19" s="1758">
        <f>VLOOKUP($G19,'Quantidades Padrão'!$E$7:$J$103,GF$8,0)</f>
        <v>22.558404558404565</v>
      </c>
      <c r="GG19" s="1759" t="s">
        <v>396</v>
      </c>
      <c r="GH19" s="992">
        <f t="shared" si="68"/>
        <v>12884.20312178918</v>
      </c>
      <c r="GI19" s="1759" t="s">
        <v>396</v>
      </c>
      <c r="GJ19" s="992">
        <f t="shared" si="69"/>
        <v>23191.565619220524</v>
      </c>
      <c r="GK19" s="992"/>
      <c r="GL19" s="992">
        <f t="shared" si="70"/>
        <v>571.14868600000011</v>
      </c>
      <c r="GM19" s="1757" t="s">
        <v>396</v>
      </c>
      <c r="GN19" s="1758">
        <f>VLOOKUP($G19,'Quantidades Padrão'!$E$7:$J$103,GN$8,0)</f>
        <v>32.42770655270656</v>
      </c>
      <c r="GO19" s="1759" t="s">
        <v>396</v>
      </c>
      <c r="GP19" s="992">
        <f t="shared" si="71"/>
        <v>18521.041987571945</v>
      </c>
      <c r="GQ19" s="1759" t="s">
        <v>396</v>
      </c>
      <c r="GR19" s="992">
        <f t="shared" si="72"/>
        <v>33337.8755776295</v>
      </c>
      <c r="GS19" s="992"/>
      <c r="GT19" s="992">
        <f t="shared" si="73"/>
        <v>571.14868600000011</v>
      </c>
      <c r="GU19" s="1757" t="s">
        <v>396</v>
      </c>
      <c r="GV19" s="1758">
        <f>VLOOKUP($G19,'Quantidades Padrão'!$E$7:$J$103,GV$8,0)</f>
        <v>42.297008547008552</v>
      </c>
      <c r="GW19" s="1759" t="s">
        <v>396</v>
      </c>
      <c r="GX19" s="992">
        <f t="shared" si="74"/>
        <v>24157.880853354709</v>
      </c>
      <c r="GY19" s="1759" t="s">
        <v>396</v>
      </c>
      <c r="GZ19" s="992">
        <f t="shared" si="75"/>
        <v>43484.18553603848</v>
      </c>
      <c r="HA19" s="992"/>
      <c r="HB19" s="992">
        <f t="shared" si="76"/>
        <v>575.58868600000005</v>
      </c>
      <c r="HC19" s="1757" t="s">
        <v>396</v>
      </c>
      <c r="HD19" s="1758">
        <f>VLOOKUP($G19,'Quantidades Padrão'!$E$7:$J$103,HD$8,0)</f>
        <v>22.558404558404565</v>
      </c>
      <c r="HE19" s="1759" t="s">
        <v>396</v>
      </c>
      <c r="HF19" s="992">
        <f t="shared" si="77"/>
        <v>12984.362438028495</v>
      </c>
      <c r="HG19" s="1759" t="s">
        <v>396</v>
      </c>
      <c r="HH19" s="992">
        <f t="shared" si="78"/>
        <v>23371.852388451291</v>
      </c>
      <c r="HI19" s="992"/>
      <c r="HJ19" s="992">
        <f t="shared" si="79"/>
        <v>575.58868600000005</v>
      </c>
      <c r="HK19" s="1757" t="s">
        <v>396</v>
      </c>
      <c r="HL19" s="1758">
        <f>VLOOKUP($G19,'Quantidades Padrão'!$E$7:$J$103,HL$8,0)</f>
        <v>32.42770655270656</v>
      </c>
      <c r="HM19" s="1759" t="s">
        <v>396</v>
      </c>
      <c r="HN19" s="992">
        <f t="shared" si="80"/>
        <v>18665.021004665959</v>
      </c>
      <c r="HO19" s="1759" t="s">
        <v>396</v>
      </c>
      <c r="HP19" s="992">
        <f t="shared" si="81"/>
        <v>33597.037808398731</v>
      </c>
      <c r="HQ19" s="992"/>
      <c r="HR19" s="992">
        <f t="shared" si="82"/>
        <v>575.58868600000005</v>
      </c>
      <c r="HS19" s="1757" t="s">
        <v>396</v>
      </c>
      <c r="HT19" s="1758">
        <f>VLOOKUP($G19,'Quantidades Padrão'!$E$7:$J$103,HT$8,0)</f>
        <v>42.297008547008552</v>
      </c>
      <c r="HU19" s="1759" t="s">
        <v>396</v>
      </c>
      <c r="HV19" s="992">
        <f t="shared" si="83"/>
        <v>24345.679571303423</v>
      </c>
      <c r="HW19" s="1759" t="s">
        <v>396</v>
      </c>
      <c r="HX19" s="992">
        <f t="shared" si="84"/>
        <v>43822.223228346164</v>
      </c>
      <c r="HY19" s="992"/>
      <c r="HZ19" s="992">
        <f t="shared" si="85"/>
        <v>575.58868600000005</v>
      </c>
      <c r="IA19" s="1757" t="s">
        <v>396</v>
      </c>
      <c r="IB19" s="1758">
        <f>VLOOKUP($G19,'Quantidades Padrão'!$E$7:$J$103,IB$8,0)</f>
        <v>22.558404558404565</v>
      </c>
      <c r="IC19" s="1759" t="s">
        <v>396</v>
      </c>
      <c r="ID19" s="992">
        <f t="shared" si="86"/>
        <v>12984.362438028495</v>
      </c>
      <c r="IE19" s="1759" t="s">
        <v>396</v>
      </c>
      <c r="IF19" s="992">
        <f t="shared" si="87"/>
        <v>23371.852388451291</v>
      </c>
      <c r="IG19" s="992"/>
      <c r="IH19" s="992">
        <f t="shared" si="88"/>
        <v>575.58868600000005</v>
      </c>
      <c r="II19" s="1757" t="s">
        <v>396</v>
      </c>
      <c r="IJ19" s="1758">
        <f>VLOOKUP($G19,'Quantidades Padrão'!$E$7:$J$103,IJ$8,0)</f>
        <v>32.42770655270656</v>
      </c>
      <c r="IK19" s="1759" t="s">
        <v>396</v>
      </c>
      <c r="IL19" s="992">
        <f t="shared" si="89"/>
        <v>18665.021004665959</v>
      </c>
      <c r="IM19" s="1759" t="s">
        <v>396</v>
      </c>
      <c r="IN19" s="992">
        <f t="shared" si="90"/>
        <v>33597.037808398731</v>
      </c>
      <c r="IO19" s="992"/>
    </row>
    <row r="20" spans="1:249" s="341" customFormat="1" ht="27" customHeight="1">
      <c r="A20" s="1753"/>
      <c r="B20" s="1754"/>
      <c r="C20" s="1755"/>
      <c r="D20" s="1013">
        <f>VLOOKUP(E20,'DER MG'!$D$5:$I$150,6,0)</f>
        <v>1.59</v>
      </c>
      <c r="E20" s="1017">
        <v>41368</v>
      </c>
      <c r="F20" s="1756"/>
      <c r="G20" s="1018" t="s">
        <v>404</v>
      </c>
      <c r="H20" s="992">
        <f t="shared" si="5"/>
        <v>1525249.4667953679</v>
      </c>
      <c r="I20" s="992">
        <v>364</v>
      </c>
      <c r="J20" s="1757" t="s">
        <v>396</v>
      </c>
      <c r="K20" s="1758">
        <f>VLOOKUP($G20,'Quantidades Padrão'!$E$7:$J$103,K$8,0)</f>
        <v>42.251282051282061</v>
      </c>
      <c r="L20" s="1759" t="s">
        <v>396</v>
      </c>
      <c r="M20" s="992">
        <f t="shared" si="6"/>
        <v>15379.466666666671</v>
      </c>
      <c r="N20" s="1759" t="s">
        <v>396</v>
      </c>
      <c r="O20" s="992">
        <f t="shared" si="7"/>
        <v>24453.352000000006</v>
      </c>
      <c r="P20" s="992"/>
      <c r="Q20" s="1760">
        <f t="shared" si="0"/>
        <v>3.939456423737042E-3</v>
      </c>
      <c r="R20" s="992">
        <f t="shared" si="8"/>
        <v>500</v>
      </c>
      <c r="S20" s="1757" t="s">
        <v>396</v>
      </c>
      <c r="T20" s="1758">
        <f>VLOOKUP($G20,'Quantidades Padrão'!$E$7:$J$103,T$8,0)</f>
        <v>42.251282051282061</v>
      </c>
      <c r="U20" s="1759" t="s">
        <v>396</v>
      </c>
      <c r="V20" s="992">
        <f t="shared" si="9"/>
        <v>21125.641025641031</v>
      </c>
      <c r="W20" s="1759" t="s">
        <v>396</v>
      </c>
      <c r="X20" s="992">
        <f t="shared" si="1"/>
        <v>33589.769230769241</v>
      </c>
      <c r="Y20" s="992"/>
      <c r="Z20" s="992">
        <f t="shared" si="10"/>
        <v>500</v>
      </c>
      <c r="AA20" s="1757" t="s">
        <v>396</v>
      </c>
      <c r="AB20" s="1758">
        <f>VLOOKUP($G20,'Quantidades Padrão'!$E$7:$J$103,AB$8,0)</f>
        <v>79.221153846153854</v>
      </c>
      <c r="AC20" s="1759" t="s">
        <v>396</v>
      </c>
      <c r="AD20" s="992">
        <f t="shared" si="11"/>
        <v>39610.576923076929</v>
      </c>
      <c r="AE20" s="1759" t="s">
        <v>396</v>
      </c>
      <c r="AF20" s="992">
        <f t="shared" si="2"/>
        <v>62980.817307692319</v>
      </c>
      <c r="AG20" s="992"/>
      <c r="AH20" s="992">
        <f t="shared" si="12"/>
        <v>500</v>
      </c>
      <c r="AI20" s="1757" t="s">
        <v>396</v>
      </c>
      <c r="AJ20" s="1758">
        <f>VLOOKUP($G20,'Quantidades Padrão'!$E$7:$J$103,AJ$8,0)</f>
        <v>42.251282051282061</v>
      </c>
      <c r="AK20" s="1759" t="s">
        <v>396</v>
      </c>
      <c r="AL20" s="992">
        <f t="shared" si="13"/>
        <v>21125.641025641031</v>
      </c>
      <c r="AM20" s="1759" t="s">
        <v>396</v>
      </c>
      <c r="AN20" s="992">
        <f t="shared" si="3"/>
        <v>33589.769230769241</v>
      </c>
      <c r="AO20" s="992"/>
      <c r="AP20" s="992">
        <f t="shared" si="14"/>
        <v>500</v>
      </c>
      <c r="AQ20" s="1757" t="s">
        <v>396</v>
      </c>
      <c r="AR20" s="1758">
        <f>VLOOKUP($G20,'Quantidades Padrão'!$E$7:$J$103,AR$8,0)</f>
        <v>42.251282051282061</v>
      </c>
      <c r="AS20" s="1759" t="s">
        <v>396</v>
      </c>
      <c r="AT20" s="992">
        <f t="shared" si="15"/>
        <v>21125.641025641031</v>
      </c>
      <c r="AU20" s="1759" t="s">
        <v>396</v>
      </c>
      <c r="AV20" s="992">
        <f t="shared" si="4"/>
        <v>33589.769230769241</v>
      </c>
      <c r="AW20" s="992"/>
      <c r="AX20" s="992">
        <f t="shared" si="16"/>
        <v>513.17434300000002</v>
      </c>
      <c r="AY20" s="1757" t="s">
        <v>396</v>
      </c>
      <c r="AZ20" s="1758">
        <f>VLOOKUP($G20,'Quantidades Padrão'!$E$7:$J$103,AZ$8,0)</f>
        <v>60.736217948717965</v>
      </c>
      <c r="BA20" s="1759" t="s">
        <v>396</v>
      </c>
      <c r="BB20" s="992">
        <f t="shared" si="17"/>
        <v>31168.268742138149</v>
      </c>
      <c r="BC20" s="1759" t="s">
        <v>396</v>
      </c>
      <c r="BD20" s="992">
        <f t="shared" si="18"/>
        <v>49557.547299999656</v>
      </c>
      <c r="BE20" s="992"/>
      <c r="BF20" s="992">
        <f t="shared" si="19"/>
        <v>539.66868600000009</v>
      </c>
      <c r="BG20" s="1757" t="s">
        <v>396</v>
      </c>
      <c r="BH20" s="1758">
        <f>VLOOKUP($G20,'Quantidades Padrão'!$E$7:$J$103,BH$8,0)</f>
        <v>79.221153846153854</v>
      </c>
      <c r="BI20" s="1759" t="s">
        <v>396</v>
      </c>
      <c r="BJ20" s="992">
        <f t="shared" si="20"/>
        <v>42753.175999557701</v>
      </c>
      <c r="BK20" s="1759" t="s">
        <v>396</v>
      </c>
      <c r="BL20" s="992">
        <f t="shared" si="21"/>
        <v>67977.549839296742</v>
      </c>
      <c r="BM20" s="992"/>
      <c r="BN20" s="992">
        <f t="shared" si="22"/>
        <v>539.66868600000009</v>
      </c>
      <c r="BO20" s="1757" t="s">
        <v>396</v>
      </c>
      <c r="BP20" s="1758">
        <f>VLOOKUP($G20,'Quantidades Padrão'!$E$7:$J$103,BP$8,0)</f>
        <v>42.251282051282061</v>
      </c>
      <c r="BQ20" s="1759" t="s">
        <v>396</v>
      </c>
      <c r="BR20" s="992">
        <f t="shared" si="23"/>
        <v>22801.693866430778</v>
      </c>
      <c r="BS20" s="1759" t="s">
        <v>396</v>
      </c>
      <c r="BT20" s="992">
        <f t="shared" si="24"/>
        <v>36254.693247624942</v>
      </c>
      <c r="BU20" s="992"/>
      <c r="BV20" s="992">
        <f t="shared" si="25"/>
        <v>539.66868600000009</v>
      </c>
      <c r="BW20" s="1757" t="s">
        <v>396</v>
      </c>
      <c r="BX20" s="1758">
        <f>VLOOKUP($G20,'Quantidades Padrão'!$E$7:$J$103,BX$8,0)</f>
        <v>60.736217948717965</v>
      </c>
      <c r="BY20" s="1759" t="s">
        <v>396</v>
      </c>
      <c r="BZ20" s="992">
        <f t="shared" si="26"/>
        <v>32777.434932994242</v>
      </c>
      <c r="CA20" s="1759" t="s">
        <v>396</v>
      </c>
      <c r="CB20" s="992">
        <f t="shared" si="27"/>
        <v>52116.121543460846</v>
      </c>
      <c r="CC20" s="992"/>
      <c r="CD20" s="992">
        <f t="shared" si="28"/>
        <v>539.66868600000009</v>
      </c>
      <c r="CE20" s="1757" t="s">
        <v>396</v>
      </c>
      <c r="CF20" s="1758">
        <f>VLOOKUP($G20,'Quantidades Padrão'!$E$7:$J$103,CF$8,0)</f>
        <v>79.221153846153854</v>
      </c>
      <c r="CG20" s="1759" t="s">
        <v>396</v>
      </c>
      <c r="CH20" s="992">
        <f t="shared" si="29"/>
        <v>42753.175999557701</v>
      </c>
      <c r="CI20" s="1759" t="s">
        <v>396</v>
      </c>
      <c r="CJ20" s="992">
        <f t="shared" si="30"/>
        <v>67977.549839296742</v>
      </c>
      <c r="CK20" s="992"/>
      <c r="CL20" s="992">
        <f t="shared" si="31"/>
        <v>539.66868600000009</v>
      </c>
      <c r="CM20" s="1757" t="s">
        <v>396</v>
      </c>
      <c r="CN20" s="1758">
        <f>VLOOKUP($G20,'Quantidades Padrão'!$E$7:$J$103,CN$8,0)</f>
        <v>42.251282051282061</v>
      </c>
      <c r="CO20" s="1759" t="s">
        <v>396</v>
      </c>
      <c r="CP20" s="992">
        <f t="shared" si="32"/>
        <v>22801.693866430778</v>
      </c>
      <c r="CQ20" s="1759" t="s">
        <v>396</v>
      </c>
      <c r="CR20" s="992">
        <f t="shared" si="33"/>
        <v>36254.693247624942</v>
      </c>
      <c r="CS20" s="992"/>
      <c r="CT20" s="992">
        <f t="shared" si="34"/>
        <v>539.66868600000009</v>
      </c>
      <c r="CU20" s="1757" t="s">
        <v>396</v>
      </c>
      <c r="CV20" s="1758">
        <f>VLOOKUP($G20,'Quantidades Padrão'!$E$7:$J$103,CV$8,0)</f>
        <v>60.736217948717965</v>
      </c>
      <c r="CW20" s="1759" t="s">
        <v>396</v>
      </c>
      <c r="CX20" s="992">
        <f t="shared" si="35"/>
        <v>32777.434932994242</v>
      </c>
      <c r="CY20" s="1759" t="s">
        <v>396</v>
      </c>
      <c r="CZ20" s="992">
        <f t="shared" si="36"/>
        <v>52116.121543460846</v>
      </c>
      <c r="DA20" s="992"/>
      <c r="DB20" s="992">
        <f t="shared" si="37"/>
        <v>539.66868600000009</v>
      </c>
      <c r="DC20" s="1757" t="s">
        <v>396</v>
      </c>
      <c r="DD20" s="1758">
        <f>VLOOKUP($G20,'Quantidades Padrão'!$E$7:$J$103,DD$8,0)</f>
        <v>79.221153846153854</v>
      </c>
      <c r="DE20" s="1759" t="s">
        <v>396</v>
      </c>
      <c r="DF20" s="992">
        <f t="shared" si="38"/>
        <v>42753.175999557701</v>
      </c>
      <c r="DG20" s="1759" t="s">
        <v>396</v>
      </c>
      <c r="DH20" s="992">
        <f t="shared" si="39"/>
        <v>67977.549839296742</v>
      </c>
      <c r="DI20" s="992"/>
      <c r="DJ20" s="992">
        <f t="shared" si="40"/>
        <v>539.66868600000009</v>
      </c>
      <c r="DK20" s="1757" t="s">
        <v>396</v>
      </c>
      <c r="DL20" s="1758">
        <f>VLOOKUP($G20,'Quantidades Padrão'!$E$7:$J$103,DL$8,0)</f>
        <v>42.251282051282061</v>
      </c>
      <c r="DM20" s="1759" t="s">
        <v>396</v>
      </c>
      <c r="DN20" s="992">
        <f t="shared" si="41"/>
        <v>22801.693866430778</v>
      </c>
      <c r="DO20" s="1759" t="s">
        <v>396</v>
      </c>
      <c r="DP20" s="992">
        <f t="shared" si="42"/>
        <v>36254.693247624942</v>
      </c>
      <c r="DQ20" s="992"/>
      <c r="DR20" s="992">
        <f t="shared" si="43"/>
        <v>539.66868600000009</v>
      </c>
      <c r="DS20" s="1757" t="s">
        <v>396</v>
      </c>
      <c r="DT20" s="1758">
        <f>VLOOKUP($G20,'Quantidades Padrão'!$E$7:$J$103,DT$8,0)</f>
        <v>60.736217948717965</v>
      </c>
      <c r="DU20" s="1759" t="s">
        <v>396</v>
      </c>
      <c r="DV20" s="992">
        <f t="shared" si="44"/>
        <v>32777.434932994242</v>
      </c>
      <c r="DW20" s="1759" t="s">
        <v>396</v>
      </c>
      <c r="DX20" s="992">
        <f t="shared" si="45"/>
        <v>52116.121543460846</v>
      </c>
      <c r="DY20" s="992"/>
      <c r="DZ20" s="992">
        <f t="shared" si="46"/>
        <v>548.54868600000009</v>
      </c>
      <c r="EA20" s="1757" t="s">
        <v>396</v>
      </c>
      <c r="EB20" s="1758">
        <f>VLOOKUP($G20,'Quantidades Padrão'!$E$7:$J$103,EB$8,0)</f>
        <v>79.221153846153854</v>
      </c>
      <c r="EC20" s="1759" t="s">
        <v>396</v>
      </c>
      <c r="ED20" s="992">
        <f t="shared" si="47"/>
        <v>43456.659845711547</v>
      </c>
      <c r="EE20" s="1759" t="s">
        <v>396</v>
      </c>
      <c r="EF20" s="992">
        <f t="shared" si="48"/>
        <v>69096.089154681365</v>
      </c>
      <c r="EG20" s="992"/>
      <c r="EH20" s="992">
        <f t="shared" si="49"/>
        <v>548.54868600000009</v>
      </c>
      <c r="EI20" s="1757" t="s">
        <v>396</v>
      </c>
      <c r="EJ20" s="1758">
        <f>VLOOKUP($G20,'Quantidades Padrão'!$E$7:$J$103,EJ$8,0)</f>
        <v>42.251282051282061</v>
      </c>
      <c r="EK20" s="1759" t="s">
        <v>396</v>
      </c>
      <c r="EL20" s="992">
        <f t="shared" si="50"/>
        <v>23176.885251046162</v>
      </c>
      <c r="EM20" s="1759" t="s">
        <v>396</v>
      </c>
      <c r="EN20" s="992">
        <f t="shared" si="51"/>
        <v>36851.247549163396</v>
      </c>
      <c r="EO20" s="992"/>
      <c r="EP20" s="992">
        <f t="shared" si="52"/>
        <v>548.54868600000009</v>
      </c>
      <c r="EQ20" s="1757" t="s">
        <v>396</v>
      </c>
      <c r="ER20" s="1758">
        <f>VLOOKUP($G20,'Quantidades Padrão'!$E$7:$J$103,ER$8,0)</f>
        <v>60.736217948717965</v>
      </c>
      <c r="ES20" s="1759" t="s">
        <v>396</v>
      </c>
      <c r="ET20" s="992">
        <f t="shared" si="53"/>
        <v>33316.77254837886</v>
      </c>
      <c r="EU20" s="1759" t="s">
        <v>396</v>
      </c>
      <c r="EV20" s="992">
        <f t="shared" si="54"/>
        <v>52973.668351922388</v>
      </c>
      <c r="EW20" s="992"/>
      <c r="EX20" s="992">
        <f t="shared" si="55"/>
        <v>548.54868600000009</v>
      </c>
      <c r="EY20" s="1757" t="s">
        <v>396</v>
      </c>
      <c r="EZ20" s="1758">
        <f>VLOOKUP($G20,'Quantidades Padrão'!$E$7:$J$103,EZ$8,0)</f>
        <v>79.221153846153854</v>
      </c>
      <c r="FA20" s="1759" t="s">
        <v>396</v>
      </c>
      <c r="FB20" s="992">
        <f t="shared" si="56"/>
        <v>43456.659845711547</v>
      </c>
      <c r="FC20" s="1759" t="s">
        <v>396</v>
      </c>
      <c r="FD20" s="992">
        <f t="shared" si="57"/>
        <v>69096.089154681365</v>
      </c>
      <c r="FE20" s="992"/>
      <c r="FF20" s="992">
        <f t="shared" si="58"/>
        <v>548.54868600000009</v>
      </c>
      <c r="FG20" s="1757" t="s">
        <v>396</v>
      </c>
      <c r="FH20" s="1758">
        <f>VLOOKUP($G20,'Quantidades Padrão'!$E$7:$J$103,FH$8,0)</f>
        <v>42.251282051282061</v>
      </c>
      <c r="FI20" s="1759" t="s">
        <v>396</v>
      </c>
      <c r="FJ20" s="992">
        <f t="shared" si="59"/>
        <v>23176.885251046162</v>
      </c>
      <c r="FK20" s="1759" t="s">
        <v>396</v>
      </c>
      <c r="FL20" s="992">
        <f t="shared" si="60"/>
        <v>36851.247549163396</v>
      </c>
      <c r="FM20" s="992"/>
      <c r="FN20" s="992">
        <f t="shared" si="61"/>
        <v>571.14868600000011</v>
      </c>
      <c r="FO20" s="1757" t="s">
        <v>396</v>
      </c>
      <c r="FP20" s="1758">
        <f>VLOOKUP($G20,'Quantidades Padrão'!$E$7:$J$103,FP$8,0)</f>
        <v>60.736217948717965</v>
      </c>
      <c r="FQ20" s="1759" t="s">
        <v>396</v>
      </c>
      <c r="FR20" s="992">
        <f t="shared" si="62"/>
        <v>34689.411074019888</v>
      </c>
      <c r="FS20" s="1759" t="s">
        <v>396</v>
      </c>
      <c r="FT20" s="992">
        <f t="shared" si="63"/>
        <v>55156.163607691626</v>
      </c>
      <c r="FU20" s="992"/>
      <c r="FV20" s="992">
        <f t="shared" si="64"/>
        <v>571.14868600000011</v>
      </c>
      <c r="FW20" s="1757" t="s">
        <v>396</v>
      </c>
      <c r="FX20" s="1758">
        <f>VLOOKUP($G20,'Quantidades Padrão'!$E$7:$J$103,FX$8,0)</f>
        <v>79.221153846153854</v>
      </c>
      <c r="FY20" s="1759" t="s">
        <v>396</v>
      </c>
      <c r="FZ20" s="992">
        <f t="shared" si="65"/>
        <v>45247.057922634631</v>
      </c>
      <c r="GA20" s="1759" t="s">
        <v>396</v>
      </c>
      <c r="GB20" s="992">
        <f t="shared" si="66"/>
        <v>71942.822096989068</v>
      </c>
      <c r="GC20" s="992"/>
      <c r="GD20" s="992">
        <f t="shared" si="67"/>
        <v>571.14868600000011</v>
      </c>
      <c r="GE20" s="1757" t="s">
        <v>396</v>
      </c>
      <c r="GF20" s="1758">
        <f>VLOOKUP($G20,'Quantidades Padrão'!$E$7:$J$103,GF$8,0)</f>
        <v>42.251282051282061</v>
      </c>
      <c r="GG20" s="1759" t="s">
        <v>396</v>
      </c>
      <c r="GH20" s="992">
        <f t="shared" si="68"/>
        <v>24131.764225405139</v>
      </c>
      <c r="GI20" s="1759" t="s">
        <v>396</v>
      </c>
      <c r="GJ20" s="992">
        <f t="shared" si="69"/>
        <v>38369.505118394176</v>
      </c>
      <c r="GK20" s="992"/>
      <c r="GL20" s="992">
        <f t="shared" si="70"/>
        <v>571.14868600000011</v>
      </c>
      <c r="GM20" s="1757" t="s">
        <v>396</v>
      </c>
      <c r="GN20" s="1758">
        <f>VLOOKUP($G20,'Quantidades Padrão'!$E$7:$J$103,GN$8,0)</f>
        <v>60.736217948717965</v>
      </c>
      <c r="GO20" s="1759" t="s">
        <v>396</v>
      </c>
      <c r="GP20" s="992">
        <f t="shared" si="71"/>
        <v>34689.411074019888</v>
      </c>
      <c r="GQ20" s="1759" t="s">
        <v>396</v>
      </c>
      <c r="GR20" s="992">
        <f t="shared" si="72"/>
        <v>55156.163607691626</v>
      </c>
      <c r="GS20" s="992"/>
      <c r="GT20" s="992">
        <f t="shared" si="73"/>
        <v>571.14868600000011</v>
      </c>
      <c r="GU20" s="1757" t="s">
        <v>396</v>
      </c>
      <c r="GV20" s="1758">
        <f>VLOOKUP($G20,'Quantidades Padrão'!$E$7:$J$103,GV$8,0)</f>
        <v>79.221153846153854</v>
      </c>
      <c r="GW20" s="1759" t="s">
        <v>396</v>
      </c>
      <c r="GX20" s="992">
        <f t="shared" si="74"/>
        <v>45247.057922634631</v>
      </c>
      <c r="GY20" s="1759" t="s">
        <v>396</v>
      </c>
      <c r="GZ20" s="992">
        <f t="shared" si="75"/>
        <v>71942.822096989068</v>
      </c>
      <c r="HA20" s="992"/>
      <c r="HB20" s="992">
        <f t="shared" si="76"/>
        <v>575.58868600000005</v>
      </c>
      <c r="HC20" s="1757" t="s">
        <v>396</v>
      </c>
      <c r="HD20" s="1758">
        <f>VLOOKUP($G20,'Quantidades Padrão'!$E$7:$J$103,HD$8,0)</f>
        <v>42.251282051282061</v>
      </c>
      <c r="HE20" s="1759" t="s">
        <v>396</v>
      </c>
      <c r="HF20" s="992">
        <f t="shared" si="77"/>
        <v>24319.359917712827</v>
      </c>
      <c r="HG20" s="1759" t="s">
        <v>396</v>
      </c>
      <c r="HH20" s="992">
        <f t="shared" si="78"/>
        <v>38667.782269163399</v>
      </c>
      <c r="HI20" s="992"/>
      <c r="HJ20" s="992">
        <f t="shared" si="79"/>
        <v>575.58868600000005</v>
      </c>
      <c r="HK20" s="1757" t="s">
        <v>396</v>
      </c>
      <c r="HL20" s="1758">
        <f>VLOOKUP($G20,'Quantidades Padrão'!$E$7:$J$103,HL$8,0)</f>
        <v>60.736217948717965</v>
      </c>
      <c r="HM20" s="1759" t="s">
        <v>396</v>
      </c>
      <c r="HN20" s="992">
        <f t="shared" si="80"/>
        <v>34959.07988171219</v>
      </c>
      <c r="HO20" s="1759" t="s">
        <v>396</v>
      </c>
      <c r="HP20" s="992">
        <f t="shared" si="81"/>
        <v>55584.937011922382</v>
      </c>
      <c r="HQ20" s="992"/>
      <c r="HR20" s="992">
        <f t="shared" si="82"/>
        <v>575.58868600000005</v>
      </c>
      <c r="HS20" s="1757" t="s">
        <v>396</v>
      </c>
      <c r="HT20" s="1758">
        <f>VLOOKUP($G20,'Quantidades Padrão'!$E$7:$J$103,HT$8,0)</f>
        <v>79.221153846153854</v>
      </c>
      <c r="HU20" s="1759" t="s">
        <v>396</v>
      </c>
      <c r="HV20" s="992">
        <f t="shared" si="83"/>
        <v>45598.799845711546</v>
      </c>
      <c r="HW20" s="1759" t="s">
        <v>396</v>
      </c>
      <c r="HX20" s="992">
        <f t="shared" si="84"/>
        <v>72502.091754681358</v>
      </c>
      <c r="HY20" s="992"/>
      <c r="HZ20" s="992">
        <f t="shared" si="85"/>
        <v>575.58868600000005</v>
      </c>
      <c r="IA20" s="1757" t="s">
        <v>396</v>
      </c>
      <c r="IB20" s="1758">
        <f>VLOOKUP($G20,'Quantidades Padrão'!$E$7:$J$103,IB$8,0)</f>
        <v>42.251282051282061</v>
      </c>
      <c r="IC20" s="1759" t="s">
        <v>396</v>
      </c>
      <c r="ID20" s="992">
        <f t="shared" si="86"/>
        <v>24319.359917712827</v>
      </c>
      <c r="IE20" s="1759" t="s">
        <v>396</v>
      </c>
      <c r="IF20" s="992">
        <f t="shared" si="87"/>
        <v>38667.782269163399</v>
      </c>
      <c r="IG20" s="992"/>
      <c r="IH20" s="992">
        <f t="shared" si="88"/>
        <v>575.58868600000005</v>
      </c>
      <c r="II20" s="1757" t="s">
        <v>396</v>
      </c>
      <c r="IJ20" s="1758">
        <f>VLOOKUP($G20,'Quantidades Padrão'!$E$7:$J$103,IJ$8,0)</f>
        <v>60.736217948717965</v>
      </c>
      <c r="IK20" s="1759" t="s">
        <v>396</v>
      </c>
      <c r="IL20" s="992">
        <f t="shared" si="89"/>
        <v>34959.07988171219</v>
      </c>
      <c r="IM20" s="1759" t="s">
        <v>396</v>
      </c>
      <c r="IN20" s="992">
        <f t="shared" si="90"/>
        <v>55584.937011922382</v>
      </c>
      <c r="IO20" s="992"/>
    </row>
    <row r="21" spans="1:249" s="341" customFormat="1" ht="27" customHeight="1">
      <c r="A21" s="1753"/>
      <c r="B21" s="1754"/>
      <c r="C21" s="1755"/>
      <c r="D21" s="1013">
        <f>VLOOKUP(E21,'DER MG'!$D$5:$I$150,6,0)</f>
        <v>1.54</v>
      </c>
      <c r="E21" s="1017">
        <v>41369</v>
      </c>
      <c r="F21" s="1756"/>
      <c r="G21" s="1018" t="s">
        <v>405</v>
      </c>
      <c r="H21" s="992">
        <f t="shared" si="5"/>
        <v>3425682.5899932291</v>
      </c>
      <c r="I21" s="992">
        <v>364</v>
      </c>
      <c r="J21" s="1757" t="s">
        <v>406</v>
      </c>
      <c r="K21" s="1758">
        <f>VLOOKUP($G21,'Quantidades Padrão'!$E$7:$J$103,K$8,0)</f>
        <v>97.97663817663819</v>
      </c>
      <c r="L21" s="1759" t="s">
        <v>406</v>
      </c>
      <c r="M21" s="992">
        <f t="shared" si="6"/>
        <v>35663.496296296304</v>
      </c>
      <c r="N21" s="1759" t="s">
        <v>406</v>
      </c>
      <c r="O21" s="992">
        <f t="shared" si="7"/>
        <v>54921.784296296311</v>
      </c>
      <c r="P21" s="992"/>
      <c r="Q21" s="1760">
        <f t="shared" si="0"/>
        <v>8.8479475512864107E-3</v>
      </c>
      <c r="R21" s="992">
        <f t="shared" si="8"/>
        <v>500</v>
      </c>
      <c r="S21" s="1757" t="s">
        <v>406</v>
      </c>
      <c r="T21" s="1758">
        <f>VLOOKUP($G21,'Quantidades Padrão'!$E$7:$J$103,T$8,0)</f>
        <v>97.97663817663819</v>
      </c>
      <c r="U21" s="1759" t="s">
        <v>406</v>
      </c>
      <c r="V21" s="992">
        <f t="shared" si="9"/>
        <v>48988.319088319098</v>
      </c>
      <c r="W21" s="1759" t="s">
        <v>406</v>
      </c>
      <c r="X21" s="992">
        <f t="shared" si="1"/>
        <v>75442.01139601141</v>
      </c>
      <c r="Y21" s="992"/>
      <c r="Z21" s="992">
        <f t="shared" si="10"/>
        <v>500</v>
      </c>
      <c r="AA21" s="1757" t="s">
        <v>406</v>
      </c>
      <c r="AB21" s="1758">
        <f>VLOOKUP($G21,'Quantidades Padrão'!$E$7:$J$103,AB$8,0)</f>
        <v>183.70619658119659</v>
      </c>
      <c r="AC21" s="1759" t="s">
        <v>406</v>
      </c>
      <c r="AD21" s="992">
        <f t="shared" si="11"/>
        <v>91853.098290598296</v>
      </c>
      <c r="AE21" s="1759" t="s">
        <v>406</v>
      </c>
      <c r="AF21" s="992">
        <f t="shared" si="2"/>
        <v>141453.77136752137</v>
      </c>
      <c r="AG21" s="992"/>
      <c r="AH21" s="992">
        <f t="shared" si="12"/>
        <v>500</v>
      </c>
      <c r="AI21" s="1757" t="s">
        <v>406</v>
      </c>
      <c r="AJ21" s="1758">
        <f>VLOOKUP($G21,'Quantidades Padrão'!$E$7:$J$103,AJ$8,0)</f>
        <v>97.97663817663819</v>
      </c>
      <c r="AK21" s="1759" t="s">
        <v>406</v>
      </c>
      <c r="AL21" s="992">
        <f t="shared" si="13"/>
        <v>48988.319088319098</v>
      </c>
      <c r="AM21" s="1759" t="s">
        <v>406</v>
      </c>
      <c r="AN21" s="992">
        <f t="shared" si="3"/>
        <v>75442.01139601141</v>
      </c>
      <c r="AO21" s="992"/>
      <c r="AP21" s="992">
        <f t="shared" si="14"/>
        <v>500</v>
      </c>
      <c r="AQ21" s="1757" t="s">
        <v>406</v>
      </c>
      <c r="AR21" s="1758">
        <f>VLOOKUP($G21,'Quantidades Padrão'!$E$7:$J$103,AR$8,0)</f>
        <v>97.97663817663819</v>
      </c>
      <c r="AS21" s="1759" t="s">
        <v>406</v>
      </c>
      <c r="AT21" s="992">
        <f t="shared" si="15"/>
        <v>48988.319088319098</v>
      </c>
      <c r="AU21" s="1759" t="s">
        <v>406</v>
      </c>
      <c r="AV21" s="992">
        <f t="shared" si="4"/>
        <v>75442.01139601141</v>
      </c>
      <c r="AW21" s="992"/>
      <c r="AX21" s="992">
        <f t="shared" si="16"/>
        <v>513.17434300000002</v>
      </c>
      <c r="AY21" s="1757" t="s">
        <v>406</v>
      </c>
      <c r="AZ21" s="1758">
        <f>VLOOKUP($G21,'Quantidades Padrão'!$E$7:$J$103,AZ$8,0)</f>
        <v>140.84141737891738</v>
      </c>
      <c r="BA21" s="1759" t="s">
        <v>406</v>
      </c>
      <c r="BB21" s="992">
        <f t="shared" si="17"/>
        <v>72276.201830614707</v>
      </c>
      <c r="BC21" s="1759" t="s">
        <v>406</v>
      </c>
      <c r="BD21" s="992">
        <f t="shared" si="18"/>
        <v>111305.35081914665</v>
      </c>
      <c r="BE21" s="992"/>
      <c r="BF21" s="992">
        <f t="shared" si="19"/>
        <v>539.66868600000009</v>
      </c>
      <c r="BG21" s="1757" t="s">
        <v>406</v>
      </c>
      <c r="BH21" s="1758">
        <f>VLOOKUP($G21,'Quantidades Padrão'!$E$7:$J$103,BH$8,0)</f>
        <v>183.70619658119659</v>
      </c>
      <c r="BI21" s="1759" t="s">
        <v>406</v>
      </c>
      <c r="BJ21" s="992">
        <f t="shared" si="20"/>
        <v>99140.481719032075</v>
      </c>
      <c r="BK21" s="1759" t="s">
        <v>406</v>
      </c>
      <c r="BL21" s="992">
        <f t="shared" si="21"/>
        <v>152676.34184730941</v>
      </c>
      <c r="BM21" s="992"/>
      <c r="BN21" s="992">
        <f t="shared" si="22"/>
        <v>539.66868600000009</v>
      </c>
      <c r="BO21" s="1757" t="s">
        <v>406</v>
      </c>
      <c r="BP21" s="1758">
        <f>VLOOKUP($G21,'Quantidades Padrão'!$E$7:$J$103,BP$8,0)</f>
        <v>97.97663817663819</v>
      </c>
      <c r="BQ21" s="1759" t="s">
        <v>406</v>
      </c>
      <c r="BR21" s="992">
        <f t="shared" si="23"/>
        <v>52874.923583483775</v>
      </c>
      <c r="BS21" s="1759" t="s">
        <v>406</v>
      </c>
      <c r="BT21" s="992">
        <f t="shared" si="24"/>
        <v>81427.382318565011</v>
      </c>
      <c r="BU21" s="992"/>
      <c r="BV21" s="992">
        <f t="shared" si="25"/>
        <v>539.66868600000009</v>
      </c>
      <c r="BW21" s="1757" t="s">
        <v>406</v>
      </c>
      <c r="BX21" s="1758">
        <f>VLOOKUP($G21,'Quantidades Padrão'!$E$7:$J$103,BX$8,0)</f>
        <v>140.84141737891738</v>
      </c>
      <c r="BY21" s="1759" t="s">
        <v>406</v>
      </c>
      <c r="BZ21" s="992">
        <f t="shared" si="26"/>
        <v>76007.702651257918</v>
      </c>
      <c r="CA21" s="1759" t="s">
        <v>406</v>
      </c>
      <c r="CB21" s="992">
        <f t="shared" si="27"/>
        <v>117051.86208293719</v>
      </c>
      <c r="CC21" s="992"/>
      <c r="CD21" s="992">
        <f t="shared" si="28"/>
        <v>539.66868600000009</v>
      </c>
      <c r="CE21" s="1757" t="s">
        <v>406</v>
      </c>
      <c r="CF21" s="1758">
        <f>VLOOKUP($G21,'Quantidades Padrão'!$E$7:$J$103,CF$8,0)</f>
        <v>183.70619658119659</v>
      </c>
      <c r="CG21" s="1759" t="s">
        <v>406</v>
      </c>
      <c r="CH21" s="992">
        <f t="shared" si="29"/>
        <v>99140.481719032075</v>
      </c>
      <c r="CI21" s="1759" t="s">
        <v>406</v>
      </c>
      <c r="CJ21" s="992">
        <f t="shared" si="30"/>
        <v>152676.34184730941</v>
      </c>
      <c r="CK21" s="992"/>
      <c r="CL21" s="992">
        <f t="shared" si="31"/>
        <v>539.66868600000009</v>
      </c>
      <c r="CM21" s="1757" t="s">
        <v>406</v>
      </c>
      <c r="CN21" s="1758">
        <f>VLOOKUP($G21,'Quantidades Padrão'!$E$7:$J$103,CN$8,0)</f>
        <v>97.97663817663819</v>
      </c>
      <c r="CO21" s="1759" t="s">
        <v>406</v>
      </c>
      <c r="CP21" s="992">
        <f t="shared" si="32"/>
        <v>52874.923583483775</v>
      </c>
      <c r="CQ21" s="1759" t="s">
        <v>406</v>
      </c>
      <c r="CR21" s="992">
        <f t="shared" si="33"/>
        <v>81427.382318565011</v>
      </c>
      <c r="CS21" s="992"/>
      <c r="CT21" s="992">
        <f t="shared" si="34"/>
        <v>539.66868600000009</v>
      </c>
      <c r="CU21" s="1757" t="s">
        <v>406</v>
      </c>
      <c r="CV21" s="1758">
        <f>VLOOKUP($G21,'Quantidades Padrão'!$E$7:$J$103,CV$8,0)</f>
        <v>140.84141737891738</v>
      </c>
      <c r="CW21" s="1759" t="s">
        <v>406</v>
      </c>
      <c r="CX21" s="992">
        <f t="shared" si="35"/>
        <v>76007.702651257918</v>
      </c>
      <c r="CY21" s="1759" t="s">
        <v>406</v>
      </c>
      <c r="CZ21" s="992">
        <f t="shared" si="36"/>
        <v>117051.86208293719</v>
      </c>
      <c r="DA21" s="992"/>
      <c r="DB21" s="992">
        <f t="shared" si="37"/>
        <v>539.66868600000009</v>
      </c>
      <c r="DC21" s="1757" t="s">
        <v>406</v>
      </c>
      <c r="DD21" s="1758">
        <f>VLOOKUP($G21,'Quantidades Padrão'!$E$7:$J$103,DD$8,0)</f>
        <v>183.70619658119659</v>
      </c>
      <c r="DE21" s="1759" t="s">
        <v>406</v>
      </c>
      <c r="DF21" s="992">
        <f t="shared" si="38"/>
        <v>99140.481719032075</v>
      </c>
      <c r="DG21" s="1759" t="s">
        <v>406</v>
      </c>
      <c r="DH21" s="992">
        <f t="shared" si="39"/>
        <v>152676.34184730941</v>
      </c>
      <c r="DI21" s="992"/>
      <c r="DJ21" s="992">
        <f t="shared" si="40"/>
        <v>539.66868600000009</v>
      </c>
      <c r="DK21" s="1757" t="s">
        <v>406</v>
      </c>
      <c r="DL21" s="1758">
        <f>VLOOKUP($G21,'Quantidades Padrão'!$E$7:$J$103,DL$8,0)</f>
        <v>97.97663817663819</v>
      </c>
      <c r="DM21" s="1759" t="s">
        <v>406</v>
      </c>
      <c r="DN21" s="992">
        <f t="shared" si="41"/>
        <v>52874.923583483775</v>
      </c>
      <c r="DO21" s="1759" t="s">
        <v>406</v>
      </c>
      <c r="DP21" s="992">
        <f t="shared" si="42"/>
        <v>81427.382318565011</v>
      </c>
      <c r="DQ21" s="992"/>
      <c r="DR21" s="992">
        <f t="shared" si="43"/>
        <v>539.66868600000009</v>
      </c>
      <c r="DS21" s="1757" t="s">
        <v>406</v>
      </c>
      <c r="DT21" s="1758">
        <f>VLOOKUP($G21,'Quantidades Padrão'!$E$7:$J$103,DT$8,0)</f>
        <v>140.84141737891738</v>
      </c>
      <c r="DU21" s="1759" t="s">
        <v>406</v>
      </c>
      <c r="DV21" s="992">
        <f t="shared" si="44"/>
        <v>76007.702651257918</v>
      </c>
      <c r="DW21" s="1759" t="s">
        <v>406</v>
      </c>
      <c r="DX21" s="992">
        <f t="shared" si="45"/>
        <v>117051.86208293719</v>
      </c>
      <c r="DY21" s="992"/>
      <c r="DZ21" s="992">
        <f t="shared" si="46"/>
        <v>548.54868600000009</v>
      </c>
      <c r="EA21" s="1757" t="s">
        <v>406</v>
      </c>
      <c r="EB21" s="1758">
        <f>VLOOKUP($G21,'Quantidades Padrão'!$E$7:$J$103,EB$8,0)</f>
        <v>183.70619658119659</v>
      </c>
      <c r="EC21" s="1759" t="s">
        <v>406</v>
      </c>
      <c r="ED21" s="992">
        <f t="shared" si="47"/>
        <v>100771.7927446731</v>
      </c>
      <c r="EE21" s="1759" t="s">
        <v>406</v>
      </c>
      <c r="EF21" s="992">
        <f t="shared" si="48"/>
        <v>155188.56082679657</v>
      </c>
      <c r="EG21" s="992"/>
      <c r="EH21" s="992">
        <f t="shared" si="49"/>
        <v>548.54868600000009</v>
      </c>
      <c r="EI21" s="1757" t="s">
        <v>406</v>
      </c>
      <c r="EJ21" s="1758">
        <f>VLOOKUP($G21,'Quantidades Padrão'!$E$7:$J$103,EJ$8,0)</f>
        <v>97.97663817663819</v>
      </c>
      <c r="EK21" s="1759" t="s">
        <v>406</v>
      </c>
      <c r="EL21" s="992">
        <f t="shared" si="50"/>
        <v>53744.956130492326</v>
      </c>
      <c r="EM21" s="1759" t="s">
        <v>406</v>
      </c>
      <c r="EN21" s="992">
        <f t="shared" si="51"/>
        <v>82767.232440958178</v>
      </c>
      <c r="EO21" s="992"/>
      <c r="EP21" s="992">
        <f t="shared" si="52"/>
        <v>548.54868600000009</v>
      </c>
      <c r="EQ21" s="1757" t="s">
        <v>406</v>
      </c>
      <c r="ER21" s="1758">
        <f>VLOOKUP($G21,'Quantidades Padrão'!$E$7:$J$103,ER$8,0)</f>
        <v>140.84141737891738</v>
      </c>
      <c r="ES21" s="1759" t="s">
        <v>406</v>
      </c>
      <c r="ET21" s="992">
        <f t="shared" si="53"/>
        <v>77258.374437582708</v>
      </c>
      <c r="EU21" s="1759" t="s">
        <v>406</v>
      </c>
      <c r="EV21" s="992">
        <f t="shared" si="54"/>
        <v>118977.89663387738</v>
      </c>
      <c r="EW21" s="992"/>
      <c r="EX21" s="992">
        <f t="shared" si="55"/>
        <v>548.54868600000009</v>
      </c>
      <c r="EY21" s="1757" t="s">
        <v>406</v>
      </c>
      <c r="EZ21" s="1758">
        <f>VLOOKUP($G21,'Quantidades Padrão'!$E$7:$J$103,EZ$8,0)</f>
        <v>183.70619658119659</v>
      </c>
      <c r="FA21" s="1759" t="s">
        <v>406</v>
      </c>
      <c r="FB21" s="992">
        <f t="shared" si="56"/>
        <v>100771.7927446731</v>
      </c>
      <c r="FC21" s="1759" t="s">
        <v>406</v>
      </c>
      <c r="FD21" s="992">
        <f t="shared" si="57"/>
        <v>155188.56082679657</v>
      </c>
      <c r="FE21" s="992"/>
      <c r="FF21" s="992">
        <f t="shared" si="58"/>
        <v>548.54868600000009</v>
      </c>
      <c r="FG21" s="1757" t="s">
        <v>406</v>
      </c>
      <c r="FH21" s="1758">
        <f>VLOOKUP($G21,'Quantidades Padrão'!$E$7:$J$103,FH$8,0)</f>
        <v>97.97663817663819</v>
      </c>
      <c r="FI21" s="1759" t="s">
        <v>406</v>
      </c>
      <c r="FJ21" s="992">
        <f t="shared" si="59"/>
        <v>53744.956130492326</v>
      </c>
      <c r="FK21" s="1759" t="s">
        <v>406</v>
      </c>
      <c r="FL21" s="992">
        <f t="shared" si="60"/>
        <v>82767.232440958178</v>
      </c>
      <c r="FM21" s="992"/>
      <c r="FN21" s="992">
        <f t="shared" si="61"/>
        <v>571.14868600000011</v>
      </c>
      <c r="FO21" s="1757" t="s">
        <v>406</v>
      </c>
      <c r="FP21" s="1758">
        <f>VLOOKUP($G21,'Quantidades Padrão'!$E$7:$J$103,FP$8,0)</f>
        <v>140.84141737891738</v>
      </c>
      <c r="FQ21" s="1759" t="s">
        <v>406</v>
      </c>
      <c r="FR21" s="992">
        <f t="shared" si="62"/>
        <v>80441.390470346247</v>
      </c>
      <c r="FS21" s="1759" t="s">
        <v>406</v>
      </c>
      <c r="FT21" s="992">
        <f t="shared" si="63"/>
        <v>123879.74132433323</v>
      </c>
      <c r="FU21" s="992"/>
      <c r="FV21" s="992">
        <f t="shared" si="64"/>
        <v>571.14868600000011</v>
      </c>
      <c r="FW21" s="1757" t="s">
        <v>406</v>
      </c>
      <c r="FX21" s="1758">
        <f>VLOOKUP($G21,'Quantidades Padrão'!$E$7:$J$103,FX$8,0)</f>
        <v>183.70619658119659</v>
      </c>
      <c r="FY21" s="1759" t="s">
        <v>406</v>
      </c>
      <c r="FZ21" s="992">
        <f t="shared" si="65"/>
        <v>104923.55278740815</v>
      </c>
      <c r="GA21" s="1759" t="s">
        <v>406</v>
      </c>
      <c r="GB21" s="992">
        <f t="shared" si="66"/>
        <v>161582.27129260855</v>
      </c>
      <c r="GC21" s="992"/>
      <c r="GD21" s="992">
        <f t="shared" si="67"/>
        <v>571.14868600000011</v>
      </c>
      <c r="GE21" s="1757" t="s">
        <v>406</v>
      </c>
      <c r="GF21" s="1758">
        <f>VLOOKUP($G21,'Quantidades Padrão'!$E$7:$J$103,GF$8,0)</f>
        <v>97.97663817663819</v>
      </c>
      <c r="GG21" s="1759" t="s">
        <v>406</v>
      </c>
      <c r="GH21" s="992">
        <f t="shared" si="68"/>
        <v>55959.228153284348</v>
      </c>
      <c r="GI21" s="1759" t="s">
        <v>406</v>
      </c>
      <c r="GJ21" s="992">
        <f t="shared" si="69"/>
        <v>86177.211356057902</v>
      </c>
      <c r="GK21" s="992"/>
      <c r="GL21" s="992">
        <f t="shared" si="70"/>
        <v>571.14868600000011</v>
      </c>
      <c r="GM21" s="1757" t="s">
        <v>406</v>
      </c>
      <c r="GN21" s="1758">
        <f>VLOOKUP($G21,'Quantidades Padrão'!$E$7:$J$103,GN$8,0)</f>
        <v>140.84141737891738</v>
      </c>
      <c r="GO21" s="1759" t="s">
        <v>406</v>
      </c>
      <c r="GP21" s="992">
        <f t="shared" si="71"/>
        <v>80441.390470346247</v>
      </c>
      <c r="GQ21" s="1759" t="s">
        <v>406</v>
      </c>
      <c r="GR21" s="992">
        <f t="shared" si="72"/>
        <v>123879.74132433323</v>
      </c>
      <c r="GS21" s="992"/>
      <c r="GT21" s="992">
        <f t="shared" si="73"/>
        <v>571.14868600000011</v>
      </c>
      <c r="GU21" s="1757" t="s">
        <v>406</v>
      </c>
      <c r="GV21" s="1758">
        <f>VLOOKUP($G21,'Quantidades Padrão'!$E$7:$J$103,GV$8,0)</f>
        <v>183.70619658119659</v>
      </c>
      <c r="GW21" s="1759" t="s">
        <v>406</v>
      </c>
      <c r="GX21" s="992">
        <f t="shared" si="74"/>
        <v>104923.55278740815</v>
      </c>
      <c r="GY21" s="1759" t="s">
        <v>406</v>
      </c>
      <c r="GZ21" s="992">
        <f t="shared" si="75"/>
        <v>161582.27129260855</v>
      </c>
      <c r="HA21" s="992"/>
      <c r="HB21" s="992">
        <f t="shared" si="76"/>
        <v>575.58868600000005</v>
      </c>
      <c r="HC21" s="1757" t="s">
        <v>406</v>
      </c>
      <c r="HD21" s="1758">
        <f>VLOOKUP($G21,'Quantidades Padrão'!$E$7:$J$103,HD$8,0)</f>
        <v>97.97663817663819</v>
      </c>
      <c r="HE21" s="1759" t="s">
        <v>406</v>
      </c>
      <c r="HF21" s="992">
        <f t="shared" si="77"/>
        <v>56394.244426788617</v>
      </c>
      <c r="HG21" s="1759" t="s">
        <v>406</v>
      </c>
      <c r="HH21" s="992">
        <f t="shared" si="78"/>
        <v>86847.136417254471</v>
      </c>
      <c r="HI21" s="992"/>
      <c r="HJ21" s="992">
        <f t="shared" si="79"/>
        <v>575.58868600000005</v>
      </c>
      <c r="HK21" s="1757" t="s">
        <v>406</v>
      </c>
      <c r="HL21" s="1758">
        <f>VLOOKUP($G21,'Quantidades Padrão'!$E$7:$J$103,HL$8,0)</f>
        <v>140.84141737891738</v>
      </c>
      <c r="HM21" s="1759" t="s">
        <v>406</v>
      </c>
      <c r="HN21" s="992">
        <f t="shared" si="80"/>
        <v>81066.726363508627</v>
      </c>
      <c r="HO21" s="1759" t="s">
        <v>406</v>
      </c>
      <c r="HP21" s="992">
        <f t="shared" si="81"/>
        <v>124842.75859980329</v>
      </c>
      <c r="HQ21" s="992"/>
      <c r="HR21" s="992">
        <f t="shared" si="82"/>
        <v>575.58868600000005</v>
      </c>
      <c r="HS21" s="1757" t="s">
        <v>406</v>
      </c>
      <c r="HT21" s="1758">
        <f>VLOOKUP($G21,'Quantidades Padrão'!$E$7:$J$103,HT$8,0)</f>
        <v>183.70619658119659</v>
      </c>
      <c r="HU21" s="1759" t="s">
        <v>406</v>
      </c>
      <c r="HV21" s="992">
        <f t="shared" si="83"/>
        <v>105739.20830022865</v>
      </c>
      <c r="HW21" s="1759" t="s">
        <v>406</v>
      </c>
      <c r="HX21" s="992">
        <f t="shared" si="84"/>
        <v>162838.38078235212</v>
      </c>
      <c r="HY21" s="992"/>
      <c r="HZ21" s="992">
        <f t="shared" si="85"/>
        <v>575.58868600000005</v>
      </c>
      <c r="IA21" s="1757" t="s">
        <v>406</v>
      </c>
      <c r="IB21" s="1758">
        <f>VLOOKUP($G21,'Quantidades Padrão'!$E$7:$J$103,IB$8,0)</f>
        <v>97.97663817663819</v>
      </c>
      <c r="IC21" s="1759" t="s">
        <v>406</v>
      </c>
      <c r="ID21" s="992">
        <f t="shared" si="86"/>
        <v>56394.244426788617</v>
      </c>
      <c r="IE21" s="1759" t="s">
        <v>406</v>
      </c>
      <c r="IF21" s="992">
        <f t="shared" si="87"/>
        <v>86847.136417254471</v>
      </c>
      <c r="IG21" s="992"/>
      <c r="IH21" s="992">
        <f t="shared" si="88"/>
        <v>575.58868600000005</v>
      </c>
      <c r="II21" s="1757" t="s">
        <v>406</v>
      </c>
      <c r="IJ21" s="1758">
        <f>VLOOKUP($G21,'Quantidades Padrão'!$E$7:$J$103,IJ$8,0)</f>
        <v>140.84141737891738</v>
      </c>
      <c r="IK21" s="1759" t="s">
        <v>406</v>
      </c>
      <c r="IL21" s="992">
        <f t="shared" si="89"/>
        <v>81066.726363508627</v>
      </c>
      <c r="IM21" s="1759" t="s">
        <v>406</v>
      </c>
      <c r="IN21" s="992">
        <f t="shared" si="90"/>
        <v>124842.75859980329</v>
      </c>
      <c r="IO21" s="992"/>
    </row>
    <row r="22" spans="1:249" s="341" customFormat="1" ht="27" customHeight="1">
      <c r="A22" s="1753"/>
      <c r="B22" s="1754"/>
      <c r="C22" s="1755"/>
      <c r="D22" s="1013">
        <f>VLOOKUP(E22,'DER MG'!$D$5:$I$150,6,0)</f>
        <v>1.1000000000000001</v>
      </c>
      <c r="E22" s="1017">
        <v>41371</v>
      </c>
      <c r="F22" s="1756"/>
      <c r="G22" s="1018" t="s">
        <v>407</v>
      </c>
      <c r="H22" s="992">
        <f t="shared" si="5"/>
        <v>185155.57069214003</v>
      </c>
      <c r="I22" s="992">
        <v>364</v>
      </c>
      <c r="J22" s="1757" t="s">
        <v>406</v>
      </c>
      <c r="K22" s="1758">
        <f>VLOOKUP($G22,'Quantidades Padrão'!$E$7:$J$103,K$8,0)</f>
        <v>7.4137891737891755</v>
      </c>
      <c r="L22" s="1759" t="s">
        <v>406</v>
      </c>
      <c r="M22" s="992">
        <f t="shared" si="6"/>
        <v>2698.6192592592597</v>
      </c>
      <c r="N22" s="1759" t="s">
        <v>406</v>
      </c>
      <c r="O22" s="992">
        <f t="shared" si="7"/>
        <v>2968.481185185186</v>
      </c>
      <c r="P22" s="992"/>
      <c r="Q22" s="1760">
        <f t="shared" si="0"/>
        <v>4.782249187645246E-4</v>
      </c>
      <c r="R22" s="992">
        <f t="shared" si="8"/>
        <v>500</v>
      </c>
      <c r="S22" s="1757" t="s">
        <v>406</v>
      </c>
      <c r="T22" s="1758">
        <f>VLOOKUP($G22,'Quantidades Padrão'!$E$7:$J$103,T$8,0)</f>
        <v>7.4137891737891755</v>
      </c>
      <c r="U22" s="1759" t="s">
        <v>406</v>
      </c>
      <c r="V22" s="992">
        <f t="shared" si="9"/>
        <v>3706.8945868945875</v>
      </c>
      <c r="W22" s="1759" t="s">
        <v>406</v>
      </c>
      <c r="X22" s="992">
        <f t="shared" si="1"/>
        <v>4077.5840455840466</v>
      </c>
      <c r="Y22" s="992"/>
      <c r="Z22" s="992">
        <f t="shared" si="10"/>
        <v>500</v>
      </c>
      <c r="AA22" s="1757" t="s">
        <v>406</v>
      </c>
      <c r="AB22" s="1758">
        <f>VLOOKUP($G22,'Quantidades Padrão'!$E$7:$J$103,AB$8,0)</f>
        <v>13.900854700854701</v>
      </c>
      <c r="AC22" s="1759" t="s">
        <v>406</v>
      </c>
      <c r="AD22" s="992">
        <f t="shared" si="11"/>
        <v>6950.4273504273506</v>
      </c>
      <c r="AE22" s="1759" t="s">
        <v>406</v>
      </c>
      <c r="AF22" s="992">
        <f t="shared" si="2"/>
        <v>7645.4700854700859</v>
      </c>
      <c r="AG22" s="992"/>
      <c r="AH22" s="992">
        <f t="shared" si="12"/>
        <v>500</v>
      </c>
      <c r="AI22" s="1757" t="s">
        <v>406</v>
      </c>
      <c r="AJ22" s="1758">
        <f>VLOOKUP($G22,'Quantidades Padrão'!$E$7:$J$103,AJ$8,0)</f>
        <v>7.4137891737891755</v>
      </c>
      <c r="AK22" s="1759" t="s">
        <v>406</v>
      </c>
      <c r="AL22" s="992">
        <f t="shared" si="13"/>
        <v>3706.8945868945875</v>
      </c>
      <c r="AM22" s="1759" t="s">
        <v>406</v>
      </c>
      <c r="AN22" s="992">
        <f t="shared" si="3"/>
        <v>4077.5840455840466</v>
      </c>
      <c r="AO22" s="992"/>
      <c r="AP22" s="992">
        <f t="shared" si="14"/>
        <v>500</v>
      </c>
      <c r="AQ22" s="1757" t="s">
        <v>406</v>
      </c>
      <c r="AR22" s="1758">
        <f>VLOOKUP($G22,'Quantidades Padrão'!$E$7:$J$103,AR$8,0)</f>
        <v>7.4137891737891755</v>
      </c>
      <c r="AS22" s="1759" t="s">
        <v>406</v>
      </c>
      <c r="AT22" s="992">
        <f t="shared" si="15"/>
        <v>3706.8945868945875</v>
      </c>
      <c r="AU22" s="1759" t="s">
        <v>406</v>
      </c>
      <c r="AV22" s="992">
        <f t="shared" si="4"/>
        <v>4077.5840455840466</v>
      </c>
      <c r="AW22" s="992"/>
      <c r="AX22" s="992">
        <f t="shared" si="16"/>
        <v>513.17434300000002</v>
      </c>
      <c r="AY22" s="1757" t="s">
        <v>406</v>
      </c>
      <c r="AZ22" s="1758">
        <f>VLOOKUP($G22,'Quantidades Padrão'!$E$7:$J$103,AZ$8,0)</f>
        <v>10.657321937321939</v>
      </c>
      <c r="BA22" s="1759" t="s">
        <v>406</v>
      </c>
      <c r="BB22" s="992">
        <f t="shared" si="17"/>
        <v>5469.0641833246736</v>
      </c>
      <c r="BC22" s="1759" t="s">
        <v>406</v>
      </c>
      <c r="BD22" s="992">
        <f t="shared" si="18"/>
        <v>6015.9706016571417</v>
      </c>
      <c r="BE22" s="992"/>
      <c r="BF22" s="992">
        <f t="shared" si="19"/>
        <v>539.66868600000009</v>
      </c>
      <c r="BG22" s="1757" t="s">
        <v>406</v>
      </c>
      <c r="BH22" s="1758">
        <f>VLOOKUP($G22,'Quantidades Padrão'!$E$7:$J$103,BH$8,0)</f>
        <v>13.900854700854701</v>
      </c>
      <c r="BI22" s="1759" t="s">
        <v>406</v>
      </c>
      <c r="BJ22" s="992">
        <f t="shared" si="20"/>
        <v>7501.8559906871806</v>
      </c>
      <c r="BK22" s="1759" t="s">
        <v>406</v>
      </c>
      <c r="BL22" s="992">
        <f t="shared" si="21"/>
        <v>8252.0415897558996</v>
      </c>
      <c r="BM22" s="992"/>
      <c r="BN22" s="992">
        <f t="shared" si="22"/>
        <v>539.66868600000009</v>
      </c>
      <c r="BO22" s="1757" t="s">
        <v>406</v>
      </c>
      <c r="BP22" s="1758">
        <f>VLOOKUP($G22,'Quantidades Padrão'!$E$7:$J$103,BP$8,0)</f>
        <v>7.4137891737891755</v>
      </c>
      <c r="BQ22" s="1759" t="s">
        <v>406</v>
      </c>
      <c r="BR22" s="992">
        <f t="shared" si="23"/>
        <v>4000.9898616998307</v>
      </c>
      <c r="BS22" s="1759" t="s">
        <v>406</v>
      </c>
      <c r="BT22" s="992">
        <f t="shared" si="24"/>
        <v>4401.0888478698143</v>
      </c>
      <c r="BU22" s="992"/>
      <c r="BV22" s="992">
        <f t="shared" si="25"/>
        <v>539.66868600000009</v>
      </c>
      <c r="BW22" s="1757" t="s">
        <v>406</v>
      </c>
      <c r="BX22" s="1758">
        <f>VLOOKUP($G22,'Quantidades Padrão'!$E$7:$J$103,BX$8,0)</f>
        <v>10.657321937321939</v>
      </c>
      <c r="BY22" s="1759" t="s">
        <v>406</v>
      </c>
      <c r="BZ22" s="992">
        <f t="shared" si="26"/>
        <v>5751.4229261935061</v>
      </c>
      <c r="CA22" s="1759" t="s">
        <v>406</v>
      </c>
      <c r="CB22" s="992">
        <f t="shared" si="27"/>
        <v>6326.565218812857</v>
      </c>
      <c r="CC22" s="992"/>
      <c r="CD22" s="992">
        <f t="shared" si="28"/>
        <v>539.66868600000009</v>
      </c>
      <c r="CE22" s="1757" t="s">
        <v>406</v>
      </c>
      <c r="CF22" s="1758">
        <f>VLOOKUP($G22,'Quantidades Padrão'!$E$7:$J$103,CF$8,0)</f>
        <v>13.900854700854701</v>
      </c>
      <c r="CG22" s="1759" t="s">
        <v>406</v>
      </c>
      <c r="CH22" s="992">
        <f t="shared" si="29"/>
        <v>7501.8559906871806</v>
      </c>
      <c r="CI22" s="1759" t="s">
        <v>406</v>
      </c>
      <c r="CJ22" s="992">
        <f t="shared" si="30"/>
        <v>8252.0415897558996</v>
      </c>
      <c r="CK22" s="992"/>
      <c r="CL22" s="992">
        <f t="shared" si="31"/>
        <v>539.66868600000009</v>
      </c>
      <c r="CM22" s="1757" t="s">
        <v>406</v>
      </c>
      <c r="CN22" s="1758">
        <f>VLOOKUP($G22,'Quantidades Padrão'!$E$7:$J$103,CN$8,0)</f>
        <v>7.4137891737891755</v>
      </c>
      <c r="CO22" s="1759" t="s">
        <v>406</v>
      </c>
      <c r="CP22" s="992">
        <f t="shared" si="32"/>
        <v>4000.9898616998307</v>
      </c>
      <c r="CQ22" s="1759" t="s">
        <v>406</v>
      </c>
      <c r="CR22" s="992">
        <f t="shared" si="33"/>
        <v>4401.0888478698143</v>
      </c>
      <c r="CS22" s="992"/>
      <c r="CT22" s="992">
        <f t="shared" si="34"/>
        <v>539.66868600000009</v>
      </c>
      <c r="CU22" s="1757" t="s">
        <v>406</v>
      </c>
      <c r="CV22" s="1758">
        <f>VLOOKUP($G22,'Quantidades Padrão'!$E$7:$J$103,CV$8,0)</f>
        <v>10.657321937321939</v>
      </c>
      <c r="CW22" s="1759" t="s">
        <v>406</v>
      </c>
      <c r="CX22" s="992">
        <f t="shared" si="35"/>
        <v>5751.4229261935061</v>
      </c>
      <c r="CY22" s="1759" t="s">
        <v>406</v>
      </c>
      <c r="CZ22" s="992">
        <f t="shared" si="36"/>
        <v>6326.565218812857</v>
      </c>
      <c r="DA22" s="992"/>
      <c r="DB22" s="992">
        <f t="shared" si="37"/>
        <v>539.66868600000009</v>
      </c>
      <c r="DC22" s="1757" t="s">
        <v>406</v>
      </c>
      <c r="DD22" s="1758">
        <f>VLOOKUP($G22,'Quantidades Padrão'!$E$7:$J$103,DD$8,0)</f>
        <v>13.900854700854701</v>
      </c>
      <c r="DE22" s="1759" t="s">
        <v>406</v>
      </c>
      <c r="DF22" s="992">
        <f t="shared" si="38"/>
        <v>7501.8559906871806</v>
      </c>
      <c r="DG22" s="1759" t="s">
        <v>406</v>
      </c>
      <c r="DH22" s="992">
        <f t="shared" si="39"/>
        <v>8252.0415897558996</v>
      </c>
      <c r="DI22" s="992"/>
      <c r="DJ22" s="992">
        <f t="shared" si="40"/>
        <v>539.66868600000009</v>
      </c>
      <c r="DK22" s="1757" t="s">
        <v>406</v>
      </c>
      <c r="DL22" s="1758">
        <f>VLOOKUP($G22,'Quantidades Padrão'!$E$7:$J$103,DL$8,0)</f>
        <v>7.4137891737891755</v>
      </c>
      <c r="DM22" s="1759" t="s">
        <v>406</v>
      </c>
      <c r="DN22" s="992">
        <f t="shared" si="41"/>
        <v>4000.9898616998307</v>
      </c>
      <c r="DO22" s="1759" t="s">
        <v>406</v>
      </c>
      <c r="DP22" s="992">
        <f t="shared" si="42"/>
        <v>4401.0888478698143</v>
      </c>
      <c r="DQ22" s="992"/>
      <c r="DR22" s="992">
        <f t="shared" si="43"/>
        <v>539.66868600000009</v>
      </c>
      <c r="DS22" s="1757" t="s">
        <v>406</v>
      </c>
      <c r="DT22" s="1758">
        <f>VLOOKUP($G22,'Quantidades Padrão'!$E$7:$J$103,DT$8,0)</f>
        <v>10.657321937321939</v>
      </c>
      <c r="DU22" s="1759" t="s">
        <v>406</v>
      </c>
      <c r="DV22" s="992">
        <f t="shared" si="44"/>
        <v>5751.4229261935061</v>
      </c>
      <c r="DW22" s="1759" t="s">
        <v>406</v>
      </c>
      <c r="DX22" s="992">
        <f t="shared" si="45"/>
        <v>6326.565218812857</v>
      </c>
      <c r="DY22" s="992"/>
      <c r="DZ22" s="992">
        <f t="shared" si="46"/>
        <v>548.54868600000009</v>
      </c>
      <c r="EA22" s="1757" t="s">
        <v>406</v>
      </c>
      <c r="EB22" s="1758">
        <f>VLOOKUP($G22,'Quantidades Padrão'!$E$7:$J$103,EB$8,0)</f>
        <v>13.900854700854701</v>
      </c>
      <c r="EC22" s="1759" t="s">
        <v>406</v>
      </c>
      <c r="ED22" s="992">
        <f t="shared" si="47"/>
        <v>7625.2955804307703</v>
      </c>
      <c r="EE22" s="1759" t="s">
        <v>406</v>
      </c>
      <c r="EF22" s="992">
        <f t="shared" si="48"/>
        <v>8387.8251384738487</v>
      </c>
      <c r="EG22" s="992"/>
      <c r="EH22" s="992">
        <f t="shared" si="49"/>
        <v>548.54868600000009</v>
      </c>
      <c r="EI22" s="1757" t="s">
        <v>406</v>
      </c>
      <c r="EJ22" s="1758">
        <f>VLOOKUP($G22,'Quantidades Padrão'!$E$7:$J$103,EJ$8,0)</f>
        <v>7.4137891737891755</v>
      </c>
      <c r="EK22" s="1759" t="s">
        <v>406</v>
      </c>
      <c r="EL22" s="992">
        <f t="shared" si="50"/>
        <v>4066.8243095630787</v>
      </c>
      <c r="EM22" s="1759" t="s">
        <v>406</v>
      </c>
      <c r="EN22" s="992">
        <f t="shared" si="51"/>
        <v>4473.5067405193868</v>
      </c>
      <c r="EO22" s="992"/>
      <c r="EP22" s="992">
        <f t="shared" si="52"/>
        <v>548.54868600000009</v>
      </c>
      <c r="EQ22" s="1757" t="s">
        <v>406</v>
      </c>
      <c r="ER22" s="1758">
        <f>VLOOKUP($G22,'Quantidades Padrão'!$E$7:$J$103,ER$8,0)</f>
        <v>10.657321937321939</v>
      </c>
      <c r="ES22" s="1759" t="s">
        <v>406</v>
      </c>
      <c r="ET22" s="992">
        <f t="shared" si="53"/>
        <v>5846.059944996925</v>
      </c>
      <c r="EU22" s="1759" t="s">
        <v>406</v>
      </c>
      <c r="EV22" s="992">
        <f t="shared" si="54"/>
        <v>6430.6659394966182</v>
      </c>
      <c r="EW22" s="992"/>
      <c r="EX22" s="992">
        <f t="shared" si="55"/>
        <v>548.54868600000009</v>
      </c>
      <c r="EY22" s="1757" t="s">
        <v>406</v>
      </c>
      <c r="EZ22" s="1758">
        <f>VLOOKUP($G22,'Quantidades Padrão'!$E$7:$J$103,EZ$8,0)</f>
        <v>13.900854700854701</v>
      </c>
      <c r="FA22" s="1759" t="s">
        <v>406</v>
      </c>
      <c r="FB22" s="992">
        <f t="shared" si="56"/>
        <v>7625.2955804307703</v>
      </c>
      <c r="FC22" s="1759" t="s">
        <v>406</v>
      </c>
      <c r="FD22" s="992">
        <f t="shared" si="57"/>
        <v>8387.8251384738487</v>
      </c>
      <c r="FE22" s="992"/>
      <c r="FF22" s="992">
        <f t="shared" si="58"/>
        <v>548.54868600000009</v>
      </c>
      <c r="FG22" s="1757" t="s">
        <v>406</v>
      </c>
      <c r="FH22" s="1758">
        <f>VLOOKUP($G22,'Quantidades Padrão'!$E$7:$J$103,FH$8,0)</f>
        <v>7.4137891737891755</v>
      </c>
      <c r="FI22" s="1759" t="s">
        <v>406</v>
      </c>
      <c r="FJ22" s="992">
        <f t="shared" si="59"/>
        <v>4066.8243095630787</v>
      </c>
      <c r="FK22" s="1759" t="s">
        <v>406</v>
      </c>
      <c r="FL22" s="992">
        <f t="shared" si="60"/>
        <v>4473.5067405193868</v>
      </c>
      <c r="FM22" s="992"/>
      <c r="FN22" s="992">
        <f t="shared" si="61"/>
        <v>571.14868600000011</v>
      </c>
      <c r="FO22" s="1757" t="s">
        <v>406</v>
      </c>
      <c r="FP22" s="1758">
        <f>VLOOKUP($G22,'Quantidades Padrão'!$E$7:$J$103,FP$8,0)</f>
        <v>10.657321937321939</v>
      </c>
      <c r="FQ22" s="1759" t="s">
        <v>406</v>
      </c>
      <c r="FR22" s="992">
        <f t="shared" si="62"/>
        <v>6086.9154207804013</v>
      </c>
      <c r="FS22" s="1759" t="s">
        <v>406</v>
      </c>
      <c r="FT22" s="992">
        <f t="shared" si="63"/>
        <v>6695.6069628584419</v>
      </c>
      <c r="FU22" s="992"/>
      <c r="FV22" s="992">
        <f t="shared" si="64"/>
        <v>571.14868600000011</v>
      </c>
      <c r="FW22" s="1757" t="s">
        <v>406</v>
      </c>
      <c r="FX22" s="1758">
        <f>VLOOKUP($G22,'Quantidades Padrão'!$E$7:$J$103,FX$8,0)</f>
        <v>13.900854700854701</v>
      </c>
      <c r="FY22" s="1759" t="s">
        <v>406</v>
      </c>
      <c r="FZ22" s="992">
        <f t="shared" si="65"/>
        <v>7939.4548966700868</v>
      </c>
      <c r="GA22" s="1759" t="s">
        <v>406</v>
      </c>
      <c r="GB22" s="992">
        <f t="shared" si="66"/>
        <v>8733.4003863370963</v>
      </c>
      <c r="GC22" s="992"/>
      <c r="GD22" s="992">
        <f t="shared" si="67"/>
        <v>571.14868600000011</v>
      </c>
      <c r="GE22" s="1757" t="s">
        <v>406</v>
      </c>
      <c r="GF22" s="1758">
        <f>VLOOKUP($G22,'Quantidades Padrão'!$E$7:$J$103,GF$8,0)</f>
        <v>7.4137891737891755</v>
      </c>
      <c r="GG22" s="1759" t="s">
        <v>406</v>
      </c>
      <c r="GH22" s="992">
        <f t="shared" si="68"/>
        <v>4234.375944890714</v>
      </c>
      <c r="GI22" s="1759" t="s">
        <v>406</v>
      </c>
      <c r="GJ22" s="992">
        <f t="shared" si="69"/>
        <v>4657.8135393797857</v>
      </c>
      <c r="GK22" s="992"/>
      <c r="GL22" s="992">
        <f t="shared" si="70"/>
        <v>571.14868600000011</v>
      </c>
      <c r="GM22" s="1757" t="s">
        <v>406</v>
      </c>
      <c r="GN22" s="1758">
        <f>VLOOKUP($G22,'Quantidades Padrão'!$E$7:$J$103,GN$8,0)</f>
        <v>10.657321937321939</v>
      </c>
      <c r="GO22" s="1759" t="s">
        <v>406</v>
      </c>
      <c r="GP22" s="992">
        <f t="shared" si="71"/>
        <v>6086.9154207804013</v>
      </c>
      <c r="GQ22" s="1759" t="s">
        <v>406</v>
      </c>
      <c r="GR22" s="992">
        <f t="shared" si="72"/>
        <v>6695.6069628584419</v>
      </c>
      <c r="GS22" s="992"/>
      <c r="GT22" s="992">
        <f t="shared" si="73"/>
        <v>571.14868600000011</v>
      </c>
      <c r="GU22" s="1757" t="s">
        <v>406</v>
      </c>
      <c r="GV22" s="1758">
        <f>VLOOKUP($G22,'Quantidades Padrão'!$E$7:$J$103,GV$8,0)</f>
        <v>13.900854700854701</v>
      </c>
      <c r="GW22" s="1759" t="s">
        <v>406</v>
      </c>
      <c r="GX22" s="992">
        <f t="shared" si="74"/>
        <v>7939.4548966700868</v>
      </c>
      <c r="GY22" s="1759" t="s">
        <v>406</v>
      </c>
      <c r="GZ22" s="992">
        <f t="shared" si="75"/>
        <v>8733.4003863370963</v>
      </c>
      <c r="HA22" s="992"/>
      <c r="HB22" s="992">
        <f t="shared" si="76"/>
        <v>575.58868600000005</v>
      </c>
      <c r="HC22" s="1757" t="s">
        <v>406</v>
      </c>
      <c r="HD22" s="1758">
        <f>VLOOKUP($G22,'Quantidades Padrão'!$E$7:$J$103,HD$8,0)</f>
        <v>7.4137891737891755</v>
      </c>
      <c r="HE22" s="1759" t="s">
        <v>406</v>
      </c>
      <c r="HF22" s="992">
        <f t="shared" si="77"/>
        <v>4267.293168822338</v>
      </c>
      <c r="HG22" s="1759" t="s">
        <v>406</v>
      </c>
      <c r="HH22" s="992">
        <f t="shared" si="78"/>
        <v>4694.0224857045723</v>
      </c>
      <c r="HI22" s="992"/>
      <c r="HJ22" s="992">
        <f t="shared" si="79"/>
        <v>575.58868600000005</v>
      </c>
      <c r="HK22" s="1757" t="s">
        <v>406</v>
      </c>
      <c r="HL22" s="1758">
        <f>VLOOKUP($G22,'Quantidades Padrão'!$E$7:$J$103,HL$8,0)</f>
        <v>10.657321937321939</v>
      </c>
      <c r="HM22" s="1759" t="s">
        <v>406</v>
      </c>
      <c r="HN22" s="992">
        <f t="shared" si="80"/>
        <v>6134.2339301821094</v>
      </c>
      <c r="HO22" s="1759" t="s">
        <v>406</v>
      </c>
      <c r="HP22" s="992">
        <f t="shared" si="81"/>
        <v>6747.6573232003211</v>
      </c>
      <c r="HQ22" s="992"/>
      <c r="HR22" s="992">
        <f t="shared" si="82"/>
        <v>575.58868600000005</v>
      </c>
      <c r="HS22" s="1757" t="s">
        <v>406</v>
      </c>
      <c r="HT22" s="1758">
        <f>VLOOKUP($G22,'Quantidades Padrão'!$E$7:$J$103,HT$8,0)</f>
        <v>13.900854700854701</v>
      </c>
      <c r="HU22" s="1759" t="s">
        <v>406</v>
      </c>
      <c r="HV22" s="992">
        <f t="shared" si="83"/>
        <v>8001.1746915418817</v>
      </c>
      <c r="HW22" s="1759" t="s">
        <v>406</v>
      </c>
      <c r="HX22" s="992">
        <f t="shared" si="84"/>
        <v>8801.2921606960699</v>
      </c>
      <c r="HY22" s="992"/>
      <c r="HZ22" s="992">
        <f t="shared" si="85"/>
        <v>575.58868600000005</v>
      </c>
      <c r="IA22" s="1757" t="s">
        <v>406</v>
      </c>
      <c r="IB22" s="1758">
        <f>VLOOKUP($G22,'Quantidades Padrão'!$E$7:$J$103,IB$8,0)</f>
        <v>7.4137891737891755</v>
      </c>
      <c r="IC22" s="1759" t="s">
        <v>406</v>
      </c>
      <c r="ID22" s="992">
        <f t="shared" si="86"/>
        <v>4267.293168822338</v>
      </c>
      <c r="IE22" s="1759" t="s">
        <v>406</v>
      </c>
      <c r="IF22" s="992">
        <f t="shared" si="87"/>
        <v>4694.0224857045723</v>
      </c>
      <c r="IG22" s="992"/>
      <c r="IH22" s="992">
        <f t="shared" si="88"/>
        <v>575.58868600000005</v>
      </c>
      <c r="II22" s="1757" t="s">
        <v>406</v>
      </c>
      <c r="IJ22" s="1758">
        <f>VLOOKUP($G22,'Quantidades Padrão'!$E$7:$J$103,IJ$8,0)</f>
        <v>10.657321937321939</v>
      </c>
      <c r="IK22" s="1759" t="s">
        <v>406</v>
      </c>
      <c r="IL22" s="992">
        <f t="shared" si="89"/>
        <v>6134.2339301821094</v>
      </c>
      <c r="IM22" s="1759" t="s">
        <v>406</v>
      </c>
      <c r="IN22" s="992">
        <f t="shared" si="90"/>
        <v>6747.6573232003211</v>
      </c>
      <c r="IO22" s="992"/>
    </row>
    <row r="23" spans="1:249" s="341" customFormat="1" ht="27" customHeight="1">
      <c r="A23" s="1753"/>
      <c r="B23" s="1754"/>
      <c r="C23" s="1755"/>
      <c r="D23" s="1013">
        <f>VLOOKUP(E23,'DER MG'!$D$5:$I$150,6,0)</f>
        <v>1.05</v>
      </c>
      <c r="E23" s="1017">
        <v>41373</v>
      </c>
      <c r="F23" s="1756"/>
      <c r="G23" s="1018" t="s">
        <v>408</v>
      </c>
      <c r="H23" s="992">
        <f t="shared" si="5"/>
        <v>340107.08522023633</v>
      </c>
      <c r="I23" s="992">
        <v>364</v>
      </c>
      <c r="J23" s="1757" t="s">
        <v>406</v>
      </c>
      <c r="K23" s="1758">
        <f>VLOOKUP($G23,'Quantidades Padrão'!$E$7:$J$103,K$8,0)</f>
        <v>14.266666666666669</v>
      </c>
      <c r="L23" s="1759" t="s">
        <v>406</v>
      </c>
      <c r="M23" s="992">
        <f t="shared" si="6"/>
        <v>5193.0666666666675</v>
      </c>
      <c r="N23" s="1759" t="s">
        <v>406</v>
      </c>
      <c r="O23" s="992">
        <f t="shared" si="7"/>
        <v>5452.7200000000012</v>
      </c>
      <c r="P23" s="992"/>
      <c r="Q23" s="1760">
        <f t="shared" si="0"/>
        <v>8.7843796755714479E-4</v>
      </c>
      <c r="R23" s="992">
        <f t="shared" si="8"/>
        <v>500</v>
      </c>
      <c r="S23" s="1757" t="s">
        <v>406</v>
      </c>
      <c r="T23" s="1758">
        <f>VLOOKUP($G23,'Quantidades Padrão'!$E$7:$J$103,T$8,0)</f>
        <v>14.266666666666669</v>
      </c>
      <c r="U23" s="1759" t="s">
        <v>406</v>
      </c>
      <c r="V23" s="992">
        <f t="shared" si="9"/>
        <v>7133.3333333333348</v>
      </c>
      <c r="W23" s="1759" t="s">
        <v>406</v>
      </c>
      <c r="X23" s="992">
        <f t="shared" si="1"/>
        <v>7490.0000000000018</v>
      </c>
      <c r="Y23" s="992"/>
      <c r="Z23" s="992">
        <f t="shared" si="10"/>
        <v>500</v>
      </c>
      <c r="AA23" s="1757" t="s">
        <v>406</v>
      </c>
      <c r="AB23" s="1758">
        <f>VLOOKUP($G23,'Quantidades Padrão'!$E$7:$J$103,AB$8,0)</f>
        <v>26.75</v>
      </c>
      <c r="AC23" s="1759" t="s">
        <v>406</v>
      </c>
      <c r="AD23" s="992">
        <f t="shared" si="11"/>
        <v>13375</v>
      </c>
      <c r="AE23" s="1759" t="s">
        <v>406</v>
      </c>
      <c r="AF23" s="992">
        <f t="shared" si="2"/>
        <v>14043.75</v>
      </c>
      <c r="AG23" s="992"/>
      <c r="AH23" s="992">
        <f t="shared" si="12"/>
        <v>500</v>
      </c>
      <c r="AI23" s="1757" t="s">
        <v>406</v>
      </c>
      <c r="AJ23" s="1758">
        <f>VLOOKUP($G23,'Quantidades Padrão'!$E$7:$J$103,AJ$8,0)</f>
        <v>14.266666666666669</v>
      </c>
      <c r="AK23" s="1759" t="s">
        <v>406</v>
      </c>
      <c r="AL23" s="992">
        <f t="shared" si="13"/>
        <v>7133.3333333333348</v>
      </c>
      <c r="AM23" s="1759" t="s">
        <v>406</v>
      </c>
      <c r="AN23" s="992">
        <f t="shared" si="3"/>
        <v>7490.0000000000018</v>
      </c>
      <c r="AO23" s="992"/>
      <c r="AP23" s="992">
        <f t="shared" si="14"/>
        <v>500</v>
      </c>
      <c r="AQ23" s="1757" t="s">
        <v>406</v>
      </c>
      <c r="AR23" s="1758">
        <f>VLOOKUP($G23,'Quantidades Padrão'!$E$7:$J$103,AR$8,0)</f>
        <v>14.266666666666669</v>
      </c>
      <c r="AS23" s="1759" t="s">
        <v>406</v>
      </c>
      <c r="AT23" s="992">
        <f t="shared" si="15"/>
        <v>7133.3333333333348</v>
      </c>
      <c r="AU23" s="1759" t="s">
        <v>406</v>
      </c>
      <c r="AV23" s="992">
        <f t="shared" si="4"/>
        <v>7490.0000000000018</v>
      </c>
      <c r="AW23" s="992"/>
      <c r="AX23" s="992">
        <f t="shared" si="16"/>
        <v>513.17434300000002</v>
      </c>
      <c r="AY23" s="1757" t="s">
        <v>406</v>
      </c>
      <c r="AZ23" s="1758">
        <f>VLOOKUP($G23,'Quantidades Padrão'!$E$7:$J$103,AZ$8,0)</f>
        <v>20.508333333333336</v>
      </c>
      <c r="BA23" s="1759" t="s">
        <v>406</v>
      </c>
      <c r="BB23" s="992">
        <f t="shared" si="17"/>
        <v>10524.350484358336</v>
      </c>
      <c r="BC23" s="1759" t="s">
        <v>406</v>
      </c>
      <c r="BD23" s="992">
        <f t="shared" si="18"/>
        <v>11050.568008576252</v>
      </c>
      <c r="BE23" s="992"/>
      <c r="BF23" s="992">
        <f t="shared" si="19"/>
        <v>539.66868600000009</v>
      </c>
      <c r="BG23" s="1757" t="s">
        <v>406</v>
      </c>
      <c r="BH23" s="1758">
        <f>VLOOKUP($G23,'Quantidades Padrão'!$E$7:$J$103,BH$8,0)</f>
        <v>26.75</v>
      </c>
      <c r="BI23" s="1759" t="s">
        <v>406</v>
      </c>
      <c r="BJ23" s="992">
        <f t="shared" si="20"/>
        <v>14436.137350500003</v>
      </c>
      <c r="BK23" s="1759" t="s">
        <v>406</v>
      </c>
      <c r="BL23" s="992">
        <f t="shared" si="21"/>
        <v>15157.944218025004</v>
      </c>
      <c r="BM23" s="992"/>
      <c r="BN23" s="992">
        <f t="shared" si="22"/>
        <v>539.66868600000009</v>
      </c>
      <c r="BO23" s="1757" t="s">
        <v>406</v>
      </c>
      <c r="BP23" s="1758">
        <f>VLOOKUP($G23,'Quantidades Padrão'!$E$7:$J$103,BP$8,0)</f>
        <v>14.266666666666669</v>
      </c>
      <c r="BQ23" s="1759" t="s">
        <v>406</v>
      </c>
      <c r="BR23" s="992">
        <f t="shared" si="23"/>
        <v>7699.273253600003</v>
      </c>
      <c r="BS23" s="1759" t="s">
        <v>406</v>
      </c>
      <c r="BT23" s="992">
        <f t="shared" si="24"/>
        <v>8084.2369162800032</v>
      </c>
      <c r="BU23" s="992"/>
      <c r="BV23" s="992">
        <f t="shared" si="25"/>
        <v>539.66868600000009</v>
      </c>
      <c r="BW23" s="1757" t="s">
        <v>406</v>
      </c>
      <c r="BX23" s="1758">
        <f>VLOOKUP($G23,'Quantidades Padrão'!$E$7:$J$103,BX$8,0)</f>
        <v>20.508333333333336</v>
      </c>
      <c r="BY23" s="1759" t="s">
        <v>406</v>
      </c>
      <c r="BZ23" s="992">
        <f t="shared" si="26"/>
        <v>11067.705302050004</v>
      </c>
      <c r="CA23" s="1759" t="s">
        <v>406</v>
      </c>
      <c r="CB23" s="992">
        <f t="shared" si="27"/>
        <v>11621.090567152505</v>
      </c>
      <c r="CC23" s="992"/>
      <c r="CD23" s="992">
        <f t="shared" si="28"/>
        <v>539.66868600000009</v>
      </c>
      <c r="CE23" s="1757" t="s">
        <v>406</v>
      </c>
      <c r="CF23" s="1758">
        <f>VLOOKUP($G23,'Quantidades Padrão'!$E$7:$J$103,CF$8,0)</f>
        <v>26.75</v>
      </c>
      <c r="CG23" s="1759" t="s">
        <v>406</v>
      </c>
      <c r="CH23" s="992">
        <f t="shared" si="29"/>
        <v>14436.137350500003</v>
      </c>
      <c r="CI23" s="1759" t="s">
        <v>406</v>
      </c>
      <c r="CJ23" s="992">
        <f t="shared" si="30"/>
        <v>15157.944218025004</v>
      </c>
      <c r="CK23" s="992"/>
      <c r="CL23" s="992">
        <f t="shared" si="31"/>
        <v>539.66868600000009</v>
      </c>
      <c r="CM23" s="1757" t="s">
        <v>406</v>
      </c>
      <c r="CN23" s="1758">
        <f>VLOOKUP($G23,'Quantidades Padrão'!$E$7:$J$103,CN$8,0)</f>
        <v>14.266666666666669</v>
      </c>
      <c r="CO23" s="1759" t="s">
        <v>406</v>
      </c>
      <c r="CP23" s="992">
        <f t="shared" si="32"/>
        <v>7699.273253600003</v>
      </c>
      <c r="CQ23" s="1759" t="s">
        <v>406</v>
      </c>
      <c r="CR23" s="992">
        <f t="shared" si="33"/>
        <v>8084.2369162800032</v>
      </c>
      <c r="CS23" s="992"/>
      <c r="CT23" s="992">
        <f t="shared" si="34"/>
        <v>539.66868600000009</v>
      </c>
      <c r="CU23" s="1757" t="s">
        <v>406</v>
      </c>
      <c r="CV23" s="1758">
        <f>VLOOKUP($G23,'Quantidades Padrão'!$E$7:$J$103,CV$8,0)</f>
        <v>20.508333333333336</v>
      </c>
      <c r="CW23" s="1759" t="s">
        <v>406</v>
      </c>
      <c r="CX23" s="992">
        <f t="shared" si="35"/>
        <v>11067.705302050004</v>
      </c>
      <c r="CY23" s="1759" t="s">
        <v>406</v>
      </c>
      <c r="CZ23" s="992">
        <f t="shared" si="36"/>
        <v>11621.090567152505</v>
      </c>
      <c r="DA23" s="992"/>
      <c r="DB23" s="992">
        <f t="shared" si="37"/>
        <v>539.66868600000009</v>
      </c>
      <c r="DC23" s="1757" t="s">
        <v>406</v>
      </c>
      <c r="DD23" s="1758">
        <f>VLOOKUP($G23,'Quantidades Padrão'!$E$7:$J$103,DD$8,0)</f>
        <v>26.75</v>
      </c>
      <c r="DE23" s="1759" t="s">
        <v>406</v>
      </c>
      <c r="DF23" s="992">
        <f t="shared" si="38"/>
        <v>14436.137350500003</v>
      </c>
      <c r="DG23" s="1759" t="s">
        <v>406</v>
      </c>
      <c r="DH23" s="992">
        <f t="shared" si="39"/>
        <v>15157.944218025004</v>
      </c>
      <c r="DI23" s="992"/>
      <c r="DJ23" s="992">
        <f t="shared" si="40"/>
        <v>539.66868600000009</v>
      </c>
      <c r="DK23" s="1757" t="s">
        <v>406</v>
      </c>
      <c r="DL23" s="1758">
        <f>VLOOKUP($G23,'Quantidades Padrão'!$E$7:$J$103,DL$8,0)</f>
        <v>14.266666666666669</v>
      </c>
      <c r="DM23" s="1759" t="s">
        <v>406</v>
      </c>
      <c r="DN23" s="992">
        <f t="shared" si="41"/>
        <v>7699.273253600003</v>
      </c>
      <c r="DO23" s="1759" t="s">
        <v>406</v>
      </c>
      <c r="DP23" s="992">
        <f t="shared" si="42"/>
        <v>8084.2369162800032</v>
      </c>
      <c r="DQ23" s="992"/>
      <c r="DR23" s="992">
        <f t="shared" si="43"/>
        <v>539.66868600000009</v>
      </c>
      <c r="DS23" s="1757" t="s">
        <v>406</v>
      </c>
      <c r="DT23" s="1758">
        <f>VLOOKUP($G23,'Quantidades Padrão'!$E$7:$J$103,DT$8,0)</f>
        <v>20.508333333333336</v>
      </c>
      <c r="DU23" s="1759" t="s">
        <v>406</v>
      </c>
      <c r="DV23" s="992">
        <f t="shared" si="44"/>
        <v>11067.705302050004</v>
      </c>
      <c r="DW23" s="1759" t="s">
        <v>406</v>
      </c>
      <c r="DX23" s="992">
        <f t="shared" si="45"/>
        <v>11621.090567152505</v>
      </c>
      <c r="DY23" s="992"/>
      <c r="DZ23" s="992">
        <f t="shared" si="46"/>
        <v>548.54868600000009</v>
      </c>
      <c r="EA23" s="1757" t="s">
        <v>406</v>
      </c>
      <c r="EB23" s="1758">
        <f>VLOOKUP($G23,'Quantidades Padrão'!$E$7:$J$103,EB$8,0)</f>
        <v>26.75</v>
      </c>
      <c r="EC23" s="1759" t="s">
        <v>406</v>
      </c>
      <c r="ED23" s="992">
        <f t="shared" si="47"/>
        <v>14673.677350500002</v>
      </c>
      <c r="EE23" s="1759" t="s">
        <v>406</v>
      </c>
      <c r="EF23" s="992">
        <f t="shared" si="48"/>
        <v>15407.361218025002</v>
      </c>
      <c r="EG23" s="992"/>
      <c r="EH23" s="992">
        <f t="shared" si="49"/>
        <v>548.54868600000009</v>
      </c>
      <c r="EI23" s="1757" t="s">
        <v>406</v>
      </c>
      <c r="EJ23" s="1758">
        <f>VLOOKUP($G23,'Quantidades Padrão'!$E$7:$J$103,EJ$8,0)</f>
        <v>14.266666666666669</v>
      </c>
      <c r="EK23" s="1759" t="s">
        <v>406</v>
      </c>
      <c r="EL23" s="992">
        <f t="shared" si="50"/>
        <v>7825.9612536000031</v>
      </c>
      <c r="EM23" s="1759" t="s">
        <v>406</v>
      </c>
      <c r="EN23" s="992">
        <f t="shared" si="51"/>
        <v>8217.259316280004</v>
      </c>
      <c r="EO23" s="992"/>
      <c r="EP23" s="992">
        <f t="shared" si="52"/>
        <v>548.54868600000009</v>
      </c>
      <c r="EQ23" s="1757" t="s">
        <v>406</v>
      </c>
      <c r="ER23" s="1758">
        <f>VLOOKUP($G23,'Quantidades Padrão'!$E$7:$J$103,ER$8,0)</f>
        <v>20.508333333333336</v>
      </c>
      <c r="ES23" s="1759" t="s">
        <v>406</v>
      </c>
      <c r="ET23" s="992">
        <f t="shared" si="53"/>
        <v>11249.819302050004</v>
      </c>
      <c r="EU23" s="1759" t="s">
        <v>406</v>
      </c>
      <c r="EV23" s="992">
        <f t="shared" si="54"/>
        <v>11812.310267152505</v>
      </c>
      <c r="EW23" s="992"/>
      <c r="EX23" s="992">
        <f t="shared" si="55"/>
        <v>548.54868600000009</v>
      </c>
      <c r="EY23" s="1757" t="s">
        <v>406</v>
      </c>
      <c r="EZ23" s="1758">
        <f>VLOOKUP($G23,'Quantidades Padrão'!$E$7:$J$103,EZ$8,0)</f>
        <v>26.75</v>
      </c>
      <c r="FA23" s="1759" t="s">
        <v>406</v>
      </c>
      <c r="FB23" s="992">
        <f t="shared" si="56"/>
        <v>14673.677350500002</v>
      </c>
      <c r="FC23" s="1759" t="s">
        <v>406</v>
      </c>
      <c r="FD23" s="992">
        <f t="shared" si="57"/>
        <v>15407.361218025002</v>
      </c>
      <c r="FE23" s="992"/>
      <c r="FF23" s="992">
        <f t="shared" si="58"/>
        <v>548.54868600000009</v>
      </c>
      <c r="FG23" s="1757" t="s">
        <v>406</v>
      </c>
      <c r="FH23" s="1758">
        <f>VLOOKUP($G23,'Quantidades Padrão'!$E$7:$J$103,FH$8,0)</f>
        <v>14.266666666666669</v>
      </c>
      <c r="FI23" s="1759" t="s">
        <v>406</v>
      </c>
      <c r="FJ23" s="992">
        <f t="shared" si="59"/>
        <v>7825.9612536000031</v>
      </c>
      <c r="FK23" s="1759" t="s">
        <v>406</v>
      </c>
      <c r="FL23" s="992">
        <f t="shared" si="60"/>
        <v>8217.259316280004</v>
      </c>
      <c r="FM23" s="992"/>
      <c r="FN23" s="992">
        <f t="shared" si="61"/>
        <v>571.14868600000011</v>
      </c>
      <c r="FO23" s="1757" t="s">
        <v>406</v>
      </c>
      <c r="FP23" s="1758">
        <f>VLOOKUP($G23,'Quantidades Padrão'!$E$7:$J$103,FP$8,0)</f>
        <v>20.508333333333336</v>
      </c>
      <c r="FQ23" s="1759" t="s">
        <v>406</v>
      </c>
      <c r="FR23" s="992">
        <f t="shared" si="62"/>
        <v>11713.307635383337</v>
      </c>
      <c r="FS23" s="1759" t="s">
        <v>406</v>
      </c>
      <c r="FT23" s="992">
        <f t="shared" si="63"/>
        <v>12298.973017152504</v>
      </c>
      <c r="FU23" s="992"/>
      <c r="FV23" s="992">
        <f t="shared" si="64"/>
        <v>571.14868600000011</v>
      </c>
      <c r="FW23" s="1757" t="s">
        <v>406</v>
      </c>
      <c r="FX23" s="1758">
        <f>VLOOKUP($G23,'Quantidades Padrão'!$E$7:$J$103,FX$8,0)</f>
        <v>26.75</v>
      </c>
      <c r="FY23" s="1759" t="s">
        <v>406</v>
      </c>
      <c r="FZ23" s="992">
        <f t="shared" si="65"/>
        <v>15278.227350500003</v>
      </c>
      <c r="GA23" s="1759" t="s">
        <v>406</v>
      </c>
      <c r="GB23" s="992">
        <f t="shared" si="66"/>
        <v>16042.138718025004</v>
      </c>
      <c r="GC23" s="992"/>
      <c r="GD23" s="992">
        <f t="shared" si="67"/>
        <v>571.14868600000011</v>
      </c>
      <c r="GE23" s="1757" t="s">
        <v>406</v>
      </c>
      <c r="GF23" s="1758">
        <f>VLOOKUP($G23,'Quantidades Padrão'!$E$7:$J$103,GF$8,0)</f>
        <v>14.266666666666669</v>
      </c>
      <c r="GG23" s="1759" t="s">
        <v>406</v>
      </c>
      <c r="GH23" s="992">
        <f t="shared" si="68"/>
        <v>8148.3879202666694</v>
      </c>
      <c r="GI23" s="1759" t="s">
        <v>406</v>
      </c>
      <c r="GJ23" s="992">
        <f t="shared" si="69"/>
        <v>8555.8073162800029</v>
      </c>
      <c r="GK23" s="992"/>
      <c r="GL23" s="992">
        <f t="shared" si="70"/>
        <v>571.14868600000011</v>
      </c>
      <c r="GM23" s="1757" t="s">
        <v>406</v>
      </c>
      <c r="GN23" s="1758">
        <f>VLOOKUP($G23,'Quantidades Padrão'!$E$7:$J$103,GN$8,0)</f>
        <v>20.508333333333336</v>
      </c>
      <c r="GO23" s="1759" t="s">
        <v>406</v>
      </c>
      <c r="GP23" s="992">
        <f t="shared" si="71"/>
        <v>11713.307635383337</v>
      </c>
      <c r="GQ23" s="1759" t="s">
        <v>406</v>
      </c>
      <c r="GR23" s="992">
        <f t="shared" si="72"/>
        <v>12298.973017152504</v>
      </c>
      <c r="GS23" s="992"/>
      <c r="GT23" s="992">
        <f t="shared" si="73"/>
        <v>571.14868600000011</v>
      </c>
      <c r="GU23" s="1757" t="s">
        <v>406</v>
      </c>
      <c r="GV23" s="1758">
        <f>VLOOKUP($G23,'Quantidades Padrão'!$E$7:$J$103,GV$8,0)</f>
        <v>26.75</v>
      </c>
      <c r="GW23" s="1759" t="s">
        <v>406</v>
      </c>
      <c r="GX23" s="992">
        <f t="shared" si="74"/>
        <v>15278.227350500003</v>
      </c>
      <c r="GY23" s="1759" t="s">
        <v>406</v>
      </c>
      <c r="GZ23" s="992">
        <f t="shared" si="75"/>
        <v>16042.138718025004</v>
      </c>
      <c r="HA23" s="992"/>
      <c r="HB23" s="992">
        <f t="shared" si="76"/>
        <v>575.58868600000005</v>
      </c>
      <c r="HC23" s="1757" t="s">
        <v>406</v>
      </c>
      <c r="HD23" s="1758">
        <f>VLOOKUP($G23,'Quantidades Padrão'!$E$7:$J$103,HD$8,0)</f>
        <v>14.266666666666669</v>
      </c>
      <c r="HE23" s="1759" t="s">
        <v>406</v>
      </c>
      <c r="HF23" s="992">
        <f t="shared" si="77"/>
        <v>8211.7319202666695</v>
      </c>
      <c r="HG23" s="1759" t="s">
        <v>406</v>
      </c>
      <c r="HH23" s="992">
        <f t="shared" si="78"/>
        <v>8622.3185162800037</v>
      </c>
      <c r="HI23" s="992"/>
      <c r="HJ23" s="992">
        <f t="shared" si="79"/>
        <v>575.58868600000005</v>
      </c>
      <c r="HK23" s="1757" t="s">
        <v>406</v>
      </c>
      <c r="HL23" s="1758">
        <f>VLOOKUP($G23,'Quantidades Padrão'!$E$7:$J$103,HL$8,0)</f>
        <v>20.508333333333336</v>
      </c>
      <c r="HM23" s="1759" t="s">
        <v>406</v>
      </c>
      <c r="HN23" s="992">
        <f t="shared" si="80"/>
        <v>11804.364635383336</v>
      </c>
      <c r="HO23" s="1759" t="s">
        <v>406</v>
      </c>
      <c r="HP23" s="992">
        <f t="shared" si="81"/>
        <v>12394.582867152503</v>
      </c>
      <c r="HQ23" s="992"/>
      <c r="HR23" s="992">
        <f t="shared" si="82"/>
        <v>575.58868600000005</v>
      </c>
      <c r="HS23" s="1757" t="s">
        <v>406</v>
      </c>
      <c r="HT23" s="1758">
        <f>VLOOKUP($G23,'Quantidades Padrão'!$E$7:$J$103,HT$8,0)</f>
        <v>26.75</v>
      </c>
      <c r="HU23" s="1759" t="s">
        <v>406</v>
      </c>
      <c r="HV23" s="992">
        <f t="shared" si="83"/>
        <v>15396.997350500002</v>
      </c>
      <c r="HW23" s="1759" t="s">
        <v>406</v>
      </c>
      <c r="HX23" s="992">
        <f t="shared" si="84"/>
        <v>16166.847218025003</v>
      </c>
      <c r="HY23" s="992"/>
      <c r="HZ23" s="992">
        <f t="shared" si="85"/>
        <v>575.58868600000005</v>
      </c>
      <c r="IA23" s="1757" t="s">
        <v>406</v>
      </c>
      <c r="IB23" s="1758">
        <f>VLOOKUP($G23,'Quantidades Padrão'!$E$7:$J$103,IB$8,0)</f>
        <v>14.266666666666669</v>
      </c>
      <c r="IC23" s="1759" t="s">
        <v>406</v>
      </c>
      <c r="ID23" s="992">
        <f t="shared" si="86"/>
        <v>8211.7319202666695</v>
      </c>
      <c r="IE23" s="1759" t="s">
        <v>406</v>
      </c>
      <c r="IF23" s="992">
        <f t="shared" si="87"/>
        <v>8622.3185162800037</v>
      </c>
      <c r="IG23" s="992"/>
      <c r="IH23" s="992">
        <f t="shared" si="88"/>
        <v>575.58868600000005</v>
      </c>
      <c r="II23" s="1757" t="s">
        <v>406</v>
      </c>
      <c r="IJ23" s="1758">
        <f>VLOOKUP($G23,'Quantidades Padrão'!$E$7:$J$103,IJ$8,0)</f>
        <v>20.508333333333336</v>
      </c>
      <c r="IK23" s="1759" t="s">
        <v>406</v>
      </c>
      <c r="IL23" s="992">
        <f t="shared" si="89"/>
        <v>11804.364635383336</v>
      </c>
      <c r="IM23" s="1759" t="s">
        <v>406</v>
      </c>
      <c r="IN23" s="992">
        <f t="shared" si="90"/>
        <v>12394.582867152503</v>
      </c>
      <c r="IO23" s="992"/>
    </row>
    <row r="24" spans="1:249" s="341" customFormat="1" ht="27" customHeight="1">
      <c r="A24" s="1753"/>
      <c r="B24" s="1754"/>
      <c r="C24" s="1755"/>
      <c r="D24" s="1013">
        <f>VLOOKUP(E24,'DER MG'!$D$5:$I$150,6,0)</f>
        <v>1.1399999999999999</v>
      </c>
      <c r="E24" s="1017">
        <v>41376</v>
      </c>
      <c r="F24" s="1756"/>
      <c r="G24" s="1018" t="s">
        <v>409</v>
      </c>
      <c r="H24" s="992">
        <f t="shared" si="5"/>
        <v>763766.72910507768</v>
      </c>
      <c r="I24" s="992">
        <v>364</v>
      </c>
      <c r="J24" s="1757" t="s">
        <v>406</v>
      </c>
      <c r="K24" s="1758">
        <f>VLOOKUP($G24,'Quantidades Padrão'!$E$7:$J$103,K$8,0)</f>
        <v>29.508831908831915</v>
      </c>
      <c r="L24" s="1759" t="s">
        <v>406</v>
      </c>
      <c r="M24" s="992">
        <f t="shared" si="6"/>
        <v>10741.214814814817</v>
      </c>
      <c r="N24" s="1759" t="s">
        <v>406</v>
      </c>
      <c r="O24" s="992">
        <f t="shared" si="7"/>
        <v>12244.98488888889</v>
      </c>
      <c r="P24" s="992"/>
      <c r="Q24" s="1760">
        <f t="shared" si="0"/>
        <v>1.9726777899036637E-3</v>
      </c>
      <c r="R24" s="992">
        <f t="shared" si="8"/>
        <v>500</v>
      </c>
      <c r="S24" s="1757" t="s">
        <v>406</v>
      </c>
      <c r="T24" s="1758">
        <f>VLOOKUP($G24,'Quantidades Padrão'!$E$7:$J$103,T$8,0)</f>
        <v>29.508831908831915</v>
      </c>
      <c r="U24" s="1759" t="s">
        <v>406</v>
      </c>
      <c r="V24" s="992">
        <f t="shared" si="9"/>
        <v>14754.415954415957</v>
      </c>
      <c r="W24" s="1759" t="s">
        <v>406</v>
      </c>
      <c r="X24" s="992">
        <f t="shared" si="1"/>
        <v>16820.034188034191</v>
      </c>
      <c r="Y24" s="992"/>
      <c r="Z24" s="992">
        <f t="shared" si="10"/>
        <v>500</v>
      </c>
      <c r="AA24" s="1757" t="s">
        <v>406</v>
      </c>
      <c r="AB24" s="1758">
        <f>VLOOKUP($G24,'Quantidades Padrão'!$E$7:$J$103,AB$8,0)</f>
        <v>55.329059829059844</v>
      </c>
      <c r="AC24" s="1759" t="s">
        <v>406</v>
      </c>
      <c r="AD24" s="992">
        <f t="shared" si="11"/>
        <v>27664.529914529921</v>
      </c>
      <c r="AE24" s="1759" t="s">
        <v>406</v>
      </c>
      <c r="AF24" s="992">
        <f t="shared" si="2"/>
        <v>31537.564102564109</v>
      </c>
      <c r="AG24" s="992"/>
      <c r="AH24" s="992">
        <f t="shared" si="12"/>
        <v>500</v>
      </c>
      <c r="AI24" s="1757" t="s">
        <v>406</v>
      </c>
      <c r="AJ24" s="1758">
        <f>VLOOKUP($G24,'Quantidades Padrão'!$E$7:$J$103,AJ$8,0)</f>
        <v>29.508831908831915</v>
      </c>
      <c r="AK24" s="1759" t="s">
        <v>406</v>
      </c>
      <c r="AL24" s="992">
        <f t="shared" si="13"/>
        <v>14754.415954415957</v>
      </c>
      <c r="AM24" s="1759" t="s">
        <v>406</v>
      </c>
      <c r="AN24" s="992">
        <f t="shared" si="3"/>
        <v>16820.034188034191</v>
      </c>
      <c r="AO24" s="992"/>
      <c r="AP24" s="992">
        <f t="shared" si="14"/>
        <v>500</v>
      </c>
      <c r="AQ24" s="1757" t="s">
        <v>406</v>
      </c>
      <c r="AR24" s="1758">
        <f>VLOOKUP($G24,'Quantidades Padrão'!$E$7:$J$103,AR$8,0)</f>
        <v>29.508831908831915</v>
      </c>
      <c r="AS24" s="1759" t="s">
        <v>406</v>
      </c>
      <c r="AT24" s="992">
        <f t="shared" si="15"/>
        <v>14754.415954415957</v>
      </c>
      <c r="AU24" s="1759" t="s">
        <v>406</v>
      </c>
      <c r="AV24" s="992">
        <f t="shared" si="4"/>
        <v>16820.034188034191</v>
      </c>
      <c r="AW24" s="992"/>
      <c r="AX24" s="992">
        <f t="shared" si="16"/>
        <v>513.17434300000002</v>
      </c>
      <c r="AY24" s="1757" t="s">
        <v>406</v>
      </c>
      <c r="AZ24" s="1758">
        <f>VLOOKUP($G24,'Quantidades Padrão'!$E$7:$J$103,AZ$8,0)</f>
        <v>42.418945868945883</v>
      </c>
      <c r="BA24" s="1759" t="s">
        <v>406</v>
      </c>
      <c r="BB24" s="992">
        <f t="shared" si="17"/>
        <v>21768.314677048867</v>
      </c>
      <c r="BC24" s="1759" t="s">
        <v>406</v>
      </c>
      <c r="BD24" s="992">
        <f t="shared" si="18"/>
        <v>24815.878731835706</v>
      </c>
      <c r="BE24" s="992"/>
      <c r="BF24" s="992">
        <f t="shared" si="19"/>
        <v>539.66868600000009</v>
      </c>
      <c r="BG24" s="1757" t="s">
        <v>406</v>
      </c>
      <c r="BH24" s="1758">
        <f>VLOOKUP($G24,'Quantidades Padrão'!$E$7:$J$103,BH$8,0)</f>
        <v>55.329059829059844</v>
      </c>
      <c r="BI24" s="1759" t="s">
        <v>406</v>
      </c>
      <c r="BJ24" s="992">
        <f t="shared" si="20"/>
        <v>29859.361015564114</v>
      </c>
      <c r="BK24" s="1759" t="s">
        <v>406</v>
      </c>
      <c r="BL24" s="992">
        <f t="shared" si="21"/>
        <v>34039.671557743088</v>
      </c>
      <c r="BM24" s="992"/>
      <c r="BN24" s="992">
        <f t="shared" si="22"/>
        <v>539.66868600000009</v>
      </c>
      <c r="BO24" s="1757" t="s">
        <v>406</v>
      </c>
      <c r="BP24" s="1758">
        <f>VLOOKUP($G24,'Quantidades Padrão'!$E$7:$J$103,BP$8,0)</f>
        <v>29.508831908831915</v>
      </c>
      <c r="BQ24" s="1759" t="s">
        <v>406</v>
      </c>
      <c r="BR24" s="992">
        <f t="shared" si="23"/>
        <v>15924.992541634194</v>
      </c>
      <c r="BS24" s="1759" t="s">
        <v>406</v>
      </c>
      <c r="BT24" s="992">
        <f t="shared" si="24"/>
        <v>18154.491497462979</v>
      </c>
      <c r="BU24" s="992"/>
      <c r="BV24" s="992">
        <f t="shared" si="25"/>
        <v>539.66868600000009</v>
      </c>
      <c r="BW24" s="1757" t="s">
        <v>406</v>
      </c>
      <c r="BX24" s="1758">
        <f>VLOOKUP($G24,'Quantidades Padrão'!$E$7:$J$103,BX$8,0)</f>
        <v>42.418945868945883</v>
      </c>
      <c r="BY24" s="1759" t="s">
        <v>406</v>
      </c>
      <c r="BZ24" s="992">
        <f t="shared" si="26"/>
        <v>22892.176778599158</v>
      </c>
      <c r="CA24" s="1759" t="s">
        <v>406</v>
      </c>
      <c r="CB24" s="992">
        <f t="shared" si="27"/>
        <v>26097.081527603037</v>
      </c>
      <c r="CC24" s="992"/>
      <c r="CD24" s="992">
        <f t="shared" si="28"/>
        <v>539.66868600000009</v>
      </c>
      <c r="CE24" s="1757" t="s">
        <v>406</v>
      </c>
      <c r="CF24" s="1758">
        <f>VLOOKUP($G24,'Quantidades Padrão'!$E$7:$J$103,CF$8,0)</f>
        <v>55.329059829059844</v>
      </c>
      <c r="CG24" s="1759" t="s">
        <v>406</v>
      </c>
      <c r="CH24" s="992">
        <f t="shared" si="29"/>
        <v>29859.361015564114</v>
      </c>
      <c r="CI24" s="1759" t="s">
        <v>406</v>
      </c>
      <c r="CJ24" s="992">
        <f t="shared" si="30"/>
        <v>34039.671557743088</v>
      </c>
      <c r="CK24" s="992"/>
      <c r="CL24" s="992">
        <f t="shared" si="31"/>
        <v>539.66868600000009</v>
      </c>
      <c r="CM24" s="1757" t="s">
        <v>406</v>
      </c>
      <c r="CN24" s="1758">
        <f>VLOOKUP($G24,'Quantidades Padrão'!$E$7:$J$103,CN$8,0)</f>
        <v>29.508831908831915</v>
      </c>
      <c r="CO24" s="1759" t="s">
        <v>406</v>
      </c>
      <c r="CP24" s="992">
        <f t="shared" si="32"/>
        <v>15924.992541634194</v>
      </c>
      <c r="CQ24" s="1759" t="s">
        <v>406</v>
      </c>
      <c r="CR24" s="992">
        <f t="shared" si="33"/>
        <v>18154.491497462979</v>
      </c>
      <c r="CS24" s="992"/>
      <c r="CT24" s="992">
        <f t="shared" si="34"/>
        <v>539.66868600000009</v>
      </c>
      <c r="CU24" s="1757" t="s">
        <v>406</v>
      </c>
      <c r="CV24" s="1758">
        <f>VLOOKUP($G24,'Quantidades Padrão'!$E$7:$J$103,CV$8,0)</f>
        <v>42.418945868945883</v>
      </c>
      <c r="CW24" s="1759" t="s">
        <v>406</v>
      </c>
      <c r="CX24" s="992">
        <f t="shared" si="35"/>
        <v>22892.176778599158</v>
      </c>
      <c r="CY24" s="1759" t="s">
        <v>406</v>
      </c>
      <c r="CZ24" s="992">
        <f t="shared" si="36"/>
        <v>26097.081527603037</v>
      </c>
      <c r="DA24" s="992"/>
      <c r="DB24" s="992">
        <f t="shared" si="37"/>
        <v>539.66868600000009</v>
      </c>
      <c r="DC24" s="1757" t="s">
        <v>406</v>
      </c>
      <c r="DD24" s="1758">
        <f>VLOOKUP($G24,'Quantidades Padrão'!$E$7:$J$103,DD$8,0)</f>
        <v>55.329059829059844</v>
      </c>
      <c r="DE24" s="1759" t="s">
        <v>406</v>
      </c>
      <c r="DF24" s="992">
        <f t="shared" si="38"/>
        <v>29859.361015564114</v>
      </c>
      <c r="DG24" s="1759" t="s">
        <v>406</v>
      </c>
      <c r="DH24" s="992">
        <f t="shared" si="39"/>
        <v>34039.671557743088</v>
      </c>
      <c r="DI24" s="992"/>
      <c r="DJ24" s="992">
        <f t="shared" si="40"/>
        <v>539.66868600000009</v>
      </c>
      <c r="DK24" s="1757" t="s">
        <v>406</v>
      </c>
      <c r="DL24" s="1758">
        <f>VLOOKUP($G24,'Quantidades Padrão'!$E$7:$J$103,DL$8,0)</f>
        <v>29.508831908831915</v>
      </c>
      <c r="DM24" s="1759" t="s">
        <v>406</v>
      </c>
      <c r="DN24" s="992">
        <f t="shared" si="41"/>
        <v>15924.992541634194</v>
      </c>
      <c r="DO24" s="1759" t="s">
        <v>406</v>
      </c>
      <c r="DP24" s="992">
        <f t="shared" si="42"/>
        <v>18154.491497462979</v>
      </c>
      <c r="DQ24" s="992"/>
      <c r="DR24" s="992">
        <f t="shared" si="43"/>
        <v>539.66868600000009</v>
      </c>
      <c r="DS24" s="1757" t="s">
        <v>406</v>
      </c>
      <c r="DT24" s="1758">
        <f>VLOOKUP($G24,'Quantidades Padrão'!$E$7:$J$103,DT$8,0)</f>
        <v>42.418945868945883</v>
      </c>
      <c r="DU24" s="1759" t="s">
        <v>406</v>
      </c>
      <c r="DV24" s="992">
        <f t="shared" si="44"/>
        <v>22892.176778599158</v>
      </c>
      <c r="DW24" s="1759" t="s">
        <v>406</v>
      </c>
      <c r="DX24" s="992">
        <f t="shared" si="45"/>
        <v>26097.081527603037</v>
      </c>
      <c r="DY24" s="992"/>
      <c r="DZ24" s="992">
        <f t="shared" si="46"/>
        <v>548.54868600000009</v>
      </c>
      <c r="EA24" s="1757" t="s">
        <v>406</v>
      </c>
      <c r="EB24" s="1758">
        <f>VLOOKUP($G24,'Quantidades Padrão'!$E$7:$J$103,EB$8,0)</f>
        <v>55.329059829059844</v>
      </c>
      <c r="EC24" s="1759" t="s">
        <v>406</v>
      </c>
      <c r="ED24" s="992">
        <f t="shared" si="47"/>
        <v>30350.683066846166</v>
      </c>
      <c r="EE24" s="1759" t="s">
        <v>406</v>
      </c>
      <c r="EF24" s="992">
        <f t="shared" si="48"/>
        <v>34599.778696204623</v>
      </c>
      <c r="EG24" s="992"/>
      <c r="EH24" s="992">
        <f t="shared" si="49"/>
        <v>548.54868600000009</v>
      </c>
      <c r="EI24" s="1757" t="s">
        <v>406</v>
      </c>
      <c r="EJ24" s="1758">
        <f>VLOOKUP($G24,'Quantidades Padrão'!$E$7:$J$103,EJ$8,0)</f>
        <v>29.508831908831915</v>
      </c>
      <c r="EK24" s="1759" t="s">
        <v>406</v>
      </c>
      <c r="EL24" s="992">
        <f t="shared" si="50"/>
        <v>16187.030968984622</v>
      </c>
      <c r="EM24" s="1759" t="s">
        <v>406</v>
      </c>
      <c r="EN24" s="992">
        <f t="shared" si="51"/>
        <v>18453.215304642468</v>
      </c>
      <c r="EO24" s="992"/>
      <c r="EP24" s="992">
        <f t="shared" si="52"/>
        <v>548.54868600000009</v>
      </c>
      <c r="EQ24" s="1757" t="s">
        <v>406</v>
      </c>
      <c r="ER24" s="1758">
        <f>VLOOKUP($G24,'Quantidades Padrão'!$E$7:$J$103,ER$8,0)</f>
        <v>42.418945868945883</v>
      </c>
      <c r="ES24" s="1759" t="s">
        <v>406</v>
      </c>
      <c r="ET24" s="992">
        <f t="shared" si="53"/>
        <v>23268.857017915398</v>
      </c>
      <c r="EU24" s="1759" t="s">
        <v>406</v>
      </c>
      <c r="EV24" s="992">
        <f t="shared" si="54"/>
        <v>26526.497000423551</v>
      </c>
      <c r="EW24" s="992"/>
      <c r="EX24" s="992">
        <f t="shared" si="55"/>
        <v>548.54868600000009</v>
      </c>
      <c r="EY24" s="1757" t="s">
        <v>406</v>
      </c>
      <c r="EZ24" s="1758">
        <f>VLOOKUP($G24,'Quantidades Padrão'!$E$7:$J$103,EZ$8,0)</f>
        <v>55.329059829059844</v>
      </c>
      <c r="FA24" s="1759" t="s">
        <v>406</v>
      </c>
      <c r="FB24" s="992">
        <f t="shared" si="56"/>
        <v>30350.683066846166</v>
      </c>
      <c r="FC24" s="1759" t="s">
        <v>406</v>
      </c>
      <c r="FD24" s="992">
        <f t="shared" si="57"/>
        <v>34599.778696204623</v>
      </c>
      <c r="FE24" s="992"/>
      <c r="FF24" s="992">
        <f t="shared" si="58"/>
        <v>548.54868600000009</v>
      </c>
      <c r="FG24" s="1757" t="s">
        <v>406</v>
      </c>
      <c r="FH24" s="1758">
        <f>VLOOKUP($G24,'Quantidades Padrão'!$E$7:$J$103,FH$8,0)</f>
        <v>29.508831908831915</v>
      </c>
      <c r="FI24" s="1759" t="s">
        <v>406</v>
      </c>
      <c r="FJ24" s="992">
        <f t="shared" si="59"/>
        <v>16187.030968984622</v>
      </c>
      <c r="FK24" s="1759" t="s">
        <v>406</v>
      </c>
      <c r="FL24" s="992">
        <f t="shared" si="60"/>
        <v>18453.215304642468</v>
      </c>
      <c r="FM24" s="992"/>
      <c r="FN24" s="992">
        <f t="shared" si="61"/>
        <v>571.14868600000011</v>
      </c>
      <c r="FO24" s="1757" t="s">
        <v>406</v>
      </c>
      <c r="FP24" s="1758">
        <f>VLOOKUP($G24,'Quantidades Padrão'!$E$7:$J$103,FP$8,0)</f>
        <v>42.418945868945883</v>
      </c>
      <c r="FQ24" s="1759" t="s">
        <v>406</v>
      </c>
      <c r="FR24" s="992">
        <f t="shared" si="62"/>
        <v>24227.525194553575</v>
      </c>
      <c r="FS24" s="1759" t="s">
        <v>406</v>
      </c>
      <c r="FT24" s="992">
        <f t="shared" si="63"/>
        <v>27619.378721791072</v>
      </c>
      <c r="FU24" s="992"/>
      <c r="FV24" s="992">
        <f t="shared" si="64"/>
        <v>571.14868600000011</v>
      </c>
      <c r="FW24" s="1757" t="s">
        <v>406</v>
      </c>
      <c r="FX24" s="1758">
        <f>VLOOKUP($G24,'Quantidades Padrão'!$E$7:$J$103,FX$8,0)</f>
        <v>55.329059829059844</v>
      </c>
      <c r="FY24" s="1759" t="s">
        <v>406</v>
      </c>
      <c r="FZ24" s="992">
        <f t="shared" si="65"/>
        <v>31601.119818982919</v>
      </c>
      <c r="GA24" s="1759" t="s">
        <v>406</v>
      </c>
      <c r="GB24" s="992">
        <f t="shared" si="66"/>
        <v>36025.276593640527</v>
      </c>
      <c r="GC24" s="992"/>
      <c r="GD24" s="992">
        <f t="shared" si="67"/>
        <v>571.14868600000011</v>
      </c>
      <c r="GE24" s="1757" t="s">
        <v>406</v>
      </c>
      <c r="GF24" s="1758">
        <f>VLOOKUP($G24,'Quantidades Padrão'!$E$7:$J$103,GF$8,0)</f>
        <v>29.508831908831915</v>
      </c>
      <c r="GG24" s="1759" t="s">
        <v>406</v>
      </c>
      <c r="GH24" s="992">
        <f t="shared" si="68"/>
        <v>16853.930570124223</v>
      </c>
      <c r="GI24" s="1759" t="s">
        <v>406</v>
      </c>
      <c r="GJ24" s="992">
        <f t="shared" si="69"/>
        <v>19213.480849941614</v>
      </c>
      <c r="GK24" s="992"/>
      <c r="GL24" s="992">
        <f t="shared" si="70"/>
        <v>571.14868600000011</v>
      </c>
      <c r="GM24" s="1757" t="s">
        <v>406</v>
      </c>
      <c r="GN24" s="1758">
        <f>VLOOKUP($G24,'Quantidades Padrão'!$E$7:$J$103,GN$8,0)</f>
        <v>42.418945868945883</v>
      </c>
      <c r="GO24" s="1759" t="s">
        <v>406</v>
      </c>
      <c r="GP24" s="992">
        <f t="shared" si="71"/>
        <v>24227.525194553575</v>
      </c>
      <c r="GQ24" s="1759" t="s">
        <v>406</v>
      </c>
      <c r="GR24" s="992">
        <f t="shared" si="72"/>
        <v>27619.378721791072</v>
      </c>
      <c r="GS24" s="992"/>
      <c r="GT24" s="992">
        <f t="shared" si="73"/>
        <v>571.14868600000011</v>
      </c>
      <c r="GU24" s="1757" t="s">
        <v>406</v>
      </c>
      <c r="GV24" s="1758">
        <f>VLOOKUP($G24,'Quantidades Padrão'!$E$7:$J$103,GV$8,0)</f>
        <v>55.329059829059844</v>
      </c>
      <c r="GW24" s="1759" t="s">
        <v>406</v>
      </c>
      <c r="GX24" s="992">
        <f t="shared" si="74"/>
        <v>31601.119818982919</v>
      </c>
      <c r="GY24" s="1759" t="s">
        <v>406</v>
      </c>
      <c r="GZ24" s="992">
        <f t="shared" si="75"/>
        <v>36025.276593640527</v>
      </c>
      <c r="HA24" s="992"/>
      <c r="HB24" s="992">
        <f t="shared" si="76"/>
        <v>575.58868600000005</v>
      </c>
      <c r="HC24" s="1757" t="s">
        <v>406</v>
      </c>
      <c r="HD24" s="1758">
        <f>VLOOKUP($G24,'Quantidades Padrão'!$E$7:$J$103,HD$8,0)</f>
        <v>29.508831908831915</v>
      </c>
      <c r="HE24" s="1759" t="s">
        <v>406</v>
      </c>
      <c r="HF24" s="992">
        <f t="shared" si="77"/>
        <v>16984.949783799435</v>
      </c>
      <c r="HG24" s="1759" t="s">
        <v>406</v>
      </c>
      <c r="HH24" s="992">
        <f t="shared" si="78"/>
        <v>19362.842753531353</v>
      </c>
      <c r="HI24" s="992"/>
      <c r="HJ24" s="992">
        <f t="shared" si="79"/>
        <v>575.58868600000005</v>
      </c>
      <c r="HK24" s="1757" t="s">
        <v>406</v>
      </c>
      <c r="HL24" s="1758">
        <f>VLOOKUP($G24,'Quantidades Padrão'!$E$7:$J$103,HL$8,0)</f>
        <v>42.418945868945883</v>
      </c>
      <c r="HM24" s="1759" t="s">
        <v>406</v>
      </c>
      <c r="HN24" s="992">
        <f t="shared" si="80"/>
        <v>24415.865314211693</v>
      </c>
      <c r="HO24" s="1759" t="s">
        <v>406</v>
      </c>
      <c r="HP24" s="992">
        <f t="shared" si="81"/>
        <v>27834.086458201327</v>
      </c>
      <c r="HQ24" s="992"/>
      <c r="HR24" s="992">
        <f t="shared" si="82"/>
        <v>575.58868600000005</v>
      </c>
      <c r="HS24" s="1757" t="s">
        <v>406</v>
      </c>
      <c r="HT24" s="1758">
        <f>VLOOKUP($G24,'Quantidades Padrão'!$E$7:$J$103,HT$8,0)</f>
        <v>55.329059829059844</v>
      </c>
      <c r="HU24" s="1759" t="s">
        <v>406</v>
      </c>
      <c r="HV24" s="992">
        <f t="shared" si="83"/>
        <v>31846.780844623943</v>
      </c>
      <c r="HW24" s="1759" t="s">
        <v>406</v>
      </c>
      <c r="HX24" s="992">
        <f t="shared" si="84"/>
        <v>36305.330162871294</v>
      </c>
      <c r="HY24" s="992"/>
      <c r="HZ24" s="992">
        <f t="shared" si="85"/>
        <v>575.58868600000005</v>
      </c>
      <c r="IA24" s="1757" t="s">
        <v>406</v>
      </c>
      <c r="IB24" s="1758">
        <f>VLOOKUP($G24,'Quantidades Padrão'!$E$7:$J$103,IB$8,0)</f>
        <v>29.508831908831915</v>
      </c>
      <c r="IC24" s="1759" t="s">
        <v>406</v>
      </c>
      <c r="ID24" s="992">
        <f t="shared" si="86"/>
        <v>16984.949783799435</v>
      </c>
      <c r="IE24" s="1759" t="s">
        <v>406</v>
      </c>
      <c r="IF24" s="992">
        <f t="shared" si="87"/>
        <v>19362.842753531353</v>
      </c>
      <c r="IG24" s="992"/>
      <c r="IH24" s="992">
        <f t="shared" si="88"/>
        <v>575.58868600000005</v>
      </c>
      <c r="II24" s="1757" t="s">
        <v>406</v>
      </c>
      <c r="IJ24" s="1758">
        <f>VLOOKUP($G24,'Quantidades Padrão'!$E$7:$J$103,IJ$8,0)</f>
        <v>42.418945868945883</v>
      </c>
      <c r="IK24" s="1759" t="s">
        <v>406</v>
      </c>
      <c r="IL24" s="992">
        <f t="shared" si="89"/>
        <v>24415.865314211693</v>
      </c>
      <c r="IM24" s="1759" t="s">
        <v>406</v>
      </c>
      <c r="IN24" s="992">
        <f t="shared" si="90"/>
        <v>27834.086458201327</v>
      </c>
      <c r="IO24" s="992"/>
    </row>
    <row r="25" spans="1:249" s="341" customFormat="1">
      <c r="A25" s="1753"/>
      <c r="B25" s="1754"/>
      <c r="C25" s="1755"/>
      <c r="D25" s="1013">
        <v>456.88</v>
      </c>
      <c r="E25" s="1017">
        <v>55552</v>
      </c>
      <c r="F25" s="1756"/>
      <c r="G25" s="1015" t="s">
        <v>410</v>
      </c>
      <c r="H25" s="992">
        <f t="shared" si="5"/>
        <v>1303490.6854584482</v>
      </c>
      <c r="I25" s="992">
        <f>'PAV. CONCRETO'!$E$6</f>
        <v>26570.799999999999</v>
      </c>
      <c r="J25" s="1757" t="s">
        <v>411</v>
      </c>
      <c r="K25" s="1758">
        <f>VLOOKUP($G25,'Quantidades Padrão'!$E$7:$J$103,K$8,0)</f>
        <v>2.5680000000000004E-3</v>
      </c>
      <c r="L25" s="1759" t="s">
        <v>412</v>
      </c>
      <c r="M25" s="992">
        <f>I25*K25</f>
        <v>68.233814400000014</v>
      </c>
      <c r="N25" s="1759" t="s">
        <v>413</v>
      </c>
      <c r="O25" s="992">
        <f>$D25*M25</f>
        <v>31174.665123072005</v>
      </c>
      <c r="P25" s="992"/>
      <c r="Q25" s="1760">
        <f t="shared" si="0"/>
        <v>5.0222658544700578E-3</v>
      </c>
      <c r="R25" s="992">
        <f>'PAV. CONCRETO'!$E$6</f>
        <v>26570.799999999999</v>
      </c>
      <c r="S25" s="1757" t="s">
        <v>411</v>
      </c>
      <c r="T25" s="1758">
        <f>VLOOKUP($G25,'Quantidades Padrão'!$E$7:$J$103,T$8,0)</f>
        <v>2.5680000000000004E-3</v>
      </c>
      <c r="U25" s="1759" t="s">
        <v>412</v>
      </c>
      <c r="V25" s="992">
        <f>R25*T25</f>
        <v>68.233814400000014</v>
      </c>
      <c r="W25" s="1759" t="s">
        <v>413</v>
      </c>
      <c r="X25" s="992">
        <f t="shared" si="1"/>
        <v>31174.665123072005</v>
      </c>
      <c r="Y25" s="992"/>
      <c r="Z25" s="992">
        <f>'PAV. CONCRETO'!$E$6</f>
        <v>26570.799999999999</v>
      </c>
      <c r="AA25" s="1757" t="s">
        <v>411</v>
      </c>
      <c r="AB25" s="1758">
        <f>VLOOKUP($G25,'Quantidades Padrão'!$E$7:$J$103,AB$8,0)</f>
        <v>4.8150000000000007E-3</v>
      </c>
      <c r="AC25" s="1759" t="s">
        <v>412</v>
      </c>
      <c r="AD25" s="992">
        <f>Z25*AB25</f>
        <v>127.93840200000001</v>
      </c>
      <c r="AE25" s="1759" t="s">
        <v>413</v>
      </c>
      <c r="AF25" s="992">
        <f t="shared" si="2"/>
        <v>58452.497105760005</v>
      </c>
      <c r="AG25" s="992"/>
      <c r="AH25" s="992">
        <f>'PAV. CONCRETO'!$E$6</f>
        <v>26570.799999999999</v>
      </c>
      <c r="AI25" s="1757" t="s">
        <v>411</v>
      </c>
      <c r="AJ25" s="1758">
        <f>VLOOKUP($G25,'Quantidades Padrão'!$E$7:$J$103,AJ$8,0)</f>
        <v>2.5680000000000004E-3</v>
      </c>
      <c r="AK25" s="1759" t="s">
        <v>412</v>
      </c>
      <c r="AL25" s="992">
        <f>AH25*AJ25</f>
        <v>68.233814400000014</v>
      </c>
      <c r="AM25" s="1759" t="s">
        <v>413</v>
      </c>
      <c r="AN25" s="992">
        <f t="shared" si="3"/>
        <v>31174.665123072005</v>
      </c>
      <c r="AO25" s="992"/>
      <c r="AP25" s="992">
        <f>'PAV. CONCRETO'!$E$6</f>
        <v>26570.799999999999</v>
      </c>
      <c r="AQ25" s="1757" t="s">
        <v>411</v>
      </c>
      <c r="AR25" s="1758">
        <f>VLOOKUP($G25,'Quantidades Padrão'!$E$7:$J$103,AR$8,0)</f>
        <v>2.5680000000000004E-3</v>
      </c>
      <c r="AS25" s="1759" t="s">
        <v>412</v>
      </c>
      <c r="AT25" s="992">
        <f>AP25*AR25</f>
        <v>68.233814400000014</v>
      </c>
      <c r="AU25" s="1759" t="s">
        <v>413</v>
      </c>
      <c r="AV25" s="992">
        <f t="shared" si="4"/>
        <v>31174.665123072005</v>
      </c>
      <c r="AW25" s="992"/>
      <c r="AX25" s="992">
        <f>'PAV. CONCRETO'!$E$6</f>
        <v>26570.799999999999</v>
      </c>
      <c r="AY25" s="1757" t="s">
        <v>411</v>
      </c>
      <c r="AZ25" s="1758">
        <f>VLOOKUP($G25,'Quantidades Padrão'!$E$7:$J$103,AZ$8,0)</f>
        <v>3.6915000000000008E-3</v>
      </c>
      <c r="BA25" s="1759" t="s">
        <v>412</v>
      </c>
      <c r="BB25" s="992">
        <f>AX25*AZ25</f>
        <v>98.086108200000012</v>
      </c>
      <c r="BC25" s="1759" t="s">
        <v>413</v>
      </c>
      <c r="BD25" s="992">
        <f>$D25*BB25</f>
        <v>44813.581114416003</v>
      </c>
      <c r="BE25" s="992"/>
      <c r="BF25" s="992">
        <f>'PAV. CONCRETO'!$E$6</f>
        <v>26570.799999999999</v>
      </c>
      <c r="BG25" s="1757" t="s">
        <v>411</v>
      </c>
      <c r="BH25" s="1758">
        <f>VLOOKUP($G25,'Quantidades Padrão'!$E$7:$J$103,BH$8,0)</f>
        <v>4.8150000000000007E-3</v>
      </c>
      <c r="BI25" s="1759" t="s">
        <v>412</v>
      </c>
      <c r="BJ25" s="992">
        <f>BF25*BH25</f>
        <v>127.93840200000001</v>
      </c>
      <c r="BK25" s="1759" t="s">
        <v>413</v>
      </c>
      <c r="BL25" s="992">
        <f>$D25*BJ25</f>
        <v>58452.497105760005</v>
      </c>
      <c r="BM25" s="992"/>
      <c r="BN25" s="992">
        <f>'PAV. CONCRETO'!$E$6</f>
        <v>26570.799999999999</v>
      </c>
      <c r="BO25" s="1757" t="s">
        <v>411</v>
      </c>
      <c r="BP25" s="1758">
        <f>VLOOKUP($G25,'Quantidades Padrão'!$E$7:$J$103,BP$8,0)</f>
        <v>2.5680000000000004E-3</v>
      </c>
      <c r="BQ25" s="1759" t="s">
        <v>412</v>
      </c>
      <c r="BR25" s="992">
        <f>BN25*BP25</f>
        <v>68.233814400000014</v>
      </c>
      <c r="BS25" s="1759" t="s">
        <v>413</v>
      </c>
      <c r="BT25" s="992">
        <f>$D25*BR25</f>
        <v>31174.665123072005</v>
      </c>
      <c r="BU25" s="992"/>
      <c r="BV25" s="992">
        <f>'PAV. CONCRETO'!$E$6</f>
        <v>26570.799999999999</v>
      </c>
      <c r="BW25" s="1757" t="s">
        <v>411</v>
      </c>
      <c r="BX25" s="1758">
        <f>VLOOKUP($G25,'Quantidades Padrão'!$E$7:$J$103,BX$8,0)</f>
        <v>3.6915000000000008E-3</v>
      </c>
      <c r="BY25" s="1759" t="s">
        <v>412</v>
      </c>
      <c r="BZ25" s="992">
        <f>BV25*BX25</f>
        <v>98.086108200000012</v>
      </c>
      <c r="CA25" s="1759" t="s">
        <v>413</v>
      </c>
      <c r="CB25" s="992">
        <f>$D25*BZ25</f>
        <v>44813.581114416003</v>
      </c>
      <c r="CC25" s="992"/>
      <c r="CD25" s="992">
        <f>'PAV. CONCRETO'!$E$6</f>
        <v>26570.799999999999</v>
      </c>
      <c r="CE25" s="1757" t="s">
        <v>411</v>
      </c>
      <c r="CF25" s="1758">
        <f>VLOOKUP($G25,'Quantidades Padrão'!$E$7:$J$103,CF$8,0)</f>
        <v>4.8150000000000007E-3</v>
      </c>
      <c r="CG25" s="1759" t="s">
        <v>412</v>
      </c>
      <c r="CH25" s="992">
        <f>CD25*CF25</f>
        <v>127.93840200000001</v>
      </c>
      <c r="CI25" s="1759" t="s">
        <v>413</v>
      </c>
      <c r="CJ25" s="992">
        <f>$D25*CH25</f>
        <v>58452.497105760005</v>
      </c>
      <c r="CK25" s="992"/>
      <c r="CL25" s="992">
        <f>'PAV. CONCRETO'!$E$6</f>
        <v>26570.799999999999</v>
      </c>
      <c r="CM25" s="1757" t="s">
        <v>411</v>
      </c>
      <c r="CN25" s="1758">
        <f>VLOOKUP($G25,'Quantidades Padrão'!$E$7:$J$103,CN$8,0)</f>
        <v>2.5680000000000004E-3</v>
      </c>
      <c r="CO25" s="1759" t="s">
        <v>412</v>
      </c>
      <c r="CP25" s="992">
        <f>CL25*CN25</f>
        <v>68.233814400000014</v>
      </c>
      <c r="CQ25" s="1759" t="s">
        <v>413</v>
      </c>
      <c r="CR25" s="992">
        <f>$D25*CP25</f>
        <v>31174.665123072005</v>
      </c>
      <c r="CS25" s="992"/>
      <c r="CT25" s="992">
        <f>'PAV. CONCRETO'!$E$6</f>
        <v>26570.799999999999</v>
      </c>
      <c r="CU25" s="1757" t="s">
        <v>411</v>
      </c>
      <c r="CV25" s="1758">
        <f>VLOOKUP($G25,'Quantidades Padrão'!$E$7:$J$103,CV$8,0)</f>
        <v>3.6915000000000008E-3</v>
      </c>
      <c r="CW25" s="1759" t="s">
        <v>412</v>
      </c>
      <c r="CX25" s="992">
        <f>CT25*CV25</f>
        <v>98.086108200000012</v>
      </c>
      <c r="CY25" s="1759" t="s">
        <v>413</v>
      </c>
      <c r="CZ25" s="992">
        <f>$D25*CX25</f>
        <v>44813.581114416003</v>
      </c>
      <c r="DA25" s="992"/>
      <c r="DB25" s="992">
        <f>'PAV. CONCRETO'!$E$6</f>
        <v>26570.799999999999</v>
      </c>
      <c r="DC25" s="1757" t="s">
        <v>411</v>
      </c>
      <c r="DD25" s="1758">
        <f>VLOOKUP($G25,'Quantidades Padrão'!$E$7:$J$103,DD$8,0)</f>
        <v>4.8150000000000007E-3</v>
      </c>
      <c r="DE25" s="1759" t="s">
        <v>412</v>
      </c>
      <c r="DF25" s="992">
        <f>DB25*DD25</f>
        <v>127.93840200000001</v>
      </c>
      <c r="DG25" s="1759" t="s">
        <v>413</v>
      </c>
      <c r="DH25" s="992">
        <f>$D25*DF25</f>
        <v>58452.497105760005</v>
      </c>
      <c r="DI25" s="992"/>
      <c r="DJ25" s="992">
        <f>'PAV. CONCRETO'!$E$6</f>
        <v>26570.799999999999</v>
      </c>
      <c r="DK25" s="1757" t="s">
        <v>411</v>
      </c>
      <c r="DL25" s="1758">
        <f>VLOOKUP($G25,'Quantidades Padrão'!$E$7:$J$103,DL$8,0)</f>
        <v>2.5680000000000004E-3</v>
      </c>
      <c r="DM25" s="1759" t="s">
        <v>412</v>
      </c>
      <c r="DN25" s="992">
        <f>DJ25*DL25</f>
        <v>68.233814400000014</v>
      </c>
      <c r="DO25" s="1759" t="s">
        <v>413</v>
      </c>
      <c r="DP25" s="992">
        <f>$D25*DN25</f>
        <v>31174.665123072005</v>
      </c>
      <c r="DQ25" s="992"/>
      <c r="DR25" s="992">
        <f>'PAV. CONCRETO'!$E$6</f>
        <v>26570.799999999999</v>
      </c>
      <c r="DS25" s="1757" t="s">
        <v>411</v>
      </c>
      <c r="DT25" s="1758">
        <f>VLOOKUP($G25,'Quantidades Padrão'!$E$7:$J$103,DT$8,0)</f>
        <v>3.6915000000000008E-3</v>
      </c>
      <c r="DU25" s="1759" t="s">
        <v>412</v>
      </c>
      <c r="DV25" s="992">
        <f>DR25*DT25</f>
        <v>98.086108200000012</v>
      </c>
      <c r="DW25" s="1759" t="s">
        <v>413</v>
      </c>
      <c r="DX25" s="992">
        <f>$D25*DV25</f>
        <v>44813.581114416003</v>
      </c>
      <c r="DY25" s="992"/>
      <c r="DZ25" s="992">
        <f>'PAV. CONCRETO'!$E$6</f>
        <v>26570.799999999999</v>
      </c>
      <c r="EA25" s="1757" t="s">
        <v>411</v>
      </c>
      <c r="EB25" s="1758">
        <f>VLOOKUP($G25,'Quantidades Padrão'!$E$7:$J$103,EB$8,0)</f>
        <v>4.8150000000000007E-3</v>
      </c>
      <c r="EC25" s="1759" t="s">
        <v>412</v>
      </c>
      <c r="ED25" s="992">
        <f>DZ25*EB25</f>
        <v>127.93840200000001</v>
      </c>
      <c r="EE25" s="1759" t="s">
        <v>413</v>
      </c>
      <c r="EF25" s="992">
        <f>$D25*ED25</f>
        <v>58452.497105760005</v>
      </c>
      <c r="EG25" s="992"/>
      <c r="EH25" s="992">
        <f>'PAV. CONCRETO'!$E$6</f>
        <v>26570.799999999999</v>
      </c>
      <c r="EI25" s="1757" t="s">
        <v>411</v>
      </c>
      <c r="EJ25" s="1758">
        <f>VLOOKUP($G25,'Quantidades Padrão'!$E$7:$J$103,EJ$8,0)</f>
        <v>2.5680000000000004E-3</v>
      </c>
      <c r="EK25" s="1759" t="s">
        <v>412</v>
      </c>
      <c r="EL25" s="992">
        <f>EH25*EJ25</f>
        <v>68.233814400000014</v>
      </c>
      <c r="EM25" s="1759" t="s">
        <v>413</v>
      </c>
      <c r="EN25" s="992">
        <f>$D25*EL25</f>
        <v>31174.665123072005</v>
      </c>
      <c r="EO25" s="992"/>
      <c r="EP25" s="992">
        <f>'PAV. CONCRETO'!$E$6</f>
        <v>26570.799999999999</v>
      </c>
      <c r="EQ25" s="1757" t="s">
        <v>411</v>
      </c>
      <c r="ER25" s="1758">
        <f>VLOOKUP($G25,'Quantidades Padrão'!$E$7:$J$103,ER$8,0)</f>
        <v>3.6915000000000008E-3</v>
      </c>
      <c r="ES25" s="1759" t="s">
        <v>412</v>
      </c>
      <c r="ET25" s="992">
        <f>EP25*ER25</f>
        <v>98.086108200000012</v>
      </c>
      <c r="EU25" s="1759" t="s">
        <v>413</v>
      </c>
      <c r="EV25" s="992">
        <f>$D25*ET25</f>
        <v>44813.581114416003</v>
      </c>
      <c r="EW25" s="992"/>
      <c r="EX25" s="992">
        <f>'PAV. CONCRETO'!$E$6</f>
        <v>26570.799999999999</v>
      </c>
      <c r="EY25" s="1757" t="s">
        <v>411</v>
      </c>
      <c r="EZ25" s="1758">
        <f>VLOOKUP($G25,'Quantidades Padrão'!$E$7:$J$103,EZ$8,0)</f>
        <v>4.8150000000000007E-3</v>
      </c>
      <c r="FA25" s="1759" t="s">
        <v>412</v>
      </c>
      <c r="FB25" s="992">
        <f>EX25*EZ25</f>
        <v>127.93840200000001</v>
      </c>
      <c r="FC25" s="1759" t="s">
        <v>413</v>
      </c>
      <c r="FD25" s="992">
        <f>$D25*FB25</f>
        <v>58452.497105760005</v>
      </c>
      <c r="FE25" s="992"/>
      <c r="FF25" s="992">
        <f>'PAV. CONCRETO'!$E$6</f>
        <v>26570.799999999999</v>
      </c>
      <c r="FG25" s="1757" t="s">
        <v>411</v>
      </c>
      <c r="FH25" s="1758">
        <f>VLOOKUP($G25,'Quantidades Padrão'!$E$7:$J$103,FH$8,0)</f>
        <v>2.5680000000000004E-3</v>
      </c>
      <c r="FI25" s="1759" t="s">
        <v>412</v>
      </c>
      <c r="FJ25" s="992">
        <f>FF25*FH25</f>
        <v>68.233814400000014</v>
      </c>
      <c r="FK25" s="1759" t="s">
        <v>413</v>
      </c>
      <c r="FL25" s="992">
        <f>$D25*FJ25</f>
        <v>31174.665123072005</v>
      </c>
      <c r="FM25" s="992"/>
      <c r="FN25" s="992">
        <f>'PAV. CONCRETO'!$E$6</f>
        <v>26570.799999999999</v>
      </c>
      <c r="FO25" s="1757" t="s">
        <v>411</v>
      </c>
      <c r="FP25" s="1758">
        <f>VLOOKUP($G25,'Quantidades Padrão'!$E$7:$J$103,FP$8,0)</f>
        <v>3.6915000000000008E-3</v>
      </c>
      <c r="FQ25" s="1759" t="s">
        <v>412</v>
      </c>
      <c r="FR25" s="992">
        <f>FN25*FP25</f>
        <v>98.086108200000012</v>
      </c>
      <c r="FS25" s="1759" t="s">
        <v>413</v>
      </c>
      <c r="FT25" s="992">
        <f>$D25*FR25</f>
        <v>44813.581114416003</v>
      </c>
      <c r="FU25" s="992"/>
      <c r="FV25" s="992">
        <f>'PAV. CONCRETO'!$E$6</f>
        <v>26570.799999999999</v>
      </c>
      <c r="FW25" s="1757" t="s">
        <v>411</v>
      </c>
      <c r="FX25" s="1758">
        <f>VLOOKUP($G25,'Quantidades Padrão'!$E$7:$J$103,FX$8,0)</f>
        <v>4.8150000000000007E-3</v>
      </c>
      <c r="FY25" s="1759" t="s">
        <v>412</v>
      </c>
      <c r="FZ25" s="992">
        <f>FV25*FX25</f>
        <v>127.93840200000001</v>
      </c>
      <c r="GA25" s="1759" t="s">
        <v>413</v>
      </c>
      <c r="GB25" s="992">
        <f>$D25*FZ25</f>
        <v>58452.497105760005</v>
      </c>
      <c r="GC25" s="992"/>
      <c r="GD25" s="992">
        <f>'PAV. CONCRETO'!$E$6</f>
        <v>26570.799999999999</v>
      </c>
      <c r="GE25" s="1757" t="s">
        <v>411</v>
      </c>
      <c r="GF25" s="1758">
        <f>VLOOKUP($G25,'Quantidades Padrão'!$E$7:$J$103,GF$8,0)</f>
        <v>2.5680000000000004E-3</v>
      </c>
      <c r="GG25" s="1759" t="s">
        <v>412</v>
      </c>
      <c r="GH25" s="992">
        <f>GD25*GF25</f>
        <v>68.233814400000014</v>
      </c>
      <c r="GI25" s="1759" t="s">
        <v>413</v>
      </c>
      <c r="GJ25" s="992">
        <f>$D25*GH25</f>
        <v>31174.665123072005</v>
      </c>
      <c r="GK25" s="992"/>
      <c r="GL25" s="992">
        <f>'PAV. CONCRETO'!$E$6</f>
        <v>26570.799999999999</v>
      </c>
      <c r="GM25" s="1757" t="s">
        <v>411</v>
      </c>
      <c r="GN25" s="1758">
        <f>VLOOKUP($G25,'Quantidades Padrão'!$E$7:$J$103,GN$8,0)</f>
        <v>3.6915000000000008E-3</v>
      </c>
      <c r="GO25" s="1759" t="s">
        <v>412</v>
      </c>
      <c r="GP25" s="992">
        <f>GL25*GN25</f>
        <v>98.086108200000012</v>
      </c>
      <c r="GQ25" s="1759" t="s">
        <v>413</v>
      </c>
      <c r="GR25" s="992">
        <f>$D25*GP25</f>
        <v>44813.581114416003</v>
      </c>
      <c r="GS25" s="992"/>
      <c r="GT25" s="992">
        <f>'PAV. CONCRETO'!$E$6</f>
        <v>26570.799999999999</v>
      </c>
      <c r="GU25" s="1757" t="s">
        <v>411</v>
      </c>
      <c r="GV25" s="1758">
        <f>VLOOKUP($G25,'Quantidades Padrão'!$E$7:$J$103,GV$8,0)</f>
        <v>4.8150000000000007E-3</v>
      </c>
      <c r="GW25" s="1759" t="s">
        <v>412</v>
      </c>
      <c r="GX25" s="992">
        <f>GT25*GV25</f>
        <v>127.93840200000001</v>
      </c>
      <c r="GY25" s="1759" t="s">
        <v>413</v>
      </c>
      <c r="GZ25" s="992">
        <f>$D25*GX25</f>
        <v>58452.497105760005</v>
      </c>
      <c r="HA25" s="992"/>
      <c r="HB25" s="992">
        <f>'PAV. CONCRETO'!$E$6</f>
        <v>26570.799999999999</v>
      </c>
      <c r="HC25" s="1757" t="s">
        <v>411</v>
      </c>
      <c r="HD25" s="1758">
        <f>VLOOKUP($G25,'Quantidades Padrão'!$E$7:$J$103,HD$8,0)</f>
        <v>2.5680000000000004E-3</v>
      </c>
      <c r="HE25" s="1759" t="s">
        <v>412</v>
      </c>
      <c r="HF25" s="992">
        <f>HB25*HD25</f>
        <v>68.233814400000014</v>
      </c>
      <c r="HG25" s="1759" t="s">
        <v>413</v>
      </c>
      <c r="HH25" s="992">
        <f>$D25*HF25</f>
        <v>31174.665123072005</v>
      </c>
      <c r="HI25" s="992"/>
      <c r="HJ25" s="992">
        <f>'PAV. CONCRETO'!$E$6</f>
        <v>26570.799999999999</v>
      </c>
      <c r="HK25" s="1757" t="s">
        <v>411</v>
      </c>
      <c r="HL25" s="1758">
        <f>VLOOKUP($G25,'Quantidades Padrão'!$E$7:$J$103,HL$8,0)</f>
        <v>3.6915000000000008E-3</v>
      </c>
      <c r="HM25" s="1759" t="s">
        <v>412</v>
      </c>
      <c r="HN25" s="992">
        <f>HJ25*HL25</f>
        <v>98.086108200000012</v>
      </c>
      <c r="HO25" s="1759" t="s">
        <v>413</v>
      </c>
      <c r="HP25" s="992">
        <f>$D25*HN25</f>
        <v>44813.581114416003</v>
      </c>
      <c r="HQ25" s="992"/>
      <c r="HR25" s="992">
        <f>'PAV. CONCRETO'!$E$6</f>
        <v>26570.799999999999</v>
      </c>
      <c r="HS25" s="1757" t="s">
        <v>411</v>
      </c>
      <c r="HT25" s="1758">
        <f>VLOOKUP($G25,'Quantidades Padrão'!$E$7:$J$103,HT$8,0)</f>
        <v>4.8150000000000007E-3</v>
      </c>
      <c r="HU25" s="1759" t="s">
        <v>412</v>
      </c>
      <c r="HV25" s="992">
        <f>HR25*HT25</f>
        <v>127.93840200000001</v>
      </c>
      <c r="HW25" s="1759" t="s">
        <v>413</v>
      </c>
      <c r="HX25" s="992">
        <f>$D25*HV25</f>
        <v>58452.497105760005</v>
      </c>
      <c r="HY25" s="992"/>
      <c r="HZ25" s="992">
        <f>'PAV. CONCRETO'!$E$6</f>
        <v>26570.799999999999</v>
      </c>
      <c r="IA25" s="1757" t="s">
        <v>411</v>
      </c>
      <c r="IB25" s="1758">
        <f>VLOOKUP($G25,'Quantidades Padrão'!$E$7:$J$103,IB$8,0)</f>
        <v>2.5680000000000004E-3</v>
      </c>
      <c r="IC25" s="1759" t="s">
        <v>412</v>
      </c>
      <c r="ID25" s="992">
        <f>HZ25*IB25</f>
        <v>68.233814400000014</v>
      </c>
      <c r="IE25" s="1759" t="s">
        <v>413</v>
      </c>
      <c r="IF25" s="992">
        <f>$D25*ID25</f>
        <v>31174.665123072005</v>
      </c>
      <c r="IG25" s="992"/>
      <c r="IH25" s="992">
        <f>'PAV. CONCRETO'!$E$6</f>
        <v>26570.799999999999</v>
      </c>
      <c r="II25" s="1757" t="s">
        <v>411</v>
      </c>
      <c r="IJ25" s="1758">
        <f>VLOOKUP($G25,'Quantidades Padrão'!$E$7:$J$103,IJ$8,0)</f>
        <v>3.6915000000000008E-3</v>
      </c>
      <c r="IK25" s="1759" t="s">
        <v>412</v>
      </c>
      <c r="IL25" s="992">
        <f>IH25*IJ25</f>
        <v>98.086108200000012</v>
      </c>
      <c r="IM25" s="1759" t="s">
        <v>413</v>
      </c>
      <c r="IN25" s="992">
        <f>$D25*IL25</f>
        <v>44813.581114416003</v>
      </c>
      <c r="IO25" s="992"/>
    </row>
    <row r="26" spans="1:249" s="341" customFormat="1">
      <c r="A26" s="1753"/>
      <c r="B26" s="1754"/>
      <c r="C26" s="1755"/>
      <c r="D26" s="1013">
        <v>8.64</v>
      </c>
      <c r="E26" s="1017">
        <v>4915694</v>
      </c>
      <c r="F26" s="1756"/>
      <c r="G26" s="1015" t="s">
        <v>414</v>
      </c>
      <c r="H26" s="992">
        <f t="shared" si="5"/>
        <v>657337.27440383984</v>
      </c>
      <c r="I26" s="992">
        <f>I25</f>
        <v>26570.799999999999</v>
      </c>
      <c r="J26" s="1757" t="s">
        <v>411</v>
      </c>
      <c r="K26" s="1758">
        <f>VLOOKUP($G26,'Quantidades Padrão'!$E$7:$J$103,K$8,0)</f>
        <v>6.8479999999999999E-2</v>
      </c>
      <c r="L26" s="1759" t="s">
        <v>415</v>
      </c>
      <c r="M26" s="992">
        <f>I26*K26</f>
        <v>1819.5683839999999</v>
      </c>
      <c r="N26" s="1759" t="s">
        <v>416</v>
      </c>
      <c r="O26" s="992">
        <f>$D26*M26</f>
        <v>15721.07083776</v>
      </c>
      <c r="P26" s="992"/>
      <c r="Q26" s="1760">
        <f t="shared" si="0"/>
        <v>2.5326782806642909E-3</v>
      </c>
      <c r="R26" s="992">
        <f>R25</f>
        <v>26570.799999999999</v>
      </c>
      <c r="S26" s="1757" t="s">
        <v>411</v>
      </c>
      <c r="T26" s="1758">
        <f>VLOOKUP($G26,'Quantidades Padrão'!$E$7:$J$103,T$8,0)</f>
        <v>6.8479999999999999E-2</v>
      </c>
      <c r="U26" s="1759" t="s">
        <v>415</v>
      </c>
      <c r="V26" s="992">
        <f>R26*T26</f>
        <v>1819.5683839999999</v>
      </c>
      <c r="W26" s="1759" t="s">
        <v>416</v>
      </c>
      <c r="X26" s="992">
        <f t="shared" si="1"/>
        <v>15721.07083776</v>
      </c>
      <c r="Y26" s="992"/>
      <c r="Z26" s="992">
        <f>Z25</f>
        <v>26570.799999999999</v>
      </c>
      <c r="AA26" s="1757" t="s">
        <v>411</v>
      </c>
      <c r="AB26" s="1758">
        <f>VLOOKUP($G26,'Quantidades Padrão'!$E$7:$J$103,AB$8,0)</f>
        <v>0.12840000000000001</v>
      </c>
      <c r="AC26" s="1759" t="s">
        <v>415</v>
      </c>
      <c r="AD26" s="992">
        <f>Z26*AB26</f>
        <v>3411.6907200000001</v>
      </c>
      <c r="AE26" s="1759" t="s">
        <v>416</v>
      </c>
      <c r="AF26" s="992">
        <f t="shared" si="2"/>
        <v>29477.007820800001</v>
      </c>
      <c r="AG26" s="992"/>
      <c r="AH26" s="992">
        <f>AH25</f>
        <v>26570.799999999999</v>
      </c>
      <c r="AI26" s="1757" t="s">
        <v>411</v>
      </c>
      <c r="AJ26" s="1758">
        <f>VLOOKUP($G26,'Quantidades Padrão'!$E$7:$J$103,AJ$8,0)</f>
        <v>6.8479999999999999E-2</v>
      </c>
      <c r="AK26" s="1759" t="s">
        <v>415</v>
      </c>
      <c r="AL26" s="992">
        <f>AH26*AJ26</f>
        <v>1819.5683839999999</v>
      </c>
      <c r="AM26" s="1759" t="s">
        <v>416</v>
      </c>
      <c r="AN26" s="992">
        <f t="shared" si="3"/>
        <v>15721.07083776</v>
      </c>
      <c r="AO26" s="992"/>
      <c r="AP26" s="992">
        <f>AP25</f>
        <v>26570.799999999999</v>
      </c>
      <c r="AQ26" s="1757" t="s">
        <v>411</v>
      </c>
      <c r="AR26" s="1758">
        <f>VLOOKUP($G26,'Quantidades Padrão'!$E$7:$J$103,AR$8,0)</f>
        <v>6.8479999999999999E-2</v>
      </c>
      <c r="AS26" s="1759" t="s">
        <v>415</v>
      </c>
      <c r="AT26" s="992">
        <f>AP26*AR26</f>
        <v>1819.5683839999999</v>
      </c>
      <c r="AU26" s="1759" t="s">
        <v>416</v>
      </c>
      <c r="AV26" s="992">
        <f t="shared" si="4"/>
        <v>15721.07083776</v>
      </c>
      <c r="AW26" s="992"/>
      <c r="AX26" s="992">
        <f>AX25</f>
        <v>26570.799999999999</v>
      </c>
      <c r="AY26" s="1757" t="s">
        <v>411</v>
      </c>
      <c r="AZ26" s="1758">
        <f>VLOOKUP($G26,'Quantidades Padrão'!$E$7:$J$103,AZ$8,0)</f>
        <v>9.844E-2</v>
      </c>
      <c r="BA26" s="1759" t="s">
        <v>415</v>
      </c>
      <c r="BB26" s="992">
        <f>AX26*AZ26</f>
        <v>2615.6295519999999</v>
      </c>
      <c r="BC26" s="1759" t="s">
        <v>416</v>
      </c>
      <c r="BD26" s="992">
        <f>$D26*BB26</f>
        <v>22599.03932928</v>
      </c>
      <c r="BE26" s="992"/>
      <c r="BF26" s="992">
        <f>BF25</f>
        <v>26570.799999999999</v>
      </c>
      <c r="BG26" s="1757" t="s">
        <v>411</v>
      </c>
      <c r="BH26" s="1758">
        <f>VLOOKUP($G26,'Quantidades Padrão'!$E$7:$J$103,BH$8,0)</f>
        <v>0.12840000000000001</v>
      </c>
      <c r="BI26" s="1759" t="s">
        <v>415</v>
      </c>
      <c r="BJ26" s="992">
        <f>BF26*BH26</f>
        <v>3411.6907200000001</v>
      </c>
      <c r="BK26" s="1759" t="s">
        <v>416</v>
      </c>
      <c r="BL26" s="992">
        <f>$D26*BJ26</f>
        <v>29477.007820800001</v>
      </c>
      <c r="BM26" s="992"/>
      <c r="BN26" s="992">
        <f>BN25</f>
        <v>26570.799999999999</v>
      </c>
      <c r="BO26" s="1757" t="s">
        <v>411</v>
      </c>
      <c r="BP26" s="1758">
        <f>VLOOKUP($G26,'Quantidades Padrão'!$E$7:$J$103,BP$8,0)</f>
        <v>6.8479999999999999E-2</v>
      </c>
      <c r="BQ26" s="1759" t="s">
        <v>415</v>
      </c>
      <c r="BR26" s="992">
        <f>BN26*BP26</f>
        <v>1819.5683839999999</v>
      </c>
      <c r="BS26" s="1759" t="s">
        <v>416</v>
      </c>
      <c r="BT26" s="992">
        <f>$D26*BR26</f>
        <v>15721.07083776</v>
      </c>
      <c r="BU26" s="992"/>
      <c r="BV26" s="992">
        <f>BV25</f>
        <v>26570.799999999999</v>
      </c>
      <c r="BW26" s="1757" t="s">
        <v>411</v>
      </c>
      <c r="BX26" s="1758">
        <f>VLOOKUP($G26,'Quantidades Padrão'!$E$7:$J$103,BX$8,0)</f>
        <v>9.844E-2</v>
      </c>
      <c r="BY26" s="1759" t="s">
        <v>415</v>
      </c>
      <c r="BZ26" s="992">
        <f>BV26*BX26</f>
        <v>2615.6295519999999</v>
      </c>
      <c r="CA26" s="1759" t="s">
        <v>416</v>
      </c>
      <c r="CB26" s="992">
        <f>$D26*BZ26</f>
        <v>22599.03932928</v>
      </c>
      <c r="CC26" s="992"/>
      <c r="CD26" s="992">
        <f>CD25</f>
        <v>26570.799999999999</v>
      </c>
      <c r="CE26" s="1757" t="s">
        <v>411</v>
      </c>
      <c r="CF26" s="1758">
        <f>VLOOKUP($G26,'Quantidades Padrão'!$E$7:$J$103,CF$8,0)</f>
        <v>0.12840000000000001</v>
      </c>
      <c r="CG26" s="1759" t="s">
        <v>415</v>
      </c>
      <c r="CH26" s="992">
        <f>CD26*CF26</f>
        <v>3411.6907200000001</v>
      </c>
      <c r="CI26" s="1759" t="s">
        <v>416</v>
      </c>
      <c r="CJ26" s="992">
        <f>$D26*CH26</f>
        <v>29477.007820800001</v>
      </c>
      <c r="CK26" s="992"/>
      <c r="CL26" s="992">
        <f>CL25</f>
        <v>26570.799999999999</v>
      </c>
      <c r="CM26" s="1757" t="s">
        <v>411</v>
      </c>
      <c r="CN26" s="1758">
        <f>VLOOKUP($G26,'Quantidades Padrão'!$E$7:$J$103,CN$8,0)</f>
        <v>6.8479999999999999E-2</v>
      </c>
      <c r="CO26" s="1759" t="s">
        <v>415</v>
      </c>
      <c r="CP26" s="992">
        <f>CL26*CN26</f>
        <v>1819.5683839999999</v>
      </c>
      <c r="CQ26" s="1759" t="s">
        <v>416</v>
      </c>
      <c r="CR26" s="992">
        <f>$D26*CP26</f>
        <v>15721.07083776</v>
      </c>
      <c r="CS26" s="992"/>
      <c r="CT26" s="992">
        <f>CT25</f>
        <v>26570.799999999999</v>
      </c>
      <c r="CU26" s="1757" t="s">
        <v>411</v>
      </c>
      <c r="CV26" s="1758">
        <f>VLOOKUP($G26,'Quantidades Padrão'!$E$7:$J$103,CV$8,0)</f>
        <v>9.844E-2</v>
      </c>
      <c r="CW26" s="1759" t="s">
        <v>415</v>
      </c>
      <c r="CX26" s="992">
        <f>CT26*CV26</f>
        <v>2615.6295519999999</v>
      </c>
      <c r="CY26" s="1759" t="s">
        <v>416</v>
      </c>
      <c r="CZ26" s="992">
        <f>$D26*CX26</f>
        <v>22599.03932928</v>
      </c>
      <c r="DA26" s="992"/>
      <c r="DB26" s="992">
        <f>DB25</f>
        <v>26570.799999999999</v>
      </c>
      <c r="DC26" s="1757" t="s">
        <v>411</v>
      </c>
      <c r="DD26" s="1758">
        <f>VLOOKUP($G26,'Quantidades Padrão'!$E$7:$J$103,DD$8,0)</f>
        <v>0.12840000000000001</v>
      </c>
      <c r="DE26" s="1759" t="s">
        <v>415</v>
      </c>
      <c r="DF26" s="992">
        <f>DB26*DD26</f>
        <v>3411.6907200000001</v>
      </c>
      <c r="DG26" s="1759" t="s">
        <v>416</v>
      </c>
      <c r="DH26" s="992">
        <f>$D26*DF26</f>
        <v>29477.007820800001</v>
      </c>
      <c r="DI26" s="992"/>
      <c r="DJ26" s="992">
        <f>DJ25</f>
        <v>26570.799999999999</v>
      </c>
      <c r="DK26" s="1757" t="s">
        <v>411</v>
      </c>
      <c r="DL26" s="1758">
        <f>VLOOKUP($G26,'Quantidades Padrão'!$E$7:$J$103,DL$8,0)</f>
        <v>6.8479999999999999E-2</v>
      </c>
      <c r="DM26" s="1759" t="s">
        <v>415</v>
      </c>
      <c r="DN26" s="992">
        <f>DJ26*DL26</f>
        <v>1819.5683839999999</v>
      </c>
      <c r="DO26" s="1759" t="s">
        <v>416</v>
      </c>
      <c r="DP26" s="992">
        <f>$D26*DN26</f>
        <v>15721.07083776</v>
      </c>
      <c r="DQ26" s="992"/>
      <c r="DR26" s="992">
        <f>DR25</f>
        <v>26570.799999999999</v>
      </c>
      <c r="DS26" s="1757" t="s">
        <v>411</v>
      </c>
      <c r="DT26" s="1758">
        <f>VLOOKUP($G26,'Quantidades Padrão'!$E$7:$J$103,DT$8,0)</f>
        <v>9.844E-2</v>
      </c>
      <c r="DU26" s="1759" t="s">
        <v>415</v>
      </c>
      <c r="DV26" s="992">
        <f>DR26*DT26</f>
        <v>2615.6295519999999</v>
      </c>
      <c r="DW26" s="1759" t="s">
        <v>416</v>
      </c>
      <c r="DX26" s="992">
        <f>$D26*DV26</f>
        <v>22599.03932928</v>
      </c>
      <c r="DY26" s="992"/>
      <c r="DZ26" s="992">
        <f>DZ25</f>
        <v>26570.799999999999</v>
      </c>
      <c r="EA26" s="1757" t="s">
        <v>411</v>
      </c>
      <c r="EB26" s="1758">
        <f>VLOOKUP($G26,'Quantidades Padrão'!$E$7:$J$103,EB$8,0)</f>
        <v>0.12840000000000001</v>
      </c>
      <c r="EC26" s="1759" t="s">
        <v>415</v>
      </c>
      <c r="ED26" s="992">
        <f>DZ26*EB26</f>
        <v>3411.6907200000001</v>
      </c>
      <c r="EE26" s="1759" t="s">
        <v>416</v>
      </c>
      <c r="EF26" s="992">
        <f>$D26*ED26</f>
        <v>29477.007820800001</v>
      </c>
      <c r="EG26" s="992"/>
      <c r="EH26" s="992">
        <f>EH25</f>
        <v>26570.799999999999</v>
      </c>
      <c r="EI26" s="1757" t="s">
        <v>411</v>
      </c>
      <c r="EJ26" s="1758">
        <f>VLOOKUP($G26,'Quantidades Padrão'!$E$7:$J$103,EJ$8,0)</f>
        <v>6.8479999999999999E-2</v>
      </c>
      <c r="EK26" s="1759" t="s">
        <v>415</v>
      </c>
      <c r="EL26" s="992">
        <f>EH26*EJ26</f>
        <v>1819.5683839999999</v>
      </c>
      <c r="EM26" s="1759" t="s">
        <v>416</v>
      </c>
      <c r="EN26" s="992">
        <f>$D26*EL26</f>
        <v>15721.07083776</v>
      </c>
      <c r="EO26" s="992"/>
      <c r="EP26" s="992">
        <f>EP25</f>
        <v>26570.799999999999</v>
      </c>
      <c r="EQ26" s="1757" t="s">
        <v>411</v>
      </c>
      <c r="ER26" s="1758">
        <f>VLOOKUP($G26,'Quantidades Padrão'!$E$7:$J$103,ER$8,0)</f>
        <v>9.844E-2</v>
      </c>
      <c r="ES26" s="1759" t="s">
        <v>415</v>
      </c>
      <c r="ET26" s="992">
        <f>EP26*ER26</f>
        <v>2615.6295519999999</v>
      </c>
      <c r="EU26" s="1759" t="s">
        <v>416</v>
      </c>
      <c r="EV26" s="992">
        <f>$D26*ET26</f>
        <v>22599.03932928</v>
      </c>
      <c r="EW26" s="992"/>
      <c r="EX26" s="992">
        <f>EX25</f>
        <v>26570.799999999999</v>
      </c>
      <c r="EY26" s="1757" t="s">
        <v>411</v>
      </c>
      <c r="EZ26" s="1758">
        <f>VLOOKUP($G26,'Quantidades Padrão'!$E$7:$J$103,EZ$8,0)</f>
        <v>0.12840000000000001</v>
      </c>
      <c r="FA26" s="1759" t="s">
        <v>415</v>
      </c>
      <c r="FB26" s="992">
        <f>EX26*EZ26</f>
        <v>3411.6907200000001</v>
      </c>
      <c r="FC26" s="1759" t="s">
        <v>416</v>
      </c>
      <c r="FD26" s="992">
        <f>$D26*FB26</f>
        <v>29477.007820800001</v>
      </c>
      <c r="FE26" s="992"/>
      <c r="FF26" s="992">
        <f>FF25</f>
        <v>26570.799999999999</v>
      </c>
      <c r="FG26" s="1757" t="s">
        <v>411</v>
      </c>
      <c r="FH26" s="1758">
        <f>VLOOKUP($G26,'Quantidades Padrão'!$E$7:$J$103,FH$8,0)</f>
        <v>6.8479999999999999E-2</v>
      </c>
      <c r="FI26" s="1759" t="s">
        <v>415</v>
      </c>
      <c r="FJ26" s="992">
        <f>FF26*FH26</f>
        <v>1819.5683839999999</v>
      </c>
      <c r="FK26" s="1759" t="s">
        <v>416</v>
      </c>
      <c r="FL26" s="992">
        <f>$D26*FJ26</f>
        <v>15721.07083776</v>
      </c>
      <c r="FM26" s="992"/>
      <c r="FN26" s="992">
        <f>FN25</f>
        <v>26570.799999999999</v>
      </c>
      <c r="FO26" s="1757" t="s">
        <v>411</v>
      </c>
      <c r="FP26" s="1758">
        <f>VLOOKUP($G26,'Quantidades Padrão'!$E$7:$J$103,FP$8,0)</f>
        <v>9.844E-2</v>
      </c>
      <c r="FQ26" s="1759" t="s">
        <v>415</v>
      </c>
      <c r="FR26" s="992">
        <f>FN26*FP26</f>
        <v>2615.6295519999999</v>
      </c>
      <c r="FS26" s="1759" t="s">
        <v>416</v>
      </c>
      <c r="FT26" s="992">
        <f>$D26*FR26</f>
        <v>22599.03932928</v>
      </c>
      <c r="FU26" s="992"/>
      <c r="FV26" s="992">
        <f>FV25</f>
        <v>26570.799999999999</v>
      </c>
      <c r="FW26" s="1757" t="s">
        <v>411</v>
      </c>
      <c r="FX26" s="1758">
        <f>VLOOKUP($G26,'Quantidades Padrão'!$E$7:$J$103,FX$8,0)</f>
        <v>0.12840000000000001</v>
      </c>
      <c r="FY26" s="1759" t="s">
        <v>415</v>
      </c>
      <c r="FZ26" s="992">
        <f>FV26*FX26</f>
        <v>3411.6907200000001</v>
      </c>
      <c r="GA26" s="1759" t="s">
        <v>416</v>
      </c>
      <c r="GB26" s="992">
        <f>$D26*FZ26</f>
        <v>29477.007820800001</v>
      </c>
      <c r="GC26" s="992"/>
      <c r="GD26" s="992">
        <f>GD25</f>
        <v>26570.799999999999</v>
      </c>
      <c r="GE26" s="1757" t="s">
        <v>411</v>
      </c>
      <c r="GF26" s="1758">
        <f>VLOOKUP($G26,'Quantidades Padrão'!$E$7:$J$103,GF$8,0)</f>
        <v>6.8479999999999999E-2</v>
      </c>
      <c r="GG26" s="1759" t="s">
        <v>415</v>
      </c>
      <c r="GH26" s="992">
        <f>GD26*GF26</f>
        <v>1819.5683839999999</v>
      </c>
      <c r="GI26" s="1759" t="s">
        <v>416</v>
      </c>
      <c r="GJ26" s="992">
        <f>$D26*GH26</f>
        <v>15721.07083776</v>
      </c>
      <c r="GK26" s="992"/>
      <c r="GL26" s="992">
        <f>GL25</f>
        <v>26570.799999999999</v>
      </c>
      <c r="GM26" s="1757" t="s">
        <v>411</v>
      </c>
      <c r="GN26" s="1758">
        <f>VLOOKUP($G26,'Quantidades Padrão'!$E$7:$J$103,GN$8,0)</f>
        <v>9.844E-2</v>
      </c>
      <c r="GO26" s="1759" t="s">
        <v>415</v>
      </c>
      <c r="GP26" s="992">
        <f>GL26*GN26</f>
        <v>2615.6295519999999</v>
      </c>
      <c r="GQ26" s="1759" t="s">
        <v>416</v>
      </c>
      <c r="GR26" s="992">
        <f>$D26*GP26</f>
        <v>22599.03932928</v>
      </c>
      <c r="GS26" s="992"/>
      <c r="GT26" s="992">
        <f>GT25</f>
        <v>26570.799999999999</v>
      </c>
      <c r="GU26" s="1757" t="s">
        <v>411</v>
      </c>
      <c r="GV26" s="1758">
        <f>VLOOKUP($G26,'Quantidades Padrão'!$E$7:$J$103,GV$8,0)</f>
        <v>0.12840000000000001</v>
      </c>
      <c r="GW26" s="1759" t="s">
        <v>415</v>
      </c>
      <c r="GX26" s="992">
        <f>GT26*GV26</f>
        <v>3411.6907200000001</v>
      </c>
      <c r="GY26" s="1759" t="s">
        <v>416</v>
      </c>
      <c r="GZ26" s="992">
        <f>$D26*GX26</f>
        <v>29477.007820800001</v>
      </c>
      <c r="HA26" s="992"/>
      <c r="HB26" s="992">
        <f>HB25</f>
        <v>26570.799999999999</v>
      </c>
      <c r="HC26" s="1757" t="s">
        <v>411</v>
      </c>
      <c r="HD26" s="1758">
        <f>VLOOKUP($G26,'Quantidades Padrão'!$E$7:$J$103,HD$8,0)</f>
        <v>6.8479999999999999E-2</v>
      </c>
      <c r="HE26" s="1759" t="s">
        <v>415</v>
      </c>
      <c r="HF26" s="992">
        <f>HB26*HD26</f>
        <v>1819.5683839999999</v>
      </c>
      <c r="HG26" s="1759" t="s">
        <v>416</v>
      </c>
      <c r="HH26" s="992">
        <f>$D26*HF26</f>
        <v>15721.07083776</v>
      </c>
      <c r="HI26" s="992"/>
      <c r="HJ26" s="992">
        <f>HJ25</f>
        <v>26570.799999999999</v>
      </c>
      <c r="HK26" s="1757" t="s">
        <v>411</v>
      </c>
      <c r="HL26" s="1758">
        <f>VLOOKUP($G26,'Quantidades Padrão'!$E$7:$J$103,HL$8,0)</f>
        <v>9.844E-2</v>
      </c>
      <c r="HM26" s="1759" t="s">
        <v>415</v>
      </c>
      <c r="HN26" s="992">
        <f>HJ26*HL26</f>
        <v>2615.6295519999999</v>
      </c>
      <c r="HO26" s="1759" t="s">
        <v>416</v>
      </c>
      <c r="HP26" s="992">
        <f>$D26*HN26</f>
        <v>22599.03932928</v>
      </c>
      <c r="HQ26" s="992"/>
      <c r="HR26" s="992">
        <f>HR25</f>
        <v>26570.799999999999</v>
      </c>
      <c r="HS26" s="1757" t="s">
        <v>411</v>
      </c>
      <c r="HT26" s="1758">
        <f>VLOOKUP($G26,'Quantidades Padrão'!$E$7:$J$103,HT$8,0)</f>
        <v>0.12840000000000001</v>
      </c>
      <c r="HU26" s="1759" t="s">
        <v>415</v>
      </c>
      <c r="HV26" s="992">
        <f>HR26*HT26</f>
        <v>3411.6907200000001</v>
      </c>
      <c r="HW26" s="1759" t="s">
        <v>416</v>
      </c>
      <c r="HX26" s="992">
        <f>$D26*HV26</f>
        <v>29477.007820800001</v>
      </c>
      <c r="HY26" s="992"/>
      <c r="HZ26" s="992">
        <f>HZ25</f>
        <v>26570.799999999999</v>
      </c>
      <c r="IA26" s="1757" t="s">
        <v>411</v>
      </c>
      <c r="IB26" s="1758">
        <f>VLOOKUP($G26,'Quantidades Padrão'!$E$7:$J$103,IB$8,0)</f>
        <v>6.8479999999999999E-2</v>
      </c>
      <c r="IC26" s="1759" t="s">
        <v>415</v>
      </c>
      <c r="ID26" s="992">
        <f>HZ26*IB26</f>
        <v>1819.5683839999999</v>
      </c>
      <c r="IE26" s="1759" t="s">
        <v>416</v>
      </c>
      <c r="IF26" s="992">
        <f>$D26*ID26</f>
        <v>15721.07083776</v>
      </c>
      <c r="IG26" s="992"/>
      <c r="IH26" s="992">
        <f>IH25</f>
        <v>26570.799999999999</v>
      </c>
      <c r="II26" s="1757" t="s">
        <v>411</v>
      </c>
      <c r="IJ26" s="1758">
        <f>VLOOKUP($G26,'Quantidades Padrão'!$E$7:$J$103,IJ$8,0)</f>
        <v>9.844E-2</v>
      </c>
      <c r="IK26" s="1759" t="s">
        <v>415</v>
      </c>
      <c r="IL26" s="992">
        <f>IH26*IJ26</f>
        <v>2615.6295519999999</v>
      </c>
      <c r="IM26" s="1759" t="s">
        <v>416</v>
      </c>
      <c r="IN26" s="992">
        <f>$D26*IL26</f>
        <v>22599.03932928</v>
      </c>
      <c r="IO26" s="992"/>
    </row>
    <row r="27" spans="1:249" s="341" customFormat="1">
      <c r="A27" s="1753"/>
      <c r="B27" s="1754"/>
      <c r="C27" s="1755"/>
      <c r="D27" s="1005"/>
      <c r="E27" s="1761"/>
      <c r="F27" s="1762" t="s">
        <v>67</v>
      </c>
      <c r="G27" s="1763" t="s">
        <v>330</v>
      </c>
      <c r="H27" s="994">
        <f>SUBTOTAL(9,H28:H40)</f>
        <v>36145935.267252266</v>
      </c>
      <c r="I27" s="1764"/>
      <c r="J27" s="1764"/>
      <c r="K27" s="1764"/>
      <c r="L27" s="1764"/>
      <c r="M27" s="1764"/>
      <c r="N27" s="1764"/>
      <c r="O27" s="994">
        <f>SUBTOTAL(9,O28:O40)</f>
        <v>828820.28800000029</v>
      </c>
      <c r="P27" s="1765">
        <f>O27/$H27</f>
        <v>2.2929833793812505E-2</v>
      </c>
      <c r="Q27" s="1766">
        <f t="shared" si="0"/>
        <v>0.1335236742874836</v>
      </c>
      <c r="R27" s="1764"/>
      <c r="S27" s="1764"/>
      <c r="T27" s="1764"/>
      <c r="U27" s="1764"/>
      <c r="V27" s="1764"/>
      <c r="W27" s="1764"/>
      <c r="X27" s="994">
        <f>SUBTOTAL(9,X28:X40)</f>
        <v>828820.28800000029</v>
      </c>
      <c r="Y27" s="1765">
        <f>X27/$H27</f>
        <v>2.2929833793812505E-2</v>
      </c>
      <c r="Z27" s="1764"/>
      <c r="AA27" s="1764"/>
      <c r="AB27" s="1764"/>
      <c r="AC27" s="1764"/>
      <c r="AD27" s="1764"/>
      <c r="AE27" s="1764"/>
      <c r="AF27" s="994">
        <f>SUBTOTAL(9,AF28:AF40)</f>
        <v>1554038.04</v>
      </c>
      <c r="AG27" s="1765">
        <f>AF27/$H27</f>
        <v>4.2993438363398431E-2</v>
      </c>
      <c r="AH27" s="1764"/>
      <c r="AI27" s="1764"/>
      <c r="AJ27" s="1764"/>
      <c r="AK27" s="1764"/>
      <c r="AL27" s="1764"/>
      <c r="AM27" s="1764"/>
      <c r="AN27" s="994">
        <f>SUBTOTAL(9,AN28:AN40)</f>
        <v>828820.28800000029</v>
      </c>
      <c r="AO27" s="1765">
        <f>AN27/$H27</f>
        <v>2.2929833793812505E-2</v>
      </c>
      <c r="AP27" s="1764"/>
      <c r="AQ27" s="1764"/>
      <c r="AR27" s="1764"/>
      <c r="AS27" s="1764"/>
      <c r="AT27" s="1764"/>
      <c r="AU27" s="1764"/>
      <c r="AV27" s="994">
        <f>SUBTOTAL(9,AV28:AV40)</f>
        <v>828820.28800000029</v>
      </c>
      <c r="AW27" s="1765">
        <f>AV27/$H27</f>
        <v>2.2929833793812505E-2</v>
      </c>
      <c r="AX27" s="1764"/>
      <c r="AY27" s="1764"/>
      <c r="AZ27" s="1764"/>
      <c r="BA27" s="1764"/>
      <c r="BB27" s="1764"/>
      <c r="BC27" s="1764"/>
      <c r="BD27" s="994">
        <f>SUBTOTAL(9,BD28:BD40)</f>
        <v>1206029.5300580659</v>
      </c>
      <c r="BE27" s="1765">
        <f>BD27/$H27</f>
        <v>3.3365564375110041E-2</v>
      </c>
      <c r="BF27" s="1764"/>
      <c r="BG27" s="1764">
        <f t="shared" ref="BG27:BG34" si="91">J27</f>
        <v>0</v>
      </c>
      <c r="BH27" s="1764"/>
      <c r="BI27" s="1764"/>
      <c r="BJ27" s="1767"/>
      <c r="BK27" s="1764"/>
      <c r="BL27" s="994">
        <f>SUBTOTAL(9,BL28:BL40)</f>
        <v>1611380.4592742235</v>
      </c>
      <c r="BM27" s="1765">
        <f>BL27/$H27</f>
        <v>4.4579852405537634E-2</v>
      </c>
      <c r="BN27" s="1764"/>
      <c r="BO27" s="1764">
        <f t="shared" ref="BO27:BO28" si="92">R27</f>
        <v>0</v>
      </c>
      <c r="BP27" s="1764"/>
      <c r="BQ27" s="1764"/>
      <c r="BR27" s="1767"/>
      <c r="BS27" s="1764"/>
      <c r="BT27" s="994">
        <f>SUBTOTAL(9,BT28:BT40)</f>
        <v>859402.91161291942</v>
      </c>
      <c r="BU27" s="1765">
        <f>BT27/$H27</f>
        <v>2.3775921282953409E-2</v>
      </c>
      <c r="BV27" s="1764"/>
      <c r="BW27" s="1764">
        <f t="shared" ref="BW27:BW28" si="93">Z27</f>
        <v>0</v>
      </c>
      <c r="BX27" s="1764"/>
      <c r="BY27" s="1764"/>
      <c r="BZ27" s="1767"/>
      <c r="CA27" s="1764"/>
      <c r="CB27" s="994">
        <f>SUBTOTAL(9,CB28:CB40)</f>
        <v>1235391.6854435715</v>
      </c>
      <c r="CC27" s="1765">
        <f>CB27/$H27</f>
        <v>3.4177886844245525E-2</v>
      </c>
      <c r="CD27" s="1764"/>
      <c r="CE27" s="1764">
        <f t="shared" ref="CE27:CE28" si="94">AH27</f>
        <v>0</v>
      </c>
      <c r="CF27" s="1764"/>
      <c r="CG27" s="1764"/>
      <c r="CH27" s="1767"/>
      <c r="CI27" s="1764"/>
      <c r="CJ27" s="994">
        <f>SUBTOTAL(9,CJ28:CJ40)</f>
        <v>1611380.4592742235</v>
      </c>
      <c r="CK27" s="1765">
        <f>CJ27/$H27</f>
        <v>4.4579852405537634E-2</v>
      </c>
      <c r="CL27" s="1764">
        <f>BF27</f>
        <v>0</v>
      </c>
      <c r="CM27" s="1764">
        <f t="shared" ref="CM27:CM34" si="95">BG27</f>
        <v>0</v>
      </c>
      <c r="CN27" s="1764"/>
      <c r="CO27" s="1764"/>
      <c r="CP27" s="1764"/>
      <c r="CQ27" s="1764"/>
      <c r="CR27" s="994">
        <f>SUBTOTAL(9,CR28:CR40)</f>
        <v>859402.91161291942</v>
      </c>
      <c r="CS27" s="1765">
        <f>CR27/$H27</f>
        <v>2.3775921282953409E-2</v>
      </c>
      <c r="CT27" s="1764">
        <f>BN27</f>
        <v>0</v>
      </c>
      <c r="CU27" s="1764">
        <f t="shared" ref="CU27:CU28" si="96">BO27</f>
        <v>0</v>
      </c>
      <c r="CV27" s="1764"/>
      <c r="CW27" s="1764"/>
      <c r="CX27" s="1764"/>
      <c r="CY27" s="1764"/>
      <c r="CZ27" s="994">
        <f>SUBTOTAL(9,CZ28:CZ40)</f>
        <v>1235391.6854435715</v>
      </c>
      <c r="DA27" s="1765">
        <f>CZ27/$H27</f>
        <v>3.4177886844245525E-2</v>
      </c>
      <c r="DB27" s="1764">
        <f>BV27</f>
        <v>0</v>
      </c>
      <c r="DC27" s="1764">
        <f t="shared" ref="DC27:DC28" si="97">BW27</f>
        <v>0</v>
      </c>
      <c r="DD27" s="1764"/>
      <c r="DE27" s="1764"/>
      <c r="DF27" s="1764"/>
      <c r="DG27" s="1764"/>
      <c r="DH27" s="994">
        <f>SUBTOTAL(9,DH28:DH40)</f>
        <v>1611380.4592742235</v>
      </c>
      <c r="DI27" s="1765">
        <f>DH27/$H27</f>
        <v>4.4579852405537634E-2</v>
      </c>
      <c r="DJ27" s="1764">
        <f>CD27</f>
        <v>0</v>
      </c>
      <c r="DK27" s="1764">
        <f t="shared" ref="DK27:DK28" si="98">CE27</f>
        <v>0</v>
      </c>
      <c r="DL27" s="1764"/>
      <c r="DM27" s="1764"/>
      <c r="DN27" s="1764"/>
      <c r="DO27" s="1764"/>
      <c r="DP27" s="994">
        <f>SUBTOTAL(9,DP28:DP40)</f>
        <v>859402.91161291942</v>
      </c>
      <c r="DQ27" s="1765">
        <f>DP27/$H27</f>
        <v>2.3775921282953409E-2</v>
      </c>
      <c r="DR27" s="1764">
        <f>CL27</f>
        <v>0</v>
      </c>
      <c r="DS27" s="1764">
        <f t="shared" ref="DS27:DS28" si="99">CM27</f>
        <v>0</v>
      </c>
      <c r="DT27" s="1764"/>
      <c r="DU27" s="1764"/>
      <c r="DV27" s="1764"/>
      <c r="DW27" s="1764"/>
      <c r="DX27" s="994">
        <f>SUBTOTAL(9,DX28:DX40)</f>
        <v>1235391.6854435715</v>
      </c>
      <c r="DY27" s="1765">
        <f>DX27/$H27</f>
        <v>3.4177886844245525E-2</v>
      </c>
      <c r="DZ27" s="1764">
        <f>CT27</f>
        <v>0</v>
      </c>
      <c r="EA27" s="1764">
        <f t="shared" ref="EA27:EA34" si="100">CU27</f>
        <v>0</v>
      </c>
      <c r="EB27" s="1764"/>
      <c r="EC27" s="1764"/>
      <c r="ED27" s="1764"/>
      <c r="EE27" s="1764"/>
      <c r="EF27" s="994">
        <f>SUBTOTAL(9,EF28:EF40)</f>
        <v>1624216.7978198235</v>
      </c>
      <c r="EG27" s="1765">
        <f>EF27/$H27</f>
        <v>4.4934977773042777E-2</v>
      </c>
      <c r="EH27" s="1764">
        <f>DB27</f>
        <v>0</v>
      </c>
      <c r="EI27" s="1764">
        <f t="shared" ref="EI27:EI34" si="101">DC27</f>
        <v>0</v>
      </c>
      <c r="EJ27" s="1764"/>
      <c r="EK27" s="1764"/>
      <c r="EL27" s="1764"/>
      <c r="EM27" s="1764"/>
      <c r="EN27" s="994">
        <f>SUBTOTAL(9,EN28:EN40)</f>
        <v>866248.95883723942</v>
      </c>
      <c r="EO27" s="1765">
        <f>EN27/$H27</f>
        <v>2.3965321478956154E-2</v>
      </c>
      <c r="EP27" s="1764">
        <f>CL27</f>
        <v>0</v>
      </c>
      <c r="EQ27" s="1764">
        <f t="shared" ref="EQ27" si="102">CM27</f>
        <v>0</v>
      </c>
      <c r="ER27" s="1764"/>
      <c r="ES27" s="1764"/>
      <c r="ET27" s="1764"/>
      <c r="EU27" s="1764"/>
      <c r="EV27" s="994">
        <f>SUBTOTAL(9,EV28:EV40)</f>
        <v>1245232.8783285315</v>
      </c>
      <c r="EW27" s="1765">
        <f>EV27/$H27</f>
        <v>3.4450149625999467E-2</v>
      </c>
      <c r="EX27" s="1764">
        <f>CT27</f>
        <v>0</v>
      </c>
      <c r="EY27" s="1764">
        <f t="shared" ref="EY27:EY34" si="103">CU27</f>
        <v>0</v>
      </c>
      <c r="EZ27" s="1764"/>
      <c r="FA27" s="1764"/>
      <c r="FB27" s="1764"/>
      <c r="FC27" s="1764"/>
      <c r="FD27" s="994">
        <f>SUBTOTAL(9,FD28:FD40)</f>
        <v>1624216.7978198235</v>
      </c>
      <c r="FE27" s="1765">
        <f>FD27/$H27</f>
        <v>4.4934977773042777E-2</v>
      </c>
      <c r="FF27" s="1764">
        <f>DB27</f>
        <v>0</v>
      </c>
      <c r="FG27" s="1764">
        <f t="shared" ref="FG27:FG34" si="104">DC27</f>
        <v>0</v>
      </c>
      <c r="FH27" s="1764"/>
      <c r="FI27" s="1764"/>
      <c r="FJ27" s="1764"/>
      <c r="FK27" s="1764"/>
      <c r="FL27" s="994">
        <f>SUBTOTAL(9,FL28:FL40)</f>
        <v>866248.95883723942</v>
      </c>
      <c r="FM27" s="1765">
        <f>FL27/$H27</f>
        <v>2.3965321478956154E-2</v>
      </c>
      <c r="FN27" s="1764">
        <f>DJ27</f>
        <v>0</v>
      </c>
      <c r="FO27" s="1764">
        <f t="shared" ref="FO27:FO34" si="105">DK27</f>
        <v>0</v>
      </c>
      <c r="FP27" s="1764"/>
      <c r="FQ27" s="1764"/>
      <c r="FR27" s="1764"/>
      <c r="FS27" s="1764"/>
      <c r="FT27" s="994">
        <f>SUBTOTAL(9,FT28:FT40)</f>
        <v>1270279.1575177317</v>
      </c>
      <c r="FU27" s="1765">
        <f>FT27/$H27</f>
        <v>3.5143070669652519E-2</v>
      </c>
      <c r="FV27" s="1764">
        <f>DR27</f>
        <v>0</v>
      </c>
      <c r="FW27" s="1764">
        <f t="shared" ref="FW27:FW34" si="106">DS27</f>
        <v>0</v>
      </c>
      <c r="FX27" s="1764"/>
      <c r="FY27" s="1764"/>
      <c r="FZ27" s="1764"/>
      <c r="GA27" s="1764"/>
      <c r="GB27" s="994">
        <f>SUBTOTAL(9,GB28:GB40)</f>
        <v>1656885.8576318235</v>
      </c>
      <c r="GC27" s="1765">
        <f>GB27/$H27</f>
        <v>4.5838787829981534E-2</v>
      </c>
      <c r="GD27" s="1764">
        <f>DZ27</f>
        <v>0</v>
      </c>
      <c r="GE27" s="1764">
        <f t="shared" ref="GE27:GE34" si="107">EA27</f>
        <v>0</v>
      </c>
      <c r="GF27" s="1764"/>
      <c r="GG27" s="1764"/>
      <c r="GH27" s="1764"/>
      <c r="GI27" s="1764"/>
      <c r="GJ27" s="994">
        <f>SUBTOTAL(9,GJ28:GJ40)</f>
        <v>883672.45740363945</v>
      </c>
      <c r="GK27" s="1765">
        <f>GJ27/$H27</f>
        <v>2.4447353509323491E-2</v>
      </c>
      <c r="GL27" s="1764">
        <f>EH27</f>
        <v>0</v>
      </c>
      <c r="GM27" s="1764">
        <f t="shared" ref="GM27:GM34" si="108">EI27</f>
        <v>0</v>
      </c>
      <c r="GN27" s="1764"/>
      <c r="GO27" s="1764"/>
      <c r="GP27" s="1764"/>
      <c r="GQ27" s="1764"/>
      <c r="GR27" s="994">
        <f>SUBTOTAL(9,GR28:GR40)</f>
        <v>1270279.1575177317</v>
      </c>
      <c r="GS27" s="1765">
        <f>GR27/$H27</f>
        <v>3.5143070669652519E-2</v>
      </c>
      <c r="GT27" s="1764">
        <f>EP27</f>
        <v>0</v>
      </c>
      <c r="GU27" s="1764">
        <f t="shared" ref="GU27:GU34" si="109">EQ27</f>
        <v>0</v>
      </c>
      <c r="GV27" s="1764"/>
      <c r="GW27" s="1764"/>
      <c r="GX27" s="1764"/>
      <c r="GY27" s="1764"/>
      <c r="GZ27" s="994">
        <f>SUBTOTAL(9,GZ28:GZ40)</f>
        <v>1656885.8576318235</v>
      </c>
      <c r="HA27" s="1765">
        <f>GZ27/$H27</f>
        <v>4.5838787829981534E-2</v>
      </c>
      <c r="HB27" s="1764">
        <f>EP27</f>
        <v>0</v>
      </c>
      <c r="HC27" s="1764">
        <f t="shared" ref="HC27" si="110">EQ27</f>
        <v>0</v>
      </c>
      <c r="HD27" s="1764"/>
      <c r="HE27" s="1764"/>
      <c r="HF27" s="1764"/>
      <c r="HG27" s="1764"/>
      <c r="HH27" s="994">
        <f>SUBTOTAL(9,HH28:HH40)</f>
        <v>887095.48101579945</v>
      </c>
      <c r="HI27" s="1765">
        <f>HH27/$H27</f>
        <v>2.4542053607324862E-2</v>
      </c>
      <c r="HJ27" s="1764">
        <f>EX27</f>
        <v>0</v>
      </c>
      <c r="HK27" s="1764">
        <f t="shared" ref="HK27:HK34" si="111">EY27</f>
        <v>0</v>
      </c>
      <c r="HL27" s="1764"/>
      <c r="HM27" s="1764"/>
      <c r="HN27" s="1764"/>
      <c r="HO27" s="1764"/>
      <c r="HP27" s="994">
        <f>SUBTOTAL(9,HP28:HP40)</f>
        <v>1275199.7539602115</v>
      </c>
      <c r="HQ27" s="1765">
        <f>HP27/$H27</f>
        <v>3.5279202060529487E-2</v>
      </c>
      <c r="HR27" s="1764">
        <f>FF27</f>
        <v>0</v>
      </c>
      <c r="HS27" s="1764">
        <f t="shared" ref="HS27:HS34" si="112">FG27</f>
        <v>0</v>
      </c>
      <c r="HT27" s="1764"/>
      <c r="HU27" s="1764"/>
      <c r="HV27" s="1764"/>
      <c r="HW27" s="1764"/>
      <c r="HX27" s="994">
        <f>SUBTOTAL(9,HX28:HX40)</f>
        <v>1663304.0269046235</v>
      </c>
      <c r="HY27" s="1765">
        <f>HX27/$H27</f>
        <v>4.6016350513734101E-2</v>
      </c>
      <c r="HZ27" s="1764">
        <f>FN27</f>
        <v>0</v>
      </c>
      <c r="IA27" s="1764">
        <f t="shared" ref="IA27:IA34" si="113">FO27</f>
        <v>0</v>
      </c>
      <c r="IB27" s="1764"/>
      <c r="IC27" s="1764"/>
      <c r="ID27" s="1764"/>
      <c r="IE27" s="1764"/>
      <c r="IF27" s="994">
        <f>SUBTOTAL(9,IF28:IF40)</f>
        <v>887095.48101579945</v>
      </c>
      <c r="IG27" s="1765">
        <f>IF27/$H27</f>
        <v>2.4542053607324862E-2</v>
      </c>
      <c r="IH27" s="1764">
        <f>FV27</f>
        <v>0</v>
      </c>
      <c r="II27" s="1764">
        <f t="shared" ref="II27:II34" si="114">FW27</f>
        <v>0</v>
      </c>
      <c r="IJ27" s="1764"/>
      <c r="IK27" s="1764"/>
      <c r="IL27" s="1764"/>
      <c r="IM27" s="1764"/>
      <c r="IN27" s="994">
        <f>SUBTOTAL(9,IN28:IN40)</f>
        <v>1275199.7539602115</v>
      </c>
      <c r="IO27" s="1765">
        <f>IN27/$H27</f>
        <v>3.5279202060529487E-2</v>
      </c>
    </row>
    <row r="28" spans="1:249" s="341" customFormat="1">
      <c r="A28" s="1753"/>
      <c r="B28" s="1754"/>
      <c r="C28" s="1755"/>
      <c r="D28" s="1019"/>
      <c r="E28" s="1768"/>
      <c r="F28" s="999"/>
      <c r="G28" s="1769" t="s">
        <v>317</v>
      </c>
      <c r="H28" s="991"/>
      <c r="I28" s="992">
        <f>H28/I29</f>
        <v>0</v>
      </c>
      <c r="J28" s="1759"/>
      <c r="K28" s="1015"/>
      <c r="L28" s="1759"/>
      <c r="M28" s="992"/>
      <c r="N28" s="1759"/>
      <c r="O28" s="991"/>
      <c r="P28" s="1770"/>
      <c r="Q28" s="1771">
        <f t="shared" si="0"/>
        <v>0</v>
      </c>
      <c r="R28" s="992">
        <f>Q28/R29</f>
        <v>0</v>
      </c>
      <c r="S28" s="1759"/>
      <c r="T28" s="1015"/>
      <c r="U28" s="1759"/>
      <c r="V28" s="992"/>
      <c r="W28" s="1759"/>
      <c r="X28" s="991"/>
      <c r="Y28" s="1770"/>
      <c r="Z28" s="992">
        <f>Y28/Z29</f>
        <v>0</v>
      </c>
      <c r="AA28" s="1759"/>
      <c r="AB28" s="1015"/>
      <c r="AC28" s="1759"/>
      <c r="AD28" s="992"/>
      <c r="AE28" s="1759"/>
      <c r="AF28" s="991"/>
      <c r="AG28" s="1770"/>
      <c r="AH28" s="992">
        <f>AG28/AH29</f>
        <v>0</v>
      </c>
      <c r="AI28" s="1759"/>
      <c r="AJ28" s="1015"/>
      <c r="AK28" s="1759"/>
      <c r="AL28" s="992"/>
      <c r="AM28" s="1759"/>
      <c r="AN28" s="991"/>
      <c r="AO28" s="1770"/>
      <c r="AP28" s="992">
        <f>AO28/AP29</f>
        <v>0</v>
      </c>
      <c r="AQ28" s="1759"/>
      <c r="AR28" s="1015"/>
      <c r="AS28" s="1759"/>
      <c r="AT28" s="992"/>
      <c r="AU28" s="1759"/>
      <c r="AV28" s="991"/>
      <c r="AW28" s="1770"/>
      <c r="AX28" s="992">
        <f>Y28/AX29</f>
        <v>0</v>
      </c>
      <c r="AY28" s="1759"/>
      <c r="AZ28" s="1015"/>
      <c r="BA28" s="1759"/>
      <c r="BB28" s="992"/>
      <c r="BC28" s="1759"/>
      <c r="BD28" s="991"/>
      <c r="BE28" s="1770"/>
      <c r="BF28" s="992"/>
      <c r="BG28" s="1759">
        <f t="shared" si="91"/>
        <v>0</v>
      </c>
      <c r="BH28" s="1015"/>
      <c r="BI28" s="1772"/>
      <c r="BJ28" s="992"/>
      <c r="BK28" s="1772"/>
      <c r="BL28" s="991"/>
      <c r="BM28" s="1770"/>
      <c r="BN28" s="992"/>
      <c r="BO28" s="1759">
        <f t="shared" si="92"/>
        <v>0</v>
      </c>
      <c r="BP28" s="1015"/>
      <c r="BQ28" s="1772"/>
      <c r="BR28" s="992"/>
      <c r="BS28" s="1772"/>
      <c r="BT28" s="991"/>
      <c r="BU28" s="1770"/>
      <c r="BV28" s="992"/>
      <c r="BW28" s="1759">
        <f t="shared" si="93"/>
        <v>0</v>
      </c>
      <c r="BX28" s="1015"/>
      <c r="BY28" s="1772"/>
      <c r="BZ28" s="992"/>
      <c r="CA28" s="1772"/>
      <c r="CB28" s="991"/>
      <c r="CC28" s="1770"/>
      <c r="CD28" s="992"/>
      <c r="CE28" s="1759">
        <f t="shared" si="94"/>
        <v>0</v>
      </c>
      <c r="CF28" s="1015"/>
      <c r="CG28" s="1772"/>
      <c r="CH28" s="992"/>
      <c r="CI28" s="1772"/>
      <c r="CJ28" s="991"/>
      <c r="CK28" s="1770"/>
      <c r="CL28" s="992">
        <f>BF28</f>
        <v>0</v>
      </c>
      <c r="CM28" s="1759">
        <f t="shared" si="95"/>
        <v>0</v>
      </c>
      <c r="CN28" s="1015"/>
      <c r="CO28" s="1772"/>
      <c r="CP28" s="992"/>
      <c r="CQ28" s="1772"/>
      <c r="CR28" s="991"/>
      <c r="CS28" s="1770"/>
      <c r="CT28" s="992">
        <f>BN28</f>
        <v>0</v>
      </c>
      <c r="CU28" s="1759">
        <f t="shared" si="96"/>
        <v>0</v>
      </c>
      <c r="CV28" s="1015"/>
      <c r="CW28" s="1772"/>
      <c r="CX28" s="992"/>
      <c r="CY28" s="1772"/>
      <c r="CZ28" s="991"/>
      <c r="DA28" s="1770"/>
      <c r="DB28" s="992">
        <f>BV28</f>
        <v>0</v>
      </c>
      <c r="DC28" s="1759">
        <f t="shared" si="97"/>
        <v>0</v>
      </c>
      <c r="DD28" s="1015"/>
      <c r="DE28" s="1772"/>
      <c r="DF28" s="992"/>
      <c r="DG28" s="1772"/>
      <c r="DH28" s="991"/>
      <c r="DI28" s="1770"/>
      <c r="DJ28" s="992">
        <f>CD28</f>
        <v>0</v>
      </c>
      <c r="DK28" s="1759">
        <f t="shared" si="98"/>
        <v>0</v>
      </c>
      <c r="DL28" s="1015"/>
      <c r="DM28" s="1772"/>
      <c r="DN28" s="992"/>
      <c r="DO28" s="1772"/>
      <c r="DP28" s="991"/>
      <c r="DQ28" s="1770"/>
      <c r="DR28" s="992">
        <f>CL28</f>
        <v>0</v>
      </c>
      <c r="DS28" s="1759">
        <f t="shared" si="99"/>
        <v>0</v>
      </c>
      <c r="DT28" s="1015"/>
      <c r="DU28" s="1772"/>
      <c r="DV28" s="992"/>
      <c r="DW28" s="1772"/>
      <c r="DX28" s="991"/>
      <c r="DY28" s="1770"/>
      <c r="DZ28" s="992">
        <f>CT28</f>
        <v>0</v>
      </c>
      <c r="EA28" s="1759">
        <f t="shared" si="100"/>
        <v>0</v>
      </c>
      <c r="EB28" s="1015"/>
      <c r="EC28" s="1772"/>
      <c r="ED28" s="992"/>
      <c r="EE28" s="1772"/>
      <c r="EF28" s="991"/>
      <c r="EG28" s="1770"/>
      <c r="EH28" s="992">
        <f>DB28</f>
        <v>0</v>
      </c>
      <c r="EI28" s="1759">
        <f t="shared" si="101"/>
        <v>0</v>
      </c>
      <c r="EJ28" s="1015"/>
      <c r="EK28" s="1772"/>
      <c r="EL28" s="992"/>
      <c r="EM28" s="1772"/>
      <c r="EN28" s="991"/>
      <c r="EO28" s="1770"/>
      <c r="EP28" s="992">
        <f>CL28</f>
        <v>0</v>
      </c>
      <c r="EQ28" s="1759">
        <f t="shared" ref="EQ28:EQ34" si="115">CM28</f>
        <v>0</v>
      </c>
      <c r="ER28" s="1015"/>
      <c r="ES28" s="1772"/>
      <c r="ET28" s="992"/>
      <c r="EU28" s="1772"/>
      <c r="EV28" s="991"/>
      <c r="EW28" s="1770"/>
      <c r="EX28" s="992">
        <f>CT28</f>
        <v>0</v>
      </c>
      <c r="EY28" s="1759">
        <f t="shared" si="103"/>
        <v>0</v>
      </c>
      <c r="EZ28" s="1015"/>
      <c r="FA28" s="1772"/>
      <c r="FB28" s="992"/>
      <c r="FC28" s="1772"/>
      <c r="FD28" s="991"/>
      <c r="FE28" s="1770"/>
      <c r="FF28" s="992">
        <f>DB28</f>
        <v>0</v>
      </c>
      <c r="FG28" s="1759">
        <f t="shared" si="104"/>
        <v>0</v>
      </c>
      <c r="FH28" s="1015"/>
      <c r="FI28" s="1772"/>
      <c r="FJ28" s="992"/>
      <c r="FK28" s="1772"/>
      <c r="FL28" s="991"/>
      <c r="FM28" s="1770"/>
      <c r="FN28" s="992">
        <f>DJ28</f>
        <v>0</v>
      </c>
      <c r="FO28" s="1759">
        <f t="shared" si="105"/>
        <v>0</v>
      </c>
      <c r="FP28" s="1015"/>
      <c r="FQ28" s="1772"/>
      <c r="FR28" s="992"/>
      <c r="FS28" s="1772"/>
      <c r="FT28" s="991"/>
      <c r="FU28" s="1770"/>
      <c r="FV28" s="992">
        <f>DR28</f>
        <v>0</v>
      </c>
      <c r="FW28" s="1759">
        <f t="shared" si="106"/>
        <v>0</v>
      </c>
      <c r="FX28" s="1015"/>
      <c r="FY28" s="1772"/>
      <c r="FZ28" s="992"/>
      <c r="GA28" s="1772"/>
      <c r="GB28" s="991"/>
      <c r="GC28" s="1770"/>
      <c r="GD28" s="992">
        <f>DZ28</f>
        <v>0</v>
      </c>
      <c r="GE28" s="1759">
        <f t="shared" si="107"/>
        <v>0</v>
      </c>
      <c r="GF28" s="1015"/>
      <c r="GG28" s="1772"/>
      <c r="GH28" s="992"/>
      <c r="GI28" s="1772"/>
      <c r="GJ28" s="991"/>
      <c r="GK28" s="1770"/>
      <c r="GL28" s="992">
        <f>EH28</f>
        <v>0</v>
      </c>
      <c r="GM28" s="1759">
        <f t="shared" si="108"/>
        <v>0</v>
      </c>
      <c r="GN28" s="1015"/>
      <c r="GO28" s="1772"/>
      <c r="GP28" s="992"/>
      <c r="GQ28" s="1772"/>
      <c r="GR28" s="991"/>
      <c r="GS28" s="1770"/>
      <c r="GT28" s="992">
        <f>EP28</f>
        <v>0</v>
      </c>
      <c r="GU28" s="1759">
        <f t="shared" si="109"/>
        <v>0</v>
      </c>
      <c r="GV28" s="1015"/>
      <c r="GW28" s="1772"/>
      <c r="GX28" s="992"/>
      <c r="GY28" s="1772"/>
      <c r="GZ28" s="991"/>
      <c r="HA28" s="1770"/>
      <c r="HB28" s="992">
        <f>EP28</f>
        <v>0</v>
      </c>
      <c r="HC28" s="1759">
        <f t="shared" ref="HC28:HC34" si="116">EQ28</f>
        <v>0</v>
      </c>
      <c r="HD28" s="1015"/>
      <c r="HE28" s="1772"/>
      <c r="HF28" s="992"/>
      <c r="HG28" s="1772"/>
      <c r="HH28" s="991"/>
      <c r="HI28" s="1770"/>
      <c r="HJ28" s="992">
        <f>EX28</f>
        <v>0</v>
      </c>
      <c r="HK28" s="1759">
        <f t="shared" si="111"/>
        <v>0</v>
      </c>
      <c r="HL28" s="1015"/>
      <c r="HM28" s="1772"/>
      <c r="HN28" s="992"/>
      <c r="HO28" s="1772"/>
      <c r="HP28" s="991"/>
      <c r="HQ28" s="1770"/>
      <c r="HR28" s="992">
        <f>FF28</f>
        <v>0</v>
      </c>
      <c r="HS28" s="1759">
        <f t="shared" si="112"/>
        <v>0</v>
      </c>
      <c r="HT28" s="1015"/>
      <c r="HU28" s="1772"/>
      <c r="HV28" s="992"/>
      <c r="HW28" s="1772"/>
      <c r="HX28" s="991"/>
      <c r="HY28" s="1770"/>
      <c r="HZ28" s="992">
        <f>FN28</f>
        <v>0</v>
      </c>
      <c r="IA28" s="1759">
        <f t="shared" si="113"/>
        <v>0</v>
      </c>
      <c r="IB28" s="1015"/>
      <c r="IC28" s="1772"/>
      <c r="ID28" s="992"/>
      <c r="IE28" s="1772"/>
      <c r="IF28" s="991"/>
      <c r="IG28" s="1770"/>
      <c r="IH28" s="992">
        <f>FV28</f>
        <v>0</v>
      </c>
      <c r="II28" s="1759">
        <f t="shared" si="114"/>
        <v>0</v>
      </c>
      <c r="IJ28" s="1015"/>
      <c r="IK28" s="1772"/>
      <c r="IL28" s="992"/>
      <c r="IM28" s="1772"/>
      <c r="IN28" s="991"/>
      <c r="IO28" s="1770"/>
    </row>
    <row r="29" spans="1:249" s="341" customFormat="1" ht="22.5">
      <c r="A29" s="1753"/>
      <c r="B29" s="1754"/>
      <c r="C29" s="1755"/>
      <c r="D29" s="1013">
        <f>VLOOKUP(E29,'DER MG'!$D$5:$I$150,6,0)</f>
        <v>16.07</v>
      </c>
      <c r="E29" s="1017">
        <v>5214011</v>
      </c>
      <c r="F29" s="1756"/>
      <c r="G29" s="1018" t="s">
        <v>417</v>
      </c>
      <c r="H29" s="992">
        <f t="shared" ref="H29:H54" si="117">SUMIF($I$7:$IO$7,"ANO",I29:IO29)</f>
        <v>1241035.8170801334</v>
      </c>
      <c r="I29" s="992">
        <v>500</v>
      </c>
      <c r="J29" s="1759" t="s">
        <v>418</v>
      </c>
      <c r="K29" s="1758">
        <f>VLOOKUP($G29,'Quantidades Padrão'!$E$7:$J$103,K$8,0)</f>
        <v>3.3812000000000002</v>
      </c>
      <c r="L29" s="1759" t="s">
        <v>419</v>
      </c>
      <c r="M29" s="992">
        <f>I29*K29</f>
        <v>1690.6000000000001</v>
      </c>
      <c r="N29" s="1759" t="s">
        <v>411</v>
      </c>
      <c r="O29" s="992">
        <f>$D29*M29</f>
        <v>27167.942000000003</v>
      </c>
      <c r="P29" s="1759"/>
      <c r="Q29" s="1760">
        <f t="shared" si="0"/>
        <v>4.3767792502073079E-3</v>
      </c>
      <c r="R29" s="992">
        <v>500</v>
      </c>
      <c r="S29" s="1759" t="s">
        <v>418</v>
      </c>
      <c r="T29" s="1758">
        <f>VLOOKUP($G29,'Quantidades Padrão'!$E$7:$J$103,T$8,0)</f>
        <v>3.3812000000000002</v>
      </c>
      <c r="U29" s="1759" t="s">
        <v>419</v>
      </c>
      <c r="V29" s="992">
        <f>R29*T29</f>
        <v>1690.6000000000001</v>
      </c>
      <c r="W29" s="1759" t="s">
        <v>411</v>
      </c>
      <c r="X29" s="992">
        <f>$D29*V29</f>
        <v>27167.942000000003</v>
      </c>
      <c r="Y29" s="1759"/>
      <c r="Z29" s="992">
        <v>500</v>
      </c>
      <c r="AA29" s="1759" t="s">
        <v>418</v>
      </c>
      <c r="AB29" s="1758">
        <f>VLOOKUP($G29,'Quantidades Padrão'!$E$7:$J$103,AB$8,0)</f>
        <v>6.3397500000000004</v>
      </c>
      <c r="AC29" s="1759" t="s">
        <v>419</v>
      </c>
      <c r="AD29" s="992">
        <f>Z29*AB29</f>
        <v>3169.875</v>
      </c>
      <c r="AE29" s="1759" t="s">
        <v>411</v>
      </c>
      <c r="AF29" s="992">
        <f>$D29*AD29</f>
        <v>50939.891250000001</v>
      </c>
      <c r="AG29" s="1759"/>
      <c r="AH29" s="992">
        <v>500</v>
      </c>
      <c r="AI29" s="1759" t="s">
        <v>418</v>
      </c>
      <c r="AJ29" s="1758">
        <f>VLOOKUP($G29,'Quantidades Padrão'!$E$7:$J$103,AJ$8,0)</f>
        <v>3.3812000000000002</v>
      </c>
      <c r="AK29" s="1759" t="s">
        <v>419</v>
      </c>
      <c r="AL29" s="992">
        <f>AH29*AJ29</f>
        <v>1690.6000000000001</v>
      </c>
      <c r="AM29" s="1759" t="s">
        <v>411</v>
      </c>
      <c r="AN29" s="992">
        <f>$D29*AL29</f>
        <v>27167.942000000003</v>
      </c>
      <c r="AO29" s="1759"/>
      <c r="AP29" s="992">
        <v>500</v>
      </c>
      <c r="AQ29" s="1759" t="s">
        <v>418</v>
      </c>
      <c r="AR29" s="1758">
        <f>VLOOKUP($G29,'Quantidades Padrão'!$E$7:$J$103,AR$8,0)</f>
        <v>3.3812000000000002</v>
      </c>
      <c r="AS29" s="1759" t="s">
        <v>419</v>
      </c>
      <c r="AT29" s="992">
        <f>AP29*AR29</f>
        <v>1690.6000000000001</v>
      </c>
      <c r="AU29" s="1759" t="s">
        <v>411</v>
      </c>
      <c r="AV29" s="992">
        <f>$D29*AT29</f>
        <v>27167.942000000003</v>
      </c>
      <c r="AW29" s="1759"/>
      <c r="AX29" s="992">
        <v>513.17434300000002</v>
      </c>
      <c r="AY29" s="1759" t="s">
        <v>418</v>
      </c>
      <c r="AZ29" s="1758">
        <f>VLOOKUP($G29,'Quantidades Padrão'!$E$7:$J$103,AZ$8,0)</f>
        <v>4.860475000000001</v>
      </c>
      <c r="BA29" s="1759" t="s">
        <v>419</v>
      </c>
      <c r="BB29" s="992">
        <f>AX29*AZ29</f>
        <v>2494.2710647929257</v>
      </c>
      <c r="BC29" s="1759" t="s">
        <v>411</v>
      </c>
      <c r="BD29" s="992">
        <f>$D29*BB29</f>
        <v>40082.936011222315</v>
      </c>
      <c r="BE29" s="1759"/>
      <c r="BF29" s="992">
        <v>539.66868600000009</v>
      </c>
      <c r="BG29" s="1759" t="str">
        <f t="shared" si="91"/>
        <v>km eq</v>
      </c>
      <c r="BH29" s="1758">
        <f>VLOOKUP($G29,'Quantidades Padrão'!$E$7:$J$103,BH$8,0)</f>
        <v>6.3397500000000004</v>
      </c>
      <c r="BI29" s="1772"/>
      <c r="BJ29" s="992">
        <f>BF29*BH29</f>
        <v>3421.3645520685009</v>
      </c>
      <c r="BK29" s="1772"/>
      <c r="BL29" s="992">
        <f>$D29*BJ29</f>
        <v>54981.328351740813</v>
      </c>
      <c r="BM29" s="1759"/>
      <c r="BN29" s="992">
        <v>539.66868600000009</v>
      </c>
      <c r="BO29" s="1759" t="s">
        <v>418</v>
      </c>
      <c r="BP29" s="1758">
        <f>VLOOKUP($G29,'Quantidades Padrão'!$E$7:$J$103,BP$8,0)</f>
        <v>3.3812000000000002</v>
      </c>
      <c r="BQ29" s="1772"/>
      <c r="BR29" s="992">
        <f>BN29*BP29</f>
        <v>1824.7277611032005</v>
      </c>
      <c r="BS29" s="1772"/>
      <c r="BT29" s="992">
        <f>$D29*BR29</f>
        <v>29323.375120928431</v>
      </c>
      <c r="BU29" s="1759"/>
      <c r="BV29" s="992">
        <v>539.66868600000009</v>
      </c>
      <c r="BW29" s="1759" t="s">
        <v>418</v>
      </c>
      <c r="BX29" s="1758">
        <f>VLOOKUP($G29,'Quantidades Padrão'!$E$7:$J$103,BX$8,0)</f>
        <v>4.860475000000001</v>
      </c>
      <c r="BY29" s="1772"/>
      <c r="BZ29" s="992">
        <f>BV29*BX29</f>
        <v>2623.0461565858509</v>
      </c>
      <c r="CA29" s="1772"/>
      <c r="CB29" s="992">
        <f>$D29*BZ29</f>
        <v>42152.351736334625</v>
      </c>
      <c r="CC29" s="1759"/>
      <c r="CD29" s="992">
        <v>539.66868600000009</v>
      </c>
      <c r="CE29" s="1759" t="s">
        <v>418</v>
      </c>
      <c r="CF29" s="1758">
        <f>VLOOKUP($G29,'Quantidades Padrão'!$E$7:$J$103,CF$8,0)</f>
        <v>6.3397500000000004</v>
      </c>
      <c r="CG29" s="1772"/>
      <c r="CH29" s="992">
        <f>CD29*CF29</f>
        <v>3421.3645520685009</v>
      </c>
      <c r="CI29" s="1772"/>
      <c r="CJ29" s="992">
        <f>$D29*CH29</f>
        <v>54981.328351740813</v>
      </c>
      <c r="CK29" s="1759"/>
      <c r="CL29" s="992">
        <v>539.66868600000009</v>
      </c>
      <c r="CM29" s="1759" t="str">
        <f t="shared" si="95"/>
        <v>km eq</v>
      </c>
      <c r="CN29" s="1758">
        <f>VLOOKUP($G29,'Quantidades Padrão'!$E$7:$J$103,CN$8,0)</f>
        <v>3.3812000000000002</v>
      </c>
      <c r="CO29" s="1772"/>
      <c r="CP29" s="992">
        <f>CL29*CN29</f>
        <v>1824.7277611032005</v>
      </c>
      <c r="CQ29" s="1772"/>
      <c r="CR29" s="992">
        <f>$D29*CP29</f>
        <v>29323.375120928431</v>
      </c>
      <c r="CS29" s="1759"/>
      <c r="CT29" s="992">
        <v>539.66868600000009</v>
      </c>
      <c r="CU29" s="1759" t="s">
        <v>418</v>
      </c>
      <c r="CV29" s="1758">
        <f>VLOOKUP($G29,'Quantidades Padrão'!$E$7:$J$103,CV$8,0)</f>
        <v>4.860475000000001</v>
      </c>
      <c r="CW29" s="1772"/>
      <c r="CX29" s="992">
        <f>CT29*CV29</f>
        <v>2623.0461565858509</v>
      </c>
      <c r="CY29" s="1772"/>
      <c r="CZ29" s="992">
        <f>$D29*CX29</f>
        <v>42152.351736334625</v>
      </c>
      <c r="DA29" s="1759"/>
      <c r="DB29" s="992">
        <v>539.66868600000009</v>
      </c>
      <c r="DC29" s="1759" t="s">
        <v>418</v>
      </c>
      <c r="DD29" s="1758">
        <f>VLOOKUP($G29,'Quantidades Padrão'!$E$7:$J$103,DD$8,0)</f>
        <v>6.3397500000000004</v>
      </c>
      <c r="DE29" s="1772"/>
      <c r="DF29" s="992">
        <f>DB29*DD29</f>
        <v>3421.3645520685009</v>
      </c>
      <c r="DG29" s="1772"/>
      <c r="DH29" s="992">
        <f>$D29*DF29</f>
        <v>54981.328351740813</v>
      </c>
      <c r="DI29" s="1759"/>
      <c r="DJ29" s="992">
        <v>539.66868600000009</v>
      </c>
      <c r="DK29" s="1759" t="s">
        <v>418</v>
      </c>
      <c r="DL29" s="1758">
        <f>VLOOKUP($G29,'Quantidades Padrão'!$E$7:$J$103,DL$8,0)</f>
        <v>3.3812000000000002</v>
      </c>
      <c r="DM29" s="1772"/>
      <c r="DN29" s="992">
        <f>DJ29*DL29</f>
        <v>1824.7277611032005</v>
      </c>
      <c r="DO29" s="1772"/>
      <c r="DP29" s="992">
        <f>$D29*DN29</f>
        <v>29323.375120928431</v>
      </c>
      <c r="DQ29" s="1759"/>
      <c r="DR29" s="992">
        <v>539.66868600000009</v>
      </c>
      <c r="DS29" s="1759" t="s">
        <v>418</v>
      </c>
      <c r="DT29" s="1758">
        <f>VLOOKUP($G29,'Quantidades Padrão'!$E$7:$J$103,DT$8,0)</f>
        <v>4.860475000000001</v>
      </c>
      <c r="DU29" s="1772"/>
      <c r="DV29" s="992">
        <f>DR29*DT29</f>
        <v>2623.0461565858509</v>
      </c>
      <c r="DW29" s="1772"/>
      <c r="DX29" s="992">
        <f>$D29*DV29</f>
        <v>42152.351736334625</v>
      </c>
      <c r="DY29" s="1759"/>
      <c r="DZ29" s="992">
        <v>548.54868600000009</v>
      </c>
      <c r="EA29" s="1759" t="str">
        <f t="shared" si="100"/>
        <v>km eq</v>
      </c>
      <c r="EB29" s="1758">
        <f>VLOOKUP($G29,'Quantidades Padrão'!$E$7:$J$103,EB$8,0)</f>
        <v>6.3397500000000004</v>
      </c>
      <c r="EC29" s="1772"/>
      <c r="ED29" s="992">
        <f>DZ29*EB29</f>
        <v>3477.6615320685009</v>
      </c>
      <c r="EE29" s="1772"/>
      <c r="EF29" s="992">
        <f>$D29*ED29</f>
        <v>55886.020820340811</v>
      </c>
      <c r="EG29" s="1759"/>
      <c r="EH29" s="992">
        <v>548.54868600000009</v>
      </c>
      <c r="EI29" s="1759" t="str">
        <f t="shared" si="101"/>
        <v>km eq</v>
      </c>
      <c r="EJ29" s="1758">
        <f>VLOOKUP($G29,'Quantidades Padrão'!$E$7:$J$103,EJ$8,0)</f>
        <v>3.3812000000000002</v>
      </c>
      <c r="EK29" s="1772"/>
      <c r="EL29" s="992">
        <f>EH29*EJ29</f>
        <v>1854.7528171032004</v>
      </c>
      <c r="EM29" s="1772"/>
      <c r="EN29" s="992">
        <f>$D29*EL29</f>
        <v>29805.87777084843</v>
      </c>
      <c r="EO29" s="1759"/>
      <c r="EP29" s="992">
        <v>548.54868600000009</v>
      </c>
      <c r="EQ29" s="1759" t="str">
        <f t="shared" si="115"/>
        <v>km eq</v>
      </c>
      <c r="ER29" s="1758">
        <f>VLOOKUP($G29,'Quantidades Padrão'!$E$7:$J$103,ER$8,0)</f>
        <v>4.860475000000001</v>
      </c>
      <c r="ES29" s="1772"/>
      <c r="ET29" s="992">
        <f>EP29*ER29</f>
        <v>2666.2071745858511</v>
      </c>
      <c r="EU29" s="1772"/>
      <c r="EV29" s="992">
        <f>$D29*ET29</f>
        <v>42845.949295594626</v>
      </c>
      <c r="EW29" s="1759"/>
      <c r="EX29" s="1773">
        <v>548.54868600000009</v>
      </c>
      <c r="EY29" s="1759" t="str">
        <f t="shared" si="103"/>
        <v>km eq</v>
      </c>
      <c r="EZ29" s="1758">
        <f>VLOOKUP($G29,'Quantidades Padrão'!$E$7:$J$103,EZ$8,0)</f>
        <v>6.3397500000000004</v>
      </c>
      <c r="FA29" s="1772"/>
      <c r="FB29" s="992">
        <f>EX29*EZ29</f>
        <v>3477.6615320685009</v>
      </c>
      <c r="FC29" s="1772"/>
      <c r="FD29" s="992">
        <f>$D29*FB29</f>
        <v>55886.020820340811</v>
      </c>
      <c r="FE29" s="1759"/>
      <c r="FF29" s="1773">
        <v>548.54868600000009</v>
      </c>
      <c r="FG29" s="1759" t="str">
        <f t="shared" si="104"/>
        <v>km eq</v>
      </c>
      <c r="FH29" s="1758">
        <f>VLOOKUP($G29,'Quantidades Padrão'!$E$7:$J$103,FH$8,0)</f>
        <v>3.3812000000000002</v>
      </c>
      <c r="FI29" s="1772"/>
      <c r="FJ29" s="992">
        <f>FF29*FH29</f>
        <v>1854.7528171032004</v>
      </c>
      <c r="FK29" s="1772"/>
      <c r="FL29" s="992">
        <f>$D29*FJ29</f>
        <v>29805.87777084843</v>
      </c>
      <c r="FM29" s="1759"/>
      <c r="FN29" s="1773">
        <v>571.14868600000011</v>
      </c>
      <c r="FO29" s="1759" t="str">
        <f t="shared" si="105"/>
        <v>km eq</v>
      </c>
      <c r="FP29" s="1758">
        <f>VLOOKUP($G29,'Quantidades Padrão'!$E$7:$J$103,FP$8,0)</f>
        <v>4.860475000000001</v>
      </c>
      <c r="FQ29" s="1772"/>
      <c r="FR29" s="992">
        <f>FN29*FP29</f>
        <v>2776.0539095858512</v>
      </c>
      <c r="FS29" s="1772"/>
      <c r="FT29" s="992">
        <f>$D29*FR29</f>
        <v>44611.186327044627</v>
      </c>
      <c r="FU29" s="1759"/>
      <c r="FV29" s="1773">
        <v>571.14868600000011</v>
      </c>
      <c r="FW29" s="1759" t="str">
        <f t="shared" si="106"/>
        <v>km eq</v>
      </c>
      <c r="FX29" s="1758">
        <f>VLOOKUP($G29,'Quantidades Padrão'!$E$7:$J$103,FX$8,0)</f>
        <v>6.3397500000000004</v>
      </c>
      <c r="FY29" s="1772"/>
      <c r="FZ29" s="992">
        <f>FV29*FX29</f>
        <v>3620.939882068501</v>
      </c>
      <c r="GA29" s="1772"/>
      <c r="GB29" s="992">
        <f>$D29*FZ29</f>
        <v>58188.503904840814</v>
      </c>
      <c r="GC29" s="1759"/>
      <c r="GD29" s="1773">
        <v>571.14868600000011</v>
      </c>
      <c r="GE29" s="1759" t="str">
        <f t="shared" si="107"/>
        <v>km eq</v>
      </c>
      <c r="GF29" s="1758">
        <f>VLOOKUP($G29,'Quantidades Padrão'!$E$7:$J$103,GF$8,0)</f>
        <v>3.3812000000000002</v>
      </c>
      <c r="GG29" s="1772"/>
      <c r="GH29" s="992">
        <f>GD29*GF29</f>
        <v>1931.1679371032005</v>
      </c>
      <c r="GI29" s="1772"/>
      <c r="GJ29" s="992">
        <f>$D29*GH29</f>
        <v>31033.868749248431</v>
      </c>
      <c r="GK29" s="1759"/>
      <c r="GL29" s="1773">
        <v>571.14868600000011</v>
      </c>
      <c r="GM29" s="1759" t="str">
        <f t="shared" si="108"/>
        <v>km eq</v>
      </c>
      <c r="GN29" s="1758">
        <f>VLOOKUP($G29,'Quantidades Padrão'!$E$7:$J$103,GN$8,0)</f>
        <v>4.860475000000001</v>
      </c>
      <c r="GO29" s="1772"/>
      <c r="GP29" s="992">
        <f>GL29*GN29</f>
        <v>2776.0539095858512</v>
      </c>
      <c r="GQ29" s="1772"/>
      <c r="GR29" s="992">
        <f>$D29*GP29</f>
        <v>44611.186327044627</v>
      </c>
      <c r="GS29" s="1759"/>
      <c r="GT29" s="1773">
        <v>571.14868600000011</v>
      </c>
      <c r="GU29" s="1759" t="str">
        <f t="shared" si="109"/>
        <v>km eq</v>
      </c>
      <c r="GV29" s="1758">
        <f>VLOOKUP($G29,'Quantidades Padrão'!$E$7:$J$103,GV$8,0)</f>
        <v>6.3397500000000004</v>
      </c>
      <c r="GW29" s="1772"/>
      <c r="GX29" s="992">
        <f>GT29*GV29</f>
        <v>3620.939882068501</v>
      </c>
      <c r="GY29" s="1772"/>
      <c r="GZ29" s="992">
        <f>$D29*GX29</f>
        <v>58188.503904840814</v>
      </c>
      <c r="HA29" s="1759"/>
      <c r="HB29" s="1773">
        <v>575.58868600000005</v>
      </c>
      <c r="HC29" s="1759" t="str">
        <f t="shared" si="116"/>
        <v>km eq</v>
      </c>
      <c r="HD29" s="1758">
        <f>VLOOKUP($G29,'Quantidades Padrão'!$E$7:$J$103,HD$8,0)</f>
        <v>3.3812000000000002</v>
      </c>
      <c r="HE29" s="1772"/>
      <c r="HF29" s="992">
        <f>HB29*HD29</f>
        <v>1946.1804651032003</v>
      </c>
      <c r="HG29" s="1772"/>
      <c r="HH29" s="992">
        <f>$D29*HF29</f>
        <v>31275.120074208429</v>
      </c>
      <c r="HI29" s="1759"/>
      <c r="HJ29" s="1773">
        <v>575.58868600000005</v>
      </c>
      <c r="HK29" s="1759" t="str">
        <f t="shared" si="111"/>
        <v>km eq</v>
      </c>
      <c r="HL29" s="1758">
        <f>VLOOKUP($G29,'Quantidades Padrão'!$E$7:$J$103,HL$8,0)</f>
        <v>4.860475000000001</v>
      </c>
      <c r="HM29" s="1772"/>
      <c r="HN29" s="992">
        <f>HJ29*HL29</f>
        <v>2797.6344185858507</v>
      </c>
      <c r="HO29" s="1772"/>
      <c r="HP29" s="992">
        <f>$D29*HN29</f>
        <v>44957.98510667462</v>
      </c>
      <c r="HQ29" s="1759"/>
      <c r="HR29" s="1773">
        <v>575.58868600000005</v>
      </c>
      <c r="HS29" s="1759" t="str">
        <f t="shared" si="112"/>
        <v>km eq</v>
      </c>
      <c r="HT29" s="1758">
        <f>VLOOKUP($G29,'Quantidades Padrão'!$E$7:$J$103,HT$8,0)</f>
        <v>6.3397500000000004</v>
      </c>
      <c r="HU29" s="1772"/>
      <c r="HV29" s="992">
        <f>HR29*HT29</f>
        <v>3649.0883720685006</v>
      </c>
      <c r="HW29" s="1772"/>
      <c r="HX29" s="992">
        <f>$D29*HV29</f>
        <v>58640.850139140806</v>
      </c>
      <c r="HY29" s="1759"/>
      <c r="HZ29" s="1773">
        <v>575.58868600000005</v>
      </c>
      <c r="IA29" s="1759" t="str">
        <f t="shared" si="113"/>
        <v>km eq</v>
      </c>
      <c r="IB29" s="1758">
        <f>VLOOKUP($G29,'Quantidades Padrão'!$E$7:$J$103,IB$8,0)</f>
        <v>3.3812000000000002</v>
      </c>
      <c r="IC29" s="1772"/>
      <c r="ID29" s="992">
        <f>HZ29*IB29</f>
        <v>1946.1804651032003</v>
      </c>
      <c r="IE29" s="1772"/>
      <c r="IF29" s="992">
        <f>$D29*ID29</f>
        <v>31275.120074208429</v>
      </c>
      <c r="IG29" s="1759"/>
      <c r="IH29" s="1773">
        <v>575.58868600000005</v>
      </c>
      <c r="II29" s="1759" t="str">
        <f t="shared" si="114"/>
        <v>km eq</v>
      </c>
      <c r="IJ29" s="1758">
        <f>VLOOKUP($G29,'Quantidades Padrão'!$E$7:$J$103,IJ$8,0)</f>
        <v>4.860475000000001</v>
      </c>
      <c r="IK29" s="1772"/>
      <c r="IL29" s="992">
        <f>IH29*IJ29</f>
        <v>2797.6344185858507</v>
      </c>
      <c r="IM29" s="1772"/>
      <c r="IN29" s="992">
        <f>$D29*IL29</f>
        <v>44957.98510667462</v>
      </c>
      <c r="IO29" s="1759"/>
    </row>
    <row r="30" spans="1:249" s="341" customFormat="1">
      <c r="A30" s="1753"/>
      <c r="B30" s="1754"/>
      <c r="C30" s="1755"/>
      <c r="D30" s="1013">
        <f>VLOOKUP(E30,'DER MG'!$D$5:$I$150,6,0)</f>
        <v>30</v>
      </c>
      <c r="E30" s="1017">
        <v>41230</v>
      </c>
      <c r="F30" s="1756"/>
      <c r="G30" s="1018" t="s">
        <v>420</v>
      </c>
      <c r="H30" s="992">
        <f t="shared" si="117"/>
        <v>14076796.740489723</v>
      </c>
      <c r="I30" s="992">
        <f>$I$29</f>
        <v>500</v>
      </c>
      <c r="J30" s="1759" t="s">
        <v>418</v>
      </c>
      <c r="K30" s="1758">
        <f>VLOOKUP($G30,'Quantidades Padrão'!$E$7:$J$103,K$8,0)</f>
        <v>20.544000000000004</v>
      </c>
      <c r="L30" s="1759" t="s">
        <v>421</v>
      </c>
      <c r="M30" s="992">
        <f>I30*K30</f>
        <v>10272.000000000002</v>
      </c>
      <c r="N30" s="1759" t="s">
        <v>384</v>
      </c>
      <c r="O30" s="992">
        <f>$D30*M30</f>
        <v>308160.00000000006</v>
      </c>
      <c r="P30" s="1759"/>
      <c r="Q30" s="1760">
        <f t="shared" si="0"/>
        <v>4.9644845890199706E-2</v>
      </c>
      <c r="R30" s="992">
        <f>$R$29</f>
        <v>500</v>
      </c>
      <c r="S30" s="1759" t="s">
        <v>418</v>
      </c>
      <c r="T30" s="1758">
        <f>VLOOKUP($G30,'Quantidades Padrão'!$E$7:$J$103,T$8,0)</f>
        <v>20.544000000000004</v>
      </c>
      <c r="U30" s="1759" t="s">
        <v>421</v>
      </c>
      <c r="V30" s="992">
        <f>R30*T30</f>
        <v>10272.000000000002</v>
      </c>
      <c r="W30" s="1759" t="s">
        <v>384</v>
      </c>
      <c r="X30" s="992">
        <f>$D30*V30</f>
        <v>308160.00000000006</v>
      </c>
      <c r="Y30" s="1759"/>
      <c r="Z30" s="992">
        <f>$R$29</f>
        <v>500</v>
      </c>
      <c r="AA30" s="1759" t="s">
        <v>418</v>
      </c>
      <c r="AB30" s="1758">
        <f>VLOOKUP($G30,'Quantidades Padrão'!$E$7:$J$103,AB$8,0)</f>
        <v>38.520000000000003</v>
      </c>
      <c r="AC30" s="1759" t="s">
        <v>421</v>
      </c>
      <c r="AD30" s="992">
        <f>Z30*AB30</f>
        <v>19260</v>
      </c>
      <c r="AE30" s="1759" t="s">
        <v>384</v>
      </c>
      <c r="AF30" s="992">
        <f>$D30*AD30</f>
        <v>577800</v>
      </c>
      <c r="AG30" s="1759"/>
      <c r="AH30" s="992">
        <f>$R$29</f>
        <v>500</v>
      </c>
      <c r="AI30" s="1759" t="s">
        <v>418</v>
      </c>
      <c r="AJ30" s="1758">
        <f>VLOOKUP($G30,'Quantidades Padrão'!$E$7:$J$103,AJ$8,0)</f>
        <v>20.544000000000004</v>
      </c>
      <c r="AK30" s="1759" t="s">
        <v>421</v>
      </c>
      <c r="AL30" s="992">
        <f>AH30*AJ30</f>
        <v>10272.000000000002</v>
      </c>
      <c r="AM30" s="1759" t="s">
        <v>384</v>
      </c>
      <c r="AN30" s="992">
        <f>$D30*AL30</f>
        <v>308160.00000000006</v>
      </c>
      <c r="AO30" s="1759"/>
      <c r="AP30" s="992">
        <f>AP29</f>
        <v>500</v>
      </c>
      <c r="AQ30" s="1759" t="s">
        <v>418</v>
      </c>
      <c r="AR30" s="1758">
        <f>VLOOKUP($G30,'Quantidades Padrão'!$E$7:$J$103,AR$8,0)</f>
        <v>20.544000000000004</v>
      </c>
      <c r="AS30" s="1759" t="s">
        <v>421</v>
      </c>
      <c r="AT30" s="992">
        <f>AP30*AR30</f>
        <v>10272.000000000002</v>
      </c>
      <c r="AU30" s="1759" t="s">
        <v>384</v>
      </c>
      <c r="AV30" s="992">
        <f>$D30*AT30</f>
        <v>308160.00000000006</v>
      </c>
      <c r="AW30" s="1759"/>
      <c r="AX30" s="992">
        <f>$AX$29</f>
        <v>513.17434300000002</v>
      </c>
      <c r="AY30" s="1759" t="s">
        <v>418</v>
      </c>
      <c r="AZ30" s="1758">
        <f>VLOOKUP($G30,'Quantidades Padrão'!$E$7:$J$103,AZ$8,0)</f>
        <v>29.532000000000004</v>
      </c>
      <c r="BA30" s="1759" t="s">
        <v>421</v>
      </c>
      <c r="BB30" s="992">
        <f>AX30*AZ30</f>
        <v>15155.064697476002</v>
      </c>
      <c r="BC30" s="1759" t="s">
        <v>384</v>
      </c>
      <c r="BD30" s="992">
        <f>$D30*BB30</f>
        <v>454651.94092428009</v>
      </c>
      <c r="BE30" s="1759"/>
      <c r="BF30" s="992">
        <f>BF29</f>
        <v>539.66868600000009</v>
      </c>
      <c r="BG30" s="1759" t="str">
        <f t="shared" si="91"/>
        <v>km eq</v>
      </c>
      <c r="BH30" s="1758">
        <f>VLOOKUP($G30,'Quantidades Padrão'!$E$7:$J$103,BH$8,0)</f>
        <v>38.520000000000003</v>
      </c>
      <c r="BI30" s="1772"/>
      <c r="BJ30" s="992">
        <f>BF30*BH30</f>
        <v>20788.037784720007</v>
      </c>
      <c r="BK30" s="1772"/>
      <c r="BL30" s="992">
        <f>$D30*BJ30</f>
        <v>623641.1335416002</v>
      </c>
      <c r="BM30" s="1759"/>
      <c r="BN30" s="992">
        <f>BN29</f>
        <v>539.66868600000009</v>
      </c>
      <c r="BO30" s="1759" t="s">
        <v>418</v>
      </c>
      <c r="BP30" s="1758">
        <f>VLOOKUP($G30,'Quantidades Padrão'!$E$7:$J$103,BP$8,0)</f>
        <v>20.544000000000004</v>
      </c>
      <c r="BQ30" s="1772"/>
      <c r="BR30" s="992">
        <f>BN30*BP30</f>
        <v>11086.953485184004</v>
      </c>
      <c r="BS30" s="1772"/>
      <c r="BT30" s="992">
        <f>$D30*BR30</f>
        <v>332608.60455552011</v>
      </c>
      <c r="BU30" s="1759"/>
      <c r="BV30" s="992">
        <f>BV29</f>
        <v>539.66868600000009</v>
      </c>
      <c r="BW30" s="1759" t="s">
        <v>418</v>
      </c>
      <c r="BX30" s="1758">
        <f>VLOOKUP($G30,'Quantidades Padrão'!$E$7:$J$103,BX$8,0)</f>
        <v>29.532000000000004</v>
      </c>
      <c r="BY30" s="1772"/>
      <c r="BZ30" s="992">
        <f>BV30*BX30</f>
        <v>15937.495634952005</v>
      </c>
      <c r="CA30" s="1772"/>
      <c r="CB30" s="992">
        <f>$D30*BZ30</f>
        <v>478124.86904856015</v>
      </c>
      <c r="CC30" s="1759"/>
      <c r="CD30" s="992">
        <f>CD29</f>
        <v>539.66868600000009</v>
      </c>
      <c r="CE30" s="1759" t="s">
        <v>418</v>
      </c>
      <c r="CF30" s="1758">
        <f>VLOOKUP($G30,'Quantidades Padrão'!$E$7:$J$103,CF$8,0)</f>
        <v>38.520000000000003</v>
      </c>
      <c r="CG30" s="1772"/>
      <c r="CH30" s="992">
        <f>CD30*CF30</f>
        <v>20788.037784720007</v>
      </c>
      <c r="CI30" s="1772"/>
      <c r="CJ30" s="992">
        <f>$D30*CH30</f>
        <v>623641.1335416002</v>
      </c>
      <c r="CK30" s="1759"/>
      <c r="CL30" s="992">
        <f>CL29</f>
        <v>539.66868600000009</v>
      </c>
      <c r="CM30" s="1759" t="str">
        <f t="shared" si="95"/>
        <v>km eq</v>
      </c>
      <c r="CN30" s="1758">
        <f>VLOOKUP($G30,'Quantidades Padrão'!$E$7:$J$103,CN$8,0)</f>
        <v>20.544000000000004</v>
      </c>
      <c r="CO30" s="1772"/>
      <c r="CP30" s="992">
        <f>CL30*CN30</f>
        <v>11086.953485184004</v>
      </c>
      <c r="CQ30" s="1772"/>
      <c r="CR30" s="992">
        <f>$D30*CP30</f>
        <v>332608.60455552011</v>
      </c>
      <c r="CS30" s="1759"/>
      <c r="CT30" s="992">
        <f>CT29</f>
        <v>539.66868600000009</v>
      </c>
      <c r="CU30" s="1759" t="s">
        <v>418</v>
      </c>
      <c r="CV30" s="1758">
        <f>VLOOKUP($G30,'Quantidades Padrão'!$E$7:$J$103,CV$8,0)</f>
        <v>29.532000000000004</v>
      </c>
      <c r="CW30" s="1772"/>
      <c r="CX30" s="992">
        <f>CT30*CV30</f>
        <v>15937.495634952005</v>
      </c>
      <c r="CY30" s="1772"/>
      <c r="CZ30" s="992">
        <f>$D30*CX30</f>
        <v>478124.86904856015</v>
      </c>
      <c r="DA30" s="1759"/>
      <c r="DB30" s="992">
        <f>DB29</f>
        <v>539.66868600000009</v>
      </c>
      <c r="DC30" s="1759" t="s">
        <v>418</v>
      </c>
      <c r="DD30" s="1758">
        <f>VLOOKUP($G30,'Quantidades Padrão'!$E$7:$J$103,DD$8,0)</f>
        <v>38.520000000000003</v>
      </c>
      <c r="DE30" s="1772"/>
      <c r="DF30" s="992">
        <f>DB30*DD30</f>
        <v>20788.037784720007</v>
      </c>
      <c r="DG30" s="1772"/>
      <c r="DH30" s="992">
        <f>$D30*DF30</f>
        <v>623641.1335416002</v>
      </c>
      <c r="DI30" s="1759"/>
      <c r="DJ30" s="992">
        <f>DJ29</f>
        <v>539.66868600000009</v>
      </c>
      <c r="DK30" s="1759" t="s">
        <v>418</v>
      </c>
      <c r="DL30" s="1758">
        <f>VLOOKUP($G30,'Quantidades Padrão'!$E$7:$J$103,DL$8,0)</f>
        <v>20.544000000000004</v>
      </c>
      <c r="DM30" s="1772"/>
      <c r="DN30" s="992">
        <f>DJ30*DL30</f>
        <v>11086.953485184004</v>
      </c>
      <c r="DO30" s="1772"/>
      <c r="DP30" s="992">
        <f>$D30*DN30</f>
        <v>332608.60455552011</v>
      </c>
      <c r="DQ30" s="1759"/>
      <c r="DR30" s="992">
        <f>DR29</f>
        <v>539.66868600000009</v>
      </c>
      <c r="DS30" s="1759" t="s">
        <v>418</v>
      </c>
      <c r="DT30" s="1758">
        <f>VLOOKUP($G30,'Quantidades Padrão'!$E$7:$J$103,DT$8,0)</f>
        <v>29.532000000000004</v>
      </c>
      <c r="DU30" s="1772"/>
      <c r="DV30" s="992">
        <f>DR30*DT30</f>
        <v>15937.495634952005</v>
      </c>
      <c r="DW30" s="1772"/>
      <c r="DX30" s="992">
        <f>$D30*DV30</f>
        <v>478124.86904856015</v>
      </c>
      <c r="DY30" s="1759"/>
      <c r="DZ30" s="992">
        <f>DZ29</f>
        <v>548.54868600000009</v>
      </c>
      <c r="EA30" s="1759" t="str">
        <f t="shared" si="100"/>
        <v>km eq</v>
      </c>
      <c r="EB30" s="1758">
        <f>VLOOKUP($G30,'Quantidades Padrão'!$E$7:$J$103,EB$8,0)</f>
        <v>38.520000000000003</v>
      </c>
      <c r="EC30" s="1772"/>
      <c r="ED30" s="992">
        <f>DZ30*EB30</f>
        <v>21130.095384720003</v>
      </c>
      <c r="EE30" s="1772"/>
      <c r="EF30" s="992">
        <f>$D30*ED30</f>
        <v>633902.86154160008</v>
      </c>
      <c r="EG30" s="1759"/>
      <c r="EH30" s="992">
        <f>EH29</f>
        <v>548.54868600000009</v>
      </c>
      <c r="EI30" s="1759" t="str">
        <f t="shared" si="101"/>
        <v>km eq</v>
      </c>
      <c r="EJ30" s="1758">
        <f>VLOOKUP($G30,'Quantidades Padrão'!$E$7:$J$103,EJ$8,0)</f>
        <v>20.544000000000004</v>
      </c>
      <c r="EK30" s="1772"/>
      <c r="EL30" s="992">
        <f>EH30*EJ30</f>
        <v>11269.384205184004</v>
      </c>
      <c r="EM30" s="1772"/>
      <c r="EN30" s="992">
        <f>$D30*EL30</f>
        <v>338081.52615552011</v>
      </c>
      <c r="EO30" s="1759"/>
      <c r="EP30" s="992">
        <f>EP29</f>
        <v>548.54868600000009</v>
      </c>
      <c r="EQ30" s="1759" t="str">
        <f t="shared" si="115"/>
        <v>km eq</v>
      </c>
      <c r="ER30" s="1758">
        <f>VLOOKUP($G30,'Quantidades Padrão'!$E$7:$J$103,ER$8,0)</f>
        <v>29.532000000000004</v>
      </c>
      <c r="ES30" s="1772"/>
      <c r="ET30" s="992">
        <f>EP30*ER30</f>
        <v>16199.739794952005</v>
      </c>
      <c r="EU30" s="1772"/>
      <c r="EV30" s="992">
        <f>$D30*ET30</f>
        <v>485992.19384856016</v>
      </c>
      <c r="EW30" s="1759"/>
      <c r="EX30" s="1773">
        <f>EX29</f>
        <v>548.54868600000009</v>
      </c>
      <c r="EY30" s="1759" t="str">
        <f t="shared" si="103"/>
        <v>km eq</v>
      </c>
      <c r="EZ30" s="1758">
        <f>VLOOKUP($G30,'Quantidades Padrão'!$E$7:$J$103,EZ$8,0)</f>
        <v>38.520000000000003</v>
      </c>
      <c r="FA30" s="1772"/>
      <c r="FB30" s="992">
        <f>EX30*EZ30</f>
        <v>21130.095384720003</v>
      </c>
      <c r="FC30" s="1772"/>
      <c r="FD30" s="992">
        <f>$D30*FB30</f>
        <v>633902.86154160008</v>
      </c>
      <c r="FE30" s="1759"/>
      <c r="FF30" s="1773">
        <f>FF29</f>
        <v>548.54868600000009</v>
      </c>
      <c r="FG30" s="1759" t="str">
        <f t="shared" si="104"/>
        <v>km eq</v>
      </c>
      <c r="FH30" s="1758">
        <f>VLOOKUP($G30,'Quantidades Padrão'!$E$7:$J$103,FH$8,0)</f>
        <v>20.544000000000004</v>
      </c>
      <c r="FI30" s="1772"/>
      <c r="FJ30" s="992">
        <f>FF30*FH30</f>
        <v>11269.384205184004</v>
      </c>
      <c r="FK30" s="1772"/>
      <c r="FL30" s="992">
        <f>$D30*FJ30</f>
        <v>338081.52615552011</v>
      </c>
      <c r="FM30" s="1759"/>
      <c r="FN30" s="1773">
        <f>FN29</f>
        <v>571.14868600000011</v>
      </c>
      <c r="FO30" s="1759" t="str">
        <f t="shared" si="105"/>
        <v>km eq</v>
      </c>
      <c r="FP30" s="1758">
        <f>VLOOKUP($G30,'Quantidades Padrão'!$E$7:$J$103,FP$8,0)</f>
        <v>29.532000000000004</v>
      </c>
      <c r="FQ30" s="1772"/>
      <c r="FR30" s="992">
        <f>FN30*FP30</f>
        <v>16867.162994952007</v>
      </c>
      <c r="FS30" s="1772"/>
      <c r="FT30" s="992">
        <f>$D30*FR30</f>
        <v>506014.88984856021</v>
      </c>
      <c r="FU30" s="1759"/>
      <c r="FV30" s="1773">
        <f>FV29</f>
        <v>571.14868600000011</v>
      </c>
      <c r="FW30" s="1759" t="str">
        <f t="shared" si="106"/>
        <v>km eq</v>
      </c>
      <c r="FX30" s="1758">
        <f>VLOOKUP($G30,'Quantidades Padrão'!$E$7:$J$103,FX$8,0)</f>
        <v>38.520000000000003</v>
      </c>
      <c r="FY30" s="1772"/>
      <c r="FZ30" s="992">
        <f>FV30*FX30</f>
        <v>22000.647384720007</v>
      </c>
      <c r="GA30" s="1772"/>
      <c r="GB30" s="992">
        <f>$D30*FZ30</f>
        <v>660019.42154160026</v>
      </c>
      <c r="GC30" s="1759"/>
      <c r="GD30" s="1773">
        <f>GD29</f>
        <v>571.14868600000011</v>
      </c>
      <c r="GE30" s="1759" t="str">
        <f t="shared" si="107"/>
        <v>km eq</v>
      </c>
      <c r="GF30" s="1758">
        <f>VLOOKUP($G30,'Quantidades Padrão'!$E$7:$J$103,GF$8,0)</f>
        <v>20.544000000000004</v>
      </c>
      <c r="GG30" s="1772"/>
      <c r="GH30" s="992">
        <f>GD30*GF30</f>
        <v>11733.678605184004</v>
      </c>
      <c r="GI30" s="1772"/>
      <c r="GJ30" s="992">
        <f>$D30*GH30</f>
        <v>352010.35815552011</v>
      </c>
      <c r="GK30" s="1759"/>
      <c r="GL30" s="1773">
        <f>GL29</f>
        <v>571.14868600000011</v>
      </c>
      <c r="GM30" s="1759" t="str">
        <f t="shared" si="108"/>
        <v>km eq</v>
      </c>
      <c r="GN30" s="1758">
        <f>VLOOKUP($G30,'Quantidades Padrão'!$E$7:$J$103,GN$8,0)</f>
        <v>29.532000000000004</v>
      </c>
      <c r="GO30" s="1772"/>
      <c r="GP30" s="992">
        <f>GL30*GN30</f>
        <v>16867.162994952007</v>
      </c>
      <c r="GQ30" s="1772"/>
      <c r="GR30" s="992">
        <f>$D30*GP30</f>
        <v>506014.88984856021</v>
      </c>
      <c r="GS30" s="1759"/>
      <c r="GT30" s="1773">
        <f>GT29</f>
        <v>571.14868600000011</v>
      </c>
      <c r="GU30" s="1759" t="str">
        <f t="shared" si="109"/>
        <v>km eq</v>
      </c>
      <c r="GV30" s="1758">
        <f>VLOOKUP($G30,'Quantidades Padrão'!$E$7:$J$103,GV$8,0)</f>
        <v>38.520000000000003</v>
      </c>
      <c r="GW30" s="1772"/>
      <c r="GX30" s="992">
        <f>GT30*GV30</f>
        <v>22000.647384720007</v>
      </c>
      <c r="GY30" s="1772"/>
      <c r="GZ30" s="992">
        <f>$D30*GX30</f>
        <v>660019.42154160026</v>
      </c>
      <c r="HA30" s="1759"/>
      <c r="HB30" s="1773">
        <f>HB29</f>
        <v>575.58868600000005</v>
      </c>
      <c r="HC30" s="1759" t="str">
        <f t="shared" si="116"/>
        <v>km eq</v>
      </c>
      <c r="HD30" s="1758">
        <f>VLOOKUP($G30,'Quantidades Padrão'!$E$7:$J$103,HD$8,0)</f>
        <v>20.544000000000004</v>
      </c>
      <c r="HE30" s="1772"/>
      <c r="HF30" s="992">
        <f>HB30*HD30</f>
        <v>11824.893965184003</v>
      </c>
      <c r="HG30" s="1772"/>
      <c r="HH30" s="992">
        <f>$D30*HF30</f>
        <v>354746.81895552011</v>
      </c>
      <c r="HI30" s="1759"/>
      <c r="HJ30" s="1773">
        <f>HJ29</f>
        <v>575.58868600000005</v>
      </c>
      <c r="HK30" s="1759" t="str">
        <f t="shared" si="111"/>
        <v>km eq</v>
      </c>
      <c r="HL30" s="1758">
        <f>VLOOKUP($G30,'Quantidades Padrão'!$E$7:$J$103,HL$8,0)</f>
        <v>29.532000000000004</v>
      </c>
      <c r="HM30" s="1772"/>
      <c r="HN30" s="992">
        <f>HJ30*HL30</f>
        <v>16998.285074952004</v>
      </c>
      <c r="HO30" s="1772"/>
      <c r="HP30" s="992">
        <f>$D30*HN30</f>
        <v>509948.55224856013</v>
      </c>
      <c r="HQ30" s="1759"/>
      <c r="HR30" s="1773">
        <f>HR29</f>
        <v>575.58868600000005</v>
      </c>
      <c r="HS30" s="1759" t="str">
        <f t="shared" si="112"/>
        <v>km eq</v>
      </c>
      <c r="HT30" s="1758">
        <f>VLOOKUP($G30,'Quantidades Padrão'!$E$7:$J$103,HT$8,0)</f>
        <v>38.520000000000003</v>
      </c>
      <c r="HU30" s="1772"/>
      <c r="HV30" s="992">
        <f>HR30*HT30</f>
        <v>22171.676184720003</v>
      </c>
      <c r="HW30" s="1772"/>
      <c r="HX30" s="992">
        <f>$D30*HV30</f>
        <v>665150.28554160008</v>
      </c>
      <c r="HY30" s="1759"/>
      <c r="HZ30" s="1773">
        <f>HZ29</f>
        <v>575.58868600000005</v>
      </c>
      <c r="IA30" s="1759" t="str">
        <f t="shared" si="113"/>
        <v>km eq</v>
      </c>
      <c r="IB30" s="1758">
        <f>VLOOKUP($G30,'Quantidades Padrão'!$E$7:$J$103,IB$8,0)</f>
        <v>20.544000000000004</v>
      </c>
      <c r="IC30" s="1772"/>
      <c r="ID30" s="992">
        <f>HZ30*IB30</f>
        <v>11824.893965184003</v>
      </c>
      <c r="IE30" s="1772"/>
      <c r="IF30" s="992">
        <f>$D30*ID30</f>
        <v>354746.81895552011</v>
      </c>
      <c r="IG30" s="1759"/>
      <c r="IH30" s="1773">
        <f>IH29</f>
        <v>575.58868600000005</v>
      </c>
      <c r="II30" s="1759" t="str">
        <f t="shared" si="114"/>
        <v>km eq</v>
      </c>
      <c r="IJ30" s="1758">
        <f>VLOOKUP($G30,'Quantidades Padrão'!$E$7:$J$103,IJ$8,0)</f>
        <v>29.532000000000004</v>
      </c>
      <c r="IK30" s="1772"/>
      <c r="IL30" s="992">
        <f>IH30*IJ30</f>
        <v>16998.285074952004</v>
      </c>
      <c r="IM30" s="1772"/>
      <c r="IN30" s="992">
        <f>$D30*IL30</f>
        <v>509948.55224856013</v>
      </c>
      <c r="IO30" s="1759"/>
    </row>
    <row r="31" spans="1:249" s="341" customFormat="1">
      <c r="A31" s="1753"/>
      <c r="B31" s="1754"/>
      <c r="C31" s="1755"/>
      <c r="D31" s="1013">
        <f>VLOOKUP(E31,'DER MG'!$D$5:$I$150,6,0)</f>
        <v>23.4</v>
      </c>
      <c r="E31" s="1017">
        <v>42887</v>
      </c>
      <c r="F31" s="1756"/>
      <c r="G31" s="1018" t="s">
        <v>422</v>
      </c>
      <c r="H31" s="992">
        <f t="shared" si="117"/>
        <v>320247.12584614108</v>
      </c>
      <c r="I31" s="992">
        <f>$I$29</f>
        <v>500</v>
      </c>
      <c r="J31" s="1759" t="s">
        <v>418</v>
      </c>
      <c r="K31" s="1758">
        <f>VLOOKUP($G31,'Quantidades Padrão'!$E$7:$J$103,K$8,0)</f>
        <v>0.59919999999999995</v>
      </c>
      <c r="L31" s="1759" t="s">
        <v>421</v>
      </c>
      <c r="M31" s="992">
        <f>I31*K31</f>
        <v>299.59999999999997</v>
      </c>
      <c r="N31" s="1759" t="s">
        <v>384</v>
      </c>
      <c r="O31" s="992">
        <f>$D31*M31</f>
        <v>7010.6399999999985</v>
      </c>
      <c r="P31" s="1759"/>
      <c r="Q31" s="1760">
        <f t="shared" si="0"/>
        <v>1.1294202440020429E-3</v>
      </c>
      <c r="R31" s="992">
        <f>$R$29</f>
        <v>500</v>
      </c>
      <c r="S31" s="1759" t="s">
        <v>418</v>
      </c>
      <c r="T31" s="1758">
        <f>VLOOKUP($G31,'Quantidades Padrão'!$E$7:$J$103,T$8,0)</f>
        <v>0.59919999999999995</v>
      </c>
      <c r="U31" s="1759" t="s">
        <v>421</v>
      </c>
      <c r="V31" s="992">
        <f>R31*T31</f>
        <v>299.59999999999997</v>
      </c>
      <c r="W31" s="1759" t="s">
        <v>384</v>
      </c>
      <c r="X31" s="992">
        <f>$D31*V31</f>
        <v>7010.6399999999985</v>
      </c>
      <c r="Y31" s="1759"/>
      <c r="Z31" s="992">
        <f>$R$29</f>
        <v>500</v>
      </c>
      <c r="AA31" s="1759" t="s">
        <v>418</v>
      </c>
      <c r="AB31" s="1758">
        <f>VLOOKUP($G31,'Quantidades Padrão'!$E$7:$J$103,AB$8,0)</f>
        <v>1.1234999999999999</v>
      </c>
      <c r="AC31" s="1759" t="s">
        <v>421</v>
      </c>
      <c r="AD31" s="992">
        <f>Z31*AB31</f>
        <v>561.75</v>
      </c>
      <c r="AE31" s="1759" t="s">
        <v>384</v>
      </c>
      <c r="AF31" s="992">
        <f>$D31*AD31</f>
        <v>13144.949999999999</v>
      </c>
      <c r="AG31" s="1759"/>
      <c r="AH31" s="992">
        <f>$R$29</f>
        <v>500</v>
      </c>
      <c r="AI31" s="1759" t="s">
        <v>418</v>
      </c>
      <c r="AJ31" s="1758">
        <f>VLOOKUP($G31,'Quantidades Padrão'!$E$7:$J$103,AJ$8,0)</f>
        <v>0.59919999999999995</v>
      </c>
      <c r="AK31" s="1759" t="s">
        <v>421</v>
      </c>
      <c r="AL31" s="992">
        <f>AH31*AJ31</f>
        <v>299.59999999999997</v>
      </c>
      <c r="AM31" s="1759" t="s">
        <v>384</v>
      </c>
      <c r="AN31" s="992">
        <f>$D31*AL31</f>
        <v>7010.6399999999985</v>
      </c>
      <c r="AO31" s="1759"/>
      <c r="AP31" s="992">
        <f t="shared" ref="AP31:AP32" si="118">AP30</f>
        <v>500</v>
      </c>
      <c r="AQ31" s="1759" t="s">
        <v>418</v>
      </c>
      <c r="AR31" s="1758">
        <f>VLOOKUP($G31,'Quantidades Padrão'!$E$7:$J$103,AR$8,0)</f>
        <v>0.59919999999999995</v>
      </c>
      <c r="AS31" s="1759" t="s">
        <v>421</v>
      </c>
      <c r="AT31" s="992">
        <f>AP31*AR31</f>
        <v>299.59999999999997</v>
      </c>
      <c r="AU31" s="1759" t="s">
        <v>384</v>
      </c>
      <c r="AV31" s="992">
        <f>$D31*AT31</f>
        <v>7010.6399999999985</v>
      </c>
      <c r="AW31" s="1759"/>
      <c r="AX31" s="992">
        <f>$AX$29</f>
        <v>513.17434300000002</v>
      </c>
      <c r="AY31" s="1759" t="s">
        <v>418</v>
      </c>
      <c r="AZ31" s="1758">
        <f>VLOOKUP($G31,'Quantidades Padrão'!$E$7:$J$103,AZ$8,0)</f>
        <v>0.86134999999999995</v>
      </c>
      <c r="BA31" s="1759" t="s">
        <v>421</v>
      </c>
      <c r="BB31" s="992">
        <f>AX31*AZ31</f>
        <v>442.02272034304997</v>
      </c>
      <c r="BC31" s="1759" t="s">
        <v>384</v>
      </c>
      <c r="BD31" s="992">
        <f>$D31*BB31</f>
        <v>10343.331656027369</v>
      </c>
      <c r="BE31" s="1759"/>
      <c r="BF31" s="992">
        <f t="shared" ref="BF31:BF32" si="119">BF30</f>
        <v>539.66868600000009</v>
      </c>
      <c r="BG31" s="1759" t="str">
        <f t="shared" si="91"/>
        <v>km eq</v>
      </c>
      <c r="BH31" s="1758">
        <f>VLOOKUP($G31,'Quantidades Padrão'!$E$7:$J$103,BH$8,0)</f>
        <v>1.1234999999999999</v>
      </c>
      <c r="BI31" s="1772"/>
      <c r="BJ31" s="992">
        <f>BF31*BH31</f>
        <v>606.31776872100011</v>
      </c>
      <c r="BK31" s="1772"/>
      <c r="BL31" s="992">
        <f>$D31*BJ31</f>
        <v>14187.835788071401</v>
      </c>
      <c r="BM31" s="1759"/>
      <c r="BN31" s="992">
        <f t="shared" ref="BN31:BN32" si="120">BN30</f>
        <v>539.66868600000009</v>
      </c>
      <c r="BO31" s="1759" t="s">
        <v>418</v>
      </c>
      <c r="BP31" s="1758">
        <f>VLOOKUP($G31,'Quantidades Padrão'!$E$7:$J$103,BP$8,0)</f>
        <v>0.59919999999999995</v>
      </c>
      <c r="BQ31" s="1772"/>
      <c r="BR31" s="992">
        <f>BN31*BP31</f>
        <v>323.36947665120005</v>
      </c>
      <c r="BS31" s="1772"/>
      <c r="BT31" s="992">
        <f>$D31*BR31</f>
        <v>7566.8457536380802</v>
      </c>
      <c r="BU31" s="1759"/>
      <c r="BV31" s="992">
        <f t="shared" ref="BV31:BV32" si="121">BV30</f>
        <v>539.66868600000009</v>
      </c>
      <c r="BW31" s="1759" t="s">
        <v>418</v>
      </c>
      <c r="BX31" s="1758">
        <f>VLOOKUP($G31,'Quantidades Padrão'!$E$7:$J$103,BX$8,0)</f>
        <v>0.86134999999999995</v>
      </c>
      <c r="BY31" s="1772"/>
      <c r="BZ31" s="992">
        <f>BV31*BX31</f>
        <v>464.84362268610005</v>
      </c>
      <c r="CA31" s="1772"/>
      <c r="CB31" s="992">
        <f>$D31*BZ31</f>
        <v>10877.34077085474</v>
      </c>
      <c r="CC31" s="1759"/>
      <c r="CD31" s="992">
        <f t="shared" ref="CD31:CD32" si="122">CD30</f>
        <v>539.66868600000009</v>
      </c>
      <c r="CE31" s="1759" t="s">
        <v>418</v>
      </c>
      <c r="CF31" s="1758">
        <f>VLOOKUP($G31,'Quantidades Padrão'!$E$7:$J$103,CF$8,0)</f>
        <v>1.1234999999999999</v>
      </c>
      <c r="CG31" s="1772"/>
      <c r="CH31" s="992">
        <f>CD31*CF31</f>
        <v>606.31776872100011</v>
      </c>
      <c r="CI31" s="1772"/>
      <c r="CJ31" s="992">
        <f>$D31*CH31</f>
        <v>14187.835788071401</v>
      </c>
      <c r="CK31" s="1759"/>
      <c r="CL31" s="992">
        <f t="shared" ref="CL31:CL32" si="123">CL30</f>
        <v>539.66868600000009</v>
      </c>
      <c r="CM31" s="1759" t="str">
        <f t="shared" si="95"/>
        <v>km eq</v>
      </c>
      <c r="CN31" s="1758">
        <f>VLOOKUP($G31,'Quantidades Padrão'!$E$7:$J$103,CN$8,0)</f>
        <v>0.59919999999999995</v>
      </c>
      <c r="CO31" s="1772"/>
      <c r="CP31" s="992">
        <f>CL31*CN31</f>
        <v>323.36947665120005</v>
      </c>
      <c r="CQ31" s="1772"/>
      <c r="CR31" s="992">
        <f>$D31*CP31</f>
        <v>7566.8457536380802</v>
      </c>
      <c r="CS31" s="1759"/>
      <c r="CT31" s="992">
        <f t="shared" ref="CT31:CT32" si="124">CT30</f>
        <v>539.66868600000009</v>
      </c>
      <c r="CU31" s="1759" t="s">
        <v>418</v>
      </c>
      <c r="CV31" s="1758">
        <f>VLOOKUP($G31,'Quantidades Padrão'!$E$7:$J$103,CV$8,0)</f>
        <v>0.86134999999999995</v>
      </c>
      <c r="CW31" s="1772"/>
      <c r="CX31" s="992">
        <f>CT31*CV31</f>
        <v>464.84362268610005</v>
      </c>
      <c r="CY31" s="1772"/>
      <c r="CZ31" s="992">
        <f>$D31*CX31</f>
        <v>10877.34077085474</v>
      </c>
      <c r="DA31" s="1759"/>
      <c r="DB31" s="992">
        <f t="shared" ref="DB31:DB32" si="125">DB30</f>
        <v>539.66868600000009</v>
      </c>
      <c r="DC31" s="1759" t="s">
        <v>418</v>
      </c>
      <c r="DD31" s="1758">
        <f>VLOOKUP($G31,'Quantidades Padrão'!$E$7:$J$103,DD$8,0)</f>
        <v>1.1234999999999999</v>
      </c>
      <c r="DE31" s="1772"/>
      <c r="DF31" s="992">
        <f>DB31*DD31</f>
        <v>606.31776872100011</v>
      </c>
      <c r="DG31" s="1772"/>
      <c r="DH31" s="992">
        <f>$D31*DF31</f>
        <v>14187.835788071401</v>
      </c>
      <c r="DI31" s="1759"/>
      <c r="DJ31" s="992">
        <f t="shared" ref="DJ31:DJ32" si="126">DJ30</f>
        <v>539.66868600000009</v>
      </c>
      <c r="DK31" s="1759" t="s">
        <v>418</v>
      </c>
      <c r="DL31" s="1758">
        <f>VLOOKUP($G31,'Quantidades Padrão'!$E$7:$J$103,DL$8,0)</f>
        <v>0.59919999999999995</v>
      </c>
      <c r="DM31" s="1772"/>
      <c r="DN31" s="992">
        <f>DJ31*DL31</f>
        <v>323.36947665120005</v>
      </c>
      <c r="DO31" s="1772"/>
      <c r="DP31" s="992">
        <f>$D31*DN31</f>
        <v>7566.8457536380802</v>
      </c>
      <c r="DQ31" s="1759"/>
      <c r="DR31" s="992">
        <f t="shared" ref="DR31:DR32" si="127">DR30</f>
        <v>539.66868600000009</v>
      </c>
      <c r="DS31" s="1759" t="s">
        <v>418</v>
      </c>
      <c r="DT31" s="1758">
        <f>VLOOKUP($G31,'Quantidades Padrão'!$E$7:$J$103,DT$8,0)</f>
        <v>0.86134999999999995</v>
      </c>
      <c r="DU31" s="1772"/>
      <c r="DV31" s="992">
        <f>DR31*DT31</f>
        <v>464.84362268610005</v>
      </c>
      <c r="DW31" s="1772"/>
      <c r="DX31" s="992">
        <f>$D31*DV31</f>
        <v>10877.34077085474</v>
      </c>
      <c r="DY31" s="1759"/>
      <c r="DZ31" s="992">
        <f t="shared" ref="DZ31:DZ32" si="128">DZ30</f>
        <v>548.54868600000009</v>
      </c>
      <c r="EA31" s="1759" t="str">
        <f t="shared" si="100"/>
        <v>km eq</v>
      </c>
      <c r="EB31" s="1758">
        <f>VLOOKUP($G31,'Quantidades Padrão'!$E$7:$J$103,EB$8,0)</f>
        <v>1.1234999999999999</v>
      </c>
      <c r="EC31" s="1772"/>
      <c r="ED31" s="992">
        <f>DZ31*EB31</f>
        <v>616.29444872100009</v>
      </c>
      <c r="EE31" s="1772"/>
      <c r="EF31" s="992">
        <f>$D31*ED31</f>
        <v>14421.290100071401</v>
      </c>
      <c r="EG31" s="1759"/>
      <c r="EH31" s="992">
        <f t="shared" ref="EH31:EH32" si="129">EH30</f>
        <v>548.54868600000009</v>
      </c>
      <c r="EI31" s="1759" t="str">
        <f t="shared" si="101"/>
        <v>km eq</v>
      </c>
      <c r="EJ31" s="1758">
        <f>VLOOKUP($G31,'Quantidades Padrão'!$E$7:$J$103,EJ$8,0)</f>
        <v>0.59919999999999995</v>
      </c>
      <c r="EK31" s="1772"/>
      <c r="EL31" s="992">
        <f>EH31*EJ31</f>
        <v>328.69037265120005</v>
      </c>
      <c r="EM31" s="1772"/>
      <c r="EN31" s="992">
        <f>$D31*EL31</f>
        <v>7691.3547200380808</v>
      </c>
      <c r="EO31" s="1759"/>
      <c r="EP31" s="992">
        <f t="shared" ref="EP31:EP32" si="130">EP30</f>
        <v>548.54868600000009</v>
      </c>
      <c r="EQ31" s="1759" t="str">
        <f t="shared" si="115"/>
        <v>km eq</v>
      </c>
      <c r="ER31" s="1758">
        <f>VLOOKUP($G31,'Quantidades Padrão'!$E$7:$J$103,ER$8,0)</f>
        <v>0.86134999999999995</v>
      </c>
      <c r="ES31" s="1772"/>
      <c r="ET31" s="992">
        <f>EP31*ER31</f>
        <v>472.49241068610007</v>
      </c>
      <c r="EU31" s="1772"/>
      <c r="EV31" s="992">
        <f>$D31*ET31</f>
        <v>11056.322410054741</v>
      </c>
      <c r="EW31" s="1759"/>
      <c r="EX31" s="1773">
        <f t="shared" ref="EX31:EX32" si="131">EX30</f>
        <v>548.54868600000009</v>
      </c>
      <c r="EY31" s="1759" t="str">
        <f t="shared" si="103"/>
        <v>km eq</v>
      </c>
      <c r="EZ31" s="1758">
        <f>VLOOKUP($G31,'Quantidades Padrão'!$E$7:$J$103,EZ$8,0)</f>
        <v>1.1234999999999999</v>
      </c>
      <c r="FA31" s="1772"/>
      <c r="FB31" s="992">
        <f>EX31*EZ31</f>
        <v>616.29444872100009</v>
      </c>
      <c r="FC31" s="1772"/>
      <c r="FD31" s="992">
        <f>$D31*FB31</f>
        <v>14421.290100071401</v>
      </c>
      <c r="FE31" s="1759"/>
      <c r="FF31" s="1773">
        <f t="shared" ref="FF31:FF32" si="132">FF30</f>
        <v>548.54868600000009</v>
      </c>
      <c r="FG31" s="1759" t="str">
        <f t="shared" si="104"/>
        <v>km eq</v>
      </c>
      <c r="FH31" s="1758">
        <f>VLOOKUP($G31,'Quantidades Padrão'!$E$7:$J$103,FH$8,0)</f>
        <v>0.59919999999999995</v>
      </c>
      <c r="FI31" s="1772"/>
      <c r="FJ31" s="992">
        <f>FF31*FH31</f>
        <v>328.69037265120005</v>
      </c>
      <c r="FK31" s="1772"/>
      <c r="FL31" s="992">
        <f>$D31*FJ31</f>
        <v>7691.3547200380808</v>
      </c>
      <c r="FM31" s="1759"/>
      <c r="FN31" s="1773">
        <f t="shared" ref="FN31:FN32" si="133">FN30</f>
        <v>571.14868600000011</v>
      </c>
      <c r="FO31" s="1759" t="str">
        <f t="shared" si="105"/>
        <v>km eq</v>
      </c>
      <c r="FP31" s="1758">
        <f>VLOOKUP($G31,'Quantidades Padrão'!$E$7:$J$103,FP$8,0)</f>
        <v>0.86134999999999995</v>
      </c>
      <c r="FQ31" s="1772"/>
      <c r="FR31" s="992">
        <f>FN31*FP31</f>
        <v>491.95892068610004</v>
      </c>
      <c r="FS31" s="1772"/>
      <c r="FT31" s="992">
        <f>$D31*FR31</f>
        <v>11511.838744054739</v>
      </c>
      <c r="FU31" s="1759"/>
      <c r="FV31" s="1773">
        <f t="shared" ref="FV31:FV32" si="134">FV30</f>
        <v>571.14868600000011</v>
      </c>
      <c r="FW31" s="1759" t="str">
        <f t="shared" si="106"/>
        <v>km eq</v>
      </c>
      <c r="FX31" s="1758">
        <f>VLOOKUP($G31,'Quantidades Padrão'!$E$7:$J$103,FX$8,0)</f>
        <v>1.1234999999999999</v>
      </c>
      <c r="FY31" s="1772"/>
      <c r="FZ31" s="992">
        <f>FV31*FX31</f>
        <v>641.68554872100015</v>
      </c>
      <c r="GA31" s="1772"/>
      <c r="GB31" s="992">
        <f>$D31*FZ31</f>
        <v>15015.441840071402</v>
      </c>
      <c r="GC31" s="1759"/>
      <c r="GD31" s="1773">
        <f t="shared" ref="GD31:GD32" si="135">GD30</f>
        <v>571.14868600000011</v>
      </c>
      <c r="GE31" s="1759" t="str">
        <f t="shared" si="107"/>
        <v>km eq</v>
      </c>
      <c r="GF31" s="1758">
        <f>VLOOKUP($G31,'Quantidades Padrão'!$E$7:$J$103,GF$8,0)</f>
        <v>0.59919999999999995</v>
      </c>
      <c r="GG31" s="1772"/>
      <c r="GH31" s="992">
        <f>GD31*GF31</f>
        <v>342.23229265120005</v>
      </c>
      <c r="GI31" s="1772"/>
      <c r="GJ31" s="992">
        <f>$D31*GH31</f>
        <v>8008.2356480380804</v>
      </c>
      <c r="GK31" s="1759"/>
      <c r="GL31" s="1773">
        <f t="shared" ref="GL31:GL32" si="136">GL30</f>
        <v>571.14868600000011</v>
      </c>
      <c r="GM31" s="1759" t="str">
        <f t="shared" si="108"/>
        <v>km eq</v>
      </c>
      <c r="GN31" s="1758">
        <f>VLOOKUP($G31,'Quantidades Padrão'!$E$7:$J$103,GN$8,0)</f>
        <v>0.86134999999999995</v>
      </c>
      <c r="GO31" s="1772"/>
      <c r="GP31" s="992">
        <f>GL31*GN31</f>
        <v>491.95892068610004</v>
      </c>
      <c r="GQ31" s="1772"/>
      <c r="GR31" s="992">
        <f>$D31*GP31</f>
        <v>11511.838744054739</v>
      </c>
      <c r="GS31" s="1759"/>
      <c r="GT31" s="1773">
        <f t="shared" ref="GT31:GT32" si="137">GT30</f>
        <v>571.14868600000011</v>
      </c>
      <c r="GU31" s="1759" t="str">
        <f t="shared" si="109"/>
        <v>km eq</v>
      </c>
      <c r="GV31" s="1758">
        <f>VLOOKUP($G31,'Quantidades Padrão'!$E$7:$J$103,GV$8,0)</f>
        <v>1.1234999999999999</v>
      </c>
      <c r="GW31" s="1772"/>
      <c r="GX31" s="992">
        <f>GT31*GV31</f>
        <v>641.68554872100015</v>
      </c>
      <c r="GY31" s="1772"/>
      <c r="GZ31" s="992">
        <f>$D31*GX31</f>
        <v>15015.441840071402</v>
      </c>
      <c r="HA31" s="1759"/>
      <c r="HB31" s="1773">
        <f t="shared" ref="HB31:HB32" si="138">HB30</f>
        <v>575.58868600000005</v>
      </c>
      <c r="HC31" s="1759" t="str">
        <f t="shared" si="116"/>
        <v>km eq</v>
      </c>
      <c r="HD31" s="1758">
        <f>VLOOKUP($G31,'Quantidades Padrão'!$E$7:$J$103,HD$8,0)</f>
        <v>0.59919999999999995</v>
      </c>
      <c r="HE31" s="1772"/>
      <c r="HF31" s="992">
        <f>HB31*HD31</f>
        <v>344.89274065120003</v>
      </c>
      <c r="HG31" s="1772"/>
      <c r="HH31" s="992">
        <f>$D31*HF31</f>
        <v>8070.4901312380798</v>
      </c>
      <c r="HI31" s="1759"/>
      <c r="HJ31" s="1773">
        <f t="shared" ref="HJ31:HJ32" si="139">HJ30</f>
        <v>575.58868600000005</v>
      </c>
      <c r="HK31" s="1759" t="str">
        <f t="shared" si="111"/>
        <v>km eq</v>
      </c>
      <c r="HL31" s="1758">
        <f>VLOOKUP($G31,'Quantidades Padrão'!$E$7:$J$103,HL$8,0)</f>
        <v>0.86134999999999995</v>
      </c>
      <c r="HM31" s="1772"/>
      <c r="HN31" s="992">
        <f>HJ31*HL31</f>
        <v>495.78331468610003</v>
      </c>
      <c r="HO31" s="1772"/>
      <c r="HP31" s="992">
        <f>$D31*HN31</f>
        <v>11601.329563654739</v>
      </c>
      <c r="HQ31" s="1759"/>
      <c r="HR31" s="1773">
        <f t="shared" ref="HR31:HR32" si="140">HR30</f>
        <v>575.58868600000005</v>
      </c>
      <c r="HS31" s="1759" t="str">
        <f t="shared" si="112"/>
        <v>km eq</v>
      </c>
      <c r="HT31" s="1758">
        <f>VLOOKUP($G31,'Quantidades Padrão'!$E$7:$J$103,HT$8,0)</f>
        <v>1.1234999999999999</v>
      </c>
      <c r="HU31" s="1772"/>
      <c r="HV31" s="992">
        <f>HR31*HT31</f>
        <v>646.67388872100003</v>
      </c>
      <c r="HW31" s="1772"/>
      <c r="HX31" s="992">
        <f>$D31*HV31</f>
        <v>15132.168996071399</v>
      </c>
      <c r="HY31" s="1759"/>
      <c r="HZ31" s="1773">
        <f t="shared" ref="HZ31:HZ32" si="141">HZ30</f>
        <v>575.58868600000005</v>
      </c>
      <c r="IA31" s="1759" t="str">
        <f t="shared" si="113"/>
        <v>km eq</v>
      </c>
      <c r="IB31" s="1758">
        <f>VLOOKUP($G31,'Quantidades Padrão'!$E$7:$J$103,IB$8,0)</f>
        <v>0.59919999999999995</v>
      </c>
      <c r="IC31" s="1772"/>
      <c r="ID31" s="992">
        <f>HZ31*IB31</f>
        <v>344.89274065120003</v>
      </c>
      <c r="IE31" s="1772"/>
      <c r="IF31" s="992">
        <f>$D31*ID31</f>
        <v>8070.4901312380798</v>
      </c>
      <c r="IG31" s="1759"/>
      <c r="IH31" s="1773">
        <f t="shared" ref="IH31:IH32" si="142">IH30</f>
        <v>575.58868600000005</v>
      </c>
      <c r="II31" s="1759" t="str">
        <f t="shared" si="114"/>
        <v>km eq</v>
      </c>
      <c r="IJ31" s="1758">
        <f>VLOOKUP($G31,'Quantidades Padrão'!$E$7:$J$103,IJ$8,0)</f>
        <v>0.86134999999999995</v>
      </c>
      <c r="IK31" s="1772"/>
      <c r="IL31" s="992">
        <f>IH31*IJ31</f>
        <v>495.78331468610003</v>
      </c>
      <c r="IM31" s="1772"/>
      <c r="IN31" s="992">
        <f>$D31*IL31</f>
        <v>11601.329563654739</v>
      </c>
      <c r="IO31" s="1759"/>
    </row>
    <row r="32" spans="1:249" s="341" customFormat="1">
      <c r="A32" s="1753"/>
      <c r="B32" s="1754"/>
      <c r="C32" s="1755"/>
      <c r="D32" s="1013">
        <f>VLOOKUP(E32,'DER MG'!$D$5:$I$150,6,0)</f>
        <v>36.65</v>
      </c>
      <c r="E32" s="1017">
        <v>4915720</v>
      </c>
      <c r="F32" s="1756"/>
      <c r="G32" s="1018" t="s">
        <v>423</v>
      </c>
      <c r="H32" s="992">
        <f t="shared" si="117"/>
        <v>1970507.1548362612</v>
      </c>
      <c r="I32" s="992">
        <f>$I$29</f>
        <v>500</v>
      </c>
      <c r="J32" s="1759" t="s">
        <v>418</v>
      </c>
      <c r="K32" s="1758">
        <f>VLOOKUP($G32,'Quantidades Padrão'!$E$7:$J$103,K$8,0)</f>
        <v>2.3540000000000005</v>
      </c>
      <c r="L32" s="1759" t="s">
        <v>421</v>
      </c>
      <c r="M32" s="992">
        <f>I32*K32</f>
        <v>1177.0000000000002</v>
      </c>
      <c r="N32" s="1759" t="s">
        <v>384</v>
      </c>
      <c r="O32" s="992">
        <f>$D32*M32</f>
        <v>43137.05000000001</v>
      </c>
      <c r="P32" s="1759"/>
      <c r="Q32" s="1760">
        <f t="shared" si="0"/>
        <v>6.9494165349423655E-3</v>
      </c>
      <c r="R32" s="992">
        <f>$R$29</f>
        <v>500</v>
      </c>
      <c r="S32" s="1759" t="s">
        <v>418</v>
      </c>
      <c r="T32" s="1758">
        <f>VLOOKUP($G32,'Quantidades Padrão'!$E$7:$J$103,T$8,0)</f>
        <v>2.3540000000000005</v>
      </c>
      <c r="U32" s="1759" t="s">
        <v>421</v>
      </c>
      <c r="V32" s="992">
        <f>R32*T32</f>
        <v>1177.0000000000002</v>
      </c>
      <c r="W32" s="1759" t="s">
        <v>384</v>
      </c>
      <c r="X32" s="992">
        <f>$D32*V32</f>
        <v>43137.05000000001</v>
      </c>
      <c r="Y32" s="1759"/>
      <c r="Z32" s="992">
        <f>$R$29</f>
        <v>500</v>
      </c>
      <c r="AA32" s="1759" t="s">
        <v>418</v>
      </c>
      <c r="AB32" s="1758">
        <f>VLOOKUP($G32,'Quantidades Padrão'!$E$7:$J$103,AB$8,0)</f>
        <v>4.4137500000000003</v>
      </c>
      <c r="AC32" s="1759" t="s">
        <v>421</v>
      </c>
      <c r="AD32" s="992">
        <f>Z32*AB32</f>
        <v>2206.875</v>
      </c>
      <c r="AE32" s="1759" t="s">
        <v>384</v>
      </c>
      <c r="AF32" s="992">
        <f>$D32*AD32</f>
        <v>80881.96875</v>
      </c>
      <c r="AG32" s="1759"/>
      <c r="AH32" s="992">
        <f>$R$29</f>
        <v>500</v>
      </c>
      <c r="AI32" s="1759" t="s">
        <v>418</v>
      </c>
      <c r="AJ32" s="1758">
        <f>VLOOKUP($G32,'Quantidades Padrão'!$E$7:$J$103,AJ$8,0)</f>
        <v>2.3540000000000005</v>
      </c>
      <c r="AK32" s="1759" t="s">
        <v>421</v>
      </c>
      <c r="AL32" s="992">
        <f>AH32*AJ32</f>
        <v>1177.0000000000002</v>
      </c>
      <c r="AM32" s="1759" t="s">
        <v>384</v>
      </c>
      <c r="AN32" s="992">
        <f>$D32*AL32</f>
        <v>43137.05000000001</v>
      </c>
      <c r="AO32" s="1759"/>
      <c r="AP32" s="992">
        <f t="shared" si="118"/>
        <v>500</v>
      </c>
      <c r="AQ32" s="1759" t="s">
        <v>418</v>
      </c>
      <c r="AR32" s="1758">
        <f>VLOOKUP($G32,'Quantidades Padrão'!$E$7:$J$103,AR$8,0)</f>
        <v>2.3540000000000005</v>
      </c>
      <c r="AS32" s="1759" t="s">
        <v>421</v>
      </c>
      <c r="AT32" s="992">
        <f>AP32*AR32</f>
        <v>1177.0000000000002</v>
      </c>
      <c r="AU32" s="1759" t="s">
        <v>384</v>
      </c>
      <c r="AV32" s="992">
        <f>$D32*AT32</f>
        <v>43137.05000000001</v>
      </c>
      <c r="AW32" s="1759"/>
      <c r="AX32" s="992">
        <f>$AX$29</f>
        <v>513.17434300000002</v>
      </c>
      <c r="AY32" s="1759" t="s">
        <v>418</v>
      </c>
      <c r="AZ32" s="1758">
        <f>VLOOKUP($G32,'Quantidades Padrão'!$E$7:$J$103,AZ$8,0)</f>
        <v>3.3838750000000002</v>
      </c>
      <c r="BA32" s="1759" t="s">
        <v>421</v>
      </c>
      <c r="BB32" s="992">
        <f>AX32*AZ32</f>
        <v>1736.5178299191252</v>
      </c>
      <c r="BC32" s="1759" t="s">
        <v>384</v>
      </c>
      <c r="BD32" s="992">
        <f>$D32*BB32</f>
        <v>63643.378466535934</v>
      </c>
      <c r="BE32" s="1759"/>
      <c r="BF32" s="992">
        <f t="shared" si="119"/>
        <v>539.66868600000009</v>
      </c>
      <c r="BG32" s="1759" t="str">
        <f t="shared" si="91"/>
        <v>km eq</v>
      </c>
      <c r="BH32" s="1758">
        <f>VLOOKUP($G32,'Quantidades Padrão'!$E$7:$J$103,BH$8,0)</f>
        <v>4.4137500000000003</v>
      </c>
      <c r="BI32" s="1772"/>
      <c r="BJ32" s="992">
        <f>BF32*BH32</f>
        <v>2381.9626628325004</v>
      </c>
      <c r="BK32" s="1772"/>
      <c r="BL32" s="992">
        <f>$D32*BJ32</f>
        <v>87298.931592811132</v>
      </c>
      <c r="BM32" s="1759"/>
      <c r="BN32" s="992">
        <f t="shared" si="120"/>
        <v>539.66868600000009</v>
      </c>
      <c r="BO32" s="1759" t="s">
        <v>418</v>
      </c>
      <c r="BP32" s="1758">
        <f>VLOOKUP($G32,'Quantidades Padrão'!$E$7:$J$103,BP$8,0)</f>
        <v>2.3540000000000005</v>
      </c>
      <c r="BQ32" s="1772"/>
      <c r="BR32" s="992">
        <f>BN32*BP32</f>
        <v>1270.3800868440005</v>
      </c>
      <c r="BS32" s="1772"/>
      <c r="BT32" s="992">
        <f>$D32*BR32</f>
        <v>46559.430182832621</v>
      </c>
      <c r="BU32" s="1759"/>
      <c r="BV32" s="992">
        <f t="shared" si="121"/>
        <v>539.66868600000009</v>
      </c>
      <c r="BW32" s="1759" t="s">
        <v>418</v>
      </c>
      <c r="BX32" s="1758">
        <f>VLOOKUP($G32,'Quantidades Padrão'!$E$7:$J$103,BX$8,0)</f>
        <v>3.3838750000000002</v>
      </c>
      <c r="BY32" s="1772"/>
      <c r="BZ32" s="992">
        <f>BV32*BX32</f>
        <v>1826.1713748382504</v>
      </c>
      <c r="CA32" s="1772"/>
      <c r="CB32" s="992">
        <f>$D32*BZ32</f>
        <v>66929.180887821873</v>
      </c>
      <c r="CC32" s="1759"/>
      <c r="CD32" s="992">
        <f t="shared" si="122"/>
        <v>539.66868600000009</v>
      </c>
      <c r="CE32" s="1759" t="s">
        <v>418</v>
      </c>
      <c r="CF32" s="1758">
        <f>VLOOKUP($G32,'Quantidades Padrão'!$E$7:$J$103,CF$8,0)</f>
        <v>4.4137500000000003</v>
      </c>
      <c r="CG32" s="1772"/>
      <c r="CH32" s="992">
        <f>CD32*CF32</f>
        <v>2381.9626628325004</v>
      </c>
      <c r="CI32" s="1772"/>
      <c r="CJ32" s="992">
        <f>$D32*CH32</f>
        <v>87298.931592811132</v>
      </c>
      <c r="CK32" s="1759"/>
      <c r="CL32" s="992">
        <f t="shared" si="123"/>
        <v>539.66868600000009</v>
      </c>
      <c r="CM32" s="1759" t="str">
        <f t="shared" si="95"/>
        <v>km eq</v>
      </c>
      <c r="CN32" s="1758">
        <f>VLOOKUP($G32,'Quantidades Padrão'!$E$7:$J$103,CN$8,0)</f>
        <v>2.3540000000000005</v>
      </c>
      <c r="CO32" s="1772"/>
      <c r="CP32" s="992">
        <f>CL32*CN32</f>
        <v>1270.3800868440005</v>
      </c>
      <c r="CQ32" s="1772"/>
      <c r="CR32" s="992">
        <f>$D32*CP32</f>
        <v>46559.430182832621</v>
      </c>
      <c r="CS32" s="1759"/>
      <c r="CT32" s="992">
        <f t="shared" si="124"/>
        <v>539.66868600000009</v>
      </c>
      <c r="CU32" s="1759" t="s">
        <v>418</v>
      </c>
      <c r="CV32" s="1758">
        <f>VLOOKUP($G32,'Quantidades Padrão'!$E$7:$J$103,CV$8,0)</f>
        <v>3.3838750000000002</v>
      </c>
      <c r="CW32" s="1772"/>
      <c r="CX32" s="992">
        <f>CT32*CV32</f>
        <v>1826.1713748382504</v>
      </c>
      <c r="CY32" s="1772"/>
      <c r="CZ32" s="992">
        <f>$D32*CX32</f>
        <v>66929.180887821873</v>
      </c>
      <c r="DA32" s="1759"/>
      <c r="DB32" s="992">
        <f t="shared" si="125"/>
        <v>539.66868600000009</v>
      </c>
      <c r="DC32" s="1759" t="s">
        <v>418</v>
      </c>
      <c r="DD32" s="1758">
        <f>VLOOKUP($G32,'Quantidades Padrão'!$E$7:$J$103,DD$8,0)</f>
        <v>4.4137500000000003</v>
      </c>
      <c r="DE32" s="1772"/>
      <c r="DF32" s="992">
        <f>DB32*DD32</f>
        <v>2381.9626628325004</v>
      </c>
      <c r="DG32" s="1772"/>
      <c r="DH32" s="992">
        <f>$D32*DF32</f>
        <v>87298.931592811132</v>
      </c>
      <c r="DI32" s="1759"/>
      <c r="DJ32" s="992">
        <f t="shared" si="126"/>
        <v>539.66868600000009</v>
      </c>
      <c r="DK32" s="1759" t="s">
        <v>418</v>
      </c>
      <c r="DL32" s="1758">
        <f>VLOOKUP($G32,'Quantidades Padrão'!$E$7:$J$103,DL$8,0)</f>
        <v>2.3540000000000005</v>
      </c>
      <c r="DM32" s="1772"/>
      <c r="DN32" s="992">
        <f>DJ32*DL32</f>
        <v>1270.3800868440005</v>
      </c>
      <c r="DO32" s="1772"/>
      <c r="DP32" s="992">
        <f>$D32*DN32</f>
        <v>46559.430182832621</v>
      </c>
      <c r="DQ32" s="1759"/>
      <c r="DR32" s="992">
        <f t="shared" si="127"/>
        <v>539.66868600000009</v>
      </c>
      <c r="DS32" s="1759" t="s">
        <v>418</v>
      </c>
      <c r="DT32" s="1758">
        <f>VLOOKUP($G32,'Quantidades Padrão'!$E$7:$J$103,DT$8,0)</f>
        <v>3.3838750000000002</v>
      </c>
      <c r="DU32" s="1772"/>
      <c r="DV32" s="992">
        <f>DR32*DT32</f>
        <v>1826.1713748382504</v>
      </c>
      <c r="DW32" s="1772"/>
      <c r="DX32" s="992">
        <f>$D32*DV32</f>
        <v>66929.180887821873</v>
      </c>
      <c r="DY32" s="1759"/>
      <c r="DZ32" s="992">
        <f t="shared" si="128"/>
        <v>548.54868600000009</v>
      </c>
      <c r="EA32" s="1759" t="str">
        <f t="shared" si="100"/>
        <v>km eq</v>
      </c>
      <c r="EB32" s="1758">
        <f>VLOOKUP($G32,'Quantidades Padrão'!$E$7:$J$103,EB$8,0)</f>
        <v>4.4137500000000003</v>
      </c>
      <c r="EC32" s="1772"/>
      <c r="ED32" s="992">
        <f>DZ32*EB32</f>
        <v>2421.1567628325006</v>
      </c>
      <c r="EE32" s="1772"/>
      <c r="EF32" s="992">
        <f>$D32*ED32</f>
        <v>88735.39535781114</v>
      </c>
      <c r="EG32" s="1759"/>
      <c r="EH32" s="992">
        <f t="shared" si="129"/>
        <v>548.54868600000009</v>
      </c>
      <c r="EI32" s="1759" t="str">
        <f t="shared" si="101"/>
        <v>km eq</v>
      </c>
      <c r="EJ32" s="1758">
        <f>VLOOKUP($G32,'Quantidades Padrão'!$E$7:$J$103,EJ$8,0)</f>
        <v>2.3540000000000005</v>
      </c>
      <c r="EK32" s="1772"/>
      <c r="EL32" s="992">
        <f>EH32*EJ32</f>
        <v>1291.2836068440006</v>
      </c>
      <c r="EM32" s="1772"/>
      <c r="EN32" s="992">
        <f>$D32*EL32</f>
        <v>47325.544190832617</v>
      </c>
      <c r="EO32" s="1759"/>
      <c r="EP32" s="992">
        <f t="shared" si="130"/>
        <v>548.54868600000009</v>
      </c>
      <c r="EQ32" s="1759" t="str">
        <f t="shared" si="115"/>
        <v>km eq</v>
      </c>
      <c r="ER32" s="1758">
        <f>VLOOKUP($G32,'Quantidades Padrão'!$E$7:$J$103,ER$8,0)</f>
        <v>3.3838750000000002</v>
      </c>
      <c r="ES32" s="1772"/>
      <c r="ET32" s="992">
        <f>EP32*ER32</f>
        <v>1856.2201848382504</v>
      </c>
      <c r="EU32" s="1772"/>
      <c r="EV32" s="992">
        <f>$D32*ET32</f>
        <v>68030.469774321871</v>
      </c>
      <c r="EW32" s="1759"/>
      <c r="EX32" s="1773">
        <f t="shared" si="131"/>
        <v>548.54868600000009</v>
      </c>
      <c r="EY32" s="1759" t="str">
        <f t="shared" si="103"/>
        <v>km eq</v>
      </c>
      <c r="EZ32" s="1758">
        <f>VLOOKUP($G32,'Quantidades Padrão'!$E$7:$J$103,EZ$8,0)</f>
        <v>4.4137500000000003</v>
      </c>
      <c r="FA32" s="1772"/>
      <c r="FB32" s="992">
        <f>EX32*EZ32</f>
        <v>2421.1567628325006</v>
      </c>
      <c r="FC32" s="1772"/>
      <c r="FD32" s="992">
        <f>$D32*FB32</f>
        <v>88735.39535781114</v>
      </c>
      <c r="FE32" s="1759"/>
      <c r="FF32" s="1773">
        <f t="shared" si="132"/>
        <v>548.54868600000009</v>
      </c>
      <c r="FG32" s="1759" t="str">
        <f t="shared" si="104"/>
        <v>km eq</v>
      </c>
      <c r="FH32" s="1758">
        <f>VLOOKUP($G32,'Quantidades Padrão'!$E$7:$J$103,FH$8,0)</f>
        <v>2.3540000000000005</v>
      </c>
      <c r="FI32" s="1772"/>
      <c r="FJ32" s="992">
        <f>FF32*FH32</f>
        <v>1291.2836068440006</v>
      </c>
      <c r="FK32" s="1772"/>
      <c r="FL32" s="992">
        <f>$D32*FJ32</f>
        <v>47325.544190832617</v>
      </c>
      <c r="FM32" s="1759"/>
      <c r="FN32" s="1773">
        <f t="shared" si="133"/>
        <v>571.14868600000011</v>
      </c>
      <c r="FO32" s="1759" t="str">
        <f t="shared" si="105"/>
        <v>km eq</v>
      </c>
      <c r="FP32" s="1758">
        <f>VLOOKUP($G32,'Quantidades Padrão'!$E$7:$J$103,FP$8,0)</f>
        <v>3.3838750000000002</v>
      </c>
      <c r="FQ32" s="1772"/>
      <c r="FR32" s="992">
        <f>FN32*FP32</f>
        <v>1932.6957598382505</v>
      </c>
      <c r="FS32" s="1772"/>
      <c r="FT32" s="992">
        <f>$D32*FR32</f>
        <v>70833.299598071884</v>
      </c>
      <c r="FU32" s="1759"/>
      <c r="FV32" s="1773">
        <f t="shared" si="134"/>
        <v>571.14868600000011</v>
      </c>
      <c r="FW32" s="1759" t="str">
        <f t="shared" si="106"/>
        <v>km eq</v>
      </c>
      <c r="FX32" s="1758">
        <f>VLOOKUP($G32,'Quantidades Padrão'!$E$7:$J$103,FX$8,0)</f>
        <v>4.4137500000000003</v>
      </c>
      <c r="FY32" s="1772"/>
      <c r="FZ32" s="992">
        <f>FV32*FX32</f>
        <v>2520.9075128325007</v>
      </c>
      <c r="GA32" s="1772"/>
      <c r="GB32" s="992">
        <f>$D32*FZ32</f>
        <v>92391.260345311151</v>
      </c>
      <c r="GC32" s="1759"/>
      <c r="GD32" s="1773">
        <f t="shared" si="135"/>
        <v>571.14868600000011</v>
      </c>
      <c r="GE32" s="1759" t="str">
        <f t="shared" si="107"/>
        <v>km eq</v>
      </c>
      <c r="GF32" s="1758">
        <f>VLOOKUP($G32,'Quantidades Padrão'!$E$7:$J$103,GF$8,0)</f>
        <v>2.3540000000000005</v>
      </c>
      <c r="GG32" s="1772"/>
      <c r="GH32" s="992">
        <f>GD32*GF32</f>
        <v>1344.4840068440005</v>
      </c>
      <c r="GI32" s="1772"/>
      <c r="GJ32" s="992">
        <f>$D32*GH32</f>
        <v>49275.338850832617</v>
      </c>
      <c r="GK32" s="1759"/>
      <c r="GL32" s="1773">
        <f t="shared" si="136"/>
        <v>571.14868600000011</v>
      </c>
      <c r="GM32" s="1759" t="str">
        <f t="shared" si="108"/>
        <v>km eq</v>
      </c>
      <c r="GN32" s="1758">
        <f>VLOOKUP($G32,'Quantidades Padrão'!$E$7:$J$103,GN$8,0)</f>
        <v>3.3838750000000002</v>
      </c>
      <c r="GO32" s="1772"/>
      <c r="GP32" s="992">
        <f>GL32*GN32</f>
        <v>1932.6957598382505</v>
      </c>
      <c r="GQ32" s="1772"/>
      <c r="GR32" s="992">
        <f>$D32*GP32</f>
        <v>70833.299598071884</v>
      </c>
      <c r="GS32" s="1759"/>
      <c r="GT32" s="1773">
        <f t="shared" si="137"/>
        <v>571.14868600000011</v>
      </c>
      <c r="GU32" s="1759" t="str">
        <f t="shared" si="109"/>
        <v>km eq</v>
      </c>
      <c r="GV32" s="1758">
        <f>VLOOKUP($G32,'Quantidades Padrão'!$E$7:$J$103,GV$8,0)</f>
        <v>4.4137500000000003</v>
      </c>
      <c r="GW32" s="1772"/>
      <c r="GX32" s="992">
        <f>GT32*GV32</f>
        <v>2520.9075128325007</v>
      </c>
      <c r="GY32" s="1772"/>
      <c r="GZ32" s="992">
        <f>$D32*GX32</f>
        <v>92391.260345311151</v>
      </c>
      <c r="HA32" s="1759"/>
      <c r="HB32" s="1773">
        <f t="shared" si="138"/>
        <v>575.58868600000005</v>
      </c>
      <c r="HC32" s="1759" t="str">
        <f t="shared" si="116"/>
        <v>km eq</v>
      </c>
      <c r="HD32" s="1758">
        <f>VLOOKUP($G32,'Quantidades Padrão'!$E$7:$J$103,HD$8,0)</f>
        <v>2.3540000000000005</v>
      </c>
      <c r="HE32" s="1772"/>
      <c r="HF32" s="992">
        <f>HB32*HD32</f>
        <v>1354.9357668440005</v>
      </c>
      <c r="HG32" s="1772"/>
      <c r="HH32" s="992">
        <f>$D32*HF32</f>
        <v>49658.395854832612</v>
      </c>
      <c r="HI32" s="1759"/>
      <c r="HJ32" s="1773">
        <f t="shared" si="139"/>
        <v>575.58868600000005</v>
      </c>
      <c r="HK32" s="1759" t="str">
        <f t="shared" si="111"/>
        <v>km eq</v>
      </c>
      <c r="HL32" s="1758">
        <f>VLOOKUP($G32,'Quantidades Padrão'!$E$7:$J$103,HL$8,0)</f>
        <v>3.3838750000000002</v>
      </c>
      <c r="HM32" s="1772"/>
      <c r="HN32" s="992">
        <f>HJ32*HL32</f>
        <v>1947.7201648382502</v>
      </c>
      <c r="HO32" s="1772"/>
      <c r="HP32" s="992">
        <f>$D32*HN32</f>
        <v>71383.944041321869</v>
      </c>
      <c r="HQ32" s="1759"/>
      <c r="HR32" s="1773">
        <f t="shared" si="140"/>
        <v>575.58868600000005</v>
      </c>
      <c r="HS32" s="1759" t="str">
        <f t="shared" si="112"/>
        <v>km eq</v>
      </c>
      <c r="HT32" s="1758">
        <f>VLOOKUP($G32,'Quantidades Padrão'!$E$7:$J$103,HT$8,0)</f>
        <v>4.4137500000000003</v>
      </c>
      <c r="HU32" s="1772"/>
      <c r="HV32" s="992">
        <f>HR32*HT32</f>
        <v>2540.5045628325006</v>
      </c>
      <c r="HW32" s="1772"/>
      <c r="HX32" s="992">
        <f>$D32*HV32</f>
        <v>93109.492227811148</v>
      </c>
      <c r="HY32" s="1759"/>
      <c r="HZ32" s="1773">
        <f t="shared" si="141"/>
        <v>575.58868600000005</v>
      </c>
      <c r="IA32" s="1759" t="str">
        <f t="shared" si="113"/>
        <v>km eq</v>
      </c>
      <c r="IB32" s="1758">
        <f>VLOOKUP($G32,'Quantidades Padrão'!$E$7:$J$103,IB$8,0)</f>
        <v>2.3540000000000005</v>
      </c>
      <c r="IC32" s="1772"/>
      <c r="ID32" s="992">
        <f>HZ32*IB32</f>
        <v>1354.9357668440005</v>
      </c>
      <c r="IE32" s="1772"/>
      <c r="IF32" s="992">
        <f>$D32*ID32</f>
        <v>49658.395854832612</v>
      </c>
      <c r="IG32" s="1759"/>
      <c r="IH32" s="1773">
        <f t="shared" si="142"/>
        <v>575.58868600000005</v>
      </c>
      <c r="II32" s="1759" t="str">
        <f t="shared" si="114"/>
        <v>km eq</v>
      </c>
      <c r="IJ32" s="1758">
        <f>VLOOKUP($G32,'Quantidades Padrão'!$E$7:$J$103,IJ$8,0)</f>
        <v>3.3838750000000002</v>
      </c>
      <c r="IK32" s="1772"/>
      <c r="IL32" s="992">
        <f>IH32*IJ32</f>
        <v>1947.7201648382502</v>
      </c>
      <c r="IM32" s="1772"/>
      <c r="IN32" s="992">
        <f>$D32*IL32</f>
        <v>71383.944041321869</v>
      </c>
      <c r="IO32" s="1759"/>
    </row>
    <row r="33" spans="1:249" s="341" customFormat="1">
      <c r="A33" s="1753"/>
      <c r="B33" s="1754"/>
      <c r="C33" s="1755"/>
      <c r="D33" s="1013"/>
      <c r="E33" s="1768"/>
      <c r="F33" s="999"/>
      <c r="G33" s="1769" t="s">
        <v>424</v>
      </c>
      <c r="H33" s="992">
        <f t="shared" si="117"/>
        <v>0</v>
      </c>
      <c r="I33" s="992"/>
      <c r="J33" s="1759"/>
      <c r="K33" s="1758"/>
      <c r="L33" s="1759"/>
      <c r="M33" s="992"/>
      <c r="N33" s="1759"/>
      <c r="O33" s="991"/>
      <c r="P33" s="1759"/>
      <c r="Q33" s="1771">
        <f t="shared" si="0"/>
        <v>0</v>
      </c>
      <c r="R33" s="992"/>
      <c r="S33" s="1759"/>
      <c r="T33" s="1758"/>
      <c r="U33" s="1759"/>
      <c r="V33" s="992"/>
      <c r="W33" s="1759"/>
      <c r="X33" s="991"/>
      <c r="Y33" s="1759"/>
      <c r="Z33" s="992"/>
      <c r="AA33" s="1759"/>
      <c r="AB33" s="1758"/>
      <c r="AC33" s="1759"/>
      <c r="AD33" s="992"/>
      <c r="AE33" s="1759"/>
      <c r="AF33" s="991"/>
      <c r="AG33" s="1759"/>
      <c r="AH33" s="992"/>
      <c r="AI33" s="1759"/>
      <c r="AJ33" s="1758"/>
      <c r="AK33" s="1759"/>
      <c r="AL33" s="992"/>
      <c r="AM33" s="1759"/>
      <c r="AN33" s="991"/>
      <c r="AO33" s="1759"/>
      <c r="AP33" s="992"/>
      <c r="AQ33" s="1759"/>
      <c r="AR33" s="1758"/>
      <c r="AS33" s="1759"/>
      <c r="AT33" s="992"/>
      <c r="AU33" s="1759"/>
      <c r="AV33" s="991"/>
      <c r="AW33" s="1759"/>
      <c r="AX33" s="992"/>
      <c r="AY33" s="1759"/>
      <c r="AZ33" s="1758"/>
      <c r="BA33" s="1759"/>
      <c r="BB33" s="992"/>
      <c r="BC33" s="1759"/>
      <c r="BD33" s="991"/>
      <c r="BE33" s="1759"/>
      <c r="BF33" s="992"/>
      <c r="BG33" s="1759">
        <f t="shared" si="91"/>
        <v>0</v>
      </c>
      <c r="BH33" s="1758"/>
      <c r="BI33" s="1772"/>
      <c r="BJ33" s="992"/>
      <c r="BK33" s="1772"/>
      <c r="BL33" s="991"/>
      <c r="BM33" s="1759"/>
      <c r="BN33" s="992"/>
      <c r="BO33" s="1759">
        <v>0</v>
      </c>
      <c r="BP33" s="1758"/>
      <c r="BQ33" s="1772"/>
      <c r="BR33" s="992"/>
      <c r="BS33" s="1772"/>
      <c r="BT33" s="991"/>
      <c r="BU33" s="1759"/>
      <c r="BV33" s="992"/>
      <c r="BW33" s="1759">
        <v>0</v>
      </c>
      <c r="BX33" s="1758"/>
      <c r="BY33" s="1772"/>
      <c r="BZ33" s="992"/>
      <c r="CA33" s="1772"/>
      <c r="CB33" s="991"/>
      <c r="CC33" s="1759"/>
      <c r="CD33" s="992"/>
      <c r="CE33" s="1759">
        <v>0</v>
      </c>
      <c r="CF33" s="1758"/>
      <c r="CG33" s="1772"/>
      <c r="CH33" s="992"/>
      <c r="CI33" s="1772"/>
      <c r="CJ33" s="991"/>
      <c r="CK33" s="1759"/>
      <c r="CL33" s="992">
        <f>BF33</f>
        <v>0</v>
      </c>
      <c r="CM33" s="1759">
        <f t="shared" si="95"/>
        <v>0</v>
      </c>
      <c r="CN33" s="1758"/>
      <c r="CO33" s="1772"/>
      <c r="CP33" s="992"/>
      <c r="CQ33" s="1772"/>
      <c r="CR33" s="991"/>
      <c r="CS33" s="1759"/>
      <c r="CT33" s="992">
        <f>BN33</f>
        <v>0</v>
      </c>
      <c r="CU33" s="1759">
        <v>0</v>
      </c>
      <c r="CV33" s="1758"/>
      <c r="CW33" s="1772"/>
      <c r="CX33" s="992"/>
      <c r="CY33" s="1772"/>
      <c r="CZ33" s="991"/>
      <c r="DA33" s="1759"/>
      <c r="DB33" s="992">
        <f>BV33</f>
        <v>0</v>
      </c>
      <c r="DC33" s="1759">
        <v>0</v>
      </c>
      <c r="DD33" s="1758"/>
      <c r="DE33" s="1772"/>
      <c r="DF33" s="992"/>
      <c r="DG33" s="1772"/>
      <c r="DH33" s="991"/>
      <c r="DI33" s="1759"/>
      <c r="DJ33" s="992">
        <f>CD33</f>
        <v>0</v>
      </c>
      <c r="DK33" s="1759">
        <v>0</v>
      </c>
      <c r="DL33" s="1758"/>
      <c r="DM33" s="1772"/>
      <c r="DN33" s="992"/>
      <c r="DO33" s="1772"/>
      <c r="DP33" s="991"/>
      <c r="DQ33" s="1759"/>
      <c r="DR33" s="992">
        <f>CL33</f>
        <v>0</v>
      </c>
      <c r="DS33" s="1759">
        <v>0</v>
      </c>
      <c r="DT33" s="1758"/>
      <c r="DU33" s="1772"/>
      <c r="DV33" s="992"/>
      <c r="DW33" s="1772"/>
      <c r="DX33" s="991"/>
      <c r="DY33" s="1759"/>
      <c r="DZ33" s="992">
        <f>CT33</f>
        <v>0</v>
      </c>
      <c r="EA33" s="1759">
        <f t="shared" si="100"/>
        <v>0</v>
      </c>
      <c r="EB33" s="1758"/>
      <c r="EC33" s="1772"/>
      <c r="ED33" s="992"/>
      <c r="EE33" s="1772"/>
      <c r="EF33" s="991"/>
      <c r="EG33" s="1759"/>
      <c r="EH33" s="992">
        <f>DB33</f>
        <v>0</v>
      </c>
      <c r="EI33" s="1759">
        <f t="shared" si="101"/>
        <v>0</v>
      </c>
      <c r="EJ33" s="1758"/>
      <c r="EK33" s="1772"/>
      <c r="EL33" s="992"/>
      <c r="EM33" s="1772"/>
      <c r="EN33" s="991"/>
      <c r="EO33" s="1759"/>
      <c r="EP33" s="992">
        <f>CL33</f>
        <v>0</v>
      </c>
      <c r="EQ33" s="1759">
        <f t="shared" si="115"/>
        <v>0</v>
      </c>
      <c r="ER33" s="1758"/>
      <c r="ES33" s="1772"/>
      <c r="ET33" s="992"/>
      <c r="EU33" s="1772"/>
      <c r="EV33" s="991"/>
      <c r="EW33" s="1759"/>
      <c r="EX33" s="992">
        <f>CT33</f>
        <v>0</v>
      </c>
      <c r="EY33" s="1759">
        <f t="shared" si="103"/>
        <v>0</v>
      </c>
      <c r="EZ33" s="1758"/>
      <c r="FA33" s="1772"/>
      <c r="FB33" s="992"/>
      <c r="FC33" s="1772"/>
      <c r="FD33" s="991"/>
      <c r="FE33" s="1759"/>
      <c r="FF33" s="992">
        <f>DB33</f>
        <v>0</v>
      </c>
      <c r="FG33" s="1759">
        <f t="shared" si="104"/>
        <v>0</v>
      </c>
      <c r="FH33" s="1758"/>
      <c r="FI33" s="1772"/>
      <c r="FJ33" s="992"/>
      <c r="FK33" s="1772"/>
      <c r="FL33" s="991"/>
      <c r="FM33" s="1759"/>
      <c r="FN33" s="992">
        <f>DJ33</f>
        <v>0</v>
      </c>
      <c r="FO33" s="1759">
        <f t="shared" si="105"/>
        <v>0</v>
      </c>
      <c r="FP33" s="1758"/>
      <c r="FQ33" s="1772"/>
      <c r="FR33" s="992"/>
      <c r="FS33" s="1772"/>
      <c r="FT33" s="991"/>
      <c r="FU33" s="1759"/>
      <c r="FV33" s="992">
        <f>DR33</f>
        <v>0</v>
      </c>
      <c r="FW33" s="1759">
        <f t="shared" si="106"/>
        <v>0</v>
      </c>
      <c r="FX33" s="1758"/>
      <c r="FY33" s="1772"/>
      <c r="FZ33" s="992"/>
      <c r="GA33" s="1772"/>
      <c r="GB33" s="991"/>
      <c r="GC33" s="1759"/>
      <c r="GD33" s="992">
        <f>DZ33</f>
        <v>0</v>
      </c>
      <c r="GE33" s="1759">
        <f t="shared" si="107"/>
        <v>0</v>
      </c>
      <c r="GF33" s="1758"/>
      <c r="GG33" s="1772"/>
      <c r="GH33" s="992"/>
      <c r="GI33" s="1772"/>
      <c r="GJ33" s="991"/>
      <c r="GK33" s="1759"/>
      <c r="GL33" s="992">
        <f>EH33</f>
        <v>0</v>
      </c>
      <c r="GM33" s="1759">
        <f t="shared" si="108"/>
        <v>0</v>
      </c>
      <c r="GN33" s="1758"/>
      <c r="GO33" s="1772"/>
      <c r="GP33" s="992"/>
      <c r="GQ33" s="1772"/>
      <c r="GR33" s="991"/>
      <c r="GS33" s="1759"/>
      <c r="GT33" s="992">
        <f>EP33</f>
        <v>0</v>
      </c>
      <c r="GU33" s="1759">
        <f t="shared" si="109"/>
        <v>0</v>
      </c>
      <c r="GV33" s="1758"/>
      <c r="GW33" s="1772"/>
      <c r="GX33" s="992"/>
      <c r="GY33" s="1772"/>
      <c r="GZ33" s="991"/>
      <c r="HA33" s="1759"/>
      <c r="HB33" s="992">
        <f>EP33</f>
        <v>0</v>
      </c>
      <c r="HC33" s="1759">
        <f t="shared" si="116"/>
        <v>0</v>
      </c>
      <c r="HD33" s="1758"/>
      <c r="HE33" s="1772"/>
      <c r="HF33" s="992"/>
      <c r="HG33" s="1772"/>
      <c r="HH33" s="991"/>
      <c r="HI33" s="1759"/>
      <c r="HJ33" s="992">
        <f>EX33</f>
        <v>0</v>
      </c>
      <c r="HK33" s="1759">
        <f t="shared" si="111"/>
        <v>0</v>
      </c>
      <c r="HL33" s="1758"/>
      <c r="HM33" s="1772"/>
      <c r="HN33" s="992"/>
      <c r="HO33" s="1772"/>
      <c r="HP33" s="991"/>
      <c r="HQ33" s="1759"/>
      <c r="HR33" s="992">
        <f>FF33</f>
        <v>0</v>
      </c>
      <c r="HS33" s="1759">
        <f t="shared" si="112"/>
        <v>0</v>
      </c>
      <c r="HT33" s="1758"/>
      <c r="HU33" s="1772"/>
      <c r="HV33" s="992"/>
      <c r="HW33" s="1772"/>
      <c r="HX33" s="991"/>
      <c r="HY33" s="1759"/>
      <c r="HZ33" s="992">
        <f>FN33</f>
        <v>0</v>
      </c>
      <c r="IA33" s="1759">
        <f t="shared" si="113"/>
        <v>0</v>
      </c>
      <c r="IB33" s="1758"/>
      <c r="IC33" s="1772"/>
      <c r="ID33" s="992"/>
      <c r="IE33" s="1772"/>
      <c r="IF33" s="991"/>
      <c r="IG33" s="1759"/>
      <c r="IH33" s="992">
        <f>FV33</f>
        <v>0</v>
      </c>
      <c r="II33" s="1759">
        <f t="shared" si="114"/>
        <v>0</v>
      </c>
      <c r="IJ33" s="1758"/>
      <c r="IK33" s="1772"/>
      <c r="IL33" s="992"/>
      <c r="IM33" s="1772"/>
      <c r="IN33" s="991"/>
      <c r="IO33" s="1759"/>
    </row>
    <row r="34" spans="1:249" s="341" customFormat="1">
      <c r="A34" s="1753"/>
      <c r="B34" s="1754"/>
      <c r="C34" s="1755"/>
      <c r="D34" s="1013">
        <f>VLOOKUP(E34,'DER MG'!$D$5:$I$150,6,0)</f>
        <v>113.94</v>
      </c>
      <c r="E34" s="1017">
        <v>43226</v>
      </c>
      <c r="F34" s="1756"/>
      <c r="G34" s="1018" t="s">
        <v>425</v>
      </c>
      <c r="H34" s="992">
        <f t="shared" si="117"/>
        <v>7585235.3286000043</v>
      </c>
      <c r="I34" s="992">
        <f>'Sinalização Vertica Padrão'!E5</f>
        <v>2480</v>
      </c>
      <c r="J34" s="1759" t="s">
        <v>411</v>
      </c>
      <c r="K34" s="1758">
        <f>VLOOKUP($G34,'Quantidades Padrão'!$E$7:$J$103,K$8,0)</f>
        <v>0.64200000000000013</v>
      </c>
      <c r="L34" s="1759" t="s">
        <v>426</v>
      </c>
      <c r="M34" s="992">
        <f>I34*K34</f>
        <v>1592.1600000000003</v>
      </c>
      <c r="N34" s="1759" t="s">
        <v>411</v>
      </c>
      <c r="O34" s="992">
        <f>$D34*M34</f>
        <v>181410.71040000004</v>
      </c>
      <c r="P34" s="1759"/>
      <c r="Q34" s="1760">
        <f t="shared" si="0"/>
        <v>2.9225424327101665E-2</v>
      </c>
      <c r="R34" s="992">
        <f>$I34</f>
        <v>2480</v>
      </c>
      <c r="S34" s="1759" t="s">
        <v>411</v>
      </c>
      <c r="T34" s="1758">
        <f>VLOOKUP($G34,'Quantidades Padrão'!$E$7:$J$103,T$8,0)</f>
        <v>0.64200000000000013</v>
      </c>
      <c r="U34" s="1759" t="s">
        <v>426</v>
      </c>
      <c r="V34" s="992">
        <f>R34*T34</f>
        <v>1592.1600000000003</v>
      </c>
      <c r="W34" s="1759" t="s">
        <v>411</v>
      </c>
      <c r="X34" s="992">
        <f>$D34*V34</f>
        <v>181410.71040000004</v>
      </c>
      <c r="Y34" s="1759"/>
      <c r="Z34" s="992">
        <f>$I34</f>
        <v>2480</v>
      </c>
      <c r="AA34" s="1759" t="s">
        <v>411</v>
      </c>
      <c r="AB34" s="1758">
        <f>VLOOKUP($G34,'Quantidades Padrão'!$E$7:$J$103,AB$8,0)</f>
        <v>1.2037500000000001</v>
      </c>
      <c r="AC34" s="1759" t="s">
        <v>426</v>
      </c>
      <c r="AD34" s="992">
        <f>Z34*AB34</f>
        <v>2985.3</v>
      </c>
      <c r="AE34" s="1759" t="s">
        <v>411</v>
      </c>
      <c r="AF34" s="992">
        <f>$D34*AD34</f>
        <v>340145.08199999999</v>
      </c>
      <c r="AG34" s="1759"/>
      <c r="AH34" s="992">
        <f>$I34</f>
        <v>2480</v>
      </c>
      <c r="AI34" s="1759" t="s">
        <v>411</v>
      </c>
      <c r="AJ34" s="1758">
        <f>VLOOKUP($G34,'Quantidades Padrão'!$E$7:$J$103,AJ$8,0)</f>
        <v>0.64200000000000013</v>
      </c>
      <c r="AK34" s="1759" t="s">
        <v>426</v>
      </c>
      <c r="AL34" s="992">
        <f>AH34*AJ34</f>
        <v>1592.1600000000003</v>
      </c>
      <c r="AM34" s="1759" t="s">
        <v>411</v>
      </c>
      <c r="AN34" s="992">
        <f>$D34*AL34</f>
        <v>181410.71040000004</v>
      </c>
      <c r="AO34" s="1759"/>
      <c r="AP34" s="992">
        <f>$I34</f>
        <v>2480</v>
      </c>
      <c r="AQ34" s="1759" t="s">
        <v>411</v>
      </c>
      <c r="AR34" s="1758">
        <f>VLOOKUP($G34,'Quantidades Padrão'!$E$7:$J$103,AR$8,0)</f>
        <v>0.64200000000000013</v>
      </c>
      <c r="AS34" s="1759" t="s">
        <v>426</v>
      </c>
      <c r="AT34" s="992">
        <f>AP34*AR34</f>
        <v>1592.1600000000003</v>
      </c>
      <c r="AU34" s="1759" t="s">
        <v>411</v>
      </c>
      <c r="AV34" s="992">
        <f>$D34*AT34</f>
        <v>181410.71040000004</v>
      </c>
      <c r="AW34" s="1759"/>
      <c r="AX34" s="992">
        <f>$I34</f>
        <v>2480</v>
      </c>
      <c r="AY34" s="1759" t="s">
        <v>411</v>
      </c>
      <c r="AZ34" s="1758">
        <f>VLOOKUP($G34,'Quantidades Padrão'!$E$7:$J$103,AZ$8,0)</f>
        <v>0.92287500000000011</v>
      </c>
      <c r="BA34" s="1759" t="s">
        <v>426</v>
      </c>
      <c r="BB34" s="992">
        <f>AX34*AZ34</f>
        <v>2288.7300000000005</v>
      </c>
      <c r="BC34" s="1759" t="s">
        <v>411</v>
      </c>
      <c r="BD34" s="992">
        <f>$D34*BB34</f>
        <v>260777.89620000005</v>
      </c>
      <c r="BE34" s="1759"/>
      <c r="BF34" s="992">
        <f>$I34</f>
        <v>2480</v>
      </c>
      <c r="BG34" s="1759" t="str">
        <f t="shared" si="91"/>
        <v>m²</v>
      </c>
      <c r="BH34" s="1758">
        <f>VLOOKUP($G34,'Quantidades Padrão'!$E$7:$J$103,BH$8,0)</f>
        <v>1.2037500000000001</v>
      </c>
      <c r="BI34" s="1772"/>
      <c r="BJ34" s="992">
        <f>BF34*BH34</f>
        <v>2985.3</v>
      </c>
      <c r="BK34" s="1772"/>
      <c r="BL34" s="992">
        <f>$D34*BJ34</f>
        <v>340145.08199999999</v>
      </c>
      <c r="BM34" s="1759"/>
      <c r="BN34" s="992">
        <f>$I34</f>
        <v>2480</v>
      </c>
      <c r="BO34" s="1759" t="s">
        <v>411</v>
      </c>
      <c r="BP34" s="1758">
        <f>VLOOKUP($G34,'Quantidades Padrão'!$E$7:$J$103,BP$8,0)</f>
        <v>0.64200000000000013</v>
      </c>
      <c r="BQ34" s="1772"/>
      <c r="BR34" s="992">
        <f>BN34*BP34</f>
        <v>1592.1600000000003</v>
      </c>
      <c r="BS34" s="1772"/>
      <c r="BT34" s="992">
        <f>$D34*BR34</f>
        <v>181410.71040000004</v>
      </c>
      <c r="BU34" s="1759"/>
      <c r="BV34" s="992">
        <f>$I34</f>
        <v>2480</v>
      </c>
      <c r="BW34" s="1759" t="s">
        <v>411</v>
      </c>
      <c r="BX34" s="1758">
        <f>VLOOKUP($G34,'Quantidades Padrão'!$E$7:$J$103,BX$8,0)</f>
        <v>0.92287500000000011</v>
      </c>
      <c r="BY34" s="1772"/>
      <c r="BZ34" s="992">
        <f>BV34*BX34</f>
        <v>2288.7300000000005</v>
      </c>
      <c r="CA34" s="1772"/>
      <c r="CB34" s="992">
        <f>$D34*BZ34</f>
        <v>260777.89620000005</v>
      </c>
      <c r="CC34" s="1759"/>
      <c r="CD34" s="992">
        <f>$I34</f>
        <v>2480</v>
      </c>
      <c r="CE34" s="1759" t="s">
        <v>411</v>
      </c>
      <c r="CF34" s="1758">
        <f>VLOOKUP($G34,'Quantidades Padrão'!$E$7:$J$103,CF$8,0)</f>
        <v>1.2037500000000001</v>
      </c>
      <c r="CG34" s="1772"/>
      <c r="CH34" s="992">
        <f>CD34*CF34</f>
        <v>2985.3</v>
      </c>
      <c r="CI34" s="1772"/>
      <c r="CJ34" s="992">
        <f>$D34*CH34</f>
        <v>340145.08199999999</v>
      </c>
      <c r="CK34" s="1759"/>
      <c r="CL34" s="992">
        <f>BF34</f>
        <v>2480</v>
      </c>
      <c r="CM34" s="1759" t="str">
        <f t="shared" si="95"/>
        <v>m²</v>
      </c>
      <c r="CN34" s="1758">
        <f>VLOOKUP($G34,'Quantidades Padrão'!$E$7:$J$103,CN$8,0)</f>
        <v>0.64200000000000013</v>
      </c>
      <c r="CO34" s="1772"/>
      <c r="CP34" s="992">
        <f>CL34*CN34</f>
        <v>1592.1600000000003</v>
      </c>
      <c r="CQ34" s="1772"/>
      <c r="CR34" s="992">
        <f>$D34*CP34</f>
        <v>181410.71040000004</v>
      </c>
      <c r="CS34" s="1759"/>
      <c r="CT34" s="992">
        <f>BN34</f>
        <v>2480</v>
      </c>
      <c r="CU34" s="1759" t="s">
        <v>411</v>
      </c>
      <c r="CV34" s="1758">
        <f>VLOOKUP($G34,'Quantidades Padrão'!$E$7:$J$103,CV$8,0)</f>
        <v>0.92287500000000011</v>
      </c>
      <c r="CW34" s="1772"/>
      <c r="CX34" s="992">
        <f>CT34*CV34</f>
        <v>2288.7300000000005</v>
      </c>
      <c r="CY34" s="1772"/>
      <c r="CZ34" s="992">
        <f>$D34*CX34</f>
        <v>260777.89620000005</v>
      </c>
      <c r="DA34" s="1759"/>
      <c r="DB34" s="992">
        <f>BV34</f>
        <v>2480</v>
      </c>
      <c r="DC34" s="1759" t="s">
        <v>411</v>
      </c>
      <c r="DD34" s="1758">
        <f>VLOOKUP($G34,'Quantidades Padrão'!$E$7:$J$103,DD$8,0)</f>
        <v>1.2037500000000001</v>
      </c>
      <c r="DE34" s="1772"/>
      <c r="DF34" s="992">
        <f>DB34*DD34</f>
        <v>2985.3</v>
      </c>
      <c r="DG34" s="1772"/>
      <c r="DH34" s="992">
        <f>$D34*DF34</f>
        <v>340145.08199999999</v>
      </c>
      <c r="DI34" s="1759"/>
      <c r="DJ34" s="992">
        <f>CD34</f>
        <v>2480</v>
      </c>
      <c r="DK34" s="1759" t="s">
        <v>411</v>
      </c>
      <c r="DL34" s="1758">
        <f>VLOOKUP($G34,'Quantidades Padrão'!$E$7:$J$103,DL$8,0)</f>
        <v>0.64200000000000013</v>
      </c>
      <c r="DM34" s="1772"/>
      <c r="DN34" s="992">
        <f>DJ34*DL34</f>
        <v>1592.1600000000003</v>
      </c>
      <c r="DO34" s="1772"/>
      <c r="DP34" s="992">
        <f>$D34*DN34</f>
        <v>181410.71040000004</v>
      </c>
      <c r="DQ34" s="1759"/>
      <c r="DR34" s="992">
        <f>CL34</f>
        <v>2480</v>
      </c>
      <c r="DS34" s="1759" t="s">
        <v>411</v>
      </c>
      <c r="DT34" s="1758">
        <f>VLOOKUP($G34,'Quantidades Padrão'!$E$7:$J$103,DT$8,0)</f>
        <v>0.92287500000000011</v>
      </c>
      <c r="DU34" s="1772"/>
      <c r="DV34" s="992">
        <f>DR34*DT34</f>
        <v>2288.7300000000005</v>
      </c>
      <c r="DW34" s="1772"/>
      <c r="DX34" s="992">
        <f>$D34*DV34</f>
        <v>260777.89620000005</v>
      </c>
      <c r="DY34" s="1759"/>
      <c r="DZ34" s="992">
        <f>CT34</f>
        <v>2480</v>
      </c>
      <c r="EA34" s="1759" t="str">
        <f t="shared" si="100"/>
        <v>m²</v>
      </c>
      <c r="EB34" s="1758">
        <f>VLOOKUP($G34,'Quantidades Padrão'!$E$7:$J$103,EB$8,0)</f>
        <v>1.2037500000000001</v>
      </c>
      <c r="EC34" s="1772"/>
      <c r="ED34" s="992">
        <f>DZ34*EB34</f>
        <v>2985.3</v>
      </c>
      <c r="EE34" s="1772"/>
      <c r="EF34" s="992">
        <f>$D34*ED34</f>
        <v>340145.08199999999</v>
      </c>
      <c r="EG34" s="1759"/>
      <c r="EH34" s="992">
        <f>DB34</f>
        <v>2480</v>
      </c>
      <c r="EI34" s="1759" t="str">
        <f t="shared" si="101"/>
        <v>m²</v>
      </c>
      <c r="EJ34" s="1758">
        <f>VLOOKUP($G34,'Quantidades Padrão'!$E$7:$J$103,EJ$8,0)</f>
        <v>0.64200000000000013</v>
      </c>
      <c r="EK34" s="1772"/>
      <c r="EL34" s="992">
        <f>EH34*EJ34</f>
        <v>1592.1600000000003</v>
      </c>
      <c r="EM34" s="1772"/>
      <c r="EN34" s="992">
        <f>$D34*EL34</f>
        <v>181410.71040000004</v>
      </c>
      <c r="EO34" s="1759"/>
      <c r="EP34" s="992">
        <f>CL34</f>
        <v>2480</v>
      </c>
      <c r="EQ34" s="1759" t="str">
        <f t="shared" si="115"/>
        <v>m²</v>
      </c>
      <c r="ER34" s="1758">
        <f>VLOOKUP($G34,'Quantidades Padrão'!$E$7:$J$103,ER$8,0)</f>
        <v>0.92287500000000011</v>
      </c>
      <c r="ES34" s="1772"/>
      <c r="ET34" s="992">
        <f>EP34*ER34</f>
        <v>2288.7300000000005</v>
      </c>
      <c r="EU34" s="1772"/>
      <c r="EV34" s="992">
        <f>$D34*ET34</f>
        <v>260777.89620000005</v>
      </c>
      <c r="EW34" s="1759"/>
      <c r="EX34" s="992">
        <f>CT34</f>
        <v>2480</v>
      </c>
      <c r="EY34" s="1759" t="str">
        <f t="shared" si="103"/>
        <v>m²</v>
      </c>
      <c r="EZ34" s="1758">
        <f>VLOOKUP($G34,'Quantidades Padrão'!$E$7:$J$103,EZ$8,0)</f>
        <v>1.2037500000000001</v>
      </c>
      <c r="FA34" s="1772"/>
      <c r="FB34" s="992">
        <f>EX34*EZ34</f>
        <v>2985.3</v>
      </c>
      <c r="FC34" s="1772"/>
      <c r="FD34" s="992">
        <f>$D34*FB34</f>
        <v>340145.08199999999</v>
      </c>
      <c r="FE34" s="1759"/>
      <c r="FF34" s="992">
        <f>DB34</f>
        <v>2480</v>
      </c>
      <c r="FG34" s="1759" t="str">
        <f t="shared" si="104"/>
        <v>m²</v>
      </c>
      <c r="FH34" s="1758">
        <f>VLOOKUP($G34,'Quantidades Padrão'!$E$7:$J$103,FH$8,0)</f>
        <v>0.64200000000000013</v>
      </c>
      <c r="FI34" s="1772"/>
      <c r="FJ34" s="992">
        <f>FF34*FH34</f>
        <v>1592.1600000000003</v>
      </c>
      <c r="FK34" s="1772"/>
      <c r="FL34" s="992">
        <f>$D34*FJ34</f>
        <v>181410.71040000004</v>
      </c>
      <c r="FM34" s="1759"/>
      <c r="FN34" s="992">
        <f>DJ34</f>
        <v>2480</v>
      </c>
      <c r="FO34" s="1759" t="str">
        <f t="shared" si="105"/>
        <v>m²</v>
      </c>
      <c r="FP34" s="1758">
        <f>VLOOKUP($G34,'Quantidades Padrão'!$E$7:$J$103,FP$8,0)</f>
        <v>0.92287500000000011</v>
      </c>
      <c r="FQ34" s="1772"/>
      <c r="FR34" s="992">
        <f>FN34*FP34</f>
        <v>2288.7300000000005</v>
      </c>
      <c r="FS34" s="1772"/>
      <c r="FT34" s="992">
        <f>$D34*FR34</f>
        <v>260777.89620000005</v>
      </c>
      <c r="FU34" s="1759"/>
      <c r="FV34" s="992">
        <f>DR34</f>
        <v>2480</v>
      </c>
      <c r="FW34" s="1759" t="str">
        <f t="shared" si="106"/>
        <v>m²</v>
      </c>
      <c r="FX34" s="1758">
        <f>VLOOKUP($G34,'Quantidades Padrão'!$E$7:$J$103,FX$8,0)</f>
        <v>1.2037500000000001</v>
      </c>
      <c r="FY34" s="1772"/>
      <c r="FZ34" s="992">
        <f>FV34*FX34</f>
        <v>2985.3</v>
      </c>
      <c r="GA34" s="1772"/>
      <c r="GB34" s="992">
        <f>$D34*FZ34</f>
        <v>340145.08199999999</v>
      </c>
      <c r="GC34" s="1759"/>
      <c r="GD34" s="992">
        <f>DZ34</f>
        <v>2480</v>
      </c>
      <c r="GE34" s="1759" t="str">
        <f t="shared" si="107"/>
        <v>m²</v>
      </c>
      <c r="GF34" s="1758">
        <f>VLOOKUP($G34,'Quantidades Padrão'!$E$7:$J$103,GF$8,0)</f>
        <v>0.64200000000000013</v>
      </c>
      <c r="GG34" s="1772"/>
      <c r="GH34" s="992">
        <f>GD34*GF34</f>
        <v>1592.1600000000003</v>
      </c>
      <c r="GI34" s="1772"/>
      <c r="GJ34" s="992">
        <f>$D34*GH34</f>
        <v>181410.71040000004</v>
      </c>
      <c r="GK34" s="1759"/>
      <c r="GL34" s="992">
        <f>EH34</f>
        <v>2480</v>
      </c>
      <c r="GM34" s="1759" t="str">
        <f t="shared" si="108"/>
        <v>m²</v>
      </c>
      <c r="GN34" s="1758">
        <f>VLOOKUP($G34,'Quantidades Padrão'!$E$7:$J$103,GN$8,0)</f>
        <v>0.92287500000000011</v>
      </c>
      <c r="GO34" s="1772"/>
      <c r="GP34" s="992">
        <f>GL34*GN34</f>
        <v>2288.7300000000005</v>
      </c>
      <c r="GQ34" s="1772"/>
      <c r="GR34" s="992">
        <f>$D34*GP34</f>
        <v>260777.89620000005</v>
      </c>
      <c r="GS34" s="1759"/>
      <c r="GT34" s="992">
        <f>EP34</f>
        <v>2480</v>
      </c>
      <c r="GU34" s="1759" t="str">
        <f t="shared" si="109"/>
        <v>m²</v>
      </c>
      <c r="GV34" s="1758">
        <f>VLOOKUP($G34,'Quantidades Padrão'!$E$7:$J$103,GV$8,0)</f>
        <v>1.2037500000000001</v>
      </c>
      <c r="GW34" s="1772"/>
      <c r="GX34" s="992">
        <f>GT34*GV34</f>
        <v>2985.3</v>
      </c>
      <c r="GY34" s="1772"/>
      <c r="GZ34" s="992">
        <f>$D34*GX34</f>
        <v>340145.08199999999</v>
      </c>
      <c r="HA34" s="1759"/>
      <c r="HB34" s="992">
        <f>EP34</f>
        <v>2480</v>
      </c>
      <c r="HC34" s="1759" t="str">
        <f t="shared" si="116"/>
        <v>m²</v>
      </c>
      <c r="HD34" s="1758">
        <f>VLOOKUP($G34,'Quantidades Padrão'!$E$7:$J$103,HD$8,0)</f>
        <v>0.64200000000000013</v>
      </c>
      <c r="HE34" s="1772"/>
      <c r="HF34" s="992">
        <f>HB34*HD34</f>
        <v>1592.1600000000003</v>
      </c>
      <c r="HG34" s="1772"/>
      <c r="HH34" s="992">
        <f>$D34*HF34</f>
        <v>181410.71040000004</v>
      </c>
      <c r="HI34" s="1759"/>
      <c r="HJ34" s="992">
        <f>EX34</f>
        <v>2480</v>
      </c>
      <c r="HK34" s="1759" t="str">
        <f t="shared" si="111"/>
        <v>m²</v>
      </c>
      <c r="HL34" s="1758">
        <f>VLOOKUP($G34,'Quantidades Padrão'!$E$7:$J$103,HL$8,0)</f>
        <v>0.92287500000000011</v>
      </c>
      <c r="HM34" s="1772"/>
      <c r="HN34" s="992">
        <f>HJ34*HL34</f>
        <v>2288.7300000000005</v>
      </c>
      <c r="HO34" s="1772"/>
      <c r="HP34" s="992">
        <f>$D34*HN34</f>
        <v>260777.89620000005</v>
      </c>
      <c r="HQ34" s="1759"/>
      <c r="HR34" s="992">
        <f>FF34</f>
        <v>2480</v>
      </c>
      <c r="HS34" s="1759" t="str">
        <f t="shared" si="112"/>
        <v>m²</v>
      </c>
      <c r="HT34" s="1758">
        <f>VLOOKUP($G34,'Quantidades Padrão'!$E$7:$J$103,HT$8,0)</f>
        <v>1.2037500000000001</v>
      </c>
      <c r="HU34" s="1772"/>
      <c r="HV34" s="992">
        <f>HR34*HT34</f>
        <v>2985.3</v>
      </c>
      <c r="HW34" s="1772"/>
      <c r="HX34" s="992">
        <f>$D34*HV34</f>
        <v>340145.08199999999</v>
      </c>
      <c r="HY34" s="1759"/>
      <c r="HZ34" s="992">
        <f>FN34</f>
        <v>2480</v>
      </c>
      <c r="IA34" s="1759" t="str">
        <f t="shared" si="113"/>
        <v>m²</v>
      </c>
      <c r="IB34" s="1758">
        <f>VLOOKUP($G34,'Quantidades Padrão'!$E$7:$J$103,IB$8,0)</f>
        <v>0.64200000000000013</v>
      </c>
      <c r="IC34" s="1772"/>
      <c r="ID34" s="992">
        <f>HZ34*IB34</f>
        <v>1592.1600000000003</v>
      </c>
      <c r="IE34" s="1772"/>
      <c r="IF34" s="992">
        <f>$D34*ID34</f>
        <v>181410.71040000004</v>
      </c>
      <c r="IG34" s="1759"/>
      <c r="IH34" s="992">
        <f>FV34</f>
        <v>2480</v>
      </c>
      <c r="II34" s="1759" t="str">
        <f t="shared" si="114"/>
        <v>m²</v>
      </c>
      <c r="IJ34" s="1758">
        <f>VLOOKUP($G34,'Quantidades Padrão'!$E$7:$J$103,IJ$8,0)</f>
        <v>0.92287500000000011</v>
      </c>
      <c r="IK34" s="1772"/>
      <c r="IL34" s="992">
        <f>IH34*IJ34</f>
        <v>2288.7300000000005</v>
      </c>
      <c r="IM34" s="1772"/>
      <c r="IN34" s="992">
        <f>$D34*IL34</f>
        <v>260777.89620000005</v>
      </c>
      <c r="IO34" s="1759"/>
    </row>
    <row r="35" spans="1:249" s="341" customFormat="1">
      <c r="A35" s="1753"/>
      <c r="B35" s="1754"/>
      <c r="C35" s="1755"/>
      <c r="D35" s="1013">
        <f>VLOOKUP(E35,'DER MG'!$D$5:$I$150,6,0)</f>
        <v>113.94</v>
      </c>
      <c r="E35" s="1017">
        <v>43226</v>
      </c>
      <c r="F35" s="1756"/>
      <c r="G35" s="1018" t="s">
        <v>427</v>
      </c>
      <c r="H35" s="992">
        <f t="shared" si="117"/>
        <v>7585235.3286000043</v>
      </c>
      <c r="I35" s="992">
        <f>'Sinalização Vertica Padrão'!E5*0.1</f>
        <v>248</v>
      </c>
      <c r="J35" s="1759" t="s">
        <v>411</v>
      </c>
      <c r="K35" s="1758">
        <f>VLOOKUP($G35,'Quantidades Padrão'!$E$7:$J$103,K$8,0)</f>
        <v>8.5600000000000023E-2</v>
      </c>
      <c r="L35" s="1759" t="s">
        <v>426</v>
      </c>
      <c r="M35" s="992">
        <f>M34</f>
        <v>1592.1600000000003</v>
      </c>
      <c r="N35" s="1759" t="s">
        <v>411</v>
      </c>
      <c r="O35" s="992">
        <f>$D35*M35</f>
        <v>181410.71040000004</v>
      </c>
      <c r="P35" s="1759"/>
      <c r="Q35" s="1760">
        <f t="shared" si="0"/>
        <v>2.9225424327101665E-2</v>
      </c>
      <c r="R35" s="992"/>
      <c r="S35" s="1759"/>
      <c r="T35" s="1758"/>
      <c r="U35" s="1759"/>
      <c r="V35" s="992">
        <f>V34</f>
        <v>1592.1600000000003</v>
      </c>
      <c r="W35" s="1759" t="s">
        <v>411</v>
      </c>
      <c r="X35" s="992">
        <f>$D35*V35</f>
        <v>181410.71040000004</v>
      </c>
      <c r="Y35" s="1759"/>
      <c r="Z35" s="992"/>
      <c r="AA35" s="1759"/>
      <c r="AB35" s="1758"/>
      <c r="AC35" s="1759"/>
      <c r="AD35" s="992">
        <f>AD34</f>
        <v>2985.3</v>
      </c>
      <c r="AE35" s="1759" t="s">
        <v>411</v>
      </c>
      <c r="AF35" s="992">
        <f>$D35*AD35</f>
        <v>340145.08199999999</v>
      </c>
      <c r="AG35" s="1759"/>
      <c r="AH35" s="992"/>
      <c r="AI35" s="1759"/>
      <c r="AJ35" s="1758"/>
      <c r="AK35" s="1759"/>
      <c r="AL35" s="992">
        <f>AL34</f>
        <v>1592.1600000000003</v>
      </c>
      <c r="AM35" s="1759" t="s">
        <v>411</v>
      </c>
      <c r="AN35" s="992">
        <f>$D35*AL35</f>
        <v>181410.71040000004</v>
      </c>
      <c r="AO35" s="1759"/>
      <c r="AP35" s="992"/>
      <c r="AQ35" s="1759"/>
      <c r="AR35" s="1758"/>
      <c r="AS35" s="1759"/>
      <c r="AT35" s="992">
        <f>AT34</f>
        <v>1592.1600000000003</v>
      </c>
      <c r="AU35" s="1759" t="s">
        <v>411</v>
      </c>
      <c r="AV35" s="992">
        <f>$D35*AT35</f>
        <v>181410.71040000004</v>
      </c>
      <c r="AW35" s="1759"/>
      <c r="AX35" s="992"/>
      <c r="AY35" s="1759"/>
      <c r="AZ35" s="1758"/>
      <c r="BA35" s="1759"/>
      <c r="BB35" s="992">
        <f>BB34</f>
        <v>2288.7300000000005</v>
      </c>
      <c r="BC35" s="1759" t="s">
        <v>411</v>
      </c>
      <c r="BD35" s="992">
        <f>$D35*BB35</f>
        <v>260777.89620000005</v>
      </c>
      <c r="BE35" s="1759"/>
      <c r="BF35" s="992"/>
      <c r="BG35" s="1759"/>
      <c r="BH35" s="1758"/>
      <c r="BI35" s="1772"/>
      <c r="BJ35" s="992">
        <f>BJ34</f>
        <v>2985.3</v>
      </c>
      <c r="BK35" s="1759" t="s">
        <v>411</v>
      </c>
      <c r="BL35" s="992">
        <f>$D35*BJ35</f>
        <v>340145.08199999999</v>
      </c>
      <c r="BM35" s="1759"/>
      <c r="BN35" s="992"/>
      <c r="BO35" s="1759"/>
      <c r="BP35" s="1758"/>
      <c r="BQ35" s="1772"/>
      <c r="BR35" s="992">
        <f>BR34</f>
        <v>1592.1600000000003</v>
      </c>
      <c r="BS35" s="1759" t="s">
        <v>411</v>
      </c>
      <c r="BT35" s="992">
        <f>$D35*BR35</f>
        <v>181410.71040000004</v>
      </c>
      <c r="BU35" s="1759"/>
      <c r="BV35" s="992"/>
      <c r="BW35" s="1759"/>
      <c r="BX35" s="1758"/>
      <c r="BY35" s="1772"/>
      <c r="BZ35" s="992">
        <f>BZ34</f>
        <v>2288.7300000000005</v>
      </c>
      <c r="CA35" s="1759" t="s">
        <v>411</v>
      </c>
      <c r="CB35" s="992">
        <f>$D35*BZ35</f>
        <v>260777.89620000005</v>
      </c>
      <c r="CC35" s="1759"/>
      <c r="CD35" s="992"/>
      <c r="CE35" s="1759"/>
      <c r="CF35" s="1758"/>
      <c r="CG35" s="1772"/>
      <c r="CH35" s="992">
        <f>CH34</f>
        <v>2985.3</v>
      </c>
      <c r="CI35" s="1759" t="s">
        <v>411</v>
      </c>
      <c r="CJ35" s="992">
        <f>$D35*CH35</f>
        <v>340145.08199999999</v>
      </c>
      <c r="CK35" s="1759"/>
      <c r="CL35" s="992"/>
      <c r="CM35" s="1759"/>
      <c r="CN35" s="1758"/>
      <c r="CO35" s="1772"/>
      <c r="CP35" s="992">
        <f>CP34</f>
        <v>1592.1600000000003</v>
      </c>
      <c r="CQ35" s="1759" t="s">
        <v>411</v>
      </c>
      <c r="CR35" s="992">
        <f>$D35*CP35</f>
        <v>181410.71040000004</v>
      </c>
      <c r="CS35" s="1759"/>
      <c r="CT35" s="992"/>
      <c r="CU35" s="1759"/>
      <c r="CV35" s="1758"/>
      <c r="CW35" s="1772"/>
      <c r="CX35" s="992">
        <f>CX34</f>
        <v>2288.7300000000005</v>
      </c>
      <c r="CY35" s="1759" t="s">
        <v>411</v>
      </c>
      <c r="CZ35" s="992">
        <f>$D35*CX35</f>
        <v>260777.89620000005</v>
      </c>
      <c r="DA35" s="1759"/>
      <c r="DB35" s="992"/>
      <c r="DC35" s="1759"/>
      <c r="DD35" s="1758"/>
      <c r="DE35" s="1772"/>
      <c r="DF35" s="992">
        <f>DF34</f>
        <v>2985.3</v>
      </c>
      <c r="DG35" s="1759" t="s">
        <v>411</v>
      </c>
      <c r="DH35" s="992">
        <f>$D35*DF35</f>
        <v>340145.08199999999</v>
      </c>
      <c r="DI35" s="1759"/>
      <c r="DJ35" s="992"/>
      <c r="DK35" s="1759"/>
      <c r="DL35" s="1758"/>
      <c r="DM35" s="1772"/>
      <c r="DN35" s="992">
        <f>DN34</f>
        <v>1592.1600000000003</v>
      </c>
      <c r="DO35" s="1759" t="s">
        <v>411</v>
      </c>
      <c r="DP35" s="992">
        <f>$D35*DN35</f>
        <v>181410.71040000004</v>
      </c>
      <c r="DQ35" s="1759"/>
      <c r="DR35" s="992"/>
      <c r="DS35" s="1759"/>
      <c r="DT35" s="1758"/>
      <c r="DU35" s="1772"/>
      <c r="DV35" s="992">
        <f>DV34</f>
        <v>2288.7300000000005</v>
      </c>
      <c r="DW35" s="1759" t="s">
        <v>411</v>
      </c>
      <c r="DX35" s="992">
        <f>$D35*DV35</f>
        <v>260777.89620000005</v>
      </c>
      <c r="DY35" s="1759"/>
      <c r="DZ35" s="992"/>
      <c r="EA35" s="1759"/>
      <c r="EB35" s="1758"/>
      <c r="EC35" s="1772"/>
      <c r="ED35" s="992">
        <f>ED34</f>
        <v>2985.3</v>
      </c>
      <c r="EE35" s="1759" t="s">
        <v>411</v>
      </c>
      <c r="EF35" s="992">
        <f>$D35*ED35</f>
        <v>340145.08199999999</v>
      </c>
      <c r="EG35" s="1759"/>
      <c r="EH35" s="992"/>
      <c r="EI35" s="1759"/>
      <c r="EJ35" s="1758"/>
      <c r="EK35" s="1772"/>
      <c r="EL35" s="992">
        <f>EL34</f>
        <v>1592.1600000000003</v>
      </c>
      <c r="EM35" s="1759" t="s">
        <v>411</v>
      </c>
      <c r="EN35" s="992">
        <f>$D35*EL35</f>
        <v>181410.71040000004</v>
      </c>
      <c r="EO35" s="1759"/>
      <c r="EP35" s="992"/>
      <c r="EQ35" s="1759"/>
      <c r="ER35" s="1758"/>
      <c r="ES35" s="1772"/>
      <c r="ET35" s="992">
        <f>ET34</f>
        <v>2288.7300000000005</v>
      </c>
      <c r="EU35" s="1759" t="s">
        <v>411</v>
      </c>
      <c r="EV35" s="992">
        <f>$D35*ET35</f>
        <v>260777.89620000005</v>
      </c>
      <c r="EW35" s="1759"/>
      <c r="EX35" s="992"/>
      <c r="EY35" s="1759"/>
      <c r="EZ35" s="1758"/>
      <c r="FA35" s="1772"/>
      <c r="FB35" s="992">
        <f>FB34</f>
        <v>2985.3</v>
      </c>
      <c r="FC35" s="1759" t="s">
        <v>411</v>
      </c>
      <c r="FD35" s="992">
        <f>$D35*FB35</f>
        <v>340145.08199999999</v>
      </c>
      <c r="FE35" s="1759"/>
      <c r="FF35" s="992"/>
      <c r="FG35" s="1759"/>
      <c r="FH35" s="1758"/>
      <c r="FI35" s="1772"/>
      <c r="FJ35" s="992">
        <f>FJ34</f>
        <v>1592.1600000000003</v>
      </c>
      <c r="FK35" s="1759" t="s">
        <v>411</v>
      </c>
      <c r="FL35" s="992">
        <f>$D35*FJ35</f>
        <v>181410.71040000004</v>
      </c>
      <c r="FM35" s="1759"/>
      <c r="FN35" s="992"/>
      <c r="FO35" s="1759"/>
      <c r="FP35" s="1758"/>
      <c r="FQ35" s="1772"/>
      <c r="FR35" s="992">
        <f>FR34</f>
        <v>2288.7300000000005</v>
      </c>
      <c r="FS35" s="1759" t="s">
        <v>411</v>
      </c>
      <c r="FT35" s="992">
        <f>$D35*FR35</f>
        <v>260777.89620000005</v>
      </c>
      <c r="FU35" s="1759"/>
      <c r="FV35" s="992"/>
      <c r="FW35" s="1759"/>
      <c r="FX35" s="1758"/>
      <c r="FY35" s="1772"/>
      <c r="FZ35" s="992">
        <f>FZ34</f>
        <v>2985.3</v>
      </c>
      <c r="GA35" s="1759" t="s">
        <v>411</v>
      </c>
      <c r="GB35" s="992">
        <f>$D35*FZ35</f>
        <v>340145.08199999999</v>
      </c>
      <c r="GC35" s="1759"/>
      <c r="GD35" s="992"/>
      <c r="GE35" s="1759"/>
      <c r="GF35" s="1758"/>
      <c r="GG35" s="1772"/>
      <c r="GH35" s="992">
        <f>GH34</f>
        <v>1592.1600000000003</v>
      </c>
      <c r="GI35" s="1759" t="s">
        <v>411</v>
      </c>
      <c r="GJ35" s="992">
        <f>$D35*GH35</f>
        <v>181410.71040000004</v>
      </c>
      <c r="GK35" s="1759"/>
      <c r="GL35" s="992"/>
      <c r="GM35" s="1759"/>
      <c r="GN35" s="1758"/>
      <c r="GO35" s="1772"/>
      <c r="GP35" s="992">
        <f>GP34</f>
        <v>2288.7300000000005</v>
      </c>
      <c r="GQ35" s="1759" t="s">
        <v>411</v>
      </c>
      <c r="GR35" s="992">
        <f>$D35*GP35</f>
        <v>260777.89620000005</v>
      </c>
      <c r="GS35" s="1759"/>
      <c r="GT35" s="992"/>
      <c r="GU35" s="1759"/>
      <c r="GV35" s="1758"/>
      <c r="GW35" s="1772"/>
      <c r="GX35" s="992">
        <f>GX34</f>
        <v>2985.3</v>
      </c>
      <c r="GY35" s="1759" t="s">
        <v>411</v>
      </c>
      <c r="GZ35" s="992">
        <f>$D35*GX35</f>
        <v>340145.08199999999</v>
      </c>
      <c r="HA35" s="1759"/>
      <c r="HB35" s="992"/>
      <c r="HC35" s="1759"/>
      <c r="HD35" s="1758"/>
      <c r="HE35" s="1772"/>
      <c r="HF35" s="992">
        <f>HF34</f>
        <v>1592.1600000000003</v>
      </c>
      <c r="HG35" s="1759" t="s">
        <v>411</v>
      </c>
      <c r="HH35" s="992">
        <f>$D35*HF35</f>
        <v>181410.71040000004</v>
      </c>
      <c r="HI35" s="1759"/>
      <c r="HJ35" s="992"/>
      <c r="HK35" s="1759"/>
      <c r="HL35" s="1758"/>
      <c r="HM35" s="1772"/>
      <c r="HN35" s="992">
        <f>HN34</f>
        <v>2288.7300000000005</v>
      </c>
      <c r="HO35" s="1759" t="s">
        <v>411</v>
      </c>
      <c r="HP35" s="992">
        <f>$D35*HN35</f>
        <v>260777.89620000005</v>
      </c>
      <c r="HQ35" s="1759"/>
      <c r="HR35" s="992"/>
      <c r="HS35" s="1759"/>
      <c r="HT35" s="1758"/>
      <c r="HU35" s="1772"/>
      <c r="HV35" s="992">
        <f>HV34</f>
        <v>2985.3</v>
      </c>
      <c r="HW35" s="1759" t="s">
        <v>411</v>
      </c>
      <c r="HX35" s="992">
        <f>$D35*HV35</f>
        <v>340145.08199999999</v>
      </c>
      <c r="HY35" s="1759"/>
      <c r="HZ35" s="992"/>
      <c r="IA35" s="1759"/>
      <c r="IB35" s="1758"/>
      <c r="IC35" s="1772"/>
      <c r="ID35" s="992">
        <f>ID34</f>
        <v>1592.1600000000003</v>
      </c>
      <c r="IE35" s="1759" t="s">
        <v>411</v>
      </c>
      <c r="IF35" s="992">
        <f>$D35*ID35</f>
        <v>181410.71040000004</v>
      </c>
      <c r="IG35" s="1759"/>
      <c r="IH35" s="992"/>
      <c r="II35" s="1759"/>
      <c r="IJ35" s="1758"/>
      <c r="IK35" s="1772"/>
      <c r="IL35" s="992">
        <f>IL34</f>
        <v>2288.7300000000005</v>
      </c>
      <c r="IM35" s="1759" t="s">
        <v>411</v>
      </c>
      <c r="IN35" s="992">
        <f>$D35*IL35</f>
        <v>260777.89620000005</v>
      </c>
      <c r="IO35" s="1759"/>
    </row>
    <row r="36" spans="1:249" s="341" customFormat="1">
      <c r="A36" s="1753"/>
      <c r="B36" s="1754"/>
      <c r="C36" s="1755"/>
      <c r="D36" s="1013">
        <f>VLOOKUP(E36,'DER MG'!$D$5:$I$150,6,0)</f>
        <v>10.67</v>
      </c>
      <c r="E36" s="1017">
        <v>4915718</v>
      </c>
      <c r="F36" s="1756"/>
      <c r="G36" s="1018" t="s">
        <v>428</v>
      </c>
      <c r="H36" s="992">
        <f t="shared" si="117"/>
        <v>2841301.0692000003</v>
      </c>
      <c r="I36" s="992">
        <f>I34</f>
        <v>2480</v>
      </c>
      <c r="J36" s="1759" t="s">
        <v>411</v>
      </c>
      <c r="K36" s="1758">
        <f>VLOOKUP($G36,'Quantidades Padrão'!$E$7:$J$103,K$8,0)</f>
        <v>2.5680000000000005</v>
      </c>
      <c r="L36" s="1759" t="s">
        <v>426</v>
      </c>
      <c r="M36" s="992">
        <f>I36*K36</f>
        <v>6368.6400000000012</v>
      </c>
      <c r="N36" s="1759" t="s">
        <v>411</v>
      </c>
      <c r="O36" s="992">
        <f>$D36*M36</f>
        <v>67953.388800000015</v>
      </c>
      <c r="P36" s="1759"/>
      <c r="Q36" s="1760">
        <f t="shared" si="0"/>
        <v>1.0947350450067572E-2</v>
      </c>
      <c r="R36" s="992">
        <f>R34</f>
        <v>2480</v>
      </c>
      <c r="S36" s="1759" t="s">
        <v>411</v>
      </c>
      <c r="T36" s="1758">
        <f>VLOOKUP($G36,'Quantidades Padrão'!$E$7:$J$103,T$8,0)</f>
        <v>2.5680000000000005</v>
      </c>
      <c r="U36" s="1759" t="s">
        <v>426</v>
      </c>
      <c r="V36" s="992">
        <f>R36*T36</f>
        <v>6368.6400000000012</v>
      </c>
      <c r="W36" s="1759" t="s">
        <v>411</v>
      </c>
      <c r="X36" s="992">
        <f>$D36*V36</f>
        <v>67953.388800000015</v>
      </c>
      <c r="Y36" s="1759"/>
      <c r="Z36" s="992">
        <f>Z34</f>
        <v>2480</v>
      </c>
      <c r="AA36" s="1759" t="s">
        <v>411</v>
      </c>
      <c r="AB36" s="1758">
        <f>VLOOKUP($G36,'Quantidades Padrão'!$E$7:$J$103,AB$8,0)</f>
        <v>4.8150000000000004</v>
      </c>
      <c r="AC36" s="1759" t="s">
        <v>426</v>
      </c>
      <c r="AD36" s="992">
        <f>Z36*AB36</f>
        <v>11941.2</v>
      </c>
      <c r="AE36" s="1759" t="s">
        <v>411</v>
      </c>
      <c r="AF36" s="992">
        <f>$D36*AD36</f>
        <v>127412.60400000001</v>
      </c>
      <c r="AG36" s="1759"/>
      <c r="AH36" s="992">
        <f>AH34</f>
        <v>2480</v>
      </c>
      <c r="AI36" s="1759" t="s">
        <v>411</v>
      </c>
      <c r="AJ36" s="1758">
        <f>VLOOKUP($G36,'Quantidades Padrão'!$E$7:$J$103,AJ$8,0)</f>
        <v>2.5680000000000005</v>
      </c>
      <c r="AK36" s="1759" t="s">
        <v>426</v>
      </c>
      <c r="AL36" s="992">
        <f>AH36*AJ36</f>
        <v>6368.6400000000012</v>
      </c>
      <c r="AM36" s="1759" t="s">
        <v>411</v>
      </c>
      <c r="AN36" s="992">
        <f>$D36*AL36</f>
        <v>67953.388800000015</v>
      </c>
      <c r="AO36" s="1759"/>
      <c r="AP36" s="992">
        <f>AP34</f>
        <v>2480</v>
      </c>
      <c r="AQ36" s="1759" t="s">
        <v>411</v>
      </c>
      <c r="AR36" s="1758">
        <f>VLOOKUP($G36,'Quantidades Padrão'!$E$7:$J$103,AR$8,0)</f>
        <v>2.5680000000000005</v>
      </c>
      <c r="AS36" s="1759" t="s">
        <v>426</v>
      </c>
      <c r="AT36" s="992">
        <f>AP36*AR36</f>
        <v>6368.6400000000012</v>
      </c>
      <c r="AU36" s="1759" t="s">
        <v>411</v>
      </c>
      <c r="AV36" s="992">
        <f>$D36*AT36</f>
        <v>67953.388800000015</v>
      </c>
      <c r="AW36" s="1759"/>
      <c r="AX36" s="992">
        <f>AX34</f>
        <v>2480</v>
      </c>
      <c r="AY36" s="1759" t="s">
        <v>411</v>
      </c>
      <c r="AZ36" s="1758">
        <f>VLOOKUP($G36,'Quantidades Padrão'!$E$7:$J$103,AZ$8,0)</f>
        <v>3.6915000000000004</v>
      </c>
      <c r="BA36" s="1759" t="s">
        <v>426</v>
      </c>
      <c r="BB36" s="992">
        <f>AX36*AZ36</f>
        <v>9154.9200000000019</v>
      </c>
      <c r="BC36" s="1759" t="s">
        <v>411</v>
      </c>
      <c r="BD36" s="992">
        <f>$D36*BB36</f>
        <v>97682.996400000018</v>
      </c>
      <c r="BE36" s="1759"/>
      <c r="BF36" s="992">
        <f>BF34</f>
        <v>2480</v>
      </c>
      <c r="BG36" s="1759" t="str">
        <f t="shared" ref="BG36:BG42" si="143">J36</f>
        <v>m²</v>
      </c>
      <c r="BH36" s="1758">
        <f>VLOOKUP($G36,'Quantidades Padrão'!$E$7:$J$103,BH$8,0)</f>
        <v>4.8150000000000004</v>
      </c>
      <c r="BI36" s="1772"/>
      <c r="BJ36" s="992">
        <f>BF36*BH36</f>
        <v>11941.2</v>
      </c>
      <c r="BK36" s="1772"/>
      <c r="BL36" s="992">
        <f>$D36*BJ36</f>
        <v>127412.60400000001</v>
      </c>
      <c r="BM36" s="1759"/>
      <c r="BN36" s="992">
        <f>BN34</f>
        <v>2480</v>
      </c>
      <c r="BO36" s="1759" t="s">
        <v>411</v>
      </c>
      <c r="BP36" s="1758">
        <f>VLOOKUP($G36,'Quantidades Padrão'!$E$7:$J$103,BP$8,0)</f>
        <v>2.5680000000000005</v>
      </c>
      <c r="BQ36" s="1772"/>
      <c r="BR36" s="992">
        <f>BN36*BP36</f>
        <v>6368.6400000000012</v>
      </c>
      <c r="BS36" s="1772"/>
      <c r="BT36" s="992">
        <f>$D36*BR36</f>
        <v>67953.388800000015</v>
      </c>
      <c r="BU36" s="1759"/>
      <c r="BV36" s="992">
        <f>BV34</f>
        <v>2480</v>
      </c>
      <c r="BW36" s="1759" t="s">
        <v>411</v>
      </c>
      <c r="BX36" s="1758">
        <f>VLOOKUP($G36,'Quantidades Padrão'!$E$7:$J$103,BX$8,0)</f>
        <v>3.6915000000000004</v>
      </c>
      <c r="BY36" s="1772"/>
      <c r="BZ36" s="992">
        <f>BV36*BX36</f>
        <v>9154.9200000000019</v>
      </c>
      <c r="CA36" s="1772"/>
      <c r="CB36" s="992">
        <f>$D36*BZ36</f>
        <v>97682.996400000018</v>
      </c>
      <c r="CC36" s="1759"/>
      <c r="CD36" s="992">
        <f>CD34</f>
        <v>2480</v>
      </c>
      <c r="CE36" s="1759" t="s">
        <v>411</v>
      </c>
      <c r="CF36" s="1758">
        <f>VLOOKUP($G36,'Quantidades Padrão'!$E$7:$J$103,CF$8,0)</f>
        <v>4.8150000000000004</v>
      </c>
      <c r="CG36" s="1772"/>
      <c r="CH36" s="992">
        <f>CD36*CF36</f>
        <v>11941.2</v>
      </c>
      <c r="CI36" s="1772"/>
      <c r="CJ36" s="992">
        <f>$D36*CH36</f>
        <v>127412.60400000001</v>
      </c>
      <c r="CK36" s="1759"/>
      <c r="CL36" s="992">
        <f t="shared" ref="CL36:CM42" si="144">BF36</f>
        <v>2480</v>
      </c>
      <c r="CM36" s="1759" t="str">
        <f t="shared" si="144"/>
        <v>m²</v>
      </c>
      <c r="CN36" s="1758">
        <f>VLOOKUP($G36,'Quantidades Padrão'!$E$7:$J$103,CN$8,0)</f>
        <v>2.5680000000000005</v>
      </c>
      <c r="CO36" s="1772"/>
      <c r="CP36" s="992">
        <f>CL36*CN36</f>
        <v>6368.6400000000012</v>
      </c>
      <c r="CQ36" s="1772"/>
      <c r="CR36" s="992">
        <f>$D36*CP36</f>
        <v>67953.388800000015</v>
      </c>
      <c r="CS36" s="1759"/>
      <c r="CT36" s="992">
        <f t="shared" ref="CT36:CT42" si="145">BN36</f>
        <v>2480</v>
      </c>
      <c r="CU36" s="1759" t="s">
        <v>411</v>
      </c>
      <c r="CV36" s="1758">
        <f>VLOOKUP($G36,'Quantidades Padrão'!$E$7:$J$103,CV$8,0)</f>
        <v>3.6915000000000004</v>
      </c>
      <c r="CW36" s="1772"/>
      <c r="CX36" s="992">
        <f>CT36*CV36</f>
        <v>9154.9200000000019</v>
      </c>
      <c r="CY36" s="1772"/>
      <c r="CZ36" s="992">
        <f>$D36*CX36</f>
        <v>97682.996400000018</v>
      </c>
      <c r="DA36" s="1759"/>
      <c r="DB36" s="992">
        <f t="shared" ref="DB36:DB42" si="146">BV36</f>
        <v>2480</v>
      </c>
      <c r="DC36" s="1759" t="s">
        <v>411</v>
      </c>
      <c r="DD36" s="1758">
        <f>VLOOKUP($G36,'Quantidades Padrão'!$E$7:$J$103,DD$8,0)</f>
        <v>4.8150000000000004</v>
      </c>
      <c r="DE36" s="1772"/>
      <c r="DF36" s="992">
        <f>DB36*DD36</f>
        <v>11941.2</v>
      </c>
      <c r="DG36" s="1772"/>
      <c r="DH36" s="992">
        <f>$D36*DF36</f>
        <v>127412.60400000001</v>
      </c>
      <c r="DI36" s="1759"/>
      <c r="DJ36" s="992">
        <f t="shared" ref="DJ36:DJ42" si="147">CD36</f>
        <v>2480</v>
      </c>
      <c r="DK36" s="1759" t="s">
        <v>411</v>
      </c>
      <c r="DL36" s="1758">
        <f>VLOOKUP($G36,'Quantidades Padrão'!$E$7:$J$103,DL$8,0)</f>
        <v>2.5680000000000005</v>
      </c>
      <c r="DM36" s="1772"/>
      <c r="DN36" s="992">
        <f>DJ36*DL36</f>
        <v>6368.6400000000012</v>
      </c>
      <c r="DO36" s="1772"/>
      <c r="DP36" s="992">
        <f>$D36*DN36</f>
        <v>67953.388800000015</v>
      </c>
      <c r="DQ36" s="1759"/>
      <c r="DR36" s="992">
        <f t="shared" ref="DR36:DR42" si="148">CL36</f>
        <v>2480</v>
      </c>
      <c r="DS36" s="1759" t="s">
        <v>411</v>
      </c>
      <c r="DT36" s="1758">
        <f>VLOOKUP($G36,'Quantidades Padrão'!$E$7:$J$103,DT$8,0)</f>
        <v>3.6915000000000004</v>
      </c>
      <c r="DU36" s="1772"/>
      <c r="DV36" s="992">
        <f>DR36*DT36</f>
        <v>9154.9200000000019</v>
      </c>
      <c r="DW36" s="1772"/>
      <c r="DX36" s="992">
        <f>$D36*DV36</f>
        <v>97682.996400000018</v>
      </c>
      <c r="DY36" s="1759"/>
      <c r="DZ36" s="992">
        <f t="shared" ref="DZ36:EA42" si="149">CT36</f>
        <v>2480</v>
      </c>
      <c r="EA36" s="1759" t="str">
        <f t="shared" si="149"/>
        <v>m²</v>
      </c>
      <c r="EB36" s="1758">
        <f>VLOOKUP($G36,'Quantidades Padrão'!$E$7:$J$103,EB$8,0)</f>
        <v>4.8150000000000004</v>
      </c>
      <c r="EC36" s="1772"/>
      <c r="ED36" s="992">
        <f>DZ36*EB36</f>
        <v>11941.2</v>
      </c>
      <c r="EE36" s="1772"/>
      <c r="EF36" s="992">
        <f>$D36*ED36</f>
        <v>127412.60400000001</v>
      </c>
      <c r="EG36" s="1759"/>
      <c r="EH36" s="992">
        <f t="shared" ref="EH36:EI42" si="150">DB36</f>
        <v>2480</v>
      </c>
      <c r="EI36" s="1759" t="str">
        <f t="shared" si="150"/>
        <v>m²</v>
      </c>
      <c r="EJ36" s="1758">
        <f>VLOOKUP($G36,'Quantidades Padrão'!$E$7:$J$103,EJ$8,0)</f>
        <v>2.5680000000000005</v>
      </c>
      <c r="EK36" s="1772"/>
      <c r="EL36" s="992">
        <f>EH36*EJ36</f>
        <v>6368.6400000000012</v>
      </c>
      <c r="EM36" s="1772"/>
      <c r="EN36" s="992">
        <f>$D36*EL36</f>
        <v>67953.388800000015</v>
      </c>
      <c r="EO36" s="1759"/>
      <c r="EP36" s="992">
        <f t="shared" ref="EP36:EQ42" si="151">CL36</f>
        <v>2480</v>
      </c>
      <c r="EQ36" s="1759" t="str">
        <f t="shared" si="151"/>
        <v>m²</v>
      </c>
      <c r="ER36" s="1758">
        <f>VLOOKUP($G36,'Quantidades Padrão'!$E$7:$J$103,ER$8,0)</f>
        <v>3.6915000000000004</v>
      </c>
      <c r="ES36" s="1772"/>
      <c r="ET36" s="992">
        <f>EP36*ER36</f>
        <v>9154.9200000000019</v>
      </c>
      <c r="EU36" s="1772"/>
      <c r="EV36" s="992">
        <f>$D36*ET36</f>
        <v>97682.996400000018</v>
      </c>
      <c r="EW36" s="1759"/>
      <c r="EX36" s="992">
        <f t="shared" ref="EX36:EY42" si="152">CT36</f>
        <v>2480</v>
      </c>
      <c r="EY36" s="1759" t="str">
        <f t="shared" si="152"/>
        <v>m²</v>
      </c>
      <c r="EZ36" s="1758">
        <f>VLOOKUP($G36,'Quantidades Padrão'!$E$7:$J$103,EZ$8,0)</f>
        <v>4.8150000000000004</v>
      </c>
      <c r="FA36" s="1772"/>
      <c r="FB36" s="992">
        <f>EX36*EZ36</f>
        <v>11941.2</v>
      </c>
      <c r="FC36" s="1772"/>
      <c r="FD36" s="992">
        <f>$D36*FB36</f>
        <v>127412.60400000001</v>
      </c>
      <c r="FE36" s="1759"/>
      <c r="FF36" s="992">
        <f t="shared" ref="FF36:FG42" si="153">DB36</f>
        <v>2480</v>
      </c>
      <c r="FG36" s="1759" t="str">
        <f t="shared" si="153"/>
        <v>m²</v>
      </c>
      <c r="FH36" s="1758">
        <f>VLOOKUP($G36,'Quantidades Padrão'!$E$7:$J$103,FH$8,0)</f>
        <v>2.5680000000000005</v>
      </c>
      <c r="FI36" s="1772"/>
      <c r="FJ36" s="992">
        <f>FF36*FH36</f>
        <v>6368.6400000000012</v>
      </c>
      <c r="FK36" s="1772"/>
      <c r="FL36" s="992">
        <f>$D36*FJ36</f>
        <v>67953.388800000015</v>
      </c>
      <c r="FM36" s="1759"/>
      <c r="FN36" s="992">
        <f t="shared" ref="FN36:FO42" si="154">DJ36</f>
        <v>2480</v>
      </c>
      <c r="FO36" s="1759" t="str">
        <f t="shared" si="154"/>
        <v>m²</v>
      </c>
      <c r="FP36" s="1758">
        <f>VLOOKUP($G36,'Quantidades Padrão'!$E$7:$J$103,FP$8,0)</f>
        <v>3.6915000000000004</v>
      </c>
      <c r="FQ36" s="1772"/>
      <c r="FR36" s="992">
        <f>FN36*FP36</f>
        <v>9154.9200000000019</v>
      </c>
      <c r="FS36" s="1772"/>
      <c r="FT36" s="992">
        <f>$D36*FR36</f>
        <v>97682.996400000018</v>
      </c>
      <c r="FU36" s="1759"/>
      <c r="FV36" s="992">
        <f t="shared" ref="FV36:FW42" si="155">DR36</f>
        <v>2480</v>
      </c>
      <c r="FW36" s="1759" t="str">
        <f t="shared" si="155"/>
        <v>m²</v>
      </c>
      <c r="FX36" s="1758">
        <f>VLOOKUP($G36,'Quantidades Padrão'!$E$7:$J$103,FX$8,0)</f>
        <v>4.8150000000000004</v>
      </c>
      <c r="FY36" s="1772"/>
      <c r="FZ36" s="992">
        <f>FV36*FX36</f>
        <v>11941.2</v>
      </c>
      <c r="GA36" s="1772"/>
      <c r="GB36" s="992">
        <f>$D36*FZ36</f>
        <v>127412.60400000001</v>
      </c>
      <c r="GC36" s="1759"/>
      <c r="GD36" s="992">
        <f t="shared" ref="GD36:GE42" si="156">DZ36</f>
        <v>2480</v>
      </c>
      <c r="GE36" s="1759" t="str">
        <f t="shared" si="156"/>
        <v>m²</v>
      </c>
      <c r="GF36" s="1758">
        <f>VLOOKUP($G36,'Quantidades Padrão'!$E$7:$J$103,GF$8,0)</f>
        <v>2.5680000000000005</v>
      </c>
      <c r="GG36" s="1772"/>
      <c r="GH36" s="992">
        <f>GD36*GF36</f>
        <v>6368.6400000000012</v>
      </c>
      <c r="GI36" s="1772"/>
      <c r="GJ36" s="992">
        <f>$D36*GH36</f>
        <v>67953.388800000015</v>
      </c>
      <c r="GK36" s="1759"/>
      <c r="GL36" s="992">
        <f t="shared" ref="GL36:GM42" si="157">EH36</f>
        <v>2480</v>
      </c>
      <c r="GM36" s="1759" t="str">
        <f t="shared" si="157"/>
        <v>m²</v>
      </c>
      <c r="GN36" s="1758">
        <f>VLOOKUP($G36,'Quantidades Padrão'!$E$7:$J$103,GN$8,0)</f>
        <v>3.6915000000000004</v>
      </c>
      <c r="GO36" s="1772"/>
      <c r="GP36" s="992">
        <f>GL36*GN36</f>
        <v>9154.9200000000019</v>
      </c>
      <c r="GQ36" s="1772"/>
      <c r="GR36" s="992">
        <f>$D36*GP36</f>
        <v>97682.996400000018</v>
      </c>
      <c r="GS36" s="1759"/>
      <c r="GT36" s="992">
        <f t="shared" ref="GT36:GU42" si="158">EP36</f>
        <v>2480</v>
      </c>
      <c r="GU36" s="1759" t="str">
        <f t="shared" si="158"/>
        <v>m²</v>
      </c>
      <c r="GV36" s="1758">
        <f>VLOOKUP($G36,'Quantidades Padrão'!$E$7:$J$103,GV$8,0)</f>
        <v>4.8150000000000004</v>
      </c>
      <c r="GW36" s="1772"/>
      <c r="GX36" s="992">
        <f>GT36*GV36</f>
        <v>11941.2</v>
      </c>
      <c r="GY36" s="1772"/>
      <c r="GZ36" s="992">
        <f>$D36*GX36</f>
        <v>127412.60400000001</v>
      </c>
      <c r="HA36" s="1759"/>
      <c r="HB36" s="992">
        <f t="shared" ref="HB36:HB57" si="159">EP36</f>
        <v>2480</v>
      </c>
      <c r="HC36" s="1759" t="str">
        <f t="shared" ref="HC36:HC57" si="160">EQ36</f>
        <v>m²</v>
      </c>
      <c r="HD36" s="1758">
        <f>VLOOKUP($G36,'Quantidades Padrão'!$E$7:$J$103,HD$8,0)</f>
        <v>2.5680000000000005</v>
      </c>
      <c r="HE36" s="1772"/>
      <c r="HF36" s="992">
        <f>HB36*HD36</f>
        <v>6368.6400000000012</v>
      </c>
      <c r="HG36" s="1772"/>
      <c r="HH36" s="992">
        <f>$D36*HF36</f>
        <v>67953.388800000015</v>
      </c>
      <c r="HI36" s="1759"/>
      <c r="HJ36" s="992">
        <f t="shared" ref="HJ36:HJ42" si="161">EX36</f>
        <v>2480</v>
      </c>
      <c r="HK36" s="1759" t="str">
        <f t="shared" ref="HK36:HK42" si="162">EY36</f>
        <v>m²</v>
      </c>
      <c r="HL36" s="1758">
        <f>VLOOKUP($G36,'Quantidades Padrão'!$E$7:$J$103,HL$8,0)</f>
        <v>3.6915000000000004</v>
      </c>
      <c r="HM36" s="1772"/>
      <c r="HN36" s="992">
        <f>HJ36*HL36</f>
        <v>9154.9200000000019</v>
      </c>
      <c r="HO36" s="1772"/>
      <c r="HP36" s="992">
        <f>$D36*HN36</f>
        <v>97682.996400000018</v>
      </c>
      <c r="HQ36" s="1759"/>
      <c r="HR36" s="992">
        <f t="shared" ref="HR36:HR42" si="163">FF36</f>
        <v>2480</v>
      </c>
      <c r="HS36" s="1759" t="str">
        <f t="shared" ref="HS36:HS42" si="164">FG36</f>
        <v>m²</v>
      </c>
      <c r="HT36" s="1758">
        <f>VLOOKUP($G36,'Quantidades Padrão'!$E$7:$J$103,HT$8,0)</f>
        <v>4.8150000000000004</v>
      </c>
      <c r="HU36" s="1772"/>
      <c r="HV36" s="992">
        <f>HR36*HT36</f>
        <v>11941.2</v>
      </c>
      <c r="HW36" s="1772"/>
      <c r="HX36" s="992">
        <f>$D36*HV36</f>
        <v>127412.60400000001</v>
      </c>
      <c r="HY36" s="1759"/>
      <c r="HZ36" s="992">
        <f t="shared" ref="HZ36:HZ42" si="165">FN36</f>
        <v>2480</v>
      </c>
      <c r="IA36" s="1759" t="str">
        <f t="shared" ref="IA36:IA42" si="166">FO36</f>
        <v>m²</v>
      </c>
      <c r="IB36" s="1758">
        <f>VLOOKUP($G36,'Quantidades Padrão'!$E$7:$J$103,IB$8,0)</f>
        <v>2.5680000000000005</v>
      </c>
      <c r="IC36" s="1772"/>
      <c r="ID36" s="992">
        <f>HZ36*IB36</f>
        <v>6368.6400000000012</v>
      </c>
      <c r="IE36" s="1772"/>
      <c r="IF36" s="992">
        <f>$D36*ID36</f>
        <v>67953.388800000015</v>
      </c>
      <c r="IG36" s="1759"/>
      <c r="IH36" s="992">
        <f t="shared" ref="IH36:IH42" si="167">FV36</f>
        <v>2480</v>
      </c>
      <c r="II36" s="1759" t="str">
        <f t="shared" ref="II36:II42" si="168">FW36</f>
        <v>m²</v>
      </c>
      <c r="IJ36" s="1758">
        <f>VLOOKUP($G36,'Quantidades Padrão'!$E$7:$J$103,IJ$8,0)</f>
        <v>3.6915000000000004</v>
      </c>
      <c r="IK36" s="1772"/>
      <c r="IL36" s="992">
        <f>IH36*IJ36</f>
        <v>9154.9200000000019</v>
      </c>
      <c r="IM36" s="1772"/>
      <c r="IN36" s="992">
        <f>$D36*IL36</f>
        <v>97682.996400000018</v>
      </c>
      <c r="IO36" s="1759"/>
    </row>
    <row r="37" spans="1:249" s="341" customFormat="1">
      <c r="A37" s="1753"/>
      <c r="B37" s="1754"/>
      <c r="C37" s="1755"/>
      <c r="D37" s="1013"/>
      <c r="E37" s="1768"/>
      <c r="F37" s="999"/>
      <c r="G37" s="1769" t="s">
        <v>429</v>
      </c>
      <c r="H37" s="992">
        <f t="shared" si="117"/>
        <v>0</v>
      </c>
      <c r="I37" s="992"/>
      <c r="J37" s="1759"/>
      <c r="K37" s="1758"/>
      <c r="L37" s="1759"/>
      <c r="M37" s="992"/>
      <c r="N37" s="1759"/>
      <c r="O37" s="991"/>
      <c r="P37" s="1759"/>
      <c r="Q37" s="1771">
        <f t="shared" si="0"/>
        <v>0</v>
      </c>
      <c r="R37" s="992"/>
      <c r="S37" s="1759"/>
      <c r="T37" s="1758"/>
      <c r="U37" s="1759"/>
      <c r="V37" s="992"/>
      <c r="W37" s="1759"/>
      <c r="X37" s="991"/>
      <c r="Y37" s="1759"/>
      <c r="Z37" s="992"/>
      <c r="AA37" s="1759"/>
      <c r="AB37" s="1758"/>
      <c r="AC37" s="1759"/>
      <c r="AD37" s="992"/>
      <c r="AE37" s="1759"/>
      <c r="AF37" s="991"/>
      <c r="AG37" s="1759"/>
      <c r="AH37" s="992"/>
      <c r="AI37" s="1759"/>
      <c r="AJ37" s="1758"/>
      <c r="AK37" s="1759"/>
      <c r="AL37" s="992"/>
      <c r="AM37" s="1759"/>
      <c r="AN37" s="991"/>
      <c r="AO37" s="1759"/>
      <c r="AP37" s="992"/>
      <c r="AQ37" s="1759"/>
      <c r="AR37" s="1758"/>
      <c r="AS37" s="1759"/>
      <c r="AT37" s="992"/>
      <c r="AU37" s="1759"/>
      <c r="AV37" s="991"/>
      <c r="AW37" s="1759"/>
      <c r="AX37" s="992"/>
      <c r="AY37" s="1759"/>
      <c r="AZ37" s="1758"/>
      <c r="BA37" s="1759"/>
      <c r="BB37" s="992"/>
      <c r="BC37" s="1759"/>
      <c r="BD37" s="991"/>
      <c r="BE37" s="1759"/>
      <c r="BF37" s="992"/>
      <c r="BG37" s="1759">
        <f t="shared" si="143"/>
        <v>0</v>
      </c>
      <c r="BH37" s="1758"/>
      <c r="BI37" s="1772"/>
      <c r="BJ37" s="992"/>
      <c r="BK37" s="1772"/>
      <c r="BL37" s="991"/>
      <c r="BM37" s="1759"/>
      <c r="BN37" s="992"/>
      <c r="BO37" s="1759">
        <v>0</v>
      </c>
      <c r="BP37" s="1758"/>
      <c r="BQ37" s="1772"/>
      <c r="BR37" s="992"/>
      <c r="BS37" s="1772"/>
      <c r="BT37" s="991"/>
      <c r="BU37" s="1759"/>
      <c r="BV37" s="992"/>
      <c r="BW37" s="1759">
        <v>0</v>
      </c>
      <c r="BX37" s="1758"/>
      <c r="BY37" s="1772"/>
      <c r="BZ37" s="992"/>
      <c r="CA37" s="1772"/>
      <c r="CB37" s="991"/>
      <c r="CC37" s="1759"/>
      <c r="CD37" s="992"/>
      <c r="CE37" s="1759">
        <v>0</v>
      </c>
      <c r="CF37" s="1758"/>
      <c r="CG37" s="1772"/>
      <c r="CH37" s="992"/>
      <c r="CI37" s="1772"/>
      <c r="CJ37" s="991"/>
      <c r="CK37" s="1759"/>
      <c r="CL37" s="992">
        <f t="shared" si="144"/>
        <v>0</v>
      </c>
      <c r="CM37" s="1759">
        <f t="shared" si="144"/>
        <v>0</v>
      </c>
      <c r="CN37" s="1758"/>
      <c r="CO37" s="1772"/>
      <c r="CP37" s="992"/>
      <c r="CQ37" s="1772"/>
      <c r="CR37" s="991"/>
      <c r="CS37" s="1759"/>
      <c r="CT37" s="992">
        <f t="shared" si="145"/>
        <v>0</v>
      </c>
      <c r="CU37" s="1759">
        <v>0</v>
      </c>
      <c r="CV37" s="1758"/>
      <c r="CW37" s="1772"/>
      <c r="CX37" s="992"/>
      <c r="CY37" s="1772"/>
      <c r="CZ37" s="991"/>
      <c r="DA37" s="1759"/>
      <c r="DB37" s="992">
        <f t="shared" si="146"/>
        <v>0</v>
      </c>
      <c r="DC37" s="1759">
        <v>0</v>
      </c>
      <c r="DD37" s="1758"/>
      <c r="DE37" s="1772"/>
      <c r="DF37" s="992"/>
      <c r="DG37" s="1772"/>
      <c r="DH37" s="991"/>
      <c r="DI37" s="1759"/>
      <c r="DJ37" s="992">
        <f t="shared" si="147"/>
        <v>0</v>
      </c>
      <c r="DK37" s="1759">
        <v>0</v>
      </c>
      <c r="DL37" s="1758"/>
      <c r="DM37" s="1772"/>
      <c r="DN37" s="992"/>
      <c r="DO37" s="1772"/>
      <c r="DP37" s="991"/>
      <c r="DQ37" s="1759"/>
      <c r="DR37" s="992">
        <f t="shared" si="148"/>
        <v>0</v>
      </c>
      <c r="DS37" s="1759">
        <v>0</v>
      </c>
      <c r="DT37" s="1758"/>
      <c r="DU37" s="1772"/>
      <c r="DV37" s="992"/>
      <c r="DW37" s="1772"/>
      <c r="DX37" s="991"/>
      <c r="DY37" s="1759"/>
      <c r="DZ37" s="992">
        <f t="shared" si="149"/>
        <v>0</v>
      </c>
      <c r="EA37" s="1759">
        <f t="shared" si="149"/>
        <v>0</v>
      </c>
      <c r="EB37" s="1758"/>
      <c r="EC37" s="1772"/>
      <c r="ED37" s="992"/>
      <c r="EE37" s="1772"/>
      <c r="EF37" s="991"/>
      <c r="EG37" s="1759"/>
      <c r="EH37" s="992">
        <f t="shared" si="150"/>
        <v>0</v>
      </c>
      <c r="EI37" s="1759">
        <f t="shared" si="150"/>
        <v>0</v>
      </c>
      <c r="EJ37" s="1758"/>
      <c r="EK37" s="1772"/>
      <c r="EL37" s="992"/>
      <c r="EM37" s="1772"/>
      <c r="EN37" s="991"/>
      <c r="EO37" s="1759"/>
      <c r="EP37" s="992">
        <f t="shared" si="151"/>
        <v>0</v>
      </c>
      <c r="EQ37" s="1759">
        <f t="shared" si="151"/>
        <v>0</v>
      </c>
      <c r="ER37" s="1758"/>
      <c r="ES37" s="1772"/>
      <c r="ET37" s="992"/>
      <c r="EU37" s="1772"/>
      <c r="EV37" s="991"/>
      <c r="EW37" s="1759"/>
      <c r="EX37" s="992">
        <f t="shared" si="152"/>
        <v>0</v>
      </c>
      <c r="EY37" s="1759">
        <f t="shared" si="152"/>
        <v>0</v>
      </c>
      <c r="EZ37" s="1758"/>
      <c r="FA37" s="1772"/>
      <c r="FB37" s="992"/>
      <c r="FC37" s="1772"/>
      <c r="FD37" s="991"/>
      <c r="FE37" s="1759"/>
      <c r="FF37" s="992">
        <f t="shared" si="153"/>
        <v>0</v>
      </c>
      <c r="FG37" s="1759">
        <f t="shared" si="153"/>
        <v>0</v>
      </c>
      <c r="FH37" s="1758"/>
      <c r="FI37" s="1772"/>
      <c r="FJ37" s="992"/>
      <c r="FK37" s="1772"/>
      <c r="FL37" s="991"/>
      <c r="FM37" s="1759"/>
      <c r="FN37" s="992">
        <f t="shared" si="154"/>
        <v>0</v>
      </c>
      <c r="FO37" s="1759">
        <f t="shared" si="154"/>
        <v>0</v>
      </c>
      <c r="FP37" s="1758"/>
      <c r="FQ37" s="1772"/>
      <c r="FR37" s="992"/>
      <c r="FS37" s="1772"/>
      <c r="FT37" s="991"/>
      <c r="FU37" s="1759"/>
      <c r="FV37" s="992">
        <f t="shared" si="155"/>
        <v>0</v>
      </c>
      <c r="FW37" s="1759">
        <f t="shared" si="155"/>
        <v>0</v>
      </c>
      <c r="FX37" s="1758"/>
      <c r="FY37" s="1772"/>
      <c r="FZ37" s="992"/>
      <c r="GA37" s="1772"/>
      <c r="GB37" s="991"/>
      <c r="GC37" s="1759"/>
      <c r="GD37" s="992">
        <f t="shared" si="156"/>
        <v>0</v>
      </c>
      <c r="GE37" s="1759">
        <f t="shared" si="156"/>
        <v>0</v>
      </c>
      <c r="GF37" s="1758"/>
      <c r="GG37" s="1772"/>
      <c r="GH37" s="992"/>
      <c r="GI37" s="1772"/>
      <c r="GJ37" s="991"/>
      <c r="GK37" s="1759"/>
      <c r="GL37" s="992">
        <f t="shared" si="157"/>
        <v>0</v>
      </c>
      <c r="GM37" s="1759">
        <f t="shared" si="157"/>
        <v>0</v>
      </c>
      <c r="GN37" s="1758"/>
      <c r="GO37" s="1772"/>
      <c r="GP37" s="992"/>
      <c r="GQ37" s="1772"/>
      <c r="GR37" s="991"/>
      <c r="GS37" s="1759"/>
      <c r="GT37" s="992">
        <f t="shared" si="158"/>
        <v>0</v>
      </c>
      <c r="GU37" s="1759">
        <f t="shared" si="158"/>
        <v>0</v>
      </c>
      <c r="GV37" s="1758"/>
      <c r="GW37" s="1772"/>
      <c r="GX37" s="992"/>
      <c r="GY37" s="1772"/>
      <c r="GZ37" s="991"/>
      <c r="HA37" s="1759"/>
      <c r="HB37" s="992">
        <f t="shared" si="159"/>
        <v>0</v>
      </c>
      <c r="HC37" s="1759">
        <f t="shared" si="160"/>
        <v>0</v>
      </c>
      <c r="HD37" s="1758"/>
      <c r="HE37" s="1772"/>
      <c r="HF37" s="992"/>
      <c r="HG37" s="1772"/>
      <c r="HH37" s="991"/>
      <c r="HI37" s="1759"/>
      <c r="HJ37" s="992">
        <f t="shared" si="161"/>
        <v>0</v>
      </c>
      <c r="HK37" s="1759">
        <f t="shared" si="162"/>
        <v>0</v>
      </c>
      <c r="HL37" s="1758"/>
      <c r="HM37" s="1772"/>
      <c r="HN37" s="992"/>
      <c r="HO37" s="1772"/>
      <c r="HP37" s="991"/>
      <c r="HQ37" s="1759"/>
      <c r="HR37" s="992">
        <f t="shared" si="163"/>
        <v>0</v>
      </c>
      <c r="HS37" s="1759">
        <f t="shared" si="164"/>
        <v>0</v>
      </c>
      <c r="HT37" s="1758"/>
      <c r="HU37" s="1772"/>
      <c r="HV37" s="992"/>
      <c r="HW37" s="1772"/>
      <c r="HX37" s="991"/>
      <c r="HY37" s="1759"/>
      <c r="HZ37" s="992">
        <f t="shared" si="165"/>
        <v>0</v>
      </c>
      <c r="IA37" s="1759">
        <f t="shared" si="166"/>
        <v>0</v>
      </c>
      <c r="IB37" s="1758"/>
      <c r="IC37" s="1772"/>
      <c r="ID37" s="992"/>
      <c r="IE37" s="1772"/>
      <c r="IF37" s="991"/>
      <c r="IG37" s="1759"/>
      <c r="IH37" s="992">
        <f t="shared" si="167"/>
        <v>0</v>
      </c>
      <c r="II37" s="1759">
        <f t="shared" si="168"/>
        <v>0</v>
      </c>
      <c r="IJ37" s="1758"/>
      <c r="IK37" s="1772"/>
      <c r="IL37" s="992"/>
      <c r="IM37" s="1772"/>
      <c r="IN37" s="991"/>
      <c r="IO37" s="1759"/>
    </row>
    <row r="38" spans="1:249" s="341" customFormat="1">
      <c r="A38" s="1753"/>
      <c r="B38" s="1754"/>
      <c r="C38" s="1755"/>
      <c r="D38" s="1013">
        <f>VLOOKUP(E38,'DER MG'!$D$5:$I$150,6,0)</f>
        <v>929.01</v>
      </c>
      <c r="E38" s="1017">
        <v>3713600</v>
      </c>
      <c r="F38" s="1756"/>
      <c r="G38" s="1018" t="s">
        <v>430</v>
      </c>
      <c r="H38" s="992">
        <f t="shared" si="117"/>
        <v>0</v>
      </c>
      <c r="I38" s="992">
        <f>'Disp. Prot. Seg. Padrão'!K6/1000</f>
        <v>0</v>
      </c>
      <c r="J38" s="1759" t="s">
        <v>102</v>
      </c>
      <c r="K38" s="1758">
        <f>VLOOKUP($G38,'Quantidades Padrão'!$E$7:$J$103,K$8,0)</f>
        <v>0.85600000000000009</v>
      </c>
      <c r="L38" s="1759" t="s">
        <v>431</v>
      </c>
      <c r="M38" s="992">
        <f>I38*K38</f>
        <v>0</v>
      </c>
      <c r="N38" s="1759" t="s">
        <v>102</v>
      </c>
      <c r="O38" s="992">
        <f>$D38*M38</f>
        <v>0</v>
      </c>
      <c r="P38" s="1759"/>
      <c r="Q38" s="1760">
        <f t="shared" si="0"/>
        <v>0</v>
      </c>
      <c r="R38" s="992">
        <f>$I38</f>
        <v>0</v>
      </c>
      <c r="S38" s="1759" t="s">
        <v>102</v>
      </c>
      <c r="T38" s="1758">
        <f>VLOOKUP($G38,'Quantidades Padrão'!$E$7:$J$103,T$8,0)</f>
        <v>0.85600000000000009</v>
      </c>
      <c r="U38" s="1759" t="s">
        <v>431</v>
      </c>
      <c r="V38" s="992">
        <f>R38*T38</f>
        <v>0</v>
      </c>
      <c r="W38" s="1759" t="s">
        <v>102</v>
      </c>
      <c r="X38" s="992">
        <f>$D38*V38</f>
        <v>0</v>
      </c>
      <c r="Y38" s="1759"/>
      <c r="Z38" s="992">
        <f>$I38</f>
        <v>0</v>
      </c>
      <c r="AA38" s="1759" t="s">
        <v>102</v>
      </c>
      <c r="AB38" s="1758">
        <f>VLOOKUP($G38,'Quantidades Padrão'!$E$7:$J$103,AB$8,0)</f>
        <v>1.605</v>
      </c>
      <c r="AC38" s="1759" t="s">
        <v>431</v>
      </c>
      <c r="AD38" s="992">
        <f>Z38*AB38</f>
        <v>0</v>
      </c>
      <c r="AE38" s="1759" t="s">
        <v>102</v>
      </c>
      <c r="AF38" s="992">
        <f>$D38*AD38</f>
        <v>0</v>
      </c>
      <c r="AG38" s="1759"/>
      <c r="AH38" s="992">
        <f>$I38</f>
        <v>0</v>
      </c>
      <c r="AI38" s="1759" t="s">
        <v>102</v>
      </c>
      <c r="AJ38" s="1758">
        <f>VLOOKUP($G38,'Quantidades Padrão'!$E$7:$J$103,AJ$8,0)</f>
        <v>0.85600000000000009</v>
      </c>
      <c r="AK38" s="1759" t="s">
        <v>431</v>
      </c>
      <c r="AL38" s="992">
        <f>AH38*AJ38</f>
        <v>0</v>
      </c>
      <c r="AM38" s="1759" t="s">
        <v>102</v>
      </c>
      <c r="AN38" s="992">
        <f>$D38*AL38</f>
        <v>0</v>
      </c>
      <c r="AO38" s="1759"/>
      <c r="AP38" s="992">
        <f>$I38</f>
        <v>0</v>
      </c>
      <c r="AQ38" s="1759" t="s">
        <v>102</v>
      </c>
      <c r="AR38" s="1758">
        <f>VLOOKUP($G38,'Quantidades Padrão'!$E$7:$J$103,AR$8,0)</f>
        <v>0.85600000000000009</v>
      </c>
      <c r="AS38" s="1759" t="s">
        <v>431</v>
      </c>
      <c r="AT38" s="992">
        <f>AP38*AR38</f>
        <v>0</v>
      </c>
      <c r="AU38" s="1759" t="s">
        <v>102</v>
      </c>
      <c r="AV38" s="992">
        <f>$D38*AT38</f>
        <v>0</v>
      </c>
      <c r="AW38" s="1759"/>
      <c r="AX38" s="992">
        <f>$I38</f>
        <v>0</v>
      </c>
      <c r="AY38" s="1759" t="s">
        <v>102</v>
      </c>
      <c r="AZ38" s="1758">
        <f>VLOOKUP($G38,'Quantidades Padrão'!$E$7:$J$103,AZ$8,0)</f>
        <v>1.2304999999999999</v>
      </c>
      <c r="BA38" s="1759" t="s">
        <v>431</v>
      </c>
      <c r="BB38" s="992">
        <f>AX38*AZ38</f>
        <v>0</v>
      </c>
      <c r="BC38" s="1759" t="s">
        <v>102</v>
      </c>
      <c r="BD38" s="992">
        <f>$D38*BB38</f>
        <v>0</v>
      </c>
      <c r="BE38" s="1759"/>
      <c r="BF38" s="992">
        <f>$I38</f>
        <v>0</v>
      </c>
      <c r="BG38" s="1759" t="str">
        <f t="shared" si="143"/>
        <v>km</v>
      </c>
      <c r="BH38" s="1758">
        <f>VLOOKUP($G38,'Quantidades Padrão'!$E$7:$J$103,BH$8,0)</f>
        <v>1.605</v>
      </c>
      <c r="BI38" s="1772"/>
      <c r="BJ38" s="992">
        <f>BF38*BH38</f>
        <v>0</v>
      </c>
      <c r="BK38" s="1772"/>
      <c r="BL38" s="992">
        <f>$D38*BJ38</f>
        <v>0</v>
      </c>
      <c r="BM38" s="1759"/>
      <c r="BN38" s="992">
        <f>$I38</f>
        <v>0</v>
      </c>
      <c r="BO38" s="1759" t="s">
        <v>102</v>
      </c>
      <c r="BP38" s="1758">
        <f>VLOOKUP($G38,'Quantidades Padrão'!$E$7:$J$103,BP$8,0)</f>
        <v>0.85600000000000009</v>
      </c>
      <c r="BQ38" s="1772"/>
      <c r="BR38" s="992">
        <f>BN38*BP38</f>
        <v>0</v>
      </c>
      <c r="BS38" s="1772"/>
      <c r="BT38" s="992">
        <f>$D38*BR38</f>
        <v>0</v>
      </c>
      <c r="BU38" s="1759"/>
      <c r="BV38" s="992">
        <f>$I38</f>
        <v>0</v>
      </c>
      <c r="BW38" s="1759" t="s">
        <v>102</v>
      </c>
      <c r="BX38" s="1758">
        <f>VLOOKUP($G38,'Quantidades Padrão'!$E$7:$J$103,BX$8,0)</f>
        <v>1.2304999999999999</v>
      </c>
      <c r="BY38" s="1772"/>
      <c r="BZ38" s="992">
        <f>BV38*BX38</f>
        <v>0</v>
      </c>
      <c r="CA38" s="1772"/>
      <c r="CB38" s="992">
        <f>$D38*BZ38</f>
        <v>0</v>
      </c>
      <c r="CC38" s="1759"/>
      <c r="CD38" s="992">
        <f>$I38</f>
        <v>0</v>
      </c>
      <c r="CE38" s="1759" t="s">
        <v>102</v>
      </c>
      <c r="CF38" s="1758">
        <f>VLOOKUP($G38,'Quantidades Padrão'!$E$7:$J$103,CF$8,0)</f>
        <v>1.605</v>
      </c>
      <c r="CG38" s="1772"/>
      <c r="CH38" s="992">
        <f>CD38*CF38</f>
        <v>0</v>
      </c>
      <c r="CI38" s="1772"/>
      <c r="CJ38" s="992">
        <f>$D38*CH38</f>
        <v>0</v>
      </c>
      <c r="CK38" s="1759"/>
      <c r="CL38" s="992">
        <f t="shared" si="144"/>
        <v>0</v>
      </c>
      <c r="CM38" s="1759" t="str">
        <f t="shared" si="144"/>
        <v>km</v>
      </c>
      <c r="CN38" s="1758">
        <f>VLOOKUP($G38,'Quantidades Padrão'!$E$7:$J$103,CN$8,0)</f>
        <v>0.85600000000000009</v>
      </c>
      <c r="CO38" s="1772"/>
      <c r="CP38" s="992">
        <f>CL38*CN38</f>
        <v>0</v>
      </c>
      <c r="CQ38" s="1772"/>
      <c r="CR38" s="992">
        <f>$D38*CP38</f>
        <v>0</v>
      </c>
      <c r="CS38" s="1759"/>
      <c r="CT38" s="992">
        <f t="shared" si="145"/>
        <v>0</v>
      </c>
      <c r="CU38" s="1759" t="s">
        <v>102</v>
      </c>
      <c r="CV38" s="1758">
        <f>VLOOKUP($G38,'Quantidades Padrão'!$E$7:$J$103,CV$8,0)</f>
        <v>1.2304999999999999</v>
      </c>
      <c r="CW38" s="1772"/>
      <c r="CX38" s="992">
        <f>CT38*CV38</f>
        <v>0</v>
      </c>
      <c r="CY38" s="1772"/>
      <c r="CZ38" s="992">
        <f>$D38*CX38</f>
        <v>0</v>
      </c>
      <c r="DA38" s="1759"/>
      <c r="DB38" s="992">
        <f t="shared" si="146"/>
        <v>0</v>
      </c>
      <c r="DC38" s="1759" t="s">
        <v>102</v>
      </c>
      <c r="DD38" s="1758">
        <f>VLOOKUP($G38,'Quantidades Padrão'!$E$7:$J$103,DD$8,0)</f>
        <v>1.605</v>
      </c>
      <c r="DE38" s="1772"/>
      <c r="DF38" s="992">
        <f>DB38*DD38</f>
        <v>0</v>
      </c>
      <c r="DG38" s="1772"/>
      <c r="DH38" s="992">
        <f>$D38*DF38</f>
        <v>0</v>
      </c>
      <c r="DI38" s="1759"/>
      <c r="DJ38" s="992">
        <f t="shared" si="147"/>
        <v>0</v>
      </c>
      <c r="DK38" s="1759" t="s">
        <v>102</v>
      </c>
      <c r="DL38" s="1758">
        <f>VLOOKUP($G38,'Quantidades Padrão'!$E$7:$J$103,DL$8,0)</f>
        <v>0.85600000000000009</v>
      </c>
      <c r="DM38" s="1772"/>
      <c r="DN38" s="992">
        <f>DJ38*DL38</f>
        <v>0</v>
      </c>
      <c r="DO38" s="1772"/>
      <c r="DP38" s="992">
        <f>$D38*DN38</f>
        <v>0</v>
      </c>
      <c r="DQ38" s="1759"/>
      <c r="DR38" s="992">
        <f t="shared" si="148"/>
        <v>0</v>
      </c>
      <c r="DS38" s="1759" t="s">
        <v>102</v>
      </c>
      <c r="DT38" s="1758">
        <f>VLOOKUP($G38,'Quantidades Padrão'!$E$7:$J$103,DT$8,0)</f>
        <v>1.2304999999999999</v>
      </c>
      <c r="DU38" s="1772"/>
      <c r="DV38" s="992">
        <f>DR38*DT38</f>
        <v>0</v>
      </c>
      <c r="DW38" s="1772"/>
      <c r="DX38" s="992">
        <f>$D38*DV38</f>
        <v>0</v>
      </c>
      <c r="DY38" s="1759"/>
      <c r="DZ38" s="992">
        <f t="shared" si="149"/>
        <v>0</v>
      </c>
      <c r="EA38" s="1759" t="str">
        <f t="shared" si="149"/>
        <v>km</v>
      </c>
      <c r="EB38" s="1758">
        <f>VLOOKUP($G38,'Quantidades Padrão'!$E$7:$J$103,EB$8,0)</f>
        <v>1.605</v>
      </c>
      <c r="EC38" s="1772"/>
      <c r="ED38" s="992">
        <f>DZ38*EB38</f>
        <v>0</v>
      </c>
      <c r="EE38" s="1772"/>
      <c r="EF38" s="992">
        <f>$D38*ED38</f>
        <v>0</v>
      </c>
      <c r="EG38" s="1759"/>
      <c r="EH38" s="992">
        <f t="shared" si="150"/>
        <v>0</v>
      </c>
      <c r="EI38" s="1759" t="str">
        <f t="shared" si="150"/>
        <v>km</v>
      </c>
      <c r="EJ38" s="1758">
        <f>VLOOKUP($G38,'Quantidades Padrão'!$E$7:$J$103,EJ$8,0)</f>
        <v>0.85600000000000009</v>
      </c>
      <c r="EK38" s="1772"/>
      <c r="EL38" s="992">
        <f>EH38*EJ38</f>
        <v>0</v>
      </c>
      <c r="EM38" s="1772"/>
      <c r="EN38" s="992">
        <f>$D38*EL38</f>
        <v>0</v>
      </c>
      <c r="EO38" s="1759"/>
      <c r="EP38" s="992">
        <f t="shared" si="151"/>
        <v>0</v>
      </c>
      <c r="EQ38" s="1759" t="str">
        <f t="shared" si="151"/>
        <v>km</v>
      </c>
      <c r="ER38" s="1758">
        <f>VLOOKUP($G38,'Quantidades Padrão'!$E$7:$J$103,ER$8,0)</f>
        <v>1.2304999999999999</v>
      </c>
      <c r="ES38" s="1772"/>
      <c r="ET38" s="992">
        <f>EP38*ER38</f>
        <v>0</v>
      </c>
      <c r="EU38" s="1772"/>
      <c r="EV38" s="992">
        <f>$D38*ET38</f>
        <v>0</v>
      </c>
      <c r="EW38" s="1759"/>
      <c r="EX38" s="992">
        <f t="shared" si="152"/>
        <v>0</v>
      </c>
      <c r="EY38" s="1759" t="str">
        <f t="shared" si="152"/>
        <v>km</v>
      </c>
      <c r="EZ38" s="1758">
        <f>VLOOKUP($G38,'Quantidades Padrão'!$E$7:$J$103,EZ$8,0)</f>
        <v>1.605</v>
      </c>
      <c r="FA38" s="1772"/>
      <c r="FB38" s="992">
        <f>EX38*EZ38</f>
        <v>0</v>
      </c>
      <c r="FC38" s="1772"/>
      <c r="FD38" s="992">
        <f>$D38*FB38</f>
        <v>0</v>
      </c>
      <c r="FE38" s="1759"/>
      <c r="FF38" s="992">
        <f t="shared" si="153"/>
        <v>0</v>
      </c>
      <c r="FG38" s="1759" t="str">
        <f t="shared" si="153"/>
        <v>km</v>
      </c>
      <c r="FH38" s="1758">
        <f>VLOOKUP($G38,'Quantidades Padrão'!$E$7:$J$103,FH$8,0)</f>
        <v>0.85600000000000009</v>
      </c>
      <c r="FI38" s="1772"/>
      <c r="FJ38" s="992">
        <f>FF38*FH38</f>
        <v>0</v>
      </c>
      <c r="FK38" s="1772"/>
      <c r="FL38" s="992">
        <f>$D38*FJ38</f>
        <v>0</v>
      </c>
      <c r="FM38" s="1759"/>
      <c r="FN38" s="992">
        <f t="shared" si="154"/>
        <v>0</v>
      </c>
      <c r="FO38" s="1759" t="str">
        <f t="shared" si="154"/>
        <v>km</v>
      </c>
      <c r="FP38" s="1758">
        <f>VLOOKUP($G38,'Quantidades Padrão'!$E$7:$J$103,FP$8,0)</f>
        <v>1.2304999999999999</v>
      </c>
      <c r="FQ38" s="1772"/>
      <c r="FR38" s="992">
        <f>FN38*FP38</f>
        <v>0</v>
      </c>
      <c r="FS38" s="1772"/>
      <c r="FT38" s="992">
        <f>$D38*FR38</f>
        <v>0</v>
      </c>
      <c r="FU38" s="1759"/>
      <c r="FV38" s="992">
        <f t="shared" si="155"/>
        <v>0</v>
      </c>
      <c r="FW38" s="1759" t="str">
        <f t="shared" si="155"/>
        <v>km</v>
      </c>
      <c r="FX38" s="1758">
        <f>VLOOKUP($G38,'Quantidades Padrão'!$E$7:$J$103,FX$8,0)</f>
        <v>1.605</v>
      </c>
      <c r="FY38" s="1772"/>
      <c r="FZ38" s="992">
        <f>FV38*FX38</f>
        <v>0</v>
      </c>
      <c r="GA38" s="1772"/>
      <c r="GB38" s="992">
        <f>$D38*FZ38</f>
        <v>0</v>
      </c>
      <c r="GC38" s="1759"/>
      <c r="GD38" s="992">
        <f t="shared" si="156"/>
        <v>0</v>
      </c>
      <c r="GE38" s="1759" t="str">
        <f t="shared" si="156"/>
        <v>km</v>
      </c>
      <c r="GF38" s="1758">
        <f>VLOOKUP($G38,'Quantidades Padrão'!$E$7:$J$103,GF$8,0)</f>
        <v>0.85600000000000009</v>
      </c>
      <c r="GG38" s="1772"/>
      <c r="GH38" s="992">
        <f>GD38*GF38</f>
        <v>0</v>
      </c>
      <c r="GI38" s="1772"/>
      <c r="GJ38" s="992">
        <f>$D38*GH38</f>
        <v>0</v>
      </c>
      <c r="GK38" s="1759"/>
      <c r="GL38" s="992">
        <f t="shared" si="157"/>
        <v>0</v>
      </c>
      <c r="GM38" s="1759" t="str">
        <f t="shared" si="157"/>
        <v>km</v>
      </c>
      <c r="GN38" s="1758">
        <f>VLOOKUP($G38,'Quantidades Padrão'!$E$7:$J$103,GN$8,0)</f>
        <v>1.2304999999999999</v>
      </c>
      <c r="GO38" s="1772"/>
      <c r="GP38" s="992">
        <f>GL38*GN38</f>
        <v>0</v>
      </c>
      <c r="GQ38" s="1772"/>
      <c r="GR38" s="992">
        <f>$D38*GP38</f>
        <v>0</v>
      </c>
      <c r="GS38" s="1759"/>
      <c r="GT38" s="992">
        <f t="shared" si="158"/>
        <v>0</v>
      </c>
      <c r="GU38" s="1759" t="str">
        <f t="shared" si="158"/>
        <v>km</v>
      </c>
      <c r="GV38" s="1758">
        <f>VLOOKUP($G38,'Quantidades Padrão'!$E$7:$J$103,GV$8,0)</f>
        <v>1.605</v>
      </c>
      <c r="GW38" s="1772"/>
      <c r="GX38" s="992">
        <f>GT38*GV38</f>
        <v>0</v>
      </c>
      <c r="GY38" s="1772"/>
      <c r="GZ38" s="992">
        <f>$D38*GX38</f>
        <v>0</v>
      </c>
      <c r="HA38" s="1759"/>
      <c r="HB38" s="992">
        <f t="shared" si="159"/>
        <v>0</v>
      </c>
      <c r="HC38" s="1759" t="str">
        <f t="shared" si="160"/>
        <v>km</v>
      </c>
      <c r="HD38" s="1758">
        <f>VLOOKUP($G38,'Quantidades Padrão'!$E$7:$J$103,HD$8,0)</f>
        <v>0.85600000000000009</v>
      </c>
      <c r="HE38" s="1772"/>
      <c r="HF38" s="992">
        <f>HB38*HD38</f>
        <v>0</v>
      </c>
      <c r="HG38" s="1772"/>
      <c r="HH38" s="992">
        <f>$D38*HF38</f>
        <v>0</v>
      </c>
      <c r="HI38" s="1759"/>
      <c r="HJ38" s="992">
        <f t="shared" si="161"/>
        <v>0</v>
      </c>
      <c r="HK38" s="1759" t="str">
        <f t="shared" si="162"/>
        <v>km</v>
      </c>
      <c r="HL38" s="1758">
        <f>VLOOKUP($G38,'Quantidades Padrão'!$E$7:$J$103,HL$8,0)</f>
        <v>1.2304999999999999</v>
      </c>
      <c r="HM38" s="1772"/>
      <c r="HN38" s="992">
        <f>HJ38*HL38</f>
        <v>0</v>
      </c>
      <c r="HO38" s="1772"/>
      <c r="HP38" s="992">
        <f>$D38*HN38</f>
        <v>0</v>
      </c>
      <c r="HQ38" s="1759"/>
      <c r="HR38" s="992">
        <f t="shared" si="163"/>
        <v>0</v>
      </c>
      <c r="HS38" s="1759" t="str">
        <f t="shared" si="164"/>
        <v>km</v>
      </c>
      <c r="HT38" s="1758">
        <f>VLOOKUP($G38,'Quantidades Padrão'!$E$7:$J$103,HT$8,0)</f>
        <v>1.605</v>
      </c>
      <c r="HU38" s="1772"/>
      <c r="HV38" s="992">
        <f>HR38*HT38</f>
        <v>0</v>
      </c>
      <c r="HW38" s="1772"/>
      <c r="HX38" s="992">
        <f>$D38*HV38</f>
        <v>0</v>
      </c>
      <c r="HY38" s="1759"/>
      <c r="HZ38" s="992">
        <f t="shared" si="165"/>
        <v>0</v>
      </c>
      <c r="IA38" s="1759" t="str">
        <f t="shared" si="166"/>
        <v>km</v>
      </c>
      <c r="IB38" s="1758">
        <f>VLOOKUP($G38,'Quantidades Padrão'!$E$7:$J$103,IB$8,0)</f>
        <v>0.85600000000000009</v>
      </c>
      <c r="IC38" s="1772"/>
      <c r="ID38" s="992">
        <f>HZ38*IB38</f>
        <v>0</v>
      </c>
      <c r="IE38" s="1772"/>
      <c r="IF38" s="992">
        <f>$D38*ID38</f>
        <v>0</v>
      </c>
      <c r="IG38" s="1759"/>
      <c r="IH38" s="992">
        <f t="shared" si="167"/>
        <v>0</v>
      </c>
      <c r="II38" s="1759" t="str">
        <f t="shared" si="168"/>
        <v>km</v>
      </c>
      <c r="IJ38" s="1758">
        <f>VLOOKUP($G38,'Quantidades Padrão'!$E$7:$J$103,IJ$8,0)</f>
        <v>1.2304999999999999</v>
      </c>
      <c r="IK38" s="1772"/>
      <c r="IL38" s="992">
        <f>IH38*IJ38</f>
        <v>0</v>
      </c>
      <c r="IM38" s="1772"/>
      <c r="IN38" s="992">
        <f>$D38*IL38</f>
        <v>0</v>
      </c>
      <c r="IO38" s="1759"/>
    </row>
    <row r="39" spans="1:249" s="341" customFormat="1">
      <c r="A39" s="1753"/>
      <c r="B39" s="1754"/>
      <c r="C39" s="1755"/>
      <c r="D39" s="1013">
        <f>VLOOKUP(E39,'DER MG'!$D$5:$I$150,6,0)</f>
        <v>489.48</v>
      </c>
      <c r="E39" s="1017">
        <v>40989</v>
      </c>
      <c r="F39" s="1756"/>
      <c r="G39" s="1018" t="s">
        <v>432</v>
      </c>
      <c r="H39" s="992">
        <f t="shared" si="117"/>
        <v>175192.23420000004</v>
      </c>
      <c r="I39" s="992">
        <f>SUBTOTAL(9,'Disp. Prot. Seg. Padrão'!K5,'Disp. Prot. Seg. Padrão'!K10)</f>
        <v>100</v>
      </c>
      <c r="J39" s="1759" t="s">
        <v>102</v>
      </c>
      <c r="K39" s="1758">
        <f>VLOOKUP($G39,'Quantidades Padrão'!$E$7:$J$103,K$8,0)</f>
        <v>8.5600000000000023E-2</v>
      </c>
      <c r="L39" s="1759" t="s">
        <v>433</v>
      </c>
      <c r="M39" s="992">
        <f>I39*K39</f>
        <v>8.5600000000000023</v>
      </c>
      <c r="N39" s="1759" t="s">
        <v>413</v>
      </c>
      <c r="O39" s="992">
        <f>$D39*M39</f>
        <v>4189.948800000001</v>
      </c>
      <c r="P39" s="1759"/>
      <c r="Q39" s="1760">
        <f t="shared" si="0"/>
        <v>6.7500442128708203E-4</v>
      </c>
      <c r="R39" s="992">
        <f>$I39</f>
        <v>100</v>
      </c>
      <c r="S39" s="1759" t="s">
        <v>102</v>
      </c>
      <c r="T39" s="1758">
        <f>VLOOKUP($G39,'Quantidades Padrão'!$E$7:$J$103,T$8,0)</f>
        <v>8.5600000000000023E-2</v>
      </c>
      <c r="U39" s="1759" t="s">
        <v>433</v>
      </c>
      <c r="V39" s="992">
        <f>R39*T39</f>
        <v>8.5600000000000023</v>
      </c>
      <c r="W39" s="1759" t="s">
        <v>413</v>
      </c>
      <c r="X39" s="992">
        <f>$D39*V39</f>
        <v>4189.948800000001</v>
      </c>
      <c r="Y39" s="1759"/>
      <c r="Z39" s="992">
        <f>$I39</f>
        <v>100</v>
      </c>
      <c r="AA39" s="1759" t="s">
        <v>102</v>
      </c>
      <c r="AB39" s="1758">
        <f>VLOOKUP($G39,'Quantidades Padrão'!$E$7:$J$103,AB$8,0)</f>
        <v>0.16050000000000003</v>
      </c>
      <c r="AC39" s="1759" t="s">
        <v>433</v>
      </c>
      <c r="AD39" s="992">
        <f>Z39*AB39</f>
        <v>16.050000000000004</v>
      </c>
      <c r="AE39" s="1759" t="s">
        <v>413</v>
      </c>
      <c r="AF39" s="992">
        <f>$D39*AD39</f>
        <v>7856.1540000000023</v>
      </c>
      <c r="AG39" s="1759"/>
      <c r="AH39" s="992">
        <f>$I39</f>
        <v>100</v>
      </c>
      <c r="AI39" s="1759" t="s">
        <v>102</v>
      </c>
      <c r="AJ39" s="1758">
        <f>VLOOKUP($G39,'Quantidades Padrão'!$E$7:$J$103,AJ$8,0)</f>
        <v>8.5600000000000023E-2</v>
      </c>
      <c r="AK39" s="1759" t="s">
        <v>433</v>
      </c>
      <c r="AL39" s="992">
        <f>AH39*AJ39</f>
        <v>8.5600000000000023</v>
      </c>
      <c r="AM39" s="1759" t="s">
        <v>413</v>
      </c>
      <c r="AN39" s="992">
        <f>$D39*AL39</f>
        <v>4189.948800000001</v>
      </c>
      <c r="AO39" s="1759"/>
      <c r="AP39" s="992">
        <f>$I39</f>
        <v>100</v>
      </c>
      <c r="AQ39" s="1759" t="s">
        <v>102</v>
      </c>
      <c r="AR39" s="1758">
        <f>VLOOKUP($G39,'Quantidades Padrão'!$E$7:$J$103,AR$8,0)</f>
        <v>8.5600000000000023E-2</v>
      </c>
      <c r="AS39" s="1759" t="s">
        <v>433</v>
      </c>
      <c r="AT39" s="992">
        <f>AP39*AR39</f>
        <v>8.5600000000000023</v>
      </c>
      <c r="AU39" s="1759" t="s">
        <v>413</v>
      </c>
      <c r="AV39" s="992">
        <f>$D39*AT39</f>
        <v>4189.948800000001</v>
      </c>
      <c r="AW39" s="1759"/>
      <c r="AX39" s="992">
        <f>$I39</f>
        <v>100</v>
      </c>
      <c r="AY39" s="1759" t="s">
        <v>102</v>
      </c>
      <c r="AZ39" s="1758">
        <f>VLOOKUP($G39,'Quantidades Padrão'!$E$7:$J$103,AZ$8,0)</f>
        <v>0.12305000000000002</v>
      </c>
      <c r="BA39" s="1759" t="s">
        <v>433</v>
      </c>
      <c r="BB39" s="992">
        <f>AX39*AZ39</f>
        <v>12.305000000000001</v>
      </c>
      <c r="BC39" s="1759" t="s">
        <v>413</v>
      </c>
      <c r="BD39" s="992">
        <f>$D39*BB39</f>
        <v>6023.0514000000012</v>
      </c>
      <c r="BE39" s="1759"/>
      <c r="BF39" s="992">
        <f>$I39</f>
        <v>100</v>
      </c>
      <c r="BG39" s="1759" t="str">
        <f t="shared" si="143"/>
        <v>km</v>
      </c>
      <c r="BH39" s="1758">
        <f>VLOOKUP($G39,'Quantidades Padrão'!$E$7:$J$103,BH$8,0)</f>
        <v>0.16050000000000003</v>
      </c>
      <c r="BI39" s="1772"/>
      <c r="BJ39" s="992">
        <f>BF39*BH39</f>
        <v>16.050000000000004</v>
      </c>
      <c r="BK39" s="1772"/>
      <c r="BL39" s="992">
        <f>$D39*BJ39</f>
        <v>7856.1540000000023</v>
      </c>
      <c r="BM39" s="1759"/>
      <c r="BN39" s="992">
        <f>$I39</f>
        <v>100</v>
      </c>
      <c r="BO39" s="1759" t="s">
        <v>102</v>
      </c>
      <c r="BP39" s="1758">
        <f>VLOOKUP($G39,'Quantidades Padrão'!$E$7:$J$103,BP$8,0)</f>
        <v>8.5600000000000023E-2</v>
      </c>
      <c r="BQ39" s="1772"/>
      <c r="BR39" s="992">
        <f>BN39*BP39</f>
        <v>8.5600000000000023</v>
      </c>
      <c r="BS39" s="1772"/>
      <c r="BT39" s="992">
        <f>$D39*BR39</f>
        <v>4189.948800000001</v>
      </c>
      <c r="BU39" s="1759"/>
      <c r="BV39" s="992">
        <f>$I39</f>
        <v>100</v>
      </c>
      <c r="BW39" s="1759" t="s">
        <v>102</v>
      </c>
      <c r="BX39" s="1758">
        <f>VLOOKUP($G39,'Quantidades Padrão'!$E$7:$J$103,BX$8,0)</f>
        <v>0.12305000000000002</v>
      </c>
      <c r="BY39" s="1772"/>
      <c r="BZ39" s="992">
        <f>BV39*BX39</f>
        <v>12.305000000000001</v>
      </c>
      <c r="CA39" s="1772"/>
      <c r="CB39" s="992">
        <f>$D39*BZ39</f>
        <v>6023.0514000000012</v>
      </c>
      <c r="CC39" s="1759"/>
      <c r="CD39" s="992">
        <f>$I39</f>
        <v>100</v>
      </c>
      <c r="CE39" s="1759" t="s">
        <v>102</v>
      </c>
      <c r="CF39" s="1758">
        <f>VLOOKUP($G39,'Quantidades Padrão'!$E$7:$J$103,CF$8,0)</f>
        <v>0.16050000000000003</v>
      </c>
      <c r="CG39" s="1772"/>
      <c r="CH39" s="992">
        <f>CD39*CF39</f>
        <v>16.050000000000004</v>
      </c>
      <c r="CI39" s="1772"/>
      <c r="CJ39" s="992">
        <f>$D39*CH39</f>
        <v>7856.1540000000023</v>
      </c>
      <c r="CK39" s="1759"/>
      <c r="CL39" s="992">
        <f t="shared" si="144"/>
        <v>100</v>
      </c>
      <c r="CM39" s="1759" t="str">
        <f t="shared" si="144"/>
        <v>km</v>
      </c>
      <c r="CN39" s="1758">
        <f>VLOOKUP($G39,'Quantidades Padrão'!$E$7:$J$103,CN$8,0)</f>
        <v>8.5600000000000023E-2</v>
      </c>
      <c r="CO39" s="1772"/>
      <c r="CP39" s="992">
        <f>CL39*CN39</f>
        <v>8.5600000000000023</v>
      </c>
      <c r="CQ39" s="1772"/>
      <c r="CR39" s="992">
        <f>$D39*CP39</f>
        <v>4189.948800000001</v>
      </c>
      <c r="CS39" s="1759"/>
      <c r="CT39" s="992">
        <f t="shared" si="145"/>
        <v>100</v>
      </c>
      <c r="CU39" s="1759" t="s">
        <v>102</v>
      </c>
      <c r="CV39" s="1758">
        <f>VLOOKUP($G39,'Quantidades Padrão'!$E$7:$J$103,CV$8,0)</f>
        <v>0.12305000000000002</v>
      </c>
      <c r="CW39" s="1772"/>
      <c r="CX39" s="992">
        <f>CT39*CV39</f>
        <v>12.305000000000001</v>
      </c>
      <c r="CY39" s="1772"/>
      <c r="CZ39" s="992">
        <f>$D39*CX39</f>
        <v>6023.0514000000012</v>
      </c>
      <c r="DA39" s="1759"/>
      <c r="DB39" s="992">
        <f t="shared" si="146"/>
        <v>100</v>
      </c>
      <c r="DC39" s="1759" t="s">
        <v>102</v>
      </c>
      <c r="DD39" s="1758">
        <f>VLOOKUP($G39,'Quantidades Padrão'!$E$7:$J$103,DD$8,0)</f>
        <v>0.16050000000000003</v>
      </c>
      <c r="DE39" s="1772"/>
      <c r="DF39" s="992">
        <f>DB39*DD39</f>
        <v>16.050000000000004</v>
      </c>
      <c r="DG39" s="1772"/>
      <c r="DH39" s="992">
        <f>$D39*DF39</f>
        <v>7856.1540000000023</v>
      </c>
      <c r="DI39" s="1759"/>
      <c r="DJ39" s="992">
        <f t="shared" si="147"/>
        <v>100</v>
      </c>
      <c r="DK39" s="1759" t="s">
        <v>102</v>
      </c>
      <c r="DL39" s="1758">
        <f>VLOOKUP($G39,'Quantidades Padrão'!$E$7:$J$103,DL$8,0)</f>
        <v>8.5600000000000023E-2</v>
      </c>
      <c r="DM39" s="1772"/>
      <c r="DN39" s="992">
        <f>DJ39*DL39</f>
        <v>8.5600000000000023</v>
      </c>
      <c r="DO39" s="1772"/>
      <c r="DP39" s="992">
        <f>$D39*DN39</f>
        <v>4189.948800000001</v>
      </c>
      <c r="DQ39" s="1759"/>
      <c r="DR39" s="992">
        <f t="shared" si="148"/>
        <v>100</v>
      </c>
      <c r="DS39" s="1759" t="s">
        <v>102</v>
      </c>
      <c r="DT39" s="1758">
        <f>VLOOKUP($G39,'Quantidades Padrão'!$E$7:$J$103,DT$8,0)</f>
        <v>0.12305000000000002</v>
      </c>
      <c r="DU39" s="1772"/>
      <c r="DV39" s="992">
        <f>DR39*DT39</f>
        <v>12.305000000000001</v>
      </c>
      <c r="DW39" s="1772"/>
      <c r="DX39" s="992">
        <f>$D39*DV39</f>
        <v>6023.0514000000012</v>
      </c>
      <c r="DY39" s="1759"/>
      <c r="DZ39" s="992">
        <f t="shared" si="149"/>
        <v>100</v>
      </c>
      <c r="EA39" s="1759" t="str">
        <f t="shared" si="149"/>
        <v>km</v>
      </c>
      <c r="EB39" s="1758">
        <f>VLOOKUP($G39,'Quantidades Padrão'!$E$7:$J$103,EB$8,0)</f>
        <v>0.16050000000000003</v>
      </c>
      <c r="EC39" s="1772"/>
      <c r="ED39" s="992">
        <f>DZ39*EB39</f>
        <v>16.050000000000004</v>
      </c>
      <c r="EE39" s="1772"/>
      <c r="EF39" s="992">
        <f>$D39*ED39</f>
        <v>7856.1540000000023</v>
      </c>
      <c r="EG39" s="1759"/>
      <c r="EH39" s="992">
        <f t="shared" si="150"/>
        <v>100</v>
      </c>
      <c r="EI39" s="1759" t="str">
        <f t="shared" si="150"/>
        <v>km</v>
      </c>
      <c r="EJ39" s="1758">
        <f>VLOOKUP($G39,'Quantidades Padrão'!$E$7:$J$103,EJ$8,0)</f>
        <v>8.5600000000000023E-2</v>
      </c>
      <c r="EK39" s="1772"/>
      <c r="EL39" s="992">
        <f>EH39*EJ39</f>
        <v>8.5600000000000023</v>
      </c>
      <c r="EM39" s="1772"/>
      <c r="EN39" s="992">
        <f>$D39*EL39</f>
        <v>4189.948800000001</v>
      </c>
      <c r="EO39" s="1759"/>
      <c r="EP39" s="992">
        <f t="shared" si="151"/>
        <v>100</v>
      </c>
      <c r="EQ39" s="1759" t="str">
        <f t="shared" si="151"/>
        <v>km</v>
      </c>
      <c r="ER39" s="1758">
        <f>VLOOKUP($G39,'Quantidades Padrão'!$E$7:$J$103,ER$8,0)</f>
        <v>0.12305000000000002</v>
      </c>
      <c r="ES39" s="1772"/>
      <c r="ET39" s="992">
        <f>EP39*ER39</f>
        <v>12.305000000000001</v>
      </c>
      <c r="EU39" s="1772"/>
      <c r="EV39" s="992">
        <f>$D39*ET39</f>
        <v>6023.0514000000012</v>
      </c>
      <c r="EW39" s="1759"/>
      <c r="EX39" s="992">
        <f t="shared" si="152"/>
        <v>100</v>
      </c>
      <c r="EY39" s="1759" t="str">
        <f t="shared" si="152"/>
        <v>km</v>
      </c>
      <c r="EZ39" s="1758">
        <f>VLOOKUP($G39,'Quantidades Padrão'!$E$7:$J$103,EZ$8,0)</f>
        <v>0.16050000000000003</v>
      </c>
      <c r="FA39" s="1772"/>
      <c r="FB39" s="992">
        <f>EX39*EZ39</f>
        <v>16.050000000000004</v>
      </c>
      <c r="FC39" s="1772"/>
      <c r="FD39" s="992">
        <f>$D39*FB39</f>
        <v>7856.1540000000023</v>
      </c>
      <c r="FE39" s="1759"/>
      <c r="FF39" s="992">
        <f t="shared" si="153"/>
        <v>100</v>
      </c>
      <c r="FG39" s="1759" t="str">
        <f t="shared" si="153"/>
        <v>km</v>
      </c>
      <c r="FH39" s="1758">
        <f>VLOOKUP($G39,'Quantidades Padrão'!$E$7:$J$103,FH$8,0)</f>
        <v>8.5600000000000023E-2</v>
      </c>
      <c r="FI39" s="1772"/>
      <c r="FJ39" s="992">
        <f>FF39*FH39</f>
        <v>8.5600000000000023</v>
      </c>
      <c r="FK39" s="1772"/>
      <c r="FL39" s="992">
        <f>$D39*FJ39</f>
        <v>4189.948800000001</v>
      </c>
      <c r="FM39" s="1759"/>
      <c r="FN39" s="992">
        <f t="shared" si="154"/>
        <v>100</v>
      </c>
      <c r="FO39" s="1759" t="str">
        <f t="shared" si="154"/>
        <v>km</v>
      </c>
      <c r="FP39" s="1758">
        <f>VLOOKUP($G39,'Quantidades Padrão'!$E$7:$J$103,FP$8,0)</f>
        <v>0.12305000000000002</v>
      </c>
      <c r="FQ39" s="1772"/>
      <c r="FR39" s="992">
        <f>FN39*FP39</f>
        <v>12.305000000000001</v>
      </c>
      <c r="FS39" s="1772"/>
      <c r="FT39" s="992">
        <f>$D39*FR39</f>
        <v>6023.0514000000012</v>
      </c>
      <c r="FU39" s="1759"/>
      <c r="FV39" s="992">
        <f t="shared" si="155"/>
        <v>100</v>
      </c>
      <c r="FW39" s="1759" t="str">
        <f t="shared" si="155"/>
        <v>km</v>
      </c>
      <c r="FX39" s="1758">
        <f>VLOOKUP($G39,'Quantidades Padrão'!$E$7:$J$103,FX$8,0)</f>
        <v>0.16050000000000003</v>
      </c>
      <c r="FY39" s="1772"/>
      <c r="FZ39" s="992">
        <f>FV39*FX39</f>
        <v>16.050000000000004</v>
      </c>
      <c r="GA39" s="1772"/>
      <c r="GB39" s="992">
        <f>$D39*FZ39</f>
        <v>7856.1540000000023</v>
      </c>
      <c r="GC39" s="1759"/>
      <c r="GD39" s="992">
        <f t="shared" si="156"/>
        <v>100</v>
      </c>
      <c r="GE39" s="1759" t="str">
        <f t="shared" si="156"/>
        <v>km</v>
      </c>
      <c r="GF39" s="1758">
        <f>VLOOKUP($G39,'Quantidades Padrão'!$E$7:$J$103,GF$8,0)</f>
        <v>8.5600000000000023E-2</v>
      </c>
      <c r="GG39" s="1772"/>
      <c r="GH39" s="992">
        <f>GD39*GF39</f>
        <v>8.5600000000000023</v>
      </c>
      <c r="GI39" s="1772"/>
      <c r="GJ39" s="992">
        <f>$D39*GH39</f>
        <v>4189.948800000001</v>
      </c>
      <c r="GK39" s="1759"/>
      <c r="GL39" s="992">
        <f t="shared" si="157"/>
        <v>100</v>
      </c>
      <c r="GM39" s="1759" t="str">
        <f t="shared" si="157"/>
        <v>km</v>
      </c>
      <c r="GN39" s="1758">
        <f>VLOOKUP($G39,'Quantidades Padrão'!$E$7:$J$103,GN$8,0)</f>
        <v>0.12305000000000002</v>
      </c>
      <c r="GO39" s="1772"/>
      <c r="GP39" s="992">
        <f>GL39*GN39</f>
        <v>12.305000000000001</v>
      </c>
      <c r="GQ39" s="1772"/>
      <c r="GR39" s="992">
        <f>$D39*GP39</f>
        <v>6023.0514000000012</v>
      </c>
      <c r="GS39" s="1759"/>
      <c r="GT39" s="992">
        <f t="shared" si="158"/>
        <v>100</v>
      </c>
      <c r="GU39" s="1759" t="str">
        <f t="shared" si="158"/>
        <v>km</v>
      </c>
      <c r="GV39" s="1758">
        <f>VLOOKUP($G39,'Quantidades Padrão'!$E$7:$J$103,GV$8,0)</f>
        <v>0.16050000000000003</v>
      </c>
      <c r="GW39" s="1772"/>
      <c r="GX39" s="992">
        <f>GT39*GV39</f>
        <v>16.050000000000004</v>
      </c>
      <c r="GY39" s="1772"/>
      <c r="GZ39" s="992">
        <f>$D39*GX39</f>
        <v>7856.1540000000023</v>
      </c>
      <c r="HA39" s="1759"/>
      <c r="HB39" s="992">
        <f t="shared" si="159"/>
        <v>100</v>
      </c>
      <c r="HC39" s="1759" t="str">
        <f t="shared" si="160"/>
        <v>km</v>
      </c>
      <c r="HD39" s="1758">
        <f>VLOOKUP($G39,'Quantidades Padrão'!$E$7:$J$103,HD$8,0)</f>
        <v>8.5600000000000023E-2</v>
      </c>
      <c r="HE39" s="1772"/>
      <c r="HF39" s="992">
        <f>HB39*HD39</f>
        <v>8.5600000000000023</v>
      </c>
      <c r="HG39" s="1772"/>
      <c r="HH39" s="992">
        <f>$D39*HF39</f>
        <v>4189.948800000001</v>
      </c>
      <c r="HI39" s="1759"/>
      <c r="HJ39" s="992">
        <f t="shared" si="161"/>
        <v>100</v>
      </c>
      <c r="HK39" s="1759" t="str">
        <f t="shared" si="162"/>
        <v>km</v>
      </c>
      <c r="HL39" s="1758">
        <f>VLOOKUP($G39,'Quantidades Padrão'!$E$7:$J$103,HL$8,0)</f>
        <v>0.12305000000000002</v>
      </c>
      <c r="HM39" s="1772"/>
      <c r="HN39" s="992">
        <f>HJ39*HL39</f>
        <v>12.305000000000001</v>
      </c>
      <c r="HO39" s="1772"/>
      <c r="HP39" s="992">
        <f>$D39*HN39</f>
        <v>6023.0514000000012</v>
      </c>
      <c r="HQ39" s="1759"/>
      <c r="HR39" s="992">
        <f t="shared" si="163"/>
        <v>100</v>
      </c>
      <c r="HS39" s="1759" t="str">
        <f t="shared" si="164"/>
        <v>km</v>
      </c>
      <c r="HT39" s="1758">
        <f>VLOOKUP($G39,'Quantidades Padrão'!$E$7:$J$103,HT$8,0)</f>
        <v>0.16050000000000003</v>
      </c>
      <c r="HU39" s="1772"/>
      <c r="HV39" s="992">
        <f>HR39*HT39</f>
        <v>16.050000000000004</v>
      </c>
      <c r="HW39" s="1772"/>
      <c r="HX39" s="992">
        <f>$D39*HV39</f>
        <v>7856.1540000000023</v>
      </c>
      <c r="HY39" s="1759"/>
      <c r="HZ39" s="992">
        <f t="shared" si="165"/>
        <v>100</v>
      </c>
      <c r="IA39" s="1759" t="str">
        <f t="shared" si="166"/>
        <v>km</v>
      </c>
      <c r="IB39" s="1758">
        <f>VLOOKUP($G39,'Quantidades Padrão'!$E$7:$J$103,IB$8,0)</f>
        <v>8.5600000000000023E-2</v>
      </c>
      <c r="IC39" s="1772"/>
      <c r="ID39" s="992">
        <f>HZ39*IB39</f>
        <v>8.5600000000000023</v>
      </c>
      <c r="IE39" s="1772"/>
      <c r="IF39" s="992">
        <f>$D39*ID39</f>
        <v>4189.948800000001</v>
      </c>
      <c r="IG39" s="1759"/>
      <c r="IH39" s="992">
        <f t="shared" si="167"/>
        <v>100</v>
      </c>
      <c r="II39" s="1759" t="str">
        <f t="shared" si="168"/>
        <v>km</v>
      </c>
      <c r="IJ39" s="1758">
        <f>VLOOKUP($G39,'Quantidades Padrão'!$E$7:$J$103,IJ$8,0)</f>
        <v>0.12305000000000002</v>
      </c>
      <c r="IK39" s="1772"/>
      <c r="IL39" s="992">
        <f>IH39*IJ39</f>
        <v>12.305000000000001</v>
      </c>
      <c r="IM39" s="1772"/>
      <c r="IN39" s="992">
        <f>$D39*IL39</f>
        <v>6023.0514000000012</v>
      </c>
      <c r="IO39" s="1759"/>
    </row>
    <row r="40" spans="1:249" s="341" customFormat="1">
      <c r="A40" s="1753"/>
      <c r="B40" s="1754"/>
      <c r="C40" s="1755"/>
      <c r="D40" s="1013">
        <f>VLOOKUP(E40,'DER MG'!$D$5:$I$150,6,0)</f>
        <v>489.48</v>
      </c>
      <c r="E40" s="1017">
        <v>40989</v>
      </c>
      <c r="F40" s="1756"/>
      <c r="G40" s="1018" t="s">
        <v>434</v>
      </c>
      <c r="H40" s="992">
        <f t="shared" si="117"/>
        <v>350384.46840000007</v>
      </c>
      <c r="I40" s="992">
        <f>I39</f>
        <v>100</v>
      </c>
      <c r="J40" s="1759" t="s">
        <v>102</v>
      </c>
      <c r="K40" s="1758">
        <f>VLOOKUP($G40,'Quantidades Padrão'!$E$7:$J$103,K$8,0)</f>
        <v>0.17120000000000005</v>
      </c>
      <c r="L40" s="1759" t="s">
        <v>431</v>
      </c>
      <c r="M40" s="992">
        <f>I40*K40</f>
        <v>17.120000000000005</v>
      </c>
      <c r="N40" s="1759" t="s">
        <v>102</v>
      </c>
      <c r="O40" s="992">
        <f>$D40*M40</f>
        <v>8379.8976000000021</v>
      </c>
      <c r="P40" s="1759"/>
      <c r="Q40" s="1760">
        <f t="shared" si="0"/>
        <v>1.3500088425741641E-3</v>
      </c>
      <c r="R40" s="992">
        <f>$I40</f>
        <v>100</v>
      </c>
      <c r="S40" s="1759" t="s">
        <v>102</v>
      </c>
      <c r="T40" s="1758">
        <f>VLOOKUP($G40,'Quantidades Padrão'!$E$7:$J$103,T$8,0)</f>
        <v>0.17120000000000005</v>
      </c>
      <c r="U40" s="1759" t="s">
        <v>431</v>
      </c>
      <c r="V40" s="992">
        <f>R40*T40</f>
        <v>17.120000000000005</v>
      </c>
      <c r="W40" s="1759" t="s">
        <v>102</v>
      </c>
      <c r="X40" s="992">
        <f>$D40*V40</f>
        <v>8379.8976000000021</v>
      </c>
      <c r="Y40" s="1759"/>
      <c r="Z40" s="992">
        <f>$I40</f>
        <v>100</v>
      </c>
      <c r="AA40" s="1759" t="s">
        <v>102</v>
      </c>
      <c r="AB40" s="1758">
        <f>VLOOKUP($G40,'Quantidades Padrão'!$E$7:$J$103,AB$8,0)</f>
        <v>0.32100000000000006</v>
      </c>
      <c r="AC40" s="1759" t="s">
        <v>431</v>
      </c>
      <c r="AD40" s="992">
        <f>Z40*AB40</f>
        <v>32.100000000000009</v>
      </c>
      <c r="AE40" s="1759" t="s">
        <v>102</v>
      </c>
      <c r="AF40" s="992">
        <f>$D40*AD40</f>
        <v>15712.308000000005</v>
      </c>
      <c r="AG40" s="1759"/>
      <c r="AH40" s="992">
        <f>$I40</f>
        <v>100</v>
      </c>
      <c r="AI40" s="1759" t="s">
        <v>102</v>
      </c>
      <c r="AJ40" s="1758">
        <f>VLOOKUP($G40,'Quantidades Padrão'!$E$7:$J$103,AJ$8,0)</f>
        <v>0.17120000000000005</v>
      </c>
      <c r="AK40" s="1759" t="s">
        <v>431</v>
      </c>
      <c r="AL40" s="992">
        <f>AH40*AJ40</f>
        <v>17.120000000000005</v>
      </c>
      <c r="AM40" s="1759" t="s">
        <v>102</v>
      </c>
      <c r="AN40" s="992">
        <f>$D40*AL40</f>
        <v>8379.8976000000021</v>
      </c>
      <c r="AO40" s="1759"/>
      <c r="AP40" s="992">
        <f>$I40</f>
        <v>100</v>
      </c>
      <c r="AQ40" s="1759" t="s">
        <v>102</v>
      </c>
      <c r="AR40" s="1758">
        <f>VLOOKUP($G40,'Quantidades Padrão'!$E$7:$J$103,AR$8,0)</f>
        <v>0.17120000000000005</v>
      </c>
      <c r="AS40" s="1759" t="s">
        <v>431</v>
      </c>
      <c r="AT40" s="992">
        <f>AP40*AR40</f>
        <v>17.120000000000005</v>
      </c>
      <c r="AU40" s="1759" t="s">
        <v>102</v>
      </c>
      <c r="AV40" s="992">
        <f>$D40*AT40</f>
        <v>8379.8976000000021</v>
      </c>
      <c r="AW40" s="1759"/>
      <c r="AX40" s="992">
        <f>$I40</f>
        <v>100</v>
      </c>
      <c r="AY40" s="1759" t="s">
        <v>102</v>
      </c>
      <c r="AZ40" s="1758">
        <f>VLOOKUP($G40,'Quantidades Padrão'!$E$7:$J$103,AZ$8,0)</f>
        <v>0.24610000000000004</v>
      </c>
      <c r="BA40" s="1759" t="s">
        <v>431</v>
      </c>
      <c r="BB40" s="992">
        <f>AX40*AZ40</f>
        <v>24.610000000000003</v>
      </c>
      <c r="BC40" s="1759" t="s">
        <v>102</v>
      </c>
      <c r="BD40" s="992">
        <f>$D40*BB40</f>
        <v>12046.102800000002</v>
      </c>
      <c r="BE40" s="1759"/>
      <c r="BF40" s="992">
        <f>$I40</f>
        <v>100</v>
      </c>
      <c r="BG40" s="1759" t="str">
        <f t="shared" si="143"/>
        <v>km</v>
      </c>
      <c r="BH40" s="1758">
        <f>VLOOKUP($G40,'Quantidades Padrão'!$E$7:$J$103,BH$8,0)</f>
        <v>0.32100000000000006</v>
      </c>
      <c r="BI40" s="1772"/>
      <c r="BJ40" s="992">
        <f>BF40*BH40</f>
        <v>32.100000000000009</v>
      </c>
      <c r="BK40" s="1772"/>
      <c r="BL40" s="992">
        <f>$D40*BJ40</f>
        <v>15712.308000000005</v>
      </c>
      <c r="BM40" s="1759"/>
      <c r="BN40" s="992">
        <f>$I40</f>
        <v>100</v>
      </c>
      <c r="BO40" s="1759" t="s">
        <v>102</v>
      </c>
      <c r="BP40" s="1758">
        <f>VLOOKUP($G40,'Quantidades Padrão'!$E$7:$J$103,BP$8,0)</f>
        <v>0.17120000000000005</v>
      </c>
      <c r="BQ40" s="1772"/>
      <c r="BR40" s="992">
        <f>BN40*BP40</f>
        <v>17.120000000000005</v>
      </c>
      <c r="BS40" s="1772"/>
      <c r="BT40" s="992">
        <f>$D40*BR40</f>
        <v>8379.8976000000021</v>
      </c>
      <c r="BU40" s="1759"/>
      <c r="BV40" s="992">
        <f>$I40</f>
        <v>100</v>
      </c>
      <c r="BW40" s="1759" t="s">
        <v>102</v>
      </c>
      <c r="BX40" s="1758">
        <f>VLOOKUP($G40,'Quantidades Padrão'!$E$7:$J$103,BX$8,0)</f>
        <v>0.24610000000000004</v>
      </c>
      <c r="BY40" s="1772"/>
      <c r="BZ40" s="992">
        <f>BV40*BX40</f>
        <v>24.610000000000003</v>
      </c>
      <c r="CA40" s="1772"/>
      <c r="CB40" s="992">
        <f>$D40*BZ40</f>
        <v>12046.102800000002</v>
      </c>
      <c r="CC40" s="1759"/>
      <c r="CD40" s="992">
        <f>$I40</f>
        <v>100</v>
      </c>
      <c r="CE40" s="1759" t="s">
        <v>102</v>
      </c>
      <c r="CF40" s="1758">
        <f>VLOOKUP($G40,'Quantidades Padrão'!$E$7:$J$103,CF$8,0)</f>
        <v>0.32100000000000006</v>
      </c>
      <c r="CG40" s="1772"/>
      <c r="CH40" s="992">
        <f>CD40*CF40</f>
        <v>32.100000000000009</v>
      </c>
      <c r="CI40" s="1772"/>
      <c r="CJ40" s="992">
        <f>$D40*CH40</f>
        <v>15712.308000000005</v>
      </c>
      <c r="CK40" s="1759"/>
      <c r="CL40" s="992">
        <f t="shared" si="144"/>
        <v>100</v>
      </c>
      <c r="CM40" s="1759" t="str">
        <f t="shared" si="144"/>
        <v>km</v>
      </c>
      <c r="CN40" s="1758">
        <f>VLOOKUP($G40,'Quantidades Padrão'!$E$7:$J$103,CN$8,0)</f>
        <v>0.17120000000000005</v>
      </c>
      <c r="CO40" s="1772"/>
      <c r="CP40" s="992">
        <f>CL40*CN40</f>
        <v>17.120000000000005</v>
      </c>
      <c r="CQ40" s="1772"/>
      <c r="CR40" s="992">
        <f>$D40*CP40</f>
        <v>8379.8976000000021</v>
      </c>
      <c r="CS40" s="1759"/>
      <c r="CT40" s="992">
        <f t="shared" si="145"/>
        <v>100</v>
      </c>
      <c r="CU40" s="1759" t="s">
        <v>102</v>
      </c>
      <c r="CV40" s="1758">
        <f>VLOOKUP($G40,'Quantidades Padrão'!$E$7:$J$103,CV$8,0)</f>
        <v>0.24610000000000004</v>
      </c>
      <c r="CW40" s="1772"/>
      <c r="CX40" s="992">
        <f>CT40*CV40</f>
        <v>24.610000000000003</v>
      </c>
      <c r="CY40" s="1772"/>
      <c r="CZ40" s="992">
        <f>$D40*CX40</f>
        <v>12046.102800000002</v>
      </c>
      <c r="DA40" s="1759"/>
      <c r="DB40" s="992">
        <f t="shared" si="146"/>
        <v>100</v>
      </c>
      <c r="DC40" s="1759" t="s">
        <v>102</v>
      </c>
      <c r="DD40" s="1758">
        <f>VLOOKUP($G40,'Quantidades Padrão'!$E$7:$J$103,DD$8,0)</f>
        <v>0.32100000000000006</v>
      </c>
      <c r="DE40" s="1772"/>
      <c r="DF40" s="992">
        <f>DB40*DD40</f>
        <v>32.100000000000009</v>
      </c>
      <c r="DG40" s="1772"/>
      <c r="DH40" s="992">
        <f>$D40*DF40</f>
        <v>15712.308000000005</v>
      </c>
      <c r="DI40" s="1759"/>
      <c r="DJ40" s="992">
        <f t="shared" si="147"/>
        <v>100</v>
      </c>
      <c r="DK40" s="1759" t="s">
        <v>102</v>
      </c>
      <c r="DL40" s="1758">
        <f>VLOOKUP($G40,'Quantidades Padrão'!$E$7:$J$103,DL$8,0)</f>
        <v>0.17120000000000005</v>
      </c>
      <c r="DM40" s="1772"/>
      <c r="DN40" s="992">
        <f>DJ40*DL40</f>
        <v>17.120000000000005</v>
      </c>
      <c r="DO40" s="1772"/>
      <c r="DP40" s="992">
        <f>$D40*DN40</f>
        <v>8379.8976000000021</v>
      </c>
      <c r="DQ40" s="1759"/>
      <c r="DR40" s="992">
        <f t="shared" si="148"/>
        <v>100</v>
      </c>
      <c r="DS40" s="1759" t="s">
        <v>102</v>
      </c>
      <c r="DT40" s="1758">
        <f>VLOOKUP($G40,'Quantidades Padrão'!$E$7:$J$103,DT$8,0)</f>
        <v>0.24610000000000004</v>
      </c>
      <c r="DU40" s="1772"/>
      <c r="DV40" s="992">
        <f>DR40*DT40</f>
        <v>24.610000000000003</v>
      </c>
      <c r="DW40" s="1772"/>
      <c r="DX40" s="992">
        <f>$D40*DV40</f>
        <v>12046.102800000002</v>
      </c>
      <c r="DY40" s="1759"/>
      <c r="DZ40" s="992">
        <f t="shared" si="149"/>
        <v>100</v>
      </c>
      <c r="EA40" s="1759" t="str">
        <f t="shared" si="149"/>
        <v>km</v>
      </c>
      <c r="EB40" s="1758">
        <f>VLOOKUP($G40,'Quantidades Padrão'!$E$7:$J$103,EB$8,0)</f>
        <v>0.32100000000000006</v>
      </c>
      <c r="EC40" s="1772"/>
      <c r="ED40" s="992">
        <f>DZ40*EB40</f>
        <v>32.100000000000009</v>
      </c>
      <c r="EE40" s="1772"/>
      <c r="EF40" s="992">
        <f>$D40*ED40</f>
        <v>15712.308000000005</v>
      </c>
      <c r="EG40" s="1759"/>
      <c r="EH40" s="992">
        <f t="shared" si="150"/>
        <v>100</v>
      </c>
      <c r="EI40" s="1759" t="str">
        <f t="shared" si="150"/>
        <v>km</v>
      </c>
      <c r="EJ40" s="1758">
        <f>VLOOKUP($G40,'Quantidades Padrão'!$E$7:$J$103,EJ$8,0)</f>
        <v>0.17120000000000005</v>
      </c>
      <c r="EK40" s="1772"/>
      <c r="EL40" s="992">
        <f>EH40*EJ40</f>
        <v>17.120000000000005</v>
      </c>
      <c r="EM40" s="1772"/>
      <c r="EN40" s="992">
        <f>$D40*EL40</f>
        <v>8379.8976000000021</v>
      </c>
      <c r="EO40" s="1759"/>
      <c r="EP40" s="992">
        <f t="shared" si="151"/>
        <v>100</v>
      </c>
      <c r="EQ40" s="1759" t="str">
        <f t="shared" si="151"/>
        <v>km</v>
      </c>
      <c r="ER40" s="1758">
        <f>VLOOKUP($G40,'Quantidades Padrão'!$E$7:$J$103,ER$8,0)</f>
        <v>0.24610000000000004</v>
      </c>
      <c r="ES40" s="1772"/>
      <c r="ET40" s="992">
        <f>EP40*ER40</f>
        <v>24.610000000000003</v>
      </c>
      <c r="EU40" s="1772"/>
      <c r="EV40" s="992">
        <f>$D40*ET40</f>
        <v>12046.102800000002</v>
      </c>
      <c r="EW40" s="1759"/>
      <c r="EX40" s="992">
        <f t="shared" si="152"/>
        <v>100</v>
      </c>
      <c r="EY40" s="1759" t="str">
        <f t="shared" si="152"/>
        <v>km</v>
      </c>
      <c r="EZ40" s="1758">
        <f>VLOOKUP($G40,'Quantidades Padrão'!$E$7:$J$103,EZ$8,0)</f>
        <v>0.32100000000000006</v>
      </c>
      <c r="FA40" s="1772"/>
      <c r="FB40" s="992">
        <f>EX40*EZ40</f>
        <v>32.100000000000009</v>
      </c>
      <c r="FC40" s="1772"/>
      <c r="FD40" s="992">
        <f>$D40*FB40</f>
        <v>15712.308000000005</v>
      </c>
      <c r="FE40" s="1759"/>
      <c r="FF40" s="992">
        <f t="shared" si="153"/>
        <v>100</v>
      </c>
      <c r="FG40" s="1759" t="str">
        <f t="shared" si="153"/>
        <v>km</v>
      </c>
      <c r="FH40" s="1758">
        <f>VLOOKUP($G40,'Quantidades Padrão'!$E$7:$J$103,FH$8,0)</f>
        <v>0.17120000000000005</v>
      </c>
      <c r="FI40" s="1772"/>
      <c r="FJ40" s="992">
        <f>FF40*FH40</f>
        <v>17.120000000000005</v>
      </c>
      <c r="FK40" s="1772"/>
      <c r="FL40" s="992">
        <f>$D40*FJ40</f>
        <v>8379.8976000000021</v>
      </c>
      <c r="FM40" s="1759"/>
      <c r="FN40" s="992">
        <f t="shared" si="154"/>
        <v>100</v>
      </c>
      <c r="FO40" s="1759" t="str">
        <f t="shared" si="154"/>
        <v>km</v>
      </c>
      <c r="FP40" s="1758">
        <f>VLOOKUP($G40,'Quantidades Padrão'!$E$7:$J$103,FP$8,0)</f>
        <v>0.24610000000000004</v>
      </c>
      <c r="FQ40" s="1772"/>
      <c r="FR40" s="992">
        <f>FN40*FP40</f>
        <v>24.610000000000003</v>
      </c>
      <c r="FS40" s="1772"/>
      <c r="FT40" s="992">
        <f>$D40*FR40</f>
        <v>12046.102800000002</v>
      </c>
      <c r="FU40" s="1759"/>
      <c r="FV40" s="992">
        <f t="shared" si="155"/>
        <v>100</v>
      </c>
      <c r="FW40" s="1759" t="str">
        <f t="shared" si="155"/>
        <v>km</v>
      </c>
      <c r="FX40" s="1758">
        <f>VLOOKUP($G40,'Quantidades Padrão'!$E$7:$J$103,FX$8,0)</f>
        <v>0.32100000000000006</v>
      </c>
      <c r="FY40" s="1772"/>
      <c r="FZ40" s="992">
        <f>FV40*FX40</f>
        <v>32.100000000000009</v>
      </c>
      <c r="GA40" s="1772"/>
      <c r="GB40" s="992">
        <f>$D40*FZ40</f>
        <v>15712.308000000005</v>
      </c>
      <c r="GC40" s="1759"/>
      <c r="GD40" s="992">
        <f t="shared" si="156"/>
        <v>100</v>
      </c>
      <c r="GE40" s="1759" t="str">
        <f t="shared" si="156"/>
        <v>km</v>
      </c>
      <c r="GF40" s="1758">
        <f>VLOOKUP($G40,'Quantidades Padrão'!$E$7:$J$103,GF$8,0)</f>
        <v>0.17120000000000005</v>
      </c>
      <c r="GG40" s="1772"/>
      <c r="GH40" s="992">
        <f>GD40*GF40</f>
        <v>17.120000000000005</v>
      </c>
      <c r="GI40" s="1772"/>
      <c r="GJ40" s="992">
        <f>$D40*GH40</f>
        <v>8379.8976000000021</v>
      </c>
      <c r="GK40" s="1759"/>
      <c r="GL40" s="992">
        <f t="shared" si="157"/>
        <v>100</v>
      </c>
      <c r="GM40" s="1759" t="str">
        <f t="shared" si="157"/>
        <v>km</v>
      </c>
      <c r="GN40" s="1758">
        <f>VLOOKUP($G40,'Quantidades Padrão'!$E$7:$J$103,GN$8,0)</f>
        <v>0.24610000000000004</v>
      </c>
      <c r="GO40" s="1772"/>
      <c r="GP40" s="992">
        <f>GL40*GN40</f>
        <v>24.610000000000003</v>
      </c>
      <c r="GQ40" s="1772"/>
      <c r="GR40" s="992">
        <f>$D40*GP40</f>
        <v>12046.102800000002</v>
      </c>
      <c r="GS40" s="1759"/>
      <c r="GT40" s="992">
        <f t="shared" si="158"/>
        <v>100</v>
      </c>
      <c r="GU40" s="1759" t="str">
        <f t="shared" si="158"/>
        <v>km</v>
      </c>
      <c r="GV40" s="1758">
        <f>VLOOKUP($G40,'Quantidades Padrão'!$E$7:$J$103,GV$8,0)</f>
        <v>0.32100000000000006</v>
      </c>
      <c r="GW40" s="1772"/>
      <c r="GX40" s="992">
        <f>GT40*GV40</f>
        <v>32.100000000000009</v>
      </c>
      <c r="GY40" s="1772"/>
      <c r="GZ40" s="992">
        <f>$D40*GX40</f>
        <v>15712.308000000005</v>
      </c>
      <c r="HA40" s="1759"/>
      <c r="HB40" s="992">
        <f t="shared" si="159"/>
        <v>100</v>
      </c>
      <c r="HC40" s="1759" t="str">
        <f t="shared" si="160"/>
        <v>km</v>
      </c>
      <c r="HD40" s="1758">
        <f>VLOOKUP($G40,'Quantidades Padrão'!$E$7:$J$103,HD$8,0)</f>
        <v>0.17120000000000005</v>
      </c>
      <c r="HE40" s="1772"/>
      <c r="HF40" s="992">
        <f>HB40*HD40</f>
        <v>17.120000000000005</v>
      </c>
      <c r="HG40" s="1772"/>
      <c r="HH40" s="992">
        <f>$D40*HF40</f>
        <v>8379.8976000000021</v>
      </c>
      <c r="HI40" s="1759"/>
      <c r="HJ40" s="992">
        <f t="shared" si="161"/>
        <v>100</v>
      </c>
      <c r="HK40" s="1759" t="str">
        <f t="shared" si="162"/>
        <v>km</v>
      </c>
      <c r="HL40" s="1758">
        <f>VLOOKUP($G40,'Quantidades Padrão'!$E$7:$J$103,HL$8,0)</f>
        <v>0.24610000000000004</v>
      </c>
      <c r="HM40" s="1772"/>
      <c r="HN40" s="992">
        <f>HJ40*HL40</f>
        <v>24.610000000000003</v>
      </c>
      <c r="HO40" s="1772"/>
      <c r="HP40" s="992">
        <f>$D40*HN40</f>
        <v>12046.102800000002</v>
      </c>
      <c r="HQ40" s="1759"/>
      <c r="HR40" s="992">
        <f t="shared" si="163"/>
        <v>100</v>
      </c>
      <c r="HS40" s="1759" t="str">
        <f t="shared" si="164"/>
        <v>km</v>
      </c>
      <c r="HT40" s="1758">
        <f>VLOOKUP($G40,'Quantidades Padrão'!$E$7:$J$103,HT$8,0)</f>
        <v>0.32100000000000006</v>
      </c>
      <c r="HU40" s="1772"/>
      <c r="HV40" s="992">
        <f>HR40*HT40</f>
        <v>32.100000000000009</v>
      </c>
      <c r="HW40" s="1772"/>
      <c r="HX40" s="992">
        <f>$D40*HV40</f>
        <v>15712.308000000005</v>
      </c>
      <c r="HY40" s="1759"/>
      <c r="HZ40" s="992">
        <f t="shared" si="165"/>
        <v>100</v>
      </c>
      <c r="IA40" s="1759" t="str">
        <f t="shared" si="166"/>
        <v>km</v>
      </c>
      <c r="IB40" s="1758">
        <f>VLOOKUP($G40,'Quantidades Padrão'!$E$7:$J$103,IB$8,0)</f>
        <v>0.17120000000000005</v>
      </c>
      <c r="IC40" s="1772"/>
      <c r="ID40" s="992">
        <f>HZ40*IB40</f>
        <v>17.120000000000005</v>
      </c>
      <c r="IE40" s="1772"/>
      <c r="IF40" s="992">
        <f>$D40*ID40</f>
        <v>8379.8976000000021</v>
      </c>
      <c r="IG40" s="1759"/>
      <c r="IH40" s="992">
        <f t="shared" si="167"/>
        <v>100</v>
      </c>
      <c r="II40" s="1759" t="str">
        <f t="shared" si="168"/>
        <v>km</v>
      </c>
      <c r="IJ40" s="1758">
        <f>VLOOKUP($G40,'Quantidades Padrão'!$E$7:$J$103,IJ$8,0)</f>
        <v>0.24610000000000004</v>
      </c>
      <c r="IK40" s="1772"/>
      <c r="IL40" s="992">
        <f>IH40*IJ40</f>
        <v>24.610000000000003</v>
      </c>
      <c r="IM40" s="1772"/>
      <c r="IN40" s="992">
        <f>$D40*IL40</f>
        <v>12046.102800000002</v>
      </c>
      <c r="IO40" s="1759"/>
    </row>
    <row r="41" spans="1:249" s="341" customFormat="1">
      <c r="A41" s="1753"/>
      <c r="B41" s="1754"/>
      <c r="C41" s="1755"/>
      <c r="D41" s="1020"/>
      <c r="E41" s="1761"/>
      <c r="F41" s="1762" t="s">
        <v>68</v>
      </c>
      <c r="G41" s="1763" t="s">
        <v>143</v>
      </c>
      <c r="H41" s="994">
        <f>SUBTOTAL(9,H42:H50)</f>
        <v>19047156.756777</v>
      </c>
      <c r="I41" s="1774"/>
      <c r="J41" s="1775"/>
      <c r="K41" s="1776"/>
      <c r="L41" s="1775"/>
      <c r="M41" s="1774"/>
      <c r="N41" s="1775"/>
      <c r="O41" s="994">
        <f>SUBTOTAL(9,O42:O50)</f>
        <v>455537.38132799999</v>
      </c>
      <c r="P41" s="1765">
        <f>O41/$H41</f>
        <v>2.391629297458894E-2</v>
      </c>
      <c r="Q41" s="1766">
        <f t="shared" si="0"/>
        <v>7.3387471097007051E-2</v>
      </c>
      <c r="R41" s="1774"/>
      <c r="S41" s="1775"/>
      <c r="T41" s="1776"/>
      <c r="U41" s="1775"/>
      <c r="V41" s="1774"/>
      <c r="W41" s="1775"/>
      <c r="X41" s="994">
        <f>SUBTOTAL(9,X42:X50)</f>
        <v>455537.38132799999</v>
      </c>
      <c r="Y41" s="1765">
        <f>X41/$H41</f>
        <v>2.391629297458894E-2</v>
      </c>
      <c r="Z41" s="1774"/>
      <c r="AA41" s="1775"/>
      <c r="AB41" s="1776"/>
      <c r="AC41" s="1775"/>
      <c r="AD41" s="1774"/>
      <c r="AE41" s="1775"/>
      <c r="AF41" s="994">
        <f>SUBTOTAL(9,AF42:AF50)</f>
        <v>854132.58999000001</v>
      </c>
      <c r="AG41" s="1765">
        <f>AF41/$H41</f>
        <v>4.4843049327354265E-2</v>
      </c>
      <c r="AH41" s="1774"/>
      <c r="AI41" s="1775"/>
      <c r="AJ41" s="1776"/>
      <c r="AK41" s="1775"/>
      <c r="AL41" s="1774"/>
      <c r="AM41" s="1775"/>
      <c r="AN41" s="994">
        <f>SUBTOTAL(9,AN42:AN50)</f>
        <v>455537.38132799999</v>
      </c>
      <c r="AO41" s="1765">
        <f>AN41/$H41</f>
        <v>2.391629297458894E-2</v>
      </c>
      <c r="AP41" s="1774"/>
      <c r="AQ41" s="1775"/>
      <c r="AR41" s="1776"/>
      <c r="AS41" s="1775"/>
      <c r="AT41" s="1774"/>
      <c r="AU41" s="1775"/>
      <c r="AV41" s="994">
        <f>SUBTOTAL(9,AV42:AV50)</f>
        <v>455537.38132799999</v>
      </c>
      <c r="AW41" s="1765">
        <f>AV41/$H41</f>
        <v>2.391629297458894E-2</v>
      </c>
      <c r="AX41" s="1774"/>
      <c r="AY41" s="1775"/>
      <c r="AZ41" s="1776"/>
      <c r="BA41" s="1775"/>
      <c r="BB41" s="1774"/>
      <c r="BC41" s="1775"/>
      <c r="BD41" s="994">
        <f>SUBTOTAL(9,BD42:BD50)</f>
        <v>654834.985659</v>
      </c>
      <c r="BE41" s="1765">
        <f>BD41/$H41</f>
        <v>3.4379671150971597E-2</v>
      </c>
      <c r="BF41" s="1774"/>
      <c r="BG41" s="1775">
        <f t="shared" si="143"/>
        <v>0</v>
      </c>
      <c r="BH41" s="1776"/>
      <c r="BI41" s="1764"/>
      <c r="BJ41" s="1774"/>
      <c r="BK41" s="1764"/>
      <c r="BL41" s="994">
        <f>SUBTOTAL(9,BL42:BL50)</f>
        <v>854132.58999000001</v>
      </c>
      <c r="BM41" s="1765">
        <f>BL41/$H41</f>
        <v>4.4843049327354265E-2</v>
      </c>
      <c r="BN41" s="1774"/>
      <c r="BO41" s="1775">
        <v>0</v>
      </c>
      <c r="BP41" s="1776"/>
      <c r="BQ41" s="1764"/>
      <c r="BR41" s="1774"/>
      <c r="BS41" s="1764"/>
      <c r="BT41" s="994">
        <f>SUBTOTAL(9,BT42:BT50)</f>
        <v>455537.38132799999</v>
      </c>
      <c r="BU41" s="1765">
        <f>BT41/$H41</f>
        <v>2.391629297458894E-2</v>
      </c>
      <c r="BV41" s="1774"/>
      <c r="BW41" s="1775">
        <v>0</v>
      </c>
      <c r="BX41" s="1776"/>
      <c r="BY41" s="1764"/>
      <c r="BZ41" s="1774"/>
      <c r="CA41" s="1764"/>
      <c r="CB41" s="994">
        <f>SUBTOTAL(9,CB42:CB50)</f>
        <v>654834.985659</v>
      </c>
      <c r="CC41" s="1765">
        <f>CB41/$H41</f>
        <v>3.4379671150971597E-2</v>
      </c>
      <c r="CD41" s="1774"/>
      <c r="CE41" s="1775">
        <v>0</v>
      </c>
      <c r="CF41" s="1776"/>
      <c r="CG41" s="1764"/>
      <c r="CH41" s="1774"/>
      <c r="CI41" s="1764"/>
      <c r="CJ41" s="994">
        <f>SUBTOTAL(9,CJ42:CJ50)</f>
        <v>854132.58999000001</v>
      </c>
      <c r="CK41" s="1765">
        <f>CJ41/$H41</f>
        <v>4.4843049327354265E-2</v>
      </c>
      <c r="CL41" s="1774">
        <f t="shared" si="144"/>
        <v>0</v>
      </c>
      <c r="CM41" s="1775">
        <f t="shared" si="144"/>
        <v>0</v>
      </c>
      <c r="CN41" s="1776"/>
      <c r="CO41" s="1764"/>
      <c r="CP41" s="1774"/>
      <c r="CQ41" s="1764"/>
      <c r="CR41" s="994">
        <f>SUBTOTAL(9,CR42:CR50)</f>
        <v>455537.38132799999</v>
      </c>
      <c r="CS41" s="1765">
        <f>CR41/$H41</f>
        <v>2.391629297458894E-2</v>
      </c>
      <c r="CT41" s="1774">
        <f t="shared" si="145"/>
        <v>0</v>
      </c>
      <c r="CU41" s="1775">
        <v>0</v>
      </c>
      <c r="CV41" s="1776"/>
      <c r="CW41" s="1764"/>
      <c r="CX41" s="1774"/>
      <c r="CY41" s="1764"/>
      <c r="CZ41" s="994">
        <f>SUBTOTAL(9,CZ42:CZ50)</f>
        <v>654834.985659</v>
      </c>
      <c r="DA41" s="1765">
        <f>CZ41/$H41</f>
        <v>3.4379671150971597E-2</v>
      </c>
      <c r="DB41" s="1774">
        <f t="shared" si="146"/>
        <v>0</v>
      </c>
      <c r="DC41" s="1775">
        <v>0</v>
      </c>
      <c r="DD41" s="1776"/>
      <c r="DE41" s="1764"/>
      <c r="DF41" s="1774"/>
      <c r="DG41" s="1764"/>
      <c r="DH41" s="994">
        <f>SUBTOTAL(9,DH42:DH50)</f>
        <v>854132.58999000001</v>
      </c>
      <c r="DI41" s="1765">
        <f>DH41/$H41</f>
        <v>4.4843049327354265E-2</v>
      </c>
      <c r="DJ41" s="1774">
        <f t="shared" si="147"/>
        <v>0</v>
      </c>
      <c r="DK41" s="1775">
        <v>0</v>
      </c>
      <c r="DL41" s="1776"/>
      <c r="DM41" s="1764"/>
      <c r="DN41" s="1774"/>
      <c r="DO41" s="1764"/>
      <c r="DP41" s="994">
        <f>SUBTOTAL(9,DP42:DP50)</f>
        <v>455537.38132799999</v>
      </c>
      <c r="DQ41" s="1765">
        <f>DP41/$H41</f>
        <v>2.391629297458894E-2</v>
      </c>
      <c r="DR41" s="1774">
        <f t="shared" si="148"/>
        <v>0</v>
      </c>
      <c r="DS41" s="1775">
        <v>0</v>
      </c>
      <c r="DT41" s="1776"/>
      <c r="DU41" s="1764"/>
      <c r="DV41" s="1774"/>
      <c r="DW41" s="1764"/>
      <c r="DX41" s="994">
        <f>SUBTOTAL(9,DX42:DX50)</f>
        <v>654834.985659</v>
      </c>
      <c r="DY41" s="1765">
        <f>DX41/$H41</f>
        <v>3.4379671150971597E-2</v>
      </c>
      <c r="DZ41" s="1774">
        <f t="shared" si="149"/>
        <v>0</v>
      </c>
      <c r="EA41" s="1775">
        <f t="shared" si="149"/>
        <v>0</v>
      </c>
      <c r="EB41" s="1776"/>
      <c r="EC41" s="1764"/>
      <c r="ED41" s="1774"/>
      <c r="EE41" s="1764"/>
      <c r="EF41" s="994">
        <f>SUBTOTAL(9,EF42:EF50)</f>
        <v>854132.58999000001</v>
      </c>
      <c r="EG41" s="1765">
        <f>EF41/$H41</f>
        <v>4.4843049327354265E-2</v>
      </c>
      <c r="EH41" s="1774">
        <f t="shared" si="150"/>
        <v>0</v>
      </c>
      <c r="EI41" s="1775">
        <f t="shared" si="150"/>
        <v>0</v>
      </c>
      <c r="EJ41" s="1776"/>
      <c r="EK41" s="1764"/>
      <c r="EL41" s="1774"/>
      <c r="EM41" s="1764"/>
      <c r="EN41" s="994">
        <f>SUBTOTAL(9,EN42:EN50)</f>
        <v>455537.38132799999</v>
      </c>
      <c r="EO41" s="1765">
        <f>EN41/$H41</f>
        <v>2.391629297458894E-2</v>
      </c>
      <c r="EP41" s="1774">
        <f t="shared" si="151"/>
        <v>0</v>
      </c>
      <c r="EQ41" s="1775">
        <f t="shared" si="151"/>
        <v>0</v>
      </c>
      <c r="ER41" s="1776"/>
      <c r="ES41" s="1764"/>
      <c r="ET41" s="1774"/>
      <c r="EU41" s="1764"/>
      <c r="EV41" s="994">
        <f>SUBTOTAL(9,EV42:EV50)</f>
        <v>654834.985659</v>
      </c>
      <c r="EW41" s="1765">
        <f>EV41/$H41</f>
        <v>3.4379671150971597E-2</v>
      </c>
      <c r="EX41" s="1774">
        <f t="shared" si="152"/>
        <v>0</v>
      </c>
      <c r="EY41" s="1775">
        <f t="shared" si="152"/>
        <v>0</v>
      </c>
      <c r="EZ41" s="1776"/>
      <c r="FA41" s="1764"/>
      <c r="FB41" s="1774"/>
      <c r="FC41" s="1764"/>
      <c r="FD41" s="994">
        <f>SUBTOTAL(9,FD42:FD50)</f>
        <v>854132.58999000001</v>
      </c>
      <c r="FE41" s="1765">
        <f>FD41/$H41</f>
        <v>4.4843049327354265E-2</v>
      </c>
      <c r="FF41" s="1774">
        <f t="shared" si="153"/>
        <v>0</v>
      </c>
      <c r="FG41" s="1775">
        <f t="shared" si="153"/>
        <v>0</v>
      </c>
      <c r="FH41" s="1776"/>
      <c r="FI41" s="1764"/>
      <c r="FJ41" s="1774"/>
      <c r="FK41" s="1764"/>
      <c r="FL41" s="994">
        <f>SUBTOTAL(9,FL42:FL50)</f>
        <v>455537.38132799999</v>
      </c>
      <c r="FM41" s="1765">
        <f>FL41/$H41</f>
        <v>2.391629297458894E-2</v>
      </c>
      <c r="FN41" s="1774">
        <f t="shared" si="154"/>
        <v>0</v>
      </c>
      <c r="FO41" s="1775">
        <f t="shared" si="154"/>
        <v>0</v>
      </c>
      <c r="FP41" s="1776"/>
      <c r="FQ41" s="1764"/>
      <c r="FR41" s="1774"/>
      <c r="FS41" s="1764"/>
      <c r="FT41" s="994">
        <f>SUBTOTAL(9,FT42:FT50)</f>
        <v>654834.985659</v>
      </c>
      <c r="FU41" s="1765">
        <f>FT41/$H41</f>
        <v>3.4379671150971597E-2</v>
      </c>
      <c r="FV41" s="1774">
        <f t="shared" si="155"/>
        <v>0</v>
      </c>
      <c r="FW41" s="1775">
        <f t="shared" si="155"/>
        <v>0</v>
      </c>
      <c r="FX41" s="1776"/>
      <c r="FY41" s="1764"/>
      <c r="FZ41" s="1774"/>
      <c r="GA41" s="1764"/>
      <c r="GB41" s="994">
        <f>SUBTOTAL(9,GB42:GB50)</f>
        <v>854132.58999000001</v>
      </c>
      <c r="GC41" s="1765">
        <f>GB41/$H41</f>
        <v>4.4843049327354265E-2</v>
      </c>
      <c r="GD41" s="1774">
        <f t="shared" si="156"/>
        <v>0</v>
      </c>
      <c r="GE41" s="1775">
        <f t="shared" si="156"/>
        <v>0</v>
      </c>
      <c r="GF41" s="1776"/>
      <c r="GG41" s="1764"/>
      <c r="GH41" s="1774"/>
      <c r="GI41" s="1764"/>
      <c r="GJ41" s="994">
        <f>SUBTOTAL(9,GJ42:GJ50)</f>
        <v>455537.38132799999</v>
      </c>
      <c r="GK41" s="1765">
        <f>GJ41/$H41</f>
        <v>2.391629297458894E-2</v>
      </c>
      <c r="GL41" s="1774">
        <f t="shared" si="157"/>
        <v>0</v>
      </c>
      <c r="GM41" s="1775">
        <f t="shared" si="157"/>
        <v>0</v>
      </c>
      <c r="GN41" s="1776"/>
      <c r="GO41" s="1764"/>
      <c r="GP41" s="1774"/>
      <c r="GQ41" s="1764"/>
      <c r="GR41" s="994">
        <f>SUBTOTAL(9,GR42:GR50)</f>
        <v>654834.985659</v>
      </c>
      <c r="GS41" s="1765">
        <f>GR41/$H41</f>
        <v>3.4379671150971597E-2</v>
      </c>
      <c r="GT41" s="1774">
        <f t="shared" si="158"/>
        <v>0</v>
      </c>
      <c r="GU41" s="1775">
        <f t="shared" si="158"/>
        <v>0</v>
      </c>
      <c r="GV41" s="1776"/>
      <c r="GW41" s="1764"/>
      <c r="GX41" s="1774"/>
      <c r="GY41" s="1764"/>
      <c r="GZ41" s="994">
        <f>SUBTOTAL(9,GZ42:GZ50)</f>
        <v>854132.58999000001</v>
      </c>
      <c r="HA41" s="1765">
        <f>GZ41/$H41</f>
        <v>4.4843049327354265E-2</v>
      </c>
      <c r="HB41" s="1774">
        <f t="shared" si="159"/>
        <v>0</v>
      </c>
      <c r="HC41" s="1775">
        <f t="shared" si="160"/>
        <v>0</v>
      </c>
      <c r="HD41" s="1776"/>
      <c r="HE41" s="1764"/>
      <c r="HF41" s="1774"/>
      <c r="HG41" s="1764"/>
      <c r="HH41" s="994">
        <f>SUBTOTAL(9,HH42:HH50)</f>
        <v>455537.38132799999</v>
      </c>
      <c r="HI41" s="1765">
        <f>HH41/$H41</f>
        <v>2.391629297458894E-2</v>
      </c>
      <c r="HJ41" s="1774">
        <f t="shared" si="161"/>
        <v>0</v>
      </c>
      <c r="HK41" s="1775">
        <f t="shared" si="162"/>
        <v>0</v>
      </c>
      <c r="HL41" s="1776"/>
      <c r="HM41" s="1764"/>
      <c r="HN41" s="1774"/>
      <c r="HO41" s="1764"/>
      <c r="HP41" s="994">
        <f>SUBTOTAL(9,HP42:HP50)</f>
        <v>654834.985659</v>
      </c>
      <c r="HQ41" s="1765">
        <f>HP41/$H41</f>
        <v>3.4379671150971597E-2</v>
      </c>
      <c r="HR41" s="1774">
        <f t="shared" si="163"/>
        <v>0</v>
      </c>
      <c r="HS41" s="1775">
        <f t="shared" si="164"/>
        <v>0</v>
      </c>
      <c r="HT41" s="1776"/>
      <c r="HU41" s="1764"/>
      <c r="HV41" s="1774"/>
      <c r="HW41" s="1764"/>
      <c r="HX41" s="994">
        <f>SUBTOTAL(9,HX42:HX50)</f>
        <v>854132.58999000001</v>
      </c>
      <c r="HY41" s="1765">
        <f>HX41/$H41</f>
        <v>4.4843049327354265E-2</v>
      </c>
      <c r="HZ41" s="1774">
        <f t="shared" si="165"/>
        <v>0</v>
      </c>
      <c r="IA41" s="1775">
        <f t="shared" si="166"/>
        <v>0</v>
      </c>
      <c r="IB41" s="1776"/>
      <c r="IC41" s="1764"/>
      <c r="ID41" s="1774"/>
      <c r="IE41" s="1764"/>
      <c r="IF41" s="994">
        <f>SUBTOTAL(9,IF42:IF50)</f>
        <v>455537.38132799999</v>
      </c>
      <c r="IG41" s="1765">
        <f>IF41/$H41</f>
        <v>2.391629297458894E-2</v>
      </c>
      <c r="IH41" s="1774">
        <f t="shared" si="167"/>
        <v>0</v>
      </c>
      <c r="II41" s="1775">
        <f t="shared" si="168"/>
        <v>0</v>
      </c>
      <c r="IJ41" s="1776"/>
      <c r="IK41" s="1764"/>
      <c r="IL41" s="1774"/>
      <c r="IM41" s="1764"/>
      <c r="IN41" s="994">
        <f>SUBTOTAL(9,IN42:IN50)</f>
        <v>654834.985659</v>
      </c>
      <c r="IO41" s="1765">
        <f>IN41/$H41</f>
        <v>3.4379671150971597E-2</v>
      </c>
    </row>
    <row r="42" spans="1:249" s="341" customFormat="1">
      <c r="A42" s="1753"/>
      <c r="B42" s="1754"/>
      <c r="C42" s="1755"/>
      <c r="D42" s="1013">
        <f>VLOOKUP(E42,'DER MG'!$D$5:$I$150,6,0)</f>
        <v>153.15</v>
      </c>
      <c r="E42" s="1017">
        <v>3815706</v>
      </c>
      <c r="F42" s="1756"/>
      <c r="G42" s="1018" t="s">
        <v>435</v>
      </c>
      <c r="H42" s="992">
        <f t="shared" si="117"/>
        <v>357501.35763450019</v>
      </c>
      <c r="I42" s="992">
        <f>'OAEs e Passarelas Padrão'!E33</f>
        <v>4348</v>
      </c>
      <c r="J42" s="1759" t="s">
        <v>416</v>
      </c>
      <c r="K42" s="1758">
        <f>VLOOKUP($G42,'Quantidades Padrão'!$E$7:$J$103,K$8,0)</f>
        <v>1.2840000000000002E-2</v>
      </c>
      <c r="L42" s="1759" t="s">
        <v>436</v>
      </c>
      <c r="M42" s="992">
        <f t="shared" ref="M42:M50" si="169">I42*K42</f>
        <v>55.828320000000012</v>
      </c>
      <c r="N42" s="1759" t="s">
        <v>413</v>
      </c>
      <c r="O42" s="992">
        <f t="shared" ref="O42:O50" si="170">$D42*M42</f>
        <v>8550.1072080000031</v>
      </c>
      <c r="P42" s="1759"/>
      <c r="Q42" s="1760">
        <f t="shared" si="0"/>
        <v>1.377429759494567E-3</v>
      </c>
      <c r="R42" s="992">
        <f t="shared" ref="R42:AH50" si="171">$I42</f>
        <v>4348</v>
      </c>
      <c r="S42" s="1759" t="s">
        <v>416</v>
      </c>
      <c r="T42" s="1758">
        <f>VLOOKUP($G42,'Quantidades Padrão'!$E$7:$J$103,T$8,0)</f>
        <v>1.2840000000000002E-2</v>
      </c>
      <c r="U42" s="1759" t="s">
        <v>436</v>
      </c>
      <c r="V42" s="992">
        <f t="shared" ref="V42:V50" si="172">R42*T42</f>
        <v>55.828320000000012</v>
      </c>
      <c r="W42" s="1759" t="s">
        <v>413</v>
      </c>
      <c r="X42" s="992">
        <f>$D42*V42</f>
        <v>8550.1072080000031</v>
      </c>
      <c r="Y42" s="1759"/>
      <c r="Z42" s="992">
        <f t="shared" si="171"/>
        <v>4348</v>
      </c>
      <c r="AA42" s="1759" t="s">
        <v>416</v>
      </c>
      <c r="AB42" s="1758">
        <f>VLOOKUP($G42,'Quantidades Padrão'!$E$7:$J$103,AB$8,0)</f>
        <v>2.4075000000000003E-2</v>
      </c>
      <c r="AC42" s="1759" t="s">
        <v>436</v>
      </c>
      <c r="AD42" s="992">
        <f t="shared" ref="AD42" si="173">Z42*AB42</f>
        <v>104.67810000000001</v>
      </c>
      <c r="AE42" s="1759" t="s">
        <v>413</v>
      </c>
      <c r="AF42" s="992">
        <f>$D42*AD42</f>
        <v>16031.451015000002</v>
      </c>
      <c r="AG42" s="1759"/>
      <c r="AH42" s="992">
        <f t="shared" si="171"/>
        <v>4348</v>
      </c>
      <c r="AI42" s="1759" t="s">
        <v>416</v>
      </c>
      <c r="AJ42" s="1758">
        <f>VLOOKUP($G42,'Quantidades Padrão'!$E$7:$J$103,AJ$8,0)</f>
        <v>1.2840000000000002E-2</v>
      </c>
      <c r="AK42" s="1759" t="s">
        <v>436</v>
      </c>
      <c r="AL42" s="992">
        <f t="shared" ref="AL42" si="174">AH42*AJ42</f>
        <v>55.828320000000012</v>
      </c>
      <c r="AM42" s="1759" t="s">
        <v>413</v>
      </c>
      <c r="AN42" s="992">
        <f>$D42*AL42</f>
        <v>8550.1072080000031</v>
      </c>
      <c r="AO42" s="1759"/>
      <c r="AP42" s="992">
        <f t="shared" ref="AP42:AP50" si="175">$I42</f>
        <v>4348</v>
      </c>
      <c r="AQ42" s="1759" t="s">
        <v>416</v>
      </c>
      <c r="AR42" s="1758">
        <f>VLOOKUP($G42,'Quantidades Padrão'!$E$7:$J$103,AR$8,0)</f>
        <v>1.2840000000000002E-2</v>
      </c>
      <c r="AS42" s="1759" t="s">
        <v>436</v>
      </c>
      <c r="AT42" s="992">
        <f t="shared" ref="AT42" si="176">AP42*AR42</f>
        <v>55.828320000000012</v>
      </c>
      <c r="AU42" s="1759" t="s">
        <v>413</v>
      </c>
      <c r="AV42" s="992">
        <f>$D42*AT42</f>
        <v>8550.1072080000031</v>
      </c>
      <c r="AW42" s="1759"/>
      <c r="AX42" s="992">
        <f t="shared" ref="AX42:AX50" si="177">$I42</f>
        <v>4348</v>
      </c>
      <c r="AY42" s="1759" t="s">
        <v>416</v>
      </c>
      <c r="AZ42" s="1758">
        <f>VLOOKUP($G42,'Quantidades Padrão'!$E$7:$J$103,AZ$8,0)</f>
        <v>1.8457500000000002E-2</v>
      </c>
      <c r="BA42" s="1759" t="s">
        <v>436</v>
      </c>
      <c r="BB42" s="992">
        <f t="shared" ref="BB42:BB50" si="178">AX42*AZ42</f>
        <v>80.25321000000001</v>
      </c>
      <c r="BC42" s="1759" t="s">
        <v>413</v>
      </c>
      <c r="BD42" s="992">
        <f t="shared" ref="BD42:BD50" si="179">$D42*BB42</f>
        <v>12290.779111500002</v>
      </c>
      <c r="BE42" s="1759"/>
      <c r="BF42" s="992">
        <f t="shared" ref="BF42:BF50" si="180">$I42</f>
        <v>4348</v>
      </c>
      <c r="BG42" s="1759" t="str">
        <f t="shared" si="143"/>
        <v>m</v>
      </c>
      <c r="BH42" s="1758">
        <f>VLOOKUP($G42,'Quantidades Padrão'!$E$7:$J$103,BH$8,0)</f>
        <v>2.4075000000000003E-2</v>
      </c>
      <c r="BI42" s="1772"/>
      <c r="BJ42" s="992">
        <f t="shared" ref="BJ42:BJ50" si="181">BF42*BH42</f>
        <v>104.67810000000001</v>
      </c>
      <c r="BK42" s="1772"/>
      <c r="BL42" s="992">
        <f t="shared" ref="BL42:BL50" si="182">$D42*BJ42</f>
        <v>16031.451015000002</v>
      </c>
      <c r="BM42" s="1759"/>
      <c r="BN42" s="992">
        <f t="shared" ref="BN42:BN50" si="183">$I42</f>
        <v>4348</v>
      </c>
      <c r="BO42" s="1759" t="s">
        <v>416</v>
      </c>
      <c r="BP42" s="1758">
        <f>VLOOKUP($G42,'Quantidades Padrão'!$E$7:$J$103,BP$8,0)</f>
        <v>1.2840000000000002E-2</v>
      </c>
      <c r="BQ42" s="1772"/>
      <c r="BR42" s="992">
        <f t="shared" ref="BR42" si="184">BN42*BP42</f>
        <v>55.828320000000012</v>
      </c>
      <c r="BS42" s="1772"/>
      <c r="BT42" s="992">
        <f t="shared" ref="BT42" si="185">$D42*BR42</f>
        <v>8550.1072080000031</v>
      </c>
      <c r="BU42" s="1759"/>
      <c r="BV42" s="992">
        <f t="shared" ref="BV42:BV50" si="186">$I42</f>
        <v>4348</v>
      </c>
      <c r="BW42" s="1759" t="s">
        <v>416</v>
      </c>
      <c r="BX42" s="1758">
        <f>VLOOKUP($G42,'Quantidades Padrão'!$E$7:$J$103,BX$8,0)</f>
        <v>1.8457500000000002E-2</v>
      </c>
      <c r="BY42" s="1772"/>
      <c r="BZ42" s="992">
        <f t="shared" ref="BZ42" si="187">BV42*BX42</f>
        <v>80.25321000000001</v>
      </c>
      <c r="CA42" s="1772"/>
      <c r="CB42" s="992">
        <f t="shared" ref="CB42" si="188">$D42*BZ42</f>
        <v>12290.779111500002</v>
      </c>
      <c r="CC42" s="1759"/>
      <c r="CD42" s="992">
        <f t="shared" ref="CD42:CD50" si="189">$I42</f>
        <v>4348</v>
      </c>
      <c r="CE42" s="1759" t="s">
        <v>416</v>
      </c>
      <c r="CF42" s="1758">
        <f>VLOOKUP($G42,'Quantidades Padrão'!$E$7:$J$103,CF$8,0)</f>
        <v>2.4075000000000003E-2</v>
      </c>
      <c r="CG42" s="1772"/>
      <c r="CH42" s="992">
        <f t="shared" ref="CH42" si="190">CD42*CF42</f>
        <v>104.67810000000001</v>
      </c>
      <c r="CI42" s="1772"/>
      <c r="CJ42" s="992">
        <f t="shared" ref="CJ42" si="191">$D42*CH42</f>
        <v>16031.451015000002</v>
      </c>
      <c r="CK42" s="1759"/>
      <c r="CL42" s="992">
        <f t="shared" si="144"/>
        <v>4348</v>
      </c>
      <c r="CM42" s="1759" t="str">
        <f t="shared" si="144"/>
        <v>m</v>
      </c>
      <c r="CN42" s="1758">
        <f>VLOOKUP($G42,'Quantidades Padrão'!$E$7:$J$103,CN$8,0)</f>
        <v>1.2840000000000002E-2</v>
      </c>
      <c r="CO42" s="1772"/>
      <c r="CP42" s="992">
        <f t="shared" ref="CP42:CP50" si="192">CL42*CN42</f>
        <v>55.828320000000012</v>
      </c>
      <c r="CQ42" s="1772"/>
      <c r="CR42" s="992">
        <f t="shared" ref="CR42:CR50" si="193">$D42*CP42</f>
        <v>8550.1072080000031</v>
      </c>
      <c r="CS42" s="1759"/>
      <c r="CT42" s="992">
        <f t="shared" si="145"/>
        <v>4348</v>
      </c>
      <c r="CU42" s="1759" t="s">
        <v>416</v>
      </c>
      <c r="CV42" s="1758">
        <f>VLOOKUP($G42,'Quantidades Padrão'!$E$7:$J$103,CV$8,0)</f>
        <v>1.8457500000000002E-2</v>
      </c>
      <c r="CW42" s="1772"/>
      <c r="CX42" s="992">
        <f t="shared" ref="CX42" si="194">CT42*CV42</f>
        <v>80.25321000000001</v>
      </c>
      <c r="CY42" s="1772"/>
      <c r="CZ42" s="992">
        <f t="shared" ref="CZ42" si="195">$D42*CX42</f>
        <v>12290.779111500002</v>
      </c>
      <c r="DA42" s="1759"/>
      <c r="DB42" s="992">
        <f t="shared" si="146"/>
        <v>4348</v>
      </c>
      <c r="DC42" s="1759" t="s">
        <v>416</v>
      </c>
      <c r="DD42" s="1758">
        <f>VLOOKUP($G42,'Quantidades Padrão'!$E$7:$J$103,DD$8,0)</f>
        <v>2.4075000000000003E-2</v>
      </c>
      <c r="DE42" s="1772"/>
      <c r="DF42" s="992">
        <f t="shared" ref="DF42" si="196">DB42*DD42</f>
        <v>104.67810000000001</v>
      </c>
      <c r="DG42" s="1772"/>
      <c r="DH42" s="992">
        <f t="shared" ref="DH42" si="197">$D42*DF42</f>
        <v>16031.451015000002</v>
      </c>
      <c r="DI42" s="1759"/>
      <c r="DJ42" s="992">
        <f t="shared" si="147"/>
        <v>4348</v>
      </c>
      <c r="DK42" s="1759" t="s">
        <v>416</v>
      </c>
      <c r="DL42" s="1758">
        <f>VLOOKUP($G42,'Quantidades Padrão'!$E$7:$J$103,DL$8,0)</f>
        <v>1.2840000000000002E-2</v>
      </c>
      <c r="DM42" s="1772"/>
      <c r="DN42" s="992">
        <f t="shared" ref="DN42" si="198">DJ42*DL42</f>
        <v>55.828320000000012</v>
      </c>
      <c r="DO42" s="1772"/>
      <c r="DP42" s="992">
        <f t="shared" ref="DP42" si="199">$D42*DN42</f>
        <v>8550.1072080000031</v>
      </c>
      <c r="DQ42" s="1759"/>
      <c r="DR42" s="992">
        <f t="shared" si="148"/>
        <v>4348</v>
      </c>
      <c r="DS42" s="1759" t="s">
        <v>416</v>
      </c>
      <c r="DT42" s="1758">
        <f>VLOOKUP($G42,'Quantidades Padrão'!$E$7:$J$103,DT$8,0)</f>
        <v>1.8457500000000002E-2</v>
      </c>
      <c r="DU42" s="1772"/>
      <c r="DV42" s="992">
        <f t="shared" ref="DV42" si="200">DR42*DT42</f>
        <v>80.25321000000001</v>
      </c>
      <c r="DW42" s="1772"/>
      <c r="DX42" s="992">
        <f t="shared" ref="DX42" si="201">$D42*DV42</f>
        <v>12290.779111500002</v>
      </c>
      <c r="DY42" s="1759"/>
      <c r="DZ42" s="992">
        <f t="shared" si="149"/>
        <v>4348</v>
      </c>
      <c r="EA42" s="1759" t="str">
        <f t="shared" si="149"/>
        <v>m</v>
      </c>
      <c r="EB42" s="1758">
        <f>VLOOKUP($G42,'Quantidades Padrão'!$E$7:$J$103,EB$8,0)</f>
        <v>2.4075000000000003E-2</v>
      </c>
      <c r="EC42" s="1772"/>
      <c r="ED42" s="992">
        <f t="shared" ref="ED42" si="202">DZ42*EB42</f>
        <v>104.67810000000001</v>
      </c>
      <c r="EE42" s="1772"/>
      <c r="EF42" s="992">
        <f t="shared" ref="EF42" si="203">$D42*ED42</f>
        <v>16031.451015000002</v>
      </c>
      <c r="EG42" s="1759"/>
      <c r="EH42" s="992">
        <f t="shared" si="150"/>
        <v>4348</v>
      </c>
      <c r="EI42" s="1759" t="str">
        <f t="shared" si="150"/>
        <v>m</v>
      </c>
      <c r="EJ42" s="1758">
        <f>VLOOKUP($G42,'Quantidades Padrão'!$E$7:$J$103,EJ$8,0)</f>
        <v>1.2840000000000002E-2</v>
      </c>
      <c r="EK42" s="1772"/>
      <c r="EL42" s="992">
        <f t="shared" ref="EL42" si="204">EH42*EJ42</f>
        <v>55.828320000000012</v>
      </c>
      <c r="EM42" s="1772"/>
      <c r="EN42" s="992">
        <f t="shared" ref="EN42" si="205">$D42*EL42</f>
        <v>8550.1072080000031</v>
      </c>
      <c r="EO42" s="1759"/>
      <c r="EP42" s="992">
        <f t="shared" si="151"/>
        <v>4348</v>
      </c>
      <c r="EQ42" s="1759" t="str">
        <f t="shared" si="151"/>
        <v>m</v>
      </c>
      <c r="ER42" s="1758">
        <f>VLOOKUP($G42,'Quantidades Padrão'!$E$7:$J$103,ER$8,0)</f>
        <v>1.8457500000000002E-2</v>
      </c>
      <c r="ES42" s="1772"/>
      <c r="ET42" s="992">
        <f t="shared" ref="ET42:ET50" si="206">EP42*ER42</f>
        <v>80.25321000000001</v>
      </c>
      <c r="EU42" s="1772"/>
      <c r="EV42" s="992">
        <f t="shared" ref="EV42:EV50" si="207">$D42*ET42</f>
        <v>12290.779111500002</v>
      </c>
      <c r="EW42" s="1759"/>
      <c r="EX42" s="992">
        <f t="shared" si="152"/>
        <v>4348</v>
      </c>
      <c r="EY42" s="1759" t="str">
        <f t="shared" si="152"/>
        <v>m</v>
      </c>
      <c r="EZ42" s="1758">
        <f>VLOOKUP($G42,'Quantidades Padrão'!$E$7:$J$103,EZ$8,0)</f>
        <v>2.4075000000000003E-2</v>
      </c>
      <c r="FA42" s="1772"/>
      <c r="FB42" s="992">
        <f t="shared" ref="FB42" si="208">EX42*EZ42</f>
        <v>104.67810000000001</v>
      </c>
      <c r="FC42" s="1772"/>
      <c r="FD42" s="992">
        <f t="shared" ref="FD42" si="209">$D42*FB42</f>
        <v>16031.451015000002</v>
      </c>
      <c r="FE42" s="1759"/>
      <c r="FF42" s="992">
        <f t="shared" si="153"/>
        <v>4348</v>
      </c>
      <c r="FG42" s="1759" t="str">
        <f t="shared" si="153"/>
        <v>m</v>
      </c>
      <c r="FH42" s="1758">
        <f>VLOOKUP($G42,'Quantidades Padrão'!$E$7:$J$103,FH$8,0)</f>
        <v>1.2840000000000002E-2</v>
      </c>
      <c r="FI42" s="1772"/>
      <c r="FJ42" s="992">
        <f t="shared" ref="FJ42" si="210">FF42*FH42</f>
        <v>55.828320000000012</v>
      </c>
      <c r="FK42" s="1772"/>
      <c r="FL42" s="992">
        <f t="shared" ref="FL42" si="211">$D42*FJ42</f>
        <v>8550.1072080000031</v>
      </c>
      <c r="FM42" s="1759"/>
      <c r="FN42" s="992">
        <f t="shared" si="154"/>
        <v>4348</v>
      </c>
      <c r="FO42" s="1759" t="str">
        <f t="shared" si="154"/>
        <v>m</v>
      </c>
      <c r="FP42" s="1758">
        <f>VLOOKUP($G42,'Quantidades Padrão'!$E$7:$J$103,FP$8,0)</f>
        <v>1.8457500000000002E-2</v>
      </c>
      <c r="FQ42" s="1772"/>
      <c r="FR42" s="992">
        <f t="shared" ref="FR42" si="212">FN42*FP42</f>
        <v>80.25321000000001</v>
      </c>
      <c r="FS42" s="1772"/>
      <c r="FT42" s="992">
        <f t="shared" ref="FT42" si="213">$D42*FR42</f>
        <v>12290.779111500002</v>
      </c>
      <c r="FU42" s="1759"/>
      <c r="FV42" s="992">
        <f t="shared" si="155"/>
        <v>4348</v>
      </c>
      <c r="FW42" s="1759" t="str">
        <f t="shared" si="155"/>
        <v>m</v>
      </c>
      <c r="FX42" s="1758">
        <f>VLOOKUP($G42,'Quantidades Padrão'!$E$7:$J$103,FX$8,0)</f>
        <v>2.4075000000000003E-2</v>
      </c>
      <c r="FY42" s="1772"/>
      <c r="FZ42" s="992">
        <f t="shared" ref="FZ42" si="214">FV42*FX42</f>
        <v>104.67810000000001</v>
      </c>
      <c r="GA42" s="1772"/>
      <c r="GB42" s="992">
        <f t="shared" ref="GB42" si="215">$D42*FZ42</f>
        <v>16031.451015000002</v>
      </c>
      <c r="GC42" s="1759"/>
      <c r="GD42" s="992">
        <f t="shared" si="156"/>
        <v>4348</v>
      </c>
      <c r="GE42" s="1759" t="str">
        <f t="shared" si="156"/>
        <v>m</v>
      </c>
      <c r="GF42" s="1758">
        <f>VLOOKUP($G42,'Quantidades Padrão'!$E$7:$J$103,GF$8,0)</f>
        <v>1.2840000000000002E-2</v>
      </c>
      <c r="GG42" s="1772"/>
      <c r="GH42" s="992">
        <f t="shared" ref="GH42" si="216">GD42*GF42</f>
        <v>55.828320000000012</v>
      </c>
      <c r="GI42" s="1772"/>
      <c r="GJ42" s="992">
        <f t="shared" ref="GJ42" si="217">$D42*GH42</f>
        <v>8550.1072080000031</v>
      </c>
      <c r="GK42" s="1759"/>
      <c r="GL42" s="992">
        <f t="shared" si="157"/>
        <v>4348</v>
      </c>
      <c r="GM42" s="1759" t="str">
        <f t="shared" si="157"/>
        <v>m</v>
      </c>
      <c r="GN42" s="1758">
        <f>VLOOKUP($G42,'Quantidades Padrão'!$E$7:$J$103,GN$8,0)</f>
        <v>1.8457500000000002E-2</v>
      </c>
      <c r="GO42" s="1772"/>
      <c r="GP42" s="992">
        <f t="shared" ref="GP42" si="218">GL42*GN42</f>
        <v>80.25321000000001</v>
      </c>
      <c r="GQ42" s="1772"/>
      <c r="GR42" s="992">
        <f t="shared" ref="GR42" si="219">$D42*GP42</f>
        <v>12290.779111500002</v>
      </c>
      <c r="GS42" s="1759"/>
      <c r="GT42" s="992">
        <f t="shared" si="158"/>
        <v>4348</v>
      </c>
      <c r="GU42" s="1759" t="str">
        <f t="shared" si="158"/>
        <v>m</v>
      </c>
      <c r="GV42" s="1758">
        <f>VLOOKUP($G42,'Quantidades Padrão'!$E$7:$J$103,GV$8,0)</f>
        <v>2.4075000000000003E-2</v>
      </c>
      <c r="GW42" s="1772"/>
      <c r="GX42" s="992">
        <f t="shared" ref="GX42" si="220">GT42*GV42</f>
        <v>104.67810000000001</v>
      </c>
      <c r="GY42" s="1772"/>
      <c r="GZ42" s="992">
        <f t="shared" ref="GZ42" si="221">$D42*GX42</f>
        <v>16031.451015000002</v>
      </c>
      <c r="HA42" s="1759"/>
      <c r="HB42" s="992">
        <f t="shared" si="159"/>
        <v>4348</v>
      </c>
      <c r="HC42" s="1759" t="str">
        <f t="shared" si="160"/>
        <v>m</v>
      </c>
      <c r="HD42" s="1758">
        <f>VLOOKUP($G42,'Quantidades Padrão'!$E$7:$J$103,HD$8,0)</f>
        <v>1.2840000000000002E-2</v>
      </c>
      <c r="HE42" s="1772"/>
      <c r="HF42" s="992">
        <f t="shared" ref="HF42:HF50" si="222">HB42*HD42</f>
        <v>55.828320000000012</v>
      </c>
      <c r="HG42" s="1772"/>
      <c r="HH42" s="992">
        <f t="shared" ref="HH42:HH50" si="223">$D42*HF42</f>
        <v>8550.1072080000031</v>
      </c>
      <c r="HI42" s="1759"/>
      <c r="HJ42" s="992">
        <f t="shared" si="161"/>
        <v>4348</v>
      </c>
      <c r="HK42" s="1759" t="str">
        <f t="shared" si="162"/>
        <v>m</v>
      </c>
      <c r="HL42" s="1758">
        <f>VLOOKUP($G42,'Quantidades Padrão'!$E$7:$J$103,HL$8,0)</f>
        <v>1.8457500000000002E-2</v>
      </c>
      <c r="HM42" s="1772"/>
      <c r="HN42" s="992">
        <f t="shared" ref="HN42" si="224">HJ42*HL42</f>
        <v>80.25321000000001</v>
      </c>
      <c r="HO42" s="1772"/>
      <c r="HP42" s="992">
        <f t="shared" ref="HP42" si="225">$D42*HN42</f>
        <v>12290.779111500002</v>
      </c>
      <c r="HQ42" s="1759"/>
      <c r="HR42" s="992">
        <f t="shared" si="163"/>
        <v>4348</v>
      </c>
      <c r="HS42" s="1759" t="str">
        <f t="shared" si="164"/>
        <v>m</v>
      </c>
      <c r="HT42" s="1758">
        <f>VLOOKUP($G42,'Quantidades Padrão'!$E$7:$J$103,HT$8,0)</f>
        <v>2.4075000000000003E-2</v>
      </c>
      <c r="HU42" s="1772"/>
      <c r="HV42" s="992">
        <f t="shared" ref="HV42" si="226">HR42*HT42</f>
        <v>104.67810000000001</v>
      </c>
      <c r="HW42" s="1772"/>
      <c r="HX42" s="992">
        <f t="shared" ref="HX42" si="227">$D42*HV42</f>
        <v>16031.451015000002</v>
      </c>
      <c r="HY42" s="1759"/>
      <c r="HZ42" s="992">
        <f t="shared" si="165"/>
        <v>4348</v>
      </c>
      <c r="IA42" s="1759" t="str">
        <f t="shared" si="166"/>
        <v>m</v>
      </c>
      <c r="IB42" s="1758">
        <f>VLOOKUP($G42,'Quantidades Padrão'!$E$7:$J$103,IB$8,0)</f>
        <v>1.2840000000000002E-2</v>
      </c>
      <c r="IC42" s="1772"/>
      <c r="ID42" s="992">
        <f t="shared" ref="ID42" si="228">HZ42*IB42</f>
        <v>55.828320000000012</v>
      </c>
      <c r="IE42" s="1772"/>
      <c r="IF42" s="992">
        <f t="shared" ref="IF42" si="229">$D42*ID42</f>
        <v>8550.1072080000031</v>
      </c>
      <c r="IG42" s="1759"/>
      <c r="IH42" s="992">
        <f t="shared" si="167"/>
        <v>4348</v>
      </c>
      <c r="II42" s="1759" t="str">
        <f t="shared" si="168"/>
        <v>m</v>
      </c>
      <c r="IJ42" s="1758">
        <f>VLOOKUP($G42,'Quantidades Padrão'!$E$7:$J$103,IJ$8,0)</f>
        <v>1.8457500000000002E-2</v>
      </c>
      <c r="IK42" s="1772"/>
      <c r="IL42" s="992">
        <f t="shared" ref="IL42" si="230">IH42*IJ42</f>
        <v>80.25321000000001</v>
      </c>
      <c r="IM42" s="1772"/>
      <c r="IN42" s="992">
        <f t="shared" ref="IN42" si="231">$D42*IL42</f>
        <v>12290.779111500002</v>
      </c>
      <c r="IO42" s="1759"/>
    </row>
    <row r="43" spans="1:249" s="341" customFormat="1" ht="12.75" hidden="1" customHeight="1">
      <c r="A43" s="1753"/>
      <c r="B43" s="1754"/>
      <c r="C43" s="1755"/>
      <c r="D43" s="1013" t="e">
        <f>VLOOKUP(E43,'DER MG'!$D$5:$I$150,6,0)</f>
        <v>#N/A</v>
      </c>
      <c r="E43" s="1017"/>
      <c r="F43" s="1756"/>
      <c r="G43" s="1018"/>
      <c r="H43" s="992">
        <f t="shared" si="117"/>
        <v>0</v>
      </c>
      <c r="I43" s="992"/>
      <c r="J43" s="1759"/>
      <c r="K43" s="1758"/>
      <c r="L43" s="1759"/>
      <c r="M43" s="992"/>
      <c r="N43" s="1759"/>
      <c r="O43" s="992"/>
      <c r="P43" s="1759"/>
      <c r="Q43" s="1760"/>
      <c r="R43" s="992"/>
      <c r="S43" s="1759"/>
      <c r="T43" s="1758"/>
      <c r="U43" s="1759"/>
      <c r="V43" s="992"/>
      <c r="W43" s="1759"/>
      <c r="X43" s="992"/>
      <c r="Y43" s="1759"/>
      <c r="Z43" s="992"/>
      <c r="AA43" s="1759"/>
      <c r="AB43" s="1758"/>
      <c r="AC43" s="1759"/>
      <c r="AD43" s="992"/>
      <c r="AE43" s="1759"/>
      <c r="AF43" s="992"/>
      <c r="AG43" s="1759"/>
      <c r="AH43" s="992"/>
      <c r="AI43" s="1759"/>
      <c r="AJ43" s="1758"/>
      <c r="AK43" s="1759"/>
      <c r="AL43" s="992"/>
      <c r="AM43" s="1759"/>
      <c r="AN43" s="992"/>
      <c r="AO43" s="1759"/>
      <c r="AP43" s="992"/>
      <c r="AQ43" s="1759"/>
      <c r="AR43" s="1758"/>
      <c r="AS43" s="1759"/>
      <c r="AT43" s="992"/>
      <c r="AU43" s="1759"/>
      <c r="AV43" s="992"/>
      <c r="AW43" s="1759"/>
      <c r="AX43" s="992"/>
      <c r="AY43" s="1759"/>
      <c r="AZ43" s="1758"/>
      <c r="BA43" s="1759"/>
      <c r="BB43" s="992"/>
      <c r="BC43" s="1759"/>
      <c r="BD43" s="992"/>
      <c r="BE43" s="1759"/>
      <c r="BF43" s="992"/>
      <c r="BG43" s="1759"/>
      <c r="BH43" s="1758"/>
      <c r="BI43" s="1772"/>
      <c r="BJ43" s="992"/>
      <c r="BK43" s="1772"/>
      <c r="BL43" s="992"/>
      <c r="BM43" s="1759"/>
      <c r="BN43" s="992"/>
      <c r="BO43" s="1759"/>
      <c r="BP43" s="1758"/>
      <c r="BQ43" s="1772"/>
      <c r="BR43" s="992"/>
      <c r="BS43" s="1772"/>
      <c r="BT43" s="992"/>
      <c r="BU43" s="1759"/>
      <c r="BV43" s="992"/>
      <c r="BW43" s="1759"/>
      <c r="BX43" s="1758"/>
      <c r="BY43" s="1772"/>
      <c r="BZ43" s="992"/>
      <c r="CA43" s="1772"/>
      <c r="CB43" s="992"/>
      <c r="CC43" s="1759"/>
      <c r="CD43" s="992"/>
      <c r="CE43" s="1759"/>
      <c r="CF43" s="1758"/>
      <c r="CG43" s="1772"/>
      <c r="CH43" s="992"/>
      <c r="CI43" s="1772"/>
      <c r="CJ43" s="992"/>
      <c r="CK43" s="1759"/>
      <c r="CL43" s="992"/>
      <c r="CM43" s="1759"/>
      <c r="CN43" s="1758"/>
      <c r="CO43" s="1772"/>
      <c r="CP43" s="992"/>
      <c r="CQ43" s="1772"/>
      <c r="CR43" s="992"/>
      <c r="CS43" s="1759"/>
      <c r="CT43" s="992"/>
      <c r="CU43" s="1759"/>
      <c r="CV43" s="1758"/>
      <c r="CW43" s="1772"/>
      <c r="CX43" s="992"/>
      <c r="CY43" s="1772"/>
      <c r="CZ43" s="992"/>
      <c r="DA43" s="1759"/>
      <c r="DB43" s="992"/>
      <c r="DC43" s="1759"/>
      <c r="DD43" s="1758"/>
      <c r="DE43" s="1772"/>
      <c r="DF43" s="992"/>
      <c r="DG43" s="1772"/>
      <c r="DH43" s="992"/>
      <c r="DI43" s="1759"/>
      <c r="DJ43" s="992"/>
      <c r="DK43" s="1759"/>
      <c r="DL43" s="1758"/>
      <c r="DM43" s="1772"/>
      <c r="DN43" s="992"/>
      <c r="DO43" s="1772"/>
      <c r="DP43" s="992"/>
      <c r="DQ43" s="1759"/>
      <c r="DR43" s="992"/>
      <c r="DS43" s="1759"/>
      <c r="DT43" s="1758"/>
      <c r="DU43" s="1772"/>
      <c r="DV43" s="992"/>
      <c r="DW43" s="1772"/>
      <c r="DX43" s="992"/>
      <c r="DY43" s="1759"/>
      <c r="DZ43" s="992"/>
      <c r="EA43" s="1759"/>
      <c r="EB43" s="1758"/>
      <c r="EC43" s="1772"/>
      <c r="ED43" s="992"/>
      <c r="EE43" s="1772"/>
      <c r="EF43" s="992"/>
      <c r="EG43" s="1759"/>
      <c r="EH43" s="992"/>
      <c r="EI43" s="1759"/>
      <c r="EJ43" s="1758"/>
      <c r="EK43" s="1772"/>
      <c r="EL43" s="992"/>
      <c r="EM43" s="1772"/>
      <c r="EN43" s="992"/>
      <c r="EO43" s="1759"/>
      <c r="EP43" s="992"/>
      <c r="EQ43" s="1759"/>
      <c r="ER43" s="1758"/>
      <c r="ES43" s="1772"/>
      <c r="ET43" s="992"/>
      <c r="EU43" s="1772"/>
      <c r="EV43" s="992"/>
      <c r="EW43" s="1759"/>
      <c r="EX43" s="992"/>
      <c r="EY43" s="1759"/>
      <c r="EZ43" s="1758"/>
      <c r="FA43" s="1772"/>
      <c r="FB43" s="992"/>
      <c r="FC43" s="1772"/>
      <c r="FD43" s="992"/>
      <c r="FE43" s="1759"/>
      <c r="FF43" s="992"/>
      <c r="FG43" s="1759"/>
      <c r="FH43" s="1758"/>
      <c r="FI43" s="1772"/>
      <c r="FJ43" s="992"/>
      <c r="FK43" s="1772"/>
      <c r="FL43" s="992"/>
      <c r="FM43" s="1759"/>
      <c r="FN43" s="992"/>
      <c r="FO43" s="1759"/>
      <c r="FP43" s="1758"/>
      <c r="FQ43" s="1772"/>
      <c r="FR43" s="992"/>
      <c r="FS43" s="1772"/>
      <c r="FT43" s="992"/>
      <c r="FU43" s="1759"/>
      <c r="FV43" s="992"/>
      <c r="FW43" s="1759"/>
      <c r="FX43" s="1758"/>
      <c r="FY43" s="1772"/>
      <c r="FZ43" s="992"/>
      <c r="GA43" s="1772"/>
      <c r="GB43" s="992"/>
      <c r="GC43" s="1759"/>
      <c r="GD43" s="992"/>
      <c r="GE43" s="1759"/>
      <c r="GF43" s="1758"/>
      <c r="GG43" s="1772"/>
      <c r="GH43" s="992"/>
      <c r="GI43" s="1772"/>
      <c r="GJ43" s="992"/>
      <c r="GK43" s="1759"/>
      <c r="GL43" s="992"/>
      <c r="GM43" s="1759"/>
      <c r="GN43" s="1758"/>
      <c r="GO43" s="1772"/>
      <c r="GP43" s="992"/>
      <c r="GQ43" s="1772"/>
      <c r="GR43" s="992"/>
      <c r="GS43" s="1759"/>
      <c r="GT43" s="992"/>
      <c r="GU43" s="1759"/>
      <c r="GV43" s="1758"/>
      <c r="GW43" s="1772"/>
      <c r="GX43" s="992"/>
      <c r="GY43" s="1772"/>
      <c r="GZ43" s="992"/>
      <c r="HA43" s="1759"/>
      <c r="HB43" s="992"/>
      <c r="HC43" s="1759"/>
      <c r="HD43" s="1758"/>
      <c r="HE43" s="1772"/>
      <c r="HF43" s="992"/>
      <c r="HG43" s="1772"/>
      <c r="HH43" s="992"/>
      <c r="HI43" s="1759"/>
      <c r="HJ43" s="992"/>
      <c r="HK43" s="1759"/>
      <c r="HL43" s="1758"/>
      <c r="HM43" s="1772"/>
      <c r="HN43" s="992"/>
      <c r="HO43" s="1772"/>
      <c r="HP43" s="992"/>
      <c r="HQ43" s="1759"/>
      <c r="HR43" s="992"/>
      <c r="HS43" s="1759"/>
      <c r="HT43" s="1758"/>
      <c r="HU43" s="1772"/>
      <c r="HV43" s="992"/>
      <c r="HW43" s="1772"/>
      <c r="HX43" s="992"/>
      <c r="HY43" s="1759"/>
      <c r="HZ43" s="992"/>
      <c r="IA43" s="1759"/>
      <c r="IB43" s="1758"/>
      <c r="IC43" s="1772"/>
      <c r="ID43" s="992"/>
      <c r="IE43" s="1772"/>
      <c r="IF43" s="992"/>
      <c r="IG43" s="1759"/>
      <c r="IH43" s="992"/>
      <c r="II43" s="1759"/>
      <c r="IJ43" s="1758"/>
      <c r="IK43" s="1772"/>
      <c r="IL43" s="992"/>
      <c r="IM43" s="1772"/>
      <c r="IN43" s="992"/>
      <c r="IO43" s="1759"/>
    </row>
    <row r="44" spans="1:249" s="341" customFormat="1">
      <c r="A44" s="1753"/>
      <c r="B44" s="1754"/>
      <c r="C44" s="1755"/>
      <c r="D44" s="1013">
        <f>VLOOKUP(E44,'DER MG'!$D$5:$I$150,6,0)</f>
        <v>4.79</v>
      </c>
      <c r="E44" s="1017">
        <v>4915686</v>
      </c>
      <c r="F44" s="1756"/>
      <c r="G44" s="1018" t="s">
        <v>437</v>
      </c>
      <c r="H44" s="992">
        <f t="shared" si="117"/>
        <v>1167943.7540625005</v>
      </c>
      <c r="I44" s="992">
        <f>'OAEs e Passarelas Padrão'!E39</f>
        <v>10900</v>
      </c>
      <c r="J44" s="1759" t="s">
        <v>411</v>
      </c>
      <c r="K44" s="1758">
        <f>VLOOKUP($G44,'Quantidades Padrão'!$E$7:$J$103,K$8,0)</f>
        <v>0.53500000000000003</v>
      </c>
      <c r="L44" s="1759" t="s">
        <v>426</v>
      </c>
      <c r="M44" s="992">
        <f t="shared" si="169"/>
        <v>5831.5</v>
      </c>
      <c r="N44" s="1759" t="s">
        <v>411</v>
      </c>
      <c r="O44" s="992">
        <f t="shared" si="170"/>
        <v>27932.884999999998</v>
      </c>
      <c r="P44" s="1759"/>
      <c r="Q44" s="1760">
        <f t="shared" ref="Q44:Q54" si="232">O44/O$71</f>
        <v>4.5000122374535007E-3</v>
      </c>
      <c r="R44" s="992">
        <f t="shared" si="171"/>
        <v>10900</v>
      </c>
      <c r="S44" s="1759" t="s">
        <v>411</v>
      </c>
      <c r="T44" s="1758">
        <f>VLOOKUP($G44,'Quantidades Padrão'!$E$7:$J$103,T$8,0)</f>
        <v>0.53500000000000003</v>
      </c>
      <c r="U44" s="1759" t="s">
        <v>426</v>
      </c>
      <c r="V44" s="992">
        <f t="shared" si="172"/>
        <v>5831.5</v>
      </c>
      <c r="W44" s="1759" t="s">
        <v>411</v>
      </c>
      <c r="X44" s="992">
        <f t="shared" ref="X44:X50" si="233">$D44*V44</f>
        <v>27932.884999999998</v>
      </c>
      <c r="Y44" s="1759"/>
      <c r="Z44" s="992">
        <f t="shared" si="171"/>
        <v>10900</v>
      </c>
      <c r="AA44" s="1759" t="s">
        <v>411</v>
      </c>
      <c r="AB44" s="1758">
        <f>VLOOKUP($G44,'Quantidades Padrão'!$E$7:$J$103,AB$8,0)</f>
        <v>1.003125</v>
      </c>
      <c r="AC44" s="1759" t="s">
        <v>426</v>
      </c>
      <c r="AD44" s="992">
        <f t="shared" ref="AD44:AD50" si="234">Z44*AB44</f>
        <v>10934.0625</v>
      </c>
      <c r="AE44" s="1759" t="s">
        <v>411</v>
      </c>
      <c r="AF44" s="992">
        <f t="shared" ref="AF44:AF50" si="235">$D44*AD44</f>
        <v>52374.159375000003</v>
      </c>
      <c r="AG44" s="1759"/>
      <c r="AH44" s="992">
        <f t="shared" si="171"/>
        <v>10900</v>
      </c>
      <c r="AI44" s="1759" t="s">
        <v>411</v>
      </c>
      <c r="AJ44" s="1758">
        <f>VLOOKUP($G44,'Quantidades Padrão'!$E$7:$J$103,AJ$8,0)</f>
        <v>0.53500000000000003</v>
      </c>
      <c r="AK44" s="1759" t="s">
        <v>426</v>
      </c>
      <c r="AL44" s="992">
        <f t="shared" ref="AL44:AL50" si="236">AH44*AJ44</f>
        <v>5831.5</v>
      </c>
      <c r="AM44" s="1759" t="s">
        <v>411</v>
      </c>
      <c r="AN44" s="992">
        <f t="shared" ref="AN44:AN50" si="237">$D44*AL44</f>
        <v>27932.884999999998</v>
      </c>
      <c r="AO44" s="1759"/>
      <c r="AP44" s="992">
        <f t="shared" si="175"/>
        <v>10900</v>
      </c>
      <c r="AQ44" s="1759" t="s">
        <v>411</v>
      </c>
      <c r="AR44" s="1758">
        <f>VLOOKUP($G44,'Quantidades Padrão'!$E$7:$J$103,AR$8,0)</f>
        <v>0.53500000000000003</v>
      </c>
      <c r="AS44" s="1759" t="s">
        <v>426</v>
      </c>
      <c r="AT44" s="992">
        <f t="shared" ref="AT44:AT50" si="238">AP44*AR44</f>
        <v>5831.5</v>
      </c>
      <c r="AU44" s="1759" t="s">
        <v>411</v>
      </c>
      <c r="AV44" s="992">
        <f t="shared" ref="AV44:AV50" si="239">$D44*AT44</f>
        <v>27932.884999999998</v>
      </c>
      <c r="AW44" s="1759"/>
      <c r="AX44" s="992">
        <f t="shared" si="177"/>
        <v>10900</v>
      </c>
      <c r="AY44" s="1759" t="s">
        <v>411</v>
      </c>
      <c r="AZ44" s="1758">
        <f>VLOOKUP($G44,'Quantidades Padrão'!$E$7:$J$103,AZ$8,0)</f>
        <v>0.76906250000000009</v>
      </c>
      <c r="BA44" s="1759" t="s">
        <v>426</v>
      </c>
      <c r="BB44" s="992">
        <f t="shared" si="178"/>
        <v>8382.7812500000018</v>
      </c>
      <c r="BC44" s="1759" t="s">
        <v>411</v>
      </c>
      <c r="BD44" s="992">
        <f t="shared" si="179"/>
        <v>40153.522187500006</v>
      </c>
      <c r="BE44" s="1759"/>
      <c r="BF44" s="992">
        <f t="shared" si="180"/>
        <v>10900</v>
      </c>
      <c r="BG44" s="1759" t="str">
        <f t="shared" ref="BG44:BG54" si="240">J44</f>
        <v>m²</v>
      </c>
      <c r="BH44" s="1758">
        <f>VLOOKUP($G44,'Quantidades Padrão'!$E$7:$J$103,BH$8,0)</f>
        <v>1.003125</v>
      </c>
      <c r="BI44" s="1772"/>
      <c r="BJ44" s="992">
        <f t="shared" si="181"/>
        <v>10934.0625</v>
      </c>
      <c r="BK44" s="1772"/>
      <c r="BL44" s="992">
        <f t="shared" si="182"/>
        <v>52374.159375000003</v>
      </c>
      <c r="BM44" s="1759"/>
      <c r="BN44" s="992">
        <f t="shared" si="183"/>
        <v>10900</v>
      </c>
      <c r="BO44" s="1759" t="s">
        <v>411</v>
      </c>
      <c r="BP44" s="1758">
        <f>VLOOKUP($G44,'Quantidades Padrão'!$E$7:$J$103,BP$8,0)</f>
        <v>0.53500000000000003</v>
      </c>
      <c r="BQ44" s="1772"/>
      <c r="BR44" s="992">
        <f t="shared" ref="BR44:BR50" si="241">BN44*BP44</f>
        <v>5831.5</v>
      </c>
      <c r="BS44" s="1772"/>
      <c r="BT44" s="992">
        <f t="shared" ref="BT44:BT50" si="242">$D44*BR44</f>
        <v>27932.884999999998</v>
      </c>
      <c r="BU44" s="1759"/>
      <c r="BV44" s="992">
        <f t="shared" si="186"/>
        <v>10900</v>
      </c>
      <c r="BW44" s="1759" t="s">
        <v>411</v>
      </c>
      <c r="BX44" s="1758">
        <f>VLOOKUP($G44,'Quantidades Padrão'!$E$7:$J$103,BX$8,0)</f>
        <v>0.76906250000000009</v>
      </c>
      <c r="BY44" s="1772"/>
      <c r="BZ44" s="992">
        <f t="shared" ref="BZ44:BZ50" si="243">BV44*BX44</f>
        <v>8382.7812500000018</v>
      </c>
      <c r="CA44" s="1772"/>
      <c r="CB44" s="992">
        <f t="shared" ref="CB44:CB50" si="244">$D44*BZ44</f>
        <v>40153.522187500006</v>
      </c>
      <c r="CC44" s="1759"/>
      <c r="CD44" s="992">
        <f t="shared" si="189"/>
        <v>10900</v>
      </c>
      <c r="CE44" s="1759" t="s">
        <v>411</v>
      </c>
      <c r="CF44" s="1758">
        <f>VLOOKUP($G44,'Quantidades Padrão'!$E$7:$J$103,CF$8,0)</f>
        <v>1.003125</v>
      </c>
      <c r="CG44" s="1772"/>
      <c r="CH44" s="992">
        <f t="shared" ref="CH44:CH50" si="245">CD44*CF44</f>
        <v>10934.0625</v>
      </c>
      <c r="CI44" s="1772"/>
      <c r="CJ44" s="992">
        <f t="shared" ref="CJ44:CJ50" si="246">$D44*CH44</f>
        <v>52374.159375000003</v>
      </c>
      <c r="CK44" s="1759"/>
      <c r="CL44" s="992">
        <f t="shared" ref="CL44:CL54" si="247">BF44</f>
        <v>10900</v>
      </c>
      <c r="CM44" s="1759" t="str">
        <f t="shared" ref="CM44:CM54" si="248">BG44</f>
        <v>m²</v>
      </c>
      <c r="CN44" s="1758">
        <f>VLOOKUP($G44,'Quantidades Padrão'!$E$7:$J$103,CN$8,0)</f>
        <v>0.53500000000000003</v>
      </c>
      <c r="CO44" s="1772"/>
      <c r="CP44" s="992">
        <f t="shared" si="192"/>
        <v>5831.5</v>
      </c>
      <c r="CQ44" s="1772"/>
      <c r="CR44" s="992">
        <f t="shared" si="193"/>
        <v>27932.884999999998</v>
      </c>
      <c r="CS44" s="1759"/>
      <c r="CT44" s="992">
        <f t="shared" ref="CT44:CT54" si="249">BN44</f>
        <v>10900</v>
      </c>
      <c r="CU44" s="1759" t="s">
        <v>411</v>
      </c>
      <c r="CV44" s="1758">
        <f>VLOOKUP($G44,'Quantidades Padrão'!$E$7:$J$103,CV$8,0)</f>
        <v>0.76906250000000009</v>
      </c>
      <c r="CW44" s="1772"/>
      <c r="CX44" s="992">
        <f t="shared" ref="CX44:CX50" si="250">CT44*CV44</f>
        <v>8382.7812500000018</v>
      </c>
      <c r="CY44" s="1772"/>
      <c r="CZ44" s="992">
        <f t="shared" ref="CZ44:CZ50" si="251">$D44*CX44</f>
        <v>40153.522187500006</v>
      </c>
      <c r="DA44" s="1759"/>
      <c r="DB44" s="992">
        <f t="shared" ref="DB44:DB54" si="252">BV44</f>
        <v>10900</v>
      </c>
      <c r="DC44" s="1759" t="s">
        <v>411</v>
      </c>
      <c r="DD44" s="1758">
        <f>VLOOKUP($G44,'Quantidades Padrão'!$E$7:$J$103,DD$8,0)</f>
        <v>1.003125</v>
      </c>
      <c r="DE44" s="1772"/>
      <c r="DF44" s="992">
        <f t="shared" ref="DF44:DF50" si="253">DB44*DD44</f>
        <v>10934.0625</v>
      </c>
      <c r="DG44" s="1772"/>
      <c r="DH44" s="992">
        <f t="shared" ref="DH44:DH50" si="254">$D44*DF44</f>
        <v>52374.159375000003</v>
      </c>
      <c r="DI44" s="1759"/>
      <c r="DJ44" s="992">
        <f t="shared" ref="DJ44:DJ54" si="255">CD44</f>
        <v>10900</v>
      </c>
      <c r="DK44" s="1759" t="s">
        <v>411</v>
      </c>
      <c r="DL44" s="1758">
        <f>VLOOKUP($G44,'Quantidades Padrão'!$E$7:$J$103,DL$8,0)</f>
        <v>0.53500000000000003</v>
      </c>
      <c r="DM44" s="1772"/>
      <c r="DN44" s="992">
        <f t="shared" ref="DN44:DN50" si="256">DJ44*DL44</f>
        <v>5831.5</v>
      </c>
      <c r="DO44" s="1772"/>
      <c r="DP44" s="992">
        <f t="shared" ref="DP44:DP50" si="257">$D44*DN44</f>
        <v>27932.884999999998</v>
      </c>
      <c r="DQ44" s="1759"/>
      <c r="DR44" s="992">
        <f t="shared" ref="DR44:DR54" si="258">CL44</f>
        <v>10900</v>
      </c>
      <c r="DS44" s="1759" t="s">
        <v>411</v>
      </c>
      <c r="DT44" s="1758">
        <f>VLOOKUP($G44,'Quantidades Padrão'!$E$7:$J$103,DT$8,0)</f>
        <v>0.76906250000000009</v>
      </c>
      <c r="DU44" s="1772"/>
      <c r="DV44" s="992">
        <f t="shared" ref="DV44:DV50" si="259">DR44*DT44</f>
        <v>8382.7812500000018</v>
      </c>
      <c r="DW44" s="1772"/>
      <c r="DX44" s="992">
        <f t="shared" ref="DX44:DX50" si="260">$D44*DV44</f>
        <v>40153.522187500006</v>
      </c>
      <c r="DY44" s="1759"/>
      <c r="DZ44" s="992">
        <f t="shared" ref="DZ44:DZ54" si="261">CT44</f>
        <v>10900</v>
      </c>
      <c r="EA44" s="1759" t="str">
        <f t="shared" ref="EA44:EA54" si="262">CU44</f>
        <v>m²</v>
      </c>
      <c r="EB44" s="1758">
        <f>VLOOKUP($G44,'Quantidades Padrão'!$E$7:$J$103,EB$8,0)</f>
        <v>1.003125</v>
      </c>
      <c r="EC44" s="1772"/>
      <c r="ED44" s="992">
        <f t="shared" ref="ED44:ED50" si="263">DZ44*EB44</f>
        <v>10934.0625</v>
      </c>
      <c r="EE44" s="1772"/>
      <c r="EF44" s="992">
        <f t="shared" ref="EF44:EF50" si="264">$D44*ED44</f>
        <v>52374.159375000003</v>
      </c>
      <c r="EG44" s="1759"/>
      <c r="EH44" s="992">
        <f t="shared" ref="EH44:EH54" si="265">DB44</f>
        <v>10900</v>
      </c>
      <c r="EI44" s="1759" t="str">
        <f t="shared" ref="EI44:EI54" si="266">DC44</f>
        <v>m²</v>
      </c>
      <c r="EJ44" s="1758">
        <f>VLOOKUP($G44,'Quantidades Padrão'!$E$7:$J$103,EJ$8,0)</f>
        <v>0.53500000000000003</v>
      </c>
      <c r="EK44" s="1772"/>
      <c r="EL44" s="992">
        <f t="shared" ref="EL44:EL50" si="267">EH44*EJ44</f>
        <v>5831.5</v>
      </c>
      <c r="EM44" s="1772"/>
      <c r="EN44" s="992">
        <f t="shared" ref="EN44:EN50" si="268">$D44*EL44</f>
        <v>27932.884999999998</v>
      </c>
      <c r="EO44" s="1759"/>
      <c r="EP44" s="992">
        <f t="shared" ref="EP44:EP54" si="269">CL44</f>
        <v>10900</v>
      </c>
      <c r="EQ44" s="1759" t="str">
        <f t="shared" ref="EQ44:EQ54" si="270">CM44</f>
        <v>m²</v>
      </c>
      <c r="ER44" s="1758">
        <f>VLOOKUP($G44,'Quantidades Padrão'!$E$7:$J$103,ER$8,0)</f>
        <v>0.76906250000000009</v>
      </c>
      <c r="ES44" s="1772"/>
      <c r="ET44" s="992">
        <f t="shared" si="206"/>
        <v>8382.7812500000018</v>
      </c>
      <c r="EU44" s="1772"/>
      <c r="EV44" s="992">
        <f t="shared" si="207"/>
        <v>40153.522187500006</v>
      </c>
      <c r="EW44" s="1759"/>
      <c r="EX44" s="992">
        <f t="shared" ref="EX44:EX54" si="271">CT44</f>
        <v>10900</v>
      </c>
      <c r="EY44" s="1759" t="str">
        <f t="shared" ref="EY44:EY54" si="272">CU44</f>
        <v>m²</v>
      </c>
      <c r="EZ44" s="1758">
        <f>VLOOKUP($G44,'Quantidades Padrão'!$E$7:$J$103,EZ$8,0)</f>
        <v>1.003125</v>
      </c>
      <c r="FA44" s="1772"/>
      <c r="FB44" s="992">
        <f t="shared" ref="FB44:FB50" si="273">EX44*EZ44</f>
        <v>10934.0625</v>
      </c>
      <c r="FC44" s="1772"/>
      <c r="FD44" s="992">
        <f t="shared" ref="FD44:FD50" si="274">$D44*FB44</f>
        <v>52374.159375000003</v>
      </c>
      <c r="FE44" s="1759"/>
      <c r="FF44" s="992">
        <f t="shared" ref="FF44:FF54" si="275">DB44</f>
        <v>10900</v>
      </c>
      <c r="FG44" s="1759" t="str">
        <f t="shared" ref="FG44:FG54" si="276">DC44</f>
        <v>m²</v>
      </c>
      <c r="FH44" s="1758">
        <f>VLOOKUP($G44,'Quantidades Padrão'!$E$7:$J$103,FH$8,0)</f>
        <v>0.53500000000000003</v>
      </c>
      <c r="FI44" s="1772"/>
      <c r="FJ44" s="992">
        <f t="shared" ref="FJ44:FJ50" si="277">FF44*FH44</f>
        <v>5831.5</v>
      </c>
      <c r="FK44" s="1772"/>
      <c r="FL44" s="992">
        <f t="shared" ref="FL44:FL50" si="278">$D44*FJ44</f>
        <v>27932.884999999998</v>
      </c>
      <c r="FM44" s="1759"/>
      <c r="FN44" s="992">
        <f t="shared" ref="FN44:FN54" si="279">DJ44</f>
        <v>10900</v>
      </c>
      <c r="FO44" s="1759" t="str">
        <f t="shared" ref="FO44:FO54" si="280">DK44</f>
        <v>m²</v>
      </c>
      <c r="FP44" s="1758">
        <f>VLOOKUP($G44,'Quantidades Padrão'!$E$7:$J$103,FP$8,0)</f>
        <v>0.76906250000000009</v>
      </c>
      <c r="FQ44" s="1772"/>
      <c r="FR44" s="992">
        <f t="shared" ref="FR44:FR50" si="281">FN44*FP44</f>
        <v>8382.7812500000018</v>
      </c>
      <c r="FS44" s="1772"/>
      <c r="FT44" s="992">
        <f t="shared" ref="FT44:FT50" si="282">$D44*FR44</f>
        <v>40153.522187500006</v>
      </c>
      <c r="FU44" s="1759"/>
      <c r="FV44" s="992">
        <f t="shared" ref="FV44:FV54" si="283">DR44</f>
        <v>10900</v>
      </c>
      <c r="FW44" s="1759" t="str">
        <f t="shared" ref="FW44:FW54" si="284">DS44</f>
        <v>m²</v>
      </c>
      <c r="FX44" s="1758">
        <f>VLOOKUP($G44,'Quantidades Padrão'!$E$7:$J$103,FX$8,0)</f>
        <v>1.003125</v>
      </c>
      <c r="FY44" s="1772"/>
      <c r="FZ44" s="992">
        <f t="shared" ref="FZ44:FZ50" si="285">FV44*FX44</f>
        <v>10934.0625</v>
      </c>
      <c r="GA44" s="1772"/>
      <c r="GB44" s="992">
        <f t="shared" ref="GB44:GB50" si="286">$D44*FZ44</f>
        <v>52374.159375000003</v>
      </c>
      <c r="GC44" s="1759"/>
      <c r="GD44" s="992">
        <f t="shared" ref="GD44:GD54" si="287">DZ44</f>
        <v>10900</v>
      </c>
      <c r="GE44" s="1759" t="str">
        <f t="shared" ref="GE44:GE54" si="288">EA44</f>
        <v>m²</v>
      </c>
      <c r="GF44" s="1758">
        <f>VLOOKUP($G44,'Quantidades Padrão'!$E$7:$J$103,GF$8,0)</f>
        <v>0.53500000000000003</v>
      </c>
      <c r="GG44" s="1772"/>
      <c r="GH44" s="992">
        <f t="shared" ref="GH44:GH50" si="289">GD44*GF44</f>
        <v>5831.5</v>
      </c>
      <c r="GI44" s="1772"/>
      <c r="GJ44" s="992">
        <f t="shared" ref="GJ44:GJ50" si="290">$D44*GH44</f>
        <v>27932.884999999998</v>
      </c>
      <c r="GK44" s="1759"/>
      <c r="GL44" s="992">
        <f t="shared" ref="GL44:GL54" si="291">EH44</f>
        <v>10900</v>
      </c>
      <c r="GM44" s="1759" t="str">
        <f t="shared" ref="GM44:GM54" si="292">EI44</f>
        <v>m²</v>
      </c>
      <c r="GN44" s="1758">
        <f>VLOOKUP($G44,'Quantidades Padrão'!$E$7:$J$103,GN$8,0)</f>
        <v>0.76906250000000009</v>
      </c>
      <c r="GO44" s="1772"/>
      <c r="GP44" s="992">
        <f t="shared" ref="GP44:GP50" si="293">GL44*GN44</f>
        <v>8382.7812500000018</v>
      </c>
      <c r="GQ44" s="1772"/>
      <c r="GR44" s="992">
        <f t="shared" ref="GR44:GR50" si="294">$D44*GP44</f>
        <v>40153.522187500006</v>
      </c>
      <c r="GS44" s="1759"/>
      <c r="GT44" s="992">
        <f t="shared" ref="GT44:GT54" si="295">EP44</f>
        <v>10900</v>
      </c>
      <c r="GU44" s="1759" t="str">
        <f t="shared" ref="GU44:GU54" si="296">EQ44</f>
        <v>m²</v>
      </c>
      <c r="GV44" s="1758">
        <f>VLOOKUP($G44,'Quantidades Padrão'!$E$7:$J$103,GV$8,0)</f>
        <v>1.003125</v>
      </c>
      <c r="GW44" s="1772"/>
      <c r="GX44" s="992">
        <f t="shared" ref="GX44:GX50" si="297">GT44*GV44</f>
        <v>10934.0625</v>
      </c>
      <c r="GY44" s="1772"/>
      <c r="GZ44" s="992">
        <f t="shared" ref="GZ44:GZ50" si="298">$D44*GX44</f>
        <v>52374.159375000003</v>
      </c>
      <c r="HA44" s="1759"/>
      <c r="HB44" s="992">
        <f t="shared" si="159"/>
        <v>10900</v>
      </c>
      <c r="HC44" s="1759" t="str">
        <f t="shared" si="160"/>
        <v>m²</v>
      </c>
      <c r="HD44" s="1758">
        <f>VLOOKUP($G44,'Quantidades Padrão'!$E$7:$J$103,HD$8,0)</f>
        <v>0.53500000000000003</v>
      </c>
      <c r="HE44" s="1772"/>
      <c r="HF44" s="992">
        <f t="shared" si="222"/>
        <v>5831.5</v>
      </c>
      <c r="HG44" s="1772"/>
      <c r="HH44" s="992">
        <f t="shared" si="223"/>
        <v>27932.884999999998</v>
      </c>
      <c r="HI44" s="1759"/>
      <c r="HJ44" s="992">
        <f t="shared" ref="HJ44:HJ54" si="299">EX44</f>
        <v>10900</v>
      </c>
      <c r="HK44" s="1759" t="str">
        <f t="shared" ref="HK44:HK54" si="300">EY44</f>
        <v>m²</v>
      </c>
      <c r="HL44" s="1758">
        <f>VLOOKUP($G44,'Quantidades Padrão'!$E$7:$J$103,HL$8,0)</f>
        <v>0.76906250000000009</v>
      </c>
      <c r="HM44" s="1772"/>
      <c r="HN44" s="992">
        <f t="shared" ref="HN44:HN50" si="301">HJ44*HL44</f>
        <v>8382.7812500000018</v>
      </c>
      <c r="HO44" s="1772"/>
      <c r="HP44" s="992">
        <f t="shared" ref="HP44:HP50" si="302">$D44*HN44</f>
        <v>40153.522187500006</v>
      </c>
      <c r="HQ44" s="1759"/>
      <c r="HR44" s="992">
        <f t="shared" ref="HR44:HR54" si="303">FF44</f>
        <v>10900</v>
      </c>
      <c r="HS44" s="1759" t="str">
        <f t="shared" ref="HS44:HS54" si="304">FG44</f>
        <v>m²</v>
      </c>
      <c r="HT44" s="1758">
        <f>VLOOKUP($G44,'Quantidades Padrão'!$E$7:$J$103,HT$8,0)</f>
        <v>1.003125</v>
      </c>
      <c r="HU44" s="1772"/>
      <c r="HV44" s="992">
        <f t="shared" ref="HV44:HV50" si="305">HR44*HT44</f>
        <v>10934.0625</v>
      </c>
      <c r="HW44" s="1772"/>
      <c r="HX44" s="992">
        <f t="shared" ref="HX44:HX50" si="306">$D44*HV44</f>
        <v>52374.159375000003</v>
      </c>
      <c r="HY44" s="1759"/>
      <c r="HZ44" s="992">
        <f t="shared" ref="HZ44:HZ54" si="307">FN44</f>
        <v>10900</v>
      </c>
      <c r="IA44" s="1759" t="str">
        <f t="shared" ref="IA44:IA54" si="308">FO44</f>
        <v>m²</v>
      </c>
      <c r="IB44" s="1758">
        <f>VLOOKUP($G44,'Quantidades Padrão'!$E$7:$J$103,IB$8,0)</f>
        <v>0.53500000000000003</v>
      </c>
      <c r="IC44" s="1772"/>
      <c r="ID44" s="992">
        <f t="shared" ref="ID44:ID50" si="309">HZ44*IB44</f>
        <v>5831.5</v>
      </c>
      <c r="IE44" s="1772"/>
      <c r="IF44" s="992">
        <f t="shared" ref="IF44:IF50" si="310">$D44*ID44</f>
        <v>27932.884999999998</v>
      </c>
      <c r="IG44" s="1759"/>
      <c r="IH44" s="992">
        <f t="shared" ref="IH44:IH54" si="311">FV44</f>
        <v>10900</v>
      </c>
      <c r="II44" s="1759" t="str">
        <f t="shared" ref="II44:II54" si="312">FW44</f>
        <v>m²</v>
      </c>
      <c r="IJ44" s="1758">
        <f>VLOOKUP($G44,'Quantidades Padrão'!$E$7:$J$103,IJ$8,0)</f>
        <v>0.76906250000000009</v>
      </c>
      <c r="IK44" s="1772"/>
      <c r="IL44" s="992">
        <f t="shared" ref="IL44:IL50" si="313">IH44*IJ44</f>
        <v>8382.7812500000018</v>
      </c>
      <c r="IM44" s="1772"/>
      <c r="IN44" s="992">
        <f t="shared" ref="IN44:IN50" si="314">$D44*IL44</f>
        <v>40153.522187500006</v>
      </c>
      <c r="IO44" s="1759"/>
    </row>
    <row r="45" spans="1:249" s="341" customFormat="1">
      <c r="A45" s="1753"/>
      <c r="B45" s="1754"/>
      <c r="C45" s="1755"/>
      <c r="D45" s="1013">
        <f>VLOOKUP(E45,'DER MG'!$D$5:$I$150,6,0)</f>
        <v>665.01</v>
      </c>
      <c r="E45" s="1017">
        <v>307734</v>
      </c>
      <c r="F45" s="1756"/>
      <c r="G45" s="1018" t="s">
        <v>438</v>
      </c>
      <c r="H45" s="992">
        <f t="shared" si="117"/>
        <v>71405.116245000012</v>
      </c>
      <c r="I45" s="992">
        <f>'OAEs e Passarelas Padrão'!E41</f>
        <v>20</v>
      </c>
      <c r="J45" s="1759" t="s">
        <v>416</v>
      </c>
      <c r="K45" s="1758">
        <f>VLOOKUP($G45,'Quantidades Padrão'!$E$7:$J$103,K$8,0)</f>
        <v>0.12840000000000004</v>
      </c>
      <c r="L45" s="1759" t="s">
        <v>436</v>
      </c>
      <c r="M45" s="992">
        <f t="shared" si="169"/>
        <v>2.5680000000000009</v>
      </c>
      <c r="N45" s="1759" t="s">
        <v>416</v>
      </c>
      <c r="O45" s="992">
        <f t="shared" si="170"/>
        <v>1707.7456800000007</v>
      </c>
      <c r="P45" s="1759"/>
      <c r="Q45" s="1760">
        <f t="shared" si="232"/>
        <v>2.7511932471201427E-4</v>
      </c>
      <c r="R45" s="992">
        <f t="shared" si="171"/>
        <v>20</v>
      </c>
      <c r="S45" s="1759" t="s">
        <v>416</v>
      </c>
      <c r="T45" s="1758">
        <f>VLOOKUP($G45,'Quantidades Padrão'!$E$7:$J$103,T$8,0)</f>
        <v>0.12840000000000004</v>
      </c>
      <c r="U45" s="1759" t="s">
        <v>436</v>
      </c>
      <c r="V45" s="992">
        <f t="shared" si="172"/>
        <v>2.5680000000000009</v>
      </c>
      <c r="W45" s="1759" t="s">
        <v>416</v>
      </c>
      <c r="X45" s="992">
        <f t="shared" si="233"/>
        <v>1707.7456800000007</v>
      </c>
      <c r="Y45" s="1759"/>
      <c r="Z45" s="992">
        <f t="shared" si="171"/>
        <v>20</v>
      </c>
      <c r="AA45" s="1759" t="s">
        <v>416</v>
      </c>
      <c r="AB45" s="1758">
        <f>VLOOKUP($G45,'Quantidades Padrão'!$E$7:$J$103,AB$8,0)</f>
        <v>0.24075000000000005</v>
      </c>
      <c r="AC45" s="1759" t="s">
        <v>436</v>
      </c>
      <c r="AD45" s="992">
        <f t="shared" si="234"/>
        <v>4.8150000000000013</v>
      </c>
      <c r="AE45" s="1759" t="s">
        <v>416</v>
      </c>
      <c r="AF45" s="992">
        <f t="shared" si="235"/>
        <v>3202.0231500000009</v>
      </c>
      <c r="AG45" s="1759"/>
      <c r="AH45" s="992">
        <f t="shared" si="171"/>
        <v>20</v>
      </c>
      <c r="AI45" s="1759" t="s">
        <v>416</v>
      </c>
      <c r="AJ45" s="1758">
        <f>VLOOKUP($G45,'Quantidades Padrão'!$E$7:$J$103,AJ$8,0)</f>
        <v>0.12840000000000004</v>
      </c>
      <c r="AK45" s="1759" t="s">
        <v>436</v>
      </c>
      <c r="AL45" s="992">
        <f t="shared" si="236"/>
        <v>2.5680000000000009</v>
      </c>
      <c r="AM45" s="1759" t="s">
        <v>416</v>
      </c>
      <c r="AN45" s="992">
        <f t="shared" si="237"/>
        <v>1707.7456800000007</v>
      </c>
      <c r="AO45" s="1759"/>
      <c r="AP45" s="992">
        <f t="shared" si="175"/>
        <v>20</v>
      </c>
      <c r="AQ45" s="1759" t="s">
        <v>416</v>
      </c>
      <c r="AR45" s="1758">
        <f>VLOOKUP($G45,'Quantidades Padrão'!$E$7:$J$103,AR$8,0)</f>
        <v>0.12840000000000004</v>
      </c>
      <c r="AS45" s="1759" t="s">
        <v>436</v>
      </c>
      <c r="AT45" s="992">
        <f t="shared" si="238"/>
        <v>2.5680000000000009</v>
      </c>
      <c r="AU45" s="1759" t="s">
        <v>416</v>
      </c>
      <c r="AV45" s="992">
        <f t="shared" si="239"/>
        <v>1707.7456800000007</v>
      </c>
      <c r="AW45" s="1759"/>
      <c r="AX45" s="992">
        <f t="shared" si="177"/>
        <v>20</v>
      </c>
      <c r="AY45" s="1759" t="s">
        <v>416</v>
      </c>
      <c r="AZ45" s="1758">
        <f>VLOOKUP($G45,'Quantidades Padrão'!$E$7:$J$103,AZ$8,0)</f>
        <v>0.18457500000000004</v>
      </c>
      <c r="BA45" s="1759" t="s">
        <v>436</v>
      </c>
      <c r="BB45" s="992">
        <f t="shared" si="178"/>
        <v>3.6915000000000009</v>
      </c>
      <c r="BC45" s="1759" t="s">
        <v>416</v>
      </c>
      <c r="BD45" s="992">
        <f t="shared" si="179"/>
        <v>2454.8844150000004</v>
      </c>
      <c r="BE45" s="1759"/>
      <c r="BF45" s="992">
        <f t="shared" si="180"/>
        <v>20</v>
      </c>
      <c r="BG45" s="1759" t="str">
        <f t="shared" si="240"/>
        <v>m</v>
      </c>
      <c r="BH45" s="1758">
        <f>VLOOKUP($G45,'Quantidades Padrão'!$E$7:$J$103,BH$8,0)</f>
        <v>0.24075000000000005</v>
      </c>
      <c r="BI45" s="1772"/>
      <c r="BJ45" s="992">
        <f t="shared" si="181"/>
        <v>4.8150000000000013</v>
      </c>
      <c r="BK45" s="1772"/>
      <c r="BL45" s="992">
        <f t="shared" si="182"/>
        <v>3202.0231500000009</v>
      </c>
      <c r="BM45" s="1759"/>
      <c r="BN45" s="992">
        <f t="shared" si="183"/>
        <v>20</v>
      </c>
      <c r="BO45" s="1759" t="s">
        <v>416</v>
      </c>
      <c r="BP45" s="1758">
        <f>VLOOKUP($G45,'Quantidades Padrão'!$E$7:$J$103,BP$8,0)</f>
        <v>0.12840000000000004</v>
      </c>
      <c r="BQ45" s="1772"/>
      <c r="BR45" s="992">
        <f t="shared" si="241"/>
        <v>2.5680000000000009</v>
      </c>
      <c r="BS45" s="1772"/>
      <c r="BT45" s="992">
        <f t="shared" si="242"/>
        <v>1707.7456800000007</v>
      </c>
      <c r="BU45" s="1759"/>
      <c r="BV45" s="992">
        <f t="shared" si="186"/>
        <v>20</v>
      </c>
      <c r="BW45" s="1759" t="s">
        <v>416</v>
      </c>
      <c r="BX45" s="1758">
        <f>VLOOKUP($G45,'Quantidades Padrão'!$E$7:$J$103,BX$8,0)</f>
        <v>0.18457500000000004</v>
      </c>
      <c r="BY45" s="1772"/>
      <c r="BZ45" s="992">
        <f t="shared" si="243"/>
        <v>3.6915000000000009</v>
      </c>
      <c r="CA45" s="1772"/>
      <c r="CB45" s="992">
        <f t="shared" si="244"/>
        <v>2454.8844150000004</v>
      </c>
      <c r="CC45" s="1759"/>
      <c r="CD45" s="992">
        <f t="shared" si="189"/>
        <v>20</v>
      </c>
      <c r="CE45" s="1759" t="s">
        <v>416</v>
      </c>
      <c r="CF45" s="1758">
        <f>VLOOKUP($G45,'Quantidades Padrão'!$E$7:$J$103,CF$8,0)</f>
        <v>0.24075000000000005</v>
      </c>
      <c r="CG45" s="1772"/>
      <c r="CH45" s="992">
        <f t="shared" si="245"/>
        <v>4.8150000000000013</v>
      </c>
      <c r="CI45" s="1772"/>
      <c r="CJ45" s="992">
        <f t="shared" si="246"/>
        <v>3202.0231500000009</v>
      </c>
      <c r="CK45" s="1759"/>
      <c r="CL45" s="992">
        <f t="shared" si="247"/>
        <v>20</v>
      </c>
      <c r="CM45" s="1759" t="str">
        <f t="shared" si="248"/>
        <v>m</v>
      </c>
      <c r="CN45" s="1758">
        <f>VLOOKUP($G45,'Quantidades Padrão'!$E$7:$J$103,CN$8,0)</f>
        <v>0.12840000000000004</v>
      </c>
      <c r="CO45" s="1772"/>
      <c r="CP45" s="992">
        <f t="shared" si="192"/>
        <v>2.5680000000000009</v>
      </c>
      <c r="CQ45" s="1772"/>
      <c r="CR45" s="992">
        <f t="shared" si="193"/>
        <v>1707.7456800000007</v>
      </c>
      <c r="CS45" s="1759"/>
      <c r="CT45" s="992">
        <f t="shared" si="249"/>
        <v>20</v>
      </c>
      <c r="CU45" s="1759" t="s">
        <v>416</v>
      </c>
      <c r="CV45" s="1758">
        <f>VLOOKUP($G45,'Quantidades Padrão'!$E$7:$J$103,CV$8,0)</f>
        <v>0.18457500000000004</v>
      </c>
      <c r="CW45" s="1772"/>
      <c r="CX45" s="992">
        <f t="shared" si="250"/>
        <v>3.6915000000000009</v>
      </c>
      <c r="CY45" s="1772"/>
      <c r="CZ45" s="992">
        <f t="shared" si="251"/>
        <v>2454.8844150000004</v>
      </c>
      <c r="DA45" s="1759"/>
      <c r="DB45" s="992">
        <f t="shared" si="252"/>
        <v>20</v>
      </c>
      <c r="DC45" s="1759" t="s">
        <v>416</v>
      </c>
      <c r="DD45" s="1758">
        <f>VLOOKUP($G45,'Quantidades Padrão'!$E$7:$J$103,DD$8,0)</f>
        <v>0.24075000000000005</v>
      </c>
      <c r="DE45" s="1772"/>
      <c r="DF45" s="992">
        <f t="shared" si="253"/>
        <v>4.8150000000000013</v>
      </c>
      <c r="DG45" s="1772"/>
      <c r="DH45" s="992">
        <f t="shared" si="254"/>
        <v>3202.0231500000009</v>
      </c>
      <c r="DI45" s="1759"/>
      <c r="DJ45" s="992">
        <f t="shared" si="255"/>
        <v>20</v>
      </c>
      <c r="DK45" s="1759" t="s">
        <v>416</v>
      </c>
      <c r="DL45" s="1758">
        <f>VLOOKUP($G45,'Quantidades Padrão'!$E$7:$J$103,DL$8,0)</f>
        <v>0.12840000000000004</v>
      </c>
      <c r="DM45" s="1772"/>
      <c r="DN45" s="992">
        <f t="shared" si="256"/>
        <v>2.5680000000000009</v>
      </c>
      <c r="DO45" s="1772"/>
      <c r="DP45" s="992">
        <f t="shared" si="257"/>
        <v>1707.7456800000007</v>
      </c>
      <c r="DQ45" s="1759"/>
      <c r="DR45" s="992">
        <f t="shared" si="258"/>
        <v>20</v>
      </c>
      <c r="DS45" s="1759" t="s">
        <v>416</v>
      </c>
      <c r="DT45" s="1758">
        <f>VLOOKUP($G45,'Quantidades Padrão'!$E$7:$J$103,DT$8,0)</f>
        <v>0.18457500000000004</v>
      </c>
      <c r="DU45" s="1772"/>
      <c r="DV45" s="992">
        <f t="shared" si="259"/>
        <v>3.6915000000000009</v>
      </c>
      <c r="DW45" s="1772"/>
      <c r="DX45" s="992">
        <f t="shared" si="260"/>
        <v>2454.8844150000004</v>
      </c>
      <c r="DY45" s="1759"/>
      <c r="DZ45" s="992">
        <f t="shared" si="261"/>
        <v>20</v>
      </c>
      <c r="EA45" s="1759" t="str">
        <f t="shared" si="262"/>
        <v>m</v>
      </c>
      <c r="EB45" s="1758">
        <f>VLOOKUP($G45,'Quantidades Padrão'!$E$7:$J$103,EB$8,0)</f>
        <v>0.24075000000000005</v>
      </c>
      <c r="EC45" s="1772"/>
      <c r="ED45" s="992">
        <f t="shared" si="263"/>
        <v>4.8150000000000013</v>
      </c>
      <c r="EE45" s="1772"/>
      <c r="EF45" s="992">
        <f t="shared" si="264"/>
        <v>3202.0231500000009</v>
      </c>
      <c r="EG45" s="1759"/>
      <c r="EH45" s="992">
        <f t="shared" si="265"/>
        <v>20</v>
      </c>
      <c r="EI45" s="1759" t="str">
        <f t="shared" si="266"/>
        <v>m</v>
      </c>
      <c r="EJ45" s="1758">
        <f>VLOOKUP($G45,'Quantidades Padrão'!$E$7:$J$103,EJ$8,0)</f>
        <v>0.12840000000000004</v>
      </c>
      <c r="EK45" s="1772"/>
      <c r="EL45" s="992">
        <f t="shared" si="267"/>
        <v>2.5680000000000009</v>
      </c>
      <c r="EM45" s="1772"/>
      <c r="EN45" s="992">
        <f t="shared" si="268"/>
        <v>1707.7456800000007</v>
      </c>
      <c r="EO45" s="1759"/>
      <c r="EP45" s="992">
        <f t="shared" si="269"/>
        <v>20</v>
      </c>
      <c r="EQ45" s="1759" t="str">
        <f t="shared" si="270"/>
        <v>m</v>
      </c>
      <c r="ER45" s="1758">
        <f>VLOOKUP($G45,'Quantidades Padrão'!$E$7:$J$103,ER$8,0)</f>
        <v>0.18457500000000004</v>
      </c>
      <c r="ES45" s="1772"/>
      <c r="ET45" s="992">
        <f t="shared" si="206"/>
        <v>3.6915000000000009</v>
      </c>
      <c r="EU45" s="1772"/>
      <c r="EV45" s="992">
        <f t="shared" si="207"/>
        <v>2454.8844150000004</v>
      </c>
      <c r="EW45" s="1759"/>
      <c r="EX45" s="992">
        <f t="shared" si="271"/>
        <v>20</v>
      </c>
      <c r="EY45" s="1759" t="str">
        <f t="shared" si="272"/>
        <v>m</v>
      </c>
      <c r="EZ45" s="1758">
        <f>VLOOKUP($G45,'Quantidades Padrão'!$E$7:$J$103,EZ$8,0)</f>
        <v>0.24075000000000005</v>
      </c>
      <c r="FA45" s="1772"/>
      <c r="FB45" s="992">
        <f t="shared" si="273"/>
        <v>4.8150000000000013</v>
      </c>
      <c r="FC45" s="1772"/>
      <c r="FD45" s="992">
        <f t="shared" si="274"/>
        <v>3202.0231500000009</v>
      </c>
      <c r="FE45" s="1759"/>
      <c r="FF45" s="992">
        <f t="shared" si="275"/>
        <v>20</v>
      </c>
      <c r="FG45" s="1759" t="str">
        <f t="shared" si="276"/>
        <v>m</v>
      </c>
      <c r="FH45" s="1758">
        <f>VLOOKUP($G45,'Quantidades Padrão'!$E$7:$J$103,FH$8,0)</f>
        <v>0.12840000000000004</v>
      </c>
      <c r="FI45" s="1772"/>
      <c r="FJ45" s="992">
        <f t="shared" si="277"/>
        <v>2.5680000000000009</v>
      </c>
      <c r="FK45" s="1772"/>
      <c r="FL45" s="992">
        <f t="shared" si="278"/>
        <v>1707.7456800000007</v>
      </c>
      <c r="FM45" s="1759"/>
      <c r="FN45" s="992">
        <f t="shared" si="279"/>
        <v>20</v>
      </c>
      <c r="FO45" s="1759" t="str">
        <f t="shared" si="280"/>
        <v>m</v>
      </c>
      <c r="FP45" s="1758">
        <f>VLOOKUP($G45,'Quantidades Padrão'!$E$7:$J$103,FP$8,0)</f>
        <v>0.18457500000000004</v>
      </c>
      <c r="FQ45" s="1772"/>
      <c r="FR45" s="992">
        <f t="shared" si="281"/>
        <v>3.6915000000000009</v>
      </c>
      <c r="FS45" s="1772"/>
      <c r="FT45" s="992">
        <f t="shared" si="282"/>
        <v>2454.8844150000004</v>
      </c>
      <c r="FU45" s="1759"/>
      <c r="FV45" s="992">
        <f t="shared" si="283"/>
        <v>20</v>
      </c>
      <c r="FW45" s="1759" t="str">
        <f t="shared" si="284"/>
        <v>m</v>
      </c>
      <c r="FX45" s="1758">
        <f>VLOOKUP($G45,'Quantidades Padrão'!$E$7:$J$103,FX$8,0)</f>
        <v>0.24075000000000005</v>
      </c>
      <c r="FY45" s="1772"/>
      <c r="FZ45" s="992">
        <f t="shared" si="285"/>
        <v>4.8150000000000013</v>
      </c>
      <c r="GA45" s="1772"/>
      <c r="GB45" s="992">
        <f t="shared" si="286"/>
        <v>3202.0231500000009</v>
      </c>
      <c r="GC45" s="1759"/>
      <c r="GD45" s="992">
        <f t="shared" si="287"/>
        <v>20</v>
      </c>
      <c r="GE45" s="1759" t="str">
        <f t="shared" si="288"/>
        <v>m</v>
      </c>
      <c r="GF45" s="1758">
        <f>VLOOKUP($G45,'Quantidades Padrão'!$E$7:$J$103,GF$8,0)</f>
        <v>0.12840000000000004</v>
      </c>
      <c r="GG45" s="1772"/>
      <c r="GH45" s="992">
        <f t="shared" si="289"/>
        <v>2.5680000000000009</v>
      </c>
      <c r="GI45" s="1772"/>
      <c r="GJ45" s="992">
        <f t="shared" si="290"/>
        <v>1707.7456800000007</v>
      </c>
      <c r="GK45" s="1759"/>
      <c r="GL45" s="992">
        <f t="shared" si="291"/>
        <v>20</v>
      </c>
      <c r="GM45" s="1759" t="str">
        <f t="shared" si="292"/>
        <v>m</v>
      </c>
      <c r="GN45" s="1758">
        <f>VLOOKUP($G45,'Quantidades Padrão'!$E$7:$J$103,GN$8,0)</f>
        <v>0.18457500000000004</v>
      </c>
      <c r="GO45" s="1772"/>
      <c r="GP45" s="992">
        <f t="shared" si="293"/>
        <v>3.6915000000000009</v>
      </c>
      <c r="GQ45" s="1772"/>
      <c r="GR45" s="992">
        <f t="shared" si="294"/>
        <v>2454.8844150000004</v>
      </c>
      <c r="GS45" s="1759"/>
      <c r="GT45" s="992">
        <f t="shared" si="295"/>
        <v>20</v>
      </c>
      <c r="GU45" s="1759" t="str">
        <f t="shared" si="296"/>
        <v>m</v>
      </c>
      <c r="GV45" s="1758">
        <f>VLOOKUP($G45,'Quantidades Padrão'!$E$7:$J$103,GV$8,0)</f>
        <v>0.24075000000000005</v>
      </c>
      <c r="GW45" s="1772"/>
      <c r="GX45" s="992">
        <f t="shared" si="297"/>
        <v>4.8150000000000013</v>
      </c>
      <c r="GY45" s="1772"/>
      <c r="GZ45" s="992">
        <f t="shared" si="298"/>
        <v>3202.0231500000009</v>
      </c>
      <c r="HA45" s="1759"/>
      <c r="HB45" s="992">
        <f t="shared" si="159"/>
        <v>20</v>
      </c>
      <c r="HC45" s="1759" t="str">
        <f t="shared" si="160"/>
        <v>m</v>
      </c>
      <c r="HD45" s="1758">
        <f>VLOOKUP($G45,'Quantidades Padrão'!$E$7:$J$103,HD$8,0)</f>
        <v>0.12840000000000004</v>
      </c>
      <c r="HE45" s="1772"/>
      <c r="HF45" s="992">
        <f t="shared" si="222"/>
        <v>2.5680000000000009</v>
      </c>
      <c r="HG45" s="1772"/>
      <c r="HH45" s="992">
        <f t="shared" si="223"/>
        <v>1707.7456800000007</v>
      </c>
      <c r="HI45" s="1759"/>
      <c r="HJ45" s="992">
        <f t="shared" si="299"/>
        <v>20</v>
      </c>
      <c r="HK45" s="1759" t="str">
        <f t="shared" si="300"/>
        <v>m</v>
      </c>
      <c r="HL45" s="1758">
        <f>VLOOKUP($G45,'Quantidades Padrão'!$E$7:$J$103,HL$8,0)</f>
        <v>0.18457500000000004</v>
      </c>
      <c r="HM45" s="1772"/>
      <c r="HN45" s="992">
        <f t="shared" si="301"/>
        <v>3.6915000000000009</v>
      </c>
      <c r="HO45" s="1772"/>
      <c r="HP45" s="992">
        <f t="shared" si="302"/>
        <v>2454.8844150000004</v>
      </c>
      <c r="HQ45" s="1759"/>
      <c r="HR45" s="992">
        <f t="shared" si="303"/>
        <v>20</v>
      </c>
      <c r="HS45" s="1759" t="str">
        <f t="shared" si="304"/>
        <v>m</v>
      </c>
      <c r="HT45" s="1758">
        <f>VLOOKUP($G45,'Quantidades Padrão'!$E$7:$J$103,HT$8,0)</f>
        <v>0.24075000000000005</v>
      </c>
      <c r="HU45" s="1772"/>
      <c r="HV45" s="992">
        <f t="shared" si="305"/>
        <v>4.8150000000000013</v>
      </c>
      <c r="HW45" s="1772"/>
      <c r="HX45" s="992">
        <f t="shared" si="306"/>
        <v>3202.0231500000009</v>
      </c>
      <c r="HY45" s="1759"/>
      <c r="HZ45" s="992">
        <f t="shared" si="307"/>
        <v>20</v>
      </c>
      <c r="IA45" s="1759" t="str">
        <f t="shared" si="308"/>
        <v>m</v>
      </c>
      <c r="IB45" s="1758">
        <f>VLOOKUP($G45,'Quantidades Padrão'!$E$7:$J$103,IB$8,0)</f>
        <v>0.12840000000000004</v>
      </c>
      <c r="IC45" s="1772"/>
      <c r="ID45" s="992">
        <f t="shared" si="309"/>
        <v>2.5680000000000009</v>
      </c>
      <c r="IE45" s="1772"/>
      <c r="IF45" s="992">
        <f t="shared" si="310"/>
        <v>1707.7456800000007</v>
      </c>
      <c r="IG45" s="1759"/>
      <c r="IH45" s="992">
        <f t="shared" si="311"/>
        <v>20</v>
      </c>
      <c r="II45" s="1759" t="str">
        <f t="shared" si="312"/>
        <v>m</v>
      </c>
      <c r="IJ45" s="1758">
        <f>VLOOKUP($G45,'Quantidades Padrão'!$E$7:$J$103,IJ$8,0)</f>
        <v>0.18457500000000004</v>
      </c>
      <c r="IK45" s="1772"/>
      <c r="IL45" s="992">
        <f t="shared" si="313"/>
        <v>3.6915000000000009</v>
      </c>
      <c r="IM45" s="1772"/>
      <c r="IN45" s="992">
        <f t="shared" si="314"/>
        <v>2454.8844150000004</v>
      </c>
      <c r="IO45" s="1759"/>
    </row>
    <row r="46" spans="1:249" s="341" customFormat="1">
      <c r="A46" s="1753"/>
      <c r="B46" s="1754"/>
      <c r="C46" s="1755"/>
      <c r="D46" s="1013">
        <f>VLOOKUP(E46,'DER MG'!$D$5:$I$150,6,0)</f>
        <v>44.63</v>
      </c>
      <c r="E46" s="1017">
        <v>307814</v>
      </c>
      <c r="F46" s="1756"/>
      <c r="G46" s="1018" t="s">
        <v>439</v>
      </c>
      <c r="H46" s="992">
        <f t="shared" si="117"/>
        <v>95842.478700000051</v>
      </c>
      <c r="I46" s="992">
        <f>'OAEs e Passarelas Padrão'!E43</f>
        <v>20</v>
      </c>
      <c r="J46" s="1759" t="s">
        <v>384</v>
      </c>
      <c r="K46" s="1758">
        <f>VLOOKUP($G46,'Quantidades Padrão'!$E$7:$J$103,K$8,0)</f>
        <v>2.5680000000000005</v>
      </c>
      <c r="L46" s="1759" t="s">
        <v>440</v>
      </c>
      <c r="M46" s="992">
        <f t="shared" si="169"/>
        <v>51.360000000000014</v>
      </c>
      <c r="N46" s="1759" t="s">
        <v>384</v>
      </c>
      <c r="O46" s="992">
        <f t="shared" si="170"/>
        <v>2292.1968000000006</v>
      </c>
      <c r="P46" s="1759"/>
      <c r="Q46" s="1760">
        <f t="shared" si="232"/>
        <v>3.6927491201326884E-4</v>
      </c>
      <c r="R46" s="992">
        <f t="shared" si="171"/>
        <v>20</v>
      </c>
      <c r="S46" s="1759" t="s">
        <v>384</v>
      </c>
      <c r="T46" s="1758">
        <f>VLOOKUP($G46,'Quantidades Padrão'!$E$7:$J$103,T$8,0)</f>
        <v>2.5680000000000005</v>
      </c>
      <c r="U46" s="1759" t="s">
        <v>440</v>
      </c>
      <c r="V46" s="992">
        <f t="shared" si="172"/>
        <v>51.360000000000014</v>
      </c>
      <c r="W46" s="1759" t="s">
        <v>384</v>
      </c>
      <c r="X46" s="992">
        <f t="shared" si="233"/>
        <v>2292.1968000000006</v>
      </c>
      <c r="Y46" s="1759"/>
      <c r="Z46" s="992">
        <f t="shared" si="171"/>
        <v>20</v>
      </c>
      <c r="AA46" s="1759" t="s">
        <v>384</v>
      </c>
      <c r="AB46" s="1758">
        <f>VLOOKUP($G46,'Quantidades Padrão'!$E$7:$J$103,AB$8,0)</f>
        <v>4.8150000000000004</v>
      </c>
      <c r="AC46" s="1759" t="s">
        <v>440</v>
      </c>
      <c r="AD46" s="992">
        <f t="shared" si="234"/>
        <v>96.300000000000011</v>
      </c>
      <c r="AE46" s="1759" t="s">
        <v>384</v>
      </c>
      <c r="AF46" s="992">
        <f t="shared" si="235"/>
        <v>4297.8690000000006</v>
      </c>
      <c r="AG46" s="1759"/>
      <c r="AH46" s="992">
        <f t="shared" si="171"/>
        <v>20</v>
      </c>
      <c r="AI46" s="1759" t="s">
        <v>384</v>
      </c>
      <c r="AJ46" s="1758">
        <f>VLOOKUP($G46,'Quantidades Padrão'!$E$7:$J$103,AJ$8,0)</f>
        <v>2.5680000000000005</v>
      </c>
      <c r="AK46" s="1759" t="s">
        <v>440</v>
      </c>
      <c r="AL46" s="992">
        <f t="shared" si="236"/>
        <v>51.360000000000014</v>
      </c>
      <c r="AM46" s="1759" t="s">
        <v>384</v>
      </c>
      <c r="AN46" s="992">
        <f t="shared" si="237"/>
        <v>2292.1968000000006</v>
      </c>
      <c r="AO46" s="1759"/>
      <c r="AP46" s="992">
        <f t="shared" si="175"/>
        <v>20</v>
      </c>
      <c r="AQ46" s="1759" t="s">
        <v>384</v>
      </c>
      <c r="AR46" s="1758">
        <f>VLOOKUP($G46,'Quantidades Padrão'!$E$7:$J$103,AR$8,0)</f>
        <v>2.5680000000000005</v>
      </c>
      <c r="AS46" s="1759" t="s">
        <v>440</v>
      </c>
      <c r="AT46" s="992">
        <f t="shared" si="238"/>
        <v>51.360000000000014</v>
      </c>
      <c r="AU46" s="1759" t="s">
        <v>384</v>
      </c>
      <c r="AV46" s="992">
        <f t="shared" si="239"/>
        <v>2292.1968000000006</v>
      </c>
      <c r="AW46" s="1759"/>
      <c r="AX46" s="992">
        <f t="shared" si="177"/>
        <v>20</v>
      </c>
      <c r="AY46" s="1759" t="s">
        <v>384</v>
      </c>
      <c r="AZ46" s="1758">
        <f>VLOOKUP($G46,'Quantidades Padrão'!$E$7:$J$103,AZ$8,0)</f>
        <v>3.6915000000000004</v>
      </c>
      <c r="BA46" s="1759" t="s">
        <v>440</v>
      </c>
      <c r="BB46" s="992">
        <f t="shared" si="178"/>
        <v>73.830000000000013</v>
      </c>
      <c r="BC46" s="1759" t="s">
        <v>384</v>
      </c>
      <c r="BD46" s="992">
        <f t="shared" si="179"/>
        <v>3295.0329000000006</v>
      </c>
      <c r="BE46" s="1759"/>
      <c r="BF46" s="992">
        <f t="shared" si="180"/>
        <v>20</v>
      </c>
      <c r="BG46" s="1759" t="str">
        <f t="shared" si="240"/>
        <v>un</v>
      </c>
      <c r="BH46" s="1758">
        <f>VLOOKUP($G46,'Quantidades Padrão'!$E$7:$J$103,BH$8,0)</f>
        <v>4.8150000000000004</v>
      </c>
      <c r="BI46" s="1772"/>
      <c r="BJ46" s="992">
        <f t="shared" si="181"/>
        <v>96.300000000000011</v>
      </c>
      <c r="BK46" s="1772"/>
      <c r="BL46" s="992">
        <f t="shared" si="182"/>
        <v>4297.8690000000006</v>
      </c>
      <c r="BM46" s="1759"/>
      <c r="BN46" s="992">
        <f t="shared" si="183"/>
        <v>20</v>
      </c>
      <c r="BO46" s="1759" t="s">
        <v>384</v>
      </c>
      <c r="BP46" s="1758">
        <f>VLOOKUP($G46,'Quantidades Padrão'!$E$7:$J$103,BP$8,0)</f>
        <v>2.5680000000000005</v>
      </c>
      <c r="BQ46" s="1772"/>
      <c r="BR46" s="992">
        <f t="shared" si="241"/>
        <v>51.360000000000014</v>
      </c>
      <c r="BS46" s="1772"/>
      <c r="BT46" s="992">
        <f t="shared" si="242"/>
        <v>2292.1968000000006</v>
      </c>
      <c r="BU46" s="1759"/>
      <c r="BV46" s="992">
        <f t="shared" si="186"/>
        <v>20</v>
      </c>
      <c r="BW46" s="1759" t="s">
        <v>384</v>
      </c>
      <c r="BX46" s="1758">
        <f>VLOOKUP($G46,'Quantidades Padrão'!$E$7:$J$103,BX$8,0)</f>
        <v>3.6915000000000004</v>
      </c>
      <c r="BY46" s="1772"/>
      <c r="BZ46" s="992">
        <f t="shared" si="243"/>
        <v>73.830000000000013</v>
      </c>
      <c r="CA46" s="1772"/>
      <c r="CB46" s="992">
        <f t="shared" si="244"/>
        <v>3295.0329000000006</v>
      </c>
      <c r="CC46" s="1759"/>
      <c r="CD46" s="992">
        <f t="shared" si="189"/>
        <v>20</v>
      </c>
      <c r="CE46" s="1759" t="s">
        <v>384</v>
      </c>
      <c r="CF46" s="1758">
        <f>VLOOKUP($G46,'Quantidades Padrão'!$E$7:$J$103,CF$8,0)</f>
        <v>4.8150000000000004</v>
      </c>
      <c r="CG46" s="1772"/>
      <c r="CH46" s="992">
        <f t="shared" si="245"/>
        <v>96.300000000000011</v>
      </c>
      <c r="CI46" s="1772"/>
      <c r="CJ46" s="992">
        <f t="shared" si="246"/>
        <v>4297.8690000000006</v>
      </c>
      <c r="CK46" s="1759"/>
      <c r="CL46" s="992">
        <f t="shared" si="247"/>
        <v>20</v>
      </c>
      <c r="CM46" s="1759" t="str">
        <f t="shared" si="248"/>
        <v>un</v>
      </c>
      <c r="CN46" s="1758">
        <f>VLOOKUP($G46,'Quantidades Padrão'!$E$7:$J$103,CN$8,0)</f>
        <v>2.5680000000000005</v>
      </c>
      <c r="CO46" s="1772"/>
      <c r="CP46" s="992">
        <f t="shared" si="192"/>
        <v>51.360000000000014</v>
      </c>
      <c r="CQ46" s="1772"/>
      <c r="CR46" s="992">
        <f t="shared" si="193"/>
        <v>2292.1968000000006</v>
      </c>
      <c r="CS46" s="1759"/>
      <c r="CT46" s="992">
        <f t="shared" si="249"/>
        <v>20</v>
      </c>
      <c r="CU46" s="1759" t="s">
        <v>384</v>
      </c>
      <c r="CV46" s="1758">
        <f>VLOOKUP($G46,'Quantidades Padrão'!$E$7:$J$103,CV$8,0)</f>
        <v>3.6915000000000004</v>
      </c>
      <c r="CW46" s="1772"/>
      <c r="CX46" s="992">
        <f t="shared" si="250"/>
        <v>73.830000000000013</v>
      </c>
      <c r="CY46" s="1772"/>
      <c r="CZ46" s="992">
        <f t="shared" si="251"/>
        <v>3295.0329000000006</v>
      </c>
      <c r="DA46" s="1759"/>
      <c r="DB46" s="992">
        <f t="shared" si="252"/>
        <v>20</v>
      </c>
      <c r="DC46" s="1759" t="s">
        <v>384</v>
      </c>
      <c r="DD46" s="1758">
        <f>VLOOKUP($G46,'Quantidades Padrão'!$E$7:$J$103,DD$8,0)</f>
        <v>4.8150000000000004</v>
      </c>
      <c r="DE46" s="1772"/>
      <c r="DF46" s="992">
        <f t="shared" si="253"/>
        <v>96.300000000000011</v>
      </c>
      <c r="DG46" s="1772"/>
      <c r="DH46" s="992">
        <f t="shared" si="254"/>
        <v>4297.8690000000006</v>
      </c>
      <c r="DI46" s="1759"/>
      <c r="DJ46" s="992">
        <f t="shared" si="255"/>
        <v>20</v>
      </c>
      <c r="DK46" s="1759" t="s">
        <v>384</v>
      </c>
      <c r="DL46" s="1758">
        <f>VLOOKUP($G46,'Quantidades Padrão'!$E$7:$J$103,DL$8,0)</f>
        <v>2.5680000000000005</v>
      </c>
      <c r="DM46" s="1772"/>
      <c r="DN46" s="992">
        <f t="shared" si="256"/>
        <v>51.360000000000014</v>
      </c>
      <c r="DO46" s="1772"/>
      <c r="DP46" s="992">
        <f t="shared" si="257"/>
        <v>2292.1968000000006</v>
      </c>
      <c r="DQ46" s="1759"/>
      <c r="DR46" s="992">
        <f t="shared" si="258"/>
        <v>20</v>
      </c>
      <c r="DS46" s="1759" t="s">
        <v>384</v>
      </c>
      <c r="DT46" s="1758">
        <f>VLOOKUP($G46,'Quantidades Padrão'!$E$7:$J$103,DT$8,0)</f>
        <v>3.6915000000000004</v>
      </c>
      <c r="DU46" s="1772"/>
      <c r="DV46" s="992">
        <f t="shared" si="259"/>
        <v>73.830000000000013</v>
      </c>
      <c r="DW46" s="1772"/>
      <c r="DX46" s="992">
        <f t="shared" si="260"/>
        <v>3295.0329000000006</v>
      </c>
      <c r="DY46" s="1759"/>
      <c r="DZ46" s="992">
        <f t="shared" si="261"/>
        <v>20</v>
      </c>
      <c r="EA46" s="1759" t="str">
        <f t="shared" si="262"/>
        <v>un</v>
      </c>
      <c r="EB46" s="1758">
        <f>VLOOKUP($G46,'Quantidades Padrão'!$E$7:$J$103,EB$8,0)</f>
        <v>4.8150000000000004</v>
      </c>
      <c r="EC46" s="1772"/>
      <c r="ED46" s="992">
        <f t="shared" si="263"/>
        <v>96.300000000000011</v>
      </c>
      <c r="EE46" s="1772"/>
      <c r="EF46" s="992">
        <f t="shared" si="264"/>
        <v>4297.8690000000006</v>
      </c>
      <c r="EG46" s="1759"/>
      <c r="EH46" s="992">
        <f t="shared" si="265"/>
        <v>20</v>
      </c>
      <c r="EI46" s="1759" t="str">
        <f t="shared" si="266"/>
        <v>un</v>
      </c>
      <c r="EJ46" s="1758">
        <f>VLOOKUP($G46,'Quantidades Padrão'!$E$7:$J$103,EJ$8,0)</f>
        <v>2.5680000000000005</v>
      </c>
      <c r="EK46" s="1772"/>
      <c r="EL46" s="992">
        <f t="shared" si="267"/>
        <v>51.360000000000014</v>
      </c>
      <c r="EM46" s="1772"/>
      <c r="EN46" s="992">
        <f t="shared" si="268"/>
        <v>2292.1968000000006</v>
      </c>
      <c r="EO46" s="1759"/>
      <c r="EP46" s="992">
        <f t="shared" si="269"/>
        <v>20</v>
      </c>
      <c r="EQ46" s="1759" t="str">
        <f t="shared" si="270"/>
        <v>un</v>
      </c>
      <c r="ER46" s="1758">
        <f>VLOOKUP($G46,'Quantidades Padrão'!$E$7:$J$103,ER$8,0)</f>
        <v>3.6915000000000004</v>
      </c>
      <c r="ES46" s="1772"/>
      <c r="ET46" s="992">
        <f t="shared" si="206"/>
        <v>73.830000000000013</v>
      </c>
      <c r="EU46" s="1772"/>
      <c r="EV46" s="992">
        <f t="shared" si="207"/>
        <v>3295.0329000000006</v>
      </c>
      <c r="EW46" s="1759"/>
      <c r="EX46" s="992">
        <f t="shared" si="271"/>
        <v>20</v>
      </c>
      <c r="EY46" s="1759" t="str">
        <f t="shared" si="272"/>
        <v>un</v>
      </c>
      <c r="EZ46" s="1758">
        <f>VLOOKUP($G46,'Quantidades Padrão'!$E$7:$J$103,EZ$8,0)</f>
        <v>4.8150000000000004</v>
      </c>
      <c r="FA46" s="1772"/>
      <c r="FB46" s="992">
        <f t="shared" si="273"/>
        <v>96.300000000000011</v>
      </c>
      <c r="FC46" s="1772"/>
      <c r="FD46" s="992">
        <f t="shared" si="274"/>
        <v>4297.8690000000006</v>
      </c>
      <c r="FE46" s="1759"/>
      <c r="FF46" s="992">
        <f t="shared" si="275"/>
        <v>20</v>
      </c>
      <c r="FG46" s="1759" t="str">
        <f t="shared" si="276"/>
        <v>un</v>
      </c>
      <c r="FH46" s="1758">
        <f>VLOOKUP($G46,'Quantidades Padrão'!$E$7:$J$103,FH$8,0)</f>
        <v>2.5680000000000005</v>
      </c>
      <c r="FI46" s="1772"/>
      <c r="FJ46" s="992">
        <f t="shared" si="277"/>
        <v>51.360000000000014</v>
      </c>
      <c r="FK46" s="1772"/>
      <c r="FL46" s="992">
        <f t="shared" si="278"/>
        <v>2292.1968000000006</v>
      </c>
      <c r="FM46" s="1759"/>
      <c r="FN46" s="992">
        <f t="shared" si="279"/>
        <v>20</v>
      </c>
      <c r="FO46" s="1759" t="str">
        <f t="shared" si="280"/>
        <v>un</v>
      </c>
      <c r="FP46" s="1758">
        <f>VLOOKUP($G46,'Quantidades Padrão'!$E$7:$J$103,FP$8,0)</f>
        <v>3.6915000000000004</v>
      </c>
      <c r="FQ46" s="1772"/>
      <c r="FR46" s="992">
        <f t="shared" si="281"/>
        <v>73.830000000000013</v>
      </c>
      <c r="FS46" s="1772"/>
      <c r="FT46" s="992">
        <f t="shared" si="282"/>
        <v>3295.0329000000006</v>
      </c>
      <c r="FU46" s="1759"/>
      <c r="FV46" s="992">
        <f t="shared" si="283"/>
        <v>20</v>
      </c>
      <c r="FW46" s="1759" t="str">
        <f t="shared" si="284"/>
        <v>un</v>
      </c>
      <c r="FX46" s="1758">
        <f>VLOOKUP($G46,'Quantidades Padrão'!$E$7:$J$103,FX$8,0)</f>
        <v>4.8150000000000004</v>
      </c>
      <c r="FY46" s="1772"/>
      <c r="FZ46" s="992">
        <f t="shared" si="285"/>
        <v>96.300000000000011</v>
      </c>
      <c r="GA46" s="1772"/>
      <c r="GB46" s="992">
        <f t="shared" si="286"/>
        <v>4297.8690000000006</v>
      </c>
      <c r="GC46" s="1759"/>
      <c r="GD46" s="992">
        <f t="shared" si="287"/>
        <v>20</v>
      </c>
      <c r="GE46" s="1759" t="str">
        <f t="shared" si="288"/>
        <v>un</v>
      </c>
      <c r="GF46" s="1758">
        <f>VLOOKUP($G46,'Quantidades Padrão'!$E$7:$J$103,GF$8,0)</f>
        <v>2.5680000000000005</v>
      </c>
      <c r="GG46" s="1772"/>
      <c r="GH46" s="992">
        <f t="shared" si="289"/>
        <v>51.360000000000014</v>
      </c>
      <c r="GI46" s="1772"/>
      <c r="GJ46" s="992">
        <f t="shared" si="290"/>
        <v>2292.1968000000006</v>
      </c>
      <c r="GK46" s="1759"/>
      <c r="GL46" s="992">
        <f t="shared" si="291"/>
        <v>20</v>
      </c>
      <c r="GM46" s="1759" t="str">
        <f t="shared" si="292"/>
        <v>un</v>
      </c>
      <c r="GN46" s="1758">
        <f>VLOOKUP($G46,'Quantidades Padrão'!$E$7:$J$103,GN$8,0)</f>
        <v>3.6915000000000004</v>
      </c>
      <c r="GO46" s="1772"/>
      <c r="GP46" s="992">
        <f t="shared" si="293"/>
        <v>73.830000000000013</v>
      </c>
      <c r="GQ46" s="1772"/>
      <c r="GR46" s="992">
        <f t="shared" si="294"/>
        <v>3295.0329000000006</v>
      </c>
      <c r="GS46" s="1759"/>
      <c r="GT46" s="992">
        <f t="shared" si="295"/>
        <v>20</v>
      </c>
      <c r="GU46" s="1759" t="str">
        <f t="shared" si="296"/>
        <v>un</v>
      </c>
      <c r="GV46" s="1758">
        <f>VLOOKUP($G46,'Quantidades Padrão'!$E$7:$J$103,GV$8,0)</f>
        <v>4.8150000000000004</v>
      </c>
      <c r="GW46" s="1772"/>
      <c r="GX46" s="992">
        <f t="shared" si="297"/>
        <v>96.300000000000011</v>
      </c>
      <c r="GY46" s="1772"/>
      <c r="GZ46" s="992">
        <f t="shared" si="298"/>
        <v>4297.8690000000006</v>
      </c>
      <c r="HA46" s="1759"/>
      <c r="HB46" s="992">
        <f t="shared" si="159"/>
        <v>20</v>
      </c>
      <c r="HC46" s="1759" t="str">
        <f t="shared" si="160"/>
        <v>un</v>
      </c>
      <c r="HD46" s="1758">
        <f>VLOOKUP($G46,'Quantidades Padrão'!$E$7:$J$103,HD$8,0)</f>
        <v>2.5680000000000005</v>
      </c>
      <c r="HE46" s="1772"/>
      <c r="HF46" s="992">
        <f t="shared" si="222"/>
        <v>51.360000000000014</v>
      </c>
      <c r="HG46" s="1772"/>
      <c r="HH46" s="992">
        <f t="shared" si="223"/>
        <v>2292.1968000000006</v>
      </c>
      <c r="HI46" s="1759"/>
      <c r="HJ46" s="992">
        <f t="shared" si="299"/>
        <v>20</v>
      </c>
      <c r="HK46" s="1759" t="str">
        <f t="shared" si="300"/>
        <v>un</v>
      </c>
      <c r="HL46" s="1758">
        <f>VLOOKUP($G46,'Quantidades Padrão'!$E$7:$J$103,HL$8,0)</f>
        <v>3.6915000000000004</v>
      </c>
      <c r="HM46" s="1772"/>
      <c r="HN46" s="992">
        <f t="shared" si="301"/>
        <v>73.830000000000013</v>
      </c>
      <c r="HO46" s="1772"/>
      <c r="HP46" s="992">
        <f t="shared" si="302"/>
        <v>3295.0329000000006</v>
      </c>
      <c r="HQ46" s="1759"/>
      <c r="HR46" s="992">
        <f t="shared" si="303"/>
        <v>20</v>
      </c>
      <c r="HS46" s="1759" t="str">
        <f t="shared" si="304"/>
        <v>un</v>
      </c>
      <c r="HT46" s="1758">
        <f>VLOOKUP($G46,'Quantidades Padrão'!$E$7:$J$103,HT$8,0)</f>
        <v>4.8150000000000004</v>
      </c>
      <c r="HU46" s="1772"/>
      <c r="HV46" s="992">
        <f t="shared" si="305"/>
        <v>96.300000000000011</v>
      </c>
      <c r="HW46" s="1772"/>
      <c r="HX46" s="992">
        <f t="shared" si="306"/>
        <v>4297.8690000000006</v>
      </c>
      <c r="HY46" s="1759"/>
      <c r="HZ46" s="992">
        <f t="shared" si="307"/>
        <v>20</v>
      </c>
      <c r="IA46" s="1759" t="str">
        <f t="shared" si="308"/>
        <v>un</v>
      </c>
      <c r="IB46" s="1758">
        <f>VLOOKUP($G46,'Quantidades Padrão'!$E$7:$J$103,IB$8,0)</f>
        <v>2.5680000000000005</v>
      </c>
      <c r="IC46" s="1772"/>
      <c r="ID46" s="992">
        <f t="shared" si="309"/>
        <v>51.360000000000014</v>
      </c>
      <c r="IE46" s="1772"/>
      <c r="IF46" s="992">
        <f t="shared" si="310"/>
        <v>2292.1968000000006</v>
      </c>
      <c r="IG46" s="1759"/>
      <c r="IH46" s="992">
        <f t="shared" si="311"/>
        <v>20</v>
      </c>
      <c r="II46" s="1759" t="str">
        <f t="shared" si="312"/>
        <v>un</v>
      </c>
      <c r="IJ46" s="1758">
        <f>VLOOKUP($G46,'Quantidades Padrão'!$E$7:$J$103,IJ$8,0)</f>
        <v>3.6915000000000004</v>
      </c>
      <c r="IK46" s="1772"/>
      <c r="IL46" s="992">
        <f t="shared" si="313"/>
        <v>73.830000000000013</v>
      </c>
      <c r="IM46" s="1772"/>
      <c r="IN46" s="992">
        <f t="shared" si="314"/>
        <v>3295.0329000000006</v>
      </c>
      <c r="IO46" s="1759"/>
    </row>
    <row r="47" spans="1:249" s="341" customFormat="1">
      <c r="A47" s="1753"/>
      <c r="B47" s="1754"/>
      <c r="C47" s="1755"/>
      <c r="D47" s="1013">
        <f>VLOOKUP(E47,'DER MG'!$D$5:$I$150,6,0)</f>
        <v>43.29</v>
      </c>
      <c r="E47" s="1022">
        <v>99000</v>
      </c>
      <c r="F47" s="1756"/>
      <c r="G47" s="1018" t="s">
        <v>441</v>
      </c>
      <c r="H47" s="992">
        <f t="shared" si="117"/>
        <v>3799937.9208375011</v>
      </c>
      <c r="I47" s="992">
        <f>'OAEs e Passarelas Padrão'!E45</f>
        <v>10900</v>
      </c>
      <c r="J47" s="1759" t="s">
        <v>411</v>
      </c>
      <c r="K47" s="1758">
        <f>VLOOKUP($G47,'Quantidades Padrão'!$E$7:$J$103,K$8,0)</f>
        <v>0.19259999999999999</v>
      </c>
      <c r="L47" s="1759" t="s">
        <v>426</v>
      </c>
      <c r="M47" s="992">
        <f t="shared" si="169"/>
        <v>2099.34</v>
      </c>
      <c r="N47" s="1759" t="s">
        <v>411</v>
      </c>
      <c r="O47" s="992">
        <f t="shared" si="170"/>
        <v>90880.428599999999</v>
      </c>
      <c r="P47" s="1759"/>
      <c r="Q47" s="1760">
        <f t="shared" si="232"/>
        <v>1.46409166416222E-2</v>
      </c>
      <c r="R47" s="992">
        <f t="shared" si="171"/>
        <v>10900</v>
      </c>
      <c r="S47" s="1759" t="s">
        <v>411</v>
      </c>
      <c r="T47" s="1758">
        <f>VLOOKUP($G47,'Quantidades Padrão'!$E$7:$J$103,T$8,0)</f>
        <v>0.19259999999999999</v>
      </c>
      <c r="U47" s="1759" t="s">
        <v>426</v>
      </c>
      <c r="V47" s="992">
        <f t="shared" si="172"/>
        <v>2099.34</v>
      </c>
      <c r="W47" s="1759" t="s">
        <v>411</v>
      </c>
      <c r="X47" s="992">
        <f t="shared" si="233"/>
        <v>90880.428599999999</v>
      </c>
      <c r="Y47" s="1759"/>
      <c r="Z47" s="992">
        <f t="shared" si="171"/>
        <v>10900</v>
      </c>
      <c r="AA47" s="1759" t="s">
        <v>411</v>
      </c>
      <c r="AB47" s="1758">
        <f>VLOOKUP($G47,'Quantidades Padrão'!$E$7:$J$103,AB$8,0)</f>
        <v>0.36112499999999997</v>
      </c>
      <c r="AC47" s="1759" t="s">
        <v>426</v>
      </c>
      <c r="AD47" s="992">
        <f t="shared" si="234"/>
        <v>3936.2624999999998</v>
      </c>
      <c r="AE47" s="1759" t="s">
        <v>411</v>
      </c>
      <c r="AF47" s="992">
        <f t="shared" si="235"/>
        <v>170400.803625</v>
      </c>
      <c r="AG47" s="1759"/>
      <c r="AH47" s="992">
        <f t="shared" si="171"/>
        <v>10900</v>
      </c>
      <c r="AI47" s="1759" t="s">
        <v>411</v>
      </c>
      <c r="AJ47" s="1758">
        <f>VLOOKUP($G47,'Quantidades Padrão'!$E$7:$J$103,AJ$8,0)</f>
        <v>0.19259999999999999</v>
      </c>
      <c r="AK47" s="1759" t="s">
        <v>426</v>
      </c>
      <c r="AL47" s="992">
        <f t="shared" si="236"/>
        <v>2099.34</v>
      </c>
      <c r="AM47" s="1759" t="s">
        <v>411</v>
      </c>
      <c r="AN47" s="992">
        <f t="shared" si="237"/>
        <v>90880.428599999999</v>
      </c>
      <c r="AO47" s="1759"/>
      <c r="AP47" s="992">
        <f t="shared" si="175"/>
        <v>10900</v>
      </c>
      <c r="AQ47" s="1759" t="s">
        <v>411</v>
      </c>
      <c r="AR47" s="1758">
        <f>VLOOKUP($G47,'Quantidades Padrão'!$E$7:$J$103,AR$8,0)</f>
        <v>0.19259999999999999</v>
      </c>
      <c r="AS47" s="1759" t="s">
        <v>426</v>
      </c>
      <c r="AT47" s="992">
        <f t="shared" si="238"/>
        <v>2099.34</v>
      </c>
      <c r="AU47" s="1759" t="s">
        <v>411</v>
      </c>
      <c r="AV47" s="992">
        <f t="shared" si="239"/>
        <v>90880.428599999999</v>
      </c>
      <c r="AW47" s="1759"/>
      <c r="AX47" s="992">
        <f t="shared" si="177"/>
        <v>10900</v>
      </c>
      <c r="AY47" s="1759" t="s">
        <v>411</v>
      </c>
      <c r="AZ47" s="1758">
        <f>VLOOKUP($G47,'Quantidades Padrão'!$E$7:$J$103,AZ$8,0)</f>
        <v>0.27686250000000001</v>
      </c>
      <c r="BA47" s="1759" t="s">
        <v>426</v>
      </c>
      <c r="BB47" s="992">
        <f t="shared" si="178"/>
        <v>3017.80125</v>
      </c>
      <c r="BC47" s="1759" t="s">
        <v>411</v>
      </c>
      <c r="BD47" s="992">
        <f t="shared" si="179"/>
        <v>130640.61611249999</v>
      </c>
      <c r="BE47" s="1759"/>
      <c r="BF47" s="992">
        <f t="shared" si="180"/>
        <v>10900</v>
      </c>
      <c r="BG47" s="1759" t="str">
        <f t="shared" si="240"/>
        <v>m²</v>
      </c>
      <c r="BH47" s="1758">
        <f>VLOOKUP($G47,'Quantidades Padrão'!$E$7:$J$103,BH$8,0)</f>
        <v>0.36112499999999997</v>
      </c>
      <c r="BI47" s="1772"/>
      <c r="BJ47" s="992">
        <f t="shared" si="181"/>
        <v>3936.2624999999998</v>
      </c>
      <c r="BK47" s="1772"/>
      <c r="BL47" s="992">
        <f t="shared" si="182"/>
        <v>170400.803625</v>
      </c>
      <c r="BM47" s="1759"/>
      <c r="BN47" s="992">
        <f t="shared" si="183"/>
        <v>10900</v>
      </c>
      <c r="BO47" s="1759" t="s">
        <v>411</v>
      </c>
      <c r="BP47" s="1758">
        <f>VLOOKUP($G47,'Quantidades Padrão'!$E$7:$J$103,BP$8,0)</f>
        <v>0.19259999999999999</v>
      </c>
      <c r="BQ47" s="1772"/>
      <c r="BR47" s="992">
        <f t="shared" si="241"/>
        <v>2099.34</v>
      </c>
      <c r="BS47" s="1772"/>
      <c r="BT47" s="992">
        <f t="shared" si="242"/>
        <v>90880.428599999999</v>
      </c>
      <c r="BU47" s="1759"/>
      <c r="BV47" s="992">
        <f t="shared" si="186"/>
        <v>10900</v>
      </c>
      <c r="BW47" s="1759" t="s">
        <v>411</v>
      </c>
      <c r="BX47" s="1758">
        <f>VLOOKUP($G47,'Quantidades Padrão'!$E$7:$J$103,BX$8,0)</f>
        <v>0.27686250000000001</v>
      </c>
      <c r="BY47" s="1772"/>
      <c r="BZ47" s="992">
        <f t="shared" si="243"/>
        <v>3017.80125</v>
      </c>
      <c r="CA47" s="1772"/>
      <c r="CB47" s="992">
        <f t="shared" si="244"/>
        <v>130640.61611249999</v>
      </c>
      <c r="CC47" s="1759"/>
      <c r="CD47" s="992">
        <f t="shared" si="189"/>
        <v>10900</v>
      </c>
      <c r="CE47" s="1759" t="s">
        <v>411</v>
      </c>
      <c r="CF47" s="1758">
        <f>VLOOKUP($G47,'Quantidades Padrão'!$E$7:$J$103,CF$8,0)</f>
        <v>0.36112499999999997</v>
      </c>
      <c r="CG47" s="1772"/>
      <c r="CH47" s="992">
        <f t="shared" si="245"/>
        <v>3936.2624999999998</v>
      </c>
      <c r="CI47" s="1772"/>
      <c r="CJ47" s="992">
        <f t="shared" si="246"/>
        <v>170400.803625</v>
      </c>
      <c r="CK47" s="1759"/>
      <c r="CL47" s="992">
        <f t="shared" si="247"/>
        <v>10900</v>
      </c>
      <c r="CM47" s="1759" t="str">
        <f t="shared" si="248"/>
        <v>m²</v>
      </c>
      <c r="CN47" s="1758">
        <f>VLOOKUP($G47,'Quantidades Padrão'!$E$7:$J$103,CN$8,0)</f>
        <v>0.19259999999999999</v>
      </c>
      <c r="CO47" s="1772"/>
      <c r="CP47" s="992">
        <f t="shared" si="192"/>
        <v>2099.34</v>
      </c>
      <c r="CQ47" s="1772"/>
      <c r="CR47" s="992">
        <f t="shared" si="193"/>
        <v>90880.428599999999</v>
      </c>
      <c r="CS47" s="1759"/>
      <c r="CT47" s="992">
        <f t="shared" si="249"/>
        <v>10900</v>
      </c>
      <c r="CU47" s="1759" t="s">
        <v>411</v>
      </c>
      <c r="CV47" s="1758">
        <f>VLOOKUP($G47,'Quantidades Padrão'!$E$7:$J$103,CV$8,0)</f>
        <v>0.27686250000000001</v>
      </c>
      <c r="CW47" s="1772"/>
      <c r="CX47" s="992">
        <f t="shared" si="250"/>
        <v>3017.80125</v>
      </c>
      <c r="CY47" s="1772"/>
      <c r="CZ47" s="992">
        <f t="shared" si="251"/>
        <v>130640.61611249999</v>
      </c>
      <c r="DA47" s="1759"/>
      <c r="DB47" s="992">
        <f t="shared" si="252"/>
        <v>10900</v>
      </c>
      <c r="DC47" s="1759" t="s">
        <v>411</v>
      </c>
      <c r="DD47" s="1758">
        <f>VLOOKUP($G47,'Quantidades Padrão'!$E$7:$J$103,DD$8,0)</f>
        <v>0.36112499999999997</v>
      </c>
      <c r="DE47" s="1772"/>
      <c r="DF47" s="992">
        <f t="shared" si="253"/>
        <v>3936.2624999999998</v>
      </c>
      <c r="DG47" s="1772"/>
      <c r="DH47" s="992">
        <f t="shared" si="254"/>
        <v>170400.803625</v>
      </c>
      <c r="DI47" s="1759"/>
      <c r="DJ47" s="992">
        <f t="shared" si="255"/>
        <v>10900</v>
      </c>
      <c r="DK47" s="1759" t="s">
        <v>411</v>
      </c>
      <c r="DL47" s="1758">
        <f>VLOOKUP($G47,'Quantidades Padrão'!$E$7:$J$103,DL$8,0)</f>
        <v>0.19259999999999999</v>
      </c>
      <c r="DM47" s="1772"/>
      <c r="DN47" s="992">
        <f t="shared" si="256"/>
        <v>2099.34</v>
      </c>
      <c r="DO47" s="1772"/>
      <c r="DP47" s="992">
        <f t="shared" si="257"/>
        <v>90880.428599999999</v>
      </c>
      <c r="DQ47" s="1759"/>
      <c r="DR47" s="992">
        <f t="shared" si="258"/>
        <v>10900</v>
      </c>
      <c r="DS47" s="1759" t="s">
        <v>411</v>
      </c>
      <c r="DT47" s="1758">
        <f>VLOOKUP($G47,'Quantidades Padrão'!$E$7:$J$103,DT$8,0)</f>
        <v>0.27686250000000001</v>
      </c>
      <c r="DU47" s="1772"/>
      <c r="DV47" s="992">
        <f t="shared" si="259"/>
        <v>3017.80125</v>
      </c>
      <c r="DW47" s="1772"/>
      <c r="DX47" s="992">
        <f t="shared" si="260"/>
        <v>130640.61611249999</v>
      </c>
      <c r="DY47" s="1759"/>
      <c r="DZ47" s="992">
        <f t="shared" si="261"/>
        <v>10900</v>
      </c>
      <c r="EA47" s="1759" t="str">
        <f t="shared" si="262"/>
        <v>m²</v>
      </c>
      <c r="EB47" s="1758">
        <f>VLOOKUP($G47,'Quantidades Padrão'!$E$7:$J$103,EB$8,0)</f>
        <v>0.36112499999999997</v>
      </c>
      <c r="EC47" s="1772"/>
      <c r="ED47" s="992">
        <f t="shared" si="263"/>
        <v>3936.2624999999998</v>
      </c>
      <c r="EE47" s="1772"/>
      <c r="EF47" s="992">
        <f t="shared" si="264"/>
        <v>170400.803625</v>
      </c>
      <c r="EG47" s="1759"/>
      <c r="EH47" s="992">
        <f t="shared" si="265"/>
        <v>10900</v>
      </c>
      <c r="EI47" s="1759" t="str">
        <f t="shared" si="266"/>
        <v>m²</v>
      </c>
      <c r="EJ47" s="1758">
        <f>VLOOKUP($G47,'Quantidades Padrão'!$E$7:$J$103,EJ$8,0)</f>
        <v>0.19259999999999999</v>
      </c>
      <c r="EK47" s="1772"/>
      <c r="EL47" s="992">
        <f t="shared" si="267"/>
        <v>2099.34</v>
      </c>
      <c r="EM47" s="1772"/>
      <c r="EN47" s="992">
        <f t="shared" si="268"/>
        <v>90880.428599999999</v>
      </c>
      <c r="EO47" s="1759"/>
      <c r="EP47" s="992">
        <f t="shared" si="269"/>
        <v>10900</v>
      </c>
      <c r="EQ47" s="1759" t="str">
        <f t="shared" si="270"/>
        <v>m²</v>
      </c>
      <c r="ER47" s="1758">
        <f>VLOOKUP($G47,'Quantidades Padrão'!$E$7:$J$103,ER$8,0)</f>
        <v>0.27686250000000001</v>
      </c>
      <c r="ES47" s="1772"/>
      <c r="ET47" s="992">
        <f t="shared" si="206"/>
        <v>3017.80125</v>
      </c>
      <c r="EU47" s="1772"/>
      <c r="EV47" s="992">
        <f t="shared" si="207"/>
        <v>130640.61611249999</v>
      </c>
      <c r="EW47" s="1759"/>
      <c r="EX47" s="992">
        <f t="shared" si="271"/>
        <v>10900</v>
      </c>
      <c r="EY47" s="1759" t="str">
        <f t="shared" si="272"/>
        <v>m²</v>
      </c>
      <c r="EZ47" s="1758">
        <f>VLOOKUP($G47,'Quantidades Padrão'!$E$7:$J$103,EZ$8,0)</f>
        <v>0.36112499999999997</v>
      </c>
      <c r="FA47" s="1772"/>
      <c r="FB47" s="992">
        <f t="shared" si="273"/>
        <v>3936.2624999999998</v>
      </c>
      <c r="FC47" s="1772"/>
      <c r="FD47" s="992">
        <f t="shared" si="274"/>
        <v>170400.803625</v>
      </c>
      <c r="FE47" s="1759"/>
      <c r="FF47" s="992">
        <f t="shared" si="275"/>
        <v>10900</v>
      </c>
      <c r="FG47" s="1759" t="str">
        <f t="shared" si="276"/>
        <v>m²</v>
      </c>
      <c r="FH47" s="1758">
        <f>VLOOKUP($G47,'Quantidades Padrão'!$E$7:$J$103,FH$8,0)</f>
        <v>0.19259999999999999</v>
      </c>
      <c r="FI47" s="1772"/>
      <c r="FJ47" s="992">
        <f t="shared" si="277"/>
        <v>2099.34</v>
      </c>
      <c r="FK47" s="1772"/>
      <c r="FL47" s="992">
        <f t="shared" si="278"/>
        <v>90880.428599999999</v>
      </c>
      <c r="FM47" s="1759"/>
      <c r="FN47" s="992">
        <f t="shared" si="279"/>
        <v>10900</v>
      </c>
      <c r="FO47" s="1759" t="str">
        <f t="shared" si="280"/>
        <v>m²</v>
      </c>
      <c r="FP47" s="1758">
        <f>VLOOKUP($G47,'Quantidades Padrão'!$E$7:$J$103,FP$8,0)</f>
        <v>0.27686250000000001</v>
      </c>
      <c r="FQ47" s="1772"/>
      <c r="FR47" s="992">
        <f t="shared" si="281"/>
        <v>3017.80125</v>
      </c>
      <c r="FS47" s="1772"/>
      <c r="FT47" s="992">
        <f t="shared" si="282"/>
        <v>130640.61611249999</v>
      </c>
      <c r="FU47" s="1759"/>
      <c r="FV47" s="992">
        <f t="shared" si="283"/>
        <v>10900</v>
      </c>
      <c r="FW47" s="1759" t="str">
        <f t="shared" si="284"/>
        <v>m²</v>
      </c>
      <c r="FX47" s="1758">
        <f>VLOOKUP($G47,'Quantidades Padrão'!$E$7:$J$103,FX$8,0)</f>
        <v>0.36112499999999997</v>
      </c>
      <c r="FY47" s="1772"/>
      <c r="FZ47" s="992">
        <f t="shared" si="285"/>
        <v>3936.2624999999998</v>
      </c>
      <c r="GA47" s="1772"/>
      <c r="GB47" s="992">
        <f t="shared" si="286"/>
        <v>170400.803625</v>
      </c>
      <c r="GC47" s="1759"/>
      <c r="GD47" s="992">
        <f t="shared" si="287"/>
        <v>10900</v>
      </c>
      <c r="GE47" s="1759" t="str">
        <f t="shared" si="288"/>
        <v>m²</v>
      </c>
      <c r="GF47" s="1758">
        <f>VLOOKUP($G47,'Quantidades Padrão'!$E$7:$J$103,GF$8,0)</f>
        <v>0.19259999999999999</v>
      </c>
      <c r="GG47" s="1772"/>
      <c r="GH47" s="992">
        <f t="shared" si="289"/>
        <v>2099.34</v>
      </c>
      <c r="GI47" s="1772"/>
      <c r="GJ47" s="992">
        <f t="shared" si="290"/>
        <v>90880.428599999999</v>
      </c>
      <c r="GK47" s="1759"/>
      <c r="GL47" s="992">
        <f t="shared" si="291"/>
        <v>10900</v>
      </c>
      <c r="GM47" s="1759" t="str">
        <f t="shared" si="292"/>
        <v>m²</v>
      </c>
      <c r="GN47" s="1758">
        <f>VLOOKUP($G47,'Quantidades Padrão'!$E$7:$J$103,GN$8,0)</f>
        <v>0.27686250000000001</v>
      </c>
      <c r="GO47" s="1772"/>
      <c r="GP47" s="992">
        <f t="shared" si="293"/>
        <v>3017.80125</v>
      </c>
      <c r="GQ47" s="1772"/>
      <c r="GR47" s="992">
        <f t="shared" si="294"/>
        <v>130640.61611249999</v>
      </c>
      <c r="GS47" s="1759"/>
      <c r="GT47" s="992">
        <f t="shared" si="295"/>
        <v>10900</v>
      </c>
      <c r="GU47" s="1759" t="str">
        <f t="shared" si="296"/>
        <v>m²</v>
      </c>
      <c r="GV47" s="1758">
        <f>VLOOKUP($G47,'Quantidades Padrão'!$E$7:$J$103,GV$8,0)</f>
        <v>0.36112499999999997</v>
      </c>
      <c r="GW47" s="1772"/>
      <c r="GX47" s="992">
        <f t="shared" si="297"/>
        <v>3936.2624999999998</v>
      </c>
      <c r="GY47" s="1772"/>
      <c r="GZ47" s="992">
        <f t="shared" si="298"/>
        <v>170400.803625</v>
      </c>
      <c r="HA47" s="1759"/>
      <c r="HB47" s="992">
        <f t="shared" si="159"/>
        <v>10900</v>
      </c>
      <c r="HC47" s="1759" t="str">
        <f t="shared" si="160"/>
        <v>m²</v>
      </c>
      <c r="HD47" s="1758">
        <f>VLOOKUP($G47,'Quantidades Padrão'!$E$7:$J$103,HD$8,0)</f>
        <v>0.19259999999999999</v>
      </c>
      <c r="HE47" s="1772"/>
      <c r="HF47" s="992">
        <f t="shared" si="222"/>
        <v>2099.34</v>
      </c>
      <c r="HG47" s="1772"/>
      <c r="HH47" s="992">
        <f t="shared" si="223"/>
        <v>90880.428599999999</v>
      </c>
      <c r="HI47" s="1759"/>
      <c r="HJ47" s="992">
        <f t="shared" si="299"/>
        <v>10900</v>
      </c>
      <c r="HK47" s="1759" t="str">
        <f t="shared" si="300"/>
        <v>m²</v>
      </c>
      <c r="HL47" s="1758">
        <f>VLOOKUP($G47,'Quantidades Padrão'!$E$7:$J$103,HL$8,0)</f>
        <v>0.27686250000000001</v>
      </c>
      <c r="HM47" s="1772"/>
      <c r="HN47" s="992">
        <f t="shared" si="301"/>
        <v>3017.80125</v>
      </c>
      <c r="HO47" s="1772"/>
      <c r="HP47" s="992">
        <f t="shared" si="302"/>
        <v>130640.61611249999</v>
      </c>
      <c r="HQ47" s="1759"/>
      <c r="HR47" s="992">
        <f t="shared" si="303"/>
        <v>10900</v>
      </c>
      <c r="HS47" s="1759" t="str">
        <f t="shared" si="304"/>
        <v>m²</v>
      </c>
      <c r="HT47" s="1758">
        <f>VLOOKUP($G47,'Quantidades Padrão'!$E$7:$J$103,HT$8,0)</f>
        <v>0.36112499999999997</v>
      </c>
      <c r="HU47" s="1772"/>
      <c r="HV47" s="992">
        <f t="shared" si="305"/>
        <v>3936.2624999999998</v>
      </c>
      <c r="HW47" s="1772"/>
      <c r="HX47" s="992">
        <f t="shared" si="306"/>
        <v>170400.803625</v>
      </c>
      <c r="HY47" s="1759"/>
      <c r="HZ47" s="992">
        <f t="shared" si="307"/>
        <v>10900</v>
      </c>
      <c r="IA47" s="1759" t="str">
        <f t="shared" si="308"/>
        <v>m²</v>
      </c>
      <c r="IB47" s="1758">
        <f>VLOOKUP($G47,'Quantidades Padrão'!$E$7:$J$103,IB$8,0)</f>
        <v>0.19259999999999999</v>
      </c>
      <c r="IC47" s="1772"/>
      <c r="ID47" s="992">
        <f t="shared" si="309"/>
        <v>2099.34</v>
      </c>
      <c r="IE47" s="1772"/>
      <c r="IF47" s="992">
        <f t="shared" si="310"/>
        <v>90880.428599999999</v>
      </c>
      <c r="IG47" s="1759"/>
      <c r="IH47" s="992">
        <f t="shared" si="311"/>
        <v>10900</v>
      </c>
      <c r="II47" s="1759" t="str">
        <f t="shared" si="312"/>
        <v>m²</v>
      </c>
      <c r="IJ47" s="1758">
        <f>VLOOKUP($G47,'Quantidades Padrão'!$E$7:$J$103,IJ$8,0)</f>
        <v>0.27686250000000001</v>
      </c>
      <c r="IK47" s="1772"/>
      <c r="IL47" s="992">
        <f t="shared" si="313"/>
        <v>3017.80125</v>
      </c>
      <c r="IM47" s="1772"/>
      <c r="IN47" s="992">
        <f t="shared" si="314"/>
        <v>130640.61611249999</v>
      </c>
      <c r="IO47" s="1759"/>
    </row>
    <row r="48" spans="1:249" s="341" customFormat="1">
      <c r="A48" s="1753"/>
      <c r="B48" s="1754"/>
      <c r="C48" s="1755"/>
      <c r="D48" s="1013">
        <f>VLOOKUP(E48,'DER MG'!$D$5:$I$150,6,0)</f>
        <v>51.89</v>
      </c>
      <c r="E48" s="1022">
        <v>99001</v>
      </c>
      <c r="F48" s="1756"/>
      <c r="G48" s="1018" t="s">
        <v>442</v>
      </c>
      <c r="H48" s="992">
        <f t="shared" si="117"/>
        <v>1518278.1143625001</v>
      </c>
      <c r="I48" s="992">
        <f>'OAEs e Passarelas Padrão'!E47</f>
        <v>10900</v>
      </c>
      <c r="J48" s="1759" t="s">
        <v>411</v>
      </c>
      <c r="K48" s="1758">
        <f>VLOOKUP($G48,'Quantidades Padrão'!$E$7:$J$103,K$8,0)</f>
        <v>6.4200000000000021E-2</v>
      </c>
      <c r="L48" s="1759" t="s">
        <v>426</v>
      </c>
      <c r="M48" s="992">
        <f t="shared" si="169"/>
        <v>699.7800000000002</v>
      </c>
      <c r="N48" s="1759" t="s">
        <v>411</v>
      </c>
      <c r="O48" s="992">
        <f t="shared" si="170"/>
        <v>36311.584200000012</v>
      </c>
      <c r="P48" s="1759"/>
      <c r="Q48" s="1760">
        <f t="shared" si="232"/>
        <v>5.8498280167380932E-3</v>
      </c>
      <c r="R48" s="992">
        <f t="shared" si="171"/>
        <v>10900</v>
      </c>
      <c r="S48" s="1759" t="s">
        <v>411</v>
      </c>
      <c r="T48" s="1758">
        <f>VLOOKUP($G48,'Quantidades Padrão'!$E$7:$J$103,T$8,0)</f>
        <v>6.4200000000000021E-2</v>
      </c>
      <c r="U48" s="1759" t="s">
        <v>426</v>
      </c>
      <c r="V48" s="992">
        <f t="shared" si="172"/>
        <v>699.7800000000002</v>
      </c>
      <c r="W48" s="1759" t="s">
        <v>411</v>
      </c>
      <c r="X48" s="992">
        <f t="shared" si="233"/>
        <v>36311.584200000012</v>
      </c>
      <c r="Y48" s="1759"/>
      <c r="Z48" s="992">
        <f t="shared" si="171"/>
        <v>10900</v>
      </c>
      <c r="AA48" s="1759" t="s">
        <v>411</v>
      </c>
      <c r="AB48" s="1758">
        <f>VLOOKUP($G48,'Quantidades Padrão'!$E$7:$J$103,AB$8,0)</f>
        <v>0.12037500000000002</v>
      </c>
      <c r="AC48" s="1759" t="s">
        <v>426</v>
      </c>
      <c r="AD48" s="992">
        <f t="shared" si="234"/>
        <v>1312.0875000000003</v>
      </c>
      <c r="AE48" s="1759" t="s">
        <v>411</v>
      </c>
      <c r="AF48" s="992">
        <f t="shared" si="235"/>
        <v>68084.220375000019</v>
      </c>
      <c r="AG48" s="1759"/>
      <c r="AH48" s="992">
        <f t="shared" si="171"/>
        <v>10900</v>
      </c>
      <c r="AI48" s="1759" t="s">
        <v>411</v>
      </c>
      <c r="AJ48" s="1758">
        <f>VLOOKUP($G48,'Quantidades Padrão'!$E$7:$J$103,AJ$8,0)</f>
        <v>6.4200000000000021E-2</v>
      </c>
      <c r="AK48" s="1759" t="s">
        <v>426</v>
      </c>
      <c r="AL48" s="992">
        <f t="shared" si="236"/>
        <v>699.7800000000002</v>
      </c>
      <c r="AM48" s="1759" t="s">
        <v>411</v>
      </c>
      <c r="AN48" s="992">
        <f t="shared" si="237"/>
        <v>36311.584200000012</v>
      </c>
      <c r="AO48" s="1759"/>
      <c r="AP48" s="992">
        <f t="shared" si="175"/>
        <v>10900</v>
      </c>
      <c r="AQ48" s="1759" t="s">
        <v>411</v>
      </c>
      <c r="AR48" s="1758">
        <f>VLOOKUP($G48,'Quantidades Padrão'!$E$7:$J$103,AR$8,0)</f>
        <v>6.4200000000000021E-2</v>
      </c>
      <c r="AS48" s="1759" t="s">
        <v>426</v>
      </c>
      <c r="AT48" s="992">
        <f t="shared" si="238"/>
        <v>699.7800000000002</v>
      </c>
      <c r="AU48" s="1759" t="s">
        <v>411</v>
      </c>
      <c r="AV48" s="992">
        <f t="shared" si="239"/>
        <v>36311.584200000012</v>
      </c>
      <c r="AW48" s="1759"/>
      <c r="AX48" s="992">
        <f t="shared" si="177"/>
        <v>10900</v>
      </c>
      <c r="AY48" s="1759" t="s">
        <v>411</v>
      </c>
      <c r="AZ48" s="1758">
        <f>VLOOKUP($G48,'Quantidades Padrão'!$E$7:$J$103,AZ$8,0)</f>
        <v>9.2287500000000022E-2</v>
      </c>
      <c r="BA48" s="1759" t="s">
        <v>426</v>
      </c>
      <c r="BB48" s="992">
        <f t="shared" si="178"/>
        <v>1005.9337500000003</v>
      </c>
      <c r="BC48" s="1759" t="s">
        <v>411</v>
      </c>
      <c r="BD48" s="992">
        <f t="shared" si="179"/>
        <v>52197.902287500016</v>
      </c>
      <c r="BE48" s="1759"/>
      <c r="BF48" s="992">
        <f t="shared" si="180"/>
        <v>10900</v>
      </c>
      <c r="BG48" s="1759" t="str">
        <f t="shared" si="240"/>
        <v>m²</v>
      </c>
      <c r="BH48" s="1758">
        <f>VLOOKUP($G48,'Quantidades Padrão'!$E$7:$J$103,BH$8,0)</f>
        <v>0.12037500000000002</v>
      </c>
      <c r="BI48" s="1772"/>
      <c r="BJ48" s="992">
        <f t="shared" si="181"/>
        <v>1312.0875000000003</v>
      </c>
      <c r="BK48" s="1772"/>
      <c r="BL48" s="992">
        <f t="shared" si="182"/>
        <v>68084.220375000019</v>
      </c>
      <c r="BM48" s="1759"/>
      <c r="BN48" s="992">
        <f t="shared" si="183"/>
        <v>10900</v>
      </c>
      <c r="BO48" s="1759" t="s">
        <v>411</v>
      </c>
      <c r="BP48" s="1758">
        <f>VLOOKUP($G48,'Quantidades Padrão'!$E$7:$J$103,BP$8,0)</f>
        <v>6.4200000000000021E-2</v>
      </c>
      <c r="BQ48" s="1772"/>
      <c r="BR48" s="992">
        <f t="shared" si="241"/>
        <v>699.7800000000002</v>
      </c>
      <c r="BS48" s="1772"/>
      <c r="BT48" s="992">
        <f t="shared" si="242"/>
        <v>36311.584200000012</v>
      </c>
      <c r="BU48" s="1759"/>
      <c r="BV48" s="992">
        <f t="shared" si="186"/>
        <v>10900</v>
      </c>
      <c r="BW48" s="1759" t="s">
        <v>411</v>
      </c>
      <c r="BX48" s="1758">
        <f>VLOOKUP($G48,'Quantidades Padrão'!$E$7:$J$103,BX$8,0)</f>
        <v>9.2287500000000022E-2</v>
      </c>
      <c r="BY48" s="1772"/>
      <c r="BZ48" s="992">
        <f t="shared" si="243"/>
        <v>1005.9337500000003</v>
      </c>
      <c r="CA48" s="1772"/>
      <c r="CB48" s="992">
        <f t="shared" si="244"/>
        <v>52197.902287500016</v>
      </c>
      <c r="CC48" s="1759"/>
      <c r="CD48" s="992">
        <f t="shared" si="189"/>
        <v>10900</v>
      </c>
      <c r="CE48" s="1759" t="s">
        <v>411</v>
      </c>
      <c r="CF48" s="1758">
        <f>VLOOKUP($G48,'Quantidades Padrão'!$E$7:$J$103,CF$8,0)</f>
        <v>0.12037500000000002</v>
      </c>
      <c r="CG48" s="1772"/>
      <c r="CH48" s="992">
        <f t="shared" si="245"/>
        <v>1312.0875000000003</v>
      </c>
      <c r="CI48" s="1772"/>
      <c r="CJ48" s="992">
        <f t="shared" si="246"/>
        <v>68084.220375000019</v>
      </c>
      <c r="CK48" s="1759"/>
      <c r="CL48" s="992">
        <f t="shared" si="247"/>
        <v>10900</v>
      </c>
      <c r="CM48" s="1759" t="str">
        <f t="shared" si="248"/>
        <v>m²</v>
      </c>
      <c r="CN48" s="1758">
        <f>VLOOKUP($G48,'Quantidades Padrão'!$E$7:$J$103,CN$8,0)</f>
        <v>6.4200000000000021E-2</v>
      </c>
      <c r="CO48" s="1772"/>
      <c r="CP48" s="992">
        <f t="shared" si="192"/>
        <v>699.7800000000002</v>
      </c>
      <c r="CQ48" s="1772"/>
      <c r="CR48" s="992">
        <f t="shared" si="193"/>
        <v>36311.584200000012</v>
      </c>
      <c r="CS48" s="1759"/>
      <c r="CT48" s="992">
        <f t="shared" si="249"/>
        <v>10900</v>
      </c>
      <c r="CU48" s="1759" t="s">
        <v>411</v>
      </c>
      <c r="CV48" s="1758">
        <f>VLOOKUP($G48,'Quantidades Padrão'!$E$7:$J$103,CV$8,0)</f>
        <v>9.2287500000000022E-2</v>
      </c>
      <c r="CW48" s="1772"/>
      <c r="CX48" s="992">
        <f t="shared" si="250"/>
        <v>1005.9337500000003</v>
      </c>
      <c r="CY48" s="1772"/>
      <c r="CZ48" s="992">
        <f t="shared" si="251"/>
        <v>52197.902287500016</v>
      </c>
      <c r="DA48" s="1759"/>
      <c r="DB48" s="992">
        <f t="shared" si="252"/>
        <v>10900</v>
      </c>
      <c r="DC48" s="1759" t="s">
        <v>411</v>
      </c>
      <c r="DD48" s="1758">
        <f>VLOOKUP($G48,'Quantidades Padrão'!$E$7:$J$103,DD$8,0)</f>
        <v>0.12037500000000002</v>
      </c>
      <c r="DE48" s="1772"/>
      <c r="DF48" s="992">
        <f t="shared" si="253"/>
        <v>1312.0875000000003</v>
      </c>
      <c r="DG48" s="1772"/>
      <c r="DH48" s="992">
        <f t="shared" si="254"/>
        <v>68084.220375000019</v>
      </c>
      <c r="DI48" s="1759"/>
      <c r="DJ48" s="992">
        <f t="shared" si="255"/>
        <v>10900</v>
      </c>
      <c r="DK48" s="1759" t="s">
        <v>411</v>
      </c>
      <c r="DL48" s="1758">
        <f>VLOOKUP($G48,'Quantidades Padrão'!$E$7:$J$103,DL$8,0)</f>
        <v>6.4200000000000021E-2</v>
      </c>
      <c r="DM48" s="1772"/>
      <c r="DN48" s="992">
        <f t="shared" si="256"/>
        <v>699.7800000000002</v>
      </c>
      <c r="DO48" s="1772"/>
      <c r="DP48" s="992">
        <f t="shared" si="257"/>
        <v>36311.584200000012</v>
      </c>
      <c r="DQ48" s="1759"/>
      <c r="DR48" s="992">
        <f t="shared" si="258"/>
        <v>10900</v>
      </c>
      <c r="DS48" s="1759" t="s">
        <v>411</v>
      </c>
      <c r="DT48" s="1758">
        <f>VLOOKUP($G48,'Quantidades Padrão'!$E$7:$J$103,DT$8,0)</f>
        <v>9.2287500000000022E-2</v>
      </c>
      <c r="DU48" s="1772"/>
      <c r="DV48" s="992">
        <f t="shared" si="259"/>
        <v>1005.9337500000003</v>
      </c>
      <c r="DW48" s="1772"/>
      <c r="DX48" s="992">
        <f t="shared" si="260"/>
        <v>52197.902287500016</v>
      </c>
      <c r="DY48" s="1759"/>
      <c r="DZ48" s="992">
        <f t="shared" si="261"/>
        <v>10900</v>
      </c>
      <c r="EA48" s="1759" t="str">
        <f t="shared" si="262"/>
        <v>m²</v>
      </c>
      <c r="EB48" s="1758">
        <f>VLOOKUP($G48,'Quantidades Padrão'!$E$7:$J$103,EB$8,0)</f>
        <v>0.12037500000000002</v>
      </c>
      <c r="EC48" s="1772"/>
      <c r="ED48" s="992">
        <f t="shared" si="263"/>
        <v>1312.0875000000003</v>
      </c>
      <c r="EE48" s="1772"/>
      <c r="EF48" s="992">
        <f t="shared" si="264"/>
        <v>68084.220375000019</v>
      </c>
      <c r="EG48" s="1759"/>
      <c r="EH48" s="992">
        <f t="shared" si="265"/>
        <v>10900</v>
      </c>
      <c r="EI48" s="1759" t="str">
        <f t="shared" si="266"/>
        <v>m²</v>
      </c>
      <c r="EJ48" s="1758">
        <f>VLOOKUP($G48,'Quantidades Padrão'!$E$7:$J$103,EJ$8,0)</f>
        <v>6.4200000000000021E-2</v>
      </c>
      <c r="EK48" s="1772"/>
      <c r="EL48" s="992">
        <f t="shared" si="267"/>
        <v>699.7800000000002</v>
      </c>
      <c r="EM48" s="1772"/>
      <c r="EN48" s="992">
        <f t="shared" si="268"/>
        <v>36311.584200000012</v>
      </c>
      <c r="EO48" s="1759"/>
      <c r="EP48" s="992">
        <f t="shared" si="269"/>
        <v>10900</v>
      </c>
      <c r="EQ48" s="1759" t="str">
        <f t="shared" si="270"/>
        <v>m²</v>
      </c>
      <c r="ER48" s="1758">
        <f>VLOOKUP($G48,'Quantidades Padrão'!$E$7:$J$103,ER$8,0)</f>
        <v>9.2287500000000022E-2</v>
      </c>
      <c r="ES48" s="1772"/>
      <c r="ET48" s="992">
        <f t="shared" si="206"/>
        <v>1005.9337500000003</v>
      </c>
      <c r="EU48" s="1772"/>
      <c r="EV48" s="992">
        <f t="shared" si="207"/>
        <v>52197.902287500016</v>
      </c>
      <c r="EW48" s="1759"/>
      <c r="EX48" s="992">
        <f t="shared" si="271"/>
        <v>10900</v>
      </c>
      <c r="EY48" s="1759" t="str">
        <f t="shared" si="272"/>
        <v>m²</v>
      </c>
      <c r="EZ48" s="1758">
        <f>VLOOKUP($G48,'Quantidades Padrão'!$E$7:$J$103,EZ$8,0)</f>
        <v>0.12037500000000002</v>
      </c>
      <c r="FA48" s="1772"/>
      <c r="FB48" s="992">
        <f t="shared" si="273"/>
        <v>1312.0875000000003</v>
      </c>
      <c r="FC48" s="1772"/>
      <c r="FD48" s="992">
        <f t="shared" si="274"/>
        <v>68084.220375000019</v>
      </c>
      <c r="FE48" s="1759"/>
      <c r="FF48" s="992">
        <f t="shared" si="275"/>
        <v>10900</v>
      </c>
      <c r="FG48" s="1759" t="str">
        <f t="shared" si="276"/>
        <v>m²</v>
      </c>
      <c r="FH48" s="1758">
        <f>VLOOKUP($G48,'Quantidades Padrão'!$E$7:$J$103,FH$8,0)</f>
        <v>6.4200000000000021E-2</v>
      </c>
      <c r="FI48" s="1772"/>
      <c r="FJ48" s="992">
        <f t="shared" si="277"/>
        <v>699.7800000000002</v>
      </c>
      <c r="FK48" s="1772"/>
      <c r="FL48" s="992">
        <f t="shared" si="278"/>
        <v>36311.584200000012</v>
      </c>
      <c r="FM48" s="1759"/>
      <c r="FN48" s="992">
        <f t="shared" si="279"/>
        <v>10900</v>
      </c>
      <c r="FO48" s="1759" t="str">
        <f t="shared" si="280"/>
        <v>m²</v>
      </c>
      <c r="FP48" s="1758">
        <f>VLOOKUP($G48,'Quantidades Padrão'!$E$7:$J$103,FP$8,0)</f>
        <v>9.2287500000000022E-2</v>
      </c>
      <c r="FQ48" s="1772"/>
      <c r="FR48" s="992">
        <f t="shared" si="281"/>
        <v>1005.9337500000003</v>
      </c>
      <c r="FS48" s="1772"/>
      <c r="FT48" s="992">
        <f t="shared" si="282"/>
        <v>52197.902287500016</v>
      </c>
      <c r="FU48" s="1759"/>
      <c r="FV48" s="992">
        <f t="shared" si="283"/>
        <v>10900</v>
      </c>
      <c r="FW48" s="1759" t="str">
        <f t="shared" si="284"/>
        <v>m²</v>
      </c>
      <c r="FX48" s="1758">
        <f>VLOOKUP($G48,'Quantidades Padrão'!$E$7:$J$103,FX$8,0)</f>
        <v>0.12037500000000002</v>
      </c>
      <c r="FY48" s="1772"/>
      <c r="FZ48" s="992">
        <f t="shared" si="285"/>
        <v>1312.0875000000003</v>
      </c>
      <c r="GA48" s="1772"/>
      <c r="GB48" s="992">
        <f t="shared" si="286"/>
        <v>68084.220375000019</v>
      </c>
      <c r="GC48" s="1759"/>
      <c r="GD48" s="992">
        <f t="shared" si="287"/>
        <v>10900</v>
      </c>
      <c r="GE48" s="1759" t="str">
        <f t="shared" si="288"/>
        <v>m²</v>
      </c>
      <c r="GF48" s="1758">
        <f>VLOOKUP($G48,'Quantidades Padrão'!$E$7:$J$103,GF$8,0)</f>
        <v>6.4200000000000021E-2</v>
      </c>
      <c r="GG48" s="1772"/>
      <c r="GH48" s="992">
        <f t="shared" si="289"/>
        <v>699.7800000000002</v>
      </c>
      <c r="GI48" s="1772"/>
      <c r="GJ48" s="992">
        <f t="shared" si="290"/>
        <v>36311.584200000012</v>
      </c>
      <c r="GK48" s="1759"/>
      <c r="GL48" s="992">
        <f t="shared" si="291"/>
        <v>10900</v>
      </c>
      <c r="GM48" s="1759" t="str">
        <f t="shared" si="292"/>
        <v>m²</v>
      </c>
      <c r="GN48" s="1758">
        <f>VLOOKUP($G48,'Quantidades Padrão'!$E$7:$J$103,GN$8,0)</f>
        <v>9.2287500000000022E-2</v>
      </c>
      <c r="GO48" s="1772"/>
      <c r="GP48" s="992">
        <f t="shared" si="293"/>
        <v>1005.9337500000003</v>
      </c>
      <c r="GQ48" s="1772"/>
      <c r="GR48" s="992">
        <f t="shared" si="294"/>
        <v>52197.902287500016</v>
      </c>
      <c r="GS48" s="1759"/>
      <c r="GT48" s="992">
        <f t="shared" si="295"/>
        <v>10900</v>
      </c>
      <c r="GU48" s="1759" t="str">
        <f t="shared" si="296"/>
        <v>m²</v>
      </c>
      <c r="GV48" s="1758">
        <f>VLOOKUP($G48,'Quantidades Padrão'!$E$7:$J$103,GV$8,0)</f>
        <v>0.12037500000000002</v>
      </c>
      <c r="GW48" s="1772"/>
      <c r="GX48" s="992">
        <f t="shared" si="297"/>
        <v>1312.0875000000003</v>
      </c>
      <c r="GY48" s="1772"/>
      <c r="GZ48" s="992">
        <f t="shared" si="298"/>
        <v>68084.220375000019</v>
      </c>
      <c r="HA48" s="1759"/>
      <c r="HB48" s="992">
        <f t="shared" si="159"/>
        <v>10900</v>
      </c>
      <c r="HC48" s="1759" t="str">
        <f t="shared" si="160"/>
        <v>m²</v>
      </c>
      <c r="HD48" s="1758">
        <f>VLOOKUP($G48,'Quantidades Padrão'!$E$7:$J$103,HD$8,0)</f>
        <v>6.4200000000000021E-2</v>
      </c>
      <c r="HE48" s="1772"/>
      <c r="HF48" s="992">
        <f t="shared" si="222"/>
        <v>699.7800000000002</v>
      </c>
      <c r="HG48" s="1772"/>
      <c r="HH48" s="992">
        <f t="shared" si="223"/>
        <v>36311.584200000012</v>
      </c>
      <c r="HI48" s="1759"/>
      <c r="HJ48" s="992">
        <f t="shared" si="299"/>
        <v>10900</v>
      </c>
      <c r="HK48" s="1759" t="str">
        <f t="shared" si="300"/>
        <v>m²</v>
      </c>
      <c r="HL48" s="1758">
        <f>VLOOKUP($G48,'Quantidades Padrão'!$E$7:$J$103,HL$8,0)</f>
        <v>9.2287500000000022E-2</v>
      </c>
      <c r="HM48" s="1772"/>
      <c r="HN48" s="992">
        <f t="shared" si="301"/>
        <v>1005.9337500000003</v>
      </c>
      <c r="HO48" s="1772"/>
      <c r="HP48" s="992">
        <f t="shared" si="302"/>
        <v>52197.902287500016</v>
      </c>
      <c r="HQ48" s="1759"/>
      <c r="HR48" s="992">
        <f t="shared" si="303"/>
        <v>10900</v>
      </c>
      <c r="HS48" s="1759" t="str">
        <f t="shared" si="304"/>
        <v>m²</v>
      </c>
      <c r="HT48" s="1758">
        <f>VLOOKUP($G48,'Quantidades Padrão'!$E$7:$J$103,HT$8,0)</f>
        <v>0.12037500000000002</v>
      </c>
      <c r="HU48" s="1772"/>
      <c r="HV48" s="992">
        <f t="shared" si="305"/>
        <v>1312.0875000000003</v>
      </c>
      <c r="HW48" s="1772"/>
      <c r="HX48" s="992">
        <f t="shared" si="306"/>
        <v>68084.220375000019</v>
      </c>
      <c r="HY48" s="1759"/>
      <c r="HZ48" s="992">
        <f t="shared" si="307"/>
        <v>10900</v>
      </c>
      <c r="IA48" s="1759" t="str">
        <f t="shared" si="308"/>
        <v>m²</v>
      </c>
      <c r="IB48" s="1758">
        <f>VLOOKUP($G48,'Quantidades Padrão'!$E$7:$J$103,IB$8,0)</f>
        <v>6.4200000000000021E-2</v>
      </c>
      <c r="IC48" s="1772"/>
      <c r="ID48" s="992">
        <f t="shared" si="309"/>
        <v>699.7800000000002</v>
      </c>
      <c r="IE48" s="1772"/>
      <c r="IF48" s="992">
        <f t="shared" si="310"/>
        <v>36311.584200000012</v>
      </c>
      <c r="IG48" s="1759"/>
      <c r="IH48" s="992">
        <f t="shared" si="311"/>
        <v>10900</v>
      </c>
      <c r="II48" s="1759" t="str">
        <f t="shared" si="312"/>
        <v>m²</v>
      </c>
      <c r="IJ48" s="1758">
        <f>VLOOKUP($G48,'Quantidades Padrão'!$E$7:$J$103,IJ$8,0)</f>
        <v>9.2287500000000022E-2</v>
      </c>
      <c r="IK48" s="1772"/>
      <c r="IL48" s="992">
        <f t="shared" si="313"/>
        <v>1005.9337500000003</v>
      </c>
      <c r="IM48" s="1772"/>
      <c r="IN48" s="992">
        <f t="shared" si="314"/>
        <v>52197.902287500016</v>
      </c>
      <c r="IO48" s="1759"/>
    </row>
    <row r="49" spans="1:249" s="341" customFormat="1">
      <c r="A49" s="1753"/>
      <c r="B49" s="1754"/>
      <c r="C49" s="1755"/>
      <c r="D49" s="1013">
        <f>VLOOKUP(E49,'DER MG'!$D$5:$I$150,6,0)</f>
        <v>21.49</v>
      </c>
      <c r="E49" s="1022">
        <v>99002</v>
      </c>
      <c r="F49" s="1756"/>
      <c r="G49" s="1018" t="s">
        <v>443</v>
      </c>
      <c r="H49" s="992">
        <f t="shared" si="117"/>
        <v>8383836.7514999993</v>
      </c>
      <c r="I49" s="992">
        <f>'OAEs e Passarelas Padrão'!E49</f>
        <v>10900</v>
      </c>
      <c r="J49" s="1759" t="s">
        <v>411</v>
      </c>
      <c r="K49" s="1758">
        <f>VLOOKUP($G49,'Quantidades Padrão'!$E$7:$J$103,K$8,0)</f>
        <v>0.85600000000000009</v>
      </c>
      <c r="L49" s="1759" t="s">
        <v>426</v>
      </c>
      <c r="M49" s="992">
        <f t="shared" si="169"/>
        <v>9330.4000000000015</v>
      </c>
      <c r="N49" s="1759" t="s">
        <v>411</v>
      </c>
      <c r="O49" s="992">
        <f t="shared" si="170"/>
        <v>200510.29600000003</v>
      </c>
      <c r="P49" s="1759"/>
      <c r="Q49" s="1760">
        <f t="shared" si="232"/>
        <v>3.2302384294906304E-2</v>
      </c>
      <c r="R49" s="992">
        <f t="shared" si="171"/>
        <v>10900</v>
      </c>
      <c r="S49" s="1759" t="s">
        <v>411</v>
      </c>
      <c r="T49" s="1758">
        <f>VLOOKUP($G49,'Quantidades Padrão'!$E$7:$J$103,T$8,0)</f>
        <v>0.85600000000000009</v>
      </c>
      <c r="U49" s="1759" t="s">
        <v>426</v>
      </c>
      <c r="V49" s="992">
        <f t="shared" si="172"/>
        <v>9330.4000000000015</v>
      </c>
      <c r="W49" s="1759" t="s">
        <v>411</v>
      </c>
      <c r="X49" s="992">
        <f t="shared" si="233"/>
        <v>200510.29600000003</v>
      </c>
      <c r="Y49" s="1759"/>
      <c r="Z49" s="992">
        <f t="shared" si="171"/>
        <v>10900</v>
      </c>
      <c r="AA49" s="1759" t="s">
        <v>411</v>
      </c>
      <c r="AB49" s="1758">
        <f>VLOOKUP($G49,'Quantidades Padrão'!$E$7:$J$103,AB$8,0)</f>
        <v>1.605</v>
      </c>
      <c r="AC49" s="1759" t="s">
        <v>426</v>
      </c>
      <c r="AD49" s="992">
        <f t="shared" si="234"/>
        <v>17494.5</v>
      </c>
      <c r="AE49" s="1759" t="s">
        <v>411</v>
      </c>
      <c r="AF49" s="992">
        <f t="shared" si="235"/>
        <v>375956.80499999999</v>
      </c>
      <c r="AG49" s="1759"/>
      <c r="AH49" s="992">
        <f t="shared" si="171"/>
        <v>10900</v>
      </c>
      <c r="AI49" s="1759" t="s">
        <v>411</v>
      </c>
      <c r="AJ49" s="1758">
        <f>VLOOKUP($G49,'Quantidades Padrão'!$E$7:$J$103,AJ$8,0)</f>
        <v>0.85600000000000009</v>
      </c>
      <c r="AK49" s="1759" t="s">
        <v>426</v>
      </c>
      <c r="AL49" s="992">
        <f t="shared" si="236"/>
        <v>9330.4000000000015</v>
      </c>
      <c r="AM49" s="1759" t="s">
        <v>411</v>
      </c>
      <c r="AN49" s="992">
        <f t="shared" si="237"/>
        <v>200510.29600000003</v>
      </c>
      <c r="AO49" s="1759"/>
      <c r="AP49" s="992">
        <f t="shared" si="175"/>
        <v>10900</v>
      </c>
      <c r="AQ49" s="1759" t="s">
        <v>411</v>
      </c>
      <c r="AR49" s="1758">
        <f>VLOOKUP($G49,'Quantidades Padrão'!$E$7:$J$103,AR$8,0)</f>
        <v>0.85600000000000009</v>
      </c>
      <c r="AS49" s="1759" t="s">
        <v>426</v>
      </c>
      <c r="AT49" s="992">
        <f t="shared" si="238"/>
        <v>9330.4000000000015</v>
      </c>
      <c r="AU49" s="1759" t="s">
        <v>411</v>
      </c>
      <c r="AV49" s="992">
        <f t="shared" si="239"/>
        <v>200510.29600000003</v>
      </c>
      <c r="AW49" s="1759"/>
      <c r="AX49" s="992">
        <f t="shared" si="177"/>
        <v>10900</v>
      </c>
      <c r="AY49" s="1759" t="s">
        <v>411</v>
      </c>
      <c r="AZ49" s="1758">
        <f>VLOOKUP($G49,'Quantidades Padrão'!$E$7:$J$103,AZ$8,0)</f>
        <v>1.2304999999999999</v>
      </c>
      <c r="BA49" s="1759" t="s">
        <v>426</v>
      </c>
      <c r="BB49" s="992">
        <f t="shared" si="178"/>
        <v>13412.449999999999</v>
      </c>
      <c r="BC49" s="1759" t="s">
        <v>411</v>
      </c>
      <c r="BD49" s="992">
        <f t="shared" si="179"/>
        <v>288233.55049999995</v>
      </c>
      <c r="BE49" s="1759"/>
      <c r="BF49" s="992">
        <f t="shared" si="180"/>
        <v>10900</v>
      </c>
      <c r="BG49" s="1759" t="str">
        <f t="shared" si="240"/>
        <v>m²</v>
      </c>
      <c r="BH49" s="1758">
        <f>VLOOKUP($G49,'Quantidades Padrão'!$E$7:$J$103,BH$8,0)</f>
        <v>1.605</v>
      </c>
      <c r="BI49" s="1772"/>
      <c r="BJ49" s="992">
        <f t="shared" si="181"/>
        <v>17494.5</v>
      </c>
      <c r="BK49" s="1772"/>
      <c r="BL49" s="992">
        <f t="shared" si="182"/>
        <v>375956.80499999999</v>
      </c>
      <c r="BM49" s="1759"/>
      <c r="BN49" s="992">
        <f t="shared" si="183"/>
        <v>10900</v>
      </c>
      <c r="BO49" s="1759" t="s">
        <v>411</v>
      </c>
      <c r="BP49" s="1758">
        <f>VLOOKUP($G49,'Quantidades Padrão'!$E$7:$J$103,BP$8,0)</f>
        <v>0.85600000000000009</v>
      </c>
      <c r="BQ49" s="1772"/>
      <c r="BR49" s="992">
        <f t="shared" si="241"/>
        <v>9330.4000000000015</v>
      </c>
      <c r="BS49" s="1772"/>
      <c r="BT49" s="992">
        <f t="shared" si="242"/>
        <v>200510.29600000003</v>
      </c>
      <c r="BU49" s="1759"/>
      <c r="BV49" s="992">
        <f t="shared" si="186"/>
        <v>10900</v>
      </c>
      <c r="BW49" s="1759" t="s">
        <v>411</v>
      </c>
      <c r="BX49" s="1758">
        <f>VLOOKUP($G49,'Quantidades Padrão'!$E$7:$J$103,BX$8,0)</f>
        <v>1.2304999999999999</v>
      </c>
      <c r="BY49" s="1772"/>
      <c r="BZ49" s="992">
        <f t="shared" si="243"/>
        <v>13412.449999999999</v>
      </c>
      <c r="CA49" s="1772"/>
      <c r="CB49" s="992">
        <f t="shared" si="244"/>
        <v>288233.55049999995</v>
      </c>
      <c r="CC49" s="1759"/>
      <c r="CD49" s="992">
        <f t="shared" si="189"/>
        <v>10900</v>
      </c>
      <c r="CE49" s="1759" t="s">
        <v>411</v>
      </c>
      <c r="CF49" s="1758">
        <f>VLOOKUP($G49,'Quantidades Padrão'!$E$7:$J$103,CF$8,0)</f>
        <v>1.605</v>
      </c>
      <c r="CG49" s="1772"/>
      <c r="CH49" s="992">
        <f t="shared" si="245"/>
        <v>17494.5</v>
      </c>
      <c r="CI49" s="1772"/>
      <c r="CJ49" s="992">
        <f t="shared" si="246"/>
        <v>375956.80499999999</v>
      </c>
      <c r="CK49" s="1759"/>
      <c r="CL49" s="992">
        <f t="shared" si="247"/>
        <v>10900</v>
      </c>
      <c r="CM49" s="1759" t="str">
        <f t="shared" si="248"/>
        <v>m²</v>
      </c>
      <c r="CN49" s="1758">
        <f>VLOOKUP($G49,'Quantidades Padrão'!$E$7:$J$103,CN$8,0)</f>
        <v>0.85600000000000009</v>
      </c>
      <c r="CO49" s="1772"/>
      <c r="CP49" s="992">
        <f t="shared" si="192"/>
        <v>9330.4000000000015</v>
      </c>
      <c r="CQ49" s="1772"/>
      <c r="CR49" s="992">
        <f t="shared" si="193"/>
        <v>200510.29600000003</v>
      </c>
      <c r="CS49" s="1759"/>
      <c r="CT49" s="992">
        <f t="shared" si="249"/>
        <v>10900</v>
      </c>
      <c r="CU49" s="1759" t="s">
        <v>411</v>
      </c>
      <c r="CV49" s="1758">
        <f>VLOOKUP($G49,'Quantidades Padrão'!$E$7:$J$103,CV$8,0)</f>
        <v>1.2304999999999999</v>
      </c>
      <c r="CW49" s="1772"/>
      <c r="CX49" s="992">
        <f t="shared" si="250"/>
        <v>13412.449999999999</v>
      </c>
      <c r="CY49" s="1772"/>
      <c r="CZ49" s="992">
        <f t="shared" si="251"/>
        <v>288233.55049999995</v>
      </c>
      <c r="DA49" s="1759"/>
      <c r="DB49" s="992">
        <f t="shared" si="252"/>
        <v>10900</v>
      </c>
      <c r="DC49" s="1759" t="s">
        <v>411</v>
      </c>
      <c r="DD49" s="1758">
        <f>VLOOKUP($G49,'Quantidades Padrão'!$E$7:$J$103,DD$8,0)</f>
        <v>1.605</v>
      </c>
      <c r="DE49" s="1772"/>
      <c r="DF49" s="992">
        <f t="shared" si="253"/>
        <v>17494.5</v>
      </c>
      <c r="DG49" s="1772"/>
      <c r="DH49" s="992">
        <f t="shared" si="254"/>
        <v>375956.80499999999</v>
      </c>
      <c r="DI49" s="1759"/>
      <c r="DJ49" s="992">
        <f t="shared" si="255"/>
        <v>10900</v>
      </c>
      <c r="DK49" s="1759" t="s">
        <v>411</v>
      </c>
      <c r="DL49" s="1758">
        <f>VLOOKUP($G49,'Quantidades Padrão'!$E$7:$J$103,DL$8,0)</f>
        <v>0.85600000000000009</v>
      </c>
      <c r="DM49" s="1772"/>
      <c r="DN49" s="992">
        <f t="shared" si="256"/>
        <v>9330.4000000000015</v>
      </c>
      <c r="DO49" s="1772"/>
      <c r="DP49" s="992">
        <f t="shared" si="257"/>
        <v>200510.29600000003</v>
      </c>
      <c r="DQ49" s="1759"/>
      <c r="DR49" s="992">
        <f t="shared" si="258"/>
        <v>10900</v>
      </c>
      <c r="DS49" s="1759" t="s">
        <v>411</v>
      </c>
      <c r="DT49" s="1758">
        <f>VLOOKUP($G49,'Quantidades Padrão'!$E$7:$J$103,DT$8,0)</f>
        <v>1.2304999999999999</v>
      </c>
      <c r="DU49" s="1772"/>
      <c r="DV49" s="992">
        <f t="shared" si="259"/>
        <v>13412.449999999999</v>
      </c>
      <c r="DW49" s="1772"/>
      <c r="DX49" s="992">
        <f t="shared" si="260"/>
        <v>288233.55049999995</v>
      </c>
      <c r="DY49" s="1759"/>
      <c r="DZ49" s="992">
        <f t="shared" si="261"/>
        <v>10900</v>
      </c>
      <c r="EA49" s="1759" t="str">
        <f t="shared" si="262"/>
        <v>m²</v>
      </c>
      <c r="EB49" s="1758">
        <f>VLOOKUP($G49,'Quantidades Padrão'!$E$7:$J$103,EB$8,0)</f>
        <v>1.605</v>
      </c>
      <c r="EC49" s="1772"/>
      <c r="ED49" s="992">
        <f t="shared" si="263"/>
        <v>17494.5</v>
      </c>
      <c r="EE49" s="1772"/>
      <c r="EF49" s="992">
        <f t="shared" si="264"/>
        <v>375956.80499999999</v>
      </c>
      <c r="EG49" s="1759"/>
      <c r="EH49" s="992">
        <f t="shared" si="265"/>
        <v>10900</v>
      </c>
      <c r="EI49" s="1759" t="str">
        <f t="shared" si="266"/>
        <v>m²</v>
      </c>
      <c r="EJ49" s="1758">
        <f>VLOOKUP($G49,'Quantidades Padrão'!$E$7:$J$103,EJ$8,0)</f>
        <v>0.85600000000000009</v>
      </c>
      <c r="EK49" s="1772"/>
      <c r="EL49" s="992">
        <f t="shared" si="267"/>
        <v>9330.4000000000015</v>
      </c>
      <c r="EM49" s="1772"/>
      <c r="EN49" s="992">
        <f t="shared" si="268"/>
        <v>200510.29600000003</v>
      </c>
      <c r="EO49" s="1759"/>
      <c r="EP49" s="992">
        <f t="shared" si="269"/>
        <v>10900</v>
      </c>
      <c r="EQ49" s="1759" t="str">
        <f t="shared" si="270"/>
        <v>m²</v>
      </c>
      <c r="ER49" s="1758">
        <f>VLOOKUP($G49,'Quantidades Padrão'!$E$7:$J$103,ER$8,0)</f>
        <v>1.2304999999999999</v>
      </c>
      <c r="ES49" s="1772"/>
      <c r="ET49" s="992">
        <f t="shared" si="206"/>
        <v>13412.449999999999</v>
      </c>
      <c r="EU49" s="1772"/>
      <c r="EV49" s="992">
        <f t="shared" si="207"/>
        <v>288233.55049999995</v>
      </c>
      <c r="EW49" s="1759"/>
      <c r="EX49" s="992">
        <f t="shared" si="271"/>
        <v>10900</v>
      </c>
      <c r="EY49" s="1759" t="str">
        <f t="shared" si="272"/>
        <v>m²</v>
      </c>
      <c r="EZ49" s="1758">
        <f>VLOOKUP($G49,'Quantidades Padrão'!$E$7:$J$103,EZ$8,0)</f>
        <v>1.605</v>
      </c>
      <c r="FA49" s="1772"/>
      <c r="FB49" s="992">
        <f t="shared" si="273"/>
        <v>17494.5</v>
      </c>
      <c r="FC49" s="1772"/>
      <c r="FD49" s="992">
        <f t="shared" si="274"/>
        <v>375956.80499999999</v>
      </c>
      <c r="FE49" s="1759"/>
      <c r="FF49" s="992">
        <f t="shared" si="275"/>
        <v>10900</v>
      </c>
      <c r="FG49" s="1759" t="str">
        <f t="shared" si="276"/>
        <v>m²</v>
      </c>
      <c r="FH49" s="1758">
        <f>VLOOKUP($G49,'Quantidades Padrão'!$E$7:$J$103,FH$8,0)</f>
        <v>0.85600000000000009</v>
      </c>
      <c r="FI49" s="1772"/>
      <c r="FJ49" s="992">
        <f t="shared" si="277"/>
        <v>9330.4000000000015</v>
      </c>
      <c r="FK49" s="1772"/>
      <c r="FL49" s="992">
        <f t="shared" si="278"/>
        <v>200510.29600000003</v>
      </c>
      <c r="FM49" s="1759"/>
      <c r="FN49" s="992">
        <f t="shared" si="279"/>
        <v>10900</v>
      </c>
      <c r="FO49" s="1759" t="str">
        <f t="shared" si="280"/>
        <v>m²</v>
      </c>
      <c r="FP49" s="1758">
        <f>VLOOKUP($G49,'Quantidades Padrão'!$E$7:$J$103,FP$8,0)</f>
        <v>1.2304999999999999</v>
      </c>
      <c r="FQ49" s="1772"/>
      <c r="FR49" s="992">
        <f t="shared" si="281"/>
        <v>13412.449999999999</v>
      </c>
      <c r="FS49" s="1772"/>
      <c r="FT49" s="992">
        <f t="shared" si="282"/>
        <v>288233.55049999995</v>
      </c>
      <c r="FU49" s="1759"/>
      <c r="FV49" s="992">
        <f t="shared" si="283"/>
        <v>10900</v>
      </c>
      <c r="FW49" s="1759" t="str">
        <f t="shared" si="284"/>
        <v>m²</v>
      </c>
      <c r="FX49" s="1758">
        <f>VLOOKUP($G49,'Quantidades Padrão'!$E$7:$J$103,FX$8,0)</f>
        <v>1.605</v>
      </c>
      <c r="FY49" s="1772"/>
      <c r="FZ49" s="992">
        <f t="shared" si="285"/>
        <v>17494.5</v>
      </c>
      <c r="GA49" s="1772"/>
      <c r="GB49" s="992">
        <f t="shared" si="286"/>
        <v>375956.80499999999</v>
      </c>
      <c r="GC49" s="1759"/>
      <c r="GD49" s="992">
        <f t="shared" si="287"/>
        <v>10900</v>
      </c>
      <c r="GE49" s="1759" t="str">
        <f t="shared" si="288"/>
        <v>m²</v>
      </c>
      <c r="GF49" s="1758">
        <f>VLOOKUP($G49,'Quantidades Padrão'!$E$7:$J$103,GF$8,0)</f>
        <v>0.85600000000000009</v>
      </c>
      <c r="GG49" s="1772"/>
      <c r="GH49" s="992">
        <f t="shared" si="289"/>
        <v>9330.4000000000015</v>
      </c>
      <c r="GI49" s="1772"/>
      <c r="GJ49" s="992">
        <f t="shared" si="290"/>
        <v>200510.29600000003</v>
      </c>
      <c r="GK49" s="1759"/>
      <c r="GL49" s="992">
        <f t="shared" si="291"/>
        <v>10900</v>
      </c>
      <c r="GM49" s="1759" t="str">
        <f t="shared" si="292"/>
        <v>m²</v>
      </c>
      <c r="GN49" s="1758">
        <f>VLOOKUP($G49,'Quantidades Padrão'!$E$7:$J$103,GN$8,0)</f>
        <v>1.2304999999999999</v>
      </c>
      <c r="GO49" s="1772"/>
      <c r="GP49" s="992">
        <f t="shared" si="293"/>
        <v>13412.449999999999</v>
      </c>
      <c r="GQ49" s="1772"/>
      <c r="GR49" s="992">
        <f t="shared" si="294"/>
        <v>288233.55049999995</v>
      </c>
      <c r="GS49" s="1759"/>
      <c r="GT49" s="992">
        <f t="shared" si="295"/>
        <v>10900</v>
      </c>
      <c r="GU49" s="1759" t="str">
        <f t="shared" si="296"/>
        <v>m²</v>
      </c>
      <c r="GV49" s="1758">
        <f>VLOOKUP($G49,'Quantidades Padrão'!$E$7:$J$103,GV$8,0)</f>
        <v>1.605</v>
      </c>
      <c r="GW49" s="1772"/>
      <c r="GX49" s="992">
        <f t="shared" si="297"/>
        <v>17494.5</v>
      </c>
      <c r="GY49" s="1772"/>
      <c r="GZ49" s="992">
        <f t="shared" si="298"/>
        <v>375956.80499999999</v>
      </c>
      <c r="HA49" s="1759"/>
      <c r="HB49" s="992">
        <f t="shared" si="159"/>
        <v>10900</v>
      </c>
      <c r="HC49" s="1759" t="str">
        <f t="shared" si="160"/>
        <v>m²</v>
      </c>
      <c r="HD49" s="1758">
        <f>VLOOKUP($G49,'Quantidades Padrão'!$E$7:$J$103,HD$8,0)</f>
        <v>0.85600000000000009</v>
      </c>
      <c r="HE49" s="1772"/>
      <c r="HF49" s="992">
        <f t="shared" si="222"/>
        <v>9330.4000000000015</v>
      </c>
      <c r="HG49" s="1772"/>
      <c r="HH49" s="992">
        <f t="shared" si="223"/>
        <v>200510.29600000003</v>
      </c>
      <c r="HI49" s="1759"/>
      <c r="HJ49" s="992">
        <f t="shared" si="299"/>
        <v>10900</v>
      </c>
      <c r="HK49" s="1759" t="str">
        <f t="shared" si="300"/>
        <v>m²</v>
      </c>
      <c r="HL49" s="1758">
        <f>VLOOKUP($G49,'Quantidades Padrão'!$E$7:$J$103,HL$8,0)</f>
        <v>1.2304999999999999</v>
      </c>
      <c r="HM49" s="1772"/>
      <c r="HN49" s="992">
        <f t="shared" si="301"/>
        <v>13412.449999999999</v>
      </c>
      <c r="HO49" s="1772"/>
      <c r="HP49" s="992">
        <f t="shared" si="302"/>
        <v>288233.55049999995</v>
      </c>
      <c r="HQ49" s="1759"/>
      <c r="HR49" s="992">
        <f t="shared" si="303"/>
        <v>10900</v>
      </c>
      <c r="HS49" s="1759" t="str">
        <f t="shared" si="304"/>
        <v>m²</v>
      </c>
      <c r="HT49" s="1758">
        <f>VLOOKUP($G49,'Quantidades Padrão'!$E$7:$J$103,HT$8,0)</f>
        <v>1.605</v>
      </c>
      <c r="HU49" s="1772"/>
      <c r="HV49" s="992">
        <f t="shared" si="305"/>
        <v>17494.5</v>
      </c>
      <c r="HW49" s="1772"/>
      <c r="HX49" s="992">
        <f t="shared" si="306"/>
        <v>375956.80499999999</v>
      </c>
      <c r="HY49" s="1759"/>
      <c r="HZ49" s="992">
        <f t="shared" si="307"/>
        <v>10900</v>
      </c>
      <c r="IA49" s="1759" t="str">
        <f t="shared" si="308"/>
        <v>m²</v>
      </c>
      <c r="IB49" s="1758">
        <f>VLOOKUP($G49,'Quantidades Padrão'!$E$7:$J$103,IB$8,0)</f>
        <v>0.85600000000000009</v>
      </c>
      <c r="IC49" s="1772"/>
      <c r="ID49" s="992">
        <f t="shared" si="309"/>
        <v>9330.4000000000015</v>
      </c>
      <c r="IE49" s="1772"/>
      <c r="IF49" s="992">
        <f t="shared" si="310"/>
        <v>200510.29600000003</v>
      </c>
      <c r="IG49" s="1759"/>
      <c r="IH49" s="992">
        <f t="shared" si="311"/>
        <v>10900</v>
      </c>
      <c r="II49" s="1759" t="str">
        <f t="shared" si="312"/>
        <v>m²</v>
      </c>
      <c r="IJ49" s="1758">
        <f>VLOOKUP($G49,'Quantidades Padrão'!$E$7:$J$103,IJ$8,0)</f>
        <v>1.2304999999999999</v>
      </c>
      <c r="IK49" s="1772"/>
      <c r="IL49" s="992">
        <f t="shared" si="313"/>
        <v>13412.449999999999</v>
      </c>
      <c r="IM49" s="1772"/>
      <c r="IN49" s="992">
        <f t="shared" si="314"/>
        <v>288233.55049999995</v>
      </c>
      <c r="IO49" s="1759"/>
    </row>
    <row r="50" spans="1:249" s="341" customFormat="1">
      <c r="A50" s="1753"/>
      <c r="B50" s="1754"/>
      <c r="C50" s="1755"/>
      <c r="D50" s="1013">
        <f>VLOOKUP(E50,'DER MG'!$D$5:$I$150,6,0)</f>
        <v>28.37</v>
      </c>
      <c r="E50" s="1022">
        <v>99003</v>
      </c>
      <c r="F50" s="1756"/>
      <c r="G50" s="1018" t="s">
        <v>444</v>
      </c>
      <c r="H50" s="992">
        <f t="shared" si="117"/>
        <v>3652411.2634349996</v>
      </c>
      <c r="I50" s="992">
        <f>'OAEs e Passarelas Padrão'!E51</f>
        <v>10900</v>
      </c>
      <c r="J50" s="1759" t="s">
        <v>411</v>
      </c>
      <c r="K50" s="1758">
        <f>VLOOKUP($G50,'Quantidades Padrão'!$E$7:$J$103,K$8,0)</f>
        <v>0.28248000000000001</v>
      </c>
      <c r="L50" s="1759" t="s">
        <v>426</v>
      </c>
      <c r="M50" s="992">
        <f t="shared" si="169"/>
        <v>3079.0320000000002</v>
      </c>
      <c r="N50" s="1759" t="s">
        <v>411</v>
      </c>
      <c r="O50" s="992">
        <f t="shared" si="170"/>
        <v>87352.13784000001</v>
      </c>
      <c r="P50" s="1759"/>
      <c r="Q50" s="1760">
        <f t="shared" si="232"/>
        <v>1.4072505910067114E-2</v>
      </c>
      <c r="R50" s="992">
        <f t="shared" si="171"/>
        <v>10900</v>
      </c>
      <c r="S50" s="1759" t="s">
        <v>411</v>
      </c>
      <c r="T50" s="1758">
        <f>VLOOKUP($G50,'Quantidades Padrão'!$E$7:$J$103,T$8,0)</f>
        <v>0.28248000000000001</v>
      </c>
      <c r="U50" s="1759" t="s">
        <v>426</v>
      </c>
      <c r="V50" s="992">
        <f t="shared" si="172"/>
        <v>3079.0320000000002</v>
      </c>
      <c r="W50" s="1759" t="s">
        <v>411</v>
      </c>
      <c r="X50" s="992">
        <f t="shared" si="233"/>
        <v>87352.13784000001</v>
      </c>
      <c r="Y50" s="1759"/>
      <c r="Z50" s="992">
        <f t="shared" si="171"/>
        <v>10900</v>
      </c>
      <c r="AA50" s="1759" t="s">
        <v>411</v>
      </c>
      <c r="AB50" s="1758">
        <f>VLOOKUP($G50,'Quantidades Padrão'!$E$7:$J$103,AB$8,0)</f>
        <v>0.52965000000000007</v>
      </c>
      <c r="AC50" s="1759" t="s">
        <v>426</v>
      </c>
      <c r="AD50" s="992">
        <f t="shared" si="234"/>
        <v>5773.1850000000004</v>
      </c>
      <c r="AE50" s="1759" t="s">
        <v>411</v>
      </c>
      <c r="AF50" s="992">
        <f t="shared" si="235"/>
        <v>163785.25845000002</v>
      </c>
      <c r="AG50" s="1759"/>
      <c r="AH50" s="992">
        <f t="shared" si="171"/>
        <v>10900</v>
      </c>
      <c r="AI50" s="1759" t="s">
        <v>411</v>
      </c>
      <c r="AJ50" s="1758">
        <f>VLOOKUP($G50,'Quantidades Padrão'!$E$7:$J$103,AJ$8,0)</f>
        <v>0.28248000000000001</v>
      </c>
      <c r="AK50" s="1759" t="s">
        <v>426</v>
      </c>
      <c r="AL50" s="992">
        <f t="shared" si="236"/>
        <v>3079.0320000000002</v>
      </c>
      <c r="AM50" s="1759" t="s">
        <v>411</v>
      </c>
      <c r="AN50" s="992">
        <f t="shared" si="237"/>
        <v>87352.13784000001</v>
      </c>
      <c r="AO50" s="1759"/>
      <c r="AP50" s="992">
        <f t="shared" si="175"/>
        <v>10900</v>
      </c>
      <c r="AQ50" s="1759" t="s">
        <v>411</v>
      </c>
      <c r="AR50" s="1758">
        <f>VLOOKUP($G50,'Quantidades Padrão'!$E$7:$J$103,AR$8,0)</f>
        <v>0.28248000000000001</v>
      </c>
      <c r="AS50" s="1759" t="s">
        <v>426</v>
      </c>
      <c r="AT50" s="992">
        <f t="shared" si="238"/>
        <v>3079.0320000000002</v>
      </c>
      <c r="AU50" s="1759" t="s">
        <v>411</v>
      </c>
      <c r="AV50" s="992">
        <f t="shared" si="239"/>
        <v>87352.13784000001</v>
      </c>
      <c r="AW50" s="1759"/>
      <c r="AX50" s="992">
        <f t="shared" si="177"/>
        <v>10900</v>
      </c>
      <c r="AY50" s="1759" t="s">
        <v>411</v>
      </c>
      <c r="AZ50" s="1758">
        <f>VLOOKUP($G50,'Quantidades Padrão'!$E$7:$J$103,AZ$8,0)</f>
        <v>0.40606500000000001</v>
      </c>
      <c r="BA50" s="1759" t="s">
        <v>426</v>
      </c>
      <c r="BB50" s="992">
        <f t="shared" si="178"/>
        <v>4426.1085000000003</v>
      </c>
      <c r="BC50" s="1759" t="s">
        <v>411</v>
      </c>
      <c r="BD50" s="992">
        <f t="shared" si="179"/>
        <v>125568.69814500002</v>
      </c>
      <c r="BE50" s="1759"/>
      <c r="BF50" s="992">
        <f t="shared" si="180"/>
        <v>10900</v>
      </c>
      <c r="BG50" s="1759" t="str">
        <f t="shared" si="240"/>
        <v>m²</v>
      </c>
      <c r="BH50" s="1758">
        <f>VLOOKUP($G50,'Quantidades Padrão'!$E$7:$J$103,BH$8,0)</f>
        <v>0.52965000000000007</v>
      </c>
      <c r="BI50" s="1772"/>
      <c r="BJ50" s="992">
        <f t="shared" si="181"/>
        <v>5773.1850000000004</v>
      </c>
      <c r="BK50" s="1772"/>
      <c r="BL50" s="992">
        <f t="shared" si="182"/>
        <v>163785.25845000002</v>
      </c>
      <c r="BM50" s="1759"/>
      <c r="BN50" s="992">
        <f t="shared" si="183"/>
        <v>10900</v>
      </c>
      <c r="BO50" s="1759" t="s">
        <v>411</v>
      </c>
      <c r="BP50" s="1758">
        <f>VLOOKUP($G50,'Quantidades Padrão'!$E$7:$J$103,BP$8,0)</f>
        <v>0.28248000000000001</v>
      </c>
      <c r="BQ50" s="1772"/>
      <c r="BR50" s="992">
        <f t="shared" si="241"/>
        <v>3079.0320000000002</v>
      </c>
      <c r="BS50" s="1772"/>
      <c r="BT50" s="992">
        <f t="shared" si="242"/>
        <v>87352.13784000001</v>
      </c>
      <c r="BU50" s="1759"/>
      <c r="BV50" s="992">
        <f t="shared" si="186"/>
        <v>10900</v>
      </c>
      <c r="BW50" s="1759" t="s">
        <v>411</v>
      </c>
      <c r="BX50" s="1758">
        <f>VLOOKUP($G50,'Quantidades Padrão'!$E$7:$J$103,BX$8,0)</f>
        <v>0.40606500000000001</v>
      </c>
      <c r="BY50" s="1772"/>
      <c r="BZ50" s="992">
        <f t="shared" si="243"/>
        <v>4426.1085000000003</v>
      </c>
      <c r="CA50" s="1772"/>
      <c r="CB50" s="992">
        <f t="shared" si="244"/>
        <v>125568.69814500002</v>
      </c>
      <c r="CC50" s="1759"/>
      <c r="CD50" s="992">
        <f t="shared" si="189"/>
        <v>10900</v>
      </c>
      <c r="CE50" s="1759" t="s">
        <v>411</v>
      </c>
      <c r="CF50" s="1758">
        <f>VLOOKUP($G50,'Quantidades Padrão'!$E$7:$J$103,CF$8,0)</f>
        <v>0.52965000000000007</v>
      </c>
      <c r="CG50" s="1772"/>
      <c r="CH50" s="992">
        <f t="shared" si="245"/>
        <v>5773.1850000000004</v>
      </c>
      <c r="CI50" s="1772"/>
      <c r="CJ50" s="992">
        <f t="shared" si="246"/>
        <v>163785.25845000002</v>
      </c>
      <c r="CK50" s="1759"/>
      <c r="CL50" s="992">
        <f t="shared" si="247"/>
        <v>10900</v>
      </c>
      <c r="CM50" s="1759" t="str">
        <f t="shared" si="248"/>
        <v>m²</v>
      </c>
      <c r="CN50" s="1758">
        <f>VLOOKUP($G50,'Quantidades Padrão'!$E$7:$J$103,CN$8,0)</f>
        <v>0.28248000000000001</v>
      </c>
      <c r="CO50" s="1772"/>
      <c r="CP50" s="992">
        <f t="shared" si="192"/>
        <v>3079.0320000000002</v>
      </c>
      <c r="CQ50" s="1772"/>
      <c r="CR50" s="992">
        <f t="shared" si="193"/>
        <v>87352.13784000001</v>
      </c>
      <c r="CS50" s="1759"/>
      <c r="CT50" s="992">
        <f t="shared" si="249"/>
        <v>10900</v>
      </c>
      <c r="CU50" s="1759" t="s">
        <v>411</v>
      </c>
      <c r="CV50" s="1758">
        <f>VLOOKUP($G50,'Quantidades Padrão'!$E$7:$J$103,CV$8,0)</f>
        <v>0.40606500000000001</v>
      </c>
      <c r="CW50" s="1772"/>
      <c r="CX50" s="992">
        <f t="shared" si="250"/>
        <v>4426.1085000000003</v>
      </c>
      <c r="CY50" s="1772"/>
      <c r="CZ50" s="992">
        <f t="shared" si="251"/>
        <v>125568.69814500002</v>
      </c>
      <c r="DA50" s="1759"/>
      <c r="DB50" s="992">
        <f t="shared" si="252"/>
        <v>10900</v>
      </c>
      <c r="DC50" s="1759" t="s">
        <v>411</v>
      </c>
      <c r="DD50" s="1758">
        <f>VLOOKUP($G50,'Quantidades Padrão'!$E$7:$J$103,DD$8,0)</f>
        <v>0.52965000000000007</v>
      </c>
      <c r="DE50" s="1772"/>
      <c r="DF50" s="992">
        <f t="shared" si="253"/>
        <v>5773.1850000000004</v>
      </c>
      <c r="DG50" s="1772"/>
      <c r="DH50" s="992">
        <f t="shared" si="254"/>
        <v>163785.25845000002</v>
      </c>
      <c r="DI50" s="1759"/>
      <c r="DJ50" s="992">
        <f t="shared" si="255"/>
        <v>10900</v>
      </c>
      <c r="DK50" s="1759" t="s">
        <v>411</v>
      </c>
      <c r="DL50" s="1758">
        <f>VLOOKUP($G50,'Quantidades Padrão'!$E$7:$J$103,DL$8,0)</f>
        <v>0.28248000000000001</v>
      </c>
      <c r="DM50" s="1772"/>
      <c r="DN50" s="992">
        <f t="shared" si="256"/>
        <v>3079.0320000000002</v>
      </c>
      <c r="DO50" s="1772"/>
      <c r="DP50" s="992">
        <f t="shared" si="257"/>
        <v>87352.13784000001</v>
      </c>
      <c r="DQ50" s="1759"/>
      <c r="DR50" s="992">
        <f t="shared" si="258"/>
        <v>10900</v>
      </c>
      <c r="DS50" s="1759" t="s">
        <v>411</v>
      </c>
      <c r="DT50" s="1758">
        <f>VLOOKUP($G50,'Quantidades Padrão'!$E$7:$J$103,DT$8,0)</f>
        <v>0.40606500000000001</v>
      </c>
      <c r="DU50" s="1772"/>
      <c r="DV50" s="992">
        <f t="shared" si="259"/>
        <v>4426.1085000000003</v>
      </c>
      <c r="DW50" s="1772"/>
      <c r="DX50" s="992">
        <f t="shared" si="260"/>
        <v>125568.69814500002</v>
      </c>
      <c r="DY50" s="1759"/>
      <c r="DZ50" s="992">
        <f t="shared" si="261"/>
        <v>10900</v>
      </c>
      <c r="EA50" s="1759" t="str">
        <f t="shared" si="262"/>
        <v>m²</v>
      </c>
      <c r="EB50" s="1758">
        <f>VLOOKUP($G50,'Quantidades Padrão'!$E$7:$J$103,EB$8,0)</f>
        <v>0.52965000000000007</v>
      </c>
      <c r="EC50" s="1772"/>
      <c r="ED50" s="992">
        <f t="shared" si="263"/>
        <v>5773.1850000000004</v>
      </c>
      <c r="EE50" s="1772"/>
      <c r="EF50" s="992">
        <f t="shared" si="264"/>
        <v>163785.25845000002</v>
      </c>
      <c r="EG50" s="1759"/>
      <c r="EH50" s="992">
        <f t="shared" si="265"/>
        <v>10900</v>
      </c>
      <c r="EI50" s="1759" t="str">
        <f t="shared" si="266"/>
        <v>m²</v>
      </c>
      <c r="EJ50" s="1758">
        <f>VLOOKUP($G50,'Quantidades Padrão'!$E$7:$J$103,EJ$8,0)</f>
        <v>0.28248000000000001</v>
      </c>
      <c r="EK50" s="1772"/>
      <c r="EL50" s="992">
        <f t="shared" si="267"/>
        <v>3079.0320000000002</v>
      </c>
      <c r="EM50" s="1772"/>
      <c r="EN50" s="992">
        <f t="shared" si="268"/>
        <v>87352.13784000001</v>
      </c>
      <c r="EO50" s="1759"/>
      <c r="EP50" s="992">
        <f t="shared" si="269"/>
        <v>10900</v>
      </c>
      <c r="EQ50" s="1759" t="str">
        <f t="shared" si="270"/>
        <v>m²</v>
      </c>
      <c r="ER50" s="1758">
        <f>VLOOKUP($G50,'Quantidades Padrão'!$E$7:$J$103,ER$8,0)</f>
        <v>0.40606500000000001</v>
      </c>
      <c r="ES50" s="1772"/>
      <c r="ET50" s="992">
        <f t="shared" si="206"/>
        <v>4426.1085000000003</v>
      </c>
      <c r="EU50" s="1772"/>
      <c r="EV50" s="992">
        <f t="shared" si="207"/>
        <v>125568.69814500002</v>
      </c>
      <c r="EW50" s="1759"/>
      <c r="EX50" s="992">
        <f t="shared" si="271"/>
        <v>10900</v>
      </c>
      <c r="EY50" s="1759" t="str">
        <f t="shared" si="272"/>
        <v>m²</v>
      </c>
      <c r="EZ50" s="1758">
        <f>VLOOKUP($G50,'Quantidades Padrão'!$E$7:$J$103,EZ$8,0)</f>
        <v>0.52965000000000007</v>
      </c>
      <c r="FA50" s="1772"/>
      <c r="FB50" s="992">
        <f t="shared" si="273"/>
        <v>5773.1850000000004</v>
      </c>
      <c r="FC50" s="1772"/>
      <c r="FD50" s="992">
        <f t="shared" si="274"/>
        <v>163785.25845000002</v>
      </c>
      <c r="FE50" s="1759"/>
      <c r="FF50" s="992">
        <f t="shared" si="275"/>
        <v>10900</v>
      </c>
      <c r="FG50" s="1759" t="str">
        <f t="shared" si="276"/>
        <v>m²</v>
      </c>
      <c r="FH50" s="1758">
        <f>VLOOKUP($G50,'Quantidades Padrão'!$E$7:$J$103,FH$8,0)</f>
        <v>0.28248000000000001</v>
      </c>
      <c r="FI50" s="1772"/>
      <c r="FJ50" s="992">
        <f t="shared" si="277"/>
        <v>3079.0320000000002</v>
      </c>
      <c r="FK50" s="1772"/>
      <c r="FL50" s="992">
        <f t="shared" si="278"/>
        <v>87352.13784000001</v>
      </c>
      <c r="FM50" s="1759"/>
      <c r="FN50" s="992">
        <f t="shared" si="279"/>
        <v>10900</v>
      </c>
      <c r="FO50" s="1759" t="str">
        <f t="shared" si="280"/>
        <v>m²</v>
      </c>
      <c r="FP50" s="1758">
        <f>VLOOKUP($G50,'Quantidades Padrão'!$E$7:$J$103,FP$8,0)</f>
        <v>0.40606500000000001</v>
      </c>
      <c r="FQ50" s="1772"/>
      <c r="FR50" s="992">
        <f t="shared" si="281"/>
        <v>4426.1085000000003</v>
      </c>
      <c r="FS50" s="1772"/>
      <c r="FT50" s="992">
        <f t="shared" si="282"/>
        <v>125568.69814500002</v>
      </c>
      <c r="FU50" s="1759"/>
      <c r="FV50" s="992">
        <f t="shared" si="283"/>
        <v>10900</v>
      </c>
      <c r="FW50" s="1759" t="str">
        <f t="shared" si="284"/>
        <v>m²</v>
      </c>
      <c r="FX50" s="1758">
        <f>VLOOKUP($G50,'Quantidades Padrão'!$E$7:$J$103,FX$8,0)</f>
        <v>0.52965000000000007</v>
      </c>
      <c r="FY50" s="1772"/>
      <c r="FZ50" s="992">
        <f t="shared" si="285"/>
        <v>5773.1850000000004</v>
      </c>
      <c r="GA50" s="1772"/>
      <c r="GB50" s="992">
        <f t="shared" si="286"/>
        <v>163785.25845000002</v>
      </c>
      <c r="GC50" s="1759"/>
      <c r="GD50" s="992">
        <f t="shared" si="287"/>
        <v>10900</v>
      </c>
      <c r="GE50" s="1759" t="str">
        <f t="shared" si="288"/>
        <v>m²</v>
      </c>
      <c r="GF50" s="1758">
        <f>VLOOKUP($G50,'Quantidades Padrão'!$E$7:$J$103,GF$8,0)</f>
        <v>0.28248000000000001</v>
      </c>
      <c r="GG50" s="1772"/>
      <c r="GH50" s="992">
        <f t="shared" si="289"/>
        <v>3079.0320000000002</v>
      </c>
      <c r="GI50" s="1772"/>
      <c r="GJ50" s="992">
        <f t="shared" si="290"/>
        <v>87352.13784000001</v>
      </c>
      <c r="GK50" s="1759"/>
      <c r="GL50" s="992">
        <f t="shared" si="291"/>
        <v>10900</v>
      </c>
      <c r="GM50" s="1759" t="str">
        <f t="shared" si="292"/>
        <v>m²</v>
      </c>
      <c r="GN50" s="1758">
        <f>VLOOKUP($G50,'Quantidades Padrão'!$E$7:$J$103,GN$8,0)</f>
        <v>0.40606500000000001</v>
      </c>
      <c r="GO50" s="1772"/>
      <c r="GP50" s="992">
        <f t="shared" si="293"/>
        <v>4426.1085000000003</v>
      </c>
      <c r="GQ50" s="1772"/>
      <c r="GR50" s="992">
        <f t="shared" si="294"/>
        <v>125568.69814500002</v>
      </c>
      <c r="GS50" s="1759"/>
      <c r="GT50" s="992">
        <f t="shared" si="295"/>
        <v>10900</v>
      </c>
      <c r="GU50" s="1759" t="str">
        <f t="shared" si="296"/>
        <v>m²</v>
      </c>
      <c r="GV50" s="1758">
        <f>VLOOKUP($G50,'Quantidades Padrão'!$E$7:$J$103,GV$8,0)</f>
        <v>0.52965000000000007</v>
      </c>
      <c r="GW50" s="1772"/>
      <c r="GX50" s="992">
        <f t="shared" si="297"/>
        <v>5773.1850000000004</v>
      </c>
      <c r="GY50" s="1772"/>
      <c r="GZ50" s="992">
        <f t="shared" si="298"/>
        <v>163785.25845000002</v>
      </c>
      <c r="HA50" s="1759"/>
      <c r="HB50" s="992">
        <f t="shared" si="159"/>
        <v>10900</v>
      </c>
      <c r="HC50" s="1759" t="str">
        <f t="shared" si="160"/>
        <v>m²</v>
      </c>
      <c r="HD50" s="1758">
        <f>VLOOKUP($G50,'Quantidades Padrão'!$E$7:$J$103,HD$8,0)</f>
        <v>0.28248000000000001</v>
      </c>
      <c r="HE50" s="1772"/>
      <c r="HF50" s="992">
        <f t="shared" si="222"/>
        <v>3079.0320000000002</v>
      </c>
      <c r="HG50" s="1772"/>
      <c r="HH50" s="992">
        <f t="shared" si="223"/>
        <v>87352.13784000001</v>
      </c>
      <c r="HI50" s="1759"/>
      <c r="HJ50" s="992">
        <f t="shared" si="299"/>
        <v>10900</v>
      </c>
      <c r="HK50" s="1759" t="str">
        <f t="shared" si="300"/>
        <v>m²</v>
      </c>
      <c r="HL50" s="1758">
        <f>VLOOKUP($G50,'Quantidades Padrão'!$E$7:$J$103,HL$8,0)</f>
        <v>0.40606500000000001</v>
      </c>
      <c r="HM50" s="1772"/>
      <c r="HN50" s="992">
        <f t="shared" si="301"/>
        <v>4426.1085000000003</v>
      </c>
      <c r="HO50" s="1772"/>
      <c r="HP50" s="992">
        <f t="shared" si="302"/>
        <v>125568.69814500002</v>
      </c>
      <c r="HQ50" s="1759"/>
      <c r="HR50" s="992">
        <f t="shared" si="303"/>
        <v>10900</v>
      </c>
      <c r="HS50" s="1759" t="str">
        <f t="shared" si="304"/>
        <v>m²</v>
      </c>
      <c r="HT50" s="1758">
        <f>VLOOKUP($G50,'Quantidades Padrão'!$E$7:$J$103,HT$8,0)</f>
        <v>0.52965000000000007</v>
      </c>
      <c r="HU50" s="1772"/>
      <c r="HV50" s="992">
        <f t="shared" si="305"/>
        <v>5773.1850000000004</v>
      </c>
      <c r="HW50" s="1772"/>
      <c r="HX50" s="992">
        <f t="shared" si="306"/>
        <v>163785.25845000002</v>
      </c>
      <c r="HY50" s="1759"/>
      <c r="HZ50" s="992">
        <f t="shared" si="307"/>
        <v>10900</v>
      </c>
      <c r="IA50" s="1759" t="str">
        <f t="shared" si="308"/>
        <v>m²</v>
      </c>
      <c r="IB50" s="1758">
        <f>VLOOKUP($G50,'Quantidades Padrão'!$E$7:$J$103,IB$8,0)</f>
        <v>0.28248000000000001</v>
      </c>
      <c r="IC50" s="1772"/>
      <c r="ID50" s="992">
        <f t="shared" si="309"/>
        <v>3079.0320000000002</v>
      </c>
      <c r="IE50" s="1772"/>
      <c r="IF50" s="992">
        <f t="shared" si="310"/>
        <v>87352.13784000001</v>
      </c>
      <c r="IG50" s="1759"/>
      <c r="IH50" s="992">
        <f t="shared" si="311"/>
        <v>10900</v>
      </c>
      <c r="II50" s="1759" t="str">
        <f t="shared" si="312"/>
        <v>m²</v>
      </c>
      <c r="IJ50" s="1758">
        <f>VLOOKUP($G50,'Quantidades Padrão'!$E$7:$J$103,IJ$8,0)</f>
        <v>0.40606500000000001</v>
      </c>
      <c r="IK50" s="1772"/>
      <c r="IL50" s="992">
        <f t="shared" si="313"/>
        <v>4426.1085000000003</v>
      </c>
      <c r="IM50" s="1772"/>
      <c r="IN50" s="992">
        <f t="shared" si="314"/>
        <v>125568.69814500002</v>
      </c>
      <c r="IO50" s="1759"/>
    </row>
    <row r="51" spans="1:249" s="341" customFormat="1">
      <c r="A51" s="1753"/>
      <c r="B51" s="1754"/>
      <c r="C51" s="1755"/>
      <c r="D51" s="1020"/>
      <c r="E51" s="1761"/>
      <c r="F51" s="1762" t="s">
        <v>69</v>
      </c>
      <c r="G51" s="1763" t="s">
        <v>331</v>
      </c>
      <c r="H51" s="994">
        <f>SUBTOTAL(9,H52:H55)</f>
        <v>1641973.7638489497</v>
      </c>
      <c r="I51" s="1774"/>
      <c r="J51" s="1775"/>
      <c r="K51" s="1776"/>
      <c r="L51" s="1775"/>
      <c r="M51" s="1774"/>
      <c r="N51" s="1775"/>
      <c r="O51" s="994">
        <f>SUBTOTAL(9,O52:O55)</f>
        <v>39269.925592799998</v>
      </c>
      <c r="P51" s="1765">
        <f>O51/$H51</f>
        <v>2.3916292974588943E-2</v>
      </c>
      <c r="Q51" s="1766">
        <f t="shared" si="232"/>
        <v>6.3264194060688112E-3</v>
      </c>
      <c r="R51" s="1774"/>
      <c r="S51" s="1775"/>
      <c r="T51" s="1776"/>
      <c r="U51" s="1775"/>
      <c r="V51" s="1774"/>
      <c r="W51" s="1775"/>
      <c r="X51" s="994">
        <f>SUBTOTAL(9,X52:X55)</f>
        <v>39269.925592799998</v>
      </c>
      <c r="Y51" s="1765">
        <f>X51/$H51</f>
        <v>2.3916292974588943E-2</v>
      </c>
      <c r="Z51" s="1774"/>
      <c r="AA51" s="1775"/>
      <c r="AB51" s="1776"/>
      <c r="AC51" s="1775"/>
      <c r="AD51" s="1774"/>
      <c r="AE51" s="1775"/>
      <c r="AF51" s="994">
        <f>SUBTOTAL(9,AF52:AF55)</f>
        <v>73631.110486499994</v>
      </c>
      <c r="AG51" s="1765">
        <f>AF51/$H51</f>
        <v>4.4843049327354265E-2</v>
      </c>
      <c r="AH51" s="1774"/>
      <c r="AI51" s="1775"/>
      <c r="AJ51" s="1776"/>
      <c r="AK51" s="1775"/>
      <c r="AL51" s="1774"/>
      <c r="AM51" s="1775"/>
      <c r="AN51" s="994">
        <f>SUBTOTAL(9,AN52:AN55)</f>
        <v>39269.925592799998</v>
      </c>
      <c r="AO51" s="1765">
        <f>AN51/$H51</f>
        <v>2.3916292974588943E-2</v>
      </c>
      <c r="AP51" s="1774"/>
      <c r="AQ51" s="1775"/>
      <c r="AR51" s="1776"/>
      <c r="AS51" s="1775"/>
      <c r="AT51" s="1774"/>
      <c r="AU51" s="1775"/>
      <c r="AV51" s="994">
        <f>SUBTOTAL(9,AV52:AV55)</f>
        <v>39269.925592799998</v>
      </c>
      <c r="AW51" s="1765">
        <f>AV51/$H51</f>
        <v>2.3916292974588943E-2</v>
      </c>
      <c r="AX51" s="1774"/>
      <c r="AY51" s="1775"/>
      <c r="AZ51" s="1776"/>
      <c r="BA51" s="1775"/>
      <c r="BB51" s="1774"/>
      <c r="BC51" s="1775"/>
      <c r="BD51" s="994">
        <f>SUBTOTAL(9,BD52:BD55)</f>
        <v>56450.518039649985</v>
      </c>
      <c r="BE51" s="1765">
        <f>BD51/$H51</f>
        <v>3.4379671150971597E-2</v>
      </c>
      <c r="BF51" s="1774"/>
      <c r="BG51" s="1775">
        <f t="shared" si="240"/>
        <v>0</v>
      </c>
      <c r="BH51" s="1776"/>
      <c r="BI51" s="1764"/>
      <c r="BJ51" s="1774"/>
      <c r="BK51" s="1764"/>
      <c r="BL51" s="994">
        <f>SUBTOTAL(9,BL52:BL55)</f>
        <v>73631.110486499994</v>
      </c>
      <c r="BM51" s="1765">
        <f>BL51/$H51</f>
        <v>4.4843049327354265E-2</v>
      </c>
      <c r="BN51" s="1774"/>
      <c r="BO51" s="1775">
        <v>0</v>
      </c>
      <c r="BP51" s="1776"/>
      <c r="BQ51" s="1764"/>
      <c r="BR51" s="1774"/>
      <c r="BS51" s="1764"/>
      <c r="BT51" s="994">
        <f>SUBTOTAL(9,BT52:BT55)</f>
        <v>39269.925592799998</v>
      </c>
      <c r="BU51" s="1765">
        <f>BT51/$H51</f>
        <v>2.3916292974588943E-2</v>
      </c>
      <c r="BV51" s="1774"/>
      <c r="BW51" s="1775">
        <v>0</v>
      </c>
      <c r="BX51" s="1776"/>
      <c r="BY51" s="1764"/>
      <c r="BZ51" s="1774"/>
      <c r="CA51" s="1764"/>
      <c r="CB51" s="994">
        <f>SUBTOTAL(9,CB52:CB55)</f>
        <v>56450.518039649985</v>
      </c>
      <c r="CC51" s="1765">
        <f>CB51/$H51</f>
        <v>3.4379671150971597E-2</v>
      </c>
      <c r="CD51" s="1774"/>
      <c r="CE51" s="1775">
        <v>0</v>
      </c>
      <c r="CF51" s="1776"/>
      <c r="CG51" s="1764"/>
      <c r="CH51" s="1774"/>
      <c r="CI51" s="1764"/>
      <c r="CJ51" s="994">
        <f>SUBTOTAL(9,CJ52:CJ55)</f>
        <v>73631.110486499994</v>
      </c>
      <c r="CK51" s="1765">
        <f>CJ51/$H51</f>
        <v>4.4843049327354265E-2</v>
      </c>
      <c r="CL51" s="1774">
        <f t="shared" si="247"/>
        <v>0</v>
      </c>
      <c r="CM51" s="1775">
        <f t="shared" si="248"/>
        <v>0</v>
      </c>
      <c r="CN51" s="1776"/>
      <c r="CO51" s="1764"/>
      <c r="CP51" s="1774"/>
      <c r="CQ51" s="1764"/>
      <c r="CR51" s="994">
        <f>SUBTOTAL(9,CR52:CR55)</f>
        <v>39269.925592799998</v>
      </c>
      <c r="CS51" s="1765">
        <f>CR51/$H51</f>
        <v>2.3916292974588943E-2</v>
      </c>
      <c r="CT51" s="1774">
        <f t="shared" si="249"/>
        <v>0</v>
      </c>
      <c r="CU51" s="1775">
        <v>0</v>
      </c>
      <c r="CV51" s="1776"/>
      <c r="CW51" s="1764"/>
      <c r="CX51" s="1774"/>
      <c r="CY51" s="1764"/>
      <c r="CZ51" s="994">
        <f>SUBTOTAL(9,CZ52:CZ55)</f>
        <v>56450.518039649985</v>
      </c>
      <c r="DA51" s="1765">
        <f>CZ51/$H51</f>
        <v>3.4379671150971597E-2</v>
      </c>
      <c r="DB51" s="1774">
        <f t="shared" si="252"/>
        <v>0</v>
      </c>
      <c r="DC51" s="1775">
        <v>0</v>
      </c>
      <c r="DD51" s="1776"/>
      <c r="DE51" s="1764"/>
      <c r="DF51" s="1774"/>
      <c r="DG51" s="1764"/>
      <c r="DH51" s="994">
        <f>SUBTOTAL(9,DH52:DH55)</f>
        <v>73631.110486499994</v>
      </c>
      <c r="DI51" s="1765">
        <f>DH51/$H51</f>
        <v>4.4843049327354265E-2</v>
      </c>
      <c r="DJ51" s="1774">
        <f t="shared" si="255"/>
        <v>0</v>
      </c>
      <c r="DK51" s="1775">
        <v>0</v>
      </c>
      <c r="DL51" s="1776"/>
      <c r="DM51" s="1764"/>
      <c r="DN51" s="1774"/>
      <c r="DO51" s="1764"/>
      <c r="DP51" s="994">
        <f>SUBTOTAL(9,DP52:DP55)</f>
        <v>39269.925592799998</v>
      </c>
      <c r="DQ51" s="1765">
        <f>DP51/$H51</f>
        <v>2.3916292974588943E-2</v>
      </c>
      <c r="DR51" s="1774">
        <f t="shared" si="258"/>
        <v>0</v>
      </c>
      <c r="DS51" s="1775">
        <v>0</v>
      </c>
      <c r="DT51" s="1776"/>
      <c r="DU51" s="1764"/>
      <c r="DV51" s="1774"/>
      <c r="DW51" s="1764"/>
      <c r="DX51" s="994">
        <f>SUBTOTAL(9,DX52:DX55)</f>
        <v>56450.518039649985</v>
      </c>
      <c r="DY51" s="1765">
        <f>DX51/$H51</f>
        <v>3.4379671150971597E-2</v>
      </c>
      <c r="DZ51" s="1774">
        <f t="shared" si="261"/>
        <v>0</v>
      </c>
      <c r="EA51" s="1775">
        <f t="shared" si="262"/>
        <v>0</v>
      </c>
      <c r="EB51" s="1776"/>
      <c r="EC51" s="1764"/>
      <c r="ED51" s="1774"/>
      <c r="EE51" s="1764"/>
      <c r="EF51" s="994">
        <f>SUBTOTAL(9,EF52:EF55)</f>
        <v>73631.110486499994</v>
      </c>
      <c r="EG51" s="1765">
        <f>EF51/$H51</f>
        <v>4.4843049327354265E-2</v>
      </c>
      <c r="EH51" s="1774">
        <f t="shared" si="265"/>
        <v>0</v>
      </c>
      <c r="EI51" s="1775">
        <f t="shared" si="266"/>
        <v>0</v>
      </c>
      <c r="EJ51" s="1776"/>
      <c r="EK51" s="1764"/>
      <c r="EL51" s="1774"/>
      <c r="EM51" s="1764"/>
      <c r="EN51" s="994">
        <f>SUBTOTAL(9,EN52:EN55)</f>
        <v>39269.925592799998</v>
      </c>
      <c r="EO51" s="1765">
        <f>EN51/$H51</f>
        <v>2.3916292974588943E-2</v>
      </c>
      <c r="EP51" s="1774">
        <f t="shared" si="269"/>
        <v>0</v>
      </c>
      <c r="EQ51" s="1775">
        <f t="shared" si="270"/>
        <v>0</v>
      </c>
      <c r="ER51" s="1776"/>
      <c r="ES51" s="1764"/>
      <c r="ET51" s="1774"/>
      <c r="EU51" s="1764"/>
      <c r="EV51" s="994">
        <f>SUBTOTAL(9,EV52:EV55)</f>
        <v>56450.518039649985</v>
      </c>
      <c r="EW51" s="1765">
        <f>EV51/$H51</f>
        <v>3.4379671150971597E-2</v>
      </c>
      <c r="EX51" s="1774">
        <f t="shared" si="271"/>
        <v>0</v>
      </c>
      <c r="EY51" s="1775">
        <f t="shared" si="272"/>
        <v>0</v>
      </c>
      <c r="EZ51" s="1776"/>
      <c r="FA51" s="1764"/>
      <c r="FB51" s="1774"/>
      <c r="FC51" s="1764"/>
      <c r="FD51" s="994">
        <f>SUBTOTAL(9,FD52:FD55)</f>
        <v>73631.110486499994</v>
      </c>
      <c r="FE51" s="1765">
        <f>FD51/$H51</f>
        <v>4.4843049327354265E-2</v>
      </c>
      <c r="FF51" s="1774">
        <f t="shared" si="275"/>
        <v>0</v>
      </c>
      <c r="FG51" s="1775">
        <f t="shared" si="276"/>
        <v>0</v>
      </c>
      <c r="FH51" s="1776"/>
      <c r="FI51" s="1764"/>
      <c r="FJ51" s="1774"/>
      <c r="FK51" s="1764"/>
      <c r="FL51" s="994">
        <f>SUBTOTAL(9,FL52:FL55)</f>
        <v>39269.925592799998</v>
      </c>
      <c r="FM51" s="1765">
        <f>FL51/$H51</f>
        <v>2.3916292974588943E-2</v>
      </c>
      <c r="FN51" s="1774">
        <f t="shared" si="279"/>
        <v>0</v>
      </c>
      <c r="FO51" s="1775">
        <f t="shared" si="280"/>
        <v>0</v>
      </c>
      <c r="FP51" s="1776"/>
      <c r="FQ51" s="1764"/>
      <c r="FR51" s="1774"/>
      <c r="FS51" s="1764"/>
      <c r="FT51" s="994">
        <f>SUBTOTAL(9,FT52:FT55)</f>
        <v>56450.518039649985</v>
      </c>
      <c r="FU51" s="1765">
        <f>FT51/$H51</f>
        <v>3.4379671150971597E-2</v>
      </c>
      <c r="FV51" s="1774">
        <f t="shared" si="283"/>
        <v>0</v>
      </c>
      <c r="FW51" s="1775">
        <f t="shared" si="284"/>
        <v>0</v>
      </c>
      <c r="FX51" s="1776"/>
      <c r="FY51" s="1764"/>
      <c r="FZ51" s="1774"/>
      <c r="GA51" s="1764"/>
      <c r="GB51" s="994">
        <f>SUBTOTAL(9,GB52:GB55)</f>
        <v>73631.110486499994</v>
      </c>
      <c r="GC51" s="1765">
        <f>GB51/$H51</f>
        <v>4.4843049327354265E-2</v>
      </c>
      <c r="GD51" s="1774">
        <f t="shared" si="287"/>
        <v>0</v>
      </c>
      <c r="GE51" s="1775">
        <f t="shared" si="288"/>
        <v>0</v>
      </c>
      <c r="GF51" s="1776"/>
      <c r="GG51" s="1764"/>
      <c r="GH51" s="1774"/>
      <c r="GI51" s="1764"/>
      <c r="GJ51" s="994">
        <f>SUBTOTAL(9,GJ52:GJ55)</f>
        <v>39269.925592799998</v>
      </c>
      <c r="GK51" s="1765">
        <f>GJ51/$H51</f>
        <v>2.3916292974588943E-2</v>
      </c>
      <c r="GL51" s="1774">
        <f t="shared" si="291"/>
        <v>0</v>
      </c>
      <c r="GM51" s="1775">
        <f t="shared" si="292"/>
        <v>0</v>
      </c>
      <c r="GN51" s="1776"/>
      <c r="GO51" s="1764"/>
      <c r="GP51" s="1774"/>
      <c r="GQ51" s="1764"/>
      <c r="GR51" s="994">
        <f>SUBTOTAL(9,GR52:GR55)</f>
        <v>56450.518039649985</v>
      </c>
      <c r="GS51" s="1765">
        <f>GR51/$H51</f>
        <v>3.4379671150971597E-2</v>
      </c>
      <c r="GT51" s="1774">
        <f t="shared" si="295"/>
        <v>0</v>
      </c>
      <c r="GU51" s="1775">
        <f t="shared" si="296"/>
        <v>0</v>
      </c>
      <c r="GV51" s="1776"/>
      <c r="GW51" s="1764"/>
      <c r="GX51" s="1774"/>
      <c r="GY51" s="1764"/>
      <c r="GZ51" s="994">
        <f>SUBTOTAL(9,GZ52:GZ55)</f>
        <v>73631.110486499994</v>
      </c>
      <c r="HA51" s="1765">
        <f>GZ51/$H51</f>
        <v>4.4843049327354265E-2</v>
      </c>
      <c r="HB51" s="1774">
        <f t="shared" si="159"/>
        <v>0</v>
      </c>
      <c r="HC51" s="1775">
        <f t="shared" si="160"/>
        <v>0</v>
      </c>
      <c r="HD51" s="1776"/>
      <c r="HE51" s="1764"/>
      <c r="HF51" s="1774"/>
      <c r="HG51" s="1764"/>
      <c r="HH51" s="994">
        <f>SUBTOTAL(9,HH52:HH55)</f>
        <v>39269.925592799998</v>
      </c>
      <c r="HI51" s="1765">
        <f>HH51/$H51</f>
        <v>2.3916292974588943E-2</v>
      </c>
      <c r="HJ51" s="1774">
        <f t="shared" si="299"/>
        <v>0</v>
      </c>
      <c r="HK51" s="1775">
        <f t="shared" si="300"/>
        <v>0</v>
      </c>
      <c r="HL51" s="1776"/>
      <c r="HM51" s="1764"/>
      <c r="HN51" s="1774"/>
      <c r="HO51" s="1764"/>
      <c r="HP51" s="994">
        <f>SUBTOTAL(9,HP52:HP55)</f>
        <v>56450.518039649985</v>
      </c>
      <c r="HQ51" s="1765">
        <f>HP51/$H51</f>
        <v>3.4379671150971597E-2</v>
      </c>
      <c r="HR51" s="1774">
        <f t="shared" si="303"/>
        <v>0</v>
      </c>
      <c r="HS51" s="1775">
        <f t="shared" si="304"/>
        <v>0</v>
      </c>
      <c r="HT51" s="1776"/>
      <c r="HU51" s="1764"/>
      <c r="HV51" s="1774"/>
      <c r="HW51" s="1764"/>
      <c r="HX51" s="994">
        <f>SUBTOTAL(9,HX52:HX55)</f>
        <v>73631.110486499994</v>
      </c>
      <c r="HY51" s="1765">
        <f>HX51/$H51</f>
        <v>4.4843049327354265E-2</v>
      </c>
      <c r="HZ51" s="1774">
        <f t="shared" si="307"/>
        <v>0</v>
      </c>
      <c r="IA51" s="1775">
        <f t="shared" si="308"/>
        <v>0</v>
      </c>
      <c r="IB51" s="1776"/>
      <c r="IC51" s="1764"/>
      <c r="ID51" s="1774"/>
      <c r="IE51" s="1764"/>
      <c r="IF51" s="994">
        <f>SUBTOTAL(9,IF52:IF55)</f>
        <v>39269.925592799998</v>
      </c>
      <c r="IG51" s="1765">
        <f>IF51/$H51</f>
        <v>2.3916292974588943E-2</v>
      </c>
      <c r="IH51" s="1774">
        <f t="shared" si="311"/>
        <v>0</v>
      </c>
      <c r="II51" s="1775">
        <f t="shared" si="312"/>
        <v>0</v>
      </c>
      <c r="IJ51" s="1776"/>
      <c r="IK51" s="1764"/>
      <c r="IL51" s="1774"/>
      <c r="IM51" s="1764"/>
      <c r="IN51" s="994">
        <f>SUBTOTAL(9,IN52:IN55)</f>
        <v>56450.518039649985</v>
      </c>
      <c r="IO51" s="1765">
        <f>IN51/$H51</f>
        <v>3.4379671150971597E-2</v>
      </c>
    </row>
    <row r="52" spans="1:249" s="341" customFormat="1" ht="22.5">
      <c r="A52" s="1753"/>
      <c r="B52" s="1754"/>
      <c r="C52" s="1755"/>
      <c r="D52" s="1013">
        <f>VLOOKUP(E52,'DER MG'!$D$5:$I$150,6,0)</f>
        <v>984.14</v>
      </c>
      <c r="E52" s="1017">
        <v>41297</v>
      </c>
      <c r="F52" s="1756"/>
      <c r="G52" s="1018" t="s">
        <v>445</v>
      </c>
      <c r="H52" s="992">
        <f t="shared" si="117"/>
        <v>85065.590046150028</v>
      </c>
      <c r="I52" s="992">
        <f>SUBTOTAL(9,'Drenagem e OAC Padrão'!H65,'Drenagem e OAC Padrão'!H142,'Drenagem e OAC Padrão'!H220)/1000</f>
        <v>1.5</v>
      </c>
      <c r="J52" s="1759" t="s">
        <v>102</v>
      </c>
      <c r="K52" s="1758">
        <f>VLOOKUP($G52,'Quantidades Padrão'!$E$7:$J$103,K$8,0)</f>
        <v>1.3781600000000001</v>
      </c>
      <c r="L52" s="1759" t="s">
        <v>436</v>
      </c>
      <c r="M52" s="992">
        <f>I52*K52</f>
        <v>2.06724</v>
      </c>
      <c r="N52" s="1759" t="s">
        <v>416</v>
      </c>
      <c r="O52" s="992">
        <f>$D52*M52</f>
        <v>2034.4535736</v>
      </c>
      <c r="P52" s="1759"/>
      <c r="Q52" s="1760">
        <f t="shared" si="232"/>
        <v>3.277522525056401E-4</v>
      </c>
      <c r="R52" s="992">
        <f>$I52</f>
        <v>1.5</v>
      </c>
      <c r="S52" s="1759" t="s">
        <v>416</v>
      </c>
      <c r="T52" s="1758">
        <f>VLOOKUP($G52,'Quantidades Padrão'!$E$7:$J$103,T$8,0)</f>
        <v>1.3781600000000001</v>
      </c>
      <c r="U52" s="1759" t="s">
        <v>436</v>
      </c>
      <c r="V52" s="992">
        <f>R52*T52</f>
        <v>2.06724</v>
      </c>
      <c r="W52" s="1759" t="s">
        <v>416</v>
      </c>
      <c r="X52" s="992">
        <f>$D52*V52</f>
        <v>2034.4535736</v>
      </c>
      <c r="Y52" s="1759"/>
      <c r="Z52" s="992">
        <f>$I52</f>
        <v>1.5</v>
      </c>
      <c r="AA52" s="1759" t="s">
        <v>416</v>
      </c>
      <c r="AB52" s="1758">
        <f>VLOOKUP($G52,'Quantidades Padrão'!$E$7:$J$103,AB$8,0)</f>
        <v>2.5840500000000004</v>
      </c>
      <c r="AC52" s="1759" t="s">
        <v>436</v>
      </c>
      <c r="AD52" s="992">
        <f>Z52*AB52</f>
        <v>3.8760750000000006</v>
      </c>
      <c r="AE52" s="1759" t="s">
        <v>416</v>
      </c>
      <c r="AF52" s="992">
        <f>$D52*AD52</f>
        <v>3814.6004505000005</v>
      </c>
      <c r="AG52" s="1759"/>
      <c r="AH52" s="992">
        <f>$I52</f>
        <v>1.5</v>
      </c>
      <c r="AI52" s="1759" t="s">
        <v>416</v>
      </c>
      <c r="AJ52" s="1758">
        <f>VLOOKUP($G52,'Quantidades Padrão'!$E$7:$J$103,AJ$8,0)</f>
        <v>1.3781600000000001</v>
      </c>
      <c r="AK52" s="1759" t="s">
        <v>436</v>
      </c>
      <c r="AL52" s="992">
        <f>AH52*AJ52</f>
        <v>2.06724</v>
      </c>
      <c r="AM52" s="1759" t="s">
        <v>416</v>
      </c>
      <c r="AN52" s="992">
        <f>$D52*AL52</f>
        <v>2034.4535736</v>
      </c>
      <c r="AO52" s="1759"/>
      <c r="AP52" s="992">
        <f>$I52</f>
        <v>1.5</v>
      </c>
      <c r="AQ52" s="1759" t="s">
        <v>416</v>
      </c>
      <c r="AR52" s="1758">
        <f>VLOOKUP($G52,'Quantidades Padrão'!$E$7:$J$103,AR$8,0)</f>
        <v>1.3781600000000001</v>
      </c>
      <c r="AS52" s="1759" t="s">
        <v>436</v>
      </c>
      <c r="AT52" s="992">
        <f>AP52*AR52</f>
        <v>2.06724</v>
      </c>
      <c r="AU52" s="1759" t="s">
        <v>416</v>
      </c>
      <c r="AV52" s="992">
        <f>$D52*AT52</f>
        <v>2034.4535736</v>
      </c>
      <c r="AW52" s="1759"/>
      <c r="AX52" s="992">
        <f>$I52</f>
        <v>1.5</v>
      </c>
      <c r="AY52" s="1759" t="s">
        <v>416</v>
      </c>
      <c r="AZ52" s="1758">
        <f>VLOOKUP($G52,'Quantidades Padrão'!$E$7:$J$103,AZ$8,0)</f>
        <v>1.9811050000000003</v>
      </c>
      <c r="BA52" s="1759" t="s">
        <v>436</v>
      </c>
      <c r="BB52" s="992">
        <f>AX52*AZ52</f>
        <v>2.9716575000000005</v>
      </c>
      <c r="BC52" s="1759" t="s">
        <v>416</v>
      </c>
      <c r="BD52" s="992">
        <f>$D52*BB52</f>
        <v>2924.5270120500004</v>
      </c>
      <c r="BE52" s="1759"/>
      <c r="BF52" s="992">
        <f>$I52</f>
        <v>1.5</v>
      </c>
      <c r="BG52" s="1759" t="str">
        <f t="shared" si="240"/>
        <v>km</v>
      </c>
      <c r="BH52" s="1758">
        <f>VLOOKUP($G52,'Quantidades Padrão'!$E$7:$J$103,BH$8,0)</f>
        <v>2.5840500000000004</v>
      </c>
      <c r="BI52" s="1772"/>
      <c r="BJ52" s="992">
        <f>BF52*BH52</f>
        <v>3.8760750000000006</v>
      </c>
      <c r="BK52" s="1772"/>
      <c r="BL52" s="992">
        <f>$D52*BJ52</f>
        <v>3814.6004505000005</v>
      </c>
      <c r="BM52" s="1759"/>
      <c r="BN52" s="992">
        <f>$I52</f>
        <v>1.5</v>
      </c>
      <c r="BO52" s="1759" t="s">
        <v>102</v>
      </c>
      <c r="BP52" s="1758">
        <f>VLOOKUP($G52,'Quantidades Padrão'!$E$7:$J$103,BP$8,0)</f>
        <v>1.3781600000000001</v>
      </c>
      <c r="BQ52" s="1772"/>
      <c r="BR52" s="992">
        <f>BN52*BP52</f>
        <v>2.06724</v>
      </c>
      <c r="BS52" s="1772"/>
      <c r="BT52" s="992">
        <f>$D52*BR52</f>
        <v>2034.4535736</v>
      </c>
      <c r="BU52" s="1759"/>
      <c r="BV52" s="992">
        <f>$I52</f>
        <v>1.5</v>
      </c>
      <c r="BW52" s="1759" t="s">
        <v>102</v>
      </c>
      <c r="BX52" s="1758">
        <f>VLOOKUP($G52,'Quantidades Padrão'!$E$7:$J$103,BX$8,0)</f>
        <v>1.9811050000000003</v>
      </c>
      <c r="BY52" s="1772"/>
      <c r="BZ52" s="992">
        <f>BV52*BX52</f>
        <v>2.9716575000000005</v>
      </c>
      <c r="CA52" s="1772"/>
      <c r="CB52" s="992">
        <f>$D52*BZ52</f>
        <v>2924.5270120500004</v>
      </c>
      <c r="CC52" s="1759"/>
      <c r="CD52" s="992">
        <f>$I52</f>
        <v>1.5</v>
      </c>
      <c r="CE52" s="1759" t="s">
        <v>102</v>
      </c>
      <c r="CF52" s="1758">
        <f>VLOOKUP($G52,'Quantidades Padrão'!$E$7:$J$103,CF$8,0)</f>
        <v>2.5840500000000004</v>
      </c>
      <c r="CG52" s="1772"/>
      <c r="CH52" s="992">
        <f>CD52*CF52</f>
        <v>3.8760750000000006</v>
      </c>
      <c r="CI52" s="1772"/>
      <c r="CJ52" s="992">
        <f>$D52*CH52</f>
        <v>3814.6004505000005</v>
      </c>
      <c r="CK52" s="1759"/>
      <c r="CL52" s="992">
        <f t="shared" si="247"/>
        <v>1.5</v>
      </c>
      <c r="CM52" s="1759" t="str">
        <f t="shared" si="248"/>
        <v>km</v>
      </c>
      <c r="CN52" s="1758">
        <f>VLOOKUP($G52,'Quantidades Padrão'!$E$7:$J$103,CN$8,0)</f>
        <v>1.3781600000000001</v>
      </c>
      <c r="CO52" s="1772"/>
      <c r="CP52" s="992">
        <f>CL52*CN52</f>
        <v>2.06724</v>
      </c>
      <c r="CQ52" s="1772"/>
      <c r="CR52" s="992">
        <f>$D52*CP52</f>
        <v>2034.4535736</v>
      </c>
      <c r="CS52" s="1759"/>
      <c r="CT52" s="992">
        <f t="shared" si="249"/>
        <v>1.5</v>
      </c>
      <c r="CU52" s="1759" t="s">
        <v>102</v>
      </c>
      <c r="CV52" s="1758">
        <f>VLOOKUP($G52,'Quantidades Padrão'!$E$7:$J$103,CV$8,0)</f>
        <v>1.9811050000000003</v>
      </c>
      <c r="CW52" s="1772"/>
      <c r="CX52" s="992">
        <f>CT52*CV52</f>
        <v>2.9716575000000005</v>
      </c>
      <c r="CY52" s="1772"/>
      <c r="CZ52" s="992">
        <f>$D52*CX52</f>
        <v>2924.5270120500004</v>
      </c>
      <c r="DA52" s="1759"/>
      <c r="DB52" s="992">
        <f t="shared" si="252"/>
        <v>1.5</v>
      </c>
      <c r="DC52" s="1759" t="s">
        <v>102</v>
      </c>
      <c r="DD52" s="1758">
        <f>VLOOKUP($G52,'Quantidades Padrão'!$E$7:$J$103,DD$8,0)</f>
        <v>2.5840500000000004</v>
      </c>
      <c r="DE52" s="1772"/>
      <c r="DF52" s="992">
        <f>DB52*DD52</f>
        <v>3.8760750000000006</v>
      </c>
      <c r="DG52" s="1772"/>
      <c r="DH52" s="992">
        <f>$D52*DF52</f>
        <v>3814.6004505000005</v>
      </c>
      <c r="DI52" s="1759"/>
      <c r="DJ52" s="992">
        <f t="shared" si="255"/>
        <v>1.5</v>
      </c>
      <c r="DK52" s="1759" t="s">
        <v>102</v>
      </c>
      <c r="DL52" s="1758">
        <f>VLOOKUP($G52,'Quantidades Padrão'!$E$7:$J$103,DL$8,0)</f>
        <v>1.3781600000000001</v>
      </c>
      <c r="DM52" s="1772"/>
      <c r="DN52" s="992">
        <f>DJ52*DL52</f>
        <v>2.06724</v>
      </c>
      <c r="DO52" s="1772"/>
      <c r="DP52" s="992">
        <f>$D52*DN52</f>
        <v>2034.4535736</v>
      </c>
      <c r="DQ52" s="1759"/>
      <c r="DR52" s="992">
        <f t="shared" si="258"/>
        <v>1.5</v>
      </c>
      <c r="DS52" s="1759" t="s">
        <v>102</v>
      </c>
      <c r="DT52" s="1758">
        <f>VLOOKUP($G52,'Quantidades Padrão'!$E$7:$J$103,DT$8,0)</f>
        <v>1.9811050000000003</v>
      </c>
      <c r="DU52" s="1772"/>
      <c r="DV52" s="992">
        <f>DR52*DT52</f>
        <v>2.9716575000000005</v>
      </c>
      <c r="DW52" s="1772"/>
      <c r="DX52" s="992">
        <f>$D52*DV52</f>
        <v>2924.5270120500004</v>
      </c>
      <c r="DY52" s="1759"/>
      <c r="DZ52" s="992">
        <f t="shared" si="261"/>
        <v>1.5</v>
      </c>
      <c r="EA52" s="1759" t="str">
        <f t="shared" si="262"/>
        <v>km</v>
      </c>
      <c r="EB52" s="1758">
        <f>VLOOKUP($G52,'Quantidades Padrão'!$E$7:$J$103,EB$8,0)</f>
        <v>2.5840500000000004</v>
      </c>
      <c r="EC52" s="1772"/>
      <c r="ED52" s="992">
        <f>DZ52*EB52</f>
        <v>3.8760750000000006</v>
      </c>
      <c r="EE52" s="1772"/>
      <c r="EF52" s="992">
        <f>$D52*ED52</f>
        <v>3814.6004505000005</v>
      </c>
      <c r="EG52" s="1759"/>
      <c r="EH52" s="992">
        <f t="shared" si="265"/>
        <v>1.5</v>
      </c>
      <c r="EI52" s="1759" t="str">
        <f t="shared" si="266"/>
        <v>km</v>
      </c>
      <c r="EJ52" s="1758">
        <f>VLOOKUP($G52,'Quantidades Padrão'!$E$7:$J$103,EJ$8,0)</f>
        <v>1.3781600000000001</v>
      </c>
      <c r="EK52" s="1772"/>
      <c r="EL52" s="992">
        <f>EH52*EJ52</f>
        <v>2.06724</v>
      </c>
      <c r="EM52" s="1772"/>
      <c r="EN52" s="992">
        <f>$D52*EL52</f>
        <v>2034.4535736</v>
      </c>
      <c r="EO52" s="1759"/>
      <c r="EP52" s="992">
        <f t="shared" si="269"/>
        <v>1.5</v>
      </c>
      <c r="EQ52" s="1759" t="str">
        <f t="shared" si="270"/>
        <v>km</v>
      </c>
      <c r="ER52" s="1758">
        <f>VLOOKUP($G52,'Quantidades Padrão'!$E$7:$J$103,ER$8,0)</f>
        <v>1.9811050000000003</v>
      </c>
      <c r="ES52" s="1772"/>
      <c r="ET52" s="992">
        <f>EP52*ER52</f>
        <v>2.9716575000000005</v>
      </c>
      <c r="EU52" s="1772"/>
      <c r="EV52" s="992">
        <f>$D52*ET52</f>
        <v>2924.5270120500004</v>
      </c>
      <c r="EW52" s="1759"/>
      <c r="EX52" s="992">
        <f t="shared" si="271"/>
        <v>1.5</v>
      </c>
      <c r="EY52" s="1759" t="str">
        <f t="shared" si="272"/>
        <v>km</v>
      </c>
      <c r="EZ52" s="1758">
        <f>VLOOKUP($G52,'Quantidades Padrão'!$E$7:$J$103,EZ$8,0)</f>
        <v>2.5840500000000004</v>
      </c>
      <c r="FA52" s="1772"/>
      <c r="FB52" s="992">
        <f>EX52*EZ52</f>
        <v>3.8760750000000006</v>
      </c>
      <c r="FC52" s="1772"/>
      <c r="FD52" s="992">
        <f>$D52*FB52</f>
        <v>3814.6004505000005</v>
      </c>
      <c r="FE52" s="1759"/>
      <c r="FF52" s="992">
        <f t="shared" si="275"/>
        <v>1.5</v>
      </c>
      <c r="FG52" s="1759" t="str">
        <f t="shared" si="276"/>
        <v>km</v>
      </c>
      <c r="FH52" s="1758">
        <f>VLOOKUP($G52,'Quantidades Padrão'!$E$7:$J$103,FH$8,0)</f>
        <v>1.3781600000000001</v>
      </c>
      <c r="FI52" s="1772"/>
      <c r="FJ52" s="992">
        <f>FF52*FH52</f>
        <v>2.06724</v>
      </c>
      <c r="FK52" s="1772"/>
      <c r="FL52" s="992">
        <f>$D52*FJ52</f>
        <v>2034.4535736</v>
      </c>
      <c r="FM52" s="1759"/>
      <c r="FN52" s="992">
        <f t="shared" si="279"/>
        <v>1.5</v>
      </c>
      <c r="FO52" s="1759" t="str">
        <f t="shared" si="280"/>
        <v>km</v>
      </c>
      <c r="FP52" s="1758">
        <f>VLOOKUP($G52,'Quantidades Padrão'!$E$7:$J$103,FP$8,0)</f>
        <v>1.9811050000000003</v>
      </c>
      <c r="FQ52" s="1772"/>
      <c r="FR52" s="992">
        <f>FN52*FP52</f>
        <v>2.9716575000000005</v>
      </c>
      <c r="FS52" s="1772"/>
      <c r="FT52" s="992">
        <f>$D52*FR52</f>
        <v>2924.5270120500004</v>
      </c>
      <c r="FU52" s="1759"/>
      <c r="FV52" s="992">
        <f t="shared" si="283"/>
        <v>1.5</v>
      </c>
      <c r="FW52" s="1759" t="str">
        <f t="shared" si="284"/>
        <v>km</v>
      </c>
      <c r="FX52" s="1758">
        <f>VLOOKUP($G52,'Quantidades Padrão'!$E$7:$J$103,FX$8,0)</f>
        <v>2.5840500000000004</v>
      </c>
      <c r="FY52" s="1772"/>
      <c r="FZ52" s="992">
        <f>FV52*FX52</f>
        <v>3.8760750000000006</v>
      </c>
      <c r="GA52" s="1772"/>
      <c r="GB52" s="992">
        <f>$D52*FZ52</f>
        <v>3814.6004505000005</v>
      </c>
      <c r="GC52" s="1759"/>
      <c r="GD52" s="992">
        <f t="shared" si="287"/>
        <v>1.5</v>
      </c>
      <c r="GE52" s="1759" t="str">
        <f t="shared" si="288"/>
        <v>km</v>
      </c>
      <c r="GF52" s="1758">
        <f>VLOOKUP($G52,'Quantidades Padrão'!$E$7:$J$103,GF$8,0)</f>
        <v>1.3781600000000001</v>
      </c>
      <c r="GG52" s="1772"/>
      <c r="GH52" s="992">
        <f>GD52*GF52</f>
        <v>2.06724</v>
      </c>
      <c r="GI52" s="1772"/>
      <c r="GJ52" s="992">
        <f>$D52*GH52</f>
        <v>2034.4535736</v>
      </c>
      <c r="GK52" s="1759"/>
      <c r="GL52" s="992">
        <f t="shared" si="291"/>
        <v>1.5</v>
      </c>
      <c r="GM52" s="1759" t="str">
        <f t="shared" si="292"/>
        <v>km</v>
      </c>
      <c r="GN52" s="1758">
        <f>VLOOKUP($G52,'Quantidades Padrão'!$E$7:$J$103,GN$8,0)</f>
        <v>1.9811050000000003</v>
      </c>
      <c r="GO52" s="1772"/>
      <c r="GP52" s="992">
        <f>GL52*GN52</f>
        <v>2.9716575000000005</v>
      </c>
      <c r="GQ52" s="1772"/>
      <c r="GR52" s="992">
        <f>$D52*GP52</f>
        <v>2924.5270120500004</v>
      </c>
      <c r="GS52" s="1759"/>
      <c r="GT52" s="992">
        <f t="shared" si="295"/>
        <v>1.5</v>
      </c>
      <c r="GU52" s="1759" t="str">
        <f t="shared" si="296"/>
        <v>km</v>
      </c>
      <c r="GV52" s="1758">
        <f>VLOOKUP($G52,'Quantidades Padrão'!$E$7:$J$103,GV$8,0)</f>
        <v>2.5840500000000004</v>
      </c>
      <c r="GW52" s="1772"/>
      <c r="GX52" s="992">
        <f>GT52*GV52</f>
        <v>3.8760750000000006</v>
      </c>
      <c r="GY52" s="1772"/>
      <c r="GZ52" s="992">
        <f>$D52*GX52</f>
        <v>3814.6004505000005</v>
      </c>
      <c r="HA52" s="1759"/>
      <c r="HB52" s="992">
        <f t="shared" si="159"/>
        <v>1.5</v>
      </c>
      <c r="HC52" s="1759" t="str">
        <f t="shared" si="160"/>
        <v>km</v>
      </c>
      <c r="HD52" s="1758">
        <f>VLOOKUP($G52,'Quantidades Padrão'!$E$7:$J$103,HD$8,0)</f>
        <v>1.3781600000000001</v>
      </c>
      <c r="HE52" s="1772"/>
      <c r="HF52" s="992">
        <f>HB52*HD52</f>
        <v>2.06724</v>
      </c>
      <c r="HG52" s="1772"/>
      <c r="HH52" s="992">
        <f>$D52*HF52</f>
        <v>2034.4535736</v>
      </c>
      <c r="HI52" s="1759"/>
      <c r="HJ52" s="992">
        <f t="shared" si="299"/>
        <v>1.5</v>
      </c>
      <c r="HK52" s="1759" t="str">
        <f t="shared" si="300"/>
        <v>km</v>
      </c>
      <c r="HL52" s="1758">
        <f>VLOOKUP($G52,'Quantidades Padrão'!$E$7:$J$103,HL$8,0)</f>
        <v>1.9811050000000003</v>
      </c>
      <c r="HM52" s="1772"/>
      <c r="HN52" s="992">
        <f>HJ52*HL52</f>
        <v>2.9716575000000005</v>
      </c>
      <c r="HO52" s="1772"/>
      <c r="HP52" s="992">
        <f>$D52*HN52</f>
        <v>2924.5270120500004</v>
      </c>
      <c r="HQ52" s="1759"/>
      <c r="HR52" s="992">
        <f t="shared" si="303"/>
        <v>1.5</v>
      </c>
      <c r="HS52" s="1759" t="str">
        <f t="shared" si="304"/>
        <v>km</v>
      </c>
      <c r="HT52" s="1758">
        <f>VLOOKUP($G52,'Quantidades Padrão'!$E$7:$J$103,HT$8,0)</f>
        <v>2.5840500000000004</v>
      </c>
      <c r="HU52" s="1772"/>
      <c r="HV52" s="992">
        <f>HR52*HT52</f>
        <v>3.8760750000000006</v>
      </c>
      <c r="HW52" s="1772"/>
      <c r="HX52" s="992">
        <f>$D52*HV52</f>
        <v>3814.6004505000005</v>
      </c>
      <c r="HY52" s="1759"/>
      <c r="HZ52" s="992">
        <f t="shared" si="307"/>
        <v>1.5</v>
      </c>
      <c r="IA52" s="1759" t="str">
        <f t="shared" si="308"/>
        <v>km</v>
      </c>
      <c r="IB52" s="1758">
        <f>VLOOKUP($G52,'Quantidades Padrão'!$E$7:$J$103,IB$8,0)</f>
        <v>1.3781600000000001</v>
      </c>
      <c r="IC52" s="1772"/>
      <c r="ID52" s="992">
        <f>HZ52*IB52</f>
        <v>2.06724</v>
      </c>
      <c r="IE52" s="1772"/>
      <c r="IF52" s="992">
        <f>$D52*ID52</f>
        <v>2034.4535736</v>
      </c>
      <c r="IG52" s="1759"/>
      <c r="IH52" s="992">
        <f t="shared" si="311"/>
        <v>1.5</v>
      </c>
      <c r="II52" s="1759" t="str">
        <f t="shared" si="312"/>
        <v>km</v>
      </c>
      <c r="IJ52" s="1758">
        <f>VLOOKUP($G52,'Quantidades Padrão'!$E$7:$J$103,IJ$8,0)</f>
        <v>1.9811050000000003</v>
      </c>
      <c r="IK52" s="1772"/>
      <c r="IL52" s="992">
        <f>IH52*IJ52</f>
        <v>2.9716575000000005</v>
      </c>
      <c r="IM52" s="1772"/>
      <c r="IN52" s="992">
        <f>$D52*IL52</f>
        <v>2924.5270120500004</v>
      </c>
      <c r="IO52" s="1759"/>
    </row>
    <row r="53" spans="1:249" s="341" customFormat="1">
      <c r="A53" s="1753"/>
      <c r="B53" s="1754"/>
      <c r="C53" s="1755"/>
      <c r="D53" s="1013">
        <f>VLOOKUP(E53,'DER MG'!$D$5:$I$150,6,0)</f>
        <v>1.2</v>
      </c>
      <c r="E53" s="1017">
        <v>4915709</v>
      </c>
      <c r="F53" s="1756"/>
      <c r="G53" s="1018" t="s">
        <v>446</v>
      </c>
      <c r="H53" s="992">
        <f t="shared" si="117"/>
        <v>0</v>
      </c>
      <c r="I53" s="992">
        <f>SUBTOTAL(9,'Drenagem e OAC Padrão'!H66,'Drenagem e OAC Padrão'!H143,'Drenagem e OAC Padrão'!H221)</f>
        <v>0</v>
      </c>
      <c r="J53" s="1759" t="s">
        <v>416</v>
      </c>
      <c r="K53" s="1758">
        <f>VLOOKUP($G53,'Quantidades Padrão'!$E$7:$J$103,K$8,0)</f>
        <v>1.3781600000000001</v>
      </c>
      <c r="L53" s="1759" t="s">
        <v>436</v>
      </c>
      <c r="M53" s="992">
        <f>I53*K53</f>
        <v>0</v>
      </c>
      <c r="N53" s="1759" t="s">
        <v>416</v>
      </c>
      <c r="O53" s="992">
        <f>$D53*M53</f>
        <v>0</v>
      </c>
      <c r="P53" s="1759"/>
      <c r="Q53" s="1760">
        <f t="shared" si="232"/>
        <v>0</v>
      </c>
      <c r="R53" s="992">
        <f>$I53</f>
        <v>0</v>
      </c>
      <c r="S53" s="1759" t="s">
        <v>416</v>
      </c>
      <c r="T53" s="1758">
        <f>VLOOKUP($G53,'Quantidades Padrão'!$E$7:$J$103,T$8,0)</f>
        <v>1.3781600000000001</v>
      </c>
      <c r="U53" s="1759" t="s">
        <v>436</v>
      </c>
      <c r="V53" s="992">
        <f>R53*T53</f>
        <v>0</v>
      </c>
      <c r="W53" s="1759" t="s">
        <v>416</v>
      </c>
      <c r="X53" s="992">
        <f>$D53*V53</f>
        <v>0</v>
      </c>
      <c r="Y53" s="1759"/>
      <c r="Z53" s="992">
        <f>$I53</f>
        <v>0</v>
      </c>
      <c r="AA53" s="1759" t="s">
        <v>416</v>
      </c>
      <c r="AB53" s="1758">
        <f>VLOOKUP($G53,'Quantidades Padrão'!$E$7:$J$103,AB$8,0)</f>
        <v>2.5840500000000004</v>
      </c>
      <c r="AC53" s="1759" t="s">
        <v>436</v>
      </c>
      <c r="AD53" s="992">
        <f>Z53*AB53</f>
        <v>0</v>
      </c>
      <c r="AE53" s="1759" t="s">
        <v>416</v>
      </c>
      <c r="AF53" s="992">
        <f>$D53*AD53</f>
        <v>0</v>
      </c>
      <c r="AG53" s="1759"/>
      <c r="AH53" s="992">
        <f>$I53</f>
        <v>0</v>
      </c>
      <c r="AI53" s="1759" t="s">
        <v>416</v>
      </c>
      <c r="AJ53" s="1758">
        <f>VLOOKUP($G53,'Quantidades Padrão'!$E$7:$J$103,AJ$8,0)</f>
        <v>1.3781600000000001</v>
      </c>
      <c r="AK53" s="1759" t="s">
        <v>436</v>
      </c>
      <c r="AL53" s="992">
        <f>AH53*AJ53</f>
        <v>0</v>
      </c>
      <c r="AM53" s="1759" t="s">
        <v>416</v>
      </c>
      <c r="AN53" s="992">
        <f>$D53*AL53</f>
        <v>0</v>
      </c>
      <c r="AO53" s="1759"/>
      <c r="AP53" s="992">
        <f>$I53</f>
        <v>0</v>
      </c>
      <c r="AQ53" s="1759" t="s">
        <v>416</v>
      </c>
      <c r="AR53" s="1758">
        <f>VLOOKUP($G53,'Quantidades Padrão'!$E$7:$J$103,AR$8,0)</f>
        <v>1.3781600000000001</v>
      </c>
      <c r="AS53" s="1759" t="s">
        <v>436</v>
      </c>
      <c r="AT53" s="992">
        <f>AP53*AR53</f>
        <v>0</v>
      </c>
      <c r="AU53" s="1759" t="s">
        <v>416</v>
      </c>
      <c r="AV53" s="992">
        <f>$D53*AT53</f>
        <v>0</v>
      </c>
      <c r="AW53" s="1759"/>
      <c r="AX53" s="992">
        <f>$I53</f>
        <v>0</v>
      </c>
      <c r="AY53" s="1759" t="s">
        <v>416</v>
      </c>
      <c r="AZ53" s="1758">
        <f>VLOOKUP($G53,'Quantidades Padrão'!$E$7:$J$103,AZ$8,0)</f>
        <v>1.9811050000000003</v>
      </c>
      <c r="BA53" s="1759" t="s">
        <v>436</v>
      </c>
      <c r="BB53" s="992">
        <f>AX53*AZ53</f>
        <v>0</v>
      </c>
      <c r="BC53" s="1759" t="s">
        <v>416</v>
      </c>
      <c r="BD53" s="992">
        <f>$D53*BB53</f>
        <v>0</v>
      </c>
      <c r="BE53" s="1759"/>
      <c r="BF53" s="992">
        <f>$I53</f>
        <v>0</v>
      </c>
      <c r="BG53" s="1759" t="str">
        <f t="shared" si="240"/>
        <v>m</v>
      </c>
      <c r="BH53" s="1758">
        <f>VLOOKUP($G53,'Quantidades Padrão'!$E$7:$J$103,BH$8,0)</f>
        <v>2.5840500000000004</v>
      </c>
      <c r="BI53" s="1772"/>
      <c r="BJ53" s="992">
        <f>BF53*BH53</f>
        <v>0</v>
      </c>
      <c r="BK53" s="1772"/>
      <c r="BL53" s="992">
        <f>$D53*BJ53</f>
        <v>0</v>
      </c>
      <c r="BM53" s="1759"/>
      <c r="BN53" s="992">
        <f>$I53</f>
        <v>0</v>
      </c>
      <c r="BO53" s="1759" t="s">
        <v>416</v>
      </c>
      <c r="BP53" s="1758">
        <f>VLOOKUP($G53,'Quantidades Padrão'!$E$7:$J$103,BP$8,0)</f>
        <v>1.3781600000000001</v>
      </c>
      <c r="BQ53" s="1772"/>
      <c r="BR53" s="992">
        <f>BN53*BP53</f>
        <v>0</v>
      </c>
      <c r="BS53" s="1772"/>
      <c r="BT53" s="992">
        <f>$D53*BR53</f>
        <v>0</v>
      </c>
      <c r="BU53" s="1759"/>
      <c r="BV53" s="992">
        <f>$I53</f>
        <v>0</v>
      </c>
      <c r="BW53" s="1759" t="s">
        <v>416</v>
      </c>
      <c r="BX53" s="1758">
        <f>VLOOKUP($G53,'Quantidades Padrão'!$E$7:$J$103,BX$8,0)</f>
        <v>1.9811050000000003</v>
      </c>
      <c r="BY53" s="1772"/>
      <c r="BZ53" s="992">
        <f>BV53*BX53</f>
        <v>0</v>
      </c>
      <c r="CA53" s="1772"/>
      <c r="CB53" s="992">
        <f>$D53*BZ53</f>
        <v>0</v>
      </c>
      <c r="CC53" s="1759"/>
      <c r="CD53" s="992">
        <f>$I53</f>
        <v>0</v>
      </c>
      <c r="CE53" s="1759" t="s">
        <v>416</v>
      </c>
      <c r="CF53" s="1758">
        <f>VLOOKUP($G53,'Quantidades Padrão'!$E$7:$J$103,CF$8,0)</f>
        <v>2.5840500000000004</v>
      </c>
      <c r="CG53" s="1772"/>
      <c r="CH53" s="992">
        <f>CD53*CF53</f>
        <v>0</v>
      </c>
      <c r="CI53" s="1772"/>
      <c r="CJ53" s="992">
        <f>$D53*CH53</f>
        <v>0</v>
      </c>
      <c r="CK53" s="1759"/>
      <c r="CL53" s="992">
        <f t="shared" si="247"/>
        <v>0</v>
      </c>
      <c r="CM53" s="1759" t="str">
        <f t="shared" si="248"/>
        <v>m</v>
      </c>
      <c r="CN53" s="1758">
        <f>VLOOKUP($G53,'Quantidades Padrão'!$E$7:$J$103,CN$8,0)</f>
        <v>1.3781600000000001</v>
      </c>
      <c r="CO53" s="1772"/>
      <c r="CP53" s="992">
        <f>CL53*CN53</f>
        <v>0</v>
      </c>
      <c r="CQ53" s="1772"/>
      <c r="CR53" s="992">
        <f>$D53*CP53</f>
        <v>0</v>
      </c>
      <c r="CS53" s="1759"/>
      <c r="CT53" s="992">
        <f t="shared" si="249"/>
        <v>0</v>
      </c>
      <c r="CU53" s="1759" t="s">
        <v>416</v>
      </c>
      <c r="CV53" s="1758">
        <f>VLOOKUP($G53,'Quantidades Padrão'!$E$7:$J$103,CV$8,0)</f>
        <v>1.9811050000000003</v>
      </c>
      <c r="CW53" s="1772"/>
      <c r="CX53" s="992">
        <f>CT53*CV53</f>
        <v>0</v>
      </c>
      <c r="CY53" s="1772"/>
      <c r="CZ53" s="992">
        <f>$D53*CX53</f>
        <v>0</v>
      </c>
      <c r="DA53" s="1759"/>
      <c r="DB53" s="992">
        <f t="shared" si="252"/>
        <v>0</v>
      </c>
      <c r="DC53" s="1759" t="s">
        <v>416</v>
      </c>
      <c r="DD53" s="1758">
        <f>VLOOKUP($G53,'Quantidades Padrão'!$E$7:$J$103,DD$8,0)</f>
        <v>2.5840500000000004</v>
      </c>
      <c r="DE53" s="1772"/>
      <c r="DF53" s="992">
        <f>DB53*DD53</f>
        <v>0</v>
      </c>
      <c r="DG53" s="1772"/>
      <c r="DH53" s="992">
        <f>$D53*DF53</f>
        <v>0</v>
      </c>
      <c r="DI53" s="1759"/>
      <c r="DJ53" s="992">
        <f t="shared" si="255"/>
        <v>0</v>
      </c>
      <c r="DK53" s="1759" t="s">
        <v>416</v>
      </c>
      <c r="DL53" s="1758">
        <f>VLOOKUP($G53,'Quantidades Padrão'!$E$7:$J$103,DL$8,0)</f>
        <v>1.3781600000000001</v>
      </c>
      <c r="DM53" s="1772"/>
      <c r="DN53" s="992">
        <f>DJ53*DL53</f>
        <v>0</v>
      </c>
      <c r="DO53" s="1772"/>
      <c r="DP53" s="992">
        <f>$D53*DN53</f>
        <v>0</v>
      </c>
      <c r="DQ53" s="1759"/>
      <c r="DR53" s="992">
        <f t="shared" si="258"/>
        <v>0</v>
      </c>
      <c r="DS53" s="1759" t="s">
        <v>416</v>
      </c>
      <c r="DT53" s="1758">
        <f>VLOOKUP($G53,'Quantidades Padrão'!$E$7:$J$103,DT$8,0)</f>
        <v>1.9811050000000003</v>
      </c>
      <c r="DU53" s="1772"/>
      <c r="DV53" s="992">
        <f>DR53*DT53</f>
        <v>0</v>
      </c>
      <c r="DW53" s="1772"/>
      <c r="DX53" s="992">
        <f>$D53*DV53</f>
        <v>0</v>
      </c>
      <c r="DY53" s="1759"/>
      <c r="DZ53" s="992">
        <f t="shared" si="261"/>
        <v>0</v>
      </c>
      <c r="EA53" s="1759" t="str">
        <f t="shared" si="262"/>
        <v>m</v>
      </c>
      <c r="EB53" s="1758">
        <f>VLOOKUP($G53,'Quantidades Padrão'!$E$7:$J$103,EB$8,0)</f>
        <v>2.5840500000000004</v>
      </c>
      <c r="EC53" s="1772"/>
      <c r="ED53" s="992">
        <f>DZ53*EB53</f>
        <v>0</v>
      </c>
      <c r="EE53" s="1772"/>
      <c r="EF53" s="992">
        <f>$D53*ED53</f>
        <v>0</v>
      </c>
      <c r="EG53" s="1759"/>
      <c r="EH53" s="992">
        <f t="shared" si="265"/>
        <v>0</v>
      </c>
      <c r="EI53" s="1759" t="str">
        <f t="shared" si="266"/>
        <v>m</v>
      </c>
      <c r="EJ53" s="1758">
        <f>VLOOKUP($G53,'Quantidades Padrão'!$E$7:$J$103,EJ$8,0)</f>
        <v>1.3781600000000001</v>
      </c>
      <c r="EK53" s="1772"/>
      <c r="EL53" s="992">
        <f>EH53*EJ53</f>
        <v>0</v>
      </c>
      <c r="EM53" s="1772"/>
      <c r="EN53" s="992">
        <f>$D53*EL53</f>
        <v>0</v>
      </c>
      <c r="EO53" s="1759"/>
      <c r="EP53" s="992">
        <f t="shared" si="269"/>
        <v>0</v>
      </c>
      <c r="EQ53" s="1759" t="str">
        <f t="shared" si="270"/>
        <v>m</v>
      </c>
      <c r="ER53" s="1758">
        <f>VLOOKUP($G53,'Quantidades Padrão'!$E$7:$J$103,ER$8,0)</f>
        <v>1.9811050000000003</v>
      </c>
      <c r="ES53" s="1772"/>
      <c r="ET53" s="992">
        <f>EP53*ER53</f>
        <v>0</v>
      </c>
      <c r="EU53" s="1772"/>
      <c r="EV53" s="992">
        <f>$D53*ET53</f>
        <v>0</v>
      </c>
      <c r="EW53" s="1759"/>
      <c r="EX53" s="992">
        <f t="shared" si="271"/>
        <v>0</v>
      </c>
      <c r="EY53" s="1759" t="str">
        <f t="shared" si="272"/>
        <v>m</v>
      </c>
      <c r="EZ53" s="1758">
        <f>VLOOKUP($G53,'Quantidades Padrão'!$E$7:$J$103,EZ$8,0)</f>
        <v>2.5840500000000004</v>
      </c>
      <c r="FA53" s="1772"/>
      <c r="FB53" s="992">
        <f>EX53*EZ53</f>
        <v>0</v>
      </c>
      <c r="FC53" s="1772"/>
      <c r="FD53" s="992">
        <f>$D53*FB53</f>
        <v>0</v>
      </c>
      <c r="FE53" s="1759"/>
      <c r="FF53" s="992">
        <f t="shared" si="275"/>
        <v>0</v>
      </c>
      <c r="FG53" s="1759" t="str">
        <f t="shared" si="276"/>
        <v>m</v>
      </c>
      <c r="FH53" s="1758">
        <f>VLOOKUP($G53,'Quantidades Padrão'!$E$7:$J$103,FH$8,0)</f>
        <v>1.3781600000000001</v>
      </c>
      <c r="FI53" s="1772"/>
      <c r="FJ53" s="992">
        <f>FF53*FH53</f>
        <v>0</v>
      </c>
      <c r="FK53" s="1772"/>
      <c r="FL53" s="992">
        <f>$D53*FJ53</f>
        <v>0</v>
      </c>
      <c r="FM53" s="1759"/>
      <c r="FN53" s="992">
        <f t="shared" si="279"/>
        <v>0</v>
      </c>
      <c r="FO53" s="1759" t="str">
        <f t="shared" si="280"/>
        <v>m</v>
      </c>
      <c r="FP53" s="1758">
        <f>VLOOKUP($G53,'Quantidades Padrão'!$E$7:$J$103,FP$8,0)</f>
        <v>1.9811050000000003</v>
      </c>
      <c r="FQ53" s="1772"/>
      <c r="FR53" s="992">
        <f>FN53*FP53</f>
        <v>0</v>
      </c>
      <c r="FS53" s="1772"/>
      <c r="FT53" s="992">
        <f>$D53*FR53</f>
        <v>0</v>
      </c>
      <c r="FU53" s="1759"/>
      <c r="FV53" s="992">
        <f t="shared" si="283"/>
        <v>0</v>
      </c>
      <c r="FW53" s="1759" t="str">
        <f t="shared" si="284"/>
        <v>m</v>
      </c>
      <c r="FX53" s="1758">
        <f>VLOOKUP($G53,'Quantidades Padrão'!$E$7:$J$103,FX$8,0)</f>
        <v>2.5840500000000004</v>
      </c>
      <c r="FY53" s="1772"/>
      <c r="FZ53" s="992">
        <f>FV53*FX53</f>
        <v>0</v>
      </c>
      <c r="GA53" s="1772"/>
      <c r="GB53" s="992">
        <f>$D53*FZ53</f>
        <v>0</v>
      </c>
      <c r="GC53" s="1759"/>
      <c r="GD53" s="992">
        <f t="shared" si="287"/>
        <v>0</v>
      </c>
      <c r="GE53" s="1759" t="str">
        <f t="shared" si="288"/>
        <v>m</v>
      </c>
      <c r="GF53" s="1758">
        <f>VLOOKUP($G53,'Quantidades Padrão'!$E$7:$J$103,GF$8,0)</f>
        <v>1.3781600000000001</v>
      </c>
      <c r="GG53" s="1772"/>
      <c r="GH53" s="992">
        <f>GD53*GF53</f>
        <v>0</v>
      </c>
      <c r="GI53" s="1772"/>
      <c r="GJ53" s="992">
        <f>$D53*GH53</f>
        <v>0</v>
      </c>
      <c r="GK53" s="1759"/>
      <c r="GL53" s="992">
        <f t="shared" si="291"/>
        <v>0</v>
      </c>
      <c r="GM53" s="1759" t="str">
        <f t="shared" si="292"/>
        <v>m</v>
      </c>
      <c r="GN53" s="1758">
        <f>VLOOKUP($G53,'Quantidades Padrão'!$E$7:$J$103,GN$8,0)</f>
        <v>1.9811050000000003</v>
      </c>
      <c r="GO53" s="1772"/>
      <c r="GP53" s="992">
        <f>GL53*GN53</f>
        <v>0</v>
      </c>
      <c r="GQ53" s="1772"/>
      <c r="GR53" s="992">
        <f>$D53*GP53</f>
        <v>0</v>
      </c>
      <c r="GS53" s="1759"/>
      <c r="GT53" s="992">
        <f t="shared" si="295"/>
        <v>0</v>
      </c>
      <c r="GU53" s="1759" t="str">
        <f t="shared" si="296"/>
        <v>m</v>
      </c>
      <c r="GV53" s="1758">
        <f>VLOOKUP($G53,'Quantidades Padrão'!$E$7:$J$103,GV$8,0)</f>
        <v>2.5840500000000004</v>
      </c>
      <c r="GW53" s="1772"/>
      <c r="GX53" s="992">
        <f>GT53*GV53</f>
        <v>0</v>
      </c>
      <c r="GY53" s="1772"/>
      <c r="GZ53" s="992">
        <f>$D53*GX53</f>
        <v>0</v>
      </c>
      <c r="HA53" s="1759"/>
      <c r="HB53" s="992">
        <f t="shared" si="159"/>
        <v>0</v>
      </c>
      <c r="HC53" s="1759" t="str">
        <f t="shared" si="160"/>
        <v>m</v>
      </c>
      <c r="HD53" s="1758">
        <f>VLOOKUP($G53,'Quantidades Padrão'!$E$7:$J$103,HD$8,0)</f>
        <v>1.3781600000000001</v>
      </c>
      <c r="HE53" s="1772"/>
      <c r="HF53" s="992">
        <f>HB53*HD53</f>
        <v>0</v>
      </c>
      <c r="HG53" s="1772"/>
      <c r="HH53" s="992">
        <f>$D53*HF53</f>
        <v>0</v>
      </c>
      <c r="HI53" s="1759"/>
      <c r="HJ53" s="992">
        <f t="shared" si="299"/>
        <v>0</v>
      </c>
      <c r="HK53" s="1759" t="str">
        <f t="shared" si="300"/>
        <v>m</v>
      </c>
      <c r="HL53" s="1758">
        <f>VLOOKUP($G53,'Quantidades Padrão'!$E$7:$J$103,HL$8,0)</f>
        <v>1.9811050000000003</v>
      </c>
      <c r="HM53" s="1772"/>
      <c r="HN53" s="992">
        <f>HJ53*HL53</f>
        <v>0</v>
      </c>
      <c r="HO53" s="1772"/>
      <c r="HP53" s="992">
        <f>$D53*HN53</f>
        <v>0</v>
      </c>
      <c r="HQ53" s="1759"/>
      <c r="HR53" s="992">
        <f t="shared" si="303"/>
        <v>0</v>
      </c>
      <c r="HS53" s="1759" t="str">
        <f t="shared" si="304"/>
        <v>m</v>
      </c>
      <c r="HT53" s="1758">
        <f>VLOOKUP($G53,'Quantidades Padrão'!$E$7:$J$103,HT$8,0)</f>
        <v>2.5840500000000004</v>
      </c>
      <c r="HU53" s="1772"/>
      <c r="HV53" s="992">
        <f>HR53*HT53</f>
        <v>0</v>
      </c>
      <c r="HW53" s="1772"/>
      <c r="HX53" s="992">
        <f>$D53*HV53</f>
        <v>0</v>
      </c>
      <c r="HY53" s="1759"/>
      <c r="HZ53" s="992">
        <f t="shared" si="307"/>
        <v>0</v>
      </c>
      <c r="IA53" s="1759" t="str">
        <f t="shared" si="308"/>
        <v>m</v>
      </c>
      <c r="IB53" s="1758">
        <f>VLOOKUP($G53,'Quantidades Padrão'!$E$7:$J$103,IB$8,0)</f>
        <v>1.3781600000000001</v>
      </c>
      <c r="IC53" s="1772"/>
      <c r="ID53" s="992">
        <f>HZ53*IB53</f>
        <v>0</v>
      </c>
      <c r="IE53" s="1772"/>
      <c r="IF53" s="992">
        <f>$D53*ID53</f>
        <v>0</v>
      </c>
      <c r="IG53" s="1759"/>
      <c r="IH53" s="992">
        <f t="shared" si="311"/>
        <v>0</v>
      </c>
      <c r="II53" s="1759" t="str">
        <f t="shared" si="312"/>
        <v>m</v>
      </c>
      <c r="IJ53" s="1758">
        <f>VLOOKUP($G53,'Quantidades Padrão'!$E$7:$J$103,IJ$8,0)</f>
        <v>1.9811050000000003</v>
      </c>
      <c r="IK53" s="1772"/>
      <c r="IL53" s="992">
        <f>IH53*IJ53</f>
        <v>0</v>
      </c>
      <c r="IM53" s="1772"/>
      <c r="IN53" s="992">
        <f>$D53*IL53</f>
        <v>0</v>
      </c>
      <c r="IO53" s="1759"/>
    </row>
    <row r="54" spans="1:249" s="341" customFormat="1">
      <c r="A54" s="1753"/>
      <c r="B54" s="1754"/>
      <c r="C54" s="1755"/>
      <c r="D54" s="1013">
        <f>VLOOKUP(E54,'DER MG'!$D$5:$I$150,6,0)</f>
        <v>51.07</v>
      </c>
      <c r="E54" s="1017">
        <v>42874</v>
      </c>
      <c r="F54" s="1756"/>
      <c r="G54" s="1018" t="s">
        <v>447</v>
      </c>
      <c r="H54" s="992">
        <f t="shared" si="117"/>
        <v>1556908.1738027995</v>
      </c>
      <c r="I54" s="992">
        <f>SUBTOTAL(9,'Drenagem e OAC Padrão'!H67,'Drenagem e OAC Padrão'!H144,'Drenagem e OAC Padrão'!H222)</f>
        <v>468</v>
      </c>
      <c r="J54" s="1759" t="s">
        <v>416</v>
      </c>
      <c r="K54" s="1758">
        <f>VLOOKUP($G54,'Quantidades Padrão'!$E$7:$J$103,K$8,0)</f>
        <v>1.5579199999999997</v>
      </c>
      <c r="L54" s="1759" t="s">
        <v>436</v>
      </c>
      <c r="M54" s="992">
        <f>I54*K54</f>
        <v>729.10655999999983</v>
      </c>
      <c r="N54" s="1759" t="s">
        <v>416</v>
      </c>
      <c r="O54" s="992">
        <f>$D54*M54</f>
        <v>37235.472019199995</v>
      </c>
      <c r="P54" s="1759"/>
      <c r="Q54" s="1760">
        <f t="shared" si="232"/>
        <v>5.9986671535631709E-3</v>
      </c>
      <c r="R54" s="992">
        <f>$I54</f>
        <v>468</v>
      </c>
      <c r="S54" s="1759" t="s">
        <v>416</v>
      </c>
      <c r="T54" s="1758">
        <f>VLOOKUP($G54,'Quantidades Padrão'!$E$7:$J$103,T$8,0)</f>
        <v>1.5579199999999997</v>
      </c>
      <c r="U54" s="1759" t="s">
        <v>436</v>
      </c>
      <c r="V54" s="992">
        <f>R54*T54</f>
        <v>729.10655999999983</v>
      </c>
      <c r="W54" s="1759" t="s">
        <v>416</v>
      </c>
      <c r="X54" s="992">
        <f>$D54*V54</f>
        <v>37235.472019199995</v>
      </c>
      <c r="Y54" s="1759"/>
      <c r="Z54" s="992">
        <f>$I54</f>
        <v>468</v>
      </c>
      <c r="AA54" s="1759" t="s">
        <v>416</v>
      </c>
      <c r="AB54" s="1758">
        <f>VLOOKUP($G54,'Quantidades Padrão'!$E$7:$J$103,AB$8,0)</f>
        <v>2.9210999999999996</v>
      </c>
      <c r="AC54" s="1759" t="s">
        <v>436</v>
      </c>
      <c r="AD54" s="992">
        <f>Z54*AB54</f>
        <v>1367.0747999999999</v>
      </c>
      <c r="AE54" s="1759" t="s">
        <v>416</v>
      </c>
      <c r="AF54" s="992">
        <f>$D54*AD54</f>
        <v>69816.510035999992</v>
      </c>
      <c r="AG54" s="1759"/>
      <c r="AH54" s="992">
        <f>$I54</f>
        <v>468</v>
      </c>
      <c r="AI54" s="1759" t="s">
        <v>416</v>
      </c>
      <c r="AJ54" s="1758">
        <f>VLOOKUP($G54,'Quantidades Padrão'!$E$7:$J$103,AJ$8,0)</f>
        <v>1.5579199999999997</v>
      </c>
      <c r="AK54" s="1759" t="s">
        <v>436</v>
      </c>
      <c r="AL54" s="992">
        <f>AH54*AJ54</f>
        <v>729.10655999999983</v>
      </c>
      <c r="AM54" s="1759" t="s">
        <v>416</v>
      </c>
      <c r="AN54" s="992">
        <f>$D54*AL54</f>
        <v>37235.472019199995</v>
      </c>
      <c r="AO54" s="1759"/>
      <c r="AP54" s="992">
        <f>$I54</f>
        <v>468</v>
      </c>
      <c r="AQ54" s="1759" t="s">
        <v>416</v>
      </c>
      <c r="AR54" s="1758">
        <f>VLOOKUP($G54,'Quantidades Padrão'!$E$7:$J$103,AR$8,0)</f>
        <v>1.5579199999999997</v>
      </c>
      <c r="AS54" s="1759" t="s">
        <v>436</v>
      </c>
      <c r="AT54" s="992">
        <f>AP54*AR54</f>
        <v>729.10655999999983</v>
      </c>
      <c r="AU54" s="1759" t="s">
        <v>416</v>
      </c>
      <c r="AV54" s="992">
        <f>$D54*AT54</f>
        <v>37235.472019199995</v>
      </c>
      <c r="AW54" s="1759"/>
      <c r="AX54" s="992">
        <f>$I54</f>
        <v>468</v>
      </c>
      <c r="AY54" s="1759" t="s">
        <v>416</v>
      </c>
      <c r="AZ54" s="1758">
        <f>VLOOKUP($G54,'Quantidades Padrão'!$E$7:$J$103,AZ$8,0)</f>
        <v>2.2395099999999997</v>
      </c>
      <c r="BA54" s="1759" t="s">
        <v>436</v>
      </c>
      <c r="BB54" s="992">
        <f>AX54*AZ54</f>
        <v>1048.0906799999998</v>
      </c>
      <c r="BC54" s="1759" t="s">
        <v>416</v>
      </c>
      <c r="BD54" s="992">
        <f>$D54*BB54</f>
        <v>53525.991027599986</v>
      </c>
      <c r="BE54" s="1759"/>
      <c r="BF54" s="992">
        <f>$I54</f>
        <v>468</v>
      </c>
      <c r="BG54" s="1759" t="str">
        <f t="shared" si="240"/>
        <v>m</v>
      </c>
      <c r="BH54" s="1758">
        <f>VLOOKUP($G54,'Quantidades Padrão'!$E$7:$J$103,BH$8,0)</f>
        <v>2.9210999999999996</v>
      </c>
      <c r="BI54" s="1772"/>
      <c r="BJ54" s="992">
        <f>BF54*BH54</f>
        <v>1367.0747999999999</v>
      </c>
      <c r="BK54" s="1772"/>
      <c r="BL54" s="992">
        <f>$D54*BJ54</f>
        <v>69816.510035999992</v>
      </c>
      <c r="BM54" s="1759"/>
      <c r="BN54" s="992">
        <f>$I54</f>
        <v>468</v>
      </c>
      <c r="BO54" s="1759" t="s">
        <v>416</v>
      </c>
      <c r="BP54" s="1758">
        <f>VLOOKUP($G54,'Quantidades Padrão'!$E$7:$J$103,BP$8,0)</f>
        <v>1.5579199999999997</v>
      </c>
      <c r="BQ54" s="1772"/>
      <c r="BR54" s="992">
        <f>BN54*BP54</f>
        <v>729.10655999999983</v>
      </c>
      <c r="BS54" s="1772"/>
      <c r="BT54" s="992">
        <f>$D54*BR54</f>
        <v>37235.472019199995</v>
      </c>
      <c r="BU54" s="1759"/>
      <c r="BV54" s="992">
        <f>$I54</f>
        <v>468</v>
      </c>
      <c r="BW54" s="1759" t="s">
        <v>416</v>
      </c>
      <c r="BX54" s="1758">
        <f>VLOOKUP($G54,'Quantidades Padrão'!$E$7:$J$103,BX$8,0)</f>
        <v>2.2395099999999997</v>
      </c>
      <c r="BY54" s="1772"/>
      <c r="BZ54" s="992">
        <f>BV54*BX54</f>
        <v>1048.0906799999998</v>
      </c>
      <c r="CA54" s="1772"/>
      <c r="CB54" s="992">
        <f>$D54*BZ54</f>
        <v>53525.991027599986</v>
      </c>
      <c r="CC54" s="1759"/>
      <c r="CD54" s="992">
        <f>$I54</f>
        <v>468</v>
      </c>
      <c r="CE54" s="1759" t="s">
        <v>416</v>
      </c>
      <c r="CF54" s="1758">
        <f>VLOOKUP($G54,'Quantidades Padrão'!$E$7:$J$103,CF$8,0)</f>
        <v>2.9210999999999996</v>
      </c>
      <c r="CG54" s="1772"/>
      <c r="CH54" s="992">
        <f>CD54*CF54</f>
        <v>1367.0747999999999</v>
      </c>
      <c r="CI54" s="1772"/>
      <c r="CJ54" s="992">
        <f>$D54*CH54</f>
        <v>69816.510035999992</v>
      </c>
      <c r="CK54" s="1759"/>
      <c r="CL54" s="992">
        <f t="shared" si="247"/>
        <v>468</v>
      </c>
      <c r="CM54" s="1759" t="str">
        <f t="shared" si="248"/>
        <v>m</v>
      </c>
      <c r="CN54" s="1758">
        <f>VLOOKUP($G54,'Quantidades Padrão'!$E$7:$J$103,CN$8,0)</f>
        <v>1.5579199999999997</v>
      </c>
      <c r="CO54" s="1772"/>
      <c r="CP54" s="992">
        <f>CL54*CN54</f>
        <v>729.10655999999983</v>
      </c>
      <c r="CQ54" s="1772"/>
      <c r="CR54" s="992">
        <f>$D54*CP54</f>
        <v>37235.472019199995</v>
      </c>
      <c r="CS54" s="1759"/>
      <c r="CT54" s="992">
        <f t="shared" si="249"/>
        <v>468</v>
      </c>
      <c r="CU54" s="1759" t="s">
        <v>416</v>
      </c>
      <c r="CV54" s="1758">
        <f>VLOOKUP($G54,'Quantidades Padrão'!$E$7:$J$103,CV$8,0)</f>
        <v>2.2395099999999997</v>
      </c>
      <c r="CW54" s="1772"/>
      <c r="CX54" s="992">
        <f>CT54*CV54</f>
        <v>1048.0906799999998</v>
      </c>
      <c r="CY54" s="1772"/>
      <c r="CZ54" s="992">
        <f>$D54*CX54</f>
        <v>53525.991027599986</v>
      </c>
      <c r="DA54" s="1759"/>
      <c r="DB54" s="992">
        <f t="shared" si="252"/>
        <v>468</v>
      </c>
      <c r="DC54" s="1759" t="s">
        <v>416</v>
      </c>
      <c r="DD54" s="1758">
        <f>VLOOKUP($G54,'Quantidades Padrão'!$E$7:$J$103,DD$8,0)</f>
        <v>2.9210999999999996</v>
      </c>
      <c r="DE54" s="1772"/>
      <c r="DF54" s="992">
        <f>DB54*DD54</f>
        <v>1367.0747999999999</v>
      </c>
      <c r="DG54" s="1772"/>
      <c r="DH54" s="992">
        <f>$D54*DF54</f>
        <v>69816.510035999992</v>
      </c>
      <c r="DI54" s="1759"/>
      <c r="DJ54" s="992">
        <f t="shared" si="255"/>
        <v>468</v>
      </c>
      <c r="DK54" s="1759" t="s">
        <v>416</v>
      </c>
      <c r="DL54" s="1758">
        <f>VLOOKUP($G54,'Quantidades Padrão'!$E$7:$J$103,DL$8,0)</f>
        <v>1.5579199999999997</v>
      </c>
      <c r="DM54" s="1772"/>
      <c r="DN54" s="992">
        <f>DJ54*DL54</f>
        <v>729.10655999999983</v>
      </c>
      <c r="DO54" s="1772"/>
      <c r="DP54" s="992">
        <f>$D54*DN54</f>
        <v>37235.472019199995</v>
      </c>
      <c r="DQ54" s="1759"/>
      <c r="DR54" s="992">
        <f t="shared" si="258"/>
        <v>468</v>
      </c>
      <c r="DS54" s="1759" t="s">
        <v>416</v>
      </c>
      <c r="DT54" s="1758">
        <f>VLOOKUP($G54,'Quantidades Padrão'!$E$7:$J$103,DT$8,0)</f>
        <v>2.2395099999999997</v>
      </c>
      <c r="DU54" s="1772"/>
      <c r="DV54" s="992">
        <f>DR54*DT54</f>
        <v>1048.0906799999998</v>
      </c>
      <c r="DW54" s="1772"/>
      <c r="DX54" s="992">
        <f>$D54*DV54</f>
        <v>53525.991027599986</v>
      </c>
      <c r="DY54" s="1759"/>
      <c r="DZ54" s="992">
        <f t="shared" si="261"/>
        <v>468</v>
      </c>
      <c r="EA54" s="1759" t="str">
        <f t="shared" si="262"/>
        <v>m</v>
      </c>
      <c r="EB54" s="1758">
        <f>VLOOKUP($G54,'Quantidades Padrão'!$E$7:$J$103,EB$8,0)</f>
        <v>2.9210999999999996</v>
      </c>
      <c r="EC54" s="1772"/>
      <c r="ED54" s="992">
        <f>DZ54*EB54</f>
        <v>1367.0747999999999</v>
      </c>
      <c r="EE54" s="1772"/>
      <c r="EF54" s="992">
        <f>$D54*ED54</f>
        <v>69816.510035999992</v>
      </c>
      <c r="EG54" s="1759"/>
      <c r="EH54" s="992">
        <f t="shared" si="265"/>
        <v>468</v>
      </c>
      <c r="EI54" s="1759" t="str">
        <f t="shared" si="266"/>
        <v>m</v>
      </c>
      <c r="EJ54" s="1758">
        <f>VLOOKUP($G54,'Quantidades Padrão'!$E$7:$J$103,EJ$8,0)</f>
        <v>1.5579199999999997</v>
      </c>
      <c r="EK54" s="1772"/>
      <c r="EL54" s="992">
        <f>EH54*EJ54</f>
        <v>729.10655999999983</v>
      </c>
      <c r="EM54" s="1772"/>
      <c r="EN54" s="992">
        <f>$D54*EL54</f>
        <v>37235.472019199995</v>
      </c>
      <c r="EO54" s="1759"/>
      <c r="EP54" s="992">
        <f t="shared" si="269"/>
        <v>468</v>
      </c>
      <c r="EQ54" s="1759" t="str">
        <f t="shared" si="270"/>
        <v>m</v>
      </c>
      <c r="ER54" s="1758">
        <f>VLOOKUP($G54,'Quantidades Padrão'!$E$7:$J$103,ER$8,0)</f>
        <v>2.2395099999999997</v>
      </c>
      <c r="ES54" s="1772"/>
      <c r="ET54" s="992">
        <f>EP54*ER54</f>
        <v>1048.0906799999998</v>
      </c>
      <c r="EU54" s="1772"/>
      <c r="EV54" s="992">
        <f>$D54*ET54</f>
        <v>53525.991027599986</v>
      </c>
      <c r="EW54" s="1759"/>
      <c r="EX54" s="992">
        <f t="shared" si="271"/>
        <v>468</v>
      </c>
      <c r="EY54" s="1759" t="str">
        <f t="shared" si="272"/>
        <v>m</v>
      </c>
      <c r="EZ54" s="1758">
        <f>VLOOKUP($G54,'Quantidades Padrão'!$E$7:$J$103,EZ$8,0)</f>
        <v>2.9210999999999996</v>
      </c>
      <c r="FA54" s="1772"/>
      <c r="FB54" s="992">
        <f>EX54*EZ54</f>
        <v>1367.0747999999999</v>
      </c>
      <c r="FC54" s="1772"/>
      <c r="FD54" s="992">
        <f>$D54*FB54</f>
        <v>69816.510035999992</v>
      </c>
      <c r="FE54" s="1759"/>
      <c r="FF54" s="992">
        <f t="shared" si="275"/>
        <v>468</v>
      </c>
      <c r="FG54" s="1759" t="str">
        <f t="shared" si="276"/>
        <v>m</v>
      </c>
      <c r="FH54" s="1758">
        <f>VLOOKUP($G54,'Quantidades Padrão'!$E$7:$J$103,FH$8,0)</f>
        <v>1.5579199999999997</v>
      </c>
      <c r="FI54" s="1772"/>
      <c r="FJ54" s="992">
        <f>FF54*FH54</f>
        <v>729.10655999999983</v>
      </c>
      <c r="FK54" s="1772"/>
      <c r="FL54" s="992">
        <f>$D54*FJ54</f>
        <v>37235.472019199995</v>
      </c>
      <c r="FM54" s="1759"/>
      <c r="FN54" s="992">
        <f t="shared" si="279"/>
        <v>468</v>
      </c>
      <c r="FO54" s="1759" t="str">
        <f t="shared" si="280"/>
        <v>m</v>
      </c>
      <c r="FP54" s="1758">
        <f>VLOOKUP($G54,'Quantidades Padrão'!$E$7:$J$103,FP$8,0)</f>
        <v>2.2395099999999997</v>
      </c>
      <c r="FQ54" s="1772"/>
      <c r="FR54" s="992">
        <f>FN54*FP54</f>
        <v>1048.0906799999998</v>
      </c>
      <c r="FS54" s="1772"/>
      <c r="FT54" s="992">
        <f>$D54*FR54</f>
        <v>53525.991027599986</v>
      </c>
      <c r="FU54" s="1759"/>
      <c r="FV54" s="992">
        <f t="shared" si="283"/>
        <v>468</v>
      </c>
      <c r="FW54" s="1759" t="str">
        <f t="shared" si="284"/>
        <v>m</v>
      </c>
      <c r="FX54" s="1758">
        <f>VLOOKUP($G54,'Quantidades Padrão'!$E$7:$J$103,FX$8,0)</f>
        <v>2.9210999999999996</v>
      </c>
      <c r="FY54" s="1772"/>
      <c r="FZ54" s="992">
        <f>FV54*FX54</f>
        <v>1367.0747999999999</v>
      </c>
      <c r="GA54" s="1772"/>
      <c r="GB54" s="992">
        <f>$D54*FZ54</f>
        <v>69816.510035999992</v>
      </c>
      <c r="GC54" s="1759"/>
      <c r="GD54" s="992">
        <f t="shared" si="287"/>
        <v>468</v>
      </c>
      <c r="GE54" s="1759" t="str">
        <f t="shared" si="288"/>
        <v>m</v>
      </c>
      <c r="GF54" s="1758">
        <f>VLOOKUP($G54,'Quantidades Padrão'!$E$7:$J$103,GF$8,0)</f>
        <v>1.5579199999999997</v>
      </c>
      <c r="GG54" s="1772"/>
      <c r="GH54" s="992">
        <f>GD54*GF54</f>
        <v>729.10655999999983</v>
      </c>
      <c r="GI54" s="1772"/>
      <c r="GJ54" s="992">
        <f>$D54*GH54</f>
        <v>37235.472019199995</v>
      </c>
      <c r="GK54" s="1759"/>
      <c r="GL54" s="992">
        <f t="shared" si="291"/>
        <v>468</v>
      </c>
      <c r="GM54" s="1759" t="str">
        <f t="shared" si="292"/>
        <v>m</v>
      </c>
      <c r="GN54" s="1758">
        <f>VLOOKUP($G54,'Quantidades Padrão'!$E$7:$J$103,GN$8,0)</f>
        <v>2.2395099999999997</v>
      </c>
      <c r="GO54" s="1772"/>
      <c r="GP54" s="992">
        <f>GL54*GN54</f>
        <v>1048.0906799999998</v>
      </c>
      <c r="GQ54" s="1772"/>
      <c r="GR54" s="992">
        <f>$D54*GP54</f>
        <v>53525.991027599986</v>
      </c>
      <c r="GS54" s="1759"/>
      <c r="GT54" s="992">
        <f t="shared" si="295"/>
        <v>468</v>
      </c>
      <c r="GU54" s="1759" t="str">
        <f t="shared" si="296"/>
        <v>m</v>
      </c>
      <c r="GV54" s="1758">
        <f>VLOOKUP($G54,'Quantidades Padrão'!$E$7:$J$103,GV$8,0)</f>
        <v>2.9210999999999996</v>
      </c>
      <c r="GW54" s="1772"/>
      <c r="GX54" s="992">
        <f>GT54*GV54</f>
        <v>1367.0747999999999</v>
      </c>
      <c r="GY54" s="1772"/>
      <c r="GZ54" s="992">
        <f>$D54*GX54</f>
        <v>69816.510035999992</v>
      </c>
      <c r="HA54" s="1759"/>
      <c r="HB54" s="992">
        <f t="shared" si="159"/>
        <v>468</v>
      </c>
      <c r="HC54" s="1759" t="str">
        <f t="shared" si="160"/>
        <v>m</v>
      </c>
      <c r="HD54" s="1758">
        <f>VLOOKUP($G54,'Quantidades Padrão'!$E$7:$J$103,HD$8,0)</f>
        <v>1.5579199999999997</v>
      </c>
      <c r="HE54" s="1772"/>
      <c r="HF54" s="992">
        <f>HB54*HD54</f>
        <v>729.10655999999983</v>
      </c>
      <c r="HG54" s="1772"/>
      <c r="HH54" s="992">
        <f>$D54*HF54</f>
        <v>37235.472019199995</v>
      </c>
      <c r="HI54" s="1759"/>
      <c r="HJ54" s="992">
        <f t="shared" si="299"/>
        <v>468</v>
      </c>
      <c r="HK54" s="1759" t="str">
        <f t="shared" si="300"/>
        <v>m</v>
      </c>
      <c r="HL54" s="1758">
        <f>VLOOKUP($G54,'Quantidades Padrão'!$E$7:$J$103,HL$8,0)</f>
        <v>2.2395099999999997</v>
      </c>
      <c r="HM54" s="1772"/>
      <c r="HN54" s="992">
        <f>HJ54*HL54</f>
        <v>1048.0906799999998</v>
      </c>
      <c r="HO54" s="1772"/>
      <c r="HP54" s="992">
        <f>$D54*HN54</f>
        <v>53525.991027599986</v>
      </c>
      <c r="HQ54" s="1759"/>
      <c r="HR54" s="992">
        <f t="shared" si="303"/>
        <v>468</v>
      </c>
      <c r="HS54" s="1759" t="str">
        <f t="shared" si="304"/>
        <v>m</v>
      </c>
      <c r="HT54" s="1758">
        <f>VLOOKUP($G54,'Quantidades Padrão'!$E$7:$J$103,HT$8,0)</f>
        <v>2.9210999999999996</v>
      </c>
      <c r="HU54" s="1772"/>
      <c r="HV54" s="992">
        <f>HR54*HT54</f>
        <v>1367.0747999999999</v>
      </c>
      <c r="HW54" s="1772"/>
      <c r="HX54" s="992">
        <f>$D54*HV54</f>
        <v>69816.510035999992</v>
      </c>
      <c r="HY54" s="1759"/>
      <c r="HZ54" s="992">
        <f t="shared" si="307"/>
        <v>468</v>
      </c>
      <c r="IA54" s="1759" t="str">
        <f t="shared" si="308"/>
        <v>m</v>
      </c>
      <c r="IB54" s="1758">
        <f>VLOOKUP($G54,'Quantidades Padrão'!$E$7:$J$103,IB$8,0)</f>
        <v>1.5579199999999997</v>
      </c>
      <c r="IC54" s="1772"/>
      <c r="ID54" s="992">
        <f>HZ54*IB54</f>
        <v>729.10655999999983</v>
      </c>
      <c r="IE54" s="1772"/>
      <c r="IF54" s="992">
        <f>$D54*ID54</f>
        <v>37235.472019199995</v>
      </c>
      <c r="IG54" s="1759"/>
      <c r="IH54" s="992">
        <f t="shared" si="311"/>
        <v>468</v>
      </c>
      <c r="II54" s="1759" t="str">
        <f t="shared" si="312"/>
        <v>m</v>
      </c>
      <c r="IJ54" s="1758">
        <f>VLOOKUP($G54,'Quantidades Padrão'!$E$7:$J$103,IJ$8,0)</f>
        <v>2.2395099999999997</v>
      </c>
      <c r="IK54" s="1772"/>
      <c r="IL54" s="992">
        <f>IH54*IJ54</f>
        <v>1048.0906799999998</v>
      </c>
      <c r="IM54" s="1772"/>
      <c r="IN54" s="992">
        <f>$D54*IL54</f>
        <v>53525.991027599986</v>
      </c>
      <c r="IO54" s="1759"/>
    </row>
    <row r="55" spans="1:249" s="341" customFormat="1" ht="12.75" hidden="1" customHeight="1">
      <c r="A55" s="1753"/>
      <c r="B55" s="1754"/>
      <c r="C55" s="1755"/>
      <c r="D55" s="1013"/>
      <c r="E55" s="1017"/>
      <c r="F55" s="1756"/>
      <c r="G55" s="1018"/>
      <c r="H55" s="992"/>
      <c r="I55" s="992"/>
      <c r="J55" s="1759"/>
      <c r="K55" s="1758"/>
      <c r="L55" s="1759"/>
      <c r="M55" s="992"/>
      <c r="N55" s="1759"/>
      <c r="O55" s="992"/>
      <c r="P55" s="1759"/>
      <c r="Q55" s="1760"/>
      <c r="R55" s="992"/>
      <c r="S55" s="1759"/>
      <c r="T55" s="1758"/>
      <c r="U55" s="1759"/>
      <c r="V55" s="992"/>
      <c r="W55" s="1759"/>
      <c r="X55" s="992"/>
      <c r="Y55" s="1759"/>
      <c r="Z55" s="992"/>
      <c r="AA55" s="1759"/>
      <c r="AB55" s="1758"/>
      <c r="AC55" s="1759"/>
      <c r="AD55" s="992"/>
      <c r="AE55" s="1759"/>
      <c r="AF55" s="992"/>
      <c r="AG55" s="1759"/>
      <c r="AH55" s="992"/>
      <c r="AI55" s="1759"/>
      <c r="AJ55" s="1758"/>
      <c r="AK55" s="1759"/>
      <c r="AL55" s="992"/>
      <c r="AM55" s="1759"/>
      <c r="AN55" s="992"/>
      <c r="AO55" s="1759"/>
      <c r="AP55" s="992"/>
      <c r="AQ55" s="1759"/>
      <c r="AR55" s="1758"/>
      <c r="AS55" s="1759"/>
      <c r="AT55" s="992"/>
      <c r="AU55" s="1759"/>
      <c r="AV55" s="992"/>
      <c r="AW55" s="1759"/>
      <c r="AX55" s="992"/>
      <c r="AY55" s="1759"/>
      <c r="AZ55" s="1758"/>
      <c r="BA55" s="1759"/>
      <c r="BB55" s="992"/>
      <c r="BC55" s="1759"/>
      <c r="BD55" s="992"/>
      <c r="BE55" s="1759"/>
      <c r="BF55" s="992"/>
      <c r="BG55" s="1759"/>
      <c r="BH55" s="1758"/>
      <c r="BI55" s="1772"/>
      <c r="BJ55" s="992"/>
      <c r="BK55" s="1772"/>
      <c r="BL55" s="992"/>
      <c r="BM55" s="1759"/>
      <c r="BN55" s="992"/>
      <c r="BO55" s="1759"/>
      <c r="BP55" s="1758"/>
      <c r="BQ55" s="1772"/>
      <c r="BR55" s="992"/>
      <c r="BS55" s="1772"/>
      <c r="BT55" s="992"/>
      <c r="BU55" s="1759"/>
      <c r="BV55" s="992"/>
      <c r="BW55" s="1759"/>
      <c r="BX55" s="1758"/>
      <c r="BY55" s="1772"/>
      <c r="BZ55" s="992"/>
      <c r="CA55" s="1772"/>
      <c r="CB55" s="992"/>
      <c r="CC55" s="1759"/>
      <c r="CD55" s="992"/>
      <c r="CE55" s="1759"/>
      <c r="CF55" s="1758"/>
      <c r="CG55" s="1772"/>
      <c r="CH55" s="992"/>
      <c r="CI55" s="1772"/>
      <c r="CJ55" s="992"/>
      <c r="CK55" s="1759"/>
      <c r="CL55" s="992"/>
      <c r="CM55" s="1759"/>
      <c r="CN55" s="1758"/>
      <c r="CO55" s="1772"/>
      <c r="CP55" s="992"/>
      <c r="CQ55" s="1772"/>
      <c r="CR55" s="992"/>
      <c r="CS55" s="1759"/>
      <c r="CT55" s="992"/>
      <c r="CU55" s="1759"/>
      <c r="CV55" s="1758"/>
      <c r="CW55" s="1772"/>
      <c r="CX55" s="992"/>
      <c r="CY55" s="1772"/>
      <c r="CZ55" s="992"/>
      <c r="DA55" s="1759"/>
      <c r="DB55" s="992"/>
      <c r="DC55" s="1759"/>
      <c r="DD55" s="1758"/>
      <c r="DE55" s="1772"/>
      <c r="DF55" s="992"/>
      <c r="DG55" s="1772"/>
      <c r="DH55" s="992"/>
      <c r="DI55" s="1759"/>
      <c r="DJ55" s="992"/>
      <c r="DK55" s="1759"/>
      <c r="DL55" s="1758"/>
      <c r="DM55" s="1772"/>
      <c r="DN55" s="992"/>
      <c r="DO55" s="1772"/>
      <c r="DP55" s="992"/>
      <c r="DQ55" s="1759"/>
      <c r="DR55" s="992"/>
      <c r="DS55" s="1759"/>
      <c r="DT55" s="1758"/>
      <c r="DU55" s="1772"/>
      <c r="DV55" s="992"/>
      <c r="DW55" s="1772"/>
      <c r="DX55" s="992"/>
      <c r="DY55" s="1759"/>
      <c r="DZ55" s="992"/>
      <c r="EA55" s="1759"/>
      <c r="EB55" s="1758"/>
      <c r="EC55" s="1772"/>
      <c r="ED55" s="992"/>
      <c r="EE55" s="1772"/>
      <c r="EF55" s="992"/>
      <c r="EG55" s="1759"/>
      <c r="EH55" s="992"/>
      <c r="EI55" s="1759"/>
      <c r="EJ55" s="1758"/>
      <c r="EK55" s="1772"/>
      <c r="EL55" s="992"/>
      <c r="EM55" s="1772"/>
      <c r="EN55" s="992"/>
      <c r="EO55" s="1759"/>
      <c r="EP55" s="992"/>
      <c r="EQ55" s="1759"/>
      <c r="ER55" s="1758"/>
      <c r="ES55" s="1772"/>
      <c r="ET55" s="992"/>
      <c r="EU55" s="1772"/>
      <c r="EV55" s="992"/>
      <c r="EW55" s="1759"/>
      <c r="EX55" s="992"/>
      <c r="EY55" s="1759"/>
      <c r="EZ55" s="1758"/>
      <c r="FA55" s="1772"/>
      <c r="FB55" s="992"/>
      <c r="FC55" s="1772"/>
      <c r="FD55" s="992"/>
      <c r="FE55" s="1759"/>
      <c r="FF55" s="992"/>
      <c r="FG55" s="1759"/>
      <c r="FH55" s="1758"/>
      <c r="FI55" s="1772"/>
      <c r="FJ55" s="992"/>
      <c r="FK55" s="1772"/>
      <c r="FL55" s="992"/>
      <c r="FM55" s="1759"/>
      <c r="FN55" s="992"/>
      <c r="FO55" s="1759"/>
      <c r="FP55" s="1758"/>
      <c r="FQ55" s="1772"/>
      <c r="FR55" s="992"/>
      <c r="FS55" s="1772"/>
      <c r="FT55" s="992"/>
      <c r="FU55" s="1759"/>
      <c r="FV55" s="992"/>
      <c r="FW55" s="1759"/>
      <c r="FX55" s="1758"/>
      <c r="FY55" s="1772"/>
      <c r="FZ55" s="992"/>
      <c r="GA55" s="1772"/>
      <c r="GB55" s="992"/>
      <c r="GC55" s="1759"/>
      <c r="GD55" s="992"/>
      <c r="GE55" s="1759"/>
      <c r="GF55" s="1758"/>
      <c r="GG55" s="1772"/>
      <c r="GH55" s="992"/>
      <c r="GI55" s="1772"/>
      <c r="GJ55" s="992"/>
      <c r="GK55" s="1759"/>
      <c r="GL55" s="992"/>
      <c r="GM55" s="1759"/>
      <c r="GN55" s="1758"/>
      <c r="GO55" s="1772"/>
      <c r="GP55" s="992"/>
      <c r="GQ55" s="1772"/>
      <c r="GR55" s="992"/>
      <c r="GS55" s="1759"/>
      <c r="GT55" s="992"/>
      <c r="GU55" s="1759"/>
      <c r="GV55" s="1758"/>
      <c r="GW55" s="1772"/>
      <c r="GX55" s="992"/>
      <c r="GY55" s="1772"/>
      <c r="GZ55" s="992"/>
      <c r="HA55" s="1759"/>
      <c r="HB55" s="992"/>
      <c r="HC55" s="1759"/>
      <c r="HD55" s="1758"/>
      <c r="HE55" s="1772"/>
      <c r="HF55" s="992"/>
      <c r="HG55" s="1772"/>
      <c r="HH55" s="992"/>
      <c r="HI55" s="1759"/>
      <c r="HJ55" s="992"/>
      <c r="HK55" s="1759"/>
      <c r="HL55" s="1758"/>
      <c r="HM55" s="1772"/>
      <c r="HN55" s="992"/>
      <c r="HO55" s="1772"/>
      <c r="HP55" s="992"/>
      <c r="HQ55" s="1759"/>
      <c r="HR55" s="992"/>
      <c r="HS55" s="1759"/>
      <c r="HT55" s="1758"/>
      <c r="HU55" s="1772"/>
      <c r="HV55" s="992"/>
      <c r="HW55" s="1772"/>
      <c r="HX55" s="992"/>
      <c r="HY55" s="1759"/>
      <c r="HZ55" s="992"/>
      <c r="IA55" s="1759"/>
      <c r="IB55" s="1758"/>
      <c r="IC55" s="1772"/>
      <c r="ID55" s="992"/>
      <c r="IE55" s="1772"/>
      <c r="IF55" s="992"/>
      <c r="IG55" s="1759"/>
      <c r="IH55" s="992"/>
      <c r="II55" s="1759"/>
      <c r="IJ55" s="1758"/>
      <c r="IK55" s="1772"/>
      <c r="IL55" s="992"/>
      <c r="IM55" s="1772"/>
      <c r="IN55" s="992"/>
      <c r="IO55" s="1759"/>
    </row>
    <row r="56" spans="1:249" s="341" customFormat="1">
      <c r="A56" s="1753"/>
      <c r="B56" s="1754"/>
      <c r="C56" s="1755"/>
      <c r="D56" s="1020"/>
      <c r="E56" s="1761"/>
      <c r="F56" s="1762" t="s">
        <v>70</v>
      </c>
      <c r="G56" s="1763" t="s">
        <v>332</v>
      </c>
      <c r="H56" s="994">
        <f>SUBTOTAL(9,H57:H60)</f>
        <v>3207060.4729950009</v>
      </c>
      <c r="I56" s="1774"/>
      <c r="J56" s="1775"/>
      <c r="K56" s="1776"/>
      <c r="L56" s="1775"/>
      <c r="M56" s="1774"/>
      <c r="N56" s="1775"/>
      <c r="O56" s="994">
        <f>SUBTOTAL(9,O57:O60)</f>
        <v>71358.669792000015</v>
      </c>
      <c r="P56" s="1765">
        <f>O56/$H56</f>
        <v>2.2250490875639701E-2</v>
      </c>
      <c r="Q56" s="1766">
        <f t="shared" ref="Q56:Q63" si="315">O56/O$71</f>
        <v>1.1495944200264438E-2</v>
      </c>
      <c r="R56" s="1774"/>
      <c r="S56" s="1775"/>
      <c r="T56" s="1776"/>
      <c r="U56" s="1775"/>
      <c r="V56" s="1774"/>
      <c r="W56" s="1775"/>
      <c r="X56" s="994">
        <f>SUBTOTAL(9,X57:X60)</f>
        <v>71358.669792000015</v>
      </c>
      <c r="Y56" s="1765">
        <f>X56/$H56</f>
        <v>2.2250490875639701E-2</v>
      </c>
      <c r="Z56" s="1774"/>
      <c r="AA56" s="1775"/>
      <c r="AB56" s="1776"/>
      <c r="AC56" s="1775"/>
      <c r="AD56" s="1774"/>
      <c r="AE56" s="1775"/>
      <c r="AF56" s="994">
        <f>SUBTOTAL(9,AF57:AF60)</f>
        <v>152727.68317500001</v>
      </c>
      <c r="AG56" s="1765">
        <f>AF56/$H56</f>
        <v>4.7622327193715529E-2</v>
      </c>
      <c r="AH56" s="1774"/>
      <c r="AI56" s="1775"/>
      <c r="AJ56" s="1776"/>
      <c r="AK56" s="1775"/>
      <c r="AL56" s="1774"/>
      <c r="AM56" s="1775"/>
      <c r="AN56" s="994">
        <f>SUBTOTAL(9,AN57:AN60)</f>
        <v>71358.669792000015</v>
      </c>
      <c r="AO56" s="1765">
        <f>AN56/$H56</f>
        <v>2.2250490875639701E-2</v>
      </c>
      <c r="AP56" s="1774"/>
      <c r="AQ56" s="1775"/>
      <c r="AR56" s="1776"/>
      <c r="AS56" s="1775"/>
      <c r="AT56" s="1774"/>
      <c r="AU56" s="1775"/>
      <c r="AV56" s="994">
        <f>SUBTOTAL(9,AV57:AV60)</f>
        <v>71358.669792000015</v>
      </c>
      <c r="AW56" s="1765">
        <f>AV56/$H56</f>
        <v>2.2250490875639701E-2</v>
      </c>
      <c r="AX56" s="1774"/>
      <c r="AY56" s="1775"/>
      <c r="AZ56" s="1776"/>
      <c r="BA56" s="1775"/>
      <c r="BB56" s="1774"/>
      <c r="BC56" s="1775"/>
      <c r="BD56" s="994">
        <f>SUBTOTAL(9,BD57:BD60)</f>
        <v>97530.040542000017</v>
      </c>
      <c r="BE56" s="1765">
        <f>BD56/$H56</f>
        <v>3.0411038819894445E-2</v>
      </c>
      <c r="BF56" s="1774"/>
      <c r="BG56" s="1775">
        <f>J56</f>
        <v>0</v>
      </c>
      <c r="BH56" s="1776"/>
      <c r="BI56" s="1764"/>
      <c r="BJ56" s="1774"/>
      <c r="BK56" s="1764"/>
      <c r="BL56" s="994">
        <f>SUBTOTAL(9,BL57:BL60)</f>
        <v>152727.68317500001</v>
      </c>
      <c r="BM56" s="1765">
        <f>BL56/$H56</f>
        <v>4.7622327193715529E-2</v>
      </c>
      <c r="BN56" s="1774"/>
      <c r="BO56" s="1775">
        <v>0</v>
      </c>
      <c r="BP56" s="1776"/>
      <c r="BQ56" s="1764"/>
      <c r="BR56" s="1774"/>
      <c r="BS56" s="1764"/>
      <c r="BT56" s="994">
        <f>SUBTOTAL(9,BT57:BT60)</f>
        <v>71358.669792000015</v>
      </c>
      <c r="BU56" s="1765">
        <f>BT56/$H56</f>
        <v>2.2250490875639701E-2</v>
      </c>
      <c r="BV56" s="1774"/>
      <c r="BW56" s="1775">
        <v>0</v>
      </c>
      <c r="BX56" s="1776"/>
      <c r="BY56" s="1764"/>
      <c r="BZ56" s="1774"/>
      <c r="CA56" s="1764"/>
      <c r="CB56" s="994">
        <f>SUBTOTAL(9,CB57:CB60)</f>
        <v>109834.65579675001</v>
      </c>
      <c r="CC56" s="1765">
        <f>CB56/$H56</f>
        <v>3.4247765741123655E-2</v>
      </c>
      <c r="CD56" s="1774"/>
      <c r="CE56" s="1775">
        <v>0</v>
      </c>
      <c r="CF56" s="1776"/>
      <c r="CG56" s="1764"/>
      <c r="CH56" s="1774"/>
      <c r="CI56" s="1764"/>
      <c r="CJ56" s="994">
        <f>SUBTOTAL(9,CJ57:CJ60)</f>
        <v>152727.68317500001</v>
      </c>
      <c r="CK56" s="1765">
        <f>CJ56/$H56</f>
        <v>4.7622327193715529E-2</v>
      </c>
      <c r="CL56" s="1774">
        <f t="shared" ref="CL56:CM58" si="316">BF56</f>
        <v>0</v>
      </c>
      <c r="CM56" s="1775">
        <f t="shared" si="316"/>
        <v>0</v>
      </c>
      <c r="CN56" s="1776"/>
      <c r="CO56" s="1764"/>
      <c r="CP56" s="1774"/>
      <c r="CQ56" s="1764"/>
      <c r="CR56" s="994">
        <f>SUBTOTAL(9,CR57:CR60)</f>
        <v>71358.669792000015</v>
      </c>
      <c r="CS56" s="1765">
        <f>CR56/$H56</f>
        <v>2.2250490875639701E-2</v>
      </c>
      <c r="CT56" s="1774">
        <f t="shared" ref="CT56:CT58" si="317">BN56</f>
        <v>0</v>
      </c>
      <c r="CU56" s="1775">
        <v>0</v>
      </c>
      <c r="CV56" s="1776"/>
      <c r="CW56" s="1764"/>
      <c r="CX56" s="1774"/>
      <c r="CY56" s="1764"/>
      <c r="CZ56" s="994">
        <f>SUBTOTAL(9,CZ57:CZ60)</f>
        <v>109834.65579675001</v>
      </c>
      <c r="DA56" s="1765">
        <f>CZ56/$H56</f>
        <v>3.4247765741123655E-2</v>
      </c>
      <c r="DB56" s="1774">
        <f t="shared" ref="DB56:DB58" si="318">BV56</f>
        <v>0</v>
      </c>
      <c r="DC56" s="1775">
        <v>0</v>
      </c>
      <c r="DD56" s="1776"/>
      <c r="DE56" s="1764"/>
      <c r="DF56" s="1774"/>
      <c r="DG56" s="1764"/>
      <c r="DH56" s="994">
        <f>SUBTOTAL(9,DH57:DH60)</f>
        <v>152727.68317500001</v>
      </c>
      <c r="DI56" s="1765">
        <f>DH56/$H56</f>
        <v>4.7622327193715529E-2</v>
      </c>
      <c r="DJ56" s="1774">
        <f t="shared" ref="DJ56:DJ58" si="319">CD56</f>
        <v>0</v>
      </c>
      <c r="DK56" s="1775">
        <v>0</v>
      </c>
      <c r="DL56" s="1776"/>
      <c r="DM56" s="1764"/>
      <c r="DN56" s="1774"/>
      <c r="DO56" s="1764"/>
      <c r="DP56" s="994">
        <f>SUBTOTAL(9,DP57:DP60)</f>
        <v>71358.669792000015</v>
      </c>
      <c r="DQ56" s="1765">
        <f>DP56/$H56</f>
        <v>2.2250490875639701E-2</v>
      </c>
      <c r="DR56" s="1774">
        <f t="shared" ref="DR56:DR58" si="320">CL56</f>
        <v>0</v>
      </c>
      <c r="DS56" s="1775">
        <v>0</v>
      </c>
      <c r="DT56" s="1776"/>
      <c r="DU56" s="1764"/>
      <c r="DV56" s="1774"/>
      <c r="DW56" s="1764"/>
      <c r="DX56" s="994">
        <f>SUBTOTAL(9,DX57:DX60)</f>
        <v>109834.65579675001</v>
      </c>
      <c r="DY56" s="1765">
        <f>DX56/$H56</f>
        <v>3.4247765741123655E-2</v>
      </c>
      <c r="DZ56" s="1774">
        <f t="shared" ref="DZ56:EA58" si="321">CT56</f>
        <v>0</v>
      </c>
      <c r="EA56" s="1775">
        <f t="shared" si="321"/>
        <v>0</v>
      </c>
      <c r="EB56" s="1776"/>
      <c r="EC56" s="1764"/>
      <c r="ED56" s="1774"/>
      <c r="EE56" s="1764"/>
      <c r="EF56" s="994">
        <f>SUBTOTAL(9,EF57:EF60)</f>
        <v>152727.68317500001</v>
      </c>
      <c r="EG56" s="1765">
        <f>EF56/$H56</f>
        <v>4.7622327193715529E-2</v>
      </c>
      <c r="EH56" s="1774">
        <f t="shared" ref="EH56:EI58" si="322">DB56</f>
        <v>0</v>
      </c>
      <c r="EI56" s="1775">
        <f t="shared" si="322"/>
        <v>0</v>
      </c>
      <c r="EJ56" s="1776"/>
      <c r="EK56" s="1764"/>
      <c r="EL56" s="1774"/>
      <c r="EM56" s="1764"/>
      <c r="EN56" s="994">
        <f>SUBTOTAL(9,EN57:EN60)</f>
        <v>71358.669792000015</v>
      </c>
      <c r="EO56" s="1765">
        <f>EN56/$H56</f>
        <v>2.2250490875639701E-2</v>
      </c>
      <c r="EP56" s="1774">
        <f t="shared" ref="EP56:EQ58" si="323">CL56</f>
        <v>0</v>
      </c>
      <c r="EQ56" s="1775">
        <f t="shared" si="323"/>
        <v>0</v>
      </c>
      <c r="ER56" s="1776"/>
      <c r="ES56" s="1764"/>
      <c r="ET56" s="1774"/>
      <c r="EU56" s="1764"/>
      <c r="EV56" s="994">
        <f>SUBTOTAL(9,EV57:EV60)</f>
        <v>109834.65579675001</v>
      </c>
      <c r="EW56" s="1765">
        <f>EV56/$H56</f>
        <v>3.4247765741123655E-2</v>
      </c>
      <c r="EX56" s="1774">
        <f t="shared" ref="EX56:EY58" si="324">CT56</f>
        <v>0</v>
      </c>
      <c r="EY56" s="1775">
        <f t="shared" si="324"/>
        <v>0</v>
      </c>
      <c r="EZ56" s="1776"/>
      <c r="FA56" s="1764"/>
      <c r="FB56" s="1774"/>
      <c r="FC56" s="1764"/>
      <c r="FD56" s="994">
        <f>SUBTOTAL(9,FD57:FD60)</f>
        <v>152727.68317500001</v>
      </c>
      <c r="FE56" s="1765">
        <f>FD56/$H56</f>
        <v>4.7622327193715529E-2</v>
      </c>
      <c r="FF56" s="1774">
        <f t="shared" ref="FF56:FG58" si="325">DB56</f>
        <v>0</v>
      </c>
      <c r="FG56" s="1775">
        <f t="shared" si="325"/>
        <v>0</v>
      </c>
      <c r="FH56" s="1776"/>
      <c r="FI56" s="1764"/>
      <c r="FJ56" s="1774"/>
      <c r="FK56" s="1764"/>
      <c r="FL56" s="994">
        <f>SUBTOTAL(9,FL57:FL60)</f>
        <v>71358.669792000015</v>
      </c>
      <c r="FM56" s="1765">
        <f>FL56/$H56</f>
        <v>2.2250490875639701E-2</v>
      </c>
      <c r="FN56" s="1774">
        <f t="shared" ref="FN56:FO58" si="326">DJ56</f>
        <v>0</v>
      </c>
      <c r="FO56" s="1775">
        <f t="shared" si="326"/>
        <v>0</v>
      </c>
      <c r="FP56" s="1776"/>
      <c r="FQ56" s="1764"/>
      <c r="FR56" s="1774"/>
      <c r="FS56" s="1764"/>
      <c r="FT56" s="994">
        <f>SUBTOTAL(9,FT57:FT60)</f>
        <v>109834.65579675001</v>
      </c>
      <c r="FU56" s="1765">
        <f>FT56/$H56</f>
        <v>3.4247765741123655E-2</v>
      </c>
      <c r="FV56" s="1774">
        <f t="shared" ref="FV56:FW58" si="327">DR56</f>
        <v>0</v>
      </c>
      <c r="FW56" s="1775">
        <f t="shared" si="327"/>
        <v>0</v>
      </c>
      <c r="FX56" s="1776"/>
      <c r="FY56" s="1764"/>
      <c r="FZ56" s="1774"/>
      <c r="GA56" s="1764"/>
      <c r="GB56" s="994">
        <f>SUBTOTAL(9,GB57:GB60)</f>
        <v>152727.68317500001</v>
      </c>
      <c r="GC56" s="1765">
        <f>GB56/$H56</f>
        <v>4.7622327193715529E-2</v>
      </c>
      <c r="GD56" s="1774">
        <f t="shared" ref="GD56:GE58" si="328">DZ56</f>
        <v>0</v>
      </c>
      <c r="GE56" s="1775">
        <f t="shared" si="328"/>
        <v>0</v>
      </c>
      <c r="GF56" s="1776"/>
      <c r="GG56" s="1764"/>
      <c r="GH56" s="1774"/>
      <c r="GI56" s="1764"/>
      <c r="GJ56" s="994">
        <f>SUBTOTAL(9,GJ57:GJ60)</f>
        <v>71358.669792000015</v>
      </c>
      <c r="GK56" s="1765">
        <f>GJ56/$H56</f>
        <v>2.2250490875639701E-2</v>
      </c>
      <c r="GL56" s="1774">
        <f t="shared" ref="GL56:GM58" si="329">EH56</f>
        <v>0</v>
      </c>
      <c r="GM56" s="1775">
        <f t="shared" si="329"/>
        <v>0</v>
      </c>
      <c r="GN56" s="1776"/>
      <c r="GO56" s="1764"/>
      <c r="GP56" s="1774"/>
      <c r="GQ56" s="1764"/>
      <c r="GR56" s="994">
        <f>SUBTOTAL(9,GR57:GR60)</f>
        <v>109834.65579675001</v>
      </c>
      <c r="GS56" s="1765">
        <f>GR56/$H56</f>
        <v>3.4247765741123655E-2</v>
      </c>
      <c r="GT56" s="1774">
        <f t="shared" ref="GT56:GU58" si="330">EP56</f>
        <v>0</v>
      </c>
      <c r="GU56" s="1775">
        <f t="shared" si="330"/>
        <v>0</v>
      </c>
      <c r="GV56" s="1776"/>
      <c r="GW56" s="1764"/>
      <c r="GX56" s="1774"/>
      <c r="GY56" s="1764"/>
      <c r="GZ56" s="994">
        <f>SUBTOTAL(9,GZ57:GZ60)</f>
        <v>152727.68317500001</v>
      </c>
      <c r="HA56" s="1765">
        <f>GZ56/$H56</f>
        <v>4.7622327193715529E-2</v>
      </c>
      <c r="HB56" s="1774">
        <f t="shared" si="159"/>
        <v>0</v>
      </c>
      <c r="HC56" s="1775">
        <f t="shared" si="160"/>
        <v>0</v>
      </c>
      <c r="HD56" s="1776"/>
      <c r="HE56" s="1764"/>
      <c r="HF56" s="1774"/>
      <c r="HG56" s="1764"/>
      <c r="HH56" s="994">
        <f>SUBTOTAL(9,HH57:HH60)</f>
        <v>71358.669792000015</v>
      </c>
      <c r="HI56" s="1765">
        <f>HH56/$H56</f>
        <v>2.2250490875639701E-2</v>
      </c>
      <c r="HJ56" s="1774">
        <f t="shared" ref="HJ56:HJ57" si="331">EX56</f>
        <v>0</v>
      </c>
      <c r="HK56" s="1775">
        <f t="shared" ref="HK56:HK57" si="332">EY56</f>
        <v>0</v>
      </c>
      <c r="HL56" s="1776"/>
      <c r="HM56" s="1764"/>
      <c r="HN56" s="1774"/>
      <c r="HO56" s="1764"/>
      <c r="HP56" s="994">
        <f>SUBTOTAL(9,HP57:HP60)</f>
        <v>109834.65579675001</v>
      </c>
      <c r="HQ56" s="1765">
        <f>HP56/$H56</f>
        <v>3.4247765741123655E-2</v>
      </c>
      <c r="HR56" s="1774">
        <f t="shared" ref="HR56:HR57" si="333">FF56</f>
        <v>0</v>
      </c>
      <c r="HS56" s="1775">
        <f t="shared" ref="HS56:HS57" si="334">FG56</f>
        <v>0</v>
      </c>
      <c r="HT56" s="1776"/>
      <c r="HU56" s="1764"/>
      <c r="HV56" s="1774"/>
      <c r="HW56" s="1764"/>
      <c r="HX56" s="994">
        <f>SUBTOTAL(9,HX57:HX60)</f>
        <v>152727.68317500001</v>
      </c>
      <c r="HY56" s="1765">
        <f>HX56/$H56</f>
        <v>4.7622327193715529E-2</v>
      </c>
      <c r="HZ56" s="1774">
        <f t="shared" ref="HZ56:HZ57" si="335">FN56</f>
        <v>0</v>
      </c>
      <c r="IA56" s="1775">
        <f t="shared" ref="IA56:IA57" si="336">FO56</f>
        <v>0</v>
      </c>
      <c r="IB56" s="1776"/>
      <c r="IC56" s="1764"/>
      <c r="ID56" s="1774"/>
      <c r="IE56" s="1764"/>
      <c r="IF56" s="994">
        <f>SUBTOTAL(9,IF57:IF60)</f>
        <v>71358.669792000015</v>
      </c>
      <c r="IG56" s="1765">
        <f>IF56/$H56</f>
        <v>2.2250490875639701E-2</v>
      </c>
      <c r="IH56" s="1774">
        <f t="shared" ref="IH56:IH57" si="337">FV56</f>
        <v>0</v>
      </c>
      <c r="II56" s="1775">
        <f t="shared" ref="II56:II57" si="338">FW56</f>
        <v>0</v>
      </c>
      <c r="IJ56" s="1776"/>
      <c r="IK56" s="1764"/>
      <c r="IL56" s="1774"/>
      <c r="IM56" s="1764"/>
      <c r="IN56" s="994">
        <f>SUBTOTAL(9,IN57:IN60)</f>
        <v>109834.65579675001</v>
      </c>
      <c r="IO56" s="1765">
        <f>IN56/$H56</f>
        <v>3.4247765741123655E-2</v>
      </c>
    </row>
    <row r="57" spans="1:249" s="341" customFormat="1" ht="22.5">
      <c r="A57" s="1753"/>
      <c r="B57" s="1754"/>
      <c r="C57" s="1755"/>
      <c r="D57" s="1013">
        <f>VLOOKUP(E57,'DER MG'!$D$5:$I$150,6,0)</f>
        <v>434.98</v>
      </c>
      <c r="E57" s="1017">
        <v>4413012</v>
      </c>
      <c r="F57" s="1756"/>
      <c r="G57" s="1018" t="s">
        <v>448</v>
      </c>
      <c r="H57" s="992">
        <f t="shared" ref="H57:H60" si="339">SUMIF($I$7:$IO$7,"ANO",I57:IO57)</f>
        <v>1167644.0002500003</v>
      </c>
      <c r="I57" s="992">
        <f>'Terrapl. Estrut. Contenção'!J6</f>
        <v>50</v>
      </c>
      <c r="J57" s="1759" t="s">
        <v>413</v>
      </c>
      <c r="K57" s="1758">
        <f>VLOOKUP($G57,'Quantidades Padrão'!$E$7:$J$103,K$8,0)</f>
        <v>1.2840000000000003</v>
      </c>
      <c r="L57" s="1759" t="s">
        <v>412</v>
      </c>
      <c r="M57" s="992">
        <f>I57*K57</f>
        <v>64.200000000000017</v>
      </c>
      <c r="N57" s="1759" t="s">
        <v>413</v>
      </c>
      <c r="O57" s="992">
        <f>$D57*M57</f>
        <v>27925.716000000008</v>
      </c>
      <c r="P57" s="1759"/>
      <c r="Q57" s="1760">
        <f t="shared" si="315"/>
        <v>4.4988573052748065E-3</v>
      </c>
      <c r="R57" s="992">
        <f>$I57</f>
        <v>50</v>
      </c>
      <c r="S57" s="1759" t="s">
        <v>413</v>
      </c>
      <c r="T57" s="1758">
        <f>VLOOKUP($G57,'Quantidades Padrão'!$E$7:$J$103,T$8,0)</f>
        <v>1.2840000000000003</v>
      </c>
      <c r="U57" s="1759" t="s">
        <v>412</v>
      </c>
      <c r="V57" s="992">
        <f>R57*T57</f>
        <v>64.200000000000017</v>
      </c>
      <c r="W57" s="1759" t="s">
        <v>413</v>
      </c>
      <c r="X57" s="992">
        <f>$D57*V57</f>
        <v>27925.716000000008</v>
      </c>
      <c r="Y57" s="1759"/>
      <c r="Z57" s="992">
        <f>$I57</f>
        <v>50</v>
      </c>
      <c r="AA57" s="1759" t="s">
        <v>413</v>
      </c>
      <c r="AB57" s="1758">
        <f>VLOOKUP($G57,'Quantidades Padrão'!$E$7:$J$103,AB$8,0)</f>
        <v>2.4075000000000002</v>
      </c>
      <c r="AC57" s="1759" t="s">
        <v>412</v>
      </c>
      <c r="AD57" s="992">
        <f>Z57*AB57</f>
        <v>120.37500000000001</v>
      </c>
      <c r="AE57" s="1759" t="s">
        <v>413</v>
      </c>
      <c r="AF57" s="992">
        <f>$D57*AD57</f>
        <v>52360.717500000006</v>
      </c>
      <c r="AG57" s="1759"/>
      <c r="AH57" s="992">
        <f>$I57</f>
        <v>50</v>
      </c>
      <c r="AI57" s="1759" t="s">
        <v>413</v>
      </c>
      <c r="AJ57" s="1758">
        <f>VLOOKUP($G57,'Quantidades Padrão'!$E$7:$J$103,AJ$8,0)</f>
        <v>1.2840000000000003</v>
      </c>
      <c r="AK57" s="1759" t="s">
        <v>412</v>
      </c>
      <c r="AL57" s="992">
        <f>AH57*AJ57</f>
        <v>64.200000000000017</v>
      </c>
      <c r="AM57" s="1759" t="s">
        <v>413</v>
      </c>
      <c r="AN57" s="992">
        <f>$D57*AL57</f>
        <v>27925.716000000008</v>
      </c>
      <c r="AO57" s="1759"/>
      <c r="AP57" s="992">
        <f>$I57</f>
        <v>50</v>
      </c>
      <c r="AQ57" s="1759" t="s">
        <v>413</v>
      </c>
      <c r="AR57" s="1758">
        <f>VLOOKUP($G57,'Quantidades Padrão'!$E$7:$J$103,AR$8,0)</f>
        <v>1.2840000000000003</v>
      </c>
      <c r="AS57" s="1759" t="s">
        <v>412</v>
      </c>
      <c r="AT57" s="992">
        <f>AP57*AR57</f>
        <v>64.200000000000017</v>
      </c>
      <c r="AU57" s="1759" t="s">
        <v>413</v>
      </c>
      <c r="AV57" s="992">
        <f>$D57*AT57</f>
        <v>27925.716000000008</v>
      </c>
      <c r="AW57" s="1759"/>
      <c r="AX57" s="992">
        <f>$I57</f>
        <v>50</v>
      </c>
      <c r="AY57" s="1759" t="s">
        <v>413</v>
      </c>
      <c r="AZ57" s="1758">
        <f>VLOOKUP($G57,'Quantidades Padrão'!$E$7:$J$103,AZ$8,0)</f>
        <v>1.8457500000000002</v>
      </c>
      <c r="BA57" s="1759" t="s">
        <v>412</v>
      </c>
      <c r="BB57" s="992">
        <f>AZ57*AX57</f>
        <v>92.287500000000009</v>
      </c>
      <c r="BC57" s="1759" t="s">
        <v>413</v>
      </c>
      <c r="BD57" s="992">
        <f>$D57*BB57</f>
        <v>40143.216750000007</v>
      </c>
      <c r="BE57" s="1759"/>
      <c r="BF57" s="992">
        <f>$I57</f>
        <v>50</v>
      </c>
      <c r="BG57" s="1759" t="str">
        <f>J57</f>
        <v>m³</v>
      </c>
      <c r="BH57" s="1758">
        <f>VLOOKUP($G57,'Quantidades Padrão'!$E$7:$J$103,BH$8,0)</f>
        <v>2.4075000000000002</v>
      </c>
      <c r="BI57" s="1772"/>
      <c r="BJ57" s="992">
        <f>BF57*BH57</f>
        <v>120.37500000000001</v>
      </c>
      <c r="BK57" s="1772"/>
      <c r="BL57" s="992">
        <f>$D57*BJ57</f>
        <v>52360.717500000006</v>
      </c>
      <c r="BM57" s="1759"/>
      <c r="BN57" s="992">
        <f>$I57</f>
        <v>50</v>
      </c>
      <c r="BO57" s="1759" t="s">
        <v>413</v>
      </c>
      <c r="BP57" s="1758">
        <f>VLOOKUP($G57,'Quantidades Padrão'!$E$7:$J$103,BP$8,0)</f>
        <v>1.2840000000000003</v>
      </c>
      <c r="BQ57" s="1772"/>
      <c r="BR57" s="992">
        <f>BN57*BP57</f>
        <v>64.200000000000017</v>
      </c>
      <c r="BS57" s="1772"/>
      <c r="BT57" s="992">
        <f>$D57*BR57</f>
        <v>27925.716000000008</v>
      </c>
      <c r="BU57" s="1759"/>
      <c r="BV57" s="992">
        <f>$I57</f>
        <v>50</v>
      </c>
      <c r="BW57" s="1759" t="s">
        <v>413</v>
      </c>
      <c r="BX57" s="1758">
        <f>VLOOKUP($G57,'Quantidades Padrão'!$E$7:$J$103,BX$8,0)</f>
        <v>1.8457500000000002</v>
      </c>
      <c r="BY57" s="1772"/>
      <c r="BZ57" s="992">
        <f>BV57*BX57</f>
        <v>92.287500000000009</v>
      </c>
      <c r="CA57" s="1772"/>
      <c r="CB57" s="992">
        <f>$D57*BZ57</f>
        <v>40143.216750000007</v>
      </c>
      <c r="CC57" s="1759"/>
      <c r="CD57" s="992">
        <f>$I57</f>
        <v>50</v>
      </c>
      <c r="CE57" s="1759" t="s">
        <v>413</v>
      </c>
      <c r="CF57" s="1758">
        <f>VLOOKUP($G57,'Quantidades Padrão'!$E$7:$J$103,CF$8,0)</f>
        <v>2.4075000000000002</v>
      </c>
      <c r="CG57" s="1772"/>
      <c r="CH57" s="992">
        <f>CD57*CF57</f>
        <v>120.37500000000001</v>
      </c>
      <c r="CI57" s="1772"/>
      <c r="CJ57" s="992">
        <f>$D57*CH57</f>
        <v>52360.717500000006</v>
      </c>
      <c r="CK57" s="1759"/>
      <c r="CL57" s="992">
        <f t="shared" si="316"/>
        <v>50</v>
      </c>
      <c r="CM57" s="1759" t="str">
        <f t="shared" si="316"/>
        <v>m³</v>
      </c>
      <c r="CN57" s="1758">
        <f>VLOOKUP($G57,'Quantidades Padrão'!$E$7:$J$103,CN$8,0)</f>
        <v>1.2840000000000003</v>
      </c>
      <c r="CO57" s="1772"/>
      <c r="CP57" s="992">
        <f>CL57*CN57</f>
        <v>64.200000000000017</v>
      </c>
      <c r="CQ57" s="1772"/>
      <c r="CR57" s="992">
        <f>$D57*CP57</f>
        <v>27925.716000000008</v>
      </c>
      <c r="CS57" s="1759"/>
      <c r="CT57" s="992">
        <f t="shared" si="317"/>
        <v>50</v>
      </c>
      <c r="CU57" s="1759" t="s">
        <v>413</v>
      </c>
      <c r="CV57" s="1758">
        <f>VLOOKUP($G57,'Quantidades Padrão'!$E$7:$J$103,CV$8,0)</f>
        <v>1.8457500000000002</v>
      </c>
      <c r="CW57" s="1772"/>
      <c r="CX57" s="992">
        <f>CT57*CV57</f>
        <v>92.287500000000009</v>
      </c>
      <c r="CY57" s="1772"/>
      <c r="CZ57" s="992">
        <f>$D57*CX57</f>
        <v>40143.216750000007</v>
      </c>
      <c r="DA57" s="1759"/>
      <c r="DB57" s="992">
        <f t="shared" si="318"/>
        <v>50</v>
      </c>
      <c r="DC57" s="1759" t="s">
        <v>413</v>
      </c>
      <c r="DD57" s="1758">
        <f>VLOOKUP($G57,'Quantidades Padrão'!$E$7:$J$103,DD$8,0)</f>
        <v>2.4075000000000002</v>
      </c>
      <c r="DE57" s="1772"/>
      <c r="DF57" s="992">
        <f>DB57*DD57</f>
        <v>120.37500000000001</v>
      </c>
      <c r="DG57" s="1772"/>
      <c r="DH57" s="992">
        <f>$D57*DF57</f>
        <v>52360.717500000006</v>
      </c>
      <c r="DI57" s="1759"/>
      <c r="DJ57" s="992">
        <f t="shared" si="319"/>
        <v>50</v>
      </c>
      <c r="DK57" s="1759" t="s">
        <v>413</v>
      </c>
      <c r="DL57" s="1758">
        <f>VLOOKUP($G57,'Quantidades Padrão'!$E$7:$J$103,DL$8,0)</f>
        <v>1.2840000000000003</v>
      </c>
      <c r="DM57" s="1772"/>
      <c r="DN57" s="992">
        <f>DJ57*DL57</f>
        <v>64.200000000000017</v>
      </c>
      <c r="DO57" s="1772"/>
      <c r="DP57" s="992">
        <f>$D57*DN57</f>
        <v>27925.716000000008</v>
      </c>
      <c r="DQ57" s="1759"/>
      <c r="DR57" s="992">
        <f t="shared" si="320"/>
        <v>50</v>
      </c>
      <c r="DS57" s="1759" t="s">
        <v>413</v>
      </c>
      <c r="DT57" s="1758">
        <f>VLOOKUP($G57,'Quantidades Padrão'!$E$7:$J$103,DT$8,0)</f>
        <v>1.8457500000000002</v>
      </c>
      <c r="DU57" s="1772"/>
      <c r="DV57" s="992">
        <f>DR57*DT57</f>
        <v>92.287500000000009</v>
      </c>
      <c r="DW57" s="1772"/>
      <c r="DX57" s="992">
        <f>$D57*DV57</f>
        <v>40143.216750000007</v>
      </c>
      <c r="DY57" s="1759"/>
      <c r="DZ57" s="992">
        <f t="shared" si="321"/>
        <v>50</v>
      </c>
      <c r="EA57" s="1759" t="str">
        <f t="shared" si="321"/>
        <v>m³</v>
      </c>
      <c r="EB57" s="1758">
        <f>VLOOKUP($G57,'Quantidades Padrão'!$E$7:$J$103,EB$8,0)</f>
        <v>2.4075000000000002</v>
      </c>
      <c r="EC57" s="1772"/>
      <c r="ED57" s="992">
        <f>DZ57*EB57</f>
        <v>120.37500000000001</v>
      </c>
      <c r="EE57" s="1772"/>
      <c r="EF57" s="992">
        <f>$D57*ED57</f>
        <v>52360.717500000006</v>
      </c>
      <c r="EG57" s="1759"/>
      <c r="EH57" s="992">
        <f t="shared" si="322"/>
        <v>50</v>
      </c>
      <c r="EI57" s="1759" t="str">
        <f t="shared" si="322"/>
        <v>m³</v>
      </c>
      <c r="EJ57" s="1758">
        <f>VLOOKUP($G57,'Quantidades Padrão'!$E$7:$J$103,EJ$8,0)</f>
        <v>1.2840000000000003</v>
      </c>
      <c r="EK57" s="1772"/>
      <c r="EL57" s="992">
        <f>EH57*EJ57</f>
        <v>64.200000000000017</v>
      </c>
      <c r="EM57" s="1772"/>
      <c r="EN57" s="992">
        <f>$D57*EL57</f>
        <v>27925.716000000008</v>
      </c>
      <c r="EO57" s="1759"/>
      <c r="EP57" s="992">
        <f t="shared" si="323"/>
        <v>50</v>
      </c>
      <c r="EQ57" s="1759" t="str">
        <f t="shared" si="323"/>
        <v>m³</v>
      </c>
      <c r="ER57" s="1758">
        <f>VLOOKUP($G57,'Quantidades Padrão'!$E$7:$J$103,ER$8,0)</f>
        <v>1.8457500000000002</v>
      </c>
      <c r="ES57" s="1772"/>
      <c r="ET57" s="992">
        <f>EP57*ER57</f>
        <v>92.287500000000009</v>
      </c>
      <c r="EU57" s="1772"/>
      <c r="EV57" s="992">
        <f>$D57*ET57</f>
        <v>40143.216750000007</v>
      </c>
      <c r="EW57" s="1759"/>
      <c r="EX57" s="992">
        <f t="shared" si="324"/>
        <v>50</v>
      </c>
      <c r="EY57" s="1759" t="str">
        <f t="shared" si="324"/>
        <v>m³</v>
      </c>
      <c r="EZ57" s="1758">
        <f>VLOOKUP($G57,'Quantidades Padrão'!$E$7:$J$103,EZ$8,0)</f>
        <v>2.4075000000000002</v>
      </c>
      <c r="FA57" s="1772"/>
      <c r="FB57" s="992">
        <f>EX57*EZ57</f>
        <v>120.37500000000001</v>
      </c>
      <c r="FC57" s="1772"/>
      <c r="FD57" s="992">
        <f>$D57*FB57</f>
        <v>52360.717500000006</v>
      </c>
      <c r="FE57" s="1759"/>
      <c r="FF57" s="992">
        <f t="shared" si="325"/>
        <v>50</v>
      </c>
      <c r="FG57" s="1759" t="str">
        <f t="shared" si="325"/>
        <v>m³</v>
      </c>
      <c r="FH57" s="1758">
        <f>VLOOKUP($G57,'Quantidades Padrão'!$E$7:$J$103,FH$8,0)</f>
        <v>1.2840000000000003</v>
      </c>
      <c r="FI57" s="1772"/>
      <c r="FJ57" s="992">
        <f>FF57*FH57</f>
        <v>64.200000000000017</v>
      </c>
      <c r="FK57" s="1772"/>
      <c r="FL57" s="992">
        <f>$D57*FJ57</f>
        <v>27925.716000000008</v>
      </c>
      <c r="FM57" s="1759"/>
      <c r="FN57" s="992">
        <f t="shared" si="326"/>
        <v>50</v>
      </c>
      <c r="FO57" s="1759" t="str">
        <f t="shared" si="326"/>
        <v>m³</v>
      </c>
      <c r="FP57" s="1758">
        <f>VLOOKUP($G57,'Quantidades Padrão'!$E$7:$J$103,FP$8,0)</f>
        <v>1.8457500000000002</v>
      </c>
      <c r="FQ57" s="1772"/>
      <c r="FR57" s="992">
        <f>FN57*FP57</f>
        <v>92.287500000000009</v>
      </c>
      <c r="FS57" s="1772"/>
      <c r="FT57" s="992">
        <f>$D57*FR57</f>
        <v>40143.216750000007</v>
      </c>
      <c r="FU57" s="1759"/>
      <c r="FV57" s="992">
        <f t="shared" si="327"/>
        <v>50</v>
      </c>
      <c r="FW57" s="1759" t="str">
        <f t="shared" si="327"/>
        <v>m³</v>
      </c>
      <c r="FX57" s="1758">
        <f>VLOOKUP($G57,'Quantidades Padrão'!$E$7:$J$103,FX$8,0)</f>
        <v>2.4075000000000002</v>
      </c>
      <c r="FY57" s="1772"/>
      <c r="FZ57" s="992">
        <f>FV57*FX57</f>
        <v>120.37500000000001</v>
      </c>
      <c r="GA57" s="1772"/>
      <c r="GB57" s="992">
        <f>$D57*FZ57</f>
        <v>52360.717500000006</v>
      </c>
      <c r="GC57" s="1759"/>
      <c r="GD57" s="992">
        <f t="shared" si="328"/>
        <v>50</v>
      </c>
      <c r="GE57" s="1759" t="str">
        <f t="shared" si="328"/>
        <v>m³</v>
      </c>
      <c r="GF57" s="1758">
        <f>VLOOKUP($G57,'Quantidades Padrão'!$E$7:$J$103,GF$8,0)</f>
        <v>1.2840000000000003</v>
      </c>
      <c r="GG57" s="1772"/>
      <c r="GH57" s="992">
        <f>GD57*GF57</f>
        <v>64.200000000000017</v>
      </c>
      <c r="GI57" s="1772"/>
      <c r="GJ57" s="992">
        <f>$D57*GH57</f>
        <v>27925.716000000008</v>
      </c>
      <c r="GK57" s="1759"/>
      <c r="GL57" s="992">
        <f t="shared" si="329"/>
        <v>50</v>
      </c>
      <c r="GM57" s="1759" t="str">
        <f t="shared" si="329"/>
        <v>m³</v>
      </c>
      <c r="GN57" s="1758">
        <f>VLOOKUP($G57,'Quantidades Padrão'!$E$7:$J$103,GN$8,0)</f>
        <v>1.8457500000000002</v>
      </c>
      <c r="GO57" s="1772"/>
      <c r="GP57" s="992">
        <f>GL57*GN57</f>
        <v>92.287500000000009</v>
      </c>
      <c r="GQ57" s="1772"/>
      <c r="GR57" s="992">
        <f>$D57*GP57</f>
        <v>40143.216750000007</v>
      </c>
      <c r="GS57" s="1759"/>
      <c r="GT57" s="992">
        <f t="shared" si="330"/>
        <v>50</v>
      </c>
      <c r="GU57" s="1759" t="str">
        <f t="shared" si="330"/>
        <v>m³</v>
      </c>
      <c r="GV57" s="1758">
        <f>VLOOKUP($G57,'Quantidades Padrão'!$E$7:$J$103,GV$8,0)</f>
        <v>2.4075000000000002</v>
      </c>
      <c r="GW57" s="1772"/>
      <c r="GX57" s="992">
        <f>GT57*GV57</f>
        <v>120.37500000000001</v>
      </c>
      <c r="GY57" s="1772"/>
      <c r="GZ57" s="992">
        <f>$D57*GX57</f>
        <v>52360.717500000006</v>
      </c>
      <c r="HA57" s="1759"/>
      <c r="HB57" s="992">
        <f t="shared" si="159"/>
        <v>50</v>
      </c>
      <c r="HC57" s="1759" t="str">
        <f t="shared" si="160"/>
        <v>m³</v>
      </c>
      <c r="HD57" s="1758">
        <f>VLOOKUP($G57,'Quantidades Padrão'!$E$7:$J$103,HD$8,0)</f>
        <v>1.2840000000000003</v>
      </c>
      <c r="HE57" s="1772"/>
      <c r="HF57" s="992">
        <f>HB57*HD57</f>
        <v>64.200000000000017</v>
      </c>
      <c r="HG57" s="1772"/>
      <c r="HH57" s="992">
        <f>$D57*HF57</f>
        <v>27925.716000000008</v>
      </c>
      <c r="HI57" s="1759"/>
      <c r="HJ57" s="992">
        <f t="shared" si="331"/>
        <v>50</v>
      </c>
      <c r="HK57" s="1759" t="str">
        <f t="shared" si="332"/>
        <v>m³</v>
      </c>
      <c r="HL57" s="1758">
        <f>VLOOKUP($G57,'Quantidades Padrão'!$E$7:$J$103,HL$8,0)</f>
        <v>1.8457500000000002</v>
      </c>
      <c r="HM57" s="1772"/>
      <c r="HN57" s="992">
        <f>HJ57*HL57</f>
        <v>92.287500000000009</v>
      </c>
      <c r="HO57" s="1772"/>
      <c r="HP57" s="992">
        <f>$D57*HN57</f>
        <v>40143.216750000007</v>
      </c>
      <c r="HQ57" s="1759"/>
      <c r="HR57" s="992">
        <f t="shared" si="333"/>
        <v>50</v>
      </c>
      <c r="HS57" s="1759" t="str">
        <f t="shared" si="334"/>
        <v>m³</v>
      </c>
      <c r="HT57" s="1758">
        <f>VLOOKUP($G57,'Quantidades Padrão'!$E$7:$J$103,HT$8,0)</f>
        <v>2.4075000000000002</v>
      </c>
      <c r="HU57" s="1772"/>
      <c r="HV57" s="992">
        <f>HR57*HT57</f>
        <v>120.37500000000001</v>
      </c>
      <c r="HW57" s="1772"/>
      <c r="HX57" s="992">
        <f>$D57*HV57</f>
        <v>52360.717500000006</v>
      </c>
      <c r="HY57" s="1759"/>
      <c r="HZ57" s="992">
        <f t="shared" si="335"/>
        <v>50</v>
      </c>
      <c r="IA57" s="1759" t="str">
        <f t="shared" si="336"/>
        <v>m³</v>
      </c>
      <c r="IB57" s="1758">
        <f>VLOOKUP($G57,'Quantidades Padrão'!$E$7:$J$103,IB$8,0)</f>
        <v>1.2840000000000003</v>
      </c>
      <c r="IC57" s="1772"/>
      <c r="ID57" s="992">
        <f>HZ57*IB57</f>
        <v>64.200000000000017</v>
      </c>
      <c r="IE57" s="1772"/>
      <c r="IF57" s="992">
        <f>$D57*ID57</f>
        <v>27925.716000000008</v>
      </c>
      <c r="IG57" s="1759"/>
      <c r="IH57" s="992">
        <f t="shared" si="337"/>
        <v>50</v>
      </c>
      <c r="II57" s="1759" t="str">
        <f t="shared" si="338"/>
        <v>m³</v>
      </c>
      <c r="IJ57" s="1758">
        <f>VLOOKUP($G57,'Quantidades Padrão'!$E$7:$J$103,IJ$8,0)</f>
        <v>1.8457500000000002</v>
      </c>
      <c r="IK57" s="1772"/>
      <c r="IL57" s="992">
        <f>IH57*IJ57</f>
        <v>92.287500000000009</v>
      </c>
      <c r="IM57" s="1772"/>
      <c r="IN57" s="992">
        <f>$D57*IL57</f>
        <v>40143.216750000007</v>
      </c>
      <c r="IO57" s="1759"/>
    </row>
    <row r="58" spans="1:249" s="341" customFormat="1">
      <c r="A58" s="1753"/>
      <c r="B58" s="1754"/>
      <c r="C58" s="1755"/>
      <c r="D58" s="1013">
        <f>VLOOKUP(E58,'DER MG'!$D$5:$I$150,6,0)</f>
        <v>18.63</v>
      </c>
      <c r="E58" s="1017">
        <v>55553</v>
      </c>
      <c r="F58" s="1756"/>
      <c r="G58" s="1018" t="s">
        <v>449</v>
      </c>
      <c r="H58" s="992">
        <f t="shared" si="339"/>
        <v>1333591.2900000005</v>
      </c>
      <c r="I58" s="992">
        <f>'Terrapl. Estrut. Contenção'!J11</f>
        <v>250</v>
      </c>
      <c r="J58" s="1759" t="s">
        <v>413</v>
      </c>
      <c r="K58" s="1758">
        <f>VLOOKUP($G58,'Quantidades Padrão'!$E$7:$J$103,K$8,0)</f>
        <v>6.8480000000000008</v>
      </c>
      <c r="L58" s="1759" t="s">
        <v>412</v>
      </c>
      <c r="M58" s="992">
        <f>I58*K58</f>
        <v>1712.0000000000002</v>
      </c>
      <c r="N58" s="1759" t="s">
        <v>413</v>
      </c>
      <c r="O58" s="992">
        <f>$D58*M58</f>
        <v>31894.560000000001</v>
      </c>
      <c r="P58" s="1759"/>
      <c r="Q58" s="1760">
        <f t="shared" si="315"/>
        <v>5.1382415496356686E-3</v>
      </c>
      <c r="R58" s="992">
        <f>$I58</f>
        <v>250</v>
      </c>
      <c r="S58" s="1759" t="s">
        <v>413</v>
      </c>
      <c r="T58" s="1758">
        <f>VLOOKUP($G58,'Quantidades Padrão'!$E$7:$J$103,T$8,0)</f>
        <v>6.8480000000000008</v>
      </c>
      <c r="U58" s="1759" t="s">
        <v>412</v>
      </c>
      <c r="V58" s="992">
        <f>R58*T58</f>
        <v>1712.0000000000002</v>
      </c>
      <c r="W58" s="1759" t="s">
        <v>413</v>
      </c>
      <c r="X58" s="992">
        <f>$D58*V58</f>
        <v>31894.560000000001</v>
      </c>
      <c r="Y58" s="1759"/>
      <c r="Z58" s="992">
        <f>$I58</f>
        <v>250</v>
      </c>
      <c r="AA58" s="1759" t="s">
        <v>413</v>
      </c>
      <c r="AB58" s="1758">
        <f>VLOOKUP($G58,'Quantidades Padrão'!$E$7:$J$103,AB$8,0)</f>
        <v>12.84</v>
      </c>
      <c r="AC58" s="1759" t="s">
        <v>412</v>
      </c>
      <c r="AD58" s="992">
        <f>Z58*AB58</f>
        <v>3210</v>
      </c>
      <c r="AE58" s="1759" t="s">
        <v>413</v>
      </c>
      <c r="AF58" s="992">
        <f>$D58*AD58</f>
        <v>59802.299999999996</v>
      </c>
      <c r="AG58" s="1759"/>
      <c r="AH58" s="992">
        <f>$I58</f>
        <v>250</v>
      </c>
      <c r="AI58" s="1759" t="s">
        <v>413</v>
      </c>
      <c r="AJ58" s="1758">
        <f>VLOOKUP($G58,'Quantidades Padrão'!$E$7:$J$103,AJ$8,0)</f>
        <v>6.8480000000000008</v>
      </c>
      <c r="AK58" s="1759" t="s">
        <v>412</v>
      </c>
      <c r="AL58" s="992">
        <f>AH58*AJ58</f>
        <v>1712.0000000000002</v>
      </c>
      <c r="AM58" s="1759" t="s">
        <v>413</v>
      </c>
      <c r="AN58" s="992">
        <f>$D58*AL58</f>
        <v>31894.560000000001</v>
      </c>
      <c r="AO58" s="1759"/>
      <c r="AP58" s="992">
        <f>$I58</f>
        <v>250</v>
      </c>
      <c r="AQ58" s="1759" t="s">
        <v>413</v>
      </c>
      <c r="AR58" s="1758">
        <f>VLOOKUP($G58,'Quantidades Padrão'!$E$7:$J$103,AR$8,0)</f>
        <v>6.8480000000000008</v>
      </c>
      <c r="AS58" s="1759" t="s">
        <v>412</v>
      </c>
      <c r="AT58" s="992">
        <f>AP58*AR58</f>
        <v>1712.0000000000002</v>
      </c>
      <c r="AU58" s="1759" t="s">
        <v>413</v>
      </c>
      <c r="AV58" s="992">
        <f>$D58*AT58</f>
        <v>31894.560000000001</v>
      </c>
      <c r="AW58" s="1759"/>
      <c r="AX58" s="992">
        <f>$I58</f>
        <v>250</v>
      </c>
      <c r="AY58" s="1759" t="s">
        <v>413</v>
      </c>
      <c r="AZ58" s="1758">
        <f>VLOOKUP($G58,'Quantidades Padrão'!$E$7:$J$103,AZ$8,0)</f>
        <v>9.8439999999999994</v>
      </c>
      <c r="BA58" s="1759" t="s">
        <v>412</v>
      </c>
      <c r="BB58" s="992">
        <f t="shared" ref="BB58:BB60" si="340">AZ58*AX58</f>
        <v>2461</v>
      </c>
      <c r="BC58" s="1759" t="s">
        <v>413</v>
      </c>
      <c r="BD58" s="992">
        <f>$D58*BB58</f>
        <v>45848.43</v>
      </c>
      <c r="BE58" s="1759"/>
      <c r="BF58" s="992">
        <f>$I58</f>
        <v>250</v>
      </c>
      <c r="BG58" s="1759" t="str">
        <f>J58</f>
        <v>m³</v>
      </c>
      <c r="BH58" s="1758">
        <f>VLOOKUP($G58,'Quantidades Padrão'!$E$7:$J$103,BH$8,0)</f>
        <v>12.84</v>
      </c>
      <c r="BI58" s="1772"/>
      <c r="BJ58" s="992">
        <f>BF58*BH58</f>
        <v>3210</v>
      </c>
      <c r="BK58" s="1772"/>
      <c r="BL58" s="992">
        <f>$D58*BJ58</f>
        <v>59802.299999999996</v>
      </c>
      <c r="BM58" s="1759"/>
      <c r="BN58" s="992">
        <f>$I58</f>
        <v>250</v>
      </c>
      <c r="BO58" s="1759" t="s">
        <v>413</v>
      </c>
      <c r="BP58" s="1758">
        <f>VLOOKUP($G58,'Quantidades Padrão'!$E$7:$J$103,BP$8,0)</f>
        <v>6.8480000000000008</v>
      </c>
      <c r="BQ58" s="1772"/>
      <c r="BR58" s="992">
        <f>BN58*BP58</f>
        <v>1712.0000000000002</v>
      </c>
      <c r="BS58" s="1772"/>
      <c r="BT58" s="992">
        <f>$D58*BR58</f>
        <v>31894.560000000001</v>
      </c>
      <c r="BU58" s="1759"/>
      <c r="BV58" s="992">
        <f>$I58</f>
        <v>250</v>
      </c>
      <c r="BW58" s="1759" t="s">
        <v>413</v>
      </c>
      <c r="BX58" s="1758">
        <f>VLOOKUP($G58,'Quantidades Padrão'!$E$7:$J$103,BX$8,0)</f>
        <v>9.8439999999999994</v>
      </c>
      <c r="BY58" s="1772"/>
      <c r="BZ58" s="992">
        <f>BV58*BX58</f>
        <v>2461</v>
      </c>
      <c r="CA58" s="1772"/>
      <c r="CB58" s="992">
        <f>$D58*BZ58</f>
        <v>45848.43</v>
      </c>
      <c r="CC58" s="1759"/>
      <c r="CD58" s="992">
        <f>$I58</f>
        <v>250</v>
      </c>
      <c r="CE58" s="1759" t="s">
        <v>413</v>
      </c>
      <c r="CF58" s="1758">
        <f>VLOOKUP($G58,'Quantidades Padrão'!$E$7:$J$103,CF$8,0)</f>
        <v>12.84</v>
      </c>
      <c r="CG58" s="1772"/>
      <c r="CH58" s="992">
        <f>CD58*CF58</f>
        <v>3210</v>
      </c>
      <c r="CI58" s="1772"/>
      <c r="CJ58" s="992">
        <f>$D58*CH58</f>
        <v>59802.299999999996</v>
      </c>
      <c r="CK58" s="1759"/>
      <c r="CL58" s="992">
        <f t="shared" si="316"/>
        <v>250</v>
      </c>
      <c r="CM58" s="1759" t="str">
        <f t="shared" si="316"/>
        <v>m³</v>
      </c>
      <c r="CN58" s="1758">
        <f>VLOOKUP($G58,'Quantidades Padrão'!$E$7:$J$103,CN$8,0)</f>
        <v>6.8480000000000008</v>
      </c>
      <c r="CO58" s="1772"/>
      <c r="CP58" s="992">
        <f>CL58*CN58</f>
        <v>1712.0000000000002</v>
      </c>
      <c r="CQ58" s="1772"/>
      <c r="CR58" s="992">
        <f>$D58*CP58</f>
        <v>31894.560000000001</v>
      </c>
      <c r="CS58" s="1759"/>
      <c r="CT58" s="992">
        <f t="shared" si="317"/>
        <v>250</v>
      </c>
      <c r="CU58" s="1759" t="s">
        <v>413</v>
      </c>
      <c r="CV58" s="1758">
        <f>VLOOKUP($G58,'Quantidades Padrão'!$E$7:$J$103,CV$8,0)</f>
        <v>9.8439999999999994</v>
      </c>
      <c r="CW58" s="1772"/>
      <c r="CX58" s="992">
        <f>CT58*CV58</f>
        <v>2461</v>
      </c>
      <c r="CY58" s="1772"/>
      <c r="CZ58" s="992">
        <f>$D58*CX58</f>
        <v>45848.43</v>
      </c>
      <c r="DA58" s="1759"/>
      <c r="DB58" s="992">
        <f t="shared" si="318"/>
        <v>250</v>
      </c>
      <c r="DC58" s="1759" t="s">
        <v>413</v>
      </c>
      <c r="DD58" s="1758">
        <f>VLOOKUP($G58,'Quantidades Padrão'!$E$7:$J$103,DD$8,0)</f>
        <v>12.84</v>
      </c>
      <c r="DE58" s="1772"/>
      <c r="DF58" s="992">
        <f>DB58*DD58</f>
        <v>3210</v>
      </c>
      <c r="DG58" s="1772"/>
      <c r="DH58" s="992">
        <f>$D58*DF58</f>
        <v>59802.299999999996</v>
      </c>
      <c r="DI58" s="1759"/>
      <c r="DJ58" s="992">
        <f t="shared" si="319"/>
        <v>250</v>
      </c>
      <c r="DK58" s="1759" t="s">
        <v>413</v>
      </c>
      <c r="DL58" s="1758">
        <f>VLOOKUP($G58,'Quantidades Padrão'!$E$7:$J$103,DL$8,0)</f>
        <v>6.8480000000000008</v>
      </c>
      <c r="DM58" s="1772"/>
      <c r="DN58" s="992">
        <f>DJ58*DL58</f>
        <v>1712.0000000000002</v>
      </c>
      <c r="DO58" s="1772"/>
      <c r="DP58" s="992">
        <f>$D58*DN58</f>
        <v>31894.560000000001</v>
      </c>
      <c r="DQ58" s="1759"/>
      <c r="DR58" s="992">
        <f t="shared" si="320"/>
        <v>250</v>
      </c>
      <c r="DS58" s="1759" t="s">
        <v>413</v>
      </c>
      <c r="DT58" s="1758">
        <f>VLOOKUP($G58,'Quantidades Padrão'!$E$7:$J$103,DT$8,0)</f>
        <v>9.8439999999999994</v>
      </c>
      <c r="DU58" s="1772"/>
      <c r="DV58" s="992">
        <f>DR58*DT58</f>
        <v>2461</v>
      </c>
      <c r="DW58" s="1772"/>
      <c r="DX58" s="992">
        <f>$D58*DV58</f>
        <v>45848.43</v>
      </c>
      <c r="DY58" s="1759"/>
      <c r="DZ58" s="992">
        <f t="shared" si="321"/>
        <v>250</v>
      </c>
      <c r="EA58" s="1759" t="str">
        <f t="shared" si="321"/>
        <v>m³</v>
      </c>
      <c r="EB58" s="1758">
        <f>VLOOKUP($G58,'Quantidades Padrão'!$E$7:$J$103,EB$8,0)</f>
        <v>12.84</v>
      </c>
      <c r="EC58" s="1772"/>
      <c r="ED58" s="992">
        <f>DZ58*EB58</f>
        <v>3210</v>
      </c>
      <c r="EE58" s="1772"/>
      <c r="EF58" s="992">
        <f>$D58*ED58</f>
        <v>59802.299999999996</v>
      </c>
      <c r="EG58" s="1759"/>
      <c r="EH58" s="992">
        <f t="shared" si="322"/>
        <v>250</v>
      </c>
      <c r="EI58" s="1759" t="str">
        <f t="shared" si="322"/>
        <v>m³</v>
      </c>
      <c r="EJ58" s="1758">
        <f>VLOOKUP($G58,'Quantidades Padrão'!$E$7:$J$103,EJ$8,0)</f>
        <v>6.8480000000000008</v>
      </c>
      <c r="EK58" s="1772"/>
      <c r="EL58" s="992">
        <f>EH58*EJ58</f>
        <v>1712.0000000000002</v>
      </c>
      <c r="EM58" s="1772"/>
      <c r="EN58" s="992">
        <f>$D58*EL58</f>
        <v>31894.560000000001</v>
      </c>
      <c r="EO58" s="1759"/>
      <c r="EP58" s="992">
        <f t="shared" si="323"/>
        <v>250</v>
      </c>
      <c r="EQ58" s="1759" t="str">
        <f t="shared" si="323"/>
        <v>m³</v>
      </c>
      <c r="ER58" s="1758">
        <f>VLOOKUP($G58,'Quantidades Padrão'!$E$7:$J$103,ER$8,0)</f>
        <v>9.8439999999999994</v>
      </c>
      <c r="ES58" s="1772"/>
      <c r="ET58" s="992">
        <f>EP58*ER58</f>
        <v>2461</v>
      </c>
      <c r="EU58" s="1772"/>
      <c r="EV58" s="992">
        <f>$D58*ET58</f>
        <v>45848.43</v>
      </c>
      <c r="EW58" s="1759"/>
      <c r="EX58" s="992">
        <f t="shared" si="324"/>
        <v>250</v>
      </c>
      <c r="EY58" s="1759" t="str">
        <f t="shared" si="324"/>
        <v>m³</v>
      </c>
      <c r="EZ58" s="1758">
        <f>VLOOKUP($G58,'Quantidades Padrão'!$E$7:$J$103,EZ$8,0)</f>
        <v>12.84</v>
      </c>
      <c r="FA58" s="1772"/>
      <c r="FB58" s="992">
        <f>EX58*EZ58</f>
        <v>3210</v>
      </c>
      <c r="FC58" s="1772"/>
      <c r="FD58" s="992">
        <f>$D58*FB58</f>
        <v>59802.299999999996</v>
      </c>
      <c r="FE58" s="1759"/>
      <c r="FF58" s="992">
        <f t="shared" si="325"/>
        <v>250</v>
      </c>
      <c r="FG58" s="1759" t="str">
        <f t="shared" si="325"/>
        <v>m³</v>
      </c>
      <c r="FH58" s="1758">
        <f>VLOOKUP($G58,'Quantidades Padrão'!$E$7:$J$103,FH$8,0)</f>
        <v>6.8480000000000008</v>
      </c>
      <c r="FI58" s="1772"/>
      <c r="FJ58" s="992">
        <f>FF58*FH58</f>
        <v>1712.0000000000002</v>
      </c>
      <c r="FK58" s="1772"/>
      <c r="FL58" s="992">
        <f>$D58*FJ58</f>
        <v>31894.560000000001</v>
      </c>
      <c r="FM58" s="1759"/>
      <c r="FN58" s="992">
        <f t="shared" si="326"/>
        <v>250</v>
      </c>
      <c r="FO58" s="1759" t="str">
        <f t="shared" si="326"/>
        <v>m³</v>
      </c>
      <c r="FP58" s="1758">
        <f>VLOOKUP($G58,'Quantidades Padrão'!$E$7:$J$103,FP$8,0)</f>
        <v>9.8439999999999994</v>
      </c>
      <c r="FQ58" s="1772"/>
      <c r="FR58" s="992">
        <f>FN58*FP58</f>
        <v>2461</v>
      </c>
      <c r="FS58" s="1772"/>
      <c r="FT58" s="992">
        <f>$D58*FR58</f>
        <v>45848.43</v>
      </c>
      <c r="FU58" s="1759"/>
      <c r="FV58" s="992">
        <f t="shared" si="327"/>
        <v>250</v>
      </c>
      <c r="FW58" s="1759" t="str">
        <f t="shared" si="327"/>
        <v>m³</v>
      </c>
      <c r="FX58" s="1758">
        <f>VLOOKUP($G58,'Quantidades Padrão'!$E$7:$J$103,FX$8,0)</f>
        <v>12.84</v>
      </c>
      <c r="FY58" s="1772"/>
      <c r="FZ58" s="992">
        <f>FV58*FX58</f>
        <v>3210</v>
      </c>
      <c r="GA58" s="1772"/>
      <c r="GB58" s="992">
        <f>$D58*FZ58</f>
        <v>59802.299999999996</v>
      </c>
      <c r="GC58" s="1759"/>
      <c r="GD58" s="992">
        <f t="shared" si="328"/>
        <v>250</v>
      </c>
      <c r="GE58" s="1759" t="str">
        <f t="shared" si="328"/>
        <v>m³</v>
      </c>
      <c r="GF58" s="1758">
        <f>VLOOKUP($G58,'Quantidades Padrão'!$E$7:$J$103,GF$8,0)</f>
        <v>6.8480000000000008</v>
      </c>
      <c r="GG58" s="1772"/>
      <c r="GH58" s="992">
        <f>GD58*GF58</f>
        <v>1712.0000000000002</v>
      </c>
      <c r="GI58" s="1772"/>
      <c r="GJ58" s="992">
        <f>$D58*GH58</f>
        <v>31894.560000000001</v>
      </c>
      <c r="GK58" s="1759"/>
      <c r="GL58" s="992">
        <f t="shared" si="329"/>
        <v>250</v>
      </c>
      <c r="GM58" s="1759" t="str">
        <f t="shared" si="329"/>
        <v>m³</v>
      </c>
      <c r="GN58" s="1758">
        <f>VLOOKUP($G58,'Quantidades Padrão'!$E$7:$J$103,GN$8,0)</f>
        <v>9.8439999999999994</v>
      </c>
      <c r="GO58" s="1772"/>
      <c r="GP58" s="992">
        <f>GL58*GN58</f>
        <v>2461</v>
      </c>
      <c r="GQ58" s="1772"/>
      <c r="GR58" s="992">
        <f>$D58*GP58</f>
        <v>45848.43</v>
      </c>
      <c r="GS58" s="1759"/>
      <c r="GT58" s="992">
        <f t="shared" si="330"/>
        <v>250</v>
      </c>
      <c r="GU58" s="1759" t="str">
        <f t="shared" si="330"/>
        <v>m³</v>
      </c>
      <c r="GV58" s="1758">
        <f>VLOOKUP($G58,'Quantidades Padrão'!$E$7:$J$103,GV$8,0)</f>
        <v>12.84</v>
      </c>
      <c r="GW58" s="1772"/>
      <c r="GX58" s="992">
        <f>GT58*GV58</f>
        <v>3210</v>
      </c>
      <c r="GY58" s="1772"/>
      <c r="GZ58" s="992">
        <f>$D58*GX58</f>
        <v>59802.299999999996</v>
      </c>
      <c r="HA58" s="1759"/>
      <c r="HB58" s="992">
        <f>EP58</f>
        <v>250</v>
      </c>
      <c r="HC58" s="1759" t="str">
        <f>EQ58</f>
        <v>m³</v>
      </c>
      <c r="HD58" s="1758">
        <f>VLOOKUP($G58,'Quantidades Padrão'!$E$7:$J$103,HD$8,0)</f>
        <v>6.8480000000000008</v>
      </c>
      <c r="HE58" s="1772"/>
      <c r="HF58" s="992">
        <f>HB58*HD58</f>
        <v>1712.0000000000002</v>
      </c>
      <c r="HG58" s="1772"/>
      <c r="HH58" s="992">
        <f>$D58*HF58</f>
        <v>31894.560000000001</v>
      </c>
      <c r="HI58" s="1759"/>
      <c r="HJ58" s="992">
        <f>EX58</f>
        <v>250</v>
      </c>
      <c r="HK58" s="1759" t="str">
        <f>EY58</f>
        <v>m³</v>
      </c>
      <c r="HL58" s="1758">
        <f>VLOOKUP($G58,'Quantidades Padrão'!$E$7:$J$103,HL$8,0)</f>
        <v>9.8439999999999994</v>
      </c>
      <c r="HM58" s="1772"/>
      <c r="HN58" s="992">
        <f>HJ58*HL58</f>
        <v>2461</v>
      </c>
      <c r="HO58" s="1772"/>
      <c r="HP58" s="992">
        <f>$D58*HN58</f>
        <v>45848.43</v>
      </c>
      <c r="HQ58" s="1759"/>
      <c r="HR58" s="992">
        <f>FF58</f>
        <v>250</v>
      </c>
      <c r="HS58" s="1759" t="str">
        <f>FG58</f>
        <v>m³</v>
      </c>
      <c r="HT58" s="1758">
        <f>VLOOKUP($G58,'Quantidades Padrão'!$E$7:$J$103,HT$8,0)</f>
        <v>12.84</v>
      </c>
      <c r="HU58" s="1772"/>
      <c r="HV58" s="992">
        <f>HR58*HT58</f>
        <v>3210</v>
      </c>
      <c r="HW58" s="1772"/>
      <c r="HX58" s="992">
        <f>$D58*HV58</f>
        <v>59802.299999999996</v>
      </c>
      <c r="HY58" s="1759"/>
      <c r="HZ58" s="992">
        <f>FN58</f>
        <v>250</v>
      </c>
      <c r="IA58" s="1759" t="str">
        <f>FO58</f>
        <v>m³</v>
      </c>
      <c r="IB58" s="1758">
        <f>VLOOKUP($G58,'Quantidades Padrão'!$E$7:$J$103,IB$8,0)</f>
        <v>6.8480000000000008</v>
      </c>
      <c r="IC58" s="1772"/>
      <c r="ID58" s="992">
        <f>HZ58*IB58</f>
        <v>1712.0000000000002</v>
      </c>
      <c r="IE58" s="1772"/>
      <c r="IF58" s="992">
        <f>$D58*ID58</f>
        <v>31894.560000000001</v>
      </c>
      <c r="IG58" s="1759"/>
      <c r="IH58" s="992">
        <f>FV58</f>
        <v>250</v>
      </c>
      <c r="II58" s="1759" t="str">
        <f>FW58</f>
        <v>m³</v>
      </c>
      <c r="IJ58" s="1758">
        <f>VLOOKUP($G58,'Quantidades Padrão'!$E$7:$J$103,IJ$8,0)</f>
        <v>9.8439999999999994</v>
      </c>
      <c r="IK58" s="1772"/>
      <c r="IL58" s="992">
        <f>IH58*IJ58</f>
        <v>2461</v>
      </c>
      <c r="IM58" s="1772"/>
      <c r="IN58" s="992">
        <f>$D58*IL58</f>
        <v>45848.43</v>
      </c>
      <c r="IO58" s="1759"/>
    </row>
    <row r="59" spans="1:249" s="341" customFormat="1">
      <c r="A59" s="1753"/>
      <c r="B59" s="1754"/>
      <c r="C59" s="1755"/>
      <c r="D59" s="1013">
        <f>VLOOKUP(E59,'DER MG'!$D$5:$I$150,6,0)</f>
        <v>1.45</v>
      </c>
      <c r="E59" s="1023" t="s">
        <v>450</v>
      </c>
      <c r="F59" s="1756"/>
      <c r="G59" s="1018" t="s">
        <v>451</v>
      </c>
      <c r="H59" s="992">
        <f t="shared" si="339"/>
        <v>705825.18274500035</v>
      </c>
      <c r="I59" s="992"/>
      <c r="J59" s="1759"/>
      <c r="K59" s="1758">
        <f>VLOOKUP($G59,'Quantidades Padrão'!$E$7:$J$103,K$8,0)</f>
        <v>4.6480800000000002</v>
      </c>
      <c r="L59" s="1759" t="s">
        <v>452</v>
      </c>
      <c r="M59" s="992">
        <f>K59*M58</f>
        <v>7957.5129600000018</v>
      </c>
      <c r="N59" s="1759" t="s">
        <v>413</v>
      </c>
      <c r="O59" s="992">
        <f>$D59*M59</f>
        <v>11538.393792000003</v>
      </c>
      <c r="P59" s="1759"/>
      <c r="Q59" s="1760">
        <f t="shared" si="315"/>
        <v>1.8588453453539623E-3</v>
      </c>
      <c r="R59" s="992">
        <f>$I59</f>
        <v>0</v>
      </c>
      <c r="S59" s="1759"/>
      <c r="T59" s="1758">
        <f>VLOOKUP($G59,'Quantidades Padrão'!$E$7:$J$103,T$8,0)</f>
        <v>4.6480800000000002</v>
      </c>
      <c r="U59" s="1759" t="s">
        <v>452</v>
      </c>
      <c r="V59" s="992">
        <f>T59*V58</f>
        <v>7957.5129600000018</v>
      </c>
      <c r="W59" s="1759" t="s">
        <v>413</v>
      </c>
      <c r="X59" s="992">
        <f>$D59*V59</f>
        <v>11538.393792000003</v>
      </c>
      <c r="Y59" s="1759"/>
      <c r="Z59" s="992">
        <f>$I59</f>
        <v>0</v>
      </c>
      <c r="AA59" s="1759"/>
      <c r="AB59" s="1758">
        <f>VLOOKUP($G59,'Quantidades Padrão'!$E$7:$J$103,AB$8,0)</f>
        <v>8.7151499999999995</v>
      </c>
      <c r="AC59" s="1759" t="s">
        <v>452</v>
      </c>
      <c r="AD59" s="992">
        <f>AB59*AD58</f>
        <v>27975.6315</v>
      </c>
      <c r="AE59" s="1759" t="s">
        <v>413</v>
      </c>
      <c r="AF59" s="992">
        <f>$D59*AD59</f>
        <v>40564.665674999997</v>
      </c>
      <c r="AG59" s="1759"/>
      <c r="AH59" s="992">
        <f>$I59</f>
        <v>0</v>
      </c>
      <c r="AI59" s="1759"/>
      <c r="AJ59" s="1758">
        <f>VLOOKUP($G59,'Quantidades Padrão'!$E$7:$J$103,AJ$8,0)</f>
        <v>4.6480800000000002</v>
      </c>
      <c r="AK59" s="1759" t="s">
        <v>452</v>
      </c>
      <c r="AL59" s="992">
        <f>AJ59*AL58</f>
        <v>7957.5129600000018</v>
      </c>
      <c r="AM59" s="1759" t="s">
        <v>413</v>
      </c>
      <c r="AN59" s="992">
        <f>$D59*AL59</f>
        <v>11538.393792000003</v>
      </c>
      <c r="AO59" s="1759"/>
      <c r="AP59" s="992">
        <f>$I59</f>
        <v>0</v>
      </c>
      <c r="AQ59" s="1759"/>
      <c r="AR59" s="1758">
        <f>VLOOKUP($G59,'Quantidades Padrão'!$E$7:$J$103,AR$8,0)</f>
        <v>4.6480800000000002</v>
      </c>
      <c r="AS59" s="1759" t="s">
        <v>452</v>
      </c>
      <c r="AT59" s="992">
        <f>AR59*AT58</f>
        <v>7957.5129600000018</v>
      </c>
      <c r="AU59" s="1759" t="s">
        <v>413</v>
      </c>
      <c r="AV59" s="992">
        <f>$D59*AT59</f>
        <v>11538.393792000003</v>
      </c>
      <c r="AW59" s="1759"/>
      <c r="AX59" s="992"/>
      <c r="AY59" s="1759"/>
      <c r="AZ59" s="1758">
        <f>VLOOKUP($G59,'Quantidades Padrão'!$E$7:$J$103,AZ$8,0)</f>
        <v>6.6816150000000007</v>
      </c>
      <c r="BA59" s="1759" t="s">
        <v>452</v>
      </c>
      <c r="BB59" s="992">
        <f>T59</f>
        <v>4.6480800000000002</v>
      </c>
      <c r="BC59" s="1759" t="s">
        <v>413</v>
      </c>
      <c r="BD59" s="992">
        <f>X59</f>
        <v>11538.393792000003</v>
      </c>
      <c r="BE59" s="1759"/>
      <c r="BF59" s="992"/>
      <c r="BG59" s="1759"/>
      <c r="BH59" s="1758">
        <f>VLOOKUP($G59,'Quantidades Padrão'!$E$7:$J$103,BH$8,0)</f>
        <v>8.7151499999999995</v>
      </c>
      <c r="BI59" s="1759" t="s">
        <v>452</v>
      </c>
      <c r="BJ59" s="992">
        <f>BH59*BJ58</f>
        <v>27975.6315</v>
      </c>
      <c r="BK59" s="1759" t="s">
        <v>413</v>
      </c>
      <c r="BL59" s="992">
        <f>$D59*BJ59</f>
        <v>40564.665674999997</v>
      </c>
      <c r="BM59" s="1759"/>
      <c r="BN59" s="992"/>
      <c r="BO59" s="1759"/>
      <c r="BP59" s="1758">
        <f>VLOOKUP($G59,'Quantidades Padrão'!$E$7:$J$103,BP$8,0)</f>
        <v>4.6480800000000002</v>
      </c>
      <c r="BQ59" s="1759" t="s">
        <v>452</v>
      </c>
      <c r="BR59" s="992">
        <f>BP59*BR58</f>
        <v>7957.5129600000018</v>
      </c>
      <c r="BS59" s="1759" t="s">
        <v>413</v>
      </c>
      <c r="BT59" s="992">
        <f>$D59*BR59</f>
        <v>11538.393792000003</v>
      </c>
      <c r="BU59" s="1759"/>
      <c r="BV59" s="992"/>
      <c r="BW59" s="1759"/>
      <c r="BX59" s="1758">
        <f>VLOOKUP($G59,'Quantidades Padrão'!$E$7:$J$103,BX$8,0)</f>
        <v>6.6816150000000007</v>
      </c>
      <c r="BY59" s="1759" t="s">
        <v>452</v>
      </c>
      <c r="BZ59" s="992">
        <f>BX59*BZ58</f>
        <v>16443.454515000001</v>
      </c>
      <c r="CA59" s="1759" t="s">
        <v>413</v>
      </c>
      <c r="CB59" s="992">
        <f>$D59*BZ59</f>
        <v>23843.009046750001</v>
      </c>
      <c r="CC59" s="1759"/>
      <c r="CD59" s="992"/>
      <c r="CE59" s="1759"/>
      <c r="CF59" s="1758">
        <f>VLOOKUP($G59,'Quantidades Padrão'!$E$7:$J$103,CF$8,0)</f>
        <v>8.7151499999999995</v>
      </c>
      <c r="CG59" s="1759" t="s">
        <v>452</v>
      </c>
      <c r="CH59" s="992">
        <f>CF59*CH58</f>
        <v>27975.6315</v>
      </c>
      <c r="CI59" s="1759" t="s">
        <v>413</v>
      </c>
      <c r="CJ59" s="992">
        <f>$D59*CH59</f>
        <v>40564.665674999997</v>
      </c>
      <c r="CK59" s="1759"/>
      <c r="CL59" s="992"/>
      <c r="CM59" s="1759"/>
      <c r="CN59" s="1758">
        <f>VLOOKUP($G59,'Quantidades Padrão'!$E$7:$J$103,CN$8,0)</f>
        <v>4.6480800000000002</v>
      </c>
      <c r="CO59" s="1759" t="s">
        <v>452</v>
      </c>
      <c r="CP59" s="992">
        <f>CN59*CP58</f>
        <v>7957.5129600000018</v>
      </c>
      <c r="CQ59" s="1759" t="s">
        <v>413</v>
      </c>
      <c r="CR59" s="992">
        <f>$D59*CP59</f>
        <v>11538.393792000003</v>
      </c>
      <c r="CS59" s="1759"/>
      <c r="CT59" s="992"/>
      <c r="CU59" s="1759"/>
      <c r="CV59" s="1758">
        <f>VLOOKUP($G59,'Quantidades Padrão'!$E$7:$J$103,CV$8,0)</f>
        <v>6.6816150000000007</v>
      </c>
      <c r="CW59" s="1759" t="s">
        <v>452</v>
      </c>
      <c r="CX59" s="992">
        <f>CV59*CX58</f>
        <v>16443.454515000001</v>
      </c>
      <c r="CY59" s="1759" t="s">
        <v>413</v>
      </c>
      <c r="CZ59" s="992">
        <f>$D59*CX59</f>
        <v>23843.009046750001</v>
      </c>
      <c r="DA59" s="1759"/>
      <c r="DB59" s="992"/>
      <c r="DC59" s="1759"/>
      <c r="DD59" s="1758">
        <f>VLOOKUP($G59,'Quantidades Padrão'!$E$7:$J$103,DD$8,0)</f>
        <v>8.7151499999999995</v>
      </c>
      <c r="DE59" s="1759" t="s">
        <v>452</v>
      </c>
      <c r="DF59" s="992">
        <f>DD59*DF58</f>
        <v>27975.6315</v>
      </c>
      <c r="DG59" s="1759" t="s">
        <v>413</v>
      </c>
      <c r="DH59" s="992">
        <f>$D59*DF59</f>
        <v>40564.665674999997</v>
      </c>
      <c r="DI59" s="1759"/>
      <c r="DJ59" s="992"/>
      <c r="DK59" s="1759"/>
      <c r="DL59" s="1758">
        <f>VLOOKUP($G59,'Quantidades Padrão'!$E$7:$J$103,DL$8,0)</f>
        <v>4.6480800000000002</v>
      </c>
      <c r="DM59" s="1759" t="s">
        <v>452</v>
      </c>
      <c r="DN59" s="992">
        <f>DL59*DN58</f>
        <v>7957.5129600000018</v>
      </c>
      <c r="DO59" s="1759" t="s">
        <v>413</v>
      </c>
      <c r="DP59" s="992">
        <f>$D59*DN59</f>
        <v>11538.393792000003</v>
      </c>
      <c r="DQ59" s="1759"/>
      <c r="DR59" s="992"/>
      <c r="DS59" s="1759"/>
      <c r="DT59" s="1758">
        <f>VLOOKUP($G59,'Quantidades Padrão'!$E$7:$J$103,DT$8,0)</f>
        <v>6.6816150000000007</v>
      </c>
      <c r="DU59" s="1759" t="s">
        <v>452</v>
      </c>
      <c r="DV59" s="992">
        <f>DT59*DV58</f>
        <v>16443.454515000001</v>
      </c>
      <c r="DW59" s="1759" t="s">
        <v>413</v>
      </c>
      <c r="DX59" s="992">
        <f>$D59*DV59</f>
        <v>23843.009046750001</v>
      </c>
      <c r="DY59" s="1759"/>
      <c r="DZ59" s="992"/>
      <c r="EA59" s="1759"/>
      <c r="EB59" s="1758">
        <f>VLOOKUP($G59,'Quantidades Padrão'!$E$7:$J$103,EB$8,0)</f>
        <v>8.7151499999999995</v>
      </c>
      <c r="EC59" s="1759" t="s">
        <v>452</v>
      </c>
      <c r="ED59" s="992">
        <f>EB59*ED58</f>
        <v>27975.6315</v>
      </c>
      <c r="EE59" s="1759" t="s">
        <v>413</v>
      </c>
      <c r="EF59" s="992">
        <f>$D59*ED59</f>
        <v>40564.665674999997</v>
      </c>
      <c r="EG59" s="1759"/>
      <c r="EH59" s="992"/>
      <c r="EI59" s="1759"/>
      <c r="EJ59" s="1758">
        <f>VLOOKUP($G59,'Quantidades Padrão'!$E$7:$J$103,EJ$8,0)</f>
        <v>4.6480800000000002</v>
      </c>
      <c r="EK59" s="1759" t="s">
        <v>452</v>
      </c>
      <c r="EL59" s="992">
        <f>EJ59*EL58</f>
        <v>7957.5129600000018</v>
      </c>
      <c r="EM59" s="1759" t="s">
        <v>413</v>
      </c>
      <c r="EN59" s="992">
        <f>$D59*EL59</f>
        <v>11538.393792000003</v>
      </c>
      <c r="EO59" s="1759"/>
      <c r="EP59" s="992"/>
      <c r="EQ59" s="1759"/>
      <c r="ER59" s="1758">
        <f>VLOOKUP($G59,'Quantidades Padrão'!$E$7:$J$103,ER$8,0)</f>
        <v>6.6816150000000007</v>
      </c>
      <c r="ES59" s="1759" t="s">
        <v>452</v>
      </c>
      <c r="ET59" s="992">
        <f>ER59*ET58</f>
        <v>16443.454515000001</v>
      </c>
      <c r="EU59" s="1759" t="s">
        <v>413</v>
      </c>
      <c r="EV59" s="992">
        <f>$D59*ET59</f>
        <v>23843.009046750001</v>
      </c>
      <c r="EW59" s="1759"/>
      <c r="EX59" s="992"/>
      <c r="EY59" s="1759"/>
      <c r="EZ59" s="1758">
        <f>VLOOKUP($G59,'Quantidades Padrão'!$E$7:$J$103,EZ$8,0)</f>
        <v>8.7151499999999995</v>
      </c>
      <c r="FA59" s="1759" t="s">
        <v>452</v>
      </c>
      <c r="FB59" s="992">
        <f>EZ59*FB58</f>
        <v>27975.6315</v>
      </c>
      <c r="FC59" s="1759" t="s">
        <v>413</v>
      </c>
      <c r="FD59" s="992">
        <f>$D59*FB59</f>
        <v>40564.665674999997</v>
      </c>
      <c r="FE59" s="1759"/>
      <c r="FF59" s="992"/>
      <c r="FG59" s="1759"/>
      <c r="FH59" s="1758">
        <f>VLOOKUP($G59,'Quantidades Padrão'!$E$7:$J$103,FH$8,0)</f>
        <v>4.6480800000000002</v>
      </c>
      <c r="FI59" s="1759" t="s">
        <v>452</v>
      </c>
      <c r="FJ59" s="992">
        <f>FH59*FJ58</f>
        <v>7957.5129600000018</v>
      </c>
      <c r="FK59" s="1759" t="s">
        <v>413</v>
      </c>
      <c r="FL59" s="992">
        <f>$D59*FJ59</f>
        <v>11538.393792000003</v>
      </c>
      <c r="FM59" s="1759"/>
      <c r="FN59" s="992"/>
      <c r="FO59" s="1759"/>
      <c r="FP59" s="1758">
        <f>VLOOKUP($G59,'Quantidades Padrão'!$E$7:$J$103,FP$8,0)</f>
        <v>6.6816150000000007</v>
      </c>
      <c r="FQ59" s="1759" t="s">
        <v>452</v>
      </c>
      <c r="FR59" s="992">
        <f>FP59*FR58</f>
        <v>16443.454515000001</v>
      </c>
      <c r="FS59" s="1759" t="s">
        <v>413</v>
      </c>
      <c r="FT59" s="992">
        <f>$D59*FR59</f>
        <v>23843.009046750001</v>
      </c>
      <c r="FU59" s="1759"/>
      <c r="FV59" s="992"/>
      <c r="FW59" s="1759"/>
      <c r="FX59" s="1758">
        <f>VLOOKUP($G59,'Quantidades Padrão'!$E$7:$J$103,FX$8,0)</f>
        <v>8.7151499999999995</v>
      </c>
      <c r="FY59" s="1759" t="s">
        <v>452</v>
      </c>
      <c r="FZ59" s="992">
        <f>FX59*FZ58</f>
        <v>27975.6315</v>
      </c>
      <c r="GA59" s="1759" t="s">
        <v>413</v>
      </c>
      <c r="GB59" s="992">
        <f>$D59*FZ59</f>
        <v>40564.665674999997</v>
      </c>
      <c r="GC59" s="1759"/>
      <c r="GD59" s="992"/>
      <c r="GE59" s="1759"/>
      <c r="GF59" s="1758">
        <f>VLOOKUP($G59,'Quantidades Padrão'!$E$7:$J$103,GF$8,0)</f>
        <v>4.6480800000000002</v>
      </c>
      <c r="GG59" s="1759" t="s">
        <v>452</v>
      </c>
      <c r="GH59" s="992">
        <f>GF59*GH58</f>
        <v>7957.5129600000018</v>
      </c>
      <c r="GI59" s="1759" t="s">
        <v>413</v>
      </c>
      <c r="GJ59" s="992">
        <f>$D59*GH59</f>
        <v>11538.393792000003</v>
      </c>
      <c r="GK59" s="1759"/>
      <c r="GL59" s="992"/>
      <c r="GM59" s="1759"/>
      <c r="GN59" s="1758">
        <f>VLOOKUP($G59,'Quantidades Padrão'!$E$7:$J$103,GN$8,0)</f>
        <v>6.6816150000000007</v>
      </c>
      <c r="GO59" s="1759" t="s">
        <v>452</v>
      </c>
      <c r="GP59" s="992">
        <f>GN59*GP58</f>
        <v>16443.454515000001</v>
      </c>
      <c r="GQ59" s="1759" t="s">
        <v>413</v>
      </c>
      <c r="GR59" s="992">
        <f>$D59*GP59</f>
        <v>23843.009046750001</v>
      </c>
      <c r="GS59" s="1759"/>
      <c r="GT59" s="992"/>
      <c r="GU59" s="1759"/>
      <c r="GV59" s="1758">
        <f>VLOOKUP($G59,'Quantidades Padrão'!$E$7:$J$103,GV$8,0)</f>
        <v>8.7151499999999995</v>
      </c>
      <c r="GW59" s="1759" t="s">
        <v>452</v>
      </c>
      <c r="GX59" s="992">
        <f>GV59*GX58</f>
        <v>27975.6315</v>
      </c>
      <c r="GY59" s="1759" t="s">
        <v>413</v>
      </c>
      <c r="GZ59" s="992">
        <f>$D59*GX59</f>
        <v>40564.665674999997</v>
      </c>
      <c r="HA59" s="1759"/>
      <c r="HB59" s="992"/>
      <c r="HC59" s="1759"/>
      <c r="HD59" s="1758">
        <f>VLOOKUP($G59,'Quantidades Padrão'!$E$7:$J$103,HD$8,0)</f>
        <v>4.6480800000000002</v>
      </c>
      <c r="HE59" s="1759" t="s">
        <v>452</v>
      </c>
      <c r="HF59" s="992">
        <f>HD59*HF58</f>
        <v>7957.5129600000018</v>
      </c>
      <c r="HG59" s="1759" t="s">
        <v>413</v>
      </c>
      <c r="HH59" s="992">
        <f>$D59*HF59</f>
        <v>11538.393792000003</v>
      </c>
      <c r="HI59" s="1759"/>
      <c r="HJ59" s="992"/>
      <c r="HK59" s="1759"/>
      <c r="HL59" s="1758">
        <f>VLOOKUP($G59,'Quantidades Padrão'!$E$7:$J$103,HL$8,0)</f>
        <v>6.6816150000000007</v>
      </c>
      <c r="HM59" s="1759" t="s">
        <v>452</v>
      </c>
      <c r="HN59" s="992">
        <f>HL59*HN58</f>
        <v>16443.454515000001</v>
      </c>
      <c r="HO59" s="1759" t="s">
        <v>413</v>
      </c>
      <c r="HP59" s="992">
        <f>$D59*HN59</f>
        <v>23843.009046750001</v>
      </c>
      <c r="HQ59" s="1759"/>
      <c r="HR59" s="992"/>
      <c r="HS59" s="1759"/>
      <c r="HT59" s="1758">
        <f>VLOOKUP($G59,'Quantidades Padrão'!$E$7:$J$103,HT$8,0)</f>
        <v>8.7151499999999995</v>
      </c>
      <c r="HU59" s="1759" t="s">
        <v>452</v>
      </c>
      <c r="HV59" s="992">
        <f>HT59*HV58</f>
        <v>27975.6315</v>
      </c>
      <c r="HW59" s="1759" t="s">
        <v>413</v>
      </c>
      <c r="HX59" s="992">
        <f>$D59*HV59</f>
        <v>40564.665674999997</v>
      </c>
      <c r="HY59" s="1759"/>
      <c r="HZ59" s="992"/>
      <c r="IA59" s="1759"/>
      <c r="IB59" s="1758">
        <f>VLOOKUP($G59,'Quantidades Padrão'!$E$7:$J$103,IB$8,0)</f>
        <v>4.6480800000000002</v>
      </c>
      <c r="IC59" s="1759" t="s">
        <v>452</v>
      </c>
      <c r="ID59" s="992">
        <f>IB59*ID58</f>
        <v>7957.5129600000018</v>
      </c>
      <c r="IE59" s="1759" t="s">
        <v>413</v>
      </c>
      <c r="IF59" s="992">
        <f>$D59*ID59</f>
        <v>11538.393792000003</v>
      </c>
      <c r="IG59" s="1759"/>
      <c r="IH59" s="992"/>
      <c r="II59" s="1759"/>
      <c r="IJ59" s="1758">
        <f>VLOOKUP($G59,'Quantidades Padrão'!$E$7:$J$103,IJ$8,0)</f>
        <v>6.6816150000000007</v>
      </c>
      <c r="IK59" s="1759" t="s">
        <v>452</v>
      </c>
      <c r="IL59" s="992">
        <f>IJ59*IL58</f>
        <v>16443.454515000001</v>
      </c>
      <c r="IM59" s="1759" t="s">
        <v>413</v>
      </c>
      <c r="IN59" s="992">
        <f>$D59*IL59</f>
        <v>23843.009046750001</v>
      </c>
      <c r="IO59" s="1759"/>
    </row>
    <row r="60" spans="1:249" s="341" customFormat="1">
      <c r="A60" s="1753"/>
      <c r="B60" s="1754"/>
      <c r="C60" s="1755"/>
      <c r="D60" s="1013">
        <f>VLOOKUP(E60,'DER MG'!$D$5:$I$150,6,0)</f>
        <v>5.79</v>
      </c>
      <c r="E60" s="1017">
        <v>4915737</v>
      </c>
      <c r="F60" s="1756"/>
      <c r="G60" s="1018" t="s">
        <v>453</v>
      </c>
      <c r="H60" s="992">
        <f t="shared" si="339"/>
        <v>0</v>
      </c>
      <c r="I60" s="992">
        <f>'Terrapl. Estrut. Contenção'!J18</f>
        <v>0</v>
      </c>
      <c r="J60" s="1759" t="s">
        <v>413</v>
      </c>
      <c r="K60" s="1758">
        <f>VLOOKUP($G60,'Quantidades Padrão'!$E$7:$J$103,K$8,0)</f>
        <v>0.72760000000000014</v>
      </c>
      <c r="L60" s="1759" t="s">
        <v>433</v>
      </c>
      <c r="M60" s="992">
        <f>I60*K60</f>
        <v>0</v>
      </c>
      <c r="N60" s="1759" t="s">
        <v>413</v>
      </c>
      <c r="O60" s="992">
        <f>$D60*M60</f>
        <v>0</v>
      </c>
      <c r="P60" s="1759"/>
      <c r="Q60" s="1760">
        <f t="shared" si="315"/>
        <v>0</v>
      </c>
      <c r="R60" s="992">
        <f>$I60</f>
        <v>0</v>
      </c>
      <c r="S60" s="1759" t="s">
        <v>413</v>
      </c>
      <c r="T60" s="1758">
        <f>VLOOKUP($G60,'Quantidades Padrão'!$E$7:$J$103,T$8,0)</f>
        <v>0.72760000000000014</v>
      </c>
      <c r="U60" s="1759" t="s">
        <v>433</v>
      </c>
      <c r="V60" s="992">
        <f>R60*T60</f>
        <v>0</v>
      </c>
      <c r="W60" s="1759" t="s">
        <v>413</v>
      </c>
      <c r="X60" s="992">
        <f>$D60*V60</f>
        <v>0</v>
      </c>
      <c r="Y60" s="1759"/>
      <c r="Z60" s="992">
        <f>$I60</f>
        <v>0</v>
      </c>
      <c r="AA60" s="1759" t="s">
        <v>413</v>
      </c>
      <c r="AB60" s="1758">
        <f>VLOOKUP($G60,'Quantidades Padrão'!$E$7:$J$103,AB$8,0)</f>
        <v>1.36425</v>
      </c>
      <c r="AC60" s="1759" t="s">
        <v>433</v>
      </c>
      <c r="AD60" s="992">
        <f>Z60*AB60</f>
        <v>0</v>
      </c>
      <c r="AE60" s="1759" t="s">
        <v>413</v>
      </c>
      <c r="AF60" s="992">
        <f>$D60*AD60</f>
        <v>0</v>
      </c>
      <c r="AG60" s="1759"/>
      <c r="AH60" s="992">
        <f>$I60</f>
        <v>0</v>
      </c>
      <c r="AI60" s="1759" t="s">
        <v>413</v>
      </c>
      <c r="AJ60" s="1758">
        <f>VLOOKUP($G60,'Quantidades Padrão'!$E$7:$J$103,AJ$8,0)</f>
        <v>0.72760000000000014</v>
      </c>
      <c r="AK60" s="1759" t="s">
        <v>433</v>
      </c>
      <c r="AL60" s="992">
        <f>AH60*AJ60</f>
        <v>0</v>
      </c>
      <c r="AM60" s="1759" t="s">
        <v>413</v>
      </c>
      <c r="AN60" s="992">
        <f>$D60*AL60</f>
        <v>0</v>
      </c>
      <c r="AO60" s="1759"/>
      <c r="AP60" s="992">
        <f>$I60</f>
        <v>0</v>
      </c>
      <c r="AQ60" s="1759" t="s">
        <v>413</v>
      </c>
      <c r="AR60" s="1758">
        <f>VLOOKUP($G60,'Quantidades Padrão'!$E$7:$J$103,AR$8,0)</f>
        <v>0.72760000000000014</v>
      </c>
      <c r="AS60" s="1759" t="s">
        <v>433</v>
      </c>
      <c r="AT60" s="992">
        <f>AP60*AR60</f>
        <v>0</v>
      </c>
      <c r="AU60" s="1759" t="s">
        <v>413</v>
      </c>
      <c r="AV60" s="992">
        <f>$D60*AT60</f>
        <v>0</v>
      </c>
      <c r="AW60" s="1759"/>
      <c r="AX60" s="992">
        <f>$I60</f>
        <v>0</v>
      </c>
      <c r="AY60" s="1759" t="s">
        <v>413</v>
      </c>
      <c r="AZ60" s="1758">
        <f>VLOOKUP($G60,'Quantidades Padrão'!$E$7:$J$103,AZ$8,0)</f>
        <v>1.045925</v>
      </c>
      <c r="BA60" s="1759" t="s">
        <v>433</v>
      </c>
      <c r="BB60" s="992">
        <f t="shared" si="340"/>
        <v>0</v>
      </c>
      <c r="BC60" s="1759" t="s">
        <v>413</v>
      </c>
      <c r="BD60" s="992">
        <f>$D60*BB60</f>
        <v>0</v>
      </c>
      <c r="BE60" s="1759"/>
      <c r="BF60" s="992">
        <f>$I60</f>
        <v>0</v>
      </c>
      <c r="BG60" s="1759" t="str">
        <f>J60</f>
        <v>m³</v>
      </c>
      <c r="BH60" s="1758">
        <f>VLOOKUP($G60,'Quantidades Padrão'!$E$7:$J$103,BH$8,0)</f>
        <v>1.36425</v>
      </c>
      <c r="BI60" s="1772"/>
      <c r="BJ60" s="992">
        <f>BF60*BH60</f>
        <v>0</v>
      </c>
      <c r="BK60" s="1772"/>
      <c r="BL60" s="992">
        <f>$D60*BJ60</f>
        <v>0</v>
      </c>
      <c r="BM60" s="1759"/>
      <c r="BN60" s="992">
        <f>$I60</f>
        <v>0</v>
      </c>
      <c r="BO60" s="1759" t="s">
        <v>413</v>
      </c>
      <c r="BP60" s="1758">
        <f>VLOOKUP($G60,'Quantidades Padrão'!$E$7:$J$103,BP$8,0)</f>
        <v>0.72760000000000014</v>
      </c>
      <c r="BQ60" s="1772"/>
      <c r="BR60" s="992">
        <f>BN60*BP60</f>
        <v>0</v>
      </c>
      <c r="BS60" s="1772"/>
      <c r="BT60" s="992">
        <f>$D60*BR60</f>
        <v>0</v>
      </c>
      <c r="BU60" s="1759"/>
      <c r="BV60" s="992">
        <f>$I60</f>
        <v>0</v>
      </c>
      <c r="BW60" s="1759" t="s">
        <v>413</v>
      </c>
      <c r="BX60" s="1758">
        <f>VLOOKUP($G60,'Quantidades Padrão'!$E$7:$J$103,BX$8,0)</f>
        <v>1.045925</v>
      </c>
      <c r="BY60" s="1772"/>
      <c r="BZ60" s="992">
        <f>BV60*BX60</f>
        <v>0</v>
      </c>
      <c r="CA60" s="1772"/>
      <c r="CB60" s="992">
        <f>$D60*BZ60</f>
        <v>0</v>
      </c>
      <c r="CC60" s="1759"/>
      <c r="CD60" s="992">
        <f>$I60</f>
        <v>0</v>
      </c>
      <c r="CE60" s="1759" t="s">
        <v>413</v>
      </c>
      <c r="CF60" s="1758">
        <f>VLOOKUP($G60,'Quantidades Padrão'!$E$7:$J$103,CF$8,0)</f>
        <v>1.36425</v>
      </c>
      <c r="CG60" s="1772"/>
      <c r="CH60" s="992">
        <f>CD60*CF60</f>
        <v>0</v>
      </c>
      <c r="CI60" s="1772"/>
      <c r="CJ60" s="992">
        <f>$D60*CH60</f>
        <v>0</v>
      </c>
      <c r="CK60" s="1759"/>
      <c r="CL60" s="992">
        <f t="shared" ref="CL60:CM63" si="341">BF60</f>
        <v>0</v>
      </c>
      <c r="CM60" s="1759" t="str">
        <f t="shared" si="341"/>
        <v>m³</v>
      </c>
      <c r="CN60" s="1758">
        <f>VLOOKUP($G60,'Quantidades Padrão'!$E$7:$J$103,CN$8,0)</f>
        <v>0.72760000000000014</v>
      </c>
      <c r="CO60" s="1772"/>
      <c r="CP60" s="992">
        <f>CL60*CN60</f>
        <v>0</v>
      </c>
      <c r="CQ60" s="1772"/>
      <c r="CR60" s="992">
        <f>$D60*CP60</f>
        <v>0</v>
      </c>
      <c r="CS60" s="1759"/>
      <c r="CT60" s="992">
        <f t="shared" ref="CT60:CT63" si="342">BN60</f>
        <v>0</v>
      </c>
      <c r="CU60" s="1759" t="s">
        <v>413</v>
      </c>
      <c r="CV60" s="1758">
        <f>VLOOKUP($G60,'Quantidades Padrão'!$E$7:$J$103,CV$8,0)</f>
        <v>1.045925</v>
      </c>
      <c r="CW60" s="1772"/>
      <c r="CX60" s="992">
        <f>CT60*CV60</f>
        <v>0</v>
      </c>
      <c r="CY60" s="1772"/>
      <c r="CZ60" s="992">
        <f>$D60*CX60</f>
        <v>0</v>
      </c>
      <c r="DA60" s="1759"/>
      <c r="DB60" s="992">
        <f t="shared" ref="DB60:DB63" si="343">BV60</f>
        <v>0</v>
      </c>
      <c r="DC60" s="1759" t="s">
        <v>413</v>
      </c>
      <c r="DD60" s="1758">
        <f>VLOOKUP($G60,'Quantidades Padrão'!$E$7:$J$103,DD$8,0)</f>
        <v>1.36425</v>
      </c>
      <c r="DE60" s="1772"/>
      <c r="DF60" s="992">
        <f>DB60*DD60</f>
        <v>0</v>
      </c>
      <c r="DG60" s="1772"/>
      <c r="DH60" s="992">
        <f>$D60*DF60</f>
        <v>0</v>
      </c>
      <c r="DI60" s="1759"/>
      <c r="DJ60" s="992">
        <f t="shared" ref="DJ60:DJ63" si="344">CD60</f>
        <v>0</v>
      </c>
      <c r="DK60" s="1759" t="s">
        <v>413</v>
      </c>
      <c r="DL60" s="1758">
        <f>VLOOKUP($G60,'Quantidades Padrão'!$E$7:$J$103,DL$8,0)</f>
        <v>0.72760000000000014</v>
      </c>
      <c r="DM60" s="1772"/>
      <c r="DN60" s="992">
        <f>DJ60*DL60</f>
        <v>0</v>
      </c>
      <c r="DO60" s="1772"/>
      <c r="DP60" s="992">
        <f>$D60*DN60</f>
        <v>0</v>
      </c>
      <c r="DQ60" s="1759"/>
      <c r="DR60" s="992">
        <f t="shared" ref="DR60:DR63" si="345">CL60</f>
        <v>0</v>
      </c>
      <c r="DS60" s="1759" t="s">
        <v>413</v>
      </c>
      <c r="DT60" s="1758">
        <f>VLOOKUP($G60,'Quantidades Padrão'!$E$7:$J$103,DT$8,0)</f>
        <v>1.045925</v>
      </c>
      <c r="DU60" s="1772"/>
      <c r="DV60" s="992">
        <f>DR60*DT60</f>
        <v>0</v>
      </c>
      <c r="DW60" s="1772"/>
      <c r="DX60" s="992">
        <f>$D60*DV60</f>
        <v>0</v>
      </c>
      <c r="DY60" s="1759"/>
      <c r="DZ60" s="992">
        <f t="shared" ref="DZ60:EA63" si="346">CT60</f>
        <v>0</v>
      </c>
      <c r="EA60" s="1759" t="str">
        <f t="shared" si="346"/>
        <v>m³</v>
      </c>
      <c r="EB60" s="1758">
        <f>VLOOKUP($G60,'Quantidades Padrão'!$E$7:$J$103,EB$8,0)</f>
        <v>1.36425</v>
      </c>
      <c r="EC60" s="1772"/>
      <c r="ED60" s="992">
        <f>DZ60*EB60</f>
        <v>0</v>
      </c>
      <c r="EE60" s="1772"/>
      <c r="EF60" s="992">
        <f>$D60*ED60</f>
        <v>0</v>
      </c>
      <c r="EG60" s="1759"/>
      <c r="EH60" s="992">
        <f t="shared" ref="EH60:EI63" si="347">DB60</f>
        <v>0</v>
      </c>
      <c r="EI60" s="1759" t="str">
        <f t="shared" si="347"/>
        <v>m³</v>
      </c>
      <c r="EJ60" s="1758">
        <f>VLOOKUP($G60,'Quantidades Padrão'!$E$7:$J$103,EJ$8,0)</f>
        <v>0.72760000000000014</v>
      </c>
      <c r="EK60" s="1772"/>
      <c r="EL60" s="992">
        <f>EH60*EJ60</f>
        <v>0</v>
      </c>
      <c r="EM60" s="1772"/>
      <c r="EN60" s="992">
        <f>$D60*EL60</f>
        <v>0</v>
      </c>
      <c r="EO60" s="1759"/>
      <c r="EP60" s="992">
        <f t="shared" ref="EP60:EQ63" si="348">CL60</f>
        <v>0</v>
      </c>
      <c r="EQ60" s="1759" t="str">
        <f t="shared" si="348"/>
        <v>m³</v>
      </c>
      <c r="ER60" s="1758">
        <f>VLOOKUP($G60,'Quantidades Padrão'!$E$7:$J$103,ER$8,0)</f>
        <v>1.045925</v>
      </c>
      <c r="ES60" s="1772"/>
      <c r="ET60" s="992">
        <f>EP60*ER60</f>
        <v>0</v>
      </c>
      <c r="EU60" s="1772"/>
      <c r="EV60" s="992">
        <f>$D60*ET60</f>
        <v>0</v>
      </c>
      <c r="EW60" s="1759"/>
      <c r="EX60" s="992">
        <f t="shared" ref="EX60:EY63" si="349">CT60</f>
        <v>0</v>
      </c>
      <c r="EY60" s="1759" t="str">
        <f t="shared" si="349"/>
        <v>m³</v>
      </c>
      <c r="EZ60" s="1758">
        <f>VLOOKUP($G60,'Quantidades Padrão'!$E$7:$J$103,EZ$8,0)</f>
        <v>1.36425</v>
      </c>
      <c r="FA60" s="1772"/>
      <c r="FB60" s="992">
        <f>EX60*EZ60</f>
        <v>0</v>
      </c>
      <c r="FC60" s="1772"/>
      <c r="FD60" s="992">
        <f>$D60*FB60</f>
        <v>0</v>
      </c>
      <c r="FE60" s="1759"/>
      <c r="FF60" s="992">
        <f t="shared" ref="FF60:FG63" si="350">DB60</f>
        <v>0</v>
      </c>
      <c r="FG60" s="1759" t="str">
        <f t="shared" si="350"/>
        <v>m³</v>
      </c>
      <c r="FH60" s="1758">
        <f>VLOOKUP($G60,'Quantidades Padrão'!$E$7:$J$103,FH$8,0)</f>
        <v>0.72760000000000014</v>
      </c>
      <c r="FI60" s="1772"/>
      <c r="FJ60" s="992">
        <f>FF60*FH60</f>
        <v>0</v>
      </c>
      <c r="FK60" s="1772"/>
      <c r="FL60" s="992">
        <f>$D60*FJ60</f>
        <v>0</v>
      </c>
      <c r="FM60" s="1759"/>
      <c r="FN60" s="992">
        <f t="shared" ref="FN60:FO63" si="351">DJ60</f>
        <v>0</v>
      </c>
      <c r="FO60" s="1759" t="str">
        <f t="shared" si="351"/>
        <v>m³</v>
      </c>
      <c r="FP60" s="1758">
        <f>VLOOKUP($G60,'Quantidades Padrão'!$E$7:$J$103,FP$8,0)</f>
        <v>1.045925</v>
      </c>
      <c r="FQ60" s="1772"/>
      <c r="FR60" s="992">
        <f>FN60*FP60</f>
        <v>0</v>
      </c>
      <c r="FS60" s="1772"/>
      <c r="FT60" s="992">
        <f>$D60*FR60</f>
        <v>0</v>
      </c>
      <c r="FU60" s="1759"/>
      <c r="FV60" s="992">
        <f t="shared" ref="FV60:FW63" si="352">DR60</f>
        <v>0</v>
      </c>
      <c r="FW60" s="1759" t="str">
        <f t="shared" si="352"/>
        <v>m³</v>
      </c>
      <c r="FX60" s="1758">
        <f>VLOOKUP($G60,'Quantidades Padrão'!$E$7:$J$103,FX$8,0)</f>
        <v>1.36425</v>
      </c>
      <c r="FY60" s="1772"/>
      <c r="FZ60" s="992">
        <f>FV60*FX60</f>
        <v>0</v>
      </c>
      <c r="GA60" s="1772"/>
      <c r="GB60" s="992">
        <f>$D60*FZ60</f>
        <v>0</v>
      </c>
      <c r="GC60" s="1759"/>
      <c r="GD60" s="992">
        <f t="shared" ref="GD60:GE63" si="353">DZ60</f>
        <v>0</v>
      </c>
      <c r="GE60" s="1759" t="str">
        <f t="shared" si="353"/>
        <v>m³</v>
      </c>
      <c r="GF60" s="1758">
        <f>VLOOKUP($G60,'Quantidades Padrão'!$E$7:$J$103,GF$8,0)</f>
        <v>0.72760000000000014</v>
      </c>
      <c r="GG60" s="1772"/>
      <c r="GH60" s="992">
        <f>GD60*GF60</f>
        <v>0</v>
      </c>
      <c r="GI60" s="1772"/>
      <c r="GJ60" s="992">
        <f>$D60*GH60</f>
        <v>0</v>
      </c>
      <c r="GK60" s="1759"/>
      <c r="GL60" s="992">
        <f t="shared" ref="GL60:GM63" si="354">EH60</f>
        <v>0</v>
      </c>
      <c r="GM60" s="1759" t="str">
        <f t="shared" si="354"/>
        <v>m³</v>
      </c>
      <c r="GN60" s="1758">
        <f>VLOOKUP($G60,'Quantidades Padrão'!$E$7:$J$103,GN$8,0)</f>
        <v>1.045925</v>
      </c>
      <c r="GO60" s="1772"/>
      <c r="GP60" s="992">
        <f>GL60*GN60</f>
        <v>0</v>
      </c>
      <c r="GQ60" s="1772"/>
      <c r="GR60" s="992">
        <f>$D60*GP60</f>
        <v>0</v>
      </c>
      <c r="GS60" s="1759"/>
      <c r="GT60" s="992">
        <f t="shared" ref="GT60:GU63" si="355">EP60</f>
        <v>0</v>
      </c>
      <c r="GU60" s="1759" t="str">
        <f t="shared" si="355"/>
        <v>m³</v>
      </c>
      <c r="GV60" s="1758">
        <f>VLOOKUP($G60,'Quantidades Padrão'!$E$7:$J$103,GV$8,0)</f>
        <v>1.36425</v>
      </c>
      <c r="GW60" s="1772"/>
      <c r="GX60" s="992">
        <f>GT60*GV60</f>
        <v>0</v>
      </c>
      <c r="GY60" s="1772"/>
      <c r="GZ60" s="992">
        <f>$D60*GX60</f>
        <v>0</v>
      </c>
      <c r="HA60" s="1759"/>
      <c r="HB60" s="992">
        <f t="shared" ref="HB60:HB63" si="356">EP60</f>
        <v>0</v>
      </c>
      <c r="HC60" s="1759" t="str">
        <f t="shared" ref="HC60:HC63" si="357">EQ60</f>
        <v>m³</v>
      </c>
      <c r="HD60" s="1758">
        <f>VLOOKUP($G60,'Quantidades Padrão'!$E$7:$J$103,HD$8,0)</f>
        <v>0.72760000000000014</v>
      </c>
      <c r="HE60" s="1772"/>
      <c r="HF60" s="992">
        <f>HB60*HD60</f>
        <v>0</v>
      </c>
      <c r="HG60" s="1772"/>
      <c r="HH60" s="992">
        <f>$D60*HF60</f>
        <v>0</v>
      </c>
      <c r="HI60" s="1759"/>
      <c r="HJ60" s="992">
        <f t="shared" ref="HJ60:HJ63" si="358">EX60</f>
        <v>0</v>
      </c>
      <c r="HK60" s="1759" t="str">
        <f t="shared" ref="HK60:HK63" si="359">EY60</f>
        <v>m³</v>
      </c>
      <c r="HL60" s="1758">
        <f>VLOOKUP($G60,'Quantidades Padrão'!$E$7:$J$103,HL$8,0)</f>
        <v>1.045925</v>
      </c>
      <c r="HM60" s="1772"/>
      <c r="HN60" s="992">
        <f>HJ60*HL60</f>
        <v>0</v>
      </c>
      <c r="HO60" s="1772"/>
      <c r="HP60" s="992">
        <f>$D60*HN60</f>
        <v>0</v>
      </c>
      <c r="HQ60" s="1759"/>
      <c r="HR60" s="992">
        <f t="shared" ref="HR60:HR63" si="360">FF60</f>
        <v>0</v>
      </c>
      <c r="HS60" s="1759" t="str">
        <f t="shared" ref="HS60:HS63" si="361">FG60</f>
        <v>m³</v>
      </c>
      <c r="HT60" s="1758">
        <f>VLOOKUP($G60,'Quantidades Padrão'!$E$7:$J$103,HT$8,0)</f>
        <v>1.36425</v>
      </c>
      <c r="HU60" s="1772"/>
      <c r="HV60" s="992">
        <f>HR60*HT60</f>
        <v>0</v>
      </c>
      <c r="HW60" s="1772"/>
      <c r="HX60" s="992">
        <f>$D60*HV60</f>
        <v>0</v>
      </c>
      <c r="HY60" s="1759"/>
      <c r="HZ60" s="992">
        <f t="shared" ref="HZ60:HZ63" si="362">FN60</f>
        <v>0</v>
      </c>
      <c r="IA60" s="1759" t="str">
        <f t="shared" ref="IA60:IA63" si="363">FO60</f>
        <v>m³</v>
      </c>
      <c r="IB60" s="1758">
        <f>VLOOKUP($G60,'Quantidades Padrão'!$E$7:$J$103,IB$8,0)</f>
        <v>0.72760000000000014</v>
      </c>
      <c r="IC60" s="1772"/>
      <c r="ID60" s="992">
        <f>HZ60*IB60</f>
        <v>0</v>
      </c>
      <c r="IE60" s="1772"/>
      <c r="IF60" s="992">
        <f>$D60*ID60</f>
        <v>0</v>
      </c>
      <c r="IG60" s="1759"/>
      <c r="IH60" s="992">
        <f t="shared" ref="IH60:IH63" si="364">FV60</f>
        <v>0</v>
      </c>
      <c r="II60" s="1759" t="str">
        <f t="shared" ref="II60:II63" si="365">FW60</f>
        <v>m³</v>
      </c>
      <c r="IJ60" s="1758">
        <f>VLOOKUP($G60,'Quantidades Padrão'!$E$7:$J$103,IJ$8,0)</f>
        <v>1.045925</v>
      </c>
      <c r="IK60" s="1772"/>
      <c r="IL60" s="992">
        <f>IH60*IJ60</f>
        <v>0</v>
      </c>
      <c r="IM60" s="1772"/>
      <c r="IN60" s="992">
        <f>$D60*IL60</f>
        <v>0</v>
      </c>
      <c r="IO60" s="1759"/>
    </row>
    <row r="61" spans="1:249" s="341" customFormat="1">
      <c r="A61" s="1753"/>
      <c r="B61" s="1754"/>
      <c r="C61" s="1755"/>
      <c r="D61" s="1020"/>
      <c r="E61" s="1761"/>
      <c r="F61" s="1762" t="s">
        <v>71</v>
      </c>
      <c r="G61" s="1763" t="s">
        <v>333</v>
      </c>
      <c r="H61" s="994">
        <f>SUBTOTAL(9,H62:H66)</f>
        <v>8224890.757342292</v>
      </c>
      <c r="I61" s="1774"/>
      <c r="J61" s="1775"/>
      <c r="K61" s="1777"/>
      <c r="L61" s="1775"/>
      <c r="M61" s="1774"/>
      <c r="N61" s="1775"/>
      <c r="O61" s="994">
        <f>SUBTOTAL(9,O62:O66)</f>
        <v>184829.52372480003</v>
      </c>
      <c r="P61" s="1765">
        <f>O61/$H61</f>
        <v>2.2471973084846657E-2</v>
      </c>
      <c r="Q61" s="1766">
        <f t="shared" si="315"/>
        <v>2.9776198147964391E-2</v>
      </c>
      <c r="R61" s="1774"/>
      <c r="S61" s="1775"/>
      <c r="T61" s="1777"/>
      <c r="U61" s="1775"/>
      <c r="V61" s="1774"/>
      <c r="W61" s="1775"/>
      <c r="X61" s="994">
        <f>SUBTOTAL(9,X62:X66)</f>
        <v>184829.52372480003</v>
      </c>
      <c r="Y61" s="1765">
        <f>X61/$H61</f>
        <v>2.2471973084846657E-2</v>
      </c>
      <c r="Z61" s="1774"/>
      <c r="AA61" s="1775"/>
      <c r="AB61" s="1777"/>
      <c r="AC61" s="1775"/>
      <c r="AD61" s="1774"/>
      <c r="AE61" s="1775"/>
      <c r="AF61" s="994">
        <f>SUBTOTAL(9,AF62:AF66)</f>
        <v>346555.35698400001</v>
      </c>
      <c r="AG61" s="1765">
        <f>AF61/$H61</f>
        <v>4.2134949534087481E-2</v>
      </c>
      <c r="AH61" s="1774"/>
      <c r="AI61" s="1775"/>
      <c r="AJ61" s="1777"/>
      <c r="AK61" s="1775"/>
      <c r="AL61" s="1774"/>
      <c r="AM61" s="1775"/>
      <c r="AN61" s="994">
        <f>SUBTOTAL(9,AN62:AN66)</f>
        <v>184829.52372480003</v>
      </c>
      <c r="AO61" s="1765">
        <f>AN61/$H61</f>
        <v>2.2471973084846657E-2</v>
      </c>
      <c r="AP61" s="1774"/>
      <c r="AQ61" s="1775"/>
      <c r="AR61" s="1777"/>
      <c r="AS61" s="1775"/>
      <c r="AT61" s="1774"/>
      <c r="AU61" s="1775"/>
      <c r="AV61" s="994">
        <f>SUBTOTAL(9,AV62:AV66)</f>
        <v>184829.52372480003</v>
      </c>
      <c r="AW61" s="1765">
        <f>AV61/$H61</f>
        <v>2.2471973084846657E-2</v>
      </c>
      <c r="AX61" s="1774"/>
      <c r="AY61" s="1775"/>
      <c r="AZ61" s="1777"/>
      <c r="BA61" s="1775"/>
      <c r="BB61" s="1774"/>
      <c r="BC61" s="1775"/>
      <c r="BD61" s="994">
        <f>SUBTOTAL(9,BD62:BD66)</f>
        <v>270556.72173459374</v>
      </c>
      <c r="BE61" s="1765">
        <f>BD61/$H61</f>
        <v>3.2894871155956691E-2</v>
      </c>
      <c r="BF61" s="1774"/>
      <c r="BG61" s="1775">
        <f>J61</f>
        <v>0</v>
      </c>
      <c r="BH61" s="1777"/>
      <c r="BI61" s="1764"/>
      <c r="BJ61" s="1774"/>
      <c r="BK61" s="1764"/>
      <c r="BL61" s="994">
        <f>SUBTOTAL(9,BL62:BL66)</f>
        <v>365659.64938746183</v>
      </c>
      <c r="BM61" s="1765">
        <f>BL61/$H61</f>
        <v>4.4457690706838929E-2</v>
      </c>
      <c r="BN61" s="1774"/>
      <c r="BO61" s="1775">
        <v>0</v>
      </c>
      <c r="BP61" s="1777"/>
      <c r="BQ61" s="1764"/>
      <c r="BR61" s="1774"/>
      <c r="BS61" s="1764"/>
      <c r="BT61" s="994">
        <f>SUBTOTAL(9,BT62:BT66)</f>
        <v>195018.47967331298</v>
      </c>
      <c r="BU61" s="1765">
        <f>BT61/$H61</f>
        <v>2.3710768376980763E-2</v>
      </c>
      <c r="BV61" s="1774"/>
      <c r="BW61" s="1775">
        <v>0</v>
      </c>
      <c r="BX61" s="1777"/>
      <c r="BY61" s="1764"/>
      <c r="BZ61" s="1774"/>
      <c r="CA61" s="1764"/>
      <c r="CB61" s="994">
        <f>SUBTOTAL(9,CB62:CB66)</f>
        <v>280339.0645303874</v>
      </c>
      <c r="CC61" s="1765">
        <f>CB61/$H61</f>
        <v>3.4084229541909844E-2</v>
      </c>
      <c r="CD61" s="1774"/>
      <c r="CE61" s="1775">
        <v>0</v>
      </c>
      <c r="CF61" s="1777"/>
      <c r="CG61" s="1764"/>
      <c r="CH61" s="1774"/>
      <c r="CI61" s="1764"/>
      <c r="CJ61" s="994">
        <f>SUBTOTAL(9,CJ62:CJ66)</f>
        <v>365659.64938746183</v>
      </c>
      <c r="CK61" s="1765">
        <f>CJ61/$H61</f>
        <v>4.4457690706838929E-2</v>
      </c>
      <c r="CL61" s="1774">
        <f t="shared" si="341"/>
        <v>0</v>
      </c>
      <c r="CM61" s="1775">
        <f t="shared" si="341"/>
        <v>0</v>
      </c>
      <c r="CN61" s="1777"/>
      <c r="CO61" s="1764"/>
      <c r="CP61" s="1774"/>
      <c r="CQ61" s="1764"/>
      <c r="CR61" s="994">
        <f>SUBTOTAL(9,CR62:CR66)</f>
        <v>195018.47967331298</v>
      </c>
      <c r="CS61" s="1765">
        <f>CR61/$H61</f>
        <v>2.3710768376980763E-2</v>
      </c>
      <c r="CT61" s="1774">
        <f t="shared" si="342"/>
        <v>0</v>
      </c>
      <c r="CU61" s="1775">
        <v>0</v>
      </c>
      <c r="CV61" s="1777"/>
      <c r="CW61" s="1764"/>
      <c r="CX61" s="1774"/>
      <c r="CY61" s="1764"/>
      <c r="CZ61" s="994">
        <f>SUBTOTAL(9,CZ62:CZ66)</f>
        <v>280339.0645303874</v>
      </c>
      <c r="DA61" s="1765">
        <f>CZ61/$H61</f>
        <v>3.4084229541909844E-2</v>
      </c>
      <c r="DB61" s="1774">
        <f t="shared" si="343"/>
        <v>0</v>
      </c>
      <c r="DC61" s="1775">
        <v>0</v>
      </c>
      <c r="DD61" s="1777"/>
      <c r="DE61" s="1764"/>
      <c r="DF61" s="1774"/>
      <c r="DG61" s="1764"/>
      <c r="DH61" s="994">
        <f>SUBTOTAL(9,DH62:DH66)</f>
        <v>365659.64938746183</v>
      </c>
      <c r="DI61" s="1765">
        <f>DH61/$H61</f>
        <v>4.4457690706838929E-2</v>
      </c>
      <c r="DJ61" s="1774">
        <f t="shared" si="344"/>
        <v>0</v>
      </c>
      <c r="DK61" s="1775">
        <v>0</v>
      </c>
      <c r="DL61" s="1777"/>
      <c r="DM61" s="1764"/>
      <c r="DN61" s="1774"/>
      <c r="DO61" s="1764"/>
      <c r="DP61" s="994">
        <f>SUBTOTAL(9,DP62:DP66)</f>
        <v>195018.47967331298</v>
      </c>
      <c r="DQ61" s="1765">
        <f>DP61/$H61</f>
        <v>2.3710768376980763E-2</v>
      </c>
      <c r="DR61" s="1774">
        <f t="shared" si="345"/>
        <v>0</v>
      </c>
      <c r="DS61" s="1775">
        <v>0</v>
      </c>
      <c r="DT61" s="1777"/>
      <c r="DU61" s="1764"/>
      <c r="DV61" s="1774"/>
      <c r="DW61" s="1764"/>
      <c r="DX61" s="994">
        <f>SUBTOTAL(9,DX62:DX66)</f>
        <v>280339.0645303874</v>
      </c>
      <c r="DY61" s="1765">
        <f>DX61/$H61</f>
        <v>3.4084229541909844E-2</v>
      </c>
      <c r="DZ61" s="1774">
        <f t="shared" si="346"/>
        <v>0</v>
      </c>
      <c r="EA61" s="1775">
        <f t="shared" si="346"/>
        <v>0</v>
      </c>
      <c r="EB61" s="1777"/>
      <c r="EC61" s="1764"/>
      <c r="ED61" s="1774"/>
      <c r="EE61" s="1764"/>
      <c r="EF61" s="994">
        <f>SUBTOTAL(9,EF62:EF66)</f>
        <v>369936.22453146189</v>
      </c>
      <c r="EG61" s="1765">
        <f>EF61/$H61</f>
        <v>4.4977645958546364E-2</v>
      </c>
      <c r="EH61" s="1774">
        <f t="shared" si="347"/>
        <v>0</v>
      </c>
      <c r="EI61" s="1775">
        <f t="shared" si="347"/>
        <v>0</v>
      </c>
      <c r="EJ61" s="1777"/>
      <c r="EK61" s="1764"/>
      <c r="EL61" s="1774"/>
      <c r="EM61" s="1764"/>
      <c r="EN61" s="994">
        <f>SUBTOTAL(9,EN62:EN66)</f>
        <v>197299.31975011301</v>
      </c>
      <c r="EO61" s="1765">
        <f>EN61/$H61</f>
        <v>2.3988077844558062E-2</v>
      </c>
      <c r="EP61" s="1774">
        <f t="shared" si="348"/>
        <v>0</v>
      </c>
      <c r="EQ61" s="1775">
        <f t="shared" si="348"/>
        <v>0</v>
      </c>
      <c r="ER61" s="1777"/>
      <c r="ES61" s="1764"/>
      <c r="ET61" s="1774"/>
      <c r="EU61" s="1764"/>
      <c r="EV61" s="994">
        <f>SUBTOTAL(9,EV62:EV66)</f>
        <v>283617.77214078745</v>
      </c>
      <c r="EW61" s="1765">
        <f>EV61/$H61</f>
        <v>3.4482861901552211E-2</v>
      </c>
      <c r="EX61" s="1774">
        <f t="shared" si="349"/>
        <v>0</v>
      </c>
      <c r="EY61" s="1775">
        <f t="shared" si="349"/>
        <v>0</v>
      </c>
      <c r="EZ61" s="1777"/>
      <c r="FA61" s="1764"/>
      <c r="FB61" s="1774"/>
      <c r="FC61" s="1764"/>
      <c r="FD61" s="994">
        <f>SUBTOTAL(9,FD62:FD66)</f>
        <v>369936.22453146189</v>
      </c>
      <c r="FE61" s="1765">
        <f>FD61/$H61</f>
        <v>4.4977645958546364E-2</v>
      </c>
      <c r="FF61" s="1774">
        <f t="shared" si="350"/>
        <v>0</v>
      </c>
      <c r="FG61" s="1775">
        <f t="shared" si="350"/>
        <v>0</v>
      </c>
      <c r="FH61" s="1777"/>
      <c r="FI61" s="1764"/>
      <c r="FJ61" s="1774"/>
      <c r="FK61" s="1764"/>
      <c r="FL61" s="994">
        <f>SUBTOTAL(9,FL62:FL66)</f>
        <v>197299.31975011301</v>
      </c>
      <c r="FM61" s="1765">
        <f>FL61/$H61</f>
        <v>2.3988077844558062E-2</v>
      </c>
      <c r="FN61" s="1774">
        <f t="shared" si="351"/>
        <v>0</v>
      </c>
      <c r="FO61" s="1775">
        <f t="shared" si="351"/>
        <v>0</v>
      </c>
      <c r="FP61" s="1777"/>
      <c r="FQ61" s="1764"/>
      <c r="FR61" s="1774"/>
      <c r="FS61" s="1764"/>
      <c r="FT61" s="994">
        <f>SUBTOTAL(9,FT62:FT66)</f>
        <v>291962.23069878743</v>
      </c>
      <c r="FU61" s="1765">
        <f>FT61/$H61</f>
        <v>3.5497399213254614E-2</v>
      </c>
      <c r="FV61" s="1774">
        <f t="shared" si="352"/>
        <v>0</v>
      </c>
      <c r="FW61" s="1775">
        <f t="shared" si="352"/>
        <v>0</v>
      </c>
      <c r="FX61" s="1777"/>
      <c r="FY61" s="1764"/>
      <c r="FZ61" s="1774"/>
      <c r="GA61" s="1764"/>
      <c r="GB61" s="994">
        <f>SUBTOTAL(9,GB62:GB66)</f>
        <v>380820.30091146188</v>
      </c>
      <c r="GC61" s="1765">
        <f>GB61/$H61</f>
        <v>4.6300955495549502E-2</v>
      </c>
      <c r="GD61" s="1774">
        <f t="shared" si="353"/>
        <v>0</v>
      </c>
      <c r="GE61" s="1775">
        <f t="shared" si="353"/>
        <v>0</v>
      </c>
      <c r="GF61" s="1777"/>
      <c r="GG61" s="1764"/>
      <c r="GH61" s="1774"/>
      <c r="GI61" s="1764"/>
      <c r="GJ61" s="994">
        <f>SUBTOTAL(9,GJ62:GJ66)</f>
        <v>203104.16048611299</v>
      </c>
      <c r="GK61" s="1765">
        <f>GJ61/$H61</f>
        <v>2.469384293095973E-2</v>
      </c>
      <c r="GL61" s="1774">
        <f t="shared" si="354"/>
        <v>0</v>
      </c>
      <c r="GM61" s="1775">
        <f t="shared" si="354"/>
        <v>0</v>
      </c>
      <c r="GN61" s="1777"/>
      <c r="GO61" s="1764"/>
      <c r="GP61" s="1774"/>
      <c r="GQ61" s="1764"/>
      <c r="GR61" s="994">
        <f>SUBTOTAL(9,GR62:GR66)</f>
        <v>291962.23069878743</v>
      </c>
      <c r="GS61" s="1765">
        <f>GR61/$H61</f>
        <v>3.5497399213254614E-2</v>
      </c>
      <c r="GT61" s="1774">
        <f t="shared" si="355"/>
        <v>0</v>
      </c>
      <c r="GU61" s="1775">
        <f t="shared" si="355"/>
        <v>0</v>
      </c>
      <c r="GV61" s="1777"/>
      <c r="GW61" s="1764"/>
      <c r="GX61" s="1774"/>
      <c r="GY61" s="1764"/>
      <c r="GZ61" s="994">
        <f>SUBTOTAL(9,GZ62:GZ66)</f>
        <v>380820.30091146188</v>
      </c>
      <c r="HA61" s="1765">
        <f>GZ61/$H61</f>
        <v>4.6300955495549502E-2</v>
      </c>
      <c r="HB61" s="1774">
        <f t="shared" si="356"/>
        <v>0</v>
      </c>
      <c r="HC61" s="1775">
        <f t="shared" si="357"/>
        <v>0</v>
      </c>
      <c r="HD61" s="1777"/>
      <c r="HE61" s="1764"/>
      <c r="HF61" s="1774"/>
      <c r="HG61" s="1764"/>
      <c r="HH61" s="994">
        <f>SUBTOTAL(9,HH62:HH66)</f>
        <v>204244.58052451297</v>
      </c>
      <c r="HI61" s="1765">
        <f>HH61/$H61</f>
        <v>2.4832497664748376E-2</v>
      </c>
      <c r="HJ61" s="1774">
        <f t="shared" si="358"/>
        <v>0</v>
      </c>
      <c r="HK61" s="1775">
        <f t="shared" si="359"/>
        <v>0</v>
      </c>
      <c r="HL61" s="1777"/>
      <c r="HM61" s="1764"/>
      <c r="HN61" s="1774"/>
      <c r="HO61" s="1764"/>
      <c r="HP61" s="994">
        <f>SUBTOTAL(9,HP62:HP66)</f>
        <v>293601.58450398745</v>
      </c>
      <c r="HQ61" s="1765">
        <f>HP61/$H61</f>
        <v>3.5696715393075798E-2</v>
      </c>
      <c r="HR61" s="1774">
        <f t="shared" si="360"/>
        <v>0</v>
      </c>
      <c r="HS61" s="1775">
        <f t="shared" si="361"/>
        <v>0</v>
      </c>
      <c r="HT61" s="1777"/>
      <c r="HU61" s="1764"/>
      <c r="HV61" s="1774"/>
      <c r="HW61" s="1764"/>
      <c r="HX61" s="994">
        <f>SUBTOTAL(9,HX62:HX66)</f>
        <v>382958.58848346182</v>
      </c>
      <c r="HY61" s="1765">
        <f>HX61/$H61</f>
        <v>4.6560933121403206E-2</v>
      </c>
      <c r="HZ61" s="1774">
        <f t="shared" si="362"/>
        <v>0</v>
      </c>
      <c r="IA61" s="1775">
        <f t="shared" si="363"/>
        <v>0</v>
      </c>
      <c r="IB61" s="1777"/>
      <c r="IC61" s="1764"/>
      <c r="ID61" s="1774"/>
      <c r="IE61" s="1764"/>
      <c r="IF61" s="994">
        <f>SUBTOTAL(9,IF62:IF66)</f>
        <v>204244.58052451297</v>
      </c>
      <c r="IG61" s="1765">
        <f>IF61/$H61</f>
        <v>2.4832497664748376E-2</v>
      </c>
      <c r="IH61" s="1774">
        <f t="shared" si="364"/>
        <v>0</v>
      </c>
      <c r="II61" s="1775">
        <f t="shared" si="365"/>
        <v>0</v>
      </c>
      <c r="IJ61" s="1777"/>
      <c r="IK61" s="1764"/>
      <c r="IL61" s="1774"/>
      <c r="IM61" s="1764"/>
      <c r="IN61" s="994">
        <f>SUBTOTAL(9,IN62:IN66)</f>
        <v>293601.58450398745</v>
      </c>
      <c r="IO61" s="1765">
        <f>IN61/$H61</f>
        <v>3.5696715393075798E-2</v>
      </c>
    </row>
    <row r="62" spans="1:249" s="341" customFormat="1">
      <c r="A62" s="1753"/>
      <c r="B62" s="1754"/>
      <c r="C62" s="1755"/>
      <c r="D62" s="1013">
        <f>VLOOKUP(E62,'DER MG'!$D$5:$I$150,6,0)</f>
        <v>2433.19</v>
      </c>
      <c r="E62" s="1017">
        <v>41292</v>
      </c>
      <c r="F62" s="1756"/>
      <c r="G62" s="1018" t="s">
        <v>454</v>
      </c>
      <c r="H62" s="992">
        <f t="shared" ref="H62:H65" si="366">SUMIF($I$7:$IO$7,"ANO",I62:IO62)</f>
        <v>543426.12408240011</v>
      </c>
      <c r="I62" s="992">
        <f>('Faixa de Domínio Padrão'!K9+'Faixa de Domínio Padrão'!I17)/10000*0.2</f>
        <v>12.48</v>
      </c>
      <c r="J62" s="1757" t="str">
        <f>VLOOKUP($G62,'Quantidades Padrão'!$E$7:$J$103,2,0)</f>
        <v>ha</v>
      </c>
      <c r="K62" s="1758">
        <f>VLOOKUP($G62,'Quantidades Padrão'!$E$7:$J$103,K$8,0)</f>
        <v>0.42800000000000005</v>
      </c>
      <c r="L62" s="1759" t="s">
        <v>455</v>
      </c>
      <c r="M62" s="992">
        <f>I62*K62</f>
        <v>5.3414400000000004</v>
      </c>
      <c r="N62" s="1759" t="s">
        <v>456</v>
      </c>
      <c r="O62" s="992">
        <f t="shared" ref="O62:O65" si="367">$D62*M62</f>
        <v>12996.738393600001</v>
      </c>
      <c r="P62" s="1759"/>
      <c r="Q62" s="1760">
        <f t="shared" si="315"/>
        <v>2.0937859379072999E-3</v>
      </c>
      <c r="R62" s="992">
        <f>$I62</f>
        <v>12.48</v>
      </c>
      <c r="S62" s="1757" t="s">
        <v>456</v>
      </c>
      <c r="T62" s="1758">
        <f>VLOOKUP($G62,'Quantidades Padrão'!$E$7:$J$103,T$8,0)</f>
        <v>0.42800000000000005</v>
      </c>
      <c r="U62" s="1759" t="s">
        <v>455</v>
      </c>
      <c r="V62" s="992">
        <f>R62*T62</f>
        <v>5.3414400000000004</v>
      </c>
      <c r="W62" s="1759" t="s">
        <v>456</v>
      </c>
      <c r="X62" s="992">
        <f>$D62*V62</f>
        <v>12996.738393600001</v>
      </c>
      <c r="Y62" s="1759"/>
      <c r="Z62" s="992">
        <f>$I62</f>
        <v>12.48</v>
      </c>
      <c r="AA62" s="1757" t="s">
        <v>456</v>
      </c>
      <c r="AB62" s="1758">
        <f>VLOOKUP($G62,'Quantidades Padrão'!$E$7:$J$103,AB$8,0)</f>
        <v>0.80249999999999999</v>
      </c>
      <c r="AC62" s="1759" t="s">
        <v>455</v>
      </c>
      <c r="AD62" s="992">
        <f>Z62*AB62</f>
        <v>10.0152</v>
      </c>
      <c r="AE62" s="1759" t="s">
        <v>456</v>
      </c>
      <c r="AF62" s="992">
        <f>$D62*AD62</f>
        <v>24368.884488</v>
      </c>
      <c r="AG62" s="1759"/>
      <c r="AH62" s="992">
        <f>$I62</f>
        <v>12.48</v>
      </c>
      <c r="AI62" s="1757" t="s">
        <v>456</v>
      </c>
      <c r="AJ62" s="1758">
        <f>VLOOKUP($G62,'Quantidades Padrão'!$E$7:$J$103,AJ$8,0)</f>
        <v>0.42800000000000005</v>
      </c>
      <c r="AK62" s="1759" t="s">
        <v>455</v>
      </c>
      <c r="AL62" s="992">
        <f>AH62*AJ62</f>
        <v>5.3414400000000004</v>
      </c>
      <c r="AM62" s="1759" t="s">
        <v>456</v>
      </c>
      <c r="AN62" s="992">
        <f>$D62*AL62</f>
        <v>12996.738393600001</v>
      </c>
      <c r="AO62" s="1759"/>
      <c r="AP62" s="992">
        <f>$I62</f>
        <v>12.48</v>
      </c>
      <c r="AQ62" s="1757" t="s">
        <v>456</v>
      </c>
      <c r="AR62" s="1758">
        <f>VLOOKUP($G62,'Quantidades Padrão'!$E$7:$J$103,AR$8,0)</f>
        <v>0.42800000000000005</v>
      </c>
      <c r="AS62" s="1759" t="s">
        <v>455</v>
      </c>
      <c r="AT62" s="992">
        <f>AP62*AR62</f>
        <v>5.3414400000000004</v>
      </c>
      <c r="AU62" s="1759" t="s">
        <v>456</v>
      </c>
      <c r="AV62" s="992">
        <f>$D62*AT62</f>
        <v>12996.738393600001</v>
      </c>
      <c r="AW62" s="1759"/>
      <c r="AX62" s="992">
        <f>$I62</f>
        <v>12.48</v>
      </c>
      <c r="AY62" s="1757" t="s">
        <v>456</v>
      </c>
      <c r="AZ62" s="1758">
        <f>VLOOKUP($G62,'Quantidades Padrão'!$E$7:$J$103,AZ$8,0)</f>
        <v>0.61524999999999996</v>
      </c>
      <c r="BA62" s="1759" t="s">
        <v>455</v>
      </c>
      <c r="BB62" s="992">
        <f>AX62*AZ62</f>
        <v>7.6783199999999994</v>
      </c>
      <c r="BC62" s="1759" t="s">
        <v>456</v>
      </c>
      <c r="BD62" s="992">
        <f t="shared" ref="BD62:BD65" si="368">$D62*BB62</f>
        <v>18682.8114408</v>
      </c>
      <c r="BE62" s="1759"/>
      <c r="BF62" s="992">
        <f>$I62</f>
        <v>12.48</v>
      </c>
      <c r="BG62" s="1757" t="str">
        <f>J62</f>
        <v>ha</v>
      </c>
      <c r="BH62" s="1758">
        <f>VLOOKUP($G62,'Quantidades Padrão'!$E$7:$J$103,BH$8,0)</f>
        <v>0.80249999999999999</v>
      </c>
      <c r="BI62" s="1772"/>
      <c r="BJ62" s="992">
        <f>BF62*BH62</f>
        <v>10.0152</v>
      </c>
      <c r="BK62" s="1772"/>
      <c r="BL62" s="992">
        <f t="shared" ref="BL62:BL65" si="369">$D62*BJ62</f>
        <v>24368.884488</v>
      </c>
      <c r="BM62" s="1759"/>
      <c r="BN62" s="992">
        <f>$I62</f>
        <v>12.48</v>
      </c>
      <c r="BO62" s="1757" t="s">
        <v>456</v>
      </c>
      <c r="BP62" s="1758">
        <f>VLOOKUP($G62,'Quantidades Padrão'!$E$7:$J$103,BP$8,0)</f>
        <v>0.42800000000000005</v>
      </c>
      <c r="BQ62" s="1772"/>
      <c r="BR62" s="992">
        <f>BN62*BP62</f>
        <v>5.3414400000000004</v>
      </c>
      <c r="BS62" s="1772"/>
      <c r="BT62" s="992">
        <f t="shared" ref="BT62:BT63" si="370">$D62*BR62</f>
        <v>12996.738393600001</v>
      </c>
      <c r="BU62" s="1759"/>
      <c r="BV62" s="992">
        <f>$I62</f>
        <v>12.48</v>
      </c>
      <c r="BW62" s="1757" t="s">
        <v>456</v>
      </c>
      <c r="BX62" s="1758">
        <f>VLOOKUP($G62,'Quantidades Padrão'!$E$7:$J$103,BX$8,0)</f>
        <v>0.61524999999999996</v>
      </c>
      <c r="BY62" s="1772"/>
      <c r="BZ62" s="992">
        <f>BV62*BX62</f>
        <v>7.6783199999999994</v>
      </c>
      <c r="CA62" s="1772"/>
      <c r="CB62" s="992">
        <f t="shared" ref="CB62:CB63" si="371">$D62*BZ62</f>
        <v>18682.8114408</v>
      </c>
      <c r="CC62" s="1759"/>
      <c r="CD62" s="992">
        <f>$I62</f>
        <v>12.48</v>
      </c>
      <c r="CE62" s="1757" t="s">
        <v>456</v>
      </c>
      <c r="CF62" s="1758">
        <f>VLOOKUP($G62,'Quantidades Padrão'!$E$7:$J$103,CF$8,0)</f>
        <v>0.80249999999999999</v>
      </c>
      <c r="CG62" s="1772"/>
      <c r="CH62" s="992">
        <f>CD62*CF62</f>
        <v>10.0152</v>
      </c>
      <c r="CI62" s="1772"/>
      <c r="CJ62" s="992">
        <f t="shared" ref="CJ62:CJ63" si="372">$D62*CH62</f>
        <v>24368.884488</v>
      </c>
      <c r="CK62" s="1759"/>
      <c r="CL62" s="992">
        <f t="shared" si="341"/>
        <v>12.48</v>
      </c>
      <c r="CM62" s="1757" t="str">
        <f t="shared" si="341"/>
        <v>ha</v>
      </c>
      <c r="CN62" s="1758">
        <f>VLOOKUP($G62,'Quantidades Padrão'!$E$7:$J$103,CN$8,0)</f>
        <v>0.42800000000000005</v>
      </c>
      <c r="CO62" s="1772"/>
      <c r="CP62" s="992">
        <f>CL62*CN62</f>
        <v>5.3414400000000004</v>
      </c>
      <c r="CQ62" s="1772"/>
      <c r="CR62" s="992">
        <f t="shared" ref="CR62:CR65" si="373">$D62*CP62</f>
        <v>12996.738393600001</v>
      </c>
      <c r="CS62" s="1759"/>
      <c r="CT62" s="992">
        <f t="shared" si="342"/>
        <v>12.48</v>
      </c>
      <c r="CU62" s="1757" t="s">
        <v>456</v>
      </c>
      <c r="CV62" s="1758">
        <f>VLOOKUP($G62,'Quantidades Padrão'!$E$7:$J$103,CV$8,0)</f>
        <v>0.61524999999999996</v>
      </c>
      <c r="CW62" s="1772"/>
      <c r="CX62" s="992">
        <f>CT62*CV62</f>
        <v>7.6783199999999994</v>
      </c>
      <c r="CY62" s="1772"/>
      <c r="CZ62" s="992">
        <f t="shared" ref="CZ62:CZ63" si="374">$D62*CX62</f>
        <v>18682.8114408</v>
      </c>
      <c r="DA62" s="1759"/>
      <c r="DB62" s="992">
        <f t="shared" si="343"/>
        <v>12.48</v>
      </c>
      <c r="DC62" s="1757" t="s">
        <v>456</v>
      </c>
      <c r="DD62" s="1758">
        <f>VLOOKUP($G62,'Quantidades Padrão'!$E$7:$J$103,DD$8,0)</f>
        <v>0.80249999999999999</v>
      </c>
      <c r="DE62" s="1772"/>
      <c r="DF62" s="992">
        <f>DB62*DD62</f>
        <v>10.0152</v>
      </c>
      <c r="DG62" s="1772"/>
      <c r="DH62" s="992">
        <f t="shared" ref="DH62:DH63" si="375">$D62*DF62</f>
        <v>24368.884488</v>
      </c>
      <c r="DI62" s="1759"/>
      <c r="DJ62" s="992">
        <f t="shared" si="344"/>
        <v>12.48</v>
      </c>
      <c r="DK62" s="1757" t="s">
        <v>456</v>
      </c>
      <c r="DL62" s="1758">
        <f>VLOOKUP($G62,'Quantidades Padrão'!$E$7:$J$103,DL$8,0)</f>
        <v>0.42800000000000005</v>
      </c>
      <c r="DM62" s="1772"/>
      <c r="DN62" s="992">
        <f>DJ62*DL62</f>
        <v>5.3414400000000004</v>
      </c>
      <c r="DO62" s="1772"/>
      <c r="DP62" s="992">
        <f t="shared" ref="DP62:DP63" si="376">$D62*DN62</f>
        <v>12996.738393600001</v>
      </c>
      <c r="DQ62" s="1759"/>
      <c r="DR62" s="992">
        <f t="shared" si="345"/>
        <v>12.48</v>
      </c>
      <c r="DS62" s="1757" t="s">
        <v>456</v>
      </c>
      <c r="DT62" s="1758">
        <f>VLOOKUP($G62,'Quantidades Padrão'!$E$7:$J$103,DT$8,0)</f>
        <v>0.61524999999999996</v>
      </c>
      <c r="DU62" s="1772"/>
      <c r="DV62" s="992">
        <f>DR62*DT62</f>
        <v>7.6783199999999994</v>
      </c>
      <c r="DW62" s="1772"/>
      <c r="DX62" s="992">
        <f t="shared" ref="DX62:DX63" si="377">$D62*DV62</f>
        <v>18682.8114408</v>
      </c>
      <c r="DY62" s="1759"/>
      <c r="DZ62" s="992">
        <f t="shared" si="346"/>
        <v>12.48</v>
      </c>
      <c r="EA62" s="1757" t="str">
        <f t="shared" si="346"/>
        <v>ha</v>
      </c>
      <c r="EB62" s="1758">
        <f>VLOOKUP($G62,'Quantidades Padrão'!$E$7:$J$103,EB$8,0)</f>
        <v>0.80249999999999999</v>
      </c>
      <c r="EC62" s="1772"/>
      <c r="ED62" s="992">
        <f>DZ62*EB62</f>
        <v>10.0152</v>
      </c>
      <c r="EE62" s="1772"/>
      <c r="EF62" s="992">
        <f t="shared" ref="EF62:EF63" si="378">$D62*ED62</f>
        <v>24368.884488</v>
      </c>
      <c r="EG62" s="1759"/>
      <c r="EH62" s="992">
        <f t="shared" si="347"/>
        <v>12.48</v>
      </c>
      <c r="EI62" s="1757" t="str">
        <f t="shared" si="347"/>
        <v>ha</v>
      </c>
      <c r="EJ62" s="1758">
        <f>VLOOKUP($G62,'Quantidades Padrão'!$E$7:$J$103,EJ$8,0)</f>
        <v>0.42800000000000005</v>
      </c>
      <c r="EK62" s="1772"/>
      <c r="EL62" s="992">
        <f>EH62*EJ62</f>
        <v>5.3414400000000004</v>
      </c>
      <c r="EM62" s="1772"/>
      <c r="EN62" s="992">
        <f t="shared" ref="EN62:EN63" si="379">$D62*EL62</f>
        <v>12996.738393600001</v>
      </c>
      <c r="EO62" s="1759"/>
      <c r="EP62" s="992">
        <f t="shared" si="348"/>
        <v>12.48</v>
      </c>
      <c r="EQ62" s="1757" t="str">
        <f t="shared" si="348"/>
        <v>ha</v>
      </c>
      <c r="ER62" s="1758">
        <f>VLOOKUP($G62,'Quantidades Padrão'!$E$7:$J$103,ER$8,0)</f>
        <v>0.61524999999999996</v>
      </c>
      <c r="ES62" s="1772"/>
      <c r="ET62" s="992">
        <f>EP62*ER62</f>
        <v>7.6783199999999994</v>
      </c>
      <c r="EU62" s="1772"/>
      <c r="EV62" s="992">
        <f t="shared" ref="EV62:EV65" si="380">$D62*ET62</f>
        <v>18682.8114408</v>
      </c>
      <c r="EW62" s="1759"/>
      <c r="EX62" s="992">
        <f t="shared" si="349"/>
        <v>12.48</v>
      </c>
      <c r="EY62" s="1757" t="str">
        <f t="shared" si="349"/>
        <v>ha</v>
      </c>
      <c r="EZ62" s="1758">
        <f>VLOOKUP($G62,'Quantidades Padrão'!$E$7:$J$103,EZ$8,0)</f>
        <v>0.80249999999999999</v>
      </c>
      <c r="FA62" s="1772"/>
      <c r="FB62" s="992">
        <f>EX62*EZ62</f>
        <v>10.0152</v>
      </c>
      <c r="FC62" s="1772"/>
      <c r="FD62" s="992">
        <f t="shared" ref="FD62:FD63" si="381">$D62*FB62</f>
        <v>24368.884488</v>
      </c>
      <c r="FE62" s="1759"/>
      <c r="FF62" s="992">
        <f t="shared" si="350"/>
        <v>12.48</v>
      </c>
      <c r="FG62" s="1757" t="str">
        <f t="shared" si="350"/>
        <v>ha</v>
      </c>
      <c r="FH62" s="1758">
        <f>VLOOKUP($G62,'Quantidades Padrão'!$E$7:$J$103,FH$8,0)</f>
        <v>0.42800000000000005</v>
      </c>
      <c r="FI62" s="1772"/>
      <c r="FJ62" s="992">
        <f>FF62*FH62</f>
        <v>5.3414400000000004</v>
      </c>
      <c r="FK62" s="1772"/>
      <c r="FL62" s="992">
        <f t="shared" ref="FL62:FL63" si="382">$D62*FJ62</f>
        <v>12996.738393600001</v>
      </c>
      <c r="FM62" s="1759"/>
      <c r="FN62" s="992">
        <f t="shared" si="351"/>
        <v>12.48</v>
      </c>
      <c r="FO62" s="1757" t="str">
        <f t="shared" si="351"/>
        <v>ha</v>
      </c>
      <c r="FP62" s="1758">
        <f>VLOOKUP($G62,'Quantidades Padrão'!$E$7:$J$103,FP$8,0)</f>
        <v>0.61524999999999996</v>
      </c>
      <c r="FQ62" s="1772"/>
      <c r="FR62" s="992">
        <f>FN62*FP62</f>
        <v>7.6783199999999994</v>
      </c>
      <c r="FS62" s="1772"/>
      <c r="FT62" s="992">
        <f t="shared" ref="FT62:FT63" si="383">$D62*FR62</f>
        <v>18682.8114408</v>
      </c>
      <c r="FU62" s="1759"/>
      <c r="FV62" s="992">
        <f t="shared" si="352"/>
        <v>12.48</v>
      </c>
      <c r="FW62" s="1757" t="str">
        <f t="shared" si="352"/>
        <v>ha</v>
      </c>
      <c r="FX62" s="1758">
        <f>VLOOKUP($G62,'Quantidades Padrão'!$E$7:$J$103,FX$8,0)</f>
        <v>0.80249999999999999</v>
      </c>
      <c r="FY62" s="1772"/>
      <c r="FZ62" s="992">
        <f>FV62*FX62</f>
        <v>10.0152</v>
      </c>
      <c r="GA62" s="1772"/>
      <c r="GB62" s="992">
        <f t="shared" ref="GB62:GB63" si="384">$D62*FZ62</f>
        <v>24368.884488</v>
      </c>
      <c r="GC62" s="1759"/>
      <c r="GD62" s="992">
        <f t="shared" si="353"/>
        <v>12.48</v>
      </c>
      <c r="GE62" s="1757" t="str">
        <f t="shared" si="353"/>
        <v>ha</v>
      </c>
      <c r="GF62" s="1758">
        <f>VLOOKUP($G62,'Quantidades Padrão'!$E$7:$J$103,GF$8,0)</f>
        <v>0.42800000000000005</v>
      </c>
      <c r="GG62" s="1772"/>
      <c r="GH62" s="992">
        <f>GD62*GF62</f>
        <v>5.3414400000000004</v>
      </c>
      <c r="GI62" s="1772"/>
      <c r="GJ62" s="992">
        <f t="shared" ref="GJ62:GJ63" si="385">$D62*GH62</f>
        <v>12996.738393600001</v>
      </c>
      <c r="GK62" s="1759"/>
      <c r="GL62" s="992">
        <f t="shared" si="354"/>
        <v>12.48</v>
      </c>
      <c r="GM62" s="1757" t="str">
        <f t="shared" si="354"/>
        <v>ha</v>
      </c>
      <c r="GN62" s="1758">
        <f>VLOOKUP($G62,'Quantidades Padrão'!$E$7:$J$103,GN$8,0)</f>
        <v>0.61524999999999996</v>
      </c>
      <c r="GO62" s="1772"/>
      <c r="GP62" s="992">
        <f>GL62*GN62</f>
        <v>7.6783199999999994</v>
      </c>
      <c r="GQ62" s="1772"/>
      <c r="GR62" s="992">
        <f t="shared" ref="GR62:GR63" si="386">$D62*GP62</f>
        <v>18682.8114408</v>
      </c>
      <c r="GS62" s="1759"/>
      <c r="GT62" s="992">
        <f t="shared" si="355"/>
        <v>12.48</v>
      </c>
      <c r="GU62" s="1757" t="str">
        <f t="shared" si="355"/>
        <v>ha</v>
      </c>
      <c r="GV62" s="1758">
        <f>VLOOKUP($G62,'Quantidades Padrão'!$E$7:$J$103,GV$8,0)</f>
        <v>0.80249999999999999</v>
      </c>
      <c r="GW62" s="1772"/>
      <c r="GX62" s="992">
        <f>GT62*GV62</f>
        <v>10.0152</v>
      </c>
      <c r="GY62" s="1772"/>
      <c r="GZ62" s="992">
        <f t="shared" ref="GZ62:GZ63" si="387">$D62*GX62</f>
        <v>24368.884488</v>
      </c>
      <c r="HA62" s="1759"/>
      <c r="HB62" s="992">
        <f t="shared" si="356"/>
        <v>12.48</v>
      </c>
      <c r="HC62" s="1757" t="str">
        <f t="shared" si="357"/>
        <v>ha</v>
      </c>
      <c r="HD62" s="1758">
        <f>VLOOKUP($G62,'Quantidades Padrão'!$E$7:$J$103,HD$8,0)</f>
        <v>0.42800000000000005</v>
      </c>
      <c r="HE62" s="1772"/>
      <c r="HF62" s="992">
        <f>HB62*HD62</f>
        <v>5.3414400000000004</v>
      </c>
      <c r="HG62" s="1772"/>
      <c r="HH62" s="992">
        <f t="shared" ref="HH62:HH65" si="388">$D62*HF62</f>
        <v>12996.738393600001</v>
      </c>
      <c r="HI62" s="1759"/>
      <c r="HJ62" s="992">
        <f t="shared" si="358"/>
        <v>12.48</v>
      </c>
      <c r="HK62" s="1757" t="str">
        <f t="shared" si="359"/>
        <v>ha</v>
      </c>
      <c r="HL62" s="1758">
        <f>VLOOKUP($G62,'Quantidades Padrão'!$E$7:$J$103,HL$8,0)</f>
        <v>0.61524999999999996</v>
      </c>
      <c r="HM62" s="1772"/>
      <c r="HN62" s="992">
        <f>HJ62*HL62</f>
        <v>7.6783199999999994</v>
      </c>
      <c r="HO62" s="1772"/>
      <c r="HP62" s="992">
        <f t="shared" ref="HP62:HP63" si="389">$D62*HN62</f>
        <v>18682.8114408</v>
      </c>
      <c r="HQ62" s="1759"/>
      <c r="HR62" s="992">
        <f t="shared" si="360"/>
        <v>12.48</v>
      </c>
      <c r="HS62" s="1757" t="str">
        <f t="shared" si="361"/>
        <v>ha</v>
      </c>
      <c r="HT62" s="1758">
        <f>VLOOKUP($G62,'Quantidades Padrão'!$E$7:$J$103,HT$8,0)</f>
        <v>0.80249999999999999</v>
      </c>
      <c r="HU62" s="1772"/>
      <c r="HV62" s="992">
        <f>HR62*HT62</f>
        <v>10.0152</v>
      </c>
      <c r="HW62" s="1772"/>
      <c r="HX62" s="992">
        <f t="shared" ref="HX62:HX63" si="390">$D62*HV62</f>
        <v>24368.884488</v>
      </c>
      <c r="HY62" s="1759"/>
      <c r="HZ62" s="992">
        <f t="shared" si="362"/>
        <v>12.48</v>
      </c>
      <c r="IA62" s="1757" t="str">
        <f t="shared" si="363"/>
        <v>ha</v>
      </c>
      <c r="IB62" s="1758">
        <f>VLOOKUP($G62,'Quantidades Padrão'!$E$7:$J$103,IB$8,0)</f>
        <v>0.42800000000000005</v>
      </c>
      <c r="IC62" s="1772"/>
      <c r="ID62" s="992">
        <f>HZ62*IB62</f>
        <v>5.3414400000000004</v>
      </c>
      <c r="IE62" s="1772"/>
      <c r="IF62" s="992">
        <f t="shared" ref="IF62:IF63" si="391">$D62*ID62</f>
        <v>12996.738393600001</v>
      </c>
      <c r="IG62" s="1759"/>
      <c r="IH62" s="992">
        <f t="shared" si="364"/>
        <v>12.48</v>
      </c>
      <c r="II62" s="1757" t="str">
        <f t="shared" si="365"/>
        <v>ha</v>
      </c>
      <c r="IJ62" s="1758">
        <f>VLOOKUP($G62,'Quantidades Padrão'!$E$7:$J$103,IJ$8,0)</f>
        <v>0.61524999999999996</v>
      </c>
      <c r="IK62" s="1772"/>
      <c r="IL62" s="992">
        <f>IH62*IJ62</f>
        <v>7.6783199999999994</v>
      </c>
      <c r="IM62" s="1772"/>
      <c r="IN62" s="992">
        <f t="shared" ref="IN62:IN63" si="392">$D62*IL62</f>
        <v>18682.8114408</v>
      </c>
      <c r="IO62" s="1759"/>
    </row>
    <row r="63" spans="1:249" s="341" customFormat="1">
      <c r="A63" s="1753"/>
      <c r="B63" s="1754"/>
      <c r="C63" s="1755"/>
      <c r="D63" s="1013">
        <f>VLOOKUP(E63,'DER MG'!$D$5:$I$150,6,0)</f>
        <v>1015.81</v>
      </c>
      <c r="E63" s="1017">
        <v>41295</v>
      </c>
      <c r="F63" s="1756"/>
      <c r="G63" s="1018" t="s">
        <v>457</v>
      </c>
      <c r="H63" s="992">
        <f t="shared" si="366"/>
        <v>1814959.5916607992</v>
      </c>
      <c r="I63" s="992">
        <f>('Faixa de Domínio Padrão'!K9+'Faixa de Domínio Padrão'!I17)/10000*0.8</f>
        <v>49.92</v>
      </c>
      <c r="J63" s="1757" t="str">
        <f>VLOOKUP($G63,'Quantidades Padrão'!$E$7:$J$103,2,0)</f>
        <v>ha</v>
      </c>
      <c r="K63" s="1758">
        <f>VLOOKUP($G63,'Quantidades Padrão'!$E$7:$J$103,K$8,0)</f>
        <v>0.85600000000000009</v>
      </c>
      <c r="L63" s="1759" t="s">
        <v>455</v>
      </c>
      <c r="M63" s="992">
        <f>I63*K63</f>
        <v>42.731520000000003</v>
      </c>
      <c r="N63" s="1759" t="s">
        <v>456</v>
      </c>
      <c r="O63" s="992">
        <f t="shared" si="367"/>
        <v>43407.1053312</v>
      </c>
      <c r="P63" s="1759"/>
      <c r="Q63" s="1760">
        <f t="shared" si="315"/>
        <v>6.9929226853163605E-3</v>
      </c>
      <c r="R63" s="992">
        <f>$I63</f>
        <v>49.92</v>
      </c>
      <c r="S63" s="1757" t="s">
        <v>456</v>
      </c>
      <c r="T63" s="1758">
        <f>VLOOKUP($G63,'Quantidades Padrão'!$E$7:$J$103,T$8,0)</f>
        <v>0.85600000000000009</v>
      </c>
      <c r="U63" s="1759" t="s">
        <v>455</v>
      </c>
      <c r="V63" s="992">
        <f>R63*T63</f>
        <v>42.731520000000003</v>
      </c>
      <c r="W63" s="1759" t="s">
        <v>456</v>
      </c>
      <c r="X63" s="992">
        <f>$D63*V63</f>
        <v>43407.1053312</v>
      </c>
      <c r="Y63" s="1759"/>
      <c r="Z63" s="992">
        <f>$I63</f>
        <v>49.92</v>
      </c>
      <c r="AA63" s="1757" t="s">
        <v>456</v>
      </c>
      <c r="AB63" s="1758">
        <f>VLOOKUP($G63,'Quantidades Padrão'!$E$7:$J$103,AB$8,0)</f>
        <v>1.605</v>
      </c>
      <c r="AC63" s="1759" t="s">
        <v>455</v>
      </c>
      <c r="AD63" s="992">
        <f>Z63*AB63</f>
        <v>80.121600000000001</v>
      </c>
      <c r="AE63" s="1759" t="s">
        <v>456</v>
      </c>
      <c r="AF63" s="992">
        <f>$D63*AD63</f>
        <v>81388.322495999993</v>
      </c>
      <c r="AG63" s="1759"/>
      <c r="AH63" s="992">
        <f>$I63</f>
        <v>49.92</v>
      </c>
      <c r="AI63" s="1757" t="s">
        <v>456</v>
      </c>
      <c r="AJ63" s="1758">
        <f>VLOOKUP($G63,'Quantidades Padrão'!$E$7:$J$103,AJ$8,0)</f>
        <v>0.85600000000000009</v>
      </c>
      <c r="AK63" s="1759" t="s">
        <v>455</v>
      </c>
      <c r="AL63" s="992">
        <f>AH63*AJ63</f>
        <v>42.731520000000003</v>
      </c>
      <c r="AM63" s="1759" t="s">
        <v>456</v>
      </c>
      <c r="AN63" s="992">
        <f>$D63*AL63</f>
        <v>43407.1053312</v>
      </c>
      <c r="AO63" s="1759"/>
      <c r="AP63" s="992">
        <f>$I63</f>
        <v>49.92</v>
      </c>
      <c r="AQ63" s="1757" t="s">
        <v>456</v>
      </c>
      <c r="AR63" s="1758">
        <f>VLOOKUP($G63,'Quantidades Padrão'!$E$7:$J$103,AR$8,0)</f>
        <v>0.85600000000000009</v>
      </c>
      <c r="AS63" s="1759" t="s">
        <v>455</v>
      </c>
      <c r="AT63" s="992">
        <f>AP63*AR63</f>
        <v>42.731520000000003</v>
      </c>
      <c r="AU63" s="1759" t="s">
        <v>456</v>
      </c>
      <c r="AV63" s="992">
        <f>$D63*AT63</f>
        <v>43407.1053312</v>
      </c>
      <c r="AW63" s="1759"/>
      <c r="AX63" s="992">
        <f>$I63</f>
        <v>49.92</v>
      </c>
      <c r="AY63" s="1757" t="s">
        <v>456</v>
      </c>
      <c r="AZ63" s="1758">
        <f>VLOOKUP($G63,'Quantidades Padrão'!$E$7:$J$103,AZ$8,0)</f>
        <v>1.2304999999999999</v>
      </c>
      <c r="BA63" s="1759" t="s">
        <v>455</v>
      </c>
      <c r="BB63" s="992">
        <f>AX63*AZ63</f>
        <v>61.426559999999995</v>
      </c>
      <c r="BC63" s="1759" t="s">
        <v>456</v>
      </c>
      <c r="BD63" s="992">
        <f t="shared" si="368"/>
        <v>62397.71391359999</v>
      </c>
      <c r="BE63" s="1759"/>
      <c r="BF63" s="992">
        <f>$I63</f>
        <v>49.92</v>
      </c>
      <c r="BG63" s="1757" t="str">
        <f>J63</f>
        <v>ha</v>
      </c>
      <c r="BH63" s="1758">
        <f>VLOOKUP($G63,'Quantidades Padrão'!$E$7:$J$103,BH$8,0)</f>
        <v>1.605</v>
      </c>
      <c r="BI63" s="1772"/>
      <c r="BJ63" s="992">
        <f>BF63*BH63</f>
        <v>80.121600000000001</v>
      </c>
      <c r="BK63" s="1772"/>
      <c r="BL63" s="992">
        <f t="shared" si="369"/>
        <v>81388.322495999993</v>
      </c>
      <c r="BM63" s="1759"/>
      <c r="BN63" s="992">
        <f>$I63</f>
        <v>49.92</v>
      </c>
      <c r="BO63" s="1757" t="s">
        <v>456</v>
      </c>
      <c r="BP63" s="1758">
        <f>VLOOKUP($G63,'Quantidades Padrão'!$E$7:$J$103,BP$8,0)</f>
        <v>0.85600000000000009</v>
      </c>
      <c r="BQ63" s="1772"/>
      <c r="BR63" s="992">
        <f>BN63*BP63</f>
        <v>42.731520000000003</v>
      </c>
      <c r="BS63" s="1772"/>
      <c r="BT63" s="992">
        <f t="shared" si="370"/>
        <v>43407.1053312</v>
      </c>
      <c r="BU63" s="1759"/>
      <c r="BV63" s="992">
        <f>$I63</f>
        <v>49.92</v>
      </c>
      <c r="BW63" s="1757" t="s">
        <v>456</v>
      </c>
      <c r="BX63" s="1758">
        <f>VLOOKUP($G63,'Quantidades Padrão'!$E$7:$J$103,BX$8,0)</f>
        <v>1.2304999999999999</v>
      </c>
      <c r="BY63" s="1772"/>
      <c r="BZ63" s="992">
        <f>BV63*BX63</f>
        <v>61.426559999999995</v>
      </c>
      <c r="CA63" s="1772"/>
      <c r="CB63" s="992">
        <f t="shared" si="371"/>
        <v>62397.71391359999</v>
      </c>
      <c r="CC63" s="1759"/>
      <c r="CD63" s="992">
        <f>$I63</f>
        <v>49.92</v>
      </c>
      <c r="CE63" s="1757" t="s">
        <v>456</v>
      </c>
      <c r="CF63" s="1758">
        <f>VLOOKUP($G63,'Quantidades Padrão'!$E$7:$J$103,CF$8,0)</f>
        <v>1.605</v>
      </c>
      <c r="CG63" s="1772"/>
      <c r="CH63" s="992">
        <f>CD63*CF63</f>
        <v>80.121600000000001</v>
      </c>
      <c r="CI63" s="1772"/>
      <c r="CJ63" s="992">
        <f t="shared" si="372"/>
        <v>81388.322495999993</v>
      </c>
      <c r="CK63" s="1759"/>
      <c r="CL63" s="992">
        <f t="shared" si="341"/>
        <v>49.92</v>
      </c>
      <c r="CM63" s="1757" t="str">
        <f t="shared" si="341"/>
        <v>ha</v>
      </c>
      <c r="CN63" s="1758">
        <f>VLOOKUP($G63,'Quantidades Padrão'!$E$7:$J$103,CN$8,0)</f>
        <v>0.85600000000000009</v>
      </c>
      <c r="CO63" s="1772"/>
      <c r="CP63" s="992">
        <f>CL63*CN63</f>
        <v>42.731520000000003</v>
      </c>
      <c r="CQ63" s="1772"/>
      <c r="CR63" s="992">
        <f t="shared" si="373"/>
        <v>43407.1053312</v>
      </c>
      <c r="CS63" s="1759"/>
      <c r="CT63" s="992">
        <f t="shared" si="342"/>
        <v>49.92</v>
      </c>
      <c r="CU63" s="1757" t="s">
        <v>456</v>
      </c>
      <c r="CV63" s="1758">
        <f>VLOOKUP($G63,'Quantidades Padrão'!$E$7:$J$103,CV$8,0)</f>
        <v>1.2304999999999999</v>
      </c>
      <c r="CW63" s="1772"/>
      <c r="CX63" s="992">
        <f>CT63*CV63</f>
        <v>61.426559999999995</v>
      </c>
      <c r="CY63" s="1772"/>
      <c r="CZ63" s="992">
        <f t="shared" si="374"/>
        <v>62397.71391359999</v>
      </c>
      <c r="DA63" s="1759"/>
      <c r="DB63" s="992">
        <f t="shared" si="343"/>
        <v>49.92</v>
      </c>
      <c r="DC63" s="1757" t="s">
        <v>456</v>
      </c>
      <c r="DD63" s="1758">
        <f>VLOOKUP($G63,'Quantidades Padrão'!$E$7:$J$103,DD$8,0)</f>
        <v>1.605</v>
      </c>
      <c r="DE63" s="1772"/>
      <c r="DF63" s="992">
        <f>DB63*DD63</f>
        <v>80.121600000000001</v>
      </c>
      <c r="DG63" s="1772"/>
      <c r="DH63" s="992">
        <f t="shared" si="375"/>
        <v>81388.322495999993</v>
      </c>
      <c r="DI63" s="1759"/>
      <c r="DJ63" s="992">
        <f t="shared" si="344"/>
        <v>49.92</v>
      </c>
      <c r="DK63" s="1757" t="s">
        <v>456</v>
      </c>
      <c r="DL63" s="1758">
        <f>VLOOKUP($G63,'Quantidades Padrão'!$E$7:$J$103,DL$8,0)</f>
        <v>0.85600000000000009</v>
      </c>
      <c r="DM63" s="1772"/>
      <c r="DN63" s="992">
        <f>DJ63*DL63</f>
        <v>42.731520000000003</v>
      </c>
      <c r="DO63" s="1772"/>
      <c r="DP63" s="992">
        <f t="shared" si="376"/>
        <v>43407.1053312</v>
      </c>
      <c r="DQ63" s="1759"/>
      <c r="DR63" s="992">
        <f t="shared" si="345"/>
        <v>49.92</v>
      </c>
      <c r="DS63" s="1757" t="s">
        <v>456</v>
      </c>
      <c r="DT63" s="1758">
        <f>VLOOKUP($G63,'Quantidades Padrão'!$E$7:$J$103,DT$8,0)</f>
        <v>1.2304999999999999</v>
      </c>
      <c r="DU63" s="1772"/>
      <c r="DV63" s="992">
        <f>DR63*DT63</f>
        <v>61.426559999999995</v>
      </c>
      <c r="DW63" s="1772"/>
      <c r="DX63" s="992">
        <f t="shared" si="377"/>
        <v>62397.71391359999</v>
      </c>
      <c r="DY63" s="1759"/>
      <c r="DZ63" s="992">
        <f t="shared" si="346"/>
        <v>49.92</v>
      </c>
      <c r="EA63" s="1757" t="str">
        <f t="shared" si="346"/>
        <v>ha</v>
      </c>
      <c r="EB63" s="1758">
        <f>VLOOKUP($G63,'Quantidades Padrão'!$E$7:$J$103,EB$8,0)</f>
        <v>1.605</v>
      </c>
      <c r="EC63" s="1772"/>
      <c r="ED63" s="992">
        <f>DZ63*EB63</f>
        <v>80.121600000000001</v>
      </c>
      <c r="EE63" s="1772"/>
      <c r="EF63" s="992">
        <f t="shared" si="378"/>
        <v>81388.322495999993</v>
      </c>
      <c r="EG63" s="1759"/>
      <c r="EH63" s="992">
        <f t="shared" si="347"/>
        <v>49.92</v>
      </c>
      <c r="EI63" s="1757" t="str">
        <f t="shared" si="347"/>
        <v>ha</v>
      </c>
      <c r="EJ63" s="1758">
        <f>VLOOKUP($G63,'Quantidades Padrão'!$E$7:$J$103,EJ$8,0)</f>
        <v>0.85600000000000009</v>
      </c>
      <c r="EK63" s="1772"/>
      <c r="EL63" s="992">
        <f>EH63*EJ63</f>
        <v>42.731520000000003</v>
      </c>
      <c r="EM63" s="1772"/>
      <c r="EN63" s="992">
        <f t="shared" si="379"/>
        <v>43407.1053312</v>
      </c>
      <c r="EO63" s="1759"/>
      <c r="EP63" s="992">
        <f t="shared" si="348"/>
        <v>49.92</v>
      </c>
      <c r="EQ63" s="1757" t="str">
        <f t="shared" si="348"/>
        <v>ha</v>
      </c>
      <c r="ER63" s="1758">
        <f>VLOOKUP($G63,'Quantidades Padrão'!$E$7:$J$103,ER$8,0)</f>
        <v>1.2304999999999999</v>
      </c>
      <c r="ES63" s="1772"/>
      <c r="ET63" s="992">
        <f>EP63*ER63</f>
        <v>61.426559999999995</v>
      </c>
      <c r="EU63" s="1772"/>
      <c r="EV63" s="992">
        <f t="shared" si="380"/>
        <v>62397.71391359999</v>
      </c>
      <c r="EW63" s="1759"/>
      <c r="EX63" s="992">
        <f t="shared" si="349"/>
        <v>49.92</v>
      </c>
      <c r="EY63" s="1757" t="str">
        <f t="shared" si="349"/>
        <v>ha</v>
      </c>
      <c r="EZ63" s="1758">
        <f>VLOOKUP($G63,'Quantidades Padrão'!$E$7:$J$103,EZ$8,0)</f>
        <v>1.605</v>
      </c>
      <c r="FA63" s="1772"/>
      <c r="FB63" s="992">
        <f>EX63*EZ63</f>
        <v>80.121600000000001</v>
      </c>
      <c r="FC63" s="1772"/>
      <c r="FD63" s="992">
        <f t="shared" si="381"/>
        <v>81388.322495999993</v>
      </c>
      <c r="FE63" s="1759"/>
      <c r="FF63" s="992">
        <f t="shared" si="350"/>
        <v>49.92</v>
      </c>
      <c r="FG63" s="1757" t="str">
        <f t="shared" si="350"/>
        <v>ha</v>
      </c>
      <c r="FH63" s="1758">
        <f>VLOOKUP($G63,'Quantidades Padrão'!$E$7:$J$103,FH$8,0)</f>
        <v>0.85600000000000009</v>
      </c>
      <c r="FI63" s="1772"/>
      <c r="FJ63" s="992">
        <f>FF63*FH63</f>
        <v>42.731520000000003</v>
      </c>
      <c r="FK63" s="1772"/>
      <c r="FL63" s="992">
        <f t="shared" si="382"/>
        <v>43407.1053312</v>
      </c>
      <c r="FM63" s="1759"/>
      <c r="FN63" s="992">
        <f t="shared" si="351"/>
        <v>49.92</v>
      </c>
      <c r="FO63" s="1757" t="str">
        <f t="shared" si="351"/>
        <v>ha</v>
      </c>
      <c r="FP63" s="1758">
        <f>VLOOKUP($G63,'Quantidades Padrão'!$E$7:$J$103,FP$8,0)</f>
        <v>1.2304999999999999</v>
      </c>
      <c r="FQ63" s="1772"/>
      <c r="FR63" s="992">
        <f>FN63*FP63</f>
        <v>61.426559999999995</v>
      </c>
      <c r="FS63" s="1772"/>
      <c r="FT63" s="992">
        <f t="shared" si="383"/>
        <v>62397.71391359999</v>
      </c>
      <c r="FU63" s="1759"/>
      <c r="FV63" s="992">
        <f t="shared" si="352"/>
        <v>49.92</v>
      </c>
      <c r="FW63" s="1757" t="str">
        <f t="shared" si="352"/>
        <v>ha</v>
      </c>
      <c r="FX63" s="1758">
        <f>VLOOKUP($G63,'Quantidades Padrão'!$E$7:$J$103,FX$8,0)</f>
        <v>1.605</v>
      </c>
      <c r="FY63" s="1772"/>
      <c r="FZ63" s="992">
        <f>FV63*FX63</f>
        <v>80.121600000000001</v>
      </c>
      <c r="GA63" s="1772"/>
      <c r="GB63" s="992">
        <f t="shared" si="384"/>
        <v>81388.322495999993</v>
      </c>
      <c r="GC63" s="1759"/>
      <c r="GD63" s="992">
        <f t="shared" si="353"/>
        <v>49.92</v>
      </c>
      <c r="GE63" s="1757" t="str">
        <f t="shared" si="353"/>
        <v>ha</v>
      </c>
      <c r="GF63" s="1758">
        <f>VLOOKUP($G63,'Quantidades Padrão'!$E$7:$J$103,GF$8,0)</f>
        <v>0.85600000000000009</v>
      </c>
      <c r="GG63" s="1772"/>
      <c r="GH63" s="992">
        <f>GD63*GF63</f>
        <v>42.731520000000003</v>
      </c>
      <c r="GI63" s="1772"/>
      <c r="GJ63" s="992">
        <f t="shared" si="385"/>
        <v>43407.1053312</v>
      </c>
      <c r="GK63" s="1759"/>
      <c r="GL63" s="992">
        <f t="shared" si="354"/>
        <v>49.92</v>
      </c>
      <c r="GM63" s="1757" t="str">
        <f t="shared" si="354"/>
        <v>ha</v>
      </c>
      <c r="GN63" s="1758">
        <f>VLOOKUP($G63,'Quantidades Padrão'!$E$7:$J$103,GN$8,0)</f>
        <v>1.2304999999999999</v>
      </c>
      <c r="GO63" s="1772"/>
      <c r="GP63" s="992">
        <f>GL63*GN63</f>
        <v>61.426559999999995</v>
      </c>
      <c r="GQ63" s="1772"/>
      <c r="GR63" s="992">
        <f t="shared" si="386"/>
        <v>62397.71391359999</v>
      </c>
      <c r="GS63" s="1759"/>
      <c r="GT63" s="992">
        <f t="shared" si="355"/>
        <v>49.92</v>
      </c>
      <c r="GU63" s="1757" t="str">
        <f t="shared" si="355"/>
        <v>ha</v>
      </c>
      <c r="GV63" s="1758">
        <f>VLOOKUP($G63,'Quantidades Padrão'!$E$7:$J$103,GV$8,0)</f>
        <v>1.605</v>
      </c>
      <c r="GW63" s="1772"/>
      <c r="GX63" s="992">
        <f>GT63*GV63</f>
        <v>80.121600000000001</v>
      </c>
      <c r="GY63" s="1772"/>
      <c r="GZ63" s="992">
        <f t="shared" si="387"/>
        <v>81388.322495999993</v>
      </c>
      <c r="HA63" s="1759"/>
      <c r="HB63" s="992">
        <f t="shared" si="356"/>
        <v>49.92</v>
      </c>
      <c r="HC63" s="1757" t="str">
        <f t="shared" si="357"/>
        <v>ha</v>
      </c>
      <c r="HD63" s="1758">
        <f>VLOOKUP($G63,'Quantidades Padrão'!$E$7:$J$103,HD$8,0)</f>
        <v>0.85600000000000009</v>
      </c>
      <c r="HE63" s="1772"/>
      <c r="HF63" s="992">
        <f>HB63*HD63</f>
        <v>42.731520000000003</v>
      </c>
      <c r="HG63" s="1772"/>
      <c r="HH63" s="992">
        <f t="shared" si="388"/>
        <v>43407.1053312</v>
      </c>
      <c r="HI63" s="1759"/>
      <c r="HJ63" s="992">
        <f t="shared" si="358"/>
        <v>49.92</v>
      </c>
      <c r="HK63" s="1757" t="str">
        <f t="shared" si="359"/>
        <v>ha</v>
      </c>
      <c r="HL63" s="1758">
        <f>VLOOKUP($G63,'Quantidades Padrão'!$E$7:$J$103,HL$8,0)</f>
        <v>1.2304999999999999</v>
      </c>
      <c r="HM63" s="1772"/>
      <c r="HN63" s="992">
        <f>HJ63*HL63</f>
        <v>61.426559999999995</v>
      </c>
      <c r="HO63" s="1772"/>
      <c r="HP63" s="992">
        <f t="shared" si="389"/>
        <v>62397.71391359999</v>
      </c>
      <c r="HQ63" s="1759"/>
      <c r="HR63" s="992">
        <f t="shared" si="360"/>
        <v>49.92</v>
      </c>
      <c r="HS63" s="1757" t="str">
        <f t="shared" si="361"/>
        <v>ha</v>
      </c>
      <c r="HT63" s="1758">
        <f>VLOOKUP($G63,'Quantidades Padrão'!$E$7:$J$103,HT$8,0)</f>
        <v>1.605</v>
      </c>
      <c r="HU63" s="1772"/>
      <c r="HV63" s="992">
        <f>HR63*HT63</f>
        <v>80.121600000000001</v>
      </c>
      <c r="HW63" s="1772"/>
      <c r="HX63" s="992">
        <f t="shared" si="390"/>
        <v>81388.322495999993</v>
      </c>
      <c r="HY63" s="1759"/>
      <c r="HZ63" s="992">
        <f t="shared" si="362"/>
        <v>49.92</v>
      </c>
      <c r="IA63" s="1757" t="str">
        <f t="shared" si="363"/>
        <v>ha</v>
      </c>
      <c r="IB63" s="1758">
        <f>VLOOKUP($G63,'Quantidades Padrão'!$E$7:$J$103,IB$8,0)</f>
        <v>0.85600000000000009</v>
      </c>
      <c r="IC63" s="1772"/>
      <c r="ID63" s="992">
        <f>HZ63*IB63</f>
        <v>42.731520000000003</v>
      </c>
      <c r="IE63" s="1772"/>
      <c r="IF63" s="992">
        <f t="shared" si="391"/>
        <v>43407.1053312</v>
      </c>
      <c r="IG63" s="1759"/>
      <c r="IH63" s="992">
        <f t="shared" si="364"/>
        <v>49.92</v>
      </c>
      <c r="II63" s="1757" t="str">
        <f t="shared" si="365"/>
        <v>ha</v>
      </c>
      <c r="IJ63" s="1758">
        <f>VLOOKUP($G63,'Quantidades Padrão'!$E$7:$J$103,IJ$8,0)</f>
        <v>1.2304999999999999</v>
      </c>
      <c r="IK63" s="1772"/>
      <c r="IL63" s="992">
        <f>IH63*IJ63</f>
        <v>61.426559999999995</v>
      </c>
      <c r="IM63" s="1772"/>
      <c r="IN63" s="992">
        <f t="shared" si="392"/>
        <v>62397.71391359999</v>
      </c>
      <c r="IO63" s="1759"/>
    </row>
    <row r="64" spans="1:249" s="341" customFormat="1" ht="12.75" hidden="1" customHeight="1">
      <c r="A64" s="1753"/>
      <c r="B64" s="1754"/>
      <c r="C64" s="1755"/>
      <c r="D64" s="1013" t="e">
        <f>VLOOKUP(E64,'DER MG'!$D$5:$I$150,6,0)</f>
        <v>#N/A</v>
      </c>
      <c r="E64" s="1017"/>
      <c r="F64" s="1756"/>
      <c r="G64" s="1018"/>
      <c r="H64" s="992">
        <f t="shared" si="366"/>
        <v>0</v>
      </c>
      <c r="I64" s="992"/>
      <c r="J64" s="1757"/>
      <c r="K64" s="1758"/>
      <c r="L64" s="1759"/>
      <c r="M64" s="992"/>
      <c r="N64" s="1759"/>
      <c r="O64" s="992"/>
      <c r="P64" s="1759"/>
      <c r="Q64" s="1760"/>
      <c r="R64" s="992"/>
      <c r="S64" s="1757"/>
      <c r="T64" s="1758"/>
      <c r="U64" s="1759"/>
      <c r="V64" s="992"/>
      <c r="W64" s="1759"/>
      <c r="X64" s="992"/>
      <c r="Y64" s="1759"/>
      <c r="Z64" s="992"/>
      <c r="AA64" s="1757"/>
      <c r="AB64" s="1758"/>
      <c r="AC64" s="1759"/>
      <c r="AD64" s="992"/>
      <c r="AE64" s="1759"/>
      <c r="AF64" s="992"/>
      <c r="AG64" s="1759"/>
      <c r="AH64" s="992"/>
      <c r="AI64" s="1757"/>
      <c r="AJ64" s="1758"/>
      <c r="AK64" s="1759"/>
      <c r="AL64" s="992"/>
      <c r="AM64" s="1759"/>
      <c r="AN64" s="992"/>
      <c r="AO64" s="1759"/>
      <c r="AP64" s="992"/>
      <c r="AQ64" s="1757"/>
      <c r="AR64" s="1758"/>
      <c r="AS64" s="1759"/>
      <c r="AT64" s="992"/>
      <c r="AU64" s="1759"/>
      <c r="AV64" s="992"/>
      <c r="AW64" s="1759"/>
      <c r="AX64" s="992"/>
      <c r="AY64" s="1757"/>
      <c r="AZ64" s="1758"/>
      <c r="BA64" s="1759"/>
      <c r="BB64" s="992"/>
      <c r="BC64" s="1759"/>
      <c r="BD64" s="992"/>
      <c r="BE64" s="1759"/>
      <c r="BF64" s="992"/>
      <c r="BG64" s="1757"/>
      <c r="BH64" s="1758"/>
      <c r="BI64" s="1772"/>
      <c r="BJ64" s="992"/>
      <c r="BK64" s="1772"/>
      <c r="BL64" s="992"/>
      <c r="BM64" s="1759"/>
      <c r="BN64" s="992"/>
      <c r="BO64" s="1757"/>
      <c r="BP64" s="1758"/>
      <c r="BQ64" s="1772"/>
      <c r="BR64" s="992"/>
      <c r="BS64" s="1772"/>
      <c r="BT64" s="992"/>
      <c r="BU64" s="1759"/>
      <c r="BV64" s="992"/>
      <c r="BW64" s="1757"/>
      <c r="BX64" s="1758"/>
      <c r="BY64" s="1772"/>
      <c r="BZ64" s="992"/>
      <c r="CA64" s="1772"/>
      <c r="CB64" s="992"/>
      <c r="CC64" s="1759"/>
      <c r="CD64" s="992"/>
      <c r="CE64" s="1757"/>
      <c r="CF64" s="1758"/>
      <c r="CG64" s="1772"/>
      <c r="CH64" s="992"/>
      <c r="CI64" s="1772"/>
      <c r="CJ64" s="992"/>
      <c r="CK64" s="1759"/>
      <c r="CL64" s="992"/>
      <c r="CM64" s="1757"/>
      <c r="CN64" s="1758"/>
      <c r="CO64" s="1772"/>
      <c r="CP64" s="992"/>
      <c r="CQ64" s="1772"/>
      <c r="CR64" s="992"/>
      <c r="CS64" s="1759"/>
      <c r="CT64" s="992"/>
      <c r="CU64" s="1757"/>
      <c r="CV64" s="1758"/>
      <c r="CW64" s="1772"/>
      <c r="CX64" s="992"/>
      <c r="CY64" s="1772"/>
      <c r="CZ64" s="992"/>
      <c r="DA64" s="1759"/>
      <c r="DB64" s="992"/>
      <c r="DC64" s="1757"/>
      <c r="DD64" s="1758"/>
      <c r="DE64" s="1772"/>
      <c r="DF64" s="992"/>
      <c r="DG64" s="1772"/>
      <c r="DH64" s="992"/>
      <c r="DI64" s="1759"/>
      <c r="DJ64" s="992"/>
      <c r="DK64" s="1757"/>
      <c r="DL64" s="1758"/>
      <c r="DM64" s="1772"/>
      <c r="DN64" s="992"/>
      <c r="DO64" s="1772"/>
      <c r="DP64" s="992"/>
      <c r="DQ64" s="1759"/>
      <c r="DR64" s="992"/>
      <c r="DS64" s="1757"/>
      <c r="DT64" s="1758"/>
      <c r="DU64" s="1772"/>
      <c r="DV64" s="992"/>
      <c r="DW64" s="1772"/>
      <c r="DX64" s="992"/>
      <c r="DY64" s="1759"/>
      <c r="DZ64" s="992"/>
      <c r="EA64" s="1757"/>
      <c r="EB64" s="1758"/>
      <c r="EC64" s="1772"/>
      <c r="ED64" s="992"/>
      <c r="EE64" s="1772"/>
      <c r="EF64" s="992"/>
      <c r="EG64" s="1759"/>
      <c r="EH64" s="992"/>
      <c r="EI64" s="1757"/>
      <c r="EJ64" s="1758"/>
      <c r="EK64" s="1772"/>
      <c r="EL64" s="992"/>
      <c r="EM64" s="1772"/>
      <c r="EN64" s="992"/>
      <c r="EO64" s="1759"/>
      <c r="EP64" s="992"/>
      <c r="EQ64" s="1757"/>
      <c r="ER64" s="1758"/>
      <c r="ES64" s="1772"/>
      <c r="ET64" s="992"/>
      <c r="EU64" s="1772"/>
      <c r="EV64" s="992"/>
      <c r="EW64" s="1759"/>
      <c r="EX64" s="992"/>
      <c r="EY64" s="1757"/>
      <c r="EZ64" s="1758"/>
      <c r="FA64" s="1772"/>
      <c r="FB64" s="992"/>
      <c r="FC64" s="1772"/>
      <c r="FD64" s="992"/>
      <c r="FE64" s="1759"/>
      <c r="FF64" s="992"/>
      <c r="FG64" s="1757"/>
      <c r="FH64" s="1758"/>
      <c r="FI64" s="1772"/>
      <c r="FJ64" s="992"/>
      <c r="FK64" s="1772"/>
      <c r="FL64" s="992"/>
      <c r="FM64" s="1759"/>
      <c r="FN64" s="992"/>
      <c r="FO64" s="1757"/>
      <c r="FP64" s="1758"/>
      <c r="FQ64" s="1772"/>
      <c r="FR64" s="992"/>
      <c r="FS64" s="1772"/>
      <c r="FT64" s="992"/>
      <c r="FU64" s="1759"/>
      <c r="FV64" s="992"/>
      <c r="FW64" s="1757"/>
      <c r="FX64" s="1758"/>
      <c r="FY64" s="1772"/>
      <c r="FZ64" s="992"/>
      <c r="GA64" s="1772"/>
      <c r="GB64" s="992"/>
      <c r="GC64" s="1759"/>
      <c r="GD64" s="992"/>
      <c r="GE64" s="1757"/>
      <c r="GF64" s="1758"/>
      <c r="GG64" s="1772"/>
      <c r="GH64" s="992"/>
      <c r="GI64" s="1772"/>
      <c r="GJ64" s="992"/>
      <c r="GK64" s="1759"/>
      <c r="GL64" s="992"/>
      <c r="GM64" s="1757"/>
      <c r="GN64" s="1758"/>
      <c r="GO64" s="1772"/>
      <c r="GP64" s="992"/>
      <c r="GQ64" s="1772"/>
      <c r="GR64" s="992"/>
      <c r="GS64" s="1759"/>
      <c r="GT64" s="992"/>
      <c r="GU64" s="1757"/>
      <c r="GV64" s="1758"/>
      <c r="GW64" s="1772"/>
      <c r="GX64" s="992"/>
      <c r="GY64" s="1772"/>
      <c r="GZ64" s="992"/>
      <c r="HA64" s="1759"/>
      <c r="HB64" s="992"/>
      <c r="HC64" s="1757"/>
      <c r="HD64" s="1758"/>
      <c r="HE64" s="1772"/>
      <c r="HF64" s="992"/>
      <c r="HG64" s="1772"/>
      <c r="HH64" s="992"/>
      <c r="HI64" s="1759"/>
      <c r="HJ64" s="992"/>
      <c r="HK64" s="1757"/>
      <c r="HL64" s="1758"/>
      <c r="HM64" s="1772"/>
      <c r="HN64" s="992"/>
      <c r="HO64" s="1772"/>
      <c r="HP64" s="992"/>
      <c r="HQ64" s="1759"/>
      <c r="HR64" s="992"/>
      <c r="HS64" s="1757"/>
      <c r="HT64" s="1758"/>
      <c r="HU64" s="1772"/>
      <c r="HV64" s="992"/>
      <c r="HW64" s="1772"/>
      <c r="HX64" s="992"/>
      <c r="HY64" s="1759"/>
      <c r="HZ64" s="992"/>
      <c r="IA64" s="1757"/>
      <c r="IB64" s="1758"/>
      <c r="IC64" s="1772"/>
      <c r="ID64" s="992"/>
      <c r="IE64" s="1772"/>
      <c r="IF64" s="992"/>
      <c r="IG64" s="1759"/>
      <c r="IH64" s="992"/>
      <c r="II64" s="1757"/>
      <c r="IJ64" s="1758"/>
      <c r="IK64" s="1772"/>
      <c r="IL64" s="992"/>
      <c r="IM64" s="1772"/>
      <c r="IN64" s="992"/>
      <c r="IO64" s="1759"/>
    </row>
    <row r="65" spans="1:249" s="341" customFormat="1">
      <c r="A65" s="1753"/>
      <c r="B65" s="1754"/>
      <c r="C65" s="1755"/>
      <c r="D65" s="1013">
        <f>VLOOKUP(E65,'DER MG'!$D$5:$I$150,6,0)</f>
        <v>16.670000000000002</v>
      </c>
      <c r="E65" s="1017">
        <v>41279</v>
      </c>
      <c r="F65" s="1756"/>
      <c r="G65" s="1018" t="s">
        <v>458</v>
      </c>
      <c r="H65" s="992">
        <f t="shared" si="366"/>
        <v>5866505.041599093</v>
      </c>
      <c r="I65" s="992">
        <f>$I$29</f>
        <v>500</v>
      </c>
      <c r="J65" s="1757" t="s">
        <v>418</v>
      </c>
      <c r="K65" s="1758">
        <f>VLOOKUP($G65,'Quantidades Padrão'!$E$7:$J$103,K$8,0)</f>
        <v>15.408000000000001</v>
      </c>
      <c r="L65" s="1759" t="s">
        <v>459</v>
      </c>
      <c r="M65" s="992">
        <f>I65*K65</f>
        <v>7704.0000000000009</v>
      </c>
      <c r="N65" s="1759" t="s">
        <v>416</v>
      </c>
      <c r="O65" s="992">
        <f t="shared" si="367"/>
        <v>128425.68000000002</v>
      </c>
      <c r="P65" s="1759"/>
      <c r="Q65" s="1760">
        <f>O65/O$71</f>
        <v>2.0689489524740728E-2</v>
      </c>
      <c r="R65" s="992">
        <f>$R$29</f>
        <v>500</v>
      </c>
      <c r="S65" s="1757" t="s">
        <v>418</v>
      </c>
      <c r="T65" s="1758">
        <f>VLOOKUP($G65,'Quantidades Padrão'!$E$7:$J$103,T$8,0)</f>
        <v>15.408000000000001</v>
      </c>
      <c r="U65" s="1759" t="s">
        <v>459</v>
      </c>
      <c r="V65" s="992">
        <f>R65*T65</f>
        <v>7704.0000000000009</v>
      </c>
      <c r="W65" s="1759" t="s">
        <v>416</v>
      </c>
      <c r="X65" s="992">
        <f>$D65*V65</f>
        <v>128425.68000000002</v>
      </c>
      <c r="Y65" s="1759"/>
      <c r="Z65" s="992">
        <f>$R$29</f>
        <v>500</v>
      </c>
      <c r="AA65" s="1757" t="s">
        <v>418</v>
      </c>
      <c r="AB65" s="1758">
        <f>VLOOKUP($G65,'Quantidades Padrão'!$E$7:$J$103,AB$8,0)</f>
        <v>28.89</v>
      </c>
      <c r="AC65" s="1759" t="s">
        <v>459</v>
      </c>
      <c r="AD65" s="992">
        <f>Z65*AB65</f>
        <v>14445</v>
      </c>
      <c r="AE65" s="1759" t="s">
        <v>416</v>
      </c>
      <c r="AF65" s="992">
        <f>$D65*AD65</f>
        <v>240798.15000000002</v>
      </c>
      <c r="AG65" s="1759"/>
      <c r="AH65" s="992">
        <f>$R$29</f>
        <v>500</v>
      </c>
      <c r="AI65" s="1757" t="s">
        <v>418</v>
      </c>
      <c r="AJ65" s="1758">
        <f>VLOOKUP($G65,'Quantidades Padrão'!$E$7:$J$103,AJ$8,0)</f>
        <v>15.408000000000001</v>
      </c>
      <c r="AK65" s="1759" t="s">
        <v>459</v>
      </c>
      <c r="AL65" s="992">
        <f>AH65*AJ65</f>
        <v>7704.0000000000009</v>
      </c>
      <c r="AM65" s="1759" t="s">
        <v>416</v>
      </c>
      <c r="AN65" s="992">
        <f>$D65*AL65</f>
        <v>128425.68000000002</v>
      </c>
      <c r="AO65" s="1759"/>
      <c r="AP65" s="992">
        <f>$R$29</f>
        <v>500</v>
      </c>
      <c r="AQ65" s="1757" t="s">
        <v>418</v>
      </c>
      <c r="AR65" s="1758">
        <f>VLOOKUP($G65,'Quantidades Padrão'!$E$7:$J$103,AR$8,0)</f>
        <v>15.408000000000001</v>
      </c>
      <c r="AS65" s="1759" t="s">
        <v>459</v>
      </c>
      <c r="AT65" s="992">
        <f>AP65*AR65</f>
        <v>7704.0000000000009</v>
      </c>
      <c r="AU65" s="1759" t="s">
        <v>416</v>
      </c>
      <c r="AV65" s="992">
        <f>$D65*AT65</f>
        <v>128425.68000000002</v>
      </c>
      <c r="AW65" s="1759"/>
      <c r="AX65" s="992">
        <f>AX29</f>
        <v>513.17434300000002</v>
      </c>
      <c r="AY65" s="1757" t="s">
        <v>418</v>
      </c>
      <c r="AZ65" s="1758">
        <f>VLOOKUP($G65,'Quantidades Padrão'!$E$7:$J$103,AZ$8,0)</f>
        <v>22.149000000000001</v>
      </c>
      <c r="BA65" s="1759" t="s">
        <v>459</v>
      </c>
      <c r="BB65" s="992">
        <f>AX65*AZ65</f>
        <v>11366.298523107002</v>
      </c>
      <c r="BC65" s="1759" t="s">
        <v>416</v>
      </c>
      <c r="BD65" s="992">
        <f t="shared" si="368"/>
        <v>189476.19638019372</v>
      </c>
      <c r="BE65" s="1759"/>
      <c r="BF65" s="992">
        <f>BF29</f>
        <v>539.66868600000009</v>
      </c>
      <c r="BG65" s="1757" t="str">
        <f>J65</f>
        <v>km eq</v>
      </c>
      <c r="BH65" s="1758">
        <f>VLOOKUP($G65,'Quantidades Padrão'!$E$7:$J$103,BH$8,0)</f>
        <v>28.89</v>
      </c>
      <c r="BI65" s="1772"/>
      <c r="BJ65" s="992">
        <f>BF65*BH65</f>
        <v>15591.028338540003</v>
      </c>
      <c r="BK65" s="1772"/>
      <c r="BL65" s="992">
        <f t="shared" si="369"/>
        <v>259902.44240346187</v>
      </c>
      <c r="BM65" s="1759"/>
      <c r="BN65" s="992">
        <f>BN29</f>
        <v>539.66868600000009</v>
      </c>
      <c r="BO65" s="1757" t="s">
        <v>418</v>
      </c>
      <c r="BP65" s="1758">
        <f>VLOOKUP($G65,'Quantidades Padrão'!$E$7:$J$103,BP$8,0)</f>
        <v>15.408000000000001</v>
      </c>
      <c r="BQ65" s="1772"/>
      <c r="BR65" s="992">
        <f>BN65*BP65</f>
        <v>8315.2151138880017</v>
      </c>
      <c r="BS65" s="1772"/>
      <c r="BT65" s="992">
        <f t="shared" ref="BT65" si="393">$D65*BR65</f>
        <v>138614.63594851299</v>
      </c>
      <c r="BU65" s="1759"/>
      <c r="BV65" s="992">
        <f>BV29</f>
        <v>539.66868600000009</v>
      </c>
      <c r="BW65" s="1757" t="s">
        <v>418</v>
      </c>
      <c r="BX65" s="1758">
        <f>VLOOKUP($G65,'Quantidades Padrão'!$E$7:$J$103,BX$8,0)</f>
        <v>22.149000000000001</v>
      </c>
      <c r="BY65" s="1772"/>
      <c r="BZ65" s="992">
        <f>BV65*BX65</f>
        <v>11953.121726214002</v>
      </c>
      <c r="CA65" s="1772"/>
      <c r="CB65" s="992">
        <f t="shared" ref="CB65" si="394">$D65*BZ65</f>
        <v>199258.53917598742</v>
      </c>
      <c r="CC65" s="1759"/>
      <c r="CD65" s="992">
        <f>CD29</f>
        <v>539.66868600000009</v>
      </c>
      <c r="CE65" s="1757" t="s">
        <v>418</v>
      </c>
      <c r="CF65" s="1758">
        <f>VLOOKUP($G65,'Quantidades Padrão'!$E$7:$J$103,CF$8,0)</f>
        <v>28.89</v>
      </c>
      <c r="CG65" s="1772"/>
      <c r="CH65" s="992">
        <f>CD65*CF65</f>
        <v>15591.028338540003</v>
      </c>
      <c r="CI65" s="1772"/>
      <c r="CJ65" s="992">
        <f t="shared" ref="CJ65" si="395">$D65*CH65</f>
        <v>259902.44240346187</v>
      </c>
      <c r="CK65" s="1759"/>
      <c r="CL65" s="992">
        <f>BF65</f>
        <v>539.66868600000009</v>
      </c>
      <c r="CM65" s="1757" t="str">
        <f>BG65</f>
        <v>km eq</v>
      </c>
      <c r="CN65" s="1758">
        <f>VLOOKUP($G65,'Quantidades Padrão'!$E$7:$J$103,CN$8,0)</f>
        <v>15.408000000000001</v>
      </c>
      <c r="CO65" s="1772"/>
      <c r="CP65" s="992">
        <f>CL65*CN65</f>
        <v>8315.2151138880017</v>
      </c>
      <c r="CQ65" s="1772"/>
      <c r="CR65" s="992">
        <f t="shared" si="373"/>
        <v>138614.63594851299</v>
      </c>
      <c r="CS65" s="1759"/>
      <c r="CT65" s="992">
        <f>CT29</f>
        <v>539.66868600000009</v>
      </c>
      <c r="CU65" s="1757" t="s">
        <v>418</v>
      </c>
      <c r="CV65" s="1758">
        <f>VLOOKUP($G65,'Quantidades Padrão'!$E$7:$J$103,CV$8,0)</f>
        <v>22.149000000000001</v>
      </c>
      <c r="CW65" s="1772"/>
      <c r="CX65" s="992">
        <f>CT65*CV65</f>
        <v>11953.121726214002</v>
      </c>
      <c r="CY65" s="1772"/>
      <c r="CZ65" s="992">
        <f t="shared" ref="CZ65" si="396">$D65*CX65</f>
        <v>199258.53917598742</v>
      </c>
      <c r="DA65" s="1759"/>
      <c r="DB65" s="992">
        <f>DB29</f>
        <v>539.66868600000009</v>
      </c>
      <c r="DC65" s="1757" t="s">
        <v>418</v>
      </c>
      <c r="DD65" s="1758">
        <f>VLOOKUP($G65,'Quantidades Padrão'!$E$7:$J$103,DD$8,0)</f>
        <v>28.89</v>
      </c>
      <c r="DE65" s="1772"/>
      <c r="DF65" s="992">
        <f>DB65*DD65</f>
        <v>15591.028338540003</v>
      </c>
      <c r="DG65" s="1772"/>
      <c r="DH65" s="992">
        <f t="shared" ref="DH65" si="397">$D65*DF65</f>
        <v>259902.44240346187</v>
      </c>
      <c r="DI65" s="1759"/>
      <c r="DJ65" s="992">
        <f>DJ29</f>
        <v>539.66868600000009</v>
      </c>
      <c r="DK65" s="1757" t="s">
        <v>418</v>
      </c>
      <c r="DL65" s="1758">
        <f>VLOOKUP($G65,'Quantidades Padrão'!$E$7:$J$103,DL$8,0)</f>
        <v>15.408000000000001</v>
      </c>
      <c r="DM65" s="1772"/>
      <c r="DN65" s="992">
        <f>DJ65*DL65</f>
        <v>8315.2151138880017</v>
      </c>
      <c r="DO65" s="1772"/>
      <c r="DP65" s="992">
        <f t="shared" ref="DP65" si="398">$D65*DN65</f>
        <v>138614.63594851299</v>
      </c>
      <c r="DQ65" s="1759"/>
      <c r="DR65" s="992">
        <f>DR29</f>
        <v>539.66868600000009</v>
      </c>
      <c r="DS65" s="1757" t="s">
        <v>418</v>
      </c>
      <c r="DT65" s="1758">
        <f>VLOOKUP($G65,'Quantidades Padrão'!$E$7:$J$103,DT$8,0)</f>
        <v>22.149000000000001</v>
      </c>
      <c r="DU65" s="1772"/>
      <c r="DV65" s="992">
        <f>DR65*DT65</f>
        <v>11953.121726214002</v>
      </c>
      <c r="DW65" s="1772"/>
      <c r="DX65" s="992">
        <f t="shared" ref="DX65" si="399">$D65*DV65</f>
        <v>199258.53917598742</v>
      </c>
      <c r="DY65" s="1759"/>
      <c r="DZ65" s="992">
        <f>DZ29</f>
        <v>548.54868600000009</v>
      </c>
      <c r="EA65" s="1757" t="str">
        <f>CU65</f>
        <v>km eq</v>
      </c>
      <c r="EB65" s="1758">
        <f>VLOOKUP($G65,'Quantidades Padrão'!$E$7:$J$103,EB$8,0)</f>
        <v>28.89</v>
      </c>
      <c r="EC65" s="1772"/>
      <c r="ED65" s="992">
        <f>DZ65*EB65</f>
        <v>15847.571538540004</v>
      </c>
      <c r="EE65" s="1772"/>
      <c r="EF65" s="992">
        <f t="shared" ref="EF65" si="400">$D65*ED65</f>
        <v>264179.0175474619</v>
      </c>
      <c r="EG65" s="1759"/>
      <c r="EH65" s="992">
        <f>EH29</f>
        <v>548.54868600000009</v>
      </c>
      <c r="EI65" s="1757" t="str">
        <f>DC65</f>
        <v>km eq</v>
      </c>
      <c r="EJ65" s="1758">
        <f>VLOOKUP($G65,'Quantidades Padrão'!$E$7:$J$103,EJ$8,0)</f>
        <v>15.408000000000001</v>
      </c>
      <c r="EK65" s="1772"/>
      <c r="EL65" s="992">
        <f>EH65*EJ65</f>
        <v>8452.0381538880029</v>
      </c>
      <c r="EM65" s="1772"/>
      <c r="EN65" s="992">
        <f t="shared" ref="EN65" si="401">$D65*EL65</f>
        <v>140895.47602531302</v>
      </c>
      <c r="EO65" s="1759"/>
      <c r="EP65" s="992">
        <f>EP30</f>
        <v>548.54868600000009</v>
      </c>
      <c r="EQ65" s="1757" t="str">
        <f>CM65</f>
        <v>km eq</v>
      </c>
      <c r="ER65" s="1758">
        <f>VLOOKUP($G65,'Quantidades Padrão'!$E$7:$J$103,ER$8,0)</f>
        <v>22.149000000000001</v>
      </c>
      <c r="ES65" s="1772"/>
      <c r="ET65" s="992">
        <f>EP65*ER65</f>
        <v>12149.804846214003</v>
      </c>
      <c r="EU65" s="1772"/>
      <c r="EV65" s="992">
        <f t="shared" si="380"/>
        <v>202537.24678638746</v>
      </c>
      <c r="EW65" s="1759"/>
      <c r="EX65" s="992">
        <f>EX29</f>
        <v>548.54868600000009</v>
      </c>
      <c r="EY65" s="1757" t="str">
        <f>CU65</f>
        <v>km eq</v>
      </c>
      <c r="EZ65" s="1758">
        <f>VLOOKUP($G65,'Quantidades Padrão'!$E$7:$J$103,EZ$8,0)</f>
        <v>28.89</v>
      </c>
      <c r="FA65" s="1772"/>
      <c r="FB65" s="992">
        <f>EX65*EZ65</f>
        <v>15847.571538540004</v>
      </c>
      <c r="FC65" s="1772"/>
      <c r="FD65" s="992">
        <f t="shared" ref="FD65" si="402">$D65*FB65</f>
        <v>264179.0175474619</v>
      </c>
      <c r="FE65" s="1759"/>
      <c r="FF65" s="992">
        <f>FF29</f>
        <v>548.54868600000009</v>
      </c>
      <c r="FG65" s="1757" t="str">
        <f>DC65</f>
        <v>km eq</v>
      </c>
      <c r="FH65" s="1758">
        <f>VLOOKUP($G65,'Quantidades Padrão'!$E$7:$J$103,FH$8,0)</f>
        <v>15.408000000000001</v>
      </c>
      <c r="FI65" s="1772"/>
      <c r="FJ65" s="992">
        <f>FF65*FH65</f>
        <v>8452.0381538880029</v>
      </c>
      <c r="FK65" s="1772"/>
      <c r="FL65" s="992">
        <f t="shared" ref="FL65" si="403">$D65*FJ65</f>
        <v>140895.47602531302</v>
      </c>
      <c r="FM65" s="1759"/>
      <c r="FN65" s="992">
        <f>FN29</f>
        <v>571.14868600000011</v>
      </c>
      <c r="FO65" s="1757" t="str">
        <f>DK65</f>
        <v>km eq</v>
      </c>
      <c r="FP65" s="1758">
        <f>VLOOKUP($G65,'Quantidades Padrão'!$E$7:$J$103,FP$8,0)</f>
        <v>22.149000000000001</v>
      </c>
      <c r="FQ65" s="1772"/>
      <c r="FR65" s="992">
        <f>FN65*FP65</f>
        <v>12650.372246214003</v>
      </c>
      <c r="FS65" s="1772"/>
      <c r="FT65" s="992">
        <f t="shared" ref="FT65" si="404">$D65*FR65</f>
        <v>210881.70534438745</v>
      </c>
      <c r="FU65" s="1759"/>
      <c r="FV65" s="992">
        <f>FV29</f>
        <v>571.14868600000011</v>
      </c>
      <c r="FW65" s="1757" t="str">
        <f>DS65</f>
        <v>km eq</v>
      </c>
      <c r="FX65" s="1758">
        <f>VLOOKUP($G65,'Quantidades Padrão'!$E$7:$J$103,FX$8,0)</f>
        <v>28.89</v>
      </c>
      <c r="FY65" s="1772"/>
      <c r="FZ65" s="992">
        <f>FV65*FX65</f>
        <v>16500.485538540004</v>
      </c>
      <c r="GA65" s="1772"/>
      <c r="GB65" s="992">
        <f t="shared" ref="GB65" si="405">$D65*FZ65</f>
        <v>275063.09392746189</v>
      </c>
      <c r="GC65" s="1759"/>
      <c r="GD65" s="992">
        <f>GD29</f>
        <v>571.14868600000011</v>
      </c>
      <c r="GE65" s="1757" t="str">
        <f>EA65</f>
        <v>km eq</v>
      </c>
      <c r="GF65" s="1758">
        <f>VLOOKUP($G65,'Quantidades Padrão'!$E$7:$J$103,GF$8,0)</f>
        <v>15.408000000000001</v>
      </c>
      <c r="GG65" s="1772"/>
      <c r="GH65" s="992">
        <f>GD65*GF65</f>
        <v>8800.258953888002</v>
      </c>
      <c r="GI65" s="1772"/>
      <c r="GJ65" s="992">
        <f t="shared" ref="GJ65" si="406">$D65*GH65</f>
        <v>146700.31676131301</v>
      </c>
      <c r="GK65" s="1759"/>
      <c r="GL65" s="992">
        <f>GL29</f>
        <v>571.14868600000011</v>
      </c>
      <c r="GM65" s="1757" t="str">
        <f>EI65</f>
        <v>km eq</v>
      </c>
      <c r="GN65" s="1758">
        <f>VLOOKUP($G65,'Quantidades Padrão'!$E$7:$J$103,GN$8,0)</f>
        <v>22.149000000000001</v>
      </c>
      <c r="GO65" s="1772"/>
      <c r="GP65" s="992">
        <f>GL65*GN65</f>
        <v>12650.372246214003</v>
      </c>
      <c r="GQ65" s="1772"/>
      <c r="GR65" s="992">
        <f t="shared" ref="GR65" si="407">$D65*GP65</f>
        <v>210881.70534438745</v>
      </c>
      <c r="GS65" s="1759"/>
      <c r="GT65" s="992">
        <f>GT29</f>
        <v>571.14868600000011</v>
      </c>
      <c r="GU65" s="1757" t="str">
        <f>EQ65</f>
        <v>km eq</v>
      </c>
      <c r="GV65" s="1758">
        <f>VLOOKUP($G65,'Quantidades Padrão'!$E$7:$J$103,GV$8,0)</f>
        <v>28.89</v>
      </c>
      <c r="GW65" s="1772"/>
      <c r="GX65" s="992">
        <f>GT65*GV65</f>
        <v>16500.485538540004</v>
      </c>
      <c r="GY65" s="1772"/>
      <c r="GZ65" s="992">
        <f t="shared" ref="GZ65" si="408">$D65*GX65</f>
        <v>275063.09392746189</v>
      </c>
      <c r="HA65" s="1759"/>
      <c r="HB65" s="992">
        <f>HB29</f>
        <v>575.58868600000005</v>
      </c>
      <c r="HC65" s="1757" t="str">
        <f t="shared" ref="HC65:HC70" si="409">EQ65</f>
        <v>km eq</v>
      </c>
      <c r="HD65" s="1758">
        <f>VLOOKUP($G65,'Quantidades Padrão'!$E$7:$J$103,HD$8,0)</f>
        <v>15.408000000000001</v>
      </c>
      <c r="HE65" s="1772"/>
      <c r="HF65" s="992">
        <f>HB65*HD65</f>
        <v>8868.6704738880017</v>
      </c>
      <c r="HG65" s="1772"/>
      <c r="HH65" s="992">
        <f t="shared" si="388"/>
        <v>147840.73679971299</v>
      </c>
      <c r="HI65" s="1759"/>
      <c r="HJ65" s="992">
        <f>HJ29</f>
        <v>575.58868600000005</v>
      </c>
      <c r="HK65" s="1757" t="str">
        <f t="shared" ref="HK65" si="410">EY65</f>
        <v>km eq</v>
      </c>
      <c r="HL65" s="1758">
        <f>VLOOKUP($G65,'Quantidades Padrão'!$E$7:$J$103,HL$8,0)</f>
        <v>22.149000000000001</v>
      </c>
      <c r="HM65" s="1772"/>
      <c r="HN65" s="992">
        <f>HJ65*HL65</f>
        <v>12748.713806214002</v>
      </c>
      <c r="HO65" s="1772"/>
      <c r="HP65" s="992">
        <f t="shared" ref="HP65" si="411">$D65*HN65</f>
        <v>212521.05914958744</v>
      </c>
      <c r="HQ65" s="1759"/>
      <c r="HR65" s="992">
        <f>HR29</f>
        <v>575.58868600000005</v>
      </c>
      <c r="HS65" s="1757" t="str">
        <f t="shared" ref="HS65" si="412">FG65</f>
        <v>km eq</v>
      </c>
      <c r="HT65" s="1758">
        <f>VLOOKUP($G65,'Quantidades Padrão'!$E$7:$J$103,HT$8,0)</f>
        <v>28.89</v>
      </c>
      <c r="HU65" s="1772"/>
      <c r="HV65" s="992">
        <f>HR65*HT65</f>
        <v>16628.757138540001</v>
      </c>
      <c r="HW65" s="1772"/>
      <c r="HX65" s="992">
        <f t="shared" ref="HX65" si="413">$D65*HV65</f>
        <v>277201.38149946183</v>
      </c>
      <c r="HY65" s="1759"/>
      <c r="HZ65" s="992">
        <f>HZ29</f>
        <v>575.58868600000005</v>
      </c>
      <c r="IA65" s="1757" t="str">
        <f t="shared" ref="IA65" si="414">FO65</f>
        <v>km eq</v>
      </c>
      <c r="IB65" s="1758">
        <f>VLOOKUP($G65,'Quantidades Padrão'!$E$7:$J$103,IB$8,0)</f>
        <v>15.408000000000001</v>
      </c>
      <c r="IC65" s="1772"/>
      <c r="ID65" s="992">
        <f>HZ65*IB65</f>
        <v>8868.6704738880017</v>
      </c>
      <c r="IE65" s="1772"/>
      <c r="IF65" s="992">
        <f t="shared" ref="IF65" si="415">$D65*ID65</f>
        <v>147840.73679971299</v>
      </c>
      <c r="IG65" s="1759"/>
      <c r="IH65" s="992">
        <f>IH29</f>
        <v>575.58868600000005</v>
      </c>
      <c r="II65" s="1757" t="str">
        <f t="shared" ref="II65" si="416">FW65</f>
        <v>km eq</v>
      </c>
      <c r="IJ65" s="1758">
        <f>VLOOKUP($G65,'Quantidades Padrão'!$E$7:$J$103,IJ$8,0)</f>
        <v>22.149000000000001</v>
      </c>
      <c r="IK65" s="1772"/>
      <c r="IL65" s="992">
        <f>IH65*IJ65</f>
        <v>12748.713806214002</v>
      </c>
      <c r="IM65" s="1772"/>
      <c r="IN65" s="992">
        <f t="shared" ref="IN65" si="417">$D65*IL65</f>
        <v>212521.05914958744</v>
      </c>
      <c r="IO65" s="1759"/>
    </row>
    <row r="66" spans="1:249" s="341" customFormat="1" ht="12.75" hidden="1" customHeight="1">
      <c r="A66" s="1753"/>
      <c r="B66" s="1754"/>
      <c r="C66" s="1755"/>
      <c r="D66" s="1013"/>
      <c r="E66" s="1017"/>
      <c r="F66" s="1756"/>
      <c r="G66" s="1018"/>
      <c r="H66" s="992"/>
      <c r="I66" s="992"/>
      <c r="J66" s="1757"/>
      <c r="K66" s="1758"/>
      <c r="L66" s="1759"/>
      <c r="M66" s="992"/>
      <c r="N66" s="1759"/>
      <c r="O66" s="992"/>
      <c r="P66" s="1759"/>
      <c r="Q66" s="1760"/>
      <c r="R66" s="992"/>
      <c r="S66" s="1757"/>
      <c r="T66" s="1758"/>
      <c r="U66" s="1759"/>
      <c r="V66" s="992"/>
      <c r="W66" s="1759"/>
      <c r="X66" s="992"/>
      <c r="Y66" s="1759"/>
      <c r="Z66" s="992"/>
      <c r="AA66" s="1757"/>
      <c r="AB66" s="1758"/>
      <c r="AC66" s="1759"/>
      <c r="AD66" s="992"/>
      <c r="AE66" s="1759"/>
      <c r="AF66" s="992"/>
      <c r="AG66" s="1759"/>
      <c r="AH66" s="992"/>
      <c r="AI66" s="1757"/>
      <c r="AJ66" s="1758"/>
      <c r="AK66" s="1759"/>
      <c r="AL66" s="992"/>
      <c r="AM66" s="1759"/>
      <c r="AN66" s="992"/>
      <c r="AO66" s="1759"/>
      <c r="AP66" s="992"/>
      <c r="AQ66" s="1757"/>
      <c r="AR66" s="1758"/>
      <c r="AS66" s="1759"/>
      <c r="AT66" s="992"/>
      <c r="AU66" s="1759"/>
      <c r="AV66" s="992"/>
      <c r="AW66" s="1759"/>
      <c r="AX66" s="992"/>
      <c r="AY66" s="1757"/>
      <c r="AZ66" s="1758"/>
      <c r="BA66" s="1759"/>
      <c r="BB66" s="992"/>
      <c r="BC66" s="1759"/>
      <c r="BD66" s="992"/>
      <c r="BE66" s="1759"/>
      <c r="BF66" s="992"/>
      <c r="BG66" s="1757"/>
      <c r="BH66" s="1758"/>
      <c r="BI66" s="1772"/>
      <c r="BJ66" s="992"/>
      <c r="BK66" s="1772"/>
      <c r="BL66" s="992"/>
      <c r="BM66" s="1759"/>
      <c r="BN66" s="992"/>
      <c r="BO66" s="1757"/>
      <c r="BP66" s="1758"/>
      <c r="BQ66" s="1772"/>
      <c r="BR66" s="992"/>
      <c r="BS66" s="1772"/>
      <c r="BT66" s="992"/>
      <c r="BU66" s="1759"/>
      <c r="BV66" s="992"/>
      <c r="BW66" s="1757"/>
      <c r="BX66" s="1758"/>
      <c r="BY66" s="1772"/>
      <c r="BZ66" s="992"/>
      <c r="CA66" s="1772"/>
      <c r="CB66" s="992"/>
      <c r="CC66" s="1759"/>
      <c r="CD66" s="992"/>
      <c r="CE66" s="1757"/>
      <c r="CF66" s="1758"/>
      <c r="CG66" s="1772"/>
      <c r="CH66" s="992"/>
      <c r="CI66" s="1772"/>
      <c r="CJ66" s="992"/>
      <c r="CK66" s="1759"/>
      <c r="CL66" s="992"/>
      <c r="CM66" s="1757"/>
      <c r="CN66" s="1758"/>
      <c r="CO66" s="1772"/>
      <c r="CP66" s="992"/>
      <c r="CQ66" s="1772"/>
      <c r="CR66" s="992"/>
      <c r="CS66" s="1759"/>
      <c r="CT66" s="992"/>
      <c r="CU66" s="1757"/>
      <c r="CV66" s="1758"/>
      <c r="CW66" s="1772"/>
      <c r="CX66" s="992"/>
      <c r="CY66" s="1772"/>
      <c r="CZ66" s="992"/>
      <c r="DA66" s="1759"/>
      <c r="DB66" s="992"/>
      <c r="DC66" s="1757"/>
      <c r="DD66" s="1758"/>
      <c r="DE66" s="1772"/>
      <c r="DF66" s="992"/>
      <c r="DG66" s="1772"/>
      <c r="DH66" s="992"/>
      <c r="DI66" s="1759"/>
      <c r="DJ66" s="992"/>
      <c r="DK66" s="1757"/>
      <c r="DL66" s="1758"/>
      <c r="DM66" s="1772"/>
      <c r="DN66" s="992"/>
      <c r="DO66" s="1772"/>
      <c r="DP66" s="992"/>
      <c r="DQ66" s="1759"/>
      <c r="DR66" s="992"/>
      <c r="DS66" s="1757"/>
      <c r="DT66" s="1758"/>
      <c r="DU66" s="1772"/>
      <c r="DV66" s="992"/>
      <c r="DW66" s="1772"/>
      <c r="DX66" s="992"/>
      <c r="DY66" s="1759"/>
      <c r="DZ66" s="992"/>
      <c r="EA66" s="1757"/>
      <c r="EB66" s="1758"/>
      <c r="EC66" s="1772"/>
      <c r="ED66" s="992"/>
      <c r="EE66" s="1772"/>
      <c r="EF66" s="992"/>
      <c r="EG66" s="1759"/>
      <c r="EH66" s="992"/>
      <c r="EI66" s="1757"/>
      <c r="EJ66" s="1758"/>
      <c r="EK66" s="1772"/>
      <c r="EL66" s="992"/>
      <c r="EM66" s="1772"/>
      <c r="EN66" s="992"/>
      <c r="EO66" s="1759"/>
      <c r="EP66" s="992"/>
      <c r="EQ66" s="1757"/>
      <c r="ER66" s="1758"/>
      <c r="ES66" s="1772"/>
      <c r="ET66" s="992"/>
      <c r="EU66" s="1772"/>
      <c r="EV66" s="992"/>
      <c r="EW66" s="1759"/>
      <c r="EX66" s="992"/>
      <c r="EY66" s="1757"/>
      <c r="EZ66" s="1758"/>
      <c r="FA66" s="1772"/>
      <c r="FB66" s="992"/>
      <c r="FC66" s="1772"/>
      <c r="FD66" s="992"/>
      <c r="FE66" s="1759"/>
      <c r="FF66" s="992"/>
      <c r="FG66" s="1757"/>
      <c r="FH66" s="1758"/>
      <c r="FI66" s="1772"/>
      <c r="FJ66" s="992"/>
      <c r="FK66" s="1772"/>
      <c r="FL66" s="992"/>
      <c r="FM66" s="1759"/>
      <c r="FN66" s="992"/>
      <c r="FO66" s="1757"/>
      <c r="FP66" s="1758"/>
      <c r="FQ66" s="1772"/>
      <c r="FR66" s="992"/>
      <c r="FS66" s="1772"/>
      <c r="FT66" s="992"/>
      <c r="FU66" s="1759"/>
      <c r="FV66" s="992"/>
      <c r="FW66" s="1757"/>
      <c r="FX66" s="1758"/>
      <c r="FY66" s="1772"/>
      <c r="FZ66" s="992"/>
      <c r="GA66" s="1772"/>
      <c r="GB66" s="992"/>
      <c r="GC66" s="1759"/>
      <c r="GD66" s="992"/>
      <c r="GE66" s="1757"/>
      <c r="GF66" s="1758"/>
      <c r="GG66" s="1772"/>
      <c r="GH66" s="992"/>
      <c r="GI66" s="1772"/>
      <c r="GJ66" s="992"/>
      <c r="GK66" s="1759"/>
      <c r="GL66" s="992"/>
      <c r="GM66" s="1757"/>
      <c r="GN66" s="1758"/>
      <c r="GO66" s="1772"/>
      <c r="GP66" s="992"/>
      <c r="GQ66" s="1772"/>
      <c r="GR66" s="992"/>
      <c r="GS66" s="1759"/>
      <c r="GT66" s="992"/>
      <c r="GU66" s="1757"/>
      <c r="GV66" s="1758"/>
      <c r="GW66" s="1772"/>
      <c r="GX66" s="992"/>
      <c r="GY66" s="1772"/>
      <c r="GZ66" s="992"/>
      <c r="HA66" s="1759"/>
      <c r="HB66" s="992"/>
      <c r="HC66" s="1757"/>
      <c r="HD66" s="1758"/>
      <c r="HE66" s="1772"/>
      <c r="HF66" s="992"/>
      <c r="HG66" s="1772"/>
      <c r="HH66" s="992"/>
      <c r="HI66" s="1759"/>
      <c r="HJ66" s="992"/>
      <c r="HK66" s="1757"/>
      <c r="HL66" s="1758"/>
      <c r="HM66" s="1772"/>
      <c r="HN66" s="992"/>
      <c r="HO66" s="1772"/>
      <c r="HP66" s="992"/>
      <c r="HQ66" s="1759"/>
      <c r="HR66" s="992"/>
      <c r="HS66" s="1757"/>
      <c r="HT66" s="1758"/>
      <c r="HU66" s="1772"/>
      <c r="HV66" s="992"/>
      <c r="HW66" s="1772"/>
      <c r="HX66" s="992"/>
      <c r="HY66" s="1759"/>
      <c r="HZ66" s="992"/>
      <c r="IA66" s="1757"/>
      <c r="IB66" s="1758"/>
      <c r="IC66" s="1772"/>
      <c r="ID66" s="992"/>
      <c r="IE66" s="1772"/>
      <c r="IF66" s="992"/>
      <c r="IG66" s="1759"/>
      <c r="IH66" s="992"/>
      <c r="II66" s="1757"/>
      <c r="IJ66" s="1758"/>
      <c r="IK66" s="1772"/>
      <c r="IL66" s="992"/>
      <c r="IM66" s="1772"/>
      <c r="IN66" s="992"/>
      <c r="IO66" s="1759"/>
    </row>
    <row r="67" spans="1:249" s="1782" customFormat="1">
      <c r="A67" s="1778"/>
      <c r="B67" s="1779"/>
      <c r="C67" s="1780"/>
      <c r="D67" s="1020"/>
      <c r="E67" s="1781"/>
      <c r="F67" s="1762" t="s">
        <v>72</v>
      </c>
      <c r="G67" s="1763" t="s">
        <v>334</v>
      </c>
      <c r="H67" s="994">
        <f>SUBTOTAL(9,H68)</f>
        <v>6600481.7149999989</v>
      </c>
      <c r="I67" s="1774"/>
      <c r="J67" s="1775"/>
      <c r="K67" s="1776"/>
      <c r="L67" s="1775"/>
      <c r="M67" s="1774"/>
      <c r="N67" s="1775"/>
      <c r="O67" s="994">
        <f>SUBTOTAL(9,O68)</f>
        <v>137747.52000000002</v>
      </c>
      <c r="P67" s="1765">
        <f>O67/$H67</f>
        <v>2.0869313172546231E-2</v>
      </c>
      <c r="Q67" s="1766">
        <f>O67/O$71</f>
        <v>2.2191246112919269E-2</v>
      </c>
      <c r="R67" s="1774"/>
      <c r="S67" s="1775"/>
      <c r="T67" s="1776"/>
      <c r="U67" s="1775"/>
      <c r="V67" s="1774"/>
      <c r="W67" s="1775"/>
      <c r="X67" s="994">
        <f>SUBTOTAL(9,X68)</f>
        <v>137747.52000000002</v>
      </c>
      <c r="Y67" s="1765">
        <f>X67/$H67</f>
        <v>2.0869313172546231E-2</v>
      </c>
      <c r="Z67" s="1774"/>
      <c r="AA67" s="1775"/>
      <c r="AB67" s="1776"/>
      <c r="AC67" s="1775"/>
      <c r="AD67" s="1774"/>
      <c r="AE67" s="1775"/>
      <c r="AF67" s="994">
        <f>SUBTOTAL(9,AF68)</f>
        <v>258276.6</v>
      </c>
      <c r="AG67" s="1765">
        <f>AF67/$H67</f>
        <v>3.9129962198524181E-2</v>
      </c>
      <c r="AH67" s="1774"/>
      <c r="AI67" s="1775"/>
      <c r="AJ67" s="1776"/>
      <c r="AK67" s="1775"/>
      <c r="AL67" s="1774"/>
      <c r="AM67" s="1775"/>
      <c r="AN67" s="994">
        <f>SUBTOTAL(9,AN68)</f>
        <v>137747.52000000002</v>
      </c>
      <c r="AO67" s="1765">
        <f>AN67/$H67</f>
        <v>2.0869313172546231E-2</v>
      </c>
      <c r="AP67" s="1774"/>
      <c r="AQ67" s="1775"/>
      <c r="AR67" s="1776"/>
      <c r="AS67" s="1775"/>
      <c r="AT67" s="1774"/>
      <c r="AU67" s="1775"/>
      <c r="AV67" s="994">
        <f>SUBTOTAL(9,AV68)</f>
        <v>137747.52000000002</v>
      </c>
      <c r="AW67" s="1765">
        <f>AV67/$H67</f>
        <v>2.0869313172546231E-2</v>
      </c>
      <c r="AX67" s="1774"/>
      <c r="AY67" s="1775"/>
      <c r="AZ67" s="1776"/>
      <c r="BA67" s="1775"/>
      <c r="BB67" s="1774"/>
      <c r="BC67" s="1775"/>
      <c r="BD67" s="994">
        <f>SUBTOTAL(9,BD68)</f>
        <v>198012.05999999997</v>
      </c>
      <c r="BE67" s="1765">
        <f>BD67/$H67</f>
        <v>2.9999637685535201E-2</v>
      </c>
      <c r="BF67" s="1774"/>
      <c r="BG67" s="1775">
        <f>J67</f>
        <v>0</v>
      </c>
      <c r="BH67" s="1776"/>
      <c r="BI67" s="1764"/>
      <c r="BJ67" s="1774"/>
      <c r="BK67" s="1764"/>
      <c r="BL67" s="994">
        <f>SUBTOTAL(9,BL68)</f>
        <v>258276.6</v>
      </c>
      <c r="BM67" s="1765">
        <f>BL67/$H67</f>
        <v>3.9129962198524181E-2</v>
      </c>
      <c r="BN67" s="1774"/>
      <c r="BO67" s="1775">
        <v>0</v>
      </c>
      <c r="BP67" s="1776"/>
      <c r="BQ67" s="1764"/>
      <c r="BR67" s="1774"/>
      <c r="BS67" s="1764"/>
      <c r="BT67" s="994">
        <f>SUBTOTAL(9,BT68)</f>
        <v>137747.52000000002</v>
      </c>
      <c r="BU67" s="1765">
        <f>BT67/$H67</f>
        <v>2.0869313172546231E-2</v>
      </c>
      <c r="BV67" s="1774"/>
      <c r="BW67" s="1775">
        <v>0</v>
      </c>
      <c r="BX67" s="1776"/>
      <c r="BY67" s="1764"/>
      <c r="BZ67" s="1774"/>
      <c r="CA67" s="1764"/>
      <c r="CB67" s="994">
        <f>SUBTOTAL(9,CB68)</f>
        <v>198012.05999999997</v>
      </c>
      <c r="CC67" s="1765">
        <f>CB67/$H67</f>
        <v>2.9999637685535201E-2</v>
      </c>
      <c r="CD67" s="1774"/>
      <c r="CE67" s="1775">
        <v>0</v>
      </c>
      <c r="CF67" s="1776"/>
      <c r="CG67" s="1764"/>
      <c r="CH67" s="1774"/>
      <c r="CI67" s="1764"/>
      <c r="CJ67" s="994">
        <f>SUBTOTAL(9,CJ68)</f>
        <v>258276.6</v>
      </c>
      <c r="CK67" s="1765">
        <f>CJ67/$H67</f>
        <v>3.9129962198524181E-2</v>
      </c>
      <c r="CL67" s="1774">
        <f>BF67</f>
        <v>0</v>
      </c>
      <c r="CM67" s="1775">
        <f>BG67</f>
        <v>0</v>
      </c>
      <c r="CN67" s="1776"/>
      <c r="CO67" s="1764"/>
      <c r="CP67" s="1774"/>
      <c r="CQ67" s="1764"/>
      <c r="CR67" s="994">
        <f>SUBTOTAL(9,CR68)</f>
        <v>225115.16000000003</v>
      </c>
      <c r="CS67" s="1765">
        <f>CR67/$H67</f>
        <v>3.410586828661491E-2</v>
      </c>
      <c r="CT67" s="1774">
        <f>BN67</f>
        <v>0</v>
      </c>
      <c r="CU67" s="1775">
        <v>0</v>
      </c>
      <c r="CV67" s="1776"/>
      <c r="CW67" s="1764"/>
      <c r="CX67" s="1774"/>
      <c r="CY67" s="1764"/>
      <c r="CZ67" s="994">
        <f>SUBTOTAL(9,CZ68)</f>
        <v>323603.04249999998</v>
      </c>
      <c r="DA67" s="1765">
        <f>CZ67/$H67</f>
        <v>4.9027185662008921E-2</v>
      </c>
      <c r="DB67" s="1774">
        <f>BV67</f>
        <v>0</v>
      </c>
      <c r="DC67" s="1775">
        <v>0</v>
      </c>
      <c r="DD67" s="1776"/>
      <c r="DE67" s="1764"/>
      <c r="DF67" s="1774"/>
      <c r="DG67" s="1764"/>
      <c r="DH67" s="994">
        <f>SUBTOTAL(9,DH68)</f>
        <v>422090.92499999999</v>
      </c>
      <c r="DI67" s="1765">
        <f>DH67/$H67</f>
        <v>6.3948503037402932E-2</v>
      </c>
      <c r="DJ67" s="1774">
        <f>CD67</f>
        <v>0</v>
      </c>
      <c r="DK67" s="1775">
        <v>0</v>
      </c>
      <c r="DL67" s="1776"/>
      <c r="DM67" s="1764"/>
      <c r="DN67" s="1774"/>
      <c r="DO67" s="1764"/>
      <c r="DP67" s="994">
        <f>SUBTOTAL(9,DP68)</f>
        <v>225115.16000000003</v>
      </c>
      <c r="DQ67" s="1765">
        <f>DP67/$H67</f>
        <v>3.410586828661491E-2</v>
      </c>
      <c r="DR67" s="1774">
        <f>CL67</f>
        <v>0</v>
      </c>
      <c r="DS67" s="1775">
        <v>0</v>
      </c>
      <c r="DT67" s="1776"/>
      <c r="DU67" s="1764"/>
      <c r="DV67" s="1774"/>
      <c r="DW67" s="1764"/>
      <c r="DX67" s="994">
        <f>SUBTOTAL(9,DX68)</f>
        <v>323603.04249999998</v>
      </c>
      <c r="DY67" s="1765">
        <f>DX67/$H67</f>
        <v>4.9027185662008921E-2</v>
      </c>
      <c r="DZ67" s="1774">
        <f>CT67</f>
        <v>0</v>
      </c>
      <c r="EA67" s="1775">
        <f>CU67</f>
        <v>0</v>
      </c>
      <c r="EB67" s="1776"/>
      <c r="EC67" s="1764"/>
      <c r="ED67" s="1774"/>
      <c r="EE67" s="1764"/>
      <c r="EF67" s="994">
        <f>SUBTOTAL(9,EF68)</f>
        <v>422090.92499999999</v>
      </c>
      <c r="EG67" s="1765">
        <f>EF67/$H67</f>
        <v>6.3948503037402932E-2</v>
      </c>
      <c r="EH67" s="1774">
        <f>DB67</f>
        <v>0</v>
      </c>
      <c r="EI67" s="1775">
        <f>DC67</f>
        <v>0</v>
      </c>
      <c r="EJ67" s="1776"/>
      <c r="EK67" s="1764"/>
      <c r="EL67" s="1774"/>
      <c r="EM67" s="1764"/>
      <c r="EN67" s="994">
        <f>SUBTOTAL(9,EN68)</f>
        <v>225115.16000000003</v>
      </c>
      <c r="EO67" s="1765">
        <f>EN67/$H67</f>
        <v>3.410586828661491E-2</v>
      </c>
      <c r="EP67" s="1774">
        <f>CL67</f>
        <v>0</v>
      </c>
      <c r="EQ67" s="1775">
        <f>CM67</f>
        <v>0</v>
      </c>
      <c r="ER67" s="1776"/>
      <c r="ES67" s="1764"/>
      <c r="ET67" s="1774"/>
      <c r="EU67" s="1764"/>
      <c r="EV67" s="994">
        <f>SUBTOTAL(9,EV68)</f>
        <v>198012.05999999997</v>
      </c>
      <c r="EW67" s="1765">
        <f>EV67/$H67</f>
        <v>2.9999637685535201E-2</v>
      </c>
      <c r="EX67" s="1774">
        <f>CT67</f>
        <v>0</v>
      </c>
      <c r="EY67" s="1775">
        <f>CU67</f>
        <v>0</v>
      </c>
      <c r="EZ67" s="1776"/>
      <c r="FA67" s="1764"/>
      <c r="FB67" s="1774"/>
      <c r="FC67" s="1764"/>
      <c r="FD67" s="994">
        <f>SUBTOTAL(9,FD68)</f>
        <v>258276.6</v>
      </c>
      <c r="FE67" s="1765">
        <f>FD67/$H67</f>
        <v>3.9129962198524181E-2</v>
      </c>
      <c r="FF67" s="1774">
        <f>DB67</f>
        <v>0</v>
      </c>
      <c r="FG67" s="1775">
        <f>DC67</f>
        <v>0</v>
      </c>
      <c r="FH67" s="1776"/>
      <c r="FI67" s="1764"/>
      <c r="FJ67" s="1774"/>
      <c r="FK67" s="1764"/>
      <c r="FL67" s="994">
        <f>SUBTOTAL(9,FL68)</f>
        <v>137747.52000000002</v>
      </c>
      <c r="FM67" s="1765">
        <f>FL67/$H67</f>
        <v>2.0869313172546231E-2</v>
      </c>
      <c r="FN67" s="1774">
        <f>DJ67</f>
        <v>0</v>
      </c>
      <c r="FO67" s="1775">
        <f>DK67</f>
        <v>0</v>
      </c>
      <c r="FP67" s="1776"/>
      <c r="FQ67" s="1764"/>
      <c r="FR67" s="1774"/>
      <c r="FS67" s="1764"/>
      <c r="FT67" s="994">
        <f>SUBTOTAL(9,FT68)</f>
        <v>198012.05999999997</v>
      </c>
      <c r="FU67" s="1765">
        <f>FT67/$H67</f>
        <v>2.9999637685535201E-2</v>
      </c>
      <c r="FV67" s="1774">
        <f>DR67</f>
        <v>0</v>
      </c>
      <c r="FW67" s="1775">
        <f>DS67</f>
        <v>0</v>
      </c>
      <c r="FX67" s="1776"/>
      <c r="FY67" s="1764"/>
      <c r="FZ67" s="1774"/>
      <c r="GA67" s="1764"/>
      <c r="GB67" s="994">
        <f>SUBTOTAL(9,GB68)</f>
        <v>258276.6</v>
      </c>
      <c r="GC67" s="1765">
        <f>GB67/$H67</f>
        <v>3.9129962198524181E-2</v>
      </c>
      <c r="GD67" s="1774">
        <f>DZ67</f>
        <v>0</v>
      </c>
      <c r="GE67" s="1775">
        <f>EA67</f>
        <v>0</v>
      </c>
      <c r="GF67" s="1776"/>
      <c r="GG67" s="1764"/>
      <c r="GH67" s="1774"/>
      <c r="GI67" s="1764"/>
      <c r="GJ67" s="994">
        <f>SUBTOTAL(9,GJ68)</f>
        <v>137747.52000000002</v>
      </c>
      <c r="GK67" s="1765">
        <f>GJ67/$H67</f>
        <v>2.0869313172546231E-2</v>
      </c>
      <c r="GL67" s="1774">
        <f>EH67</f>
        <v>0</v>
      </c>
      <c r="GM67" s="1775">
        <f>EI67</f>
        <v>0</v>
      </c>
      <c r="GN67" s="1776"/>
      <c r="GO67" s="1764"/>
      <c r="GP67" s="1774"/>
      <c r="GQ67" s="1764"/>
      <c r="GR67" s="994">
        <f>SUBTOTAL(9,GR68)</f>
        <v>198012.05999999997</v>
      </c>
      <c r="GS67" s="1765">
        <f>GR67/$H67</f>
        <v>2.9999637685535201E-2</v>
      </c>
      <c r="GT67" s="1774">
        <f>EP67</f>
        <v>0</v>
      </c>
      <c r="GU67" s="1775">
        <f>EQ67</f>
        <v>0</v>
      </c>
      <c r="GV67" s="1776"/>
      <c r="GW67" s="1764"/>
      <c r="GX67" s="1774"/>
      <c r="GY67" s="1764"/>
      <c r="GZ67" s="994">
        <f>SUBTOTAL(9,GZ68)</f>
        <v>258276.6</v>
      </c>
      <c r="HA67" s="1765">
        <f>GZ67/$H67</f>
        <v>3.9129962198524181E-2</v>
      </c>
      <c r="HB67" s="1774">
        <f t="shared" ref="HB67:HB70" si="418">EP67</f>
        <v>0</v>
      </c>
      <c r="HC67" s="1775">
        <f t="shared" si="409"/>
        <v>0</v>
      </c>
      <c r="HD67" s="1776"/>
      <c r="HE67" s="1764"/>
      <c r="HF67" s="1774"/>
      <c r="HG67" s="1764"/>
      <c r="HH67" s="994">
        <f>SUBTOTAL(9,HH68)</f>
        <v>137747.52000000002</v>
      </c>
      <c r="HI67" s="1765">
        <f>HH67/$H67</f>
        <v>2.0869313172546231E-2</v>
      </c>
      <c r="HJ67" s="1774">
        <f t="shared" ref="HJ67" si="419">EX67</f>
        <v>0</v>
      </c>
      <c r="HK67" s="1775">
        <f t="shared" ref="HK67:HK70" si="420">EY67</f>
        <v>0</v>
      </c>
      <c r="HL67" s="1776"/>
      <c r="HM67" s="1764"/>
      <c r="HN67" s="1774"/>
      <c r="HO67" s="1764"/>
      <c r="HP67" s="994">
        <f>SUBTOTAL(9,HP68)</f>
        <v>198012.05999999997</v>
      </c>
      <c r="HQ67" s="1765">
        <f>HP67/$H67</f>
        <v>2.9999637685535201E-2</v>
      </c>
      <c r="HR67" s="1774">
        <f t="shared" ref="HR67" si="421">FF67</f>
        <v>0</v>
      </c>
      <c r="HS67" s="1775">
        <f t="shared" ref="HS67:HS70" si="422">FG67</f>
        <v>0</v>
      </c>
      <c r="HT67" s="1776"/>
      <c r="HU67" s="1764"/>
      <c r="HV67" s="1774"/>
      <c r="HW67" s="1764"/>
      <c r="HX67" s="994">
        <f>SUBTOTAL(9,HX68)</f>
        <v>258276.6</v>
      </c>
      <c r="HY67" s="1765">
        <f>HX67/$H67</f>
        <v>3.9129962198524181E-2</v>
      </c>
      <c r="HZ67" s="1774">
        <f t="shared" ref="HZ67" si="423">FN67</f>
        <v>0</v>
      </c>
      <c r="IA67" s="1775">
        <f t="shared" ref="IA67:IA70" si="424">FO67</f>
        <v>0</v>
      </c>
      <c r="IB67" s="1776"/>
      <c r="IC67" s="1764"/>
      <c r="ID67" s="1774"/>
      <c r="IE67" s="1764"/>
      <c r="IF67" s="994">
        <f>SUBTOTAL(9,IF68)</f>
        <v>137747.52000000002</v>
      </c>
      <c r="IG67" s="1765">
        <f>IF67/$H67</f>
        <v>2.0869313172546231E-2</v>
      </c>
      <c r="IH67" s="1774">
        <f t="shared" ref="IH67" si="425">FV67</f>
        <v>0</v>
      </c>
      <c r="II67" s="1775">
        <f t="shared" ref="II67:II70" si="426">FW67</f>
        <v>0</v>
      </c>
      <c r="IJ67" s="1776"/>
      <c r="IK67" s="1764"/>
      <c r="IL67" s="1774"/>
      <c r="IM67" s="1764"/>
      <c r="IN67" s="994">
        <f>SUBTOTAL(9,IN68)</f>
        <v>198012.05999999997</v>
      </c>
      <c r="IO67" s="1765">
        <f>IN67/$H67</f>
        <v>2.9999637685535201E-2</v>
      </c>
    </row>
    <row r="68" spans="1:249" s="341" customFormat="1">
      <c r="A68" s="1753"/>
      <c r="B68" s="1754"/>
      <c r="C68" s="1755"/>
      <c r="D68" s="1013">
        <f>VLOOKUP(E68,'DER MG'!$D$5:$I$150,6,0)</f>
        <v>37.25</v>
      </c>
      <c r="E68" s="1783">
        <v>99004</v>
      </c>
      <c r="F68" s="1756"/>
      <c r="G68" s="1018" t="s">
        <v>460</v>
      </c>
      <c r="H68" s="992">
        <f t="shared" ref="H68" si="427">SUMIF($I$7:$IO$7,"ANO",I68:IO68)</f>
        <v>6600481.7149999989</v>
      </c>
      <c r="I68" s="1784">
        <f>I79</f>
        <v>2160</v>
      </c>
      <c r="J68" s="1759" t="s">
        <v>411</v>
      </c>
      <c r="K68" s="1758">
        <f>VLOOKUP($G68,'Quantidades Padrão'!$E$7:$J$103,K$8,0)</f>
        <v>1.7120000000000002</v>
      </c>
      <c r="L68" s="1759" t="s">
        <v>426</v>
      </c>
      <c r="M68" s="992">
        <f>I68*K68</f>
        <v>3697.9200000000005</v>
      </c>
      <c r="N68" s="1759" t="s">
        <v>411</v>
      </c>
      <c r="O68" s="1784">
        <f>$D68*M68</f>
        <v>137747.52000000002</v>
      </c>
      <c r="P68" s="1785"/>
      <c r="Q68" s="1786">
        <f>O68/O$71</f>
        <v>2.2191246112919269E-2</v>
      </c>
      <c r="R68" s="1784">
        <f>R79</f>
        <v>2160</v>
      </c>
      <c r="S68" s="1785" t="s">
        <v>411</v>
      </c>
      <c r="T68" s="1787">
        <f>VLOOKUP($G68,'Quantidades Padrão'!$E$7:$J$103,T$8,0)</f>
        <v>1.7120000000000002</v>
      </c>
      <c r="U68" s="1785" t="s">
        <v>426</v>
      </c>
      <c r="V68" s="1784">
        <f>R68*T68</f>
        <v>3697.9200000000005</v>
      </c>
      <c r="W68" s="1785" t="s">
        <v>411</v>
      </c>
      <c r="X68" s="1784">
        <f>$D68*V68</f>
        <v>137747.52000000002</v>
      </c>
      <c r="Y68" s="1785"/>
      <c r="Z68" s="1784">
        <f>Z79</f>
        <v>2160</v>
      </c>
      <c r="AA68" s="1785" t="s">
        <v>411</v>
      </c>
      <c r="AB68" s="1787">
        <f>VLOOKUP($G68,'Quantidades Padrão'!$E$7:$J$103,AB$8,0)</f>
        <v>3.21</v>
      </c>
      <c r="AC68" s="1785" t="s">
        <v>426</v>
      </c>
      <c r="AD68" s="1784">
        <f>Z68*AB68</f>
        <v>6933.6</v>
      </c>
      <c r="AE68" s="1785" t="s">
        <v>411</v>
      </c>
      <c r="AF68" s="1784">
        <f>$D68*AD68</f>
        <v>258276.6</v>
      </c>
      <c r="AG68" s="1785"/>
      <c r="AH68" s="1784">
        <f>AH79</f>
        <v>2160</v>
      </c>
      <c r="AI68" s="1785" t="s">
        <v>411</v>
      </c>
      <c r="AJ68" s="1787">
        <f>VLOOKUP($G68,'Quantidades Padrão'!$E$7:$J$103,AJ$8,0)</f>
        <v>1.7120000000000002</v>
      </c>
      <c r="AK68" s="1785" t="s">
        <v>426</v>
      </c>
      <c r="AL68" s="1784">
        <f>AH68*AJ68</f>
        <v>3697.9200000000005</v>
      </c>
      <c r="AM68" s="1785" t="s">
        <v>411</v>
      </c>
      <c r="AN68" s="1784">
        <f>$D68*AL68</f>
        <v>137747.52000000002</v>
      </c>
      <c r="AO68" s="1785"/>
      <c r="AP68" s="1784">
        <f>AP79</f>
        <v>2160</v>
      </c>
      <c r="AQ68" s="1785" t="s">
        <v>411</v>
      </c>
      <c r="AR68" s="1787">
        <f>VLOOKUP($G68,'Quantidades Padrão'!$E$7:$J$103,AR$8,0)</f>
        <v>1.7120000000000002</v>
      </c>
      <c r="AS68" s="1785" t="s">
        <v>426</v>
      </c>
      <c r="AT68" s="1784">
        <f>AP68*AR68</f>
        <v>3697.9200000000005</v>
      </c>
      <c r="AU68" s="1785" t="s">
        <v>411</v>
      </c>
      <c r="AV68" s="1784">
        <f>$D68*AT68</f>
        <v>137747.52000000002</v>
      </c>
      <c r="AW68" s="1785"/>
      <c r="AX68" s="1784">
        <f>AX79</f>
        <v>2160</v>
      </c>
      <c r="AY68" s="1785" t="s">
        <v>411</v>
      </c>
      <c r="AZ68" s="1787">
        <f>VLOOKUP($G68,'Quantidades Padrão'!$E$7:$J$103,AZ$8,0)</f>
        <v>2.4609999999999999</v>
      </c>
      <c r="BA68" s="1785" t="s">
        <v>426</v>
      </c>
      <c r="BB68" s="1784">
        <f>AX68*AZ68</f>
        <v>5315.7599999999993</v>
      </c>
      <c r="BC68" s="1785" t="s">
        <v>411</v>
      </c>
      <c r="BD68" s="1784">
        <f>$D68*BB68</f>
        <v>198012.05999999997</v>
      </c>
      <c r="BE68" s="1785"/>
      <c r="BF68" s="1784">
        <f>BF79</f>
        <v>2160</v>
      </c>
      <c r="BG68" s="1785" t="str">
        <f>J68</f>
        <v>m²</v>
      </c>
      <c r="BH68" s="1787">
        <f>VLOOKUP($G68,'Quantidades Padrão'!$E$7:$J$103,BH$8,0)</f>
        <v>3.21</v>
      </c>
      <c r="BI68" s="1788"/>
      <c r="BJ68" s="1784">
        <f>BF68*BH68</f>
        <v>6933.6</v>
      </c>
      <c r="BK68" s="1788"/>
      <c r="BL68" s="1784">
        <f>$D68*BJ68</f>
        <v>258276.6</v>
      </c>
      <c r="BM68" s="1785"/>
      <c r="BN68" s="1784">
        <f>BN79</f>
        <v>2160</v>
      </c>
      <c r="BO68" s="1785" t="s">
        <v>411</v>
      </c>
      <c r="BP68" s="1787">
        <f>VLOOKUP($G68,'Quantidades Padrão'!$E$7:$J$103,BP$8,0)</f>
        <v>1.7120000000000002</v>
      </c>
      <c r="BQ68" s="1788"/>
      <c r="BR68" s="1784">
        <f>BN68*BP68</f>
        <v>3697.9200000000005</v>
      </c>
      <c r="BS68" s="1788"/>
      <c r="BT68" s="1784">
        <f>$D68*BR68</f>
        <v>137747.52000000002</v>
      </c>
      <c r="BU68" s="1785"/>
      <c r="BV68" s="1784">
        <f>BV79</f>
        <v>2160</v>
      </c>
      <c r="BW68" s="1785" t="s">
        <v>411</v>
      </c>
      <c r="BX68" s="1787">
        <f>VLOOKUP($G68,'Quantidades Padrão'!$E$7:$J$103,BX$8,0)</f>
        <v>2.4609999999999999</v>
      </c>
      <c r="BY68" s="1788"/>
      <c r="BZ68" s="1784">
        <f>BV68*BX68</f>
        <v>5315.7599999999993</v>
      </c>
      <c r="CA68" s="1788"/>
      <c r="CB68" s="1784">
        <f>$D68*BZ68</f>
        <v>198012.05999999997</v>
      </c>
      <c r="CC68" s="1785"/>
      <c r="CD68" s="1784">
        <f>CD79</f>
        <v>2160</v>
      </c>
      <c r="CE68" s="1785" t="s">
        <v>411</v>
      </c>
      <c r="CF68" s="1787">
        <f>VLOOKUP($G68,'Quantidades Padrão'!$E$7:$J$103,CF$8,0)</f>
        <v>3.21</v>
      </c>
      <c r="CG68" s="1788"/>
      <c r="CH68" s="1784">
        <f>CD68*CF68</f>
        <v>6933.6</v>
      </c>
      <c r="CI68" s="1788"/>
      <c r="CJ68" s="1784">
        <f>$D68*CH68</f>
        <v>258276.6</v>
      </c>
      <c r="CK68" s="1785"/>
      <c r="CL68" s="1784">
        <f>CL79</f>
        <v>3530</v>
      </c>
      <c r="CM68" s="1785" t="str">
        <f>BG68</f>
        <v>m²</v>
      </c>
      <c r="CN68" s="1787">
        <f>VLOOKUP($G68,'Quantidades Padrão'!$E$7:$J$103,CN$8,0)</f>
        <v>1.7120000000000002</v>
      </c>
      <c r="CO68" s="1788"/>
      <c r="CP68" s="1784">
        <f>CL68*CN68</f>
        <v>6043.3600000000006</v>
      </c>
      <c r="CQ68" s="1788"/>
      <c r="CR68" s="1784">
        <f>$D68*CP68</f>
        <v>225115.16000000003</v>
      </c>
      <c r="CS68" s="1785"/>
      <c r="CT68" s="1784">
        <f>CT79</f>
        <v>3530</v>
      </c>
      <c r="CU68" s="1785" t="s">
        <v>411</v>
      </c>
      <c r="CV68" s="1787">
        <f>VLOOKUP($G68,'Quantidades Padrão'!$E$7:$J$103,CV$8,0)</f>
        <v>2.4609999999999999</v>
      </c>
      <c r="CW68" s="1788"/>
      <c r="CX68" s="1784">
        <f>CT68*CV68</f>
        <v>8687.33</v>
      </c>
      <c r="CY68" s="1788"/>
      <c r="CZ68" s="1784">
        <f>$D68*CX68</f>
        <v>323603.04249999998</v>
      </c>
      <c r="DA68" s="1785"/>
      <c r="DB68" s="1784">
        <f>DB79</f>
        <v>3530</v>
      </c>
      <c r="DC68" s="1785" t="s">
        <v>411</v>
      </c>
      <c r="DD68" s="1787">
        <f>VLOOKUP($G68,'Quantidades Padrão'!$E$7:$J$103,DD$8,0)</f>
        <v>3.21</v>
      </c>
      <c r="DE68" s="1788"/>
      <c r="DF68" s="1784">
        <f>DB68*DD68</f>
        <v>11331.3</v>
      </c>
      <c r="DG68" s="1788"/>
      <c r="DH68" s="1784">
        <f>$D68*DF68</f>
        <v>422090.92499999999</v>
      </c>
      <c r="DI68" s="1785"/>
      <c r="DJ68" s="1784">
        <f>DJ79</f>
        <v>3530</v>
      </c>
      <c r="DK68" s="1785" t="s">
        <v>411</v>
      </c>
      <c r="DL68" s="1787">
        <f>VLOOKUP($G68,'Quantidades Padrão'!$E$7:$J$103,DL$8,0)</f>
        <v>1.7120000000000002</v>
      </c>
      <c r="DM68" s="1788"/>
      <c r="DN68" s="1784">
        <f>DJ68*DL68</f>
        <v>6043.3600000000006</v>
      </c>
      <c r="DO68" s="1788"/>
      <c r="DP68" s="1784">
        <f>$D68*DN68</f>
        <v>225115.16000000003</v>
      </c>
      <c r="DQ68" s="1785"/>
      <c r="DR68" s="1784">
        <f>DR79</f>
        <v>3530</v>
      </c>
      <c r="DS68" s="1785" t="s">
        <v>411</v>
      </c>
      <c r="DT68" s="1787">
        <f>VLOOKUP($G68,'Quantidades Padrão'!$E$7:$J$103,DT$8,0)</f>
        <v>2.4609999999999999</v>
      </c>
      <c r="DU68" s="1788"/>
      <c r="DV68" s="1784">
        <f>DR68*DT68</f>
        <v>8687.33</v>
      </c>
      <c r="DW68" s="1788"/>
      <c r="DX68" s="1784">
        <f>$D68*DV68</f>
        <v>323603.04249999998</v>
      </c>
      <c r="DY68" s="1785"/>
      <c r="DZ68" s="1784">
        <f>DZ79</f>
        <v>3530</v>
      </c>
      <c r="EA68" s="1785" t="str">
        <f>CU68</f>
        <v>m²</v>
      </c>
      <c r="EB68" s="1787">
        <f>VLOOKUP($G68,'Quantidades Padrão'!$E$7:$J$103,EB$8,0)</f>
        <v>3.21</v>
      </c>
      <c r="EC68" s="1788"/>
      <c r="ED68" s="1784">
        <f>DZ68*EB68</f>
        <v>11331.3</v>
      </c>
      <c r="EE68" s="1788"/>
      <c r="EF68" s="1784">
        <f>$D68*ED68</f>
        <v>422090.92499999999</v>
      </c>
      <c r="EG68" s="1785"/>
      <c r="EH68" s="1784">
        <f>EH79</f>
        <v>3530</v>
      </c>
      <c r="EI68" s="1785" t="str">
        <f>DC68</f>
        <v>m²</v>
      </c>
      <c r="EJ68" s="1787">
        <f>VLOOKUP($G68,'Quantidades Padrão'!$E$7:$J$103,EJ$8,0)</f>
        <v>1.7120000000000002</v>
      </c>
      <c r="EK68" s="1788"/>
      <c r="EL68" s="1784">
        <f>EH68*EJ68</f>
        <v>6043.3600000000006</v>
      </c>
      <c r="EM68" s="1788"/>
      <c r="EN68" s="1784">
        <f>$D68*EL68</f>
        <v>225115.16000000003</v>
      </c>
      <c r="EO68" s="1785"/>
      <c r="EP68" s="1784">
        <f>EP79</f>
        <v>2160</v>
      </c>
      <c r="EQ68" s="1785" t="str">
        <f>CM68</f>
        <v>m²</v>
      </c>
      <c r="ER68" s="1787">
        <f>VLOOKUP($G68,'Quantidades Padrão'!$E$7:$J$103,ER$8,0)</f>
        <v>2.4609999999999999</v>
      </c>
      <c r="ES68" s="1788"/>
      <c r="ET68" s="1784">
        <f>EP68*ER68</f>
        <v>5315.7599999999993</v>
      </c>
      <c r="EU68" s="1788"/>
      <c r="EV68" s="1784">
        <f>$D68*ET68</f>
        <v>198012.05999999997</v>
      </c>
      <c r="EW68" s="1785"/>
      <c r="EX68" s="1784">
        <f>EX79</f>
        <v>2160</v>
      </c>
      <c r="EY68" s="1785" t="str">
        <f>CU68</f>
        <v>m²</v>
      </c>
      <c r="EZ68" s="1787">
        <f>VLOOKUP($G68,'Quantidades Padrão'!$E$7:$J$103,EZ$8,0)</f>
        <v>3.21</v>
      </c>
      <c r="FA68" s="1788"/>
      <c r="FB68" s="1784">
        <f>EX68*EZ68</f>
        <v>6933.6</v>
      </c>
      <c r="FC68" s="1788"/>
      <c r="FD68" s="1784">
        <f>$D68*FB68</f>
        <v>258276.6</v>
      </c>
      <c r="FE68" s="1785"/>
      <c r="FF68" s="1784">
        <f>FF79</f>
        <v>2160</v>
      </c>
      <c r="FG68" s="1785" t="str">
        <f>DC68</f>
        <v>m²</v>
      </c>
      <c r="FH68" s="1787">
        <f>VLOOKUP($G68,'Quantidades Padrão'!$E$7:$J$103,FH$8,0)</f>
        <v>1.7120000000000002</v>
      </c>
      <c r="FI68" s="1788"/>
      <c r="FJ68" s="1784">
        <f>FF68*FH68</f>
        <v>3697.9200000000005</v>
      </c>
      <c r="FK68" s="1788"/>
      <c r="FL68" s="1784">
        <f>$D68*FJ68</f>
        <v>137747.52000000002</v>
      </c>
      <c r="FM68" s="1785"/>
      <c r="FN68" s="1784">
        <f>FN79</f>
        <v>2160</v>
      </c>
      <c r="FO68" s="1785" t="str">
        <f>DK68</f>
        <v>m²</v>
      </c>
      <c r="FP68" s="1787">
        <f>VLOOKUP($G68,'Quantidades Padrão'!$E$7:$J$103,FP$8,0)</f>
        <v>2.4609999999999999</v>
      </c>
      <c r="FQ68" s="1788"/>
      <c r="FR68" s="1784">
        <f>FN68*FP68</f>
        <v>5315.7599999999993</v>
      </c>
      <c r="FS68" s="1788"/>
      <c r="FT68" s="1784">
        <f>$D68*FR68</f>
        <v>198012.05999999997</v>
      </c>
      <c r="FU68" s="1785"/>
      <c r="FV68" s="1784">
        <f>FV79</f>
        <v>2160</v>
      </c>
      <c r="FW68" s="1785" t="str">
        <f>DS68</f>
        <v>m²</v>
      </c>
      <c r="FX68" s="1787">
        <f>VLOOKUP($G68,'Quantidades Padrão'!$E$7:$J$103,FX$8,0)</f>
        <v>3.21</v>
      </c>
      <c r="FY68" s="1788"/>
      <c r="FZ68" s="1784">
        <f>FV68*FX68</f>
        <v>6933.6</v>
      </c>
      <c r="GA68" s="1788"/>
      <c r="GB68" s="1784">
        <f>$D68*FZ68</f>
        <v>258276.6</v>
      </c>
      <c r="GC68" s="1785"/>
      <c r="GD68" s="1784">
        <f>GD79</f>
        <v>2160</v>
      </c>
      <c r="GE68" s="1785" t="str">
        <f>EA68</f>
        <v>m²</v>
      </c>
      <c r="GF68" s="1787">
        <f>VLOOKUP($G68,'Quantidades Padrão'!$E$7:$J$103,GF$8,0)</f>
        <v>1.7120000000000002</v>
      </c>
      <c r="GG68" s="1788"/>
      <c r="GH68" s="1784">
        <f>GD68*GF68</f>
        <v>3697.9200000000005</v>
      </c>
      <c r="GI68" s="1788"/>
      <c r="GJ68" s="1784">
        <f>$D68*GH68</f>
        <v>137747.52000000002</v>
      </c>
      <c r="GK68" s="1785"/>
      <c r="GL68" s="1784">
        <f>GL79</f>
        <v>2160</v>
      </c>
      <c r="GM68" s="1785" t="str">
        <f>EI68</f>
        <v>m²</v>
      </c>
      <c r="GN68" s="1787">
        <f>VLOOKUP($G68,'Quantidades Padrão'!$E$7:$J$103,GN$8,0)</f>
        <v>2.4609999999999999</v>
      </c>
      <c r="GO68" s="1788"/>
      <c r="GP68" s="1784">
        <f>GL68*GN68</f>
        <v>5315.7599999999993</v>
      </c>
      <c r="GQ68" s="1788"/>
      <c r="GR68" s="1784">
        <f>$D68*GP68</f>
        <v>198012.05999999997</v>
      </c>
      <c r="GS68" s="1785"/>
      <c r="GT68" s="1784">
        <f>GT79</f>
        <v>2160</v>
      </c>
      <c r="GU68" s="1785" t="str">
        <f>EQ68</f>
        <v>m²</v>
      </c>
      <c r="GV68" s="1787">
        <f>VLOOKUP($G68,'Quantidades Padrão'!$E$7:$J$103,GV$8,0)</f>
        <v>3.21</v>
      </c>
      <c r="GW68" s="1788"/>
      <c r="GX68" s="1784">
        <f>GT68*GV68</f>
        <v>6933.6</v>
      </c>
      <c r="GY68" s="1788"/>
      <c r="GZ68" s="1784">
        <f>$D68*GX68</f>
        <v>258276.6</v>
      </c>
      <c r="HA68" s="1785"/>
      <c r="HB68" s="1784">
        <f>HB79</f>
        <v>2160</v>
      </c>
      <c r="HC68" s="1785" t="str">
        <f t="shared" si="409"/>
        <v>m²</v>
      </c>
      <c r="HD68" s="1787">
        <f>VLOOKUP($G68,'Quantidades Padrão'!$E$7:$J$103,HD$8,0)</f>
        <v>1.7120000000000002</v>
      </c>
      <c r="HE68" s="1788"/>
      <c r="HF68" s="1784">
        <f>HB68*HD68</f>
        <v>3697.9200000000005</v>
      </c>
      <c r="HG68" s="1788"/>
      <c r="HH68" s="1784">
        <f>$D68*HF68</f>
        <v>137747.52000000002</v>
      </c>
      <c r="HI68" s="1759"/>
      <c r="HJ68" s="1784">
        <f>HJ79</f>
        <v>2160</v>
      </c>
      <c r="HK68" s="1785" t="str">
        <f t="shared" si="420"/>
        <v>m²</v>
      </c>
      <c r="HL68" s="1787">
        <f>VLOOKUP($G68,'Quantidades Padrão'!$E$7:$J$103,HL$8,0)</f>
        <v>2.4609999999999999</v>
      </c>
      <c r="HM68" s="1788"/>
      <c r="HN68" s="1784">
        <f>HJ68*HL68</f>
        <v>5315.7599999999993</v>
      </c>
      <c r="HO68" s="1788"/>
      <c r="HP68" s="1784">
        <f>$D68*HN68</f>
        <v>198012.05999999997</v>
      </c>
      <c r="HQ68" s="1759"/>
      <c r="HR68" s="1784">
        <f>HR79</f>
        <v>2160</v>
      </c>
      <c r="HS68" s="1785" t="str">
        <f t="shared" si="422"/>
        <v>m²</v>
      </c>
      <c r="HT68" s="1787">
        <f>VLOOKUP($G68,'Quantidades Padrão'!$E$7:$J$103,HT$8,0)</f>
        <v>3.21</v>
      </c>
      <c r="HU68" s="1788"/>
      <c r="HV68" s="1784">
        <f>HR68*HT68</f>
        <v>6933.6</v>
      </c>
      <c r="HW68" s="1788"/>
      <c r="HX68" s="1784">
        <f>$D68*HV68</f>
        <v>258276.6</v>
      </c>
      <c r="HY68" s="1759"/>
      <c r="HZ68" s="1784">
        <f>HZ79</f>
        <v>2160</v>
      </c>
      <c r="IA68" s="1785" t="str">
        <f t="shared" si="424"/>
        <v>m²</v>
      </c>
      <c r="IB68" s="1787">
        <f>VLOOKUP($G68,'Quantidades Padrão'!$E$7:$J$103,IB$8,0)</f>
        <v>1.7120000000000002</v>
      </c>
      <c r="IC68" s="1788"/>
      <c r="ID68" s="1784">
        <f>HZ68*IB68</f>
        <v>3697.9200000000005</v>
      </c>
      <c r="IE68" s="1788"/>
      <c r="IF68" s="1784">
        <f>$D68*ID68</f>
        <v>137747.52000000002</v>
      </c>
      <c r="IG68" s="1759"/>
      <c r="IH68" s="1784">
        <f>IH79</f>
        <v>2160</v>
      </c>
      <c r="II68" s="1785" t="str">
        <f t="shared" si="426"/>
        <v>m²</v>
      </c>
      <c r="IJ68" s="1787">
        <f>VLOOKUP($G68,'Quantidades Padrão'!$E$7:$J$103,IJ$8,0)</f>
        <v>2.4609999999999999</v>
      </c>
      <c r="IK68" s="1788"/>
      <c r="IL68" s="1784">
        <f>IH68*IJ68</f>
        <v>5315.7599999999993</v>
      </c>
      <c r="IM68" s="1788"/>
      <c r="IN68" s="1784">
        <f>$D68*IL68</f>
        <v>198012.05999999997</v>
      </c>
      <c r="IO68" s="1759"/>
    </row>
    <row r="69" spans="1:249" s="341" customFormat="1">
      <c r="A69" s="1753"/>
      <c r="B69" s="1754"/>
      <c r="C69" s="1755"/>
      <c r="D69" s="1020"/>
      <c r="E69" s="1781"/>
      <c r="F69" s="1762" t="s">
        <v>73</v>
      </c>
      <c r="G69" s="1763" t="s">
        <v>335</v>
      </c>
      <c r="H69" s="994">
        <f>SUBTOTAL(9,H70)</f>
        <v>1276200.5312000006</v>
      </c>
      <c r="I69" s="1774"/>
      <c r="J69" s="1775"/>
      <c r="K69" s="1776"/>
      <c r="L69" s="1775"/>
      <c r="M69" s="1774"/>
      <c r="N69" s="1775"/>
      <c r="O69" s="994">
        <f>SUBTOTAL(9,O70)</f>
        <v>71744.373120000018</v>
      </c>
      <c r="P69" s="1765"/>
      <c r="Q69" s="1766">
        <f>O69/O$71</f>
        <v>1.1558081344208809E-2</v>
      </c>
      <c r="R69" s="1774"/>
      <c r="S69" s="1775"/>
      <c r="T69" s="1776"/>
      <c r="U69" s="1775"/>
      <c r="V69" s="1774"/>
      <c r="W69" s="1775"/>
      <c r="X69" s="994">
        <f>SUBTOTAL(9,X70)</f>
        <v>71744.373120000018</v>
      </c>
      <c r="Y69" s="1765"/>
      <c r="Z69" s="1774"/>
      <c r="AA69" s="1775"/>
      <c r="AB69" s="1776"/>
      <c r="AC69" s="1775"/>
      <c r="AD69" s="1774"/>
      <c r="AE69" s="1775"/>
      <c r="AF69" s="994">
        <f>SUBTOTAL(9,AF70)</f>
        <v>71744.373120000018</v>
      </c>
      <c r="AG69" s="1765"/>
      <c r="AH69" s="1774"/>
      <c r="AI69" s="1775"/>
      <c r="AJ69" s="1776"/>
      <c r="AK69" s="1775"/>
      <c r="AL69" s="1774"/>
      <c r="AM69" s="1775"/>
      <c r="AN69" s="994">
        <f>SUBTOTAL(9,AN70)</f>
        <v>71744.373120000018</v>
      </c>
      <c r="AO69" s="1765"/>
      <c r="AP69" s="1774"/>
      <c r="AQ69" s="1775"/>
      <c r="AR69" s="1776"/>
      <c r="AS69" s="1775"/>
      <c r="AT69" s="1774"/>
      <c r="AU69" s="1775"/>
      <c r="AV69" s="994">
        <f>SUBTOTAL(9,AV70)</f>
        <v>71744.373120000018</v>
      </c>
      <c r="AW69" s="1765"/>
      <c r="AX69" s="1774"/>
      <c r="AY69" s="1775"/>
      <c r="AZ69" s="1776"/>
      <c r="BA69" s="1775"/>
      <c r="BB69" s="1774"/>
      <c r="BC69" s="1775"/>
      <c r="BD69" s="994">
        <f>SUBTOTAL(9,BD70)</f>
        <v>71744.373120000018</v>
      </c>
      <c r="BE69" s="1765"/>
      <c r="BF69" s="1774"/>
      <c r="BG69" s="1775">
        <f>J69</f>
        <v>0</v>
      </c>
      <c r="BH69" s="1776"/>
      <c r="BI69" s="1764"/>
      <c r="BJ69" s="1774"/>
      <c r="BK69" s="1764"/>
      <c r="BL69" s="994">
        <f>SUBTOTAL(9,BL70)</f>
        <v>71744.373120000018</v>
      </c>
      <c r="BM69" s="1765"/>
      <c r="BN69" s="1774"/>
      <c r="BO69" s="1775">
        <v>0</v>
      </c>
      <c r="BP69" s="1776"/>
      <c r="BQ69" s="1764"/>
      <c r="BR69" s="1774"/>
      <c r="BS69" s="1764"/>
      <c r="BT69" s="994">
        <f>SUBTOTAL(9,BT70)</f>
        <v>71744.373120000018</v>
      </c>
      <c r="BU69" s="1765"/>
      <c r="BV69" s="1774"/>
      <c r="BW69" s="1775">
        <v>0</v>
      </c>
      <c r="BX69" s="1776"/>
      <c r="BY69" s="1764"/>
      <c r="BZ69" s="1774"/>
      <c r="CA69" s="1764"/>
      <c r="CB69" s="994">
        <f>SUBTOTAL(9,CB70)</f>
        <v>71744.373120000018</v>
      </c>
      <c r="CC69" s="1765"/>
      <c r="CD69" s="1774"/>
      <c r="CE69" s="1775">
        <v>0</v>
      </c>
      <c r="CF69" s="1776"/>
      <c r="CG69" s="1764"/>
      <c r="CH69" s="1774"/>
      <c r="CI69" s="1764"/>
      <c r="CJ69" s="994">
        <f>SUBTOTAL(9,CJ70)</f>
        <v>71744.373120000018</v>
      </c>
      <c r="CK69" s="1765"/>
      <c r="CL69" s="1774">
        <f>BF69</f>
        <v>0</v>
      </c>
      <c r="CM69" s="1775">
        <f>BG69</f>
        <v>0</v>
      </c>
      <c r="CN69" s="1776">
        <f>VLOOKUP($G69,'Quantidades Padrão'!$E$7:$J$103,CN$8,0)</f>
        <v>0</v>
      </c>
      <c r="CO69" s="1764"/>
      <c r="CP69" s="1774"/>
      <c r="CQ69" s="1764"/>
      <c r="CR69" s="994">
        <f>SUBTOTAL(9,CR70)</f>
        <v>27937.84</v>
      </c>
      <c r="CS69" s="1765"/>
      <c r="CT69" s="1774">
        <f>BN69</f>
        <v>0</v>
      </c>
      <c r="CU69" s="1775">
        <v>0</v>
      </c>
      <c r="CV69" s="1776">
        <f>VLOOKUP($G69,'Quantidades Padrão'!$E$7:$J$103,CV$8,0)</f>
        <v>0</v>
      </c>
      <c r="CW69" s="1764"/>
      <c r="CX69" s="1774"/>
      <c r="CY69" s="1764"/>
      <c r="CZ69" s="994">
        <f>SUBTOTAL(9,CZ70)</f>
        <v>27937.84</v>
      </c>
      <c r="DA69" s="1765"/>
      <c r="DB69" s="1774">
        <f>BV69</f>
        <v>0</v>
      </c>
      <c r="DC69" s="1775">
        <v>0</v>
      </c>
      <c r="DD69" s="1776">
        <f>VLOOKUP($G69,'Quantidades Padrão'!$E$7:$J$103,DD$8,0)</f>
        <v>0</v>
      </c>
      <c r="DE69" s="1764"/>
      <c r="DF69" s="1774"/>
      <c r="DG69" s="1764"/>
      <c r="DH69" s="994">
        <f>SUBTOTAL(9,DH70)</f>
        <v>27937.84</v>
      </c>
      <c r="DI69" s="1765"/>
      <c r="DJ69" s="1774">
        <f>CD69</f>
        <v>0</v>
      </c>
      <c r="DK69" s="1775">
        <v>0</v>
      </c>
      <c r="DL69" s="1776">
        <f>VLOOKUP($G69,'Quantidades Padrão'!$E$7:$J$103,DL$8,0)</f>
        <v>0</v>
      </c>
      <c r="DM69" s="1764"/>
      <c r="DN69" s="1774"/>
      <c r="DO69" s="1764"/>
      <c r="DP69" s="994">
        <f>SUBTOTAL(9,DP70)</f>
        <v>27937.84</v>
      </c>
      <c r="DQ69" s="1765"/>
      <c r="DR69" s="1774">
        <f>CL69</f>
        <v>0</v>
      </c>
      <c r="DS69" s="1775">
        <v>0</v>
      </c>
      <c r="DT69" s="1776">
        <f>VLOOKUP($G69,'Quantidades Padrão'!$E$7:$J$103,DT$8,0)</f>
        <v>0</v>
      </c>
      <c r="DU69" s="1764"/>
      <c r="DV69" s="1774"/>
      <c r="DW69" s="1764"/>
      <c r="DX69" s="994">
        <f>SUBTOTAL(9,DX70)</f>
        <v>27937.84</v>
      </c>
      <c r="DY69" s="1765"/>
      <c r="DZ69" s="1774">
        <f>CT69</f>
        <v>0</v>
      </c>
      <c r="EA69" s="1775">
        <f>CU69</f>
        <v>0</v>
      </c>
      <c r="EB69" s="1776">
        <f>VLOOKUP($G69,'Quantidades Padrão'!$E$7:$J$103,EB$8,0)</f>
        <v>0</v>
      </c>
      <c r="EC69" s="1764"/>
      <c r="ED69" s="1774"/>
      <c r="EE69" s="1764"/>
      <c r="EF69" s="994">
        <f>SUBTOTAL(9,EF70)</f>
        <v>27937.84</v>
      </c>
      <c r="EG69" s="1765"/>
      <c r="EH69" s="1774">
        <f>DB69</f>
        <v>0</v>
      </c>
      <c r="EI69" s="1775">
        <f>DC69</f>
        <v>0</v>
      </c>
      <c r="EJ69" s="1776">
        <f>VLOOKUP($G69,'Quantidades Padrão'!$E$7:$J$103,EJ$8,0)</f>
        <v>0</v>
      </c>
      <c r="EK69" s="1764"/>
      <c r="EL69" s="1774"/>
      <c r="EM69" s="1764"/>
      <c r="EN69" s="994">
        <f>SUBTOTAL(9,EN70)</f>
        <v>27937.84</v>
      </c>
      <c r="EO69" s="1765"/>
      <c r="EP69" s="1774">
        <f>CL69</f>
        <v>0</v>
      </c>
      <c r="EQ69" s="1775">
        <f>CM69</f>
        <v>0</v>
      </c>
      <c r="ER69" s="1776">
        <f>VLOOKUP($G69,'Quantidades Padrão'!$E$7:$J$103,ER$8,0)</f>
        <v>0</v>
      </c>
      <c r="ES69" s="1764"/>
      <c r="ET69" s="1774"/>
      <c r="EU69" s="1764"/>
      <c r="EV69" s="994">
        <f>SUBTOTAL(9,EV70)</f>
        <v>27937.84</v>
      </c>
      <c r="EW69" s="1765"/>
      <c r="EX69" s="1774">
        <f>CT69</f>
        <v>0</v>
      </c>
      <c r="EY69" s="1775">
        <f>CU69</f>
        <v>0</v>
      </c>
      <c r="EZ69" s="1776">
        <f>VLOOKUP($G69,'Quantidades Padrão'!$E$7:$J$103,EZ$8,0)</f>
        <v>0</v>
      </c>
      <c r="FA69" s="1764"/>
      <c r="FB69" s="1774"/>
      <c r="FC69" s="1764"/>
      <c r="FD69" s="994">
        <f>SUBTOTAL(9,FD70)</f>
        <v>27937.84</v>
      </c>
      <c r="FE69" s="1765"/>
      <c r="FF69" s="1774">
        <f>DB69</f>
        <v>0</v>
      </c>
      <c r="FG69" s="1775">
        <f>DC69</f>
        <v>0</v>
      </c>
      <c r="FH69" s="1776">
        <f>VLOOKUP($G69,'Quantidades Padrão'!$E$7:$J$103,FH$8,0)</f>
        <v>0</v>
      </c>
      <c r="FI69" s="1764"/>
      <c r="FJ69" s="1774"/>
      <c r="FK69" s="1764"/>
      <c r="FL69" s="994">
        <f>SUBTOTAL(9,FL70)</f>
        <v>27937.84</v>
      </c>
      <c r="FM69" s="1765"/>
      <c r="FN69" s="1774">
        <f>DJ69</f>
        <v>0</v>
      </c>
      <c r="FO69" s="1775">
        <f>DK69</f>
        <v>0</v>
      </c>
      <c r="FP69" s="1776">
        <f>VLOOKUP($G69,'Quantidades Padrão'!$E$7:$J$103,FP$8,0)</f>
        <v>0</v>
      </c>
      <c r="FQ69" s="1764"/>
      <c r="FR69" s="1774"/>
      <c r="FS69" s="1764"/>
      <c r="FT69" s="994">
        <f>SUBTOTAL(9,FT70)</f>
        <v>27937.84</v>
      </c>
      <c r="FU69" s="1765"/>
      <c r="FV69" s="1774">
        <f>DR69</f>
        <v>0</v>
      </c>
      <c r="FW69" s="1775">
        <f>DS69</f>
        <v>0</v>
      </c>
      <c r="FX69" s="1776">
        <f>VLOOKUP($G69,'Quantidades Padrão'!$E$7:$J$103,FX$8,0)</f>
        <v>0</v>
      </c>
      <c r="FY69" s="1764"/>
      <c r="FZ69" s="1774"/>
      <c r="GA69" s="1764"/>
      <c r="GB69" s="994">
        <f>SUBTOTAL(9,GB70)</f>
        <v>27937.84</v>
      </c>
      <c r="GC69" s="1765"/>
      <c r="GD69" s="1774">
        <f>DZ69</f>
        <v>0</v>
      </c>
      <c r="GE69" s="1775">
        <f>EA69</f>
        <v>0</v>
      </c>
      <c r="GF69" s="1776">
        <f>VLOOKUP($G69,'Quantidades Padrão'!$E$7:$J$103,GF$8,0)</f>
        <v>0</v>
      </c>
      <c r="GG69" s="1764"/>
      <c r="GH69" s="1774"/>
      <c r="GI69" s="1764"/>
      <c r="GJ69" s="994">
        <f>SUBTOTAL(9,GJ70)</f>
        <v>27937.84</v>
      </c>
      <c r="GK69" s="1765"/>
      <c r="GL69" s="1774">
        <f>EH69</f>
        <v>0</v>
      </c>
      <c r="GM69" s="1775">
        <f>EI69</f>
        <v>0</v>
      </c>
      <c r="GN69" s="1776">
        <f>VLOOKUP($G69,'Quantidades Padrão'!$E$7:$J$103,GN$8,0)</f>
        <v>0</v>
      </c>
      <c r="GO69" s="1764"/>
      <c r="GP69" s="1774"/>
      <c r="GQ69" s="1764"/>
      <c r="GR69" s="994">
        <f>SUBTOTAL(9,GR70)</f>
        <v>27937.84</v>
      </c>
      <c r="GS69" s="1765"/>
      <c r="GT69" s="1774">
        <f>EP69</f>
        <v>0</v>
      </c>
      <c r="GU69" s="1775">
        <f>EQ69</f>
        <v>0</v>
      </c>
      <c r="GV69" s="1776">
        <f>VLOOKUP($G69,'Quantidades Padrão'!$E$7:$J$103,GV$8,0)</f>
        <v>0</v>
      </c>
      <c r="GW69" s="1764"/>
      <c r="GX69" s="1774"/>
      <c r="GY69" s="1764"/>
      <c r="GZ69" s="994">
        <f>SUBTOTAL(9,GZ70)</f>
        <v>27937.84</v>
      </c>
      <c r="HA69" s="1765"/>
      <c r="HB69" s="1774">
        <f t="shared" si="418"/>
        <v>0</v>
      </c>
      <c r="HC69" s="1775">
        <f t="shared" si="409"/>
        <v>0</v>
      </c>
      <c r="HD69" s="1776">
        <f>VLOOKUP($G69,'Quantidades Padrão'!$E$7:$J$103,HD$8,0)</f>
        <v>0</v>
      </c>
      <c r="HE69" s="1764"/>
      <c r="HF69" s="1774"/>
      <c r="HG69" s="1764"/>
      <c r="HH69" s="994">
        <f>SUBTOTAL(9,HH70)</f>
        <v>27937.84</v>
      </c>
      <c r="HI69" s="1765"/>
      <c r="HJ69" s="1774">
        <f t="shared" ref="HJ69:HJ70" si="428">EX69</f>
        <v>0</v>
      </c>
      <c r="HK69" s="1775">
        <f t="shared" si="420"/>
        <v>0</v>
      </c>
      <c r="HL69" s="1776">
        <f>VLOOKUP($G69,'Quantidades Padrão'!$E$7:$J$103,HL$8,0)</f>
        <v>0</v>
      </c>
      <c r="HM69" s="1764"/>
      <c r="HN69" s="1774"/>
      <c r="HO69" s="1764"/>
      <c r="HP69" s="994">
        <f>SUBTOTAL(9,HP70)</f>
        <v>27937.84</v>
      </c>
      <c r="HQ69" s="1765"/>
      <c r="HR69" s="1774">
        <f t="shared" ref="HR69:HR70" si="429">FF69</f>
        <v>0</v>
      </c>
      <c r="HS69" s="1775">
        <f t="shared" si="422"/>
        <v>0</v>
      </c>
      <c r="HT69" s="1776">
        <f>VLOOKUP($G69,'Quantidades Padrão'!$E$7:$J$103,HT$8,0)</f>
        <v>0</v>
      </c>
      <c r="HU69" s="1764"/>
      <c r="HV69" s="1774"/>
      <c r="HW69" s="1764"/>
      <c r="HX69" s="994">
        <f>SUBTOTAL(9,HX70)</f>
        <v>27937.84</v>
      </c>
      <c r="HY69" s="1765"/>
      <c r="HZ69" s="1774">
        <f t="shared" ref="HZ69:HZ70" si="430">FN69</f>
        <v>0</v>
      </c>
      <c r="IA69" s="1775">
        <f t="shared" si="424"/>
        <v>0</v>
      </c>
      <c r="IB69" s="1776">
        <f>VLOOKUP($G69,'Quantidades Padrão'!$E$7:$J$103,IB$8,0)</f>
        <v>0</v>
      </c>
      <c r="IC69" s="1764"/>
      <c r="ID69" s="1774"/>
      <c r="IE69" s="1764"/>
      <c r="IF69" s="994">
        <f>SUBTOTAL(9,IF70)</f>
        <v>27937.84</v>
      </c>
      <c r="IG69" s="1765"/>
      <c r="IH69" s="1774">
        <f t="shared" ref="IH69:IH70" si="431">FV69</f>
        <v>0</v>
      </c>
      <c r="II69" s="1775">
        <f t="shared" si="426"/>
        <v>0</v>
      </c>
      <c r="IJ69" s="1776">
        <f>VLOOKUP($G69,'Quantidades Padrão'!$E$7:$J$103,IJ$8,0)</f>
        <v>0</v>
      </c>
      <c r="IK69" s="1764"/>
      <c r="IL69" s="1774"/>
      <c r="IM69" s="1764"/>
      <c r="IN69" s="994">
        <f>SUBTOTAL(9,IN70)</f>
        <v>27937.84</v>
      </c>
      <c r="IO69" s="1765"/>
    </row>
    <row r="70" spans="1:249" s="341" customFormat="1">
      <c r="A70" s="1753"/>
      <c r="B70" s="1754"/>
      <c r="C70" s="1755"/>
      <c r="D70" s="1013">
        <f>VLOOKUP(E70,'DER MG'!$D$5:$I$150,6,0)</f>
        <v>27937.84</v>
      </c>
      <c r="E70" s="1789">
        <v>99005</v>
      </c>
      <c r="F70" s="1756"/>
      <c r="G70" s="1018" t="s">
        <v>461</v>
      </c>
      <c r="H70" s="992">
        <f t="shared" ref="H70" si="432">SUMIF($I$7:$IO$7,"ANO",I70:IO70)</f>
        <v>1276200.5312000006</v>
      </c>
      <c r="I70" s="992">
        <f>'Iluminação Padrão'!E5</f>
        <v>1</v>
      </c>
      <c r="J70" s="1759" t="s">
        <v>102</v>
      </c>
      <c r="K70" s="1758">
        <f>VLOOKUP($G70,'Quantidades Padrão'!$E$7:$J$103,K$8,0)</f>
        <v>2.5680000000000005</v>
      </c>
      <c r="L70" s="1759" t="s">
        <v>431</v>
      </c>
      <c r="M70" s="1790">
        <f>I70*K70</f>
        <v>2.5680000000000005</v>
      </c>
      <c r="N70" s="1759" t="s">
        <v>384</v>
      </c>
      <c r="O70" s="992">
        <f>$D70*M70</f>
        <v>71744.373120000018</v>
      </c>
      <c r="P70" s="1759"/>
      <c r="Q70" s="1760">
        <f>O70/O$71</f>
        <v>1.1558081344208809E-2</v>
      </c>
      <c r="R70" s="992">
        <f>I70</f>
        <v>1</v>
      </c>
      <c r="S70" s="1759" t="s">
        <v>102</v>
      </c>
      <c r="T70" s="1758">
        <f>K70</f>
        <v>2.5680000000000005</v>
      </c>
      <c r="U70" s="1759" t="str">
        <f>L70</f>
        <v>km/km</v>
      </c>
      <c r="V70" s="1790">
        <f>M70</f>
        <v>2.5680000000000005</v>
      </c>
      <c r="W70" s="1759" t="s">
        <v>384</v>
      </c>
      <c r="X70" s="992">
        <f>$D70*V70</f>
        <v>71744.373120000018</v>
      </c>
      <c r="Y70" s="1759"/>
      <c r="Z70" s="992">
        <f>Q70</f>
        <v>1.1558081344208809E-2</v>
      </c>
      <c r="AA70" s="1759" t="s">
        <v>102</v>
      </c>
      <c r="AB70" s="1758" t="str">
        <f>S70</f>
        <v>km</v>
      </c>
      <c r="AC70" s="1759">
        <f>T70</f>
        <v>2.5680000000000005</v>
      </c>
      <c r="AD70" s="1790" t="str">
        <f>U70</f>
        <v>km/km</v>
      </c>
      <c r="AE70" s="1759" t="s">
        <v>384</v>
      </c>
      <c r="AF70" s="992">
        <f>$D70*AC70</f>
        <v>71744.373120000018</v>
      </c>
      <c r="AG70" s="1759"/>
      <c r="AH70" s="992">
        <f>Y70</f>
        <v>0</v>
      </c>
      <c r="AI70" s="1759" t="s">
        <v>102</v>
      </c>
      <c r="AJ70" s="1758" t="str">
        <f>AA70</f>
        <v>km</v>
      </c>
      <c r="AK70" s="1759">
        <f>AC70</f>
        <v>2.5680000000000005</v>
      </c>
      <c r="AL70" s="1790">
        <f>AC70</f>
        <v>2.5680000000000005</v>
      </c>
      <c r="AM70" s="1759" t="s">
        <v>384</v>
      </c>
      <c r="AN70" s="992">
        <f>$D70*AL70</f>
        <v>71744.373120000018</v>
      </c>
      <c r="AO70" s="1759"/>
      <c r="AP70" s="992">
        <f>AG70</f>
        <v>0</v>
      </c>
      <c r="AQ70" s="1759" t="s">
        <v>102</v>
      </c>
      <c r="AR70" s="1758" t="str">
        <f>AI70</f>
        <v>km</v>
      </c>
      <c r="AS70" s="1759" t="str">
        <f>AJ70</f>
        <v>km</v>
      </c>
      <c r="AT70" s="1790">
        <f>AK70</f>
        <v>2.5680000000000005</v>
      </c>
      <c r="AU70" s="1759" t="s">
        <v>384</v>
      </c>
      <c r="AV70" s="992">
        <f>$D70*AT70</f>
        <v>71744.373120000018</v>
      </c>
      <c r="AW70" s="1759"/>
      <c r="AX70" s="992">
        <f>R70</f>
        <v>1</v>
      </c>
      <c r="AY70" s="1759" t="s">
        <v>102</v>
      </c>
      <c r="AZ70" s="1758">
        <f>T70</f>
        <v>2.5680000000000005</v>
      </c>
      <c r="BA70" s="1759" t="str">
        <f>U70</f>
        <v>km/km</v>
      </c>
      <c r="BB70" s="1790">
        <f>V70</f>
        <v>2.5680000000000005</v>
      </c>
      <c r="BC70" s="1759" t="s">
        <v>384</v>
      </c>
      <c r="BD70" s="992">
        <f>$D70*BB70</f>
        <v>71744.373120000018</v>
      </c>
      <c r="BE70" s="1759"/>
      <c r="BF70" s="992">
        <f t="shared" ref="BF70:BJ70" si="433">AX70</f>
        <v>1</v>
      </c>
      <c r="BG70" s="1759" t="str">
        <f t="shared" si="433"/>
        <v>km</v>
      </c>
      <c r="BH70" s="1758">
        <f t="shared" si="433"/>
        <v>2.5680000000000005</v>
      </c>
      <c r="BI70" s="992" t="str">
        <f t="shared" si="433"/>
        <v>km/km</v>
      </c>
      <c r="BJ70" s="992">
        <f t="shared" si="433"/>
        <v>2.5680000000000005</v>
      </c>
      <c r="BK70" s="1772"/>
      <c r="BL70" s="992">
        <f>$D70*BJ70</f>
        <v>71744.373120000018</v>
      </c>
      <c r="BM70" s="1759"/>
      <c r="BN70" s="992">
        <f t="shared" ref="BN70" si="434">BF70</f>
        <v>1</v>
      </c>
      <c r="BO70" s="1759" t="s">
        <v>102</v>
      </c>
      <c r="BP70" s="1758">
        <f t="shared" ref="BP70" si="435">BH70</f>
        <v>2.5680000000000005</v>
      </c>
      <c r="BQ70" s="992" t="str">
        <f t="shared" ref="BQ70" si="436">BI70</f>
        <v>km/km</v>
      </c>
      <c r="BR70" s="992">
        <f t="shared" ref="BR70" si="437">BJ70</f>
        <v>2.5680000000000005</v>
      </c>
      <c r="BS70" s="1772"/>
      <c r="BT70" s="992">
        <f>$D70*BR70</f>
        <v>71744.373120000018</v>
      </c>
      <c r="BU70" s="1759"/>
      <c r="BV70" s="992">
        <f t="shared" ref="BV70" si="438">BN70</f>
        <v>1</v>
      </c>
      <c r="BW70" s="1759" t="s">
        <v>102</v>
      </c>
      <c r="BX70" s="1758">
        <f t="shared" ref="BX70" si="439">BP70</f>
        <v>2.5680000000000005</v>
      </c>
      <c r="BY70" s="992" t="str">
        <f t="shared" ref="BY70" si="440">BQ70</f>
        <v>km/km</v>
      </c>
      <c r="BZ70" s="992">
        <f t="shared" ref="BZ70" si="441">BR70</f>
        <v>2.5680000000000005</v>
      </c>
      <c r="CA70" s="1772"/>
      <c r="CB70" s="992">
        <f>$D70*BZ70</f>
        <v>71744.373120000018</v>
      </c>
      <c r="CC70" s="1759"/>
      <c r="CD70" s="992">
        <f t="shared" ref="CD70" si="442">BV70</f>
        <v>1</v>
      </c>
      <c r="CE70" s="1759" t="s">
        <v>102</v>
      </c>
      <c r="CF70" s="1758">
        <f t="shared" ref="CF70" si="443">BX70</f>
        <v>2.5680000000000005</v>
      </c>
      <c r="CG70" s="992" t="str">
        <f t="shared" ref="CG70" si="444">BY70</f>
        <v>km/km</v>
      </c>
      <c r="CH70" s="992">
        <f t="shared" ref="CH70" si="445">BZ70</f>
        <v>2.5680000000000005</v>
      </c>
      <c r="CI70" s="1772"/>
      <c r="CJ70" s="992">
        <f>$D70*CH70</f>
        <v>71744.373120000018</v>
      </c>
      <c r="CK70" s="1759"/>
      <c r="CL70" s="992">
        <f>BF70</f>
        <v>1</v>
      </c>
      <c r="CM70" s="1759" t="str">
        <f>BG70</f>
        <v>km</v>
      </c>
      <c r="CN70" s="1758">
        <v>1</v>
      </c>
      <c r="CO70" s="1772"/>
      <c r="CP70" s="992">
        <f>CL70*CN70</f>
        <v>1</v>
      </c>
      <c r="CQ70" s="1772"/>
      <c r="CR70" s="992">
        <f>$D70*CP70</f>
        <v>27937.84</v>
      </c>
      <c r="CS70" s="1759"/>
      <c r="CT70" s="992">
        <f>BN70</f>
        <v>1</v>
      </c>
      <c r="CU70" s="1759" t="s">
        <v>102</v>
      </c>
      <c r="CV70" s="1758">
        <v>1</v>
      </c>
      <c r="CW70" s="1772"/>
      <c r="CX70" s="992">
        <f>CT70*CV70</f>
        <v>1</v>
      </c>
      <c r="CY70" s="1772"/>
      <c r="CZ70" s="992">
        <f>$D70*CX70</f>
        <v>27937.84</v>
      </c>
      <c r="DA70" s="1759"/>
      <c r="DB70" s="992">
        <f>BV70</f>
        <v>1</v>
      </c>
      <c r="DC70" s="1759" t="s">
        <v>102</v>
      </c>
      <c r="DD70" s="1758">
        <v>1</v>
      </c>
      <c r="DE70" s="1772"/>
      <c r="DF70" s="992">
        <f>DB70*DD70</f>
        <v>1</v>
      </c>
      <c r="DG70" s="1772"/>
      <c r="DH70" s="992">
        <f>$D70*DF70</f>
        <v>27937.84</v>
      </c>
      <c r="DI70" s="1759"/>
      <c r="DJ70" s="992">
        <f>CD70</f>
        <v>1</v>
      </c>
      <c r="DK70" s="1759" t="s">
        <v>102</v>
      </c>
      <c r="DL70" s="1758">
        <v>1</v>
      </c>
      <c r="DM70" s="1772"/>
      <c r="DN70" s="992">
        <f>DJ70*DL70</f>
        <v>1</v>
      </c>
      <c r="DO70" s="1772"/>
      <c r="DP70" s="992">
        <f>$D70*DN70</f>
        <v>27937.84</v>
      </c>
      <c r="DQ70" s="1759"/>
      <c r="DR70" s="992">
        <f>CL70</f>
        <v>1</v>
      </c>
      <c r="DS70" s="1759" t="s">
        <v>102</v>
      </c>
      <c r="DT70" s="1758">
        <v>1</v>
      </c>
      <c r="DU70" s="1772"/>
      <c r="DV70" s="992">
        <f>DR70*DT70</f>
        <v>1</v>
      </c>
      <c r="DW70" s="1772"/>
      <c r="DX70" s="992">
        <f>$D70*DV70</f>
        <v>27937.84</v>
      </c>
      <c r="DY70" s="1759"/>
      <c r="DZ70" s="992">
        <f>CT70</f>
        <v>1</v>
      </c>
      <c r="EA70" s="1759" t="str">
        <f>CU70</f>
        <v>km</v>
      </c>
      <c r="EB70" s="1758">
        <v>1</v>
      </c>
      <c r="EC70" s="1772"/>
      <c r="ED70" s="992">
        <f>DZ70*EB70</f>
        <v>1</v>
      </c>
      <c r="EE70" s="1772"/>
      <c r="EF70" s="992">
        <f>$D70*ED70</f>
        <v>27937.84</v>
      </c>
      <c r="EG70" s="1759"/>
      <c r="EH70" s="992">
        <f>DB70</f>
        <v>1</v>
      </c>
      <c r="EI70" s="1759" t="str">
        <f>DC70</f>
        <v>km</v>
      </c>
      <c r="EJ70" s="1758">
        <v>1</v>
      </c>
      <c r="EK70" s="1772"/>
      <c r="EL70" s="992">
        <f>EH70*EJ70</f>
        <v>1</v>
      </c>
      <c r="EM70" s="1772"/>
      <c r="EN70" s="992">
        <f>$D70*EL70</f>
        <v>27937.84</v>
      </c>
      <c r="EO70" s="1759"/>
      <c r="EP70" s="992">
        <f>CL70</f>
        <v>1</v>
      </c>
      <c r="EQ70" s="1759" t="str">
        <f>CM70</f>
        <v>km</v>
      </c>
      <c r="ER70" s="1758">
        <v>1</v>
      </c>
      <c r="ES70" s="1772"/>
      <c r="ET70" s="992">
        <f>EP70*ER70</f>
        <v>1</v>
      </c>
      <c r="EU70" s="1772"/>
      <c r="EV70" s="992">
        <f>$D70*ET70</f>
        <v>27937.84</v>
      </c>
      <c r="EW70" s="1759"/>
      <c r="EX70" s="992">
        <f>CT70</f>
        <v>1</v>
      </c>
      <c r="EY70" s="1759" t="str">
        <f>CU70</f>
        <v>km</v>
      </c>
      <c r="EZ70" s="1758">
        <v>1</v>
      </c>
      <c r="FA70" s="1772"/>
      <c r="FB70" s="992">
        <f>EX70*EZ70</f>
        <v>1</v>
      </c>
      <c r="FC70" s="1772"/>
      <c r="FD70" s="992">
        <f>$D70*FB70</f>
        <v>27937.84</v>
      </c>
      <c r="FE70" s="1759"/>
      <c r="FF70" s="992">
        <f>DB70</f>
        <v>1</v>
      </c>
      <c r="FG70" s="1759" t="str">
        <f>DC70</f>
        <v>km</v>
      </c>
      <c r="FH70" s="1758">
        <v>1</v>
      </c>
      <c r="FI70" s="1772"/>
      <c r="FJ70" s="992">
        <f>FF70*FH70</f>
        <v>1</v>
      </c>
      <c r="FK70" s="1772"/>
      <c r="FL70" s="992">
        <f>$D70*FJ70</f>
        <v>27937.84</v>
      </c>
      <c r="FM70" s="1759"/>
      <c r="FN70" s="992">
        <f>DJ70</f>
        <v>1</v>
      </c>
      <c r="FO70" s="1759" t="str">
        <f>DK70</f>
        <v>km</v>
      </c>
      <c r="FP70" s="1758">
        <v>1</v>
      </c>
      <c r="FQ70" s="1772"/>
      <c r="FR70" s="992">
        <f>FN70*FP70</f>
        <v>1</v>
      </c>
      <c r="FS70" s="1772"/>
      <c r="FT70" s="992">
        <f>$D70*FR70</f>
        <v>27937.84</v>
      </c>
      <c r="FU70" s="1759"/>
      <c r="FV70" s="992">
        <f>DR70</f>
        <v>1</v>
      </c>
      <c r="FW70" s="1759" t="str">
        <f>DS70</f>
        <v>km</v>
      </c>
      <c r="FX70" s="1758">
        <v>1</v>
      </c>
      <c r="FY70" s="1772"/>
      <c r="FZ70" s="992">
        <f>FV70*FX70</f>
        <v>1</v>
      </c>
      <c r="GA70" s="1772"/>
      <c r="GB70" s="992">
        <f>$D70*FZ70</f>
        <v>27937.84</v>
      </c>
      <c r="GC70" s="1759"/>
      <c r="GD70" s="992">
        <f>DZ70</f>
        <v>1</v>
      </c>
      <c r="GE70" s="1759" t="str">
        <f>EA70</f>
        <v>km</v>
      </c>
      <c r="GF70" s="1758">
        <v>1</v>
      </c>
      <c r="GG70" s="1772"/>
      <c r="GH70" s="992">
        <f>GD70*GF70</f>
        <v>1</v>
      </c>
      <c r="GI70" s="1772"/>
      <c r="GJ70" s="992">
        <f>$D70*GH70</f>
        <v>27937.84</v>
      </c>
      <c r="GK70" s="1759"/>
      <c r="GL70" s="992">
        <f>EH70</f>
        <v>1</v>
      </c>
      <c r="GM70" s="1759" t="str">
        <f>EI70</f>
        <v>km</v>
      </c>
      <c r="GN70" s="1758">
        <v>1</v>
      </c>
      <c r="GO70" s="1772"/>
      <c r="GP70" s="992">
        <f>GL70*GN70</f>
        <v>1</v>
      </c>
      <c r="GQ70" s="1772"/>
      <c r="GR70" s="992">
        <f>$D70*GP70</f>
        <v>27937.84</v>
      </c>
      <c r="GS70" s="1759"/>
      <c r="GT70" s="992">
        <f>EP70</f>
        <v>1</v>
      </c>
      <c r="GU70" s="1759" t="str">
        <f>EQ70</f>
        <v>km</v>
      </c>
      <c r="GV70" s="1758">
        <v>1</v>
      </c>
      <c r="GW70" s="1772"/>
      <c r="GX70" s="992">
        <f>GT70*GV70</f>
        <v>1</v>
      </c>
      <c r="GY70" s="1772"/>
      <c r="GZ70" s="992">
        <f>$D70*GX70</f>
        <v>27937.84</v>
      </c>
      <c r="HA70" s="1759"/>
      <c r="HB70" s="992">
        <f t="shared" si="418"/>
        <v>1</v>
      </c>
      <c r="HC70" s="1759" t="str">
        <f t="shared" si="409"/>
        <v>km</v>
      </c>
      <c r="HD70" s="1758">
        <v>1</v>
      </c>
      <c r="HE70" s="1772"/>
      <c r="HF70" s="992">
        <f>HB70*HD70</f>
        <v>1</v>
      </c>
      <c r="HG70" s="1772"/>
      <c r="HH70" s="992">
        <f>$D70*HF70</f>
        <v>27937.84</v>
      </c>
      <c r="HI70" s="1759"/>
      <c r="HJ70" s="992">
        <f t="shared" si="428"/>
        <v>1</v>
      </c>
      <c r="HK70" s="1759" t="str">
        <f t="shared" si="420"/>
        <v>km</v>
      </c>
      <c r="HL70" s="1758">
        <v>1</v>
      </c>
      <c r="HM70" s="1772"/>
      <c r="HN70" s="992">
        <f>HJ70*HL70</f>
        <v>1</v>
      </c>
      <c r="HO70" s="1772"/>
      <c r="HP70" s="992">
        <f>$D70*HN70</f>
        <v>27937.84</v>
      </c>
      <c r="HQ70" s="1759"/>
      <c r="HR70" s="992">
        <f t="shared" si="429"/>
        <v>1</v>
      </c>
      <c r="HS70" s="1759" t="str">
        <f t="shared" si="422"/>
        <v>km</v>
      </c>
      <c r="HT70" s="1758">
        <v>1</v>
      </c>
      <c r="HU70" s="1772"/>
      <c r="HV70" s="992">
        <f>HR70*HT70</f>
        <v>1</v>
      </c>
      <c r="HW70" s="1772"/>
      <c r="HX70" s="992">
        <f>$D70*HV70</f>
        <v>27937.84</v>
      </c>
      <c r="HY70" s="1759"/>
      <c r="HZ70" s="992">
        <f t="shared" si="430"/>
        <v>1</v>
      </c>
      <c r="IA70" s="1759" t="str">
        <f t="shared" si="424"/>
        <v>km</v>
      </c>
      <c r="IB70" s="1758">
        <v>1</v>
      </c>
      <c r="IC70" s="1772"/>
      <c r="ID70" s="992">
        <f>HZ70*IB70</f>
        <v>1</v>
      </c>
      <c r="IE70" s="1772"/>
      <c r="IF70" s="992">
        <f>$D70*ID70</f>
        <v>27937.84</v>
      </c>
      <c r="IG70" s="1759"/>
      <c r="IH70" s="992">
        <f t="shared" si="431"/>
        <v>1</v>
      </c>
      <c r="II70" s="1759" t="str">
        <f t="shared" si="426"/>
        <v>km</v>
      </c>
      <c r="IJ70" s="1758">
        <v>1</v>
      </c>
      <c r="IK70" s="1772"/>
      <c r="IL70" s="992">
        <f>IH70*IJ70</f>
        <v>1</v>
      </c>
      <c r="IM70" s="1772"/>
      <c r="IN70" s="992">
        <f>$D70*IL70</f>
        <v>27937.84</v>
      </c>
      <c r="IO70" s="1759"/>
    </row>
    <row r="71" spans="1:249" s="341" customFormat="1">
      <c r="A71" s="1753"/>
      <c r="B71" s="1754"/>
      <c r="C71" s="1755"/>
      <c r="D71" s="1024"/>
      <c r="E71" s="1761"/>
      <c r="F71" s="1762"/>
      <c r="G71" s="1763" t="s">
        <v>462</v>
      </c>
      <c r="H71" s="994">
        <f>SUBTOTAL(9,H9:H70)</f>
        <v>350746038.62506711</v>
      </c>
      <c r="I71" s="1791"/>
      <c r="J71" s="1791"/>
      <c r="K71" s="1791"/>
      <c r="L71" s="1791"/>
      <c r="M71" s="1791"/>
      <c r="N71" s="1791"/>
      <c r="O71" s="994">
        <f>SUBTOTAL(9,O9:O70)</f>
        <v>6207290.8974591726</v>
      </c>
      <c r="P71" s="1765">
        <f>O71/$H71</f>
        <v>1.7697394165282383E-2</v>
      </c>
      <c r="Q71" s="1792"/>
      <c r="R71" s="1791"/>
      <c r="S71" s="1791"/>
      <c r="T71" s="1791"/>
      <c r="U71" s="1791"/>
      <c r="V71" s="1791"/>
      <c r="W71" s="1791"/>
      <c r="X71" s="994">
        <f>SUBTOTAL(9,X9:X70)</f>
        <v>7840444.461393076</v>
      </c>
      <c r="Y71" s="1765">
        <f>X71/$H71</f>
        <v>2.2353622273619415E-2</v>
      </c>
      <c r="Z71" s="1791"/>
      <c r="AA71" s="1791"/>
      <c r="AB71" s="1791"/>
      <c r="AC71" s="1791"/>
      <c r="AD71" s="1791"/>
      <c r="AE71" s="1791"/>
      <c r="AF71" s="994">
        <f>SUBTOTAL(9,AF9:AF70)</f>
        <v>14656987.215947019</v>
      </c>
      <c r="AG71" s="1765">
        <f>AF71/$H71</f>
        <v>4.1788033511091845E-2</v>
      </c>
      <c r="AH71" s="1791"/>
      <c r="AI71" s="1791"/>
      <c r="AJ71" s="1791"/>
      <c r="AK71" s="1791"/>
      <c r="AL71" s="1791"/>
      <c r="AM71" s="1791"/>
      <c r="AN71" s="994">
        <f>SUBTOTAL(9,AN9:AN70)</f>
        <v>7840444.461393076</v>
      </c>
      <c r="AO71" s="1765">
        <f>AN71/$H71</f>
        <v>2.2353622273619415E-2</v>
      </c>
      <c r="AP71" s="1791"/>
      <c r="AQ71" s="1791"/>
      <c r="AR71" s="1791"/>
      <c r="AS71" s="1791"/>
      <c r="AT71" s="1791"/>
      <c r="AU71" s="1791"/>
      <c r="AV71" s="994">
        <f>SUBTOTAL(9,AV9:AV70)</f>
        <v>7840444.461393076</v>
      </c>
      <c r="AW71" s="1765">
        <f>AV71/$H71</f>
        <v>2.2353622273619415E-2</v>
      </c>
      <c r="AX71" s="1791"/>
      <c r="AY71" s="1791"/>
      <c r="AZ71" s="1791"/>
      <c r="BA71" s="1791"/>
      <c r="BB71" s="1791"/>
      <c r="BC71" s="1791"/>
      <c r="BD71" s="994">
        <f>SUBTOTAL(9,BD9:BD70)</f>
        <v>11481085.401696019</v>
      </c>
      <c r="BE71" s="1765">
        <f>BD71/$H71</f>
        <v>3.2733328783133654E-2</v>
      </c>
      <c r="BF71" s="1791"/>
      <c r="BG71" s="1791"/>
      <c r="BH71" s="1791"/>
      <c r="BI71" s="1791"/>
      <c r="BJ71" s="1791"/>
      <c r="BK71" s="1791"/>
      <c r="BL71" s="994">
        <f>SUBTOTAL(9,BL9:BL70)</f>
        <v>15626610.250016367</v>
      </c>
      <c r="BM71" s="1765">
        <f>BL71/$H71</f>
        <v>4.4552492485084236E-2</v>
      </c>
      <c r="BN71" s="1791"/>
      <c r="BO71" s="1791"/>
      <c r="BP71" s="1791"/>
      <c r="BQ71" s="1791"/>
      <c r="BR71" s="1791"/>
      <c r="BS71" s="1791"/>
      <c r="BT71" s="994">
        <f>SUBTOTAL(9,BT9:BT70)</f>
        <v>8357576.7462300612</v>
      </c>
      <c r="BU71" s="1765">
        <f>BT71/$H71</f>
        <v>2.382800039308202E-2</v>
      </c>
      <c r="BV71" s="1791"/>
      <c r="BW71" s="1791"/>
      <c r="BX71" s="1791"/>
      <c r="BY71" s="1791"/>
      <c r="BZ71" s="1791"/>
      <c r="CA71" s="1791"/>
      <c r="CB71" s="994">
        <f>SUBTOTAL(9,CB9:CB70)</f>
        <v>11989884.977436466</v>
      </c>
      <c r="CC71" s="1765">
        <f>CB71/$H71</f>
        <v>3.4183949801506248E-2</v>
      </c>
      <c r="CD71" s="1791"/>
      <c r="CE71" s="1791"/>
      <c r="CF71" s="1791"/>
      <c r="CG71" s="1791"/>
      <c r="CH71" s="1791"/>
      <c r="CI71" s="1791"/>
      <c r="CJ71" s="994">
        <f>SUBTOTAL(9,CJ9:CJ70)</f>
        <v>15626610.250016367</v>
      </c>
      <c r="CK71" s="1765">
        <f>CJ71/$H71</f>
        <v>4.4552492485084236E-2</v>
      </c>
      <c r="CL71" s="1791"/>
      <c r="CM71" s="1791"/>
      <c r="CN71" s="1791"/>
      <c r="CO71" s="1791"/>
      <c r="CP71" s="1791"/>
      <c r="CQ71" s="1791"/>
      <c r="CR71" s="994">
        <f>SUBTOTAL(9,CR9:CR70)</f>
        <v>8401137.853110062</v>
      </c>
      <c r="CS71" s="1765">
        <f>CR71/$H71</f>
        <v>2.3952195970744883E-2</v>
      </c>
      <c r="CT71" s="1791"/>
      <c r="CU71" s="1791"/>
      <c r="CV71" s="1791"/>
      <c r="CW71" s="1791"/>
      <c r="CX71" s="1791"/>
      <c r="CY71" s="1791"/>
      <c r="CZ71" s="994">
        <f>SUBTOTAL(9,CZ9:CZ70)</f>
        <v>12071669.426816465</v>
      </c>
      <c r="DA71" s="1765">
        <f>CZ71/$H71</f>
        <v>3.441712263989552E-2</v>
      </c>
      <c r="DB71" s="1791"/>
      <c r="DC71" s="1791"/>
      <c r="DD71" s="1791"/>
      <c r="DE71" s="1791"/>
      <c r="DF71" s="1791"/>
      <c r="DG71" s="1791"/>
      <c r="DH71" s="994">
        <f>SUBTOTAL(9,DH9:DH70)</f>
        <v>15746618.041896367</v>
      </c>
      <c r="DI71" s="1765">
        <f>DH71/$H71</f>
        <v>4.4894642584199916E-2</v>
      </c>
      <c r="DJ71" s="1791"/>
      <c r="DK71" s="1791"/>
      <c r="DL71" s="1791"/>
      <c r="DM71" s="1791"/>
      <c r="DN71" s="1791"/>
      <c r="DO71" s="1791"/>
      <c r="DP71" s="994">
        <f>SUBTOTAL(9,DP9:DP70)</f>
        <v>8401137.853110062</v>
      </c>
      <c r="DQ71" s="1765">
        <f>DP71/$H71</f>
        <v>2.3952195970744883E-2</v>
      </c>
      <c r="DR71" s="1791"/>
      <c r="DS71" s="1791"/>
      <c r="DT71" s="1791"/>
      <c r="DU71" s="1791"/>
      <c r="DV71" s="1791"/>
      <c r="DW71" s="1791"/>
      <c r="DX71" s="994">
        <f>SUBTOTAL(9,DX9:DX70)</f>
        <v>12071669.426816465</v>
      </c>
      <c r="DY71" s="1765">
        <f>DX71/$H71</f>
        <v>3.441712263989552E-2</v>
      </c>
      <c r="DZ71" s="1791"/>
      <c r="EA71" s="1791"/>
      <c r="EB71" s="1791"/>
      <c r="EC71" s="1791"/>
      <c r="ED71" s="1791"/>
      <c r="EE71" s="1791"/>
      <c r="EF71" s="994">
        <f>SUBTOTAL(9,EF9:EF70)</f>
        <v>15963672.182346996</v>
      </c>
      <c r="EG71" s="1765">
        <f>EF71/$H71</f>
        <v>4.5513478198998265E-2</v>
      </c>
      <c r="EH71" s="1791"/>
      <c r="EI71" s="1791"/>
      <c r="EJ71" s="1791"/>
      <c r="EK71" s="1791"/>
      <c r="EL71" s="1791"/>
      <c r="EM71" s="1791"/>
      <c r="EN71" s="994">
        <f>SUBTOTAL(9,EN9:EN70)</f>
        <v>8516900.0613503959</v>
      </c>
      <c r="EO71" s="1765">
        <f>EN71/$H71</f>
        <v>2.4282241631970666E-2</v>
      </c>
      <c r="EP71" s="1764"/>
      <c r="EQ71" s="1764"/>
      <c r="ER71" s="1764"/>
      <c r="ES71" s="1764"/>
      <c r="ET71" s="1764"/>
      <c r="EU71" s="1764"/>
      <c r="EV71" s="994">
        <f>SUBTOTAL(9,EV9:EV70)</f>
        <v>12112486.618661944</v>
      </c>
      <c r="EW71" s="1765">
        <f>EV71/$H71</f>
        <v>3.4533495135520793E-2</v>
      </c>
      <c r="EX71" s="1764"/>
      <c r="EY71" s="1764"/>
      <c r="EZ71" s="1764"/>
      <c r="FA71" s="1764"/>
      <c r="FB71" s="1764"/>
      <c r="FC71" s="1764"/>
      <c r="FD71" s="994">
        <f>SUBTOTAL(9,FD9:FD70)</f>
        <v>15799857.857346995</v>
      </c>
      <c r="FE71" s="1765">
        <f>FD71/$H71</f>
        <v>4.504643279588507E-2</v>
      </c>
      <c r="FF71" s="1764"/>
      <c r="FG71" s="1764"/>
      <c r="FH71" s="1764"/>
      <c r="FI71" s="1764"/>
      <c r="FJ71" s="1764"/>
      <c r="FK71" s="1764"/>
      <c r="FL71" s="994">
        <f>SUBTOTAL(9,FL9:FL70)</f>
        <v>8429532.4213503953</v>
      </c>
      <c r="FM71" s="1765">
        <f>FL71/$H71</f>
        <v>2.4033150750310296E-2</v>
      </c>
      <c r="FN71" s="1764"/>
      <c r="FO71" s="1764"/>
      <c r="FP71" s="1764"/>
      <c r="FQ71" s="1764"/>
      <c r="FR71" s="1764"/>
      <c r="FS71" s="1764"/>
      <c r="FT71" s="994">
        <f>SUBTOTAL(9,FT9:FT70)</f>
        <v>12536002.918234898</v>
      </c>
      <c r="FU71" s="1765">
        <f>FT71/$H71</f>
        <v>3.5740967930461394E-2</v>
      </c>
      <c r="FV71" s="1764"/>
      <c r="FW71" s="1764"/>
      <c r="FX71" s="1764"/>
      <c r="FY71" s="1764"/>
      <c r="FZ71" s="1764"/>
      <c r="GA71" s="1764"/>
      <c r="GB71" s="994">
        <f>SUBTOTAL(9,GB9:GB70)</f>
        <v>16352270.422007367</v>
      </c>
      <c r="GC71" s="1765">
        <f>GB71/$H71</f>
        <v>4.6621397311024979E-2</v>
      </c>
      <c r="GD71" s="1764"/>
      <c r="GE71" s="1764"/>
      <c r="GF71" s="1764"/>
      <c r="GG71" s="1764"/>
      <c r="GH71" s="1764"/>
      <c r="GI71" s="1764"/>
      <c r="GJ71" s="994">
        <f>SUBTOTAL(9,GJ9:GJ70)</f>
        <v>8724152.4558359291</v>
      </c>
      <c r="GK71" s="1765">
        <f>GJ71/$H71</f>
        <v>2.4873131825051586E-2</v>
      </c>
      <c r="GL71" s="1764"/>
      <c r="GM71" s="1764"/>
      <c r="GN71" s="1764"/>
      <c r="GO71" s="1764"/>
      <c r="GP71" s="1764"/>
      <c r="GQ71" s="1764"/>
      <c r="GR71" s="994">
        <f>SUBTOTAL(9,GR9:GR70)</f>
        <v>12536002.918234898</v>
      </c>
      <c r="GS71" s="1765">
        <f>GR71/$H71</f>
        <v>3.5740967930461394E-2</v>
      </c>
      <c r="GT71" s="1764"/>
      <c r="GU71" s="1764"/>
      <c r="GV71" s="1764"/>
      <c r="GW71" s="1764"/>
      <c r="GX71" s="1764"/>
      <c r="GY71" s="1764"/>
      <c r="GZ71" s="994">
        <f>SUBTOTAL(9,GZ9:GZ70)</f>
        <v>16352270.422007367</v>
      </c>
      <c r="HA71" s="1765">
        <f>GZ71/$H71</f>
        <v>4.6621397311024979E-2</v>
      </c>
      <c r="HB71" s="1764"/>
      <c r="HC71" s="1764"/>
      <c r="HD71" s="1764"/>
      <c r="HE71" s="1764"/>
      <c r="HF71" s="1764"/>
      <c r="HG71" s="1764"/>
      <c r="HH71" s="994">
        <f>SUBTOTAL(9,HH9:HH70)</f>
        <v>8782033.5599560943</v>
      </c>
      <c r="HI71" s="1765">
        <f>HH71/$H71</f>
        <v>2.5038154655664471E-2</v>
      </c>
      <c r="HJ71" s="1764"/>
      <c r="HK71" s="1764"/>
      <c r="HL71" s="1764"/>
      <c r="HM71" s="1764"/>
      <c r="HN71" s="1764"/>
      <c r="HO71" s="1764"/>
      <c r="HP71" s="994">
        <f>SUBTOTAL(9,HP9:HP70)</f>
        <v>12619207.005407635</v>
      </c>
      <c r="HQ71" s="1765">
        <f>HP71/$H71</f>
        <v>3.597818824946742E-2</v>
      </c>
      <c r="HR71" s="1764"/>
      <c r="HS71" s="1764"/>
      <c r="HT71" s="1764"/>
      <c r="HU71" s="1764"/>
      <c r="HV71" s="1764"/>
      <c r="HW71" s="1764"/>
      <c r="HX71" s="994">
        <f>SUBTOTAL(9,HX9:HX70)</f>
        <v>16460797.49223268</v>
      </c>
      <c r="HY71" s="1765">
        <f>HX71/$H71</f>
        <v>4.6930815118424146E-2</v>
      </c>
      <c r="HZ71" s="1764"/>
      <c r="IA71" s="1764"/>
      <c r="IB71" s="1764"/>
      <c r="IC71" s="1764"/>
      <c r="ID71" s="1764"/>
      <c r="IE71" s="1764"/>
      <c r="IF71" s="994">
        <f>SUBTOTAL(9,IF9:IF70)</f>
        <v>8782033.5599560943</v>
      </c>
      <c r="IG71" s="1765">
        <f>IF71/$H71</f>
        <v>2.5038154655664471E-2</v>
      </c>
      <c r="IH71" s="1764"/>
      <c r="II71" s="1764"/>
      <c r="IJ71" s="1764"/>
      <c r="IK71" s="1764"/>
      <c r="IL71" s="1764"/>
      <c r="IM71" s="1764"/>
      <c r="IN71" s="994">
        <f>SUBTOTAL(9,IN9:IN70)</f>
        <v>12619207.005407635</v>
      </c>
      <c r="IO71" s="1765">
        <f>IN71/$H71</f>
        <v>3.597818824946742E-2</v>
      </c>
    </row>
    <row r="72" spans="1:249">
      <c r="A72" s="595"/>
      <c r="B72" s="598"/>
      <c r="C72" s="599"/>
      <c r="G72" s="520"/>
    </row>
    <row r="73" spans="1:249">
      <c r="A73" s="595"/>
      <c r="B73" s="598"/>
      <c r="C73" s="599"/>
      <c r="G73" s="1025" t="s">
        <v>463</v>
      </c>
      <c r="H73" s="1026"/>
      <c r="I73" s="1001" t="s">
        <v>464</v>
      </c>
      <c r="J73" s="1004"/>
      <c r="R73" s="1001" t="s">
        <v>464</v>
      </c>
      <c r="S73" s="1004"/>
      <c r="Z73" s="1001" t="s">
        <v>464</v>
      </c>
      <c r="AA73" s="1004"/>
      <c r="AH73" s="1001" t="s">
        <v>464</v>
      </c>
      <c r="AI73" s="1004"/>
      <c r="AP73" s="1001" t="s">
        <v>464</v>
      </c>
      <c r="AQ73" s="1004"/>
      <c r="AX73" s="1001" t="s">
        <v>464</v>
      </c>
      <c r="AY73" s="1004"/>
      <c r="BF73" s="1001" t="s">
        <v>464</v>
      </c>
      <c r="BG73" s="1004"/>
      <c r="BN73" s="1001" t="s">
        <v>464</v>
      </c>
      <c r="BO73" s="1004"/>
      <c r="BV73" s="1001" t="s">
        <v>464</v>
      </c>
      <c r="BW73" s="1004"/>
      <c r="CD73" s="1001" t="s">
        <v>464</v>
      </c>
      <c r="CE73" s="1004"/>
      <c r="CL73" s="1001" t="s">
        <v>464</v>
      </c>
      <c r="CM73" s="1004"/>
      <c r="CT73" s="1001" t="s">
        <v>464</v>
      </c>
      <c r="CU73" s="1004"/>
      <c r="DB73" s="1001" t="s">
        <v>464</v>
      </c>
      <c r="DC73" s="1004"/>
      <c r="DJ73" s="1001" t="s">
        <v>464</v>
      </c>
      <c r="DK73" s="1004"/>
      <c r="DR73" s="1001" t="s">
        <v>464</v>
      </c>
      <c r="DS73" s="1004"/>
      <c r="DZ73" s="1001" t="s">
        <v>464</v>
      </c>
      <c r="EA73" s="1004"/>
      <c r="EH73" s="1001" t="s">
        <v>464</v>
      </c>
      <c r="EI73" s="1004"/>
      <c r="EP73" s="1001" t="s">
        <v>464</v>
      </c>
      <c r="EQ73" s="1004"/>
      <c r="EX73" s="1001" t="s">
        <v>464</v>
      </c>
      <c r="EY73" s="1004"/>
      <c r="FF73" s="1001" t="s">
        <v>464</v>
      </c>
      <c r="FG73" s="1004"/>
      <c r="FN73" s="1001" t="s">
        <v>464</v>
      </c>
      <c r="FO73" s="1004"/>
      <c r="FV73" s="1001" t="s">
        <v>464</v>
      </c>
      <c r="FW73" s="1004"/>
      <c r="GD73" s="1001" t="s">
        <v>464</v>
      </c>
      <c r="GE73" s="1004"/>
      <c r="GL73" s="1001" t="s">
        <v>464</v>
      </c>
      <c r="GM73" s="1004"/>
      <c r="GT73" s="1001" t="s">
        <v>464</v>
      </c>
      <c r="GU73" s="1004"/>
      <c r="HB73" s="1001" t="s">
        <v>464</v>
      </c>
      <c r="HC73" s="1004"/>
      <c r="HJ73" s="1001" t="s">
        <v>464</v>
      </c>
      <c r="HK73" s="1004"/>
      <c r="HR73" s="1001" t="s">
        <v>464</v>
      </c>
      <c r="HS73" s="1004"/>
      <c r="HZ73" s="1001" t="s">
        <v>464</v>
      </c>
      <c r="IA73" s="1004"/>
      <c r="IH73" s="1001" t="s">
        <v>464</v>
      </c>
      <c r="II73" s="1004"/>
    </row>
    <row r="74" spans="1:249">
      <c r="A74" s="595"/>
      <c r="B74" s="598"/>
      <c r="C74" s="599"/>
      <c r="G74" s="1027" t="s">
        <v>465</v>
      </c>
      <c r="H74" s="1004"/>
      <c r="I74" s="1021">
        <v>1000</v>
      </c>
      <c r="J74" s="1016" t="s">
        <v>411</v>
      </c>
      <c r="R74" s="1021">
        <v>1000</v>
      </c>
      <c r="S74" s="1016" t="s">
        <v>411</v>
      </c>
      <c r="Z74" s="1021">
        <v>1000</v>
      </c>
      <c r="AA74" s="1016" t="s">
        <v>411</v>
      </c>
      <c r="AH74" s="1021">
        <v>1000</v>
      </c>
      <c r="AI74" s="1016" t="s">
        <v>411</v>
      </c>
      <c r="AP74" s="1021">
        <v>1000</v>
      </c>
      <c r="AQ74" s="1016" t="s">
        <v>411</v>
      </c>
      <c r="AX74" s="1021">
        <v>1000</v>
      </c>
      <c r="AY74" s="1016" t="s">
        <v>411</v>
      </c>
      <c r="BF74" s="1021">
        <v>1000</v>
      </c>
      <c r="BG74" s="1016" t="s">
        <v>411</v>
      </c>
      <c r="BN74" s="1021">
        <v>1000</v>
      </c>
      <c r="BO74" s="1016" t="s">
        <v>411</v>
      </c>
      <c r="BV74" s="1021">
        <v>1000</v>
      </c>
      <c r="BW74" s="1016" t="s">
        <v>411</v>
      </c>
      <c r="CD74" s="1021">
        <v>1000</v>
      </c>
      <c r="CE74" s="1016" t="s">
        <v>411</v>
      </c>
      <c r="CL74" s="1021">
        <v>1000</v>
      </c>
      <c r="CM74" s="1016" t="s">
        <v>411</v>
      </c>
      <c r="CT74" s="1021">
        <v>1000</v>
      </c>
      <c r="CU74" s="1016" t="s">
        <v>411</v>
      </c>
      <c r="DB74" s="1021">
        <v>1000</v>
      </c>
      <c r="DC74" s="1016" t="s">
        <v>411</v>
      </c>
      <c r="DJ74" s="1021">
        <v>1000</v>
      </c>
      <c r="DK74" s="1016" t="s">
        <v>411</v>
      </c>
      <c r="DR74" s="1021">
        <v>1000</v>
      </c>
      <c r="DS74" s="1016" t="s">
        <v>411</v>
      </c>
      <c r="DZ74" s="1021">
        <v>1000</v>
      </c>
      <c r="EA74" s="1016" t="s">
        <v>411</v>
      </c>
      <c r="EH74" s="1021">
        <v>1000</v>
      </c>
      <c r="EI74" s="1016" t="s">
        <v>411</v>
      </c>
      <c r="EP74" s="1021">
        <v>1000</v>
      </c>
      <c r="EQ74" s="1016" t="s">
        <v>411</v>
      </c>
      <c r="EX74" s="1021">
        <v>1000</v>
      </c>
      <c r="EY74" s="1016" t="s">
        <v>411</v>
      </c>
      <c r="FF74" s="1021">
        <v>1000</v>
      </c>
      <c r="FG74" s="1016" t="s">
        <v>411</v>
      </c>
      <c r="FN74" s="1021">
        <v>1000</v>
      </c>
      <c r="FO74" s="1016" t="s">
        <v>411</v>
      </c>
      <c r="FV74" s="1021">
        <v>1000</v>
      </c>
      <c r="FW74" s="1016" t="s">
        <v>411</v>
      </c>
      <c r="GD74" s="1021">
        <v>1000</v>
      </c>
      <c r="GE74" s="1016" t="s">
        <v>411</v>
      </c>
      <c r="GL74" s="1021">
        <v>1000</v>
      </c>
      <c r="GM74" s="1016" t="s">
        <v>411</v>
      </c>
      <c r="GT74" s="1021">
        <v>1000</v>
      </c>
      <c r="GU74" s="1016" t="s">
        <v>411</v>
      </c>
      <c r="HB74" s="1021">
        <v>1000</v>
      </c>
      <c r="HC74" s="1016" t="s">
        <v>411</v>
      </c>
      <c r="HJ74" s="1021">
        <v>1000</v>
      </c>
      <c r="HK74" s="1016" t="s">
        <v>411</v>
      </c>
      <c r="HR74" s="1021">
        <v>1000</v>
      </c>
      <c r="HS74" s="1016" t="s">
        <v>411</v>
      </c>
      <c r="HZ74" s="1021">
        <v>1000</v>
      </c>
      <c r="IA74" s="1016" t="s">
        <v>411</v>
      </c>
      <c r="IH74" s="1021">
        <v>1000</v>
      </c>
      <c r="II74" s="1016" t="s">
        <v>411</v>
      </c>
    </row>
    <row r="75" spans="1:249">
      <c r="A75" s="595"/>
      <c r="B75" s="598"/>
      <c r="C75" s="599"/>
      <c r="G75" s="1027" t="s">
        <v>466</v>
      </c>
      <c r="H75" s="1004"/>
      <c r="I75" s="1021">
        <v>600</v>
      </c>
      <c r="J75" s="1016" t="s">
        <v>411</v>
      </c>
      <c r="R75" s="1021">
        <v>600</v>
      </c>
      <c r="S75" s="1016" t="s">
        <v>411</v>
      </c>
      <c r="Z75" s="1021">
        <v>600</v>
      </c>
      <c r="AA75" s="1016" t="s">
        <v>411</v>
      </c>
      <c r="AH75" s="1021">
        <v>600</v>
      </c>
      <c r="AI75" s="1016" t="s">
        <v>411</v>
      </c>
      <c r="AP75" s="1021">
        <v>600</v>
      </c>
      <c r="AQ75" s="1016" t="s">
        <v>411</v>
      </c>
      <c r="AX75" s="1021">
        <v>600</v>
      </c>
      <c r="AY75" s="1016" t="s">
        <v>411</v>
      </c>
      <c r="BF75" s="1021">
        <v>600</v>
      </c>
      <c r="BG75" s="1016" t="s">
        <v>411</v>
      </c>
      <c r="BN75" s="1021">
        <v>600</v>
      </c>
      <c r="BO75" s="1016" t="s">
        <v>411</v>
      </c>
      <c r="BV75" s="1021">
        <v>600</v>
      </c>
      <c r="BW75" s="1016" t="s">
        <v>411</v>
      </c>
      <c r="CD75" s="1021">
        <v>600</v>
      </c>
      <c r="CE75" s="1016" t="s">
        <v>411</v>
      </c>
      <c r="CL75" s="1021">
        <v>600</v>
      </c>
      <c r="CM75" s="1016" t="s">
        <v>411</v>
      </c>
      <c r="CT75" s="1021">
        <v>600</v>
      </c>
      <c r="CU75" s="1016" t="s">
        <v>411</v>
      </c>
      <c r="DB75" s="1021">
        <v>600</v>
      </c>
      <c r="DC75" s="1016" t="s">
        <v>411</v>
      </c>
      <c r="DJ75" s="1021">
        <v>600</v>
      </c>
      <c r="DK75" s="1016" t="s">
        <v>411</v>
      </c>
      <c r="DR75" s="1021">
        <v>600</v>
      </c>
      <c r="DS75" s="1016" t="s">
        <v>411</v>
      </c>
      <c r="DZ75" s="1021">
        <v>600</v>
      </c>
      <c r="EA75" s="1016" t="s">
        <v>411</v>
      </c>
      <c r="EH75" s="1021">
        <v>600</v>
      </c>
      <c r="EI75" s="1016" t="s">
        <v>411</v>
      </c>
      <c r="EP75" s="1021">
        <v>600</v>
      </c>
      <c r="EQ75" s="1016" t="s">
        <v>411</v>
      </c>
      <c r="EX75" s="1021">
        <v>600</v>
      </c>
      <c r="EY75" s="1016" t="s">
        <v>411</v>
      </c>
      <c r="FF75" s="1021">
        <v>600</v>
      </c>
      <c r="FG75" s="1016" t="s">
        <v>411</v>
      </c>
      <c r="FN75" s="1021">
        <v>600</v>
      </c>
      <c r="FO75" s="1016" t="s">
        <v>411</v>
      </c>
      <c r="FV75" s="1021">
        <v>600</v>
      </c>
      <c r="FW75" s="1016" t="s">
        <v>411</v>
      </c>
      <c r="GD75" s="1021">
        <v>600</v>
      </c>
      <c r="GE75" s="1016" t="s">
        <v>411</v>
      </c>
      <c r="GL75" s="1021">
        <v>600</v>
      </c>
      <c r="GM75" s="1016" t="s">
        <v>411</v>
      </c>
      <c r="GT75" s="1021">
        <v>600</v>
      </c>
      <c r="GU75" s="1016" t="s">
        <v>411</v>
      </c>
      <c r="HB75" s="1021">
        <v>600</v>
      </c>
      <c r="HC75" s="1016" t="s">
        <v>411</v>
      </c>
      <c r="HJ75" s="1021">
        <v>600</v>
      </c>
      <c r="HK75" s="1016" t="s">
        <v>411</v>
      </c>
      <c r="HR75" s="1021">
        <v>600</v>
      </c>
      <c r="HS75" s="1016" t="s">
        <v>411</v>
      </c>
      <c r="HZ75" s="1021">
        <v>600</v>
      </c>
      <c r="IA75" s="1016" t="s">
        <v>411</v>
      </c>
      <c r="IH75" s="1021">
        <v>600</v>
      </c>
      <c r="II75" s="1016" t="s">
        <v>411</v>
      </c>
    </row>
    <row r="76" spans="1:249">
      <c r="A76" s="595"/>
      <c r="B76" s="598"/>
      <c r="C76" s="599"/>
      <c r="G76" s="1027" t="s">
        <v>467</v>
      </c>
      <c r="H76" s="1004"/>
      <c r="I76" s="1021">
        <v>260</v>
      </c>
      <c r="J76" s="1016" t="s">
        <v>411</v>
      </c>
      <c r="R76" s="1021">
        <v>260</v>
      </c>
      <c r="S76" s="1016" t="s">
        <v>411</v>
      </c>
      <c r="Z76" s="1021">
        <v>260</v>
      </c>
      <c r="AA76" s="1016" t="s">
        <v>411</v>
      </c>
      <c r="AH76" s="1021">
        <v>260</v>
      </c>
      <c r="AI76" s="1016" t="s">
        <v>411</v>
      </c>
      <c r="AP76" s="1021">
        <v>260</v>
      </c>
      <c r="AQ76" s="1016" t="s">
        <v>411</v>
      </c>
      <c r="AX76" s="1021">
        <v>260</v>
      </c>
      <c r="AY76" s="1016" t="s">
        <v>411</v>
      </c>
      <c r="BF76" s="1021">
        <v>260</v>
      </c>
      <c r="BG76" s="1016" t="s">
        <v>411</v>
      </c>
      <c r="BN76" s="1021">
        <v>260</v>
      </c>
      <c r="BO76" s="1016" t="s">
        <v>411</v>
      </c>
      <c r="BV76" s="1021">
        <v>260</v>
      </c>
      <c r="BW76" s="1016" t="s">
        <v>411</v>
      </c>
      <c r="CD76" s="1021">
        <v>260</v>
      </c>
      <c r="CE76" s="1016" t="s">
        <v>411</v>
      </c>
      <c r="CL76" s="1021">
        <v>260</v>
      </c>
      <c r="CM76" s="1016" t="s">
        <v>411</v>
      </c>
      <c r="CT76" s="1021">
        <v>260</v>
      </c>
      <c r="CU76" s="1016" t="s">
        <v>411</v>
      </c>
      <c r="DB76" s="1021">
        <v>260</v>
      </c>
      <c r="DC76" s="1016" t="s">
        <v>411</v>
      </c>
      <c r="DJ76" s="1021">
        <v>260</v>
      </c>
      <c r="DK76" s="1016" t="s">
        <v>411</v>
      </c>
      <c r="DR76" s="1021">
        <v>260</v>
      </c>
      <c r="DS76" s="1016" t="s">
        <v>411</v>
      </c>
      <c r="DZ76" s="1021">
        <v>260</v>
      </c>
      <c r="EA76" s="1016" t="s">
        <v>411</v>
      </c>
      <c r="EH76" s="1021">
        <v>260</v>
      </c>
      <c r="EI76" s="1016" t="s">
        <v>411</v>
      </c>
      <c r="EP76" s="1021">
        <v>260</v>
      </c>
      <c r="EQ76" s="1016" t="s">
        <v>411</v>
      </c>
      <c r="EX76" s="1021">
        <v>260</v>
      </c>
      <c r="EY76" s="1016" t="s">
        <v>411</v>
      </c>
      <c r="FF76" s="1021">
        <v>260</v>
      </c>
      <c r="FG76" s="1016" t="s">
        <v>411</v>
      </c>
      <c r="FN76" s="1021">
        <v>260</v>
      </c>
      <c r="FO76" s="1016" t="s">
        <v>411</v>
      </c>
      <c r="FV76" s="1021">
        <v>260</v>
      </c>
      <c r="FW76" s="1016" t="s">
        <v>411</v>
      </c>
      <c r="GD76" s="1021">
        <v>260</v>
      </c>
      <c r="GE76" s="1016" t="s">
        <v>411</v>
      </c>
      <c r="GL76" s="1021">
        <v>260</v>
      </c>
      <c r="GM76" s="1016" t="s">
        <v>411</v>
      </c>
      <c r="GT76" s="1021">
        <v>260</v>
      </c>
      <c r="GU76" s="1016" t="s">
        <v>411</v>
      </c>
      <c r="HB76" s="1021">
        <v>260</v>
      </c>
      <c r="HC76" s="1016" t="s">
        <v>411</v>
      </c>
      <c r="HJ76" s="1021">
        <v>260</v>
      </c>
      <c r="HK76" s="1016" t="s">
        <v>411</v>
      </c>
      <c r="HR76" s="1021">
        <v>260</v>
      </c>
      <c r="HS76" s="1016" t="s">
        <v>411</v>
      </c>
      <c r="HZ76" s="1021">
        <v>260</v>
      </c>
      <c r="IA76" s="1016" t="s">
        <v>411</v>
      </c>
      <c r="IH76" s="1021">
        <v>260</v>
      </c>
      <c r="II76" s="1016" t="s">
        <v>411</v>
      </c>
    </row>
    <row r="77" spans="1:249">
      <c r="A77" s="595"/>
      <c r="B77" s="598"/>
      <c r="C77" s="599"/>
      <c r="G77" s="1027" t="s">
        <v>468</v>
      </c>
      <c r="H77" s="1004"/>
      <c r="I77" s="1021">
        <f>'Obras - Operação'!$H$198</f>
        <v>150</v>
      </c>
      <c r="J77" s="1016" t="s">
        <v>411</v>
      </c>
      <c r="R77" s="1021">
        <v>150</v>
      </c>
      <c r="S77" s="1016" t="s">
        <v>411</v>
      </c>
      <c r="Z77" s="1021">
        <v>150</v>
      </c>
      <c r="AA77" s="1016" t="s">
        <v>411</v>
      </c>
      <c r="AH77" s="1021">
        <v>150</v>
      </c>
      <c r="AI77" s="1016" t="s">
        <v>411</v>
      </c>
      <c r="AP77" s="1021">
        <v>150</v>
      </c>
      <c r="AQ77" s="1016" t="s">
        <v>411</v>
      </c>
      <c r="AX77" s="1021">
        <v>150</v>
      </c>
      <c r="AY77" s="1016" t="s">
        <v>411</v>
      </c>
      <c r="BF77" s="1021">
        <v>150</v>
      </c>
      <c r="BG77" s="1016" t="s">
        <v>411</v>
      </c>
      <c r="BN77" s="1021">
        <v>150</v>
      </c>
      <c r="BO77" s="1016" t="s">
        <v>411</v>
      </c>
      <c r="BV77" s="1021">
        <v>150</v>
      </c>
      <c r="BW77" s="1016" t="s">
        <v>411</v>
      </c>
      <c r="CD77" s="1021">
        <v>150</v>
      </c>
      <c r="CE77" s="1016" t="s">
        <v>411</v>
      </c>
      <c r="CL77" s="1021">
        <v>150</v>
      </c>
      <c r="CM77" s="1016" t="s">
        <v>411</v>
      </c>
      <c r="CT77" s="1021">
        <f>'Obras - Operação'!$H$198</f>
        <v>150</v>
      </c>
      <c r="CU77" s="1016" t="s">
        <v>411</v>
      </c>
      <c r="DB77" s="1021">
        <f>'Obras - Operação'!$H$198</f>
        <v>150</v>
      </c>
      <c r="DC77" s="1016" t="s">
        <v>411</v>
      </c>
      <c r="DJ77" s="1021">
        <f>'Obras - Operação'!$H$198</f>
        <v>150</v>
      </c>
      <c r="DK77" s="1016" t="s">
        <v>411</v>
      </c>
      <c r="DR77" s="1021">
        <f>'Obras - Operação'!$H$198</f>
        <v>150</v>
      </c>
      <c r="DS77" s="1016" t="s">
        <v>411</v>
      </c>
      <c r="DZ77" s="1021">
        <f>'Obras - Operação'!$H$198</f>
        <v>150</v>
      </c>
      <c r="EA77" s="1016" t="s">
        <v>411</v>
      </c>
      <c r="EH77" s="1021">
        <f>'Obras - Operação'!$H$198</f>
        <v>150</v>
      </c>
      <c r="EI77" s="1016" t="s">
        <v>411</v>
      </c>
      <c r="EP77" s="1021">
        <f>'Obras - Operação'!$H$198</f>
        <v>150</v>
      </c>
      <c r="EQ77" s="1016" t="s">
        <v>411</v>
      </c>
      <c r="EX77" s="1021">
        <f>'Obras - Operação'!$H$198</f>
        <v>150</v>
      </c>
      <c r="EY77" s="1016" t="s">
        <v>411</v>
      </c>
      <c r="FF77" s="1021">
        <f>'Obras - Operação'!$H$198</f>
        <v>150</v>
      </c>
      <c r="FG77" s="1016" t="s">
        <v>411</v>
      </c>
      <c r="FN77" s="1021">
        <f>'Obras - Operação'!$H$198</f>
        <v>150</v>
      </c>
      <c r="FO77" s="1016" t="s">
        <v>411</v>
      </c>
      <c r="FV77" s="1021">
        <v>150</v>
      </c>
      <c r="FW77" s="1016" t="s">
        <v>411</v>
      </c>
      <c r="GD77" s="1021">
        <v>150</v>
      </c>
      <c r="GE77" s="1016" t="s">
        <v>411</v>
      </c>
      <c r="GL77" s="1021">
        <v>150</v>
      </c>
      <c r="GM77" s="1016" t="s">
        <v>411</v>
      </c>
      <c r="GT77" s="1021">
        <v>150</v>
      </c>
      <c r="GU77" s="1016" t="s">
        <v>411</v>
      </c>
      <c r="HB77" s="1021">
        <v>150</v>
      </c>
      <c r="HC77" s="1016" t="s">
        <v>411</v>
      </c>
      <c r="HJ77" s="1021">
        <v>150</v>
      </c>
      <c r="HK77" s="1016" t="s">
        <v>411</v>
      </c>
      <c r="HR77" s="1021">
        <v>150</v>
      </c>
      <c r="HS77" s="1016" t="s">
        <v>411</v>
      </c>
      <c r="HZ77" s="1021">
        <v>150</v>
      </c>
      <c r="IA77" s="1016" t="s">
        <v>411</v>
      </c>
      <c r="IH77" s="1021">
        <v>150</v>
      </c>
      <c r="II77" s="1016" t="s">
        <v>411</v>
      </c>
    </row>
    <row r="78" spans="1:249">
      <c r="A78" s="595"/>
      <c r="B78" s="598"/>
      <c r="C78" s="599"/>
      <c r="G78" s="1027" t="s">
        <v>469</v>
      </c>
      <c r="H78" s="1004"/>
      <c r="I78" s="1021">
        <v>150</v>
      </c>
      <c r="J78" s="1016" t="s">
        <v>411</v>
      </c>
      <c r="R78" s="1021">
        <v>150</v>
      </c>
      <c r="S78" s="1016" t="s">
        <v>411</v>
      </c>
      <c r="Z78" s="1021">
        <v>150</v>
      </c>
      <c r="AA78" s="1016" t="s">
        <v>411</v>
      </c>
      <c r="AH78" s="1021">
        <v>150</v>
      </c>
      <c r="AI78" s="1016" t="s">
        <v>411</v>
      </c>
      <c r="AP78" s="1021">
        <v>150</v>
      </c>
      <c r="AQ78" s="1016" t="s">
        <v>411</v>
      </c>
      <c r="AX78" s="1021">
        <v>150</v>
      </c>
      <c r="AY78" s="1016" t="s">
        <v>411</v>
      </c>
      <c r="BF78" s="1021">
        <v>150</v>
      </c>
      <c r="BG78" s="1016" t="s">
        <v>411</v>
      </c>
      <c r="BN78" s="1021">
        <v>150</v>
      </c>
      <c r="BO78" s="1016" t="s">
        <v>411</v>
      </c>
      <c r="BV78" s="1021">
        <v>150</v>
      </c>
      <c r="BW78" s="1016" t="s">
        <v>411</v>
      </c>
      <c r="CD78" s="1021">
        <v>150</v>
      </c>
      <c r="CE78" s="1016" t="s">
        <v>411</v>
      </c>
      <c r="CL78" s="1021">
        <v>150</v>
      </c>
      <c r="CM78" s="1016" t="s">
        <v>411</v>
      </c>
      <c r="CT78" s="1021">
        <v>150</v>
      </c>
      <c r="CU78" s="1016" t="s">
        <v>411</v>
      </c>
      <c r="DB78" s="1021">
        <v>150</v>
      </c>
      <c r="DC78" s="1016" t="s">
        <v>411</v>
      </c>
      <c r="DJ78" s="1021">
        <v>150</v>
      </c>
      <c r="DK78" s="1016" t="s">
        <v>411</v>
      </c>
      <c r="DR78" s="1021">
        <v>150</v>
      </c>
      <c r="DS78" s="1016" t="s">
        <v>411</v>
      </c>
      <c r="DZ78" s="1021">
        <v>150</v>
      </c>
      <c r="EA78" s="1016" t="s">
        <v>411</v>
      </c>
      <c r="EH78" s="1021">
        <v>150</v>
      </c>
      <c r="EI78" s="1016" t="s">
        <v>411</v>
      </c>
      <c r="EP78" s="1021">
        <v>150</v>
      </c>
      <c r="EQ78" s="1016" t="s">
        <v>411</v>
      </c>
      <c r="EX78" s="1021">
        <v>150</v>
      </c>
      <c r="EY78" s="1016" t="s">
        <v>411</v>
      </c>
      <c r="FF78" s="1021">
        <v>150</v>
      </c>
      <c r="FG78" s="1016" t="s">
        <v>411</v>
      </c>
      <c r="FN78" s="1021">
        <v>150</v>
      </c>
      <c r="FO78" s="1016" t="s">
        <v>411</v>
      </c>
      <c r="FV78" s="1021">
        <v>150</v>
      </c>
      <c r="FW78" s="1016" t="s">
        <v>411</v>
      </c>
      <c r="GD78" s="1021">
        <v>150</v>
      </c>
      <c r="GE78" s="1016" t="s">
        <v>411</v>
      </c>
      <c r="GL78" s="1021">
        <v>150</v>
      </c>
      <c r="GM78" s="1016" t="s">
        <v>411</v>
      </c>
      <c r="GT78" s="1021">
        <v>150</v>
      </c>
      <c r="GU78" s="1016" t="s">
        <v>411</v>
      </c>
      <c r="HB78" s="1021">
        <v>150</v>
      </c>
      <c r="HC78" s="1016" t="s">
        <v>411</v>
      </c>
      <c r="HJ78" s="1021">
        <v>150</v>
      </c>
      <c r="HK78" s="1016" t="s">
        <v>411</v>
      </c>
      <c r="HR78" s="1021">
        <v>150</v>
      </c>
      <c r="HS78" s="1016" t="s">
        <v>411</v>
      </c>
      <c r="HZ78" s="1021">
        <v>150</v>
      </c>
      <c r="IA78" s="1016" t="s">
        <v>411</v>
      </c>
      <c r="IH78" s="1021">
        <v>150</v>
      </c>
      <c r="II78" s="1016" t="s">
        <v>411</v>
      </c>
    </row>
    <row r="79" spans="1:249">
      <c r="A79" s="595"/>
      <c r="B79" s="598"/>
      <c r="C79" s="599"/>
      <c r="G79" s="1027" t="s">
        <v>470</v>
      </c>
      <c r="H79" s="1004"/>
      <c r="I79" s="1008">
        <f>SUM(I74:I78)</f>
        <v>2160</v>
      </c>
      <c r="J79" s="1016" t="s">
        <v>411</v>
      </c>
      <c r="R79" s="1008">
        <f>SUM(R74:R78)</f>
        <v>2160</v>
      </c>
      <c r="S79" s="1016" t="s">
        <v>411</v>
      </c>
      <c r="Z79" s="1008">
        <f>SUM(Z74:Z78)</f>
        <v>2160</v>
      </c>
      <c r="AA79" s="1016" t="s">
        <v>411</v>
      </c>
      <c r="AH79" s="1008">
        <f>SUM(AH74:AH78)</f>
        <v>2160</v>
      </c>
      <c r="AI79" s="1016" t="s">
        <v>411</v>
      </c>
      <c r="AP79" s="1008">
        <f>SUM(AP74:AP78)</f>
        <v>2160</v>
      </c>
      <c r="AQ79" s="1016" t="s">
        <v>411</v>
      </c>
      <c r="AX79" s="1008">
        <f>SUM(AX74:AX78)</f>
        <v>2160</v>
      </c>
      <c r="AY79" s="1016" t="s">
        <v>411</v>
      </c>
      <c r="BF79" s="1008">
        <f>SUM(BF74:BF78)</f>
        <v>2160</v>
      </c>
      <c r="BG79" s="1016" t="s">
        <v>411</v>
      </c>
      <c r="BN79" s="1008">
        <f>SUM(BN74:BN78)</f>
        <v>2160</v>
      </c>
      <c r="BO79" s="1016" t="s">
        <v>411</v>
      </c>
      <c r="BV79" s="1008">
        <f>SUM(BV74:BV78)</f>
        <v>2160</v>
      </c>
      <c r="BW79" s="1016" t="s">
        <v>411</v>
      </c>
      <c r="CD79" s="1008">
        <f>SUM(CD74:CD78)</f>
        <v>2160</v>
      </c>
      <c r="CE79" s="1016" t="s">
        <v>411</v>
      </c>
      <c r="CL79" s="1008">
        <v>3530</v>
      </c>
      <c r="CM79" s="1016" t="s">
        <v>411</v>
      </c>
      <c r="CT79" s="1008">
        <v>3530</v>
      </c>
      <c r="CU79" s="1016" t="s">
        <v>411</v>
      </c>
      <c r="DB79" s="1008">
        <v>3530</v>
      </c>
      <c r="DC79" s="1016" t="s">
        <v>411</v>
      </c>
      <c r="DJ79" s="1008">
        <v>3530</v>
      </c>
      <c r="DK79" s="1016" t="s">
        <v>411</v>
      </c>
      <c r="DR79" s="1008">
        <v>3530</v>
      </c>
      <c r="DS79" s="1016" t="s">
        <v>411</v>
      </c>
      <c r="DZ79" s="1008">
        <v>3530</v>
      </c>
      <c r="EA79" s="1016" t="s">
        <v>411</v>
      </c>
      <c r="EH79" s="1008">
        <v>3530</v>
      </c>
      <c r="EI79" s="1016" t="s">
        <v>411</v>
      </c>
      <c r="EP79" s="1008">
        <f>SUM(EP74:EP78)</f>
        <v>2160</v>
      </c>
      <c r="EQ79" s="1016" t="s">
        <v>411</v>
      </c>
      <c r="EX79" s="1008">
        <f>SUM(EX74:EX78)</f>
        <v>2160</v>
      </c>
      <c r="EY79" s="1016" t="s">
        <v>411</v>
      </c>
      <c r="FF79" s="1028">
        <f>SUM(FF74:FF78)</f>
        <v>2160</v>
      </c>
      <c r="FG79" s="1016" t="s">
        <v>411</v>
      </c>
      <c r="FN79" s="1008">
        <f>SUM(FN74:FN78)</f>
        <v>2160</v>
      </c>
      <c r="FO79" s="1016" t="s">
        <v>411</v>
      </c>
      <c r="FV79" s="1008">
        <f>SUM(FV74:FV78)</f>
        <v>2160</v>
      </c>
      <c r="FW79" s="1016" t="s">
        <v>411</v>
      </c>
      <c r="GD79" s="1008">
        <f>SUM(GD74:GD78)</f>
        <v>2160</v>
      </c>
      <c r="GE79" s="1016" t="s">
        <v>411</v>
      </c>
      <c r="GL79" s="1008">
        <f>SUM(GL74:GL78)</f>
        <v>2160</v>
      </c>
      <c r="GM79" s="1016" t="s">
        <v>411</v>
      </c>
      <c r="GT79" s="1008">
        <f>SUM(GT74:GT78)</f>
        <v>2160</v>
      </c>
      <c r="GU79" s="1016" t="s">
        <v>411</v>
      </c>
      <c r="HB79" s="1008">
        <f>SUM(HB74:HB78)</f>
        <v>2160</v>
      </c>
      <c r="HC79" s="1016" t="s">
        <v>411</v>
      </c>
      <c r="HJ79" s="1008">
        <f>SUM(HJ74:HJ78)</f>
        <v>2160</v>
      </c>
      <c r="HK79" s="1016" t="s">
        <v>411</v>
      </c>
      <c r="HR79" s="1008">
        <f>SUM(HR74:HR78)</f>
        <v>2160</v>
      </c>
      <c r="HS79" s="1016" t="s">
        <v>411</v>
      </c>
      <c r="HZ79" s="1008">
        <f>SUM(HZ74:HZ78)</f>
        <v>2160</v>
      </c>
      <c r="IA79" s="1016" t="s">
        <v>411</v>
      </c>
      <c r="IH79" s="1008">
        <f>SUM(IH74:IH78)</f>
        <v>2160</v>
      </c>
      <c r="II79" s="1016" t="s">
        <v>411</v>
      </c>
    </row>
    <row r="80" spans="1:249">
      <c r="A80" s="595"/>
      <c r="B80" s="598"/>
      <c r="C80" s="599"/>
      <c r="G80" s="520"/>
    </row>
    <row r="81" spans="1:8">
      <c r="A81" s="595"/>
      <c r="B81" s="598"/>
      <c r="C81" s="599"/>
      <c r="G81" s="520"/>
    </row>
    <row r="82" spans="1:8">
      <c r="A82" s="595"/>
      <c r="B82" s="598"/>
      <c r="C82" s="599"/>
      <c r="G82" s="520"/>
      <c r="H82" s="532"/>
    </row>
    <row r="83" spans="1:8">
      <c r="A83" s="595"/>
      <c r="B83" s="598"/>
      <c r="C83" s="599"/>
      <c r="G83" s="520"/>
      <c r="H83" s="533"/>
    </row>
    <row r="84" spans="1:8">
      <c r="A84" s="595"/>
      <c r="B84" s="598"/>
      <c r="C84" s="599"/>
      <c r="G84" s="520"/>
    </row>
    <row r="85" spans="1:8">
      <c r="A85" s="595"/>
      <c r="B85" s="598"/>
      <c r="C85" s="599"/>
      <c r="G85" s="520"/>
    </row>
    <row r="86" spans="1:8">
      <c r="A86" s="595"/>
      <c r="B86" s="598"/>
      <c r="C86" s="599"/>
      <c r="G86" s="520"/>
    </row>
    <row r="87" spans="1:8">
      <c r="A87" s="595"/>
      <c r="B87" s="598"/>
      <c r="C87" s="599"/>
      <c r="G87" s="520"/>
    </row>
    <row r="88" spans="1:8">
      <c r="A88" s="595"/>
      <c r="B88" s="598"/>
      <c r="C88" s="599"/>
      <c r="G88" s="520"/>
    </row>
    <row r="89" spans="1:8">
      <c r="A89" s="595"/>
      <c r="B89" s="598"/>
      <c r="C89" s="599"/>
      <c r="G89" s="520"/>
    </row>
    <row r="90" spans="1:8">
      <c r="A90" s="595"/>
      <c r="B90" s="598"/>
      <c r="C90" s="599"/>
      <c r="G90" s="520"/>
    </row>
    <row r="91" spans="1:8">
      <c r="A91" s="595"/>
      <c r="B91" s="598"/>
      <c r="C91" s="599"/>
      <c r="G91" s="520"/>
    </row>
    <row r="92" spans="1:8">
      <c r="A92" s="595"/>
      <c r="B92" s="598"/>
      <c r="C92" s="599"/>
      <c r="G92" s="520"/>
    </row>
    <row r="93" spans="1:8">
      <c r="A93" s="595"/>
      <c r="B93" s="598"/>
      <c r="C93" s="599"/>
      <c r="G93" s="520"/>
    </row>
    <row r="94" spans="1:8">
      <c r="A94" s="595"/>
      <c r="B94" s="598"/>
      <c r="C94" s="599"/>
      <c r="G94" s="520"/>
    </row>
    <row r="95" spans="1:8">
      <c r="A95" s="595"/>
      <c r="B95" s="598"/>
      <c r="C95" s="599"/>
      <c r="G95" s="520"/>
    </row>
    <row r="96" spans="1:8">
      <c r="A96" s="595"/>
      <c r="B96" s="598"/>
      <c r="C96" s="599"/>
      <c r="G96" s="520"/>
    </row>
    <row r="97" spans="1:7">
      <c r="A97" s="595"/>
      <c r="B97" s="598"/>
      <c r="C97" s="599"/>
      <c r="G97" s="520"/>
    </row>
    <row r="98" spans="1:7">
      <c r="A98" s="595"/>
      <c r="B98" s="242"/>
      <c r="C98" s="599"/>
      <c r="G98" s="520"/>
    </row>
    <row r="99" spans="1:7">
      <c r="A99" s="595"/>
      <c r="B99" s="242"/>
      <c r="C99" s="599"/>
      <c r="G99" s="520"/>
    </row>
    <row r="100" spans="1:7">
      <c r="A100" s="595"/>
      <c r="B100" s="242"/>
      <c r="C100" s="599"/>
      <c r="G100" s="520"/>
    </row>
    <row r="101" spans="1:7">
      <c r="A101" s="595"/>
      <c r="B101" s="242"/>
      <c r="C101" s="599"/>
      <c r="G101" s="520"/>
    </row>
    <row r="102" spans="1:7">
      <c r="A102" s="595"/>
      <c r="B102" s="242"/>
      <c r="C102" s="599"/>
      <c r="G102" s="520"/>
    </row>
    <row r="103" spans="1:7">
      <c r="A103" s="595"/>
      <c r="B103" s="242"/>
      <c r="C103" s="599"/>
      <c r="G103" s="520"/>
    </row>
    <row r="104" spans="1:7">
      <c r="A104" s="595"/>
      <c r="B104" s="242"/>
      <c r="C104" s="599"/>
      <c r="G104" s="520"/>
    </row>
    <row r="105" spans="1:7">
      <c r="A105" s="595"/>
      <c r="B105" s="242"/>
      <c r="C105" s="599"/>
      <c r="G105" s="520"/>
    </row>
    <row r="106" spans="1:7">
      <c r="A106" s="595"/>
      <c r="B106" s="242"/>
      <c r="C106" s="599"/>
      <c r="G106" s="520"/>
    </row>
    <row r="107" spans="1:7">
      <c r="A107" s="595"/>
      <c r="B107" s="242"/>
      <c r="C107" s="243"/>
      <c r="G107" s="520"/>
    </row>
    <row r="108" spans="1:7">
      <c r="A108" s="595"/>
      <c r="B108" s="242"/>
      <c r="C108" s="243"/>
      <c r="G108" s="520"/>
    </row>
    <row r="109" spans="1:7">
      <c r="A109" s="595"/>
      <c r="B109" s="242"/>
      <c r="C109" s="243"/>
      <c r="G109" s="520"/>
    </row>
    <row r="110" spans="1:7">
      <c r="A110" s="595"/>
      <c r="B110" s="242"/>
      <c r="C110" s="243"/>
      <c r="G110" s="520"/>
    </row>
    <row r="111" spans="1:7">
      <c r="A111" s="595"/>
      <c r="B111" s="242"/>
      <c r="C111" s="243"/>
      <c r="G111" s="520"/>
    </row>
    <row r="112" spans="1:7">
      <c r="A112" s="595"/>
      <c r="B112" s="242"/>
      <c r="C112" s="243"/>
      <c r="G112" s="520"/>
    </row>
    <row r="113" spans="1:3">
      <c r="A113" s="595"/>
      <c r="B113" s="242"/>
      <c r="C113" s="243"/>
    </row>
    <row r="114" spans="1:3">
      <c r="A114" s="595"/>
      <c r="B114" s="242"/>
      <c r="C114" s="243"/>
    </row>
    <row r="115" spans="1:3">
      <c r="A115" s="595"/>
      <c r="B115" s="242"/>
      <c r="C115" s="243"/>
    </row>
    <row r="116" spans="1:3">
      <c r="A116" s="595"/>
      <c r="B116" s="242"/>
      <c r="C116" s="243"/>
    </row>
    <row r="117" spans="1:3">
      <c r="A117" s="595"/>
      <c r="B117" s="242"/>
      <c r="C117" s="243"/>
    </row>
    <row r="118" spans="1:3">
      <c r="A118" s="595"/>
      <c r="B118" s="242"/>
      <c r="C118" s="243"/>
    </row>
    <row r="119" spans="1:3">
      <c r="A119" s="595"/>
      <c r="B119" s="242"/>
      <c r="C119" s="243"/>
    </row>
    <row r="120" spans="1:3">
      <c r="A120" s="595"/>
      <c r="B120" s="242"/>
      <c r="C120" s="243"/>
    </row>
    <row r="121" spans="1:3">
      <c r="A121" s="595"/>
      <c r="B121" s="242"/>
      <c r="C121" s="243"/>
    </row>
    <row r="122" spans="1:3">
      <c r="A122" s="595"/>
      <c r="B122" s="242"/>
      <c r="C122" s="243"/>
    </row>
    <row r="123" spans="1:3">
      <c r="A123" s="595"/>
      <c r="B123" s="242"/>
      <c r="C123" s="243"/>
    </row>
    <row r="124" spans="1:3">
      <c r="A124" s="595"/>
      <c r="B124" s="242"/>
      <c r="C124" s="243"/>
    </row>
    <row r="125" spans="1:3">
      <c r="A125" s="595"/>
      <c r="B125" s="242"/>
      <c r="C125" s="243"/>
    </row>
    <row r="126" spans="1:3">
      <c r="A126" s="595"/>
      <c r="B126" s="242"/>
      <c r="C126" s="243"/>
    </row>
    <row r="127" spans="1:3">
      <c r="A127" s="595"/>
      <c r="B127" s="242"/>
      <c r="C127" s="243"/>
    </row>
    <row r="128" spans="1:3">
      <c r="A128" s="595"/>
      <c r="B128" s="242"/>
      <c r="C128" s="243"/>
    </row>
    <row r="129" spans="1:3">
      <c r="A129" s="595"/>
      <c r="B129" s="242"/>
      <c r="C129" s="243"/>
    </row>
    <row r="130" spans="1:3">
      <c r="A130" s="595"/>
      <c r="B130" s="242"/>
      <c r="C130" s="243"/>
    </row>
    <row r="131" spans="1:3">
      <c r="A131" s="595"/>
      <c r="B131" s="242"/>
      <c r="C131" s="243"/>
    </row>
    <row r="132" spans="1:3">
      <c r="A132" s="595"/>
      <c r="B132" s="242"/>
      <c r="C132" s="243"/>
    </row>
    <row r="133" spans="1:3">
      <c r="A133" s="595"/>
      <c r="B133" s="242"/>
      <c r="C133" s="243"/>
    </row>
    <row r="134" spans="1:3">
      <c r="A134" s="595"/>
      <c r="B134" s="242"/>
      <c r="C134" s="243"/>
    </row>
    <row r="135" spans="1:3">
      <c r="A135" s="595"/>
      <c r="B135" s="242"/>
      <c r="C135" s="243"/>
    </row>
    <row r="136" spans="1:3">
      <c r="A136" s="595"/>
      <c r="B136" s="242"/>
      <c r="C136" s="243"/>
    </row>
    <row r="137" spans="1:3">
      <c r="A137" s="595"/>
      <c r="B137" s="242"/>
      <c r="C137" s="243"/>
    </row>
    <row r="138" spans="1:3">
      <c r="A138" s="595"/>
      <c r="B138" s="242"/>
      <c r="C138" s="243"/>
    </row>
    <row r="139" spans="1:3">
      <c r="A139" s="595"/>
      <c r="B139" s="242"/>
      <c r="C139" s="243"/>
    </row>
    <row r="140" spans="1:3">
      <c r="A140" s="595"/>
      <c r="B140" s="242"/>
      <c r="C140" s="243"/>
    </row>
    <row r="141" spans="1:3">
      <c r="A141" s="595"/>
      <c r="B141" s="242"/>
      <c r="C141" s="243"/>
    </row>
    <row r="142" spans="1:3">
      <c r="A142" s="595"/>
      <c r="B142" s="242"/>
      <c r="C142" s="243"/>
    </row>
    <row r="143" spans="1:3">
      <c r="A143" s="595"/>
      <c r="B143" s="242"/>
      <c r="C143" s="243"/>
    </row>
    <row r="144" spans="1:3">
      <c r="A144" s="595"/>
      <c r="B144" s="242"/>
      <c r="C144" s="243"/>
    </row>
    <row r="145" spans="1:3">
      <c r="A145" s="595"/>
      <c r="B145" s="242"/>
      <c r="C145" s="243"/>
    </row>
  </sheetData>
  <mergeCells count="155">
    <mergeCell ref="HB4:HI4"/>
    <mergeCell ref="HB5:HI5"/>
    <mergeCell ref="HB6:HC6"/>
    <mergeCell ref="HD6:HE6"/>
    <mergeCell ref="HF6:HG6"/>
    <mergeCell ref="EX4:FE4"/>
    <mergeCell ref="EX5:FE5"/>
    <mergeCell ref="EX6:EY6"/>
    <mergeCell ref="EZ6:FA6"/>
    <mergeCell ref="FB6:FC6"/>
    <mergeCell ref="FF4:FM4"/>
    <mergeCell ref="FF5:FM5"/>
    <mergeCell ref="FF6:FG6"/>
    <mergeCell ref="FH6:FI6"/>
    <mergeCell ref="FJ6:FK6"/>
    <mergeCell ref="FN4:FU4"/>
    <mergeCell ref="FN5:FU5"/>
    <mergeCell ref="FN6:FO6"/>
    <mergeCell ref="FP6:FQ6"/>
    <mergeCell ref="FR6:FS6"/>
    <mergeCell ref="GD4:GK4"/>
    <mergeCell ref="GD5:GK5"/>
    <mergeCell ref="GD6:GE6"/>
    <mergeCell ref="GF6:GG6"/>
    <mergeCell ref="CL4:CS4"/>
    <mergeCell ref="EP4:EW4"/>
    <mergeCell ref="Z4:AG4"/>
    <mergeCell ref="AP4:AW4"/>
    <mergeCell ref="BV4:CC4"/>
    <mergeCell ref="CT4:DA4"/>
    <mergeCell ref="DJ4:DQ4"/>
    <mergeCell ref="DZ4:EG4"/>
    <mergeCell ref="CP6:CQ6"/>
    <mergeCell ref="EP5:EW5"/>
    <mergeCell ref="AX6:AY6"/>
    <mergeCell ref="AZ6:BA6"/>
    <mergeCell ref="BB6:BC6"/>
    <mergeCell ref="AX5:BE5"/>
    <mergeCell ref="BF5:BM5"/>
    <mergeCell ref="CL5:CS5"/>
    <mergeCell ref="BF6:BG6"/>
    <mergeCell ref="BH6:BI6"/>
    <mergeCell ref="BJ6:BK6"/>
    <mergeCell ref="CL6:CM6"/>
    <mergeCell ref="CN6:CO6"/>
    <mergeCell ref="EP6:EQ6"/>
    <mergeCell ref="ER6:ES6"/>
    <mergeCell ref="ET6:EU6"/>
    <mergeCell ref="I4:Q4"/>
    <mergeCell ref="D4:D7"/>
    <mergeCell ref="E4:E7"/>
    <mergeCell ref="F4:F7"/>
    <mergeCell ref="G4:G7"/>
    <mergeCell ref="H4:H7"/>
    <mergeCell ref="R4:Y4"/>
    <mergeCell ref="AX4:BE4"/>
    <mergeCell ref="BF4:BM4"/>
    <mergeCell ref="I6:J6"/>
    <mergeCell ref="K6:L6"/>
    <mergeCell ref="M6:N6"/>
    <mergeCell ref="R6:S6"/>
    <mergeCell ref="T6:U6"/>
    <mergeCell ref="V6:W6"/>
    <mergeCell ref="I5:Q5"/>
    <mergeCell ref="R5:Y5"/>
    <mergeCell ref="Z5:AG5"/>
    <mergeCell ref="Z6:AA6"/>
    <mergeCell ref="AB6:AC6"/>
    <mergeCell ref="AD6:AE6"/>
    <mergeCell ref="AH4:AO4"/>
    <mergeCell ref="AH5:AO5"/>
    <mergeCell ref="AH6:AI6"/>
    <mergeCell ref="AJ6:AK6"/>
    <mergeCell ref="AL6:AM6"/>
    <mergeCell ref="AP5:AW5"/>
    <mergeCell ref="AP6:AQ6"/>
    <mergeCell ref="AR6:AS6"/>
    <mergeCell ref="AT6:AU6"/>
    <mergeCell ref="BN4:BU4"/>
    <mergeCell ref="BN5:BU5"/>
    <mergeCell ref="BN6:BO6"/>
    <mergeCell ref="BP6:BQ6"/>
    <mergeCell ref="BR6:BS6"/>
    <mergeCell ref="BV5:CC5"/>
    <mergeCell ref="BV6:BW6"/>
    <mergeCell ref="BX6:BY6"/>
    <mergeCell ref="BZ6:CA6"/>
    <mergeCell ref="CD4:CK4"/>
    <mergeCell ref="CD5:CK5"/>
    <mergeCell ref="CD6:CE6"/>
    <mergeCell ref="CF6:CG6"/>
    <mergeCell ref="CH6:CI6"/>
    <mergeCell ref="CT5:DA5"/>
    <mergeCell ref="CT6:CU6"/>
    <mergeCell ref="CV6:CW6"/>
    <mergeCell ref="CX6:CY6"/>
    <mergeCell ref="DB4:DI4"/>
    <mergeCell ref="DB5:DI5"/>
    <mergeCell ref="DB6:DC6"/>
    <mergeCell ref="DD6:DE6"/>
    <mergeCell ref="DF6:DG6"/>
    <mergeCell ref="DJ5:DQ5"/>
    <mergeCell ref="DJ6:DK6"/>
    <mergeCell ref="DL6:DM6"/>
    <mergeCell ref="DN6:DO6"/>
    <mergeCell ref="DR4:DY4"/>
    <mergeCell ref="DR5:DY5"/>
    <mergeCell ref="DR6:DS6"/>
    <mergeCell ref="DT6:DU6"/>
    <mergeCell ref="DV6:DW6"/>
    <mergeCell ref="DZ5:EG5"/>
    <mergeCell ref="DZ6:EA6"/>
    <mergeCell ref="EB6:EC6"/>
    <mergeCell ref="ED6:EE6"/>
    <mergeCell ref="EH4:EO4"/>
    <mergeCell ref="EH5:EO5"/>
    <mergeCell ref="EH6:EI6"/>
    <mergeCell ref="EJ6:EK6"/>
    <mergeCell ref="EL6:EM6"/>
    <mergeCell ref="GH6:GI6"/>
    <mergeCell ref="FV4:GC4"/>
    <mergeCell ref="FV5:GC5"/>
    <mergeCell ref="FV6:FW6"/>
    <mergeCell ref="FX6:FY6"/>
    <mergeCell ref="FZ6:GA6"/>
    <mergeCell ref="GT4:HA4"/>
    <mergeCell ref="GT5:HA5"/>
    <mergeCell ref="GT6:GU6"/>
    <mergeCell ref="GV6:GW6"/>
    <mergeCell ref="GX6:GY6"/>
    <mergeCell ref="GL4:GS4"/>
    <mergeCell ref="GL5:GS5"/>
    <mergeCell ref="GL6:GM6"/>
    <mergeCell ref="GN6:GO6"/>
    <mergeCell ref="GP6:GQ6"/>
    <mergeCell ref="HR4:HY4"/>
    <mergeCell ref="HR5:HY5"/>
    <mergeCell ref="HR6:HS6"/>
    <mergeCell ref="HT6:HU6"/>
    <mergeCell ref="HV6:HW6"/>
    <mergeCell ref="HJ4:HQ4"/>
    <mergeCell ref="HJ5:HQ5"/>
    <mergeCell ref="HJ6:HK6"/>
    <mergeCell ref="HL6:HM6"/>
    <mergeCell ref="HN6:HO6"/>
    <mergeCell ref="IH4:IO4"/>
    <mergeCell ref="IH5:IO5"/>
    <mergeCell ref="IH6:II6"/>
    <mergeCell ref="IJ6:IK6"/>
    <mergeCell ref="IL6:IM6"/>
    <mergeCell ref="HZ4:IG4"/>
    <mergeCell ref="HZ5:IG5"/>
    <mergeCell ref="HZ6:IA6"/>
    <mergeCell ref="IB6:IC6"/>
    <mergeCell ref="ID6:IE6"/>
  </mergeCells>
  <printOptions horizontalCentered="1"/>
  <pageMargins left="0.98425196850393704" right="0.78740157480314965" top="0.98425196850393704" bottom="0.98425196850393704" header="0.51181102362204722" footer="0.51181102362204722"/>
  <pageSetup paperSize="9" scale="78" fitToHeight="3" orientation="portrait" r:id="rId1"/>
  <headerFooter alignWithMargins="0"/>
  <ignoredErrors>
    <ignoredError sqref="EP72:EW72 EP80:EW120 O74:Q75 O76:Q78 P73:Q73 BD74:BE78 BD73:BE73 BD79:BE79 AY74:AY75 AY79 BG74:BG75 BG79 CQ73:CS73 CQ74:CS78 CQ79:CS79 CM74:CM78 CM79 EQ74:EQ78 EQ79 EV73:EW73 EV74:EW78 EV79:EW79 AY76:AY78 BG76:BG78 BL76:BM78 BL73:BM73 BL74:BM75 BL79:BM79 AX35:AX42 EP35:EW42 AX56 EP56:EW56 EQ65:EW65 AX61:AX63 AX59 EP61:EW63 CL59:CM59 EP59:EQ59 ET59:EW59 AX67:AX70 EP67:EW70 AX44:AX54 EP44:EW54 AX58 BA58 AX57 AX60 BA57 BC57:BG57 BA60 BC60:BG60 BC58:BG58 CL57:CM57 CL60:CM60 CL58:CM58 EP57:EQ57 EP60:EQ60 EP58:EQ58 ES57:EW57 ES60:EW60 ES58:EW58 AY73 BG73 CM73 EQ73 BE59:BG59 M59:P59 BC59 BB59 BD59 M60:Q63 M58:Q58 M44:Q54 M67:Q70 M65:Q65 M56:Q57 M35:Q42 O79:Q79 M80:Q120 M72:Q72 BI58:BM58 BI60:BM60 BI57:BM57 AZ44:BM54 AZ67:BM70 BJ59:BM59 AZ61:BM63 AZ65:BE65 AZ56:BM56 AZ35:BM42 AP80:BM120 AX72:BM72 CO58:CS58 CO60:CS60 CO57:CS57 CL44:CS54 CL67:CS70 CP59:CS59 CL61:CS63 CL65:CS65 CL56:CS56 CL35:CS42 CL80:CS120 CL72:CS72 BG65:BM65 M71:N71 P71:Q71 AX71:BC71 BE71:BK71 BM71 CL71:CQ71 CS71 EP71:EU71 EW71" formula="1"/>
    <ignoredError sqref="E67 E41 E33 E37 E27:E28 E51 E56 E61 E69 E71:E72" numberStoredAsText="1"/>
  </ignoredErrors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8">
    <tabColor theme="9" tint="-0.499984740745262"/>
  </sheetPr>
  <dimension ref="A1:BB257"/>
  <sheetViews>
    <sheetView workbookViewId="0">
      <selection activeCell="A7" sqref="A7:XFD109"/>
    </sheetView>
  </sheetViews>
  <sheetFormatPr defaultRowHeight="12.75"/>
  <cols>
    <col min="1" max="1" width="2.85546875" style="603" customWidth="1"/>
    <col min="2" max="3" width="2.85546875" style="343" customWidth="1"/>
    <col min="4" max="4" width="8.140625" style="343" customWidth="1"/>
    <col min="5" max="5" width="45.140625" style="343" customWidth="1"/>
    <col min="6" max="11" width="9.140625" style="343"/>
    <col min="12" max="12" width="11.7109375" style="343" bestFit="1" customWidth="1"/>
    <col min="13" max="13" width="9.140625" style="343"/>
    <col min="14" max="14" width="10" style="343" bestFit="1" customWidth="1"/>
    <col min="15" max="18" width="9.140625" style="343"/>
    <col min="19" max="19" width="8.85546875" style="343" customWidth="1"/>
    <col min="20" max="259" width="9.140625" style="343"/>
    <col min="260" max="260" width="8.140625" style="343" customWidth="1"/>
    <col min="261" max="261" width="32.140625" style="343" customWidth="1"/>
    <col min="262" max="267" width="9.140625" style="343"/>
    <col min="268" max="268" width="11.7109375" style="343" bestFit="1" customWidth="1"/>
    <col min="269" max="274" width="9.140625" style="343"/>
    <col min="275" max="275" width="8.85546875" style="343" customWidth="1"/>
    <col min="276" max="515" width="9.140625" style="343"/>
    <col min="516" max="516" width="8.140625" style="343" customWidth="1"/>
    <col min="517" max="517" width="32.140625" style="343" customWidth="1"/>
    <col min="518" max="523" width="9.140625" style="343"/>
    <col min="524" max="524" width="11.7109375" style="343" bestFit="1" customWidth="1"/>
    <col min="525" max="530" width="9.140625" style="343"/>
    <col min="531" max="531" width="8.85546875" style="343" customWidth="1"/>
    <col min="532" max="771" width="9.140625" style="343"/>
    <col min="772" max="772" width="8.140625" style="343" customWidth="1"/>
    <col min="773" max="773" width="32.140625" style="343" customWidth="1"/>
    <col min="774" max="779" width="9.140625" style="343"/>
    <col min="780" max="780" width="11.7109375" style="343" bestFit="1" customWidth="1"/>
    <col min="781" max="786" width="9.140625" style="343"/>
    <col min="787" max="787" width="8.85546875" style="343" customWidth="1"/>
    <col min="788" max="1027" width="9.140625" style="343"/>
    <col min="1028" max="1028" width="8.140625" style="343" customWidth="1"/>
    <col min="1029" max="1029" width="32.140625" style="343" customWidth="1"/>
    <col min="1030" max="1035" width="9.140625" style="343"/>
    <col min="1036" max="1036" width="11.7109375" style="343" bestFit="1" customWidth="1"/>
    <col min="1037" max="1042" width="9.140625" style="343"/>
    <col min="1043" max="1043" width="8.85546875" style="343" customWidth="1"/>
    <col min="1044" max="1283" width="9.140625" style="343"/>
    <col min="1284" max="1284" width="8.140625" style="343" customWidth="1"/>
    <col min="1285" max="1285" width="32.140625" style="343" customWidth="1"/>
    <col min="1286" max="1291" width="9.140625" style="343"/>
    <col min="1292" max="1292" width="11.7109375" style="343" bestFit="1" customWidth="1"/>
    <col min="1293" max="1298" width="9.140625" style="343"/>
    <col min="1299" max="1299" width="8.85546875" style="343" customWidth="1"/>
    <col min="1300" max="1539" width="9.140625" style="343"/>
    <col min="1540" max="1540" width="8.140625" style="343" customWidth="1"/>
    <col min="1541" max="1541" width="32.140625" style="343" customWidth="1"/>
    <col min="1542" max="1547" width="9.140625" style="343"/>
    <col min="1548" max="1548" width="11.7109375" style="343" bestFit="1" customWidth="1"/>
    <col min="1549" max="1554" width="9.140625" style="343"/>
    <col min="1555" max="1555" width="8.85546875" style="343" customWidth="1"/>
    <col min="1556" max="1795" width="9.140625" style="343"/>
    <col min="1796" max="1796" width="8.140625" style="343" customWidth="1"/>
    <col min="1797" max="1797" width="32.140625" style="343" customWidth="1"/>
    <col min="1798" max="1803" width="9.140625" style="343"/>
    <col min="1804" max="1804" width="11.7109375" style="343" bestFit="1" customWidth="1"/>
    <col min="1805" max="1810" width="9.140625" style="343"/>
    <col min="1811" max="1811" width="8.85546875" style="343" customWidth="1"/>
    <col min="1812" max="2051" width="9.140625" style="343"/>
    <col min="2052" max="2052" width="8.140625" style="343" customWidth="1"/>
    <col min="2053" max="2053" width="32.140625" style="343" customWidth="1"/>
    <col min="2054" max="2059" width="9.140625" style="343"/>
    <col min="2060" max="2060" width="11.7109375" style="343" bestFit="1" customWidth="1"/>
    <col min="2061" max="2066" width="9.140625" style="343"/>
    <col min="2067" max="2067" width="8.85546875" style="343" customWidth="1"/>
    <col min="2068" max="2307" width="9.140625" style="343"/>
    <col min="2308" max="2308" width="8.140625" style="343" customWidth="1"/>
    <col min="2309" max="2309" width="32.140625" style="343" customWidth="1"/>
    <col min="2310" max="2315" width="9.140625" style="343"/>
    <col min="2316" max="2316" width="11.7109375" style="343" bestFit="1" customWidth="1"/>
    <col min="2317" max="2322" width="9.140625" style="343"/>
    <col min="2323" max="2323" width="8.85546875" style="343" customWidth="1"/>
    <col min="2324" max="2563" width="9.140625" style="343"/>
    <col min="2564" max="2564" width="8.140625" style="343" customWidth="1"/>
    <col min="2565" max="2565" width="32.140625" style="343" customWidth="1"/>
    <col min="2566" max="2571" width="9.140625" style="343"/>
    <col min="2572" max="2572" width="11.7109375" style="343" bestFit="1" customWidth="1"/>
    <col min="2573" max="2578" width="9.140625" style="343"/>
    <col min="2579" max="2579" width="8.85546875" style="343" customWidth="1"/>
    <col min="2580" max="2819" width="9.140625" style="343"/>
    <col min="2820" max="2820" width="8.140625" style="343" customWidth="1"/>
    <col min="2821" max="2821" width="32.140625" style="343" customWidth="1"/>
    <col min="2822" max="2827" width="9.140625" style="343"/>
    <col min="2828" max="2828" width="11.7109375" style="343" bestFit="1" customWidth="1"/>
    <col min="2829" max="2834" width="9.140625" style="343"/>
    <col min="2835" max="2835" width="8.85546875" style="343" customWidth="1"/>
    <col min="2836" max="3075" width="9.140625" style="343"/>
    <col min="3076" max="3076" width="8.140625" style="343" customWidth="1"/>
    <col min="3077" max="3077" width="32.140625" style="343" customWidth="1"/>
    <col min="3078" max="3083" width="9.140625" style="343"/>
    <col min="3084" max="3084" width="11.7109375" style="343" bestFit="1" customWidth="1"/>
    <col min="3085" max="3090" width="9.140625" style="343"/>
    <col min="3091" max="3091" width="8.85546875" style="343" customWidth="1"/>
    <col min="3092" max="3331" width="9.140625" style="343"/>
    <col min="3332" max="3332" width="8.140625" style="343" customWidth="1"/>
    <col min="3333" max="3333" width="32.140625" style="343" customWidth="1"/>
    <col min="3334" max="3339" width="9.140625" style="343"/>
    <col min="3340" max="3340" width="11.7109375" style="343" bestFit="1" customWidth="1"/>
    <col min="3341" max="3346" width="9.140625" style="343"/>
    <col min="3347" max="3347" width="8.85546875" style="343" customWidth="1"/>
    <col min="3348" max="3587" width="9.140625" style="343"/>
    <col min="3588" max="3588" width="8.140625" style="343" customWidth="1"/>
    <col min="3589" max="3589" width="32.140625" style="343" customWidth="1"/>
    <col min="3590" max="3595" width="9.140625" style="343"/>
    <col min="3596" max="3596" width="11.7109375" style="343" bestFit="1" customWidth="1"/>
    <col min="3597" max="3602" width="9.140625" style="343"/>
    <col min="3603" max="3603" width="8.85546875" style="343" customWidth="1"/>
    <col min="3604" max="3843" width="9.140625" style="343"/>
    <col min="3844" max="3844" width="8.140625" style="343" customWidth="1"/>
    <col min="3845" max="3845" width="32.140625" style="343" customWidth="1"/>
    <col min="3846" max="3851" width="9.140625" style="343"/>
    <col min="3852" max="3852" width="11.7109375" style="343" bestFit="1" customWidth="1"/>
    <col min="3853" max="3858" width="9.140625" style="343"/>
    <col min="3859" max="3859" width="8.85546875" style="343" customWidth="1"/>
    <col min="3860" max="4099" width="9.140625" style="343"/>
    <col min="4100" max="4100" width="8.140625" style="343" customWidth="1"/>
    <col min="4101" max="4101" width="32.140625" style="343" customWidth="1"/>
    <col min="4102" max="4107" width="9.140625" style="343"/>
    <col min="4108" max="4108" width="11.7109375" style="343" bestFit="1" customWidth="1"/>
    <col min="4109" max="4114" width="9.140625" style="343"/>
    <col min="4115" max="4115" width="8.85546875" style="343" customWidth="1"/>
    <col min="4116" max="4355" width="9.140625" style="343"/>
    <col min="4356" max="4356" width="8.140625" style="343" customWidth="1"/>
    <col min="4357" max="4357" width="32.140625" style="343" customWidth="1"/>
    <col min="4358" max="4363" width="9.140625" style="343"/>
    <col min="4364" max="4364" width="11.7109375" style="343" bestFit="1" customWidth="1"/>
    <col min="4365" max="4370" width="9.140625" style="343"/>
    <col min="4371" max="4371" width="8.85546875" style="343" customWidth="1"/>
    <col min="4372" max="4611" width="9.140625" style="343"/>
    <col min="4612" max="4612" width="8.140625" style="343" customWidth="1"/>
    <col min="4613" max="4613" width="32.140625" style="343" customWidth="1"/>
    <col min="4614" max="4619" width="9.140625" style="343"/>
    <col min="4620" max="4620" width="11.7109375" style="343" bestFit="1" customWidth="1"/>
    <col min="4621" max="4626" width="9.140625" style="343"/>
    <col min="4627" max="4627" width="8.85546875" style="343" customWidth="1"/>
    <col min="4628" max="4867" width="9.140625" style="343"/>
    <col min="4868" max="4868" width="8.140625" style="343" customWidth="1"/>
    <col min="4869" max="4869" width="32.140625" style="343" customWidth="1"/>
    <col min="4870" max="4875" width="9.140625" style="343"/>
    <col min="4876" max="4876" width="11.7109375" style="343" bestFit="1" customWidth="1"/>
    <col min="4877" max="4882" width="9.140625" style="343"/>
    <col min="4883" max="4883" width="8.85546875" style="343" customWidth="1"/>
    <col min="4884" max="5123" width="9.140625" style="343"/>
    <col min="5124" max="5124" width="8.140625" style="343" customWidth="1"/>
    <col min="5125" max="5125" width="32.140625" style="343" customWidth="1"/>
    <col min="5126" max="5131" width="9.140625" style="343"/>
    <col min="5132" max="5132" width="11.7109375" style="343" bestFit="1" customWidth="1"/>
    <col min="5133" max="5138" width="9.140625" style="343"/>
    <col min="5139" max="5139" width="8.85546875" style="343" customWidth="1"/>
    <col min="5140" max="5379" width="9.140625" style="343"/>
    <col min="5380" max="5380" width="8.140625" style="343" customWidth="1"/>
    <col min="5381" max="5381" width="32.140625" style="343" customWidth="1"/>
    <col min="5382" max="5387" width="9.140625" style="343"/>
    <col min="5388" max="5388" width="11.7109375" style="343" bestFit="1" customWidth="1"/>
    <col min="5389" max="5394" width="9.140625" style="343"/>
    <col min="5395" max="5395" width="8.85546875" style="343" customWidth="1"/>
    <col min="5396" max="5635" width="9.140625" style="343"/>
    <col min="5636" max="5636" width="8.140625" style="343" customWidth="1"/>
    <col min="5637" max="5637" width="32.140625" style="343" customWidth="1"/>
    <col min="5638" max="5643" width="9.140625" style="343"/>
    <col min="5644" max="5644" width="11.7109375" style="343" bestFit="1" customWidth="1"/>
    <col min="5645" max="5650" width="9.140625" style="343"/>
    <col min="5651" max="5651" width="8.85546875" style="343" customWidth="1"/>
    <col min="5652" max="5891" width="9.140625" style="343"/>
    <col min="5892" max="5892" width="8.140625" style="343" customWidth="1"/>
    <col min="5893" max="5893" width="32.140625" style="343" customWidth="1"/>
    <col min="5894" max="5899" width="9.140625" style="343"/>
    <col min="5900" max="5900" width="11.7109375" style="343" bestFit="1" customWidth="1"/>
    <col min="5901" max="5906" width="9.140625" style="343"/>
    <col min="5907" max="5907" width="8.85546875" style="343" customWidth="1"/>
    <col min="5908" max="6147" width="9.140625" style="343"/>
    <col min="6148" max="6148" width="8.140625" style="343" customWidth="1"/>
    <col min="6149" max="6149" width="32.140625" style="343" customWidth="1"/>
    <col min="6150" max="6155" width="9.140625" style="343"/>
    <col min="6156" max="6156" width="11.7109375" style="343" bestFit="1" customWidth="1"/>
    <col min="6157" max="6162" width="9.140625" style="343"/>
    <col min="6163" max="6163" width="8.85546875" style="343" customWidth="1"/>
    <col min="6164" max="6403" width="9.140625" style="343"/>
    <col min="6404" max="6404" width="8.140625" style="343" customWidth="1"/>
    <col min="6405" max="6405" width="32.140625" style="343" customWidth="1"/>
    <col min="6406" max="6411" width="9.140625" style="343"/>
    <col min="6412" max="6412" width="11.7109375" style="343" bestFit="1" customWidth="1"/>
    <col min="6413" max="6418" width="9.140625" style="343"/>
    <col min="6419" max="6419" width="8.85546875" style="343" customWidth="1"/>
    <col min="6420" max="6659" width="9.140625" style="343"/>
    <col min="6660" max="6660" width="8.140625" style="343" customWidth="1"/>
    <col min="6661" max="6661" width="32.140625" style="343" customWidth="1"/>
    <col min="6662" max="6667" width="9.140625" style="343"/>
    <col min="6668" max="6668" width="11.7109375" style="343" bestFit="1" customWidth="1"/>
    <col min="6669" max="6674" width="9.140625" style="343"/>
    <col min="6675" max="6675" width="8.85546875" style="343" customWidth="1"/>
    <col min="6676" max="6915" width="9.140625" style="343"/>
    <col min="6916" max="6916" width="8.140625" style="343" customWidth="1"/>
    <col min="6917" max="6917" width="32.140625" style="343" customWidth="1"/>
    <col min="6918" max="6923" width="9.140625" style="343"/>
    <col min="6924" max="6924" width="11.7109375" style="343" bestFit="1" customWidth="1"/>
    <col min="6925" max="6930" width="9.140625" style="343"/>
    <col min="6931" max="6931" width="8.85546875" style="343" customWidth="1"/>
    <col min="6932" max="7171" width="9.140625" style="343"/>
    <col min="7172" max="7172" width="8.140625" style="343" customWidth="1"/>
    <col min="7173" max="7173" width="32.140625" style="343" customWidth="1"/>
    <col min="7174" max="7179" width="9.140625" style="343"/>
    <col min="7180" max="7180" width="11.7109375" style="343" bestFit="1" customWidth="1"/>
    <col min="7181" max="7186" width="9.140625" style="343"/>
    <col min="7187" max="7187" width="8.85546875" style="343" customWidth="1"/>
    <col min="7188" max="7427" width="9.140625" style="343"/>
    <col min="7428" max="7428" width="8.140625" style="343" customWidth="1"/>
    <col min="7429" max="7429" width="32.140625" style="343" customWidth="1"/>
    <col min="7430" max="7435" width="9.140625" style="343"/>
    <col min="7436" max="7436" width="11.7109375" style="343" bestFit="1" customWidth="1"/>
    <col min="7437" max="7442" width="9.140625" style="343"/>
    <col min="7443" max="7443" width="8.85546875" style="343" customWidth="1"/>
    <col min="7444" max="7683" width="9.140625" style="343"/>
    <col min="7684" max="7684" width="8.140625" style="343" customWidth="1"/>
    <col min="7685" max="7685" width="32.140625" style="343" customWidth="1"/>
    <col min="7686" max="7691" width="9.140625" style="343"/>
    <col min="7692" max="7692" width="11.7109375" style="343" bestFit="1" customWidth="1"/>
    <col min="7693" max="7698" width="9.140625" style="343"/>
    <col min="7699" max="7699" width="8.85546875" style="343" customWidth="1"/>
    <col min="7700" max="7939" width="9.140625" style="343"/>
    <col min="7940" max="7940" width="8.140625" style="343" customWidth="1"/>
    <col min="7941" max="7941" width="32.140625" style="343" customWidth="1"/>
    <col min="7942" max="7947" width="9.140625" style="343"/>
    <col min="7948" max="7948" width="11.7109375" style="343" bestFit="1" customWidth="1"/>
    <col min="7949" max="7954" width="9.140625" style="343"/>
    <col min="7955" max="7955" width="8.85546875" style="343" customWidth="1"/>
    <col min="7956" max="8195" width="9.140625" style="343"/>
    <col min="8196" max="8196" width="8.140625" style="343" customWidth="1"/>
    <col min="8197" max="8197" width="32.140625" style="343" customWidth="1"/>
    <col min="8198" max="8203" width="9.140625" style="343"/>
    <col min="8204" max="8204" width="11.7109375" style="343" bestFit="1" customWidth="1"/>
    <col min="8205" max="8210" width="9.140625" style="343"/>
    <col min="8211" max="8211" width="8.85546875" style="343" customWidth="1"/>
    <col min="8212" max="8451" width="9.140625" style="343"/>
    <col min="8452" max="8452" width="8.140625" style="343" customWidth="1"/>
    <col min="8453" max="8453" width="32.140625" style="343" customWidth="1"/>
    <col min="8454" max="8459" width="9.140625" style="343"/>
    <col min="8460" max="8460" width="11.7109375" style="343" bestFit="1" customWidth="1"/>
    <col min="8461" max="8466" width="9.140625" style="343"/>
    <col min="8467" max="8467" width="8.85546875" style="343" customWidth="1"/>
    <col min="8468" max="8707" width="9.140625" style="343"/>
    <col min="8708" max="8708" width="8.140625" style="343" customWidth="1"/>
    <col min="8709" max="8709" width="32.140625" style="343" customWidth="1"/>
    <col min="8710" max="8715" width="9.140625" style="343"/>
    <col min="8716" max="8716" width="11.7109375" style="343" bestFit="1" customWidth="1"/>
    <col min="8717" max="8722" width="9.140625" style="343"/>
    <col min="8723" max="8723" width="8.85546875" style="343" customWidth="1"/>
    <col min="8724" max="8963" width="9.140625" style="343"/>
    <col min="8964" max="8964" width="8.140625" style="343" customWidth="1"/>
    <col min="8965" max="8965" width="32.140625" style="343" customWidth="1"/>
    <col min="8966" max="8971" width="9.140625" style="343"/>
    <col min="8972" max="8972" width="11.7109375" style="343" bestFit="1" customWidth="1"/>
    <col min="8973" max="8978" width="9.140625" style="343"/>
    <col min="8979" max="8979" width="8.85546875" style="343" customWidth="1"/>
    <col min="8980" max="9219" width="9.140625" style="343"/>
    <col min="9220" max="9220" width="8.140625" style="343" customWidth="1"/>
    <col min="9221" max="9221" width="32.140625" style="343" customWidth="1"/>
    <col min="9222" max="9227" width="9.140625" style="343"/>
    <col min="9228" max="9228" width="11.7109375" style="343" bestFit="1" customWidth="1"/>
    <col min="9229" max="9234" width="9.140625" style="343"/>
    <col min="9235" max="9235" width="8.85546875" style="343" customWidth="1"/>
    <col min="9236" max="9475" width="9.140625" style="343"/>
    <col min="9476" max="9476" width="8.140625" style="343" customWidth="1"/>
    <col min="9477" max="9477" width="32.140625" style="343" customWidth="1"/>
    <col min="9478" max="9483" width="9.140625" style="343"/>
    <col min="9484" max="9484" width="11.7109375" style="343" bestFit="1" customWidth="1"/>
    <col min="9485" max="9490" width="9.140625" style="343"/>
    <col min="9491" max="9491" width="8.85546875" style="343" customWidth="1"/>
    <col min="9492" max="9731" width="9.140625" style="343"/>
    <col min="9732" max="9732" width="8.140625" style="343" customWidth="1"/>
    <col min="9733" max="9733" width="32.140625" style="343" customWidth="1"/>
    <col min="9734" max="9739" width="9.140625" style="343"/>
    <col min="9740" max="9740" width="11.7109375" style="343" bestFit="1" customWidth="1"/>
    <col min="9741" max="9746" width="9.140625" style="343"/>
    <col min="9747" max="9747" width="8.85546875" style="343" customWidth="1"/>
    <col min="9748" max="9987" width="9.140625" style="343"/>
    <col min="9988" max="9988" width="8.140625" style="343" customWidth="1"/>
    <col min="9989" max="9989" width="32.140625" style="343" customWidth="1"/>
    <col min="9990" max="9995" width="9.140625" style="343"/>
    <col min="9996" max="9996" width="11.7109375" style="343" bestFit="1" customWidth="1"/>
    <col min="9997" max="10002" width="9.140625" style="343"/>
    <col min="10003" max="10003" width="8.85546875" style="343" customWidth="1"/>
    <col min="10004" max="10243" width="9.140625" style="343"/>
    <col min="10244" max="10244" width="8.140625" style="343" customWidth="1"/>
    <col min="10245" max="10245" width="32.140625" style="343" customWidth="1"/>
    <col min="10246" max="10251" width="9.140625" style="343"/>
    <col min="10252" max="10252" width="11.7109375" style="343" bestFit="1" customWidth="1"/>
    <col min="10253" max="10258" width="9.140625" style="343"/>
    <col min="10259" max="10259" width="8.85546875" style="343" customWidth="1"/>
    <col min="10260" max="10499" width="9.140625" style="343"/>
    <col min="10500" max="10500" width="8.140625" style="343" customWidth="1"/>
    <col min="10501" max="10501" width="32.140625" style="343" customWidth="1"/>
    <col min="10502" max="10507" width="9.140625" style="343"/>
    <col min="10508" max="10508" width="11.7109375" style="343" bestFit="1" customWidth="1"/>
    <col min="10509" max="10514" width="9.140625" style="343"/>
    <col min="10515" max="10515" width="8.85546875" style="343" customWidth="1"/>
    <col min="10516" max="10755" width="9.140625" style="343"/>
    <col min="10756" max="10756" width="8.140625" style="343" customWidth="1"/>
    <col min="10757" max="10757" width="32.140625" style="343" customWidth="1"/>
    <col min="10758" max="10763" width="9.140625" style="343"/>
    <col min="10764" max="10764" width="11.7109375" style="343" bestFit="1" customWidth="1"/>
    <col min="10765" max="10770" width="9.140625" style="343"/>
    <col min="10771" max="10771" width="8.85546875" style="343" customWidth="1"/>
    <col min="10772" max="11011" width="9.140625" style="343"/>
    <col min="11012" max="11012" width="8.140625" style="343" customWidth="1"/>
    <col min="11013" max="11013" width="32.140625" style="343" customWidth="1"/>
    <col min="11014" max="11019" width="9.140625" style="343"/>
    <col min="11020" max="11020" width="11.7109375" style="343" bestFit="1" customWidth="1"/>
    <col min="11021" max="11026" width="9.140625" style="343"/>
    <col min="11027" max="11027" width="8.85546875" style="343" customWidth="1"/>
    <col min="11028" max="11267" width="9.140625" style="343"/>
    <col min="11268" max="11268" width="8.140625" style="343" customWidth="1"/>
    <col min="11269" max="11269" width="32.140625" style="343" customWidth="1"/>
    <col min="11270" max="11275" width="9.140625" style="343"/>
    <col min="11276" max="11276" width="11.7109375" style="343" bestFit="1" customWidth="1"/>
    <col min="11277" max="11282" width="9.140625" style="343"/>
    <col min="11283" max="11283" width="8.85546875" style="343" customWidth="1"/>
    <col min="11284" max="11523" width="9.140625" style="343"/>
    <col min="11524" max="11524" width="8.140625" style="343" customWidth="1"/>
    <col min="11525" max="11525" width="32.140625" style="343" customWidth="1"/>
    <col min="11526" max="11531" width="9.140625" style="343"/>
    <col min="11532" max="11532" width="11.7109375" style="343" bestFit="1" customWidth="1"/>
    <col min="11533" max="11538" width="9.140625" style="343"/>
    <col min="11539" max="11539" width="8.85546875" style="343" customWidth="1"/>
    <col min="11540" max="11779" width="9.140625" style="343"/>
    <col min="11780" max="11780" width="8.140625" style="343" customWidth="1"/>
    <col min="11781" max="11781" width="32.140625" style="343" customWidth="1"/>
    <col min="11782" max="11787" width="9.140625" style="343"/>
    <col min="11788" max="11788" width="11.7109375" style="343" bestFit="1" customWidth="1"/>
    <col min="11789" max="11794" width="9.140625" style="343"/>
    <col min="11795" max="11795" width="8.85546875" style="343" customWidth="1"/>
    <col min="11796" max="12035" width="9.140625" style="343"/>
    <col min="12036" max="12036" width="8.140625" style="343" customWidth="1"/>
    <col min="12037" max="12037" width="32.140625" style="343" customWidth="1"/>
    <col min="12038" max="12043" width="9.140625" style="343"/>
    <col min="12044" max="12044" width="11.7109375" style="343" bestFit="1" customWidth="1"/>
    <col min="12045" max="12050" width="9.140625" style="343"/>
    <col min="12051" max="12051" width="8.85546875" style="343" customWidth="1"/>
    <col min="12052" max="12291" width="9.140625" style="343"/>
    <col min="12292" max="12292" width="8.140625" style="343" customWidth="1"/>
    <col min="12293" max="12293" width="32.140625" style="343" customWidth="1"/>
    <col min="12294" max="12299" width="9.140625" style="343"/>
    <col min="12300" max="12300" width="11.7109375" style="343" bestFit="1" customWidth="1"/>
    <col min="12301" max="12306" width="9.140625" style="343"/>
    <col min="12307" max="12307" width="8.85546875" style="343" customWidth="1"/>
    <col min="12308" max="12547" width="9.140625" style="343"/>
    <col min="12548" max="12548" width="8.140625" style="343" customWidth="1"/>
    <col min="12549" max="12549" width="32.140625" style="343" customWidth="1"/>
    <col min="12550" max="12555" width="9.140625" style="343"/>
    <col min="12556" max="12556" width="11.7109375" style="343" bestFit="1" customWidth="1"/>
    <col min="12557" max="12562" width="9.140625" style="343"/>
    <col min="12563" max="12563" width="8.85546875" style="343" customWidth="1"/>
    <col min="12564" max="12803" width="9.140625" style="343"/>
    <col min="12804" max="12804" width="8.140625" style="343" customWidth="1"/>
    <col min="12805" max="12805" width="32.140625" style="343" customWidth="1"/>
    <col min="12806" max="12811" width="9.140625" style="343"/>
    <col min="12812" max="12812" width="11.7109375" style="343" bestFit="1" customWidth="1"/>
    <col min="12813" max="12818" width="9.140625" style="343"/>
    <col min="12819" max="12819" width="8.85546875" style="343" customWidth="1"/>
    <col min="12820" max="13059" width="9.140625" style="343"/>
    <col min="13060" max="13060" width="8.140625" style="343" customWidth="1"/>
    <col min="13061" max="13061" width="32.140625" style="343" customWidth="1"/>
    <col min="13062" max="13067" width="9.140625" style="343"/>
    <col min="13068" max="13068" width="11.7109375" style="343" bestFit="1" customWidth="1"/>
    <col min="13069" max="13074" width="9.140625" style="343"/>
    <col min="13075" max="13075" width="8.85546875" style="343" customWidth="1"/>
    <col min="13076" max="13315" width="9.140625" style="343"/>
    <col min="13316" max="13316" width="8.140625" style="343" customWidth="1"/>
    <col min="13317" max="13317" width="32.140625" style="343" customWidth="1"/>
    <col min="13318" max="13323" width="9.140625" style="343"/>
    <col min="13324" max="13324" width="11.7109375" style="343" bestFit="1" customWidth="1"/>
    <col min="13325" max="13330" width="9.140625" style="343"/>
    <col min="13331" max="13331" width="8.85546875" style="343" customWidth="1"/>
    <col min="13332" max="13571" width="9.140625" style="343"/>
    <col min="13572" max="13572" width="8.140625" style="343" customWidth="1"/>
    <col min="13573" max="13573" width="32.140625" style="343" customWidth="1"/>
    <col min="13574" max="13579" width="9.140625" style="343"/>
    <col min="13580" max="13580" width="11.7109375" style="343" bestFit="1" customWidth="1"/>
    <col min="13581" max="13586" width="9.140625" style="343"/>
    <col min="13587" max="13587" width="8.85546875" style="343" customWidth="1"/>
    <col min="13588" max="13827" width="9.140625" style="343"/>
    <col min="13828" max="13828" width="8.140625" style="343" customWidth="1"/>
    <col min="13829" max="13829" width="32.140625" style="343" customWidth="1"/>
    <col min="13830" max="13835" width="9.140625" style="343"/>
    <col min="13836" max="13836" width="11.7109375" style="343" bestFit="1" customWidth="1"/>
    <col min="13837" max="13842" width="9.140625" style="343"/>
    <col min="13843" max="13843" width="8.85546875" style="343" customWidth="1"/>
    <col min="13844" max="14083" width="9.140625" style="343"/>
    <col min="14084" max="14084" width="8.140625" style="343" customWidth="1"/>
    <col min="14085" max="14085" width="32.140625" style="343" customWidth="1"/>
    <col min="14086" max="14091" width="9.140625" style="343"/>
    <col min="14092" max="14092" width="11.7109375" style="343" bestFit="1" customWidth="1"/>
    <col min="14093" max="14098" width="9.140625" style="343"/>
    <col min="14099" max="14099" width="8.85546875" style="343" customWidth="1"/>
    <col min="14100" max="14339" width="9.140625" style="343"/>
    <col min="14340" max="14340" width="8.140625" style="343" customWidth="1"/>
    <col min="14341" max="14341" width="32.140625" style="343" customWidth="1"/>
    <col min="14342" max="14347" width="9.140625" style="343"/>
    <col min="14348" max="14348" width="11.7109375" style="343" bestFit="1" customWidth="1"/>
    <col min="14349" max="14354" width="9.140625" style="343"/>
    <col min="14355" max="14355" width="8.85546875" style="343" customWidth="1"/>
    <col min="14356" max="14595" width="9.140625" style="343"/>
    <col min="14596" max="14596" width="8.140625" style="343" customWidth="1"/>
    <col min="14597" max="14597" width="32.140625" style="343" customWidth="1"/>
    <col min="14598" max="14603" width="9.140625" style="343"/>
    <col min="14604" max="14604" width="11.7109375" style="343" bestFit="1" customWidth="1"/>
    <col min="14605" max="14610" width="9.140625" style="343"/>
    <col min="14611" max="14611" width="8.85546875" style="343" customWidth="1"/>
    <col min="14612" max="14851" width="9.140625" style="343"/>
    <col min="14852" max="14852" width="8.140625" style="343" customWidth="1"/>
    <col min="14853" max="14853" width="32.140625" style="343" customWidth="1"/>
    <col min="14854" max="14859" width="9.140625" style="343"/>
    <col min="14860" max="14860" width="11.7109375" style="343" bestFit="1" customWidth="1"/>
    <col min="14861" max="14866" width="9.140625" style="343"/>
    <col min="14867" max="14867" width="8.85546875" style="343" customWidth="1"/>
    <col min="14868" max="15107" width="9.140625" style="343"/>
    <col min="15108" max="15108" width="8.140625" style="343" customWidth="1"/>
    <col min="15109" max="15109" width="32.140625" style="343" customWidth="1"/>
    <col min="15110" max="15115" width="9.140625" style="343"/>
    <col min="15116" max="15116" width="11.7109375" style="343" bestFit="1" customWidth="1"/>
    <col min="15117" max="15122" width="9.140625" style="343"/>
    <col min="15123" max="15123" width="8.85546875" style="343" customWidth="1"/>
    <col min="15124" max="15363" width="9.140625" style="343"/>
    <col min="15364" max="15364" width="8.140625" style="343" customWidth="1"/>
    <col min="15365" max="15365" width="32.140625" style="343" customWidth="1"/>
    <col min="15366" max="15371" width="9.140625" style="343"/>
    <col min="15372" max="15372" width="11.7109375" style="343" bestFit="1" customWidth="1"/>
    <col min="15373" max="15378" width="9.140625" style="343"/>
    <col min="15379" max="15379" width="8.85546875" style="343" customWidth="1"/>
    <col min="15380" max="15619" width="9.140625" style="343"/>
    <col min="15620" max="15620" width="8.140625" style="343" customWidth="1"/>
    <col min="15621" max="15621" width="32.140625" style="343" customWidth="1"/>
    <col min="15622" max="15627" width="9.140625" style="343"/>
    <col min="15628" max="15628" width="11.7109375" style="343" bestFit="1" customWidth="1"/>
    <col min="15629" max="15634" width="9.140625" style="343"/>
    <col min="15635" max="15635" width="8.85546875" style="343" customWidth="1"/>
    <col min="15636" max="15875" width="9.140625" style="343"/>
    <col min="15876" max="15876" width="8.140625" style="343" customWidth="1"/>
    <col min="15877" max="15877" width="32.140625" style="343" customWidth="1"/>
    <col min="15878" max="15883" width="9.140625" style="343"/>
    <col min="15884" max="15884" width="11.7109375" style="343" bestFit="1" customWidth="1"/>
    <col min="15885" max="15890" width="9.140625" style="343"/>
    <col min="15891" max="15891" width="8.85546875" style="343" customWidth="1"/>
    <col min="15892" max="16131" width="9.140625" style="343"/>
    <col min="16132" max="16132" width="8.140625" style="343" customWidth="1"/>
    <col min="16133" max="16133" width="32.140625" style="343" customWidth="1"/>
    <col min="16134" max="16139" width="9.140625" style="343"/>
    <col min="16140" max="16140" width="11.7109375" style="343" bestFit="1" customWidth="1"/>
    <col min="16141" max="16146" width="9.140625" style="343"/>
    <col min="16147" max="16147" width="8.85546875" style="343" customWidth="1"/>
    <col min="16148" max="16384" width="9.140625" style="343"/>
  </cols>
  <sheetData>
    <row r="1" spans="1:54" s="603" customFormat="1">
      <c r="A1" s="595"/>
      <c r="B1" s="596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  <c r="P1" s="595"/>
      <c r="Q1" s="595"/>
      <c r="R1" s="595"/>
      <c r="S1" s="595"/>
      <c r="T1" s="595"/>
      <c r="U1" s="595"/>
      <c r="V1" s="595"/>
      <c r="W1" s="595"/>
      <c r="X1" s="595"/>
      <c r="Y1" s="595"/>
      <c r="Z1" s="595"/>
      <c r="AA1" s="595"/>
      <c r="AB1" s="595"/>
      <c r="AC1" s="595"/>
      <c r="AD1" s="595"/>
      <c r="AE1" s="595"/>
      <c r="AF1" s="595"/>
      <c r="AG1" s="595"/>
      <c r="AH1" s="595"/>
      <c r="AI1" s="595"/>
      <c r="AJ1" s="595"/>
      <c r="AK1" s="595"/>
      <c r="AL1" s="595"/>
      <c r="AM1" s="595"/>
      <c r="AN1" s="595"/>
      <c r="AO1" s="595"/>
      <c r="AP1" s="595"/>
      <c r="AQ1" s="595"/>
      <c r="AR1" s="595"/>
      <c r="AS1" s="595"/>
      <c r="AT1" s="595"/>
      <c r="AU1" s="595"/>
      <c r="AV1" s="595"/>
      <c r="AW1" s="595"/>
      <c r="AX1" s="595"/>
      <c r="AY1" s="595"/>
      <c r="AZ1" s="595"/>
      <c r="BA1" s="595"/>
      <c r="BB1" s="595"/>
    </row>
    <row r="2" spans="1:54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598"/>
      <c r="AI2" s="598"/>
      <c r="AJ2" s="598"/>
      <c r="AK2" s="598"/>
      <c r="AL2" s="598"/>
      <c r="AM2" s="598"/>
      <c r="AN2" s="598"/>
      <c r="AO2" s="598"/>
      <c r="AP2" s="598"/>
      <c r="AQ2" s="598"/>
      <c r="AR2" s="598"/>
      <c r="AS2" s="598"/>
      <c r="AT2" s="598"/>
      <c r="AU2" s="598"/>
      <c r="AV2" s="598"/>
      <c r="AW2" s="598"/>
      <c r="AX2" s="598"/>
      <c r="AY2" s="598"/>
      <c r="AZ2" s="598"/>
      <c r="BA2" s="598"/>
      <c r="BB2" s="598"/>
    </row>
    <row r="3" spans="1:54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599"/>
      <c r="AI3" s="599"/>
      <c r="AJ3" s="599"/>
      <c r="AK3" s="599"/>
      <c r="AL3" s="599"/>
      <c r="AM3" s="599"/>
      <c r="AN3" s="599"/>
      <c r="AO3" s="599"/>
      <c r="AP3" s="599"/>
      <c r="AQ3" s="599"/>
      <c r="AR3" s="599"/>
      <c r="AS3" s="599"/>
      <c r="AT3" s="599"/>
      <c r="AU3" s="599"/>
      <c r="AV3" s="599"/>
      <c r="AW3" s="599"/>
      <c r="AX3" s="599"/>
      <c r="AY3" s="599"/>
      <c r="AZ3" s="599"/>
      <c r="BA3" s="599"/>
      <c r="BB3" s="599"/>
    </row>
    <row r="4" spans="1:54">
      <c r="A4" s="595"/>
      <c r="B4" s="598"/>
      <c r="C4" s="599"/>
      <c r="D4" s="1864" t="s">
        <v>471</v>
      </c>
      <c r="E4" s="1864"/>
      <c r="F4" s="1864"/>
      <c r="G4" s="1864"/>
      <c r="H4" s="1864"/>
      <c r="I4" s="1864"/>
      <c r="J4" s="1864"/>
      <c r="K4" s="350"/>
      <c r="L4" s="350"/>
      <c r="M4" s="350"/>
      <c r="N4" s="351"/>
      <c r="O4" s="350"/>
      <c r="P4" s="350"/>
      <c r="Q4" s="350"/>
      <c r="R4" s="350"/>
      <c r="S4" s="350"/>
      <c r="T4" s="350"/>
      <c r="U4" s="350"/>
      <c r="V4" s="350"/>
      <c r="W4" s="350"/>
      <c r="X4" s="350"/>
      <c r="Y4" s="350"/>
      <c r="Z4" s="350"/>
      <c r="AA4" s="350"/>
      <c r="AB4" s="350"/>
      <c r="AC4" s="350"/>
      <c r="AD4" s="350"/>
      <c r="AE4" s="350"/>
      <c r="AF4" s="350"/>
      <c r="AG4" s="350"/>
      <c r="AH4" s="350"/>
      <c r="AI4" s="350"/>
    </row>
    <row r="5" spans="1:54">
      <c r="A5" s="595"/>
      <c r="B5" s="598"/>
      <c r="C5" s="599"/>
      <c r="D5" s="996" t="s">
        <v>472</v>
      </c>
      <c r="E5" s="996" t="s">
        <v>473</v>
      </c>
      <c r="F5" s="996" t="s">
        <v>474</v>
      </c>
      <c r="G5" s="1865" t="s">
        <v>475</v>
      </c>
      <c r="H5" s="1865"/>
      <c r="I5" s="1865"/>
      <c r="J5" s="1876" t="s">
        <v>476</v>
      </c>
      <c r="K5" s="350"/>
      <c r="L5" s="350"/>
      <c r="M5" s="350"/>
      <c r="N5" s="351"/>
      <c r="O5" s="350"/>
      <c r="P5" s="350"/>
      <c r="Q5" s="350"/>
      <c r="R5" s="350"/>
      <c r="S5" s="350"/>
      <c r="T5" s="350"/>
      <c r="U5" s="350"/>
      <c r="V5" s="350"/>
      <c r="W5" s="350"/>
      <c r="X5" s="350"/>
      <c r="Y5" s="350"/>
      <c r="Z5" s="350"/>
      <c r="AA5" s="350"/>
      <c r="AB5" s="350"/>
      <c r="AC5" s="350"/>
      <c r="AD5" s="350"/>
      <c r="AE5" s="350"/>
      <c r="AF5" s="350"/>
      <c r="AG5" s="350"/>
      <c r="AH5" s="350"/>
      <c r="AI5" s="350"/>
    </row>
    <row r="6" spans="1:54">
      <c r="A6" s="595"/>
      <c r="B6" s="598"/>
      <c r="C6" s="599"/>
      <c r="D6" s="996"/>
      <c r="E6" s="996"/>
      <c r="F6" s="996" t="s">
        <v>473</v>
      </c>
      <c r="G6" s="996" t="s">
        <v>477</v>
      </c>
      <c r="H6" s="996" t="s">
        <v>478</v>
      </c>
      <c r="I6" s="996" t="s">
        <v>479</v>
      </c>
      <c r="J6" s="1876"/>
      <c r="K6" s="350"/>
      <c r="L6" s="350"/>
      <c r="M6" s="350"/>
      <c r="N6" s="350"/>
      <c r="O6" s="350"/>
      <c r="P6" s="350"/>
      <c r="Q6" s="350"/>
      <c r="R6" s="350"/>
      <c r="S6" s="350"/>
      <c r="T6" s="350"/>
      <c r="U6" s="350"/>
      <c r="V6" s="350"/>
      <c r="W6" s="350"/>
      <c r="X6" s="350"/>
      <c r="Y6" s="350"/>
      <c r="Z6" s="350"/>
      <c r="AA6" s="350"/>
      <c r="AB6" s="350"/>
      <c r="AC6" s="350"/>
      <c r="AD6" s="350"/>
      <c r="AE6" s="350"/>
      <c r="AF6" s="350"/>
      <c r="AG6" s="350"/>
      <c r="AH6" s="350"/>
      <c r="AI6" s="350"/>
    </row>
    <row r="7" spans="1:54" s="1798" customFormat="1">
      <c r="A7" s="1729"/>
      <c r="B7" s="1730"/>
      <c r="C7" s="1739"/>
      <c r="D7" s="1793" t="s">
        <v>480</v>
      </c>
      <c r="E7" s="1794" t="s">
        <v>295</v>
      </c>
      <c r="F7" s="1795"/>
      <c r="G7" s="1796"/>
      <c r="H7" s="1796"/>
      <c r="I7" s="1796"/>
      <c r="J7" s="1795"/>
      <c r="K7" s="1797"/>
      <c r="L7" s="1797"/>
      <c r="M7" s="1797"/>
      <c r="N7" s="1797"/>
      <c r="O7" s="1797"/>
      <c r="P7" s="1797"/>
      <c r="Q7" s="1797"/>
      <c r="R7" s="1797"/>
      <c r="S7" s="1797"/>
      <c r="T7" s="1797"/>
      <c r="U7" s="1797"/>
      <c r="V7" s="1797"/>
      <c r="W7" s="1797"/>
      <c r="X7" s="1797"/>
      <c r="Y7" s="1797"/>
      <c r="Z7" s="1797"/>
      <c r="AA7" s="1797"/>
      <c r="AB7" s="1797"/>
      <c r="AC7" s="1797"/>
      <c r="AD7" s="1797"/>
      <c r="AE7" s="1797"/>
      <c r="AF7" s="1797"/>
      <c r="AG7" s="1797"/>
      <c r="AH7" s="1797"/>
      <c r="AI7" s="1797"/>
    </row>
    <row r="8" spans="1:54" s="1798" customFormat="1">
      <c r="A8" s="1729"/>
      <c r="B8" s="1730"/>
      <c r="C8" s="1739"/>
      <c r="D8" s="1793" t="s">
        <v>481</v>
      </c>
      <c r="E8" s="1799" t="s">
        <v>482</v>
      </c>
      <c r="F8" s="1795"/>
      <c r="G8" s="1796"/>
      <c r="H8" s="1796"/>
      <c r="I8" s="1796"/>
      <c r="J8" s="1795"/>
      <c r="K8" s="1797"/>
      <c r="L8" s="1797"/>
      <c r="M8" s="1797">
        <v>1.07</v>
      </c>
      <c r="N8" s="1797"/>
      <c r="O8" s="1797"/>
      <c r="P8" s="1797"/>
      <c r="Q8" s="1797"/>
      <c r="R8" s="1797"/>
      <c r="S8" s="1797"/>
      <c r="T8" s="1797"/>
      <c r="U8" s="1797"/>
      <c r="V8" s="1797"/>
      <c r="W8" s="1797"/>
      <c r="X8" s="1797"/>
      <c r="Y8" s="1797"/>
      <c r="Z8" s="1797"/>
      <c r="AA8" s="1797"/>
      <c r="AB8" s="1797"/>
      <c r="AC8" s="1797"/>
      <c r="AD8" s="1797"/>
      <c r="AE8" s="1797"/>
      <c r="AF8" s="1797"/>
      <c r="AG8" s="1797"/>
      <c r="AH8" s="1797"/>
      <c r="AI8" s="1797"/>
    </row>
    <row r="9" spans="1:54" s="1798" customFormat="1">
      <c r="A9" s="1729"/>
      <c r="B9" s="1730"/>
      <c r="C9" s="1739"/>
      <c r="D9" s="1793" t="s">
        <v>483</v>
      </c>
      <c r="E9" s="1799" t="s">
        <v>388</v>
      </c>
      <c r="F9" s="1795" t="s">
        <v>339</v>
      </c>
      <c r="G9" s="1796">
        <f>M9*$M$8</f>
        <v>271.06666666666672</v>
      </c>
      <c r="H9" s="1796">
        <f t="shared" ref="H9:I9" si="0">N9*$M$8</f>
        <v>389.65833333333336</v>
      </c>
      <c r="I9" s="1796">
        <f t="shared" si="0"/>
        <v>508.25000000000006</v>
      </c>
      <c r="J9" s="1795"/>
      <c r="K9" s="1797"/>
      <c r="L9" s="1800"/>
      <c r="M9" s="1801">
        <v>253.33333333333337</v>
      </c>
      <c r="N9" s="1800">
        <v>364.16666666666669</v>
      </c>
      <c r="O9" s="1800">
        <v>475</v>
      </c>
      <c r="P9" s="1797"/>
      <c r="Q9" s="1797"/>
      <c r="R9" s="1797"/>
      <c r="S9" s="1797"/>
      <c r="T9" s="1797"/>
      <c r="U9" s="1797"/>
      <c r="V9" s="1797"/>
      <c r="W9" s="1797"/>
      <c r="X9" s="1797"/>
      <c r="Y9" s="1797"/>
      <c r="Z9" s="1797"/>
      <c r="AA9" s="1797"/>
      <c r="AB9" s="1797"/>
      <c r="AC9" s="1797"/>
      <c r="AD9" s="1797"/>
      <c r="AE9" s="1797"/>
      <c r="AF9" s="1797"/>
      <c r="AG9" s="1797"/>
      <c r="AH9" s="1797"/>
      <c r="AI9" s="1797"/>
    </row>
    <row r="10" spans="1:54" s="1798" customFormat="1" ht="44.25" customHeight="1">
      <c r="A10" s="1729"/>
      <c r="B10" s="1730"/>
      <c r="C10" s="1739"/>
      <c r="D10" s="1793" t="s">
        <v>484</v>
      </c>
      <c r="E10" s="1802" t="s">
        <v>391</v>
      </c>
      <c r="F10" s="1795" t="s">
        <v>392</v>
      </c>
      <c r="G10" s="1796">
        <f t="shared" ref="G10:G73" si="1">M10*$M$8</f>
        <v>4.1702564102564113</v>
      </c>
      <c r="H10" s="1796">
        <f t="shared" ref="H10:H73" si="2">N10*$M$8</f>
        <v>5.9947435897435906</v>
      </c>
      <c r="I10" s="1796">
        <f t="shared" ref="I10:I73" si="3">O10*$M$8</f>
        <v>7.8192307692307708</v>
      </c>
      <c r="J10" s="1795" t="s">
        <v>396</v>
      </c>
      <c r="K10" s="1797"/>
      <c r="L10" s="1800"/>
      <c r="M10" s="1801">
        <v>3.8974358974358978</v>
      </c>
      <c r="N10" s="1800">
        <v>5.6025641025641031</v>
      </c>
      <c r="O10" s="1800">
        <v>7.3076923076923084</v>
      </c>
      <c r="P10" s="1797"/>
      <c r="Q10" s="1797"/>
      <c r="R10" s="1797"/>
      <c r="S10" s="1797"/>
      <c r="T10" s="1797"/>
      <c r="U10" s="1797"/>
      <c r="V10" s="1797"/>
      <c r="W10" s="1797"/>
      <c r="X10" s="1797"/>
      <c r="Y10" s="1797"/>
      <c r="Z10" s="1797"/>
      <c r="AA10" s="1797"/>
      <c r="AB10" s="1797"/>
      <c r="AC10" s="1797"/>
      <c r="AD10" s="1797"/>
      <c r="AE10" s="1797"/>
      <c r="AF10" s="1797"/>
      <c r="AG10" s="1797"/>
      <c r="AH10" s="1797"/>
      <c r="AI10" s="1797"/>
    </row>
    <row r="11" spans="1:54" s="1798" customFormat="1" ht="35.25" customHeight="1">
      <c r="A11" s="1729"/>
      <c r="B11" s="1730"/>
      <c r="C11" s="1739"/>
      <c r="D11" s="1793" t="s">
        <v>485</v>
      </c>
      <c r="E11" s="1802" t="s">
        <v>394</v>
      </c>
      <c r="F11" s="1795" t="s">
        <v>392</v>
      </c>
      <c r="G11" s="1796">
        <f t="shared" si="1"/>
        <v>6.9504273504273524</v>
      </c>
      <c r="H11" s="1796">
        <f t="shared" si="2"/>
        <v>9.9912393162393194</v>
      </c>
      <c r="I11" s="1796">
        <f t="shared" si="3"/>
        <v>13.032051282051286</v>
      </c>
      <c r="J11" s="1795" t="s">
        <v>396</v>
      </c>
      <c r="K11" s="1797"/>
      <c r="L11" s="1800"/>
      <c r="M11" s="1801">
        <v>6.4957264957264975</v>
      </c>
      <c r="N11" s="1800">
        <v>9.33760683760684</v>
      </c>
      <c r="O11" s="1800">
        <v>12.179487179487182</v>
      </c>
      <c r="P11" s="1797"/>
      <c r="Q11" s="1797"/>
      <c r="R11" s="1797"/>
      <c r="S11" s="1797"/>
      <c r="T11" s="1797"/>
      <c r="U11" s="1797"/>
      <c r="V11" s="1797"/>
      <c r="W11" s="1797"/>
      <c r="X11" s="1797"/>
      <c r="Y11" s="1797"/>
      <c r="Z11" s="1797"/>
      <c r="AA11" s="1797"/>
      <c r="AB11" s="1797"/>
      <c r="AC11" s="1797"/>
      <c r="AD11" s="1797"/>
      <c r="AE11" s="1797"/>
      <c r="AF11" s="1797"/>
      <c r="AG11" s="1797"/>
      <c r="AH11" s="1797"/>
      <c r="AI11" s="1797"/>
    </row>
    <row r="12" spans="1:54" s="1798" customFormat="1" ht="21" customHeight="1">
      <c r="A12" s="1729"/>
      <c r="B12" s="1730"/>
      <c r="C12" s="1739"/>
      <c r="D12" s="1793" t="s">
        <v>486</v>
      </c>
      <c r="E12" s="1802" t="s">
        <v>395</v>
      </c>
      <c r="F12" s="1795" t="s">
        <v>396</v>
      </c>
      <c r="G12" s="1796">
        <f t="shared" si="1"/>
        <v>5.7920227920227934</v>
      </c>
      <c r="H12" s="1796">
        <f t="shared" si="2"/>
        <v>8.3260327635327638</v>
      </c>
      <c r="I12" s="1796">
        <f t="shared" si="3"/>
        <v>10.860042735042738</v>
      </c>
      <c r="J12" s="1795" t="s">
        <v>396</v>
      </c>
      <c r="K12" s="1797"/>
      <c r="L12" s="1800"/>
      <c r="M12" s="1801">
        <v>5.4131054131054137</v>
      </c>
      <c r="N12" s="1800">
        <v>7.7813390313390318</v>
      </c>
      <c r="O12" s="1800">
        <v>10.149572649572651</v>
      </c>
      <c r="P12" s="1797"/>
      <c r="Q12" s="1797"/>
      <c r="R12" s="1797"/>
      <c r="S12" s="1797"/>
      <c r="T12" s="1797"/>
      <c r="U12" s="1797"/>
      <c r="V12" s="1797"/>
      <c r="W12" s="1797"/>
      <c r="X12" s="1797"/>
      <c r="Y12" s="1797"/>
      <c r="Z12" s="1797"/>
      <c r="AA12" s="1797"/>
      <c r="AB12" s="1797"/>
      <c r="AC12" s="1797"/>
      <c r="AD12" s="1797"/>
      <c r="AE12" s="1797"/>
      <c r="AF12" s="1797"/>
      <c r="AG12" s="1797"/>
      <c r="AH12" s="1797"/>
      <c r="AI12" s="1797"/>
    </row>
    <row r="13" spans="1:54" s="1798" customFormat="1" ht="21" customHeight="1">
      <c r="A13" s="1729"/>
      <c r="B13" s="1730"/>
      <c r="C13" s="1739"/>
      <c r="D13" s="1793" t="s">
        <v>487</v>
      </c>
      <c r="E13" s="1802" t="s">
        <v>397</v>
      </c>
      <c r="F13" s="1795" t="s">
        <v>396</v>
      </c>
      <c r="G13" s="1796">
        <f t="shared" si="1"/>
        <v>7.6820512820512832</v>
      </c>
      <c r="H13" s="1796">
        <f t="shared" si="2"/>
        <v>11.04294871794872</v>
      </c>
      <c r="I13" s="1796">
        <f t="shared" si="3"/>
        <v>14.403846153846155</v>
      </c>
      <c r="J13" s="1795" t="s">
        <v>396</v>
      </c>
      <c r="K13" s="1797"/>
      <c r="L13" s="1800"/>
      <c r="M13" s="1801">
        <v>7.1794871794871797</v>
      </c>
      <c r="N13" s="1800">
        <v>10.320512820512821</v>
      </c>
      <c r="O13" s="1800">
        <v>13.461538461538462</v>
      </c>
      <c r="P13" s="1797"/>
      <c r="Q13" s="1797"/>
      <c r="R13" s="1797"/>
      <c r="S13" s="1797"/>
      <c r="T13" s="1797"/>
      <c r="U13" s="1797"/>
      <c r="V13" s="1797"/>
      <c r="W13" s="1797"/>
      <c r="X13" s="1797"/>
      <c r="Y13" s="1797"/>
      <c r="Z13" s="1797"/>
      <c r="AA13" s="1797"/>
      <c r="AB13" s="1797"/>
      <c r="AC13" s="1797"/>
      <c r="AD13" s="1797"/>
      <c r="AE13" s="1797"/>
      <c r="AF13" s="1797"/>
      <c r="AG13" s="1797"/>
      <c r="AH13" s="1797"/>
      <c r="AI13" s="1797"/>
    </row>
    <row r="14" spans="1:54" s="1798" customFormat="1" ht="21" customHeight="1">
      <c r="A14" s="1729"/>
      <c r="B14" s="1730"/>
      <c r="C14" s="1739"/>
      <c r="D14" s="1793" t="s">
        <v>488</v>
      </c>
      <c r="E14" s="1802" t="s">
        <v>398</v>
      </c>
      <c r="F14" s="1795" t="s">
        <v>396</v>
      </c>
      <c r="G14" s="1796">
        <f t="shared" si="1"/>
        <v>24.14358974358975</v>
      </c>
      <c r="H14" s="1796">
        <f t="shared" si="2"/>
        <v>34.706410256410265</v>
      </c>
      <c r="I14" s="1796">
        <f t="shared" si="3"/>
        <v>45.269230769230781</v>
      </c>
      <c r="J14" s="1795" t="s">
        <v>396</v>
      </c>
      <c r="K14" s="1797"/>
      <c r="L14" s="1800"/>
      <c r="M14" s="1801">
        <v>22.564102564102569</v>
      </c>
      <c r="N14" s="1800">
        <v>32.435897435897445</v>
      </c>
      <c r="O14" s="1800">
        <v>42.307692307692314</v>
      </c>
      <c r="P14" s="1797"/>
      <c r="Q14" s="1797"/>
      <c r="R14" s="1797"/>
      <c r="S14" s="1797"/>
      <c r="T14" s="1797"/>
      <c r="U14" s="1797"/>
      <c r="V14" s="1797"/>
      <c r="W14" s="1797"/>
      <c r="X14" s="1797"/>
      <c r="Y14" s="1797"/>
      <c r="Z14" s="1797"/>
      <c r="AA14" s="1797"/>
      <c r="AB14" s="1797"/>
      <c r="AC14" s="1797"/>
      <c r="AD14" s="1797"/>
      <c r="AE14" s="1797"/>
      <c r="AF14" s="1797"/>
      <c r="AG14" s="1797"/>
      <c r="AH14" s="1797"/>
      <c r="AI14" s="1797"/>
    </row>
    <row r="15" spans="1:54" s="1798" customFormat="1" ht="21" customHeight="1">
      <c r="A15" s="1729"/>
      <c r="B15" s="1730"/>
      <c r="C15" s="1739"/>
      <c r="D15" s="1793" t="s">
        <v>489</v>
      </c>
      <c r="E15" s="1802" t="s">
        <v>399</v>
      </c>
      <c r="F15" s="1795" t="s">
        <v>396</v>
      </c>
      <c r="G15" s="1796">
        <f t="shared" si="1"/>
        <v>176.41282051282056</v>
      </c>
      <c r="H15" s="1796">
        <f t="shared" si="2"/>
        <v>253.59342948717955</v>
      </c>
      <c r="I15" s="1796">
        <f t="shared" si="3"/>
        <v>330.77403846153851</v>
      </c>
      <c r="J15" s="1795" t="s">
        <v>396</v>
      </c>
      <c r="K15" s="1797"/>
      <c r="L15" s="1800"/>
      <c r="M15" s="1801">
        <v>164.87179487179492</v>
      </c>
      <c r="N15" s="1800">
        <v>237.00320512820517</v>
      </c>
      <c r="O15" s="1800">
        <v>309.13461538461542</v>
      </c>
      <c r="P15" s="1797"/>
      <c r="Q15" s="1797"/>
      <c r="R15" s="1797"/>
      <c r="S15" s="1797"/>
      <c r="T15" s="1797"/>
      <c r="U15" s="1797"/>
      <c r="V15" s="1797">
        <v>95</v>
      </c>
      <c r="W15" s="1797"/>
      <c r="X15" s="1797"/>
      <c r="Y15" s="1797"/>
      <c r="Z15" s="1797"/>
      <c r="AA15" s="1797"/>
      <c r="AB15" s="1797"/>
      <c r="AC15" s="1797"/>
      <c r="AD15" s="1797"/>
      <c r="AE15" s="1797"/>
      <c r="AF15" s="1797"/>
      <c r="AG15" s="1797"/>
      <c r="AH15" s="1797"/>
      <c r="AI15" s="1797"/>
    </row>
    <row r="16" spans="1:54" s="1798" customFormat="1" ht="21" customHeight="1">
      <c r="A16" s="1729"/>
      <c r="B16" s="1730"/>
      <c r="C16" s="1739"/>
      <c r="D16" s="1793" t="s">
        <v>490</v>
      </c>
      <c r="E16" s="1802" t="s">
        <v>400</v>
      </c>
      <c r="F16" s="1795" t="s">
        <v>401</v>
      </c>
      <c r="G16" s="1796">
        <f t="shared" si="1"/>
        <v>405.72814814814819</v>
      </c>
      <c r="H16" s="1796">
        <f t="shared" si="2"/>
        <v>583.23421296296294</v>
      </c>
      <c r="I16" s="1796">
        <f t="shared" si="3"/>
        <v>760.74027777777792</v>
      </c>
      <c r="J16" s="1795" t="s">
        <v>401</v>
      </c>
      <c r="K16" s="1797"/>
      <c r="L16" s="1800"/>
      <c r="M16" s="1801">
        <v>379.18518518518522</v>
      </c>
      <c r="N16" s="1800">
        <v>545.0787037037037</v>
      </c>
      <c r="O16" s="1800">
        <v>710.97222222222229</v>
      </c>
      <c r="P16" s="1797"/>
      <c r="Q16" s="1797"/>
      <c r="R16" s="1797"/>
      <c r="S16" s="1797"/>
      <c r="T16" s="1797"/>
      <c r="U16" s="1797"/>
      <c r="V16" s="1797">
        <f>V15/0.3</f>
        <v>316.66666666666669</v>
      </c>
      <c r="W16" s="1797"/>
      <c r="X16" s="1797"/>
      <c r="Y16" s="1797"/>
      <c r="Z16" s="1797"/>
      <c r="AA16" s="1797"/>
      <c r="AB16" s="1797"/>
      <c r="AC16" s="1797"/>
      <c r="AD16" s="1797"/>
      <c r="AE16" s="1797"/>
      <c r="AF16" s="1797"/>
      <c r="AG16" s="1797"/>
      <c r="AH16" s="1797"/>
      <c r="AI16" s="1797"/>
    </row>
    <row r="17" spans="1:35" s="1798" customFormat="1" ht="21" customHeight="1">
      <c r="A17" s="1729"/>
      <c r="B17" s="1730"/>
      <c r="C17" s="1739"/>
      <c r="D17" s="1793" t="s">
        <v>491</v>
      </c>
      <c r="E17" s="1802" t="s">
        <v>402</v>
      </c>
      <c r="F17" s="1795" t="s">
        <v>396</v>
      </c>
      <c r="G17" s="1796">
        <f t="shared" si="1"/>
        <v>4.2982905982905981</v>
      </c>
      <c r="H17" s="1796">
        <f t="shared" si="2"/>
        <v>6.1787927350427347</v>
      </c>
      <c r="I17" s="1796">
        <f t="shared" si="3"/>
        <v>8.0592948717948723</v>
      </c>
      <c r="J17" s="1795" t="s">
        <v>396</v>
      </c>
      <c r="K17" s="1797"/>
      <c r="L17" s="1800"/>
      <c r="M17" s="1801">
        <v>4.017094017094017</v>
      </c>
      <c r="N17" s="1800">
        <v>5.774572649572649</v>
      </c>
      <c r="O17" s="1800">
        <v>7.5320512820512819</v>
      </c>
      <c r="P17" s="1797"/>
      <c r="Q17" s="1797"/>
      <c r="R17" s="1797"/>
      <c r="S17" s="1797"/>
      <c r="T17" s="1797"/>
      <c r="U17" s="1797"/>
      <c r="V17" s="1797"/>
      <c r="W17" s="1797"/>
      <c r="X17" s="1797"/>
      <c r="Y17" s="1797"/>
      <c r="Z17" s="1797"/>
      <c r="AA17" s="1797"/>
      <c r="AB17" s="1797"/>
      <c r="AC17" s="1797"/>
      <c r="AD17" s="1797"/>
      <c r="AE17" s="1797"/>
      <c r="AF17" s="1797"/>
      <c r="AG17" s="1797"/>
      <c r="AH17" s="1797"/>
      <c r="AI17" s="1797"/>
    </row>
    <row r="18" spans="1:35" s="1798" customFormat="1" ht="21" customHeight="1">
      <c r="A18" s="1729"/>
      <c r="B18" s="1730"/>
      <c r="C18" s="1739"/>
      <c r="D18" s="1793" t="s">
        <v>492</v>
      </c>
      <c r="E18" s="1802" t="s">
        <v>403</v>
      </c>
      <c r="F18" s="1795" t="s">
        <v>396</v>
      </c>
      <c r="G18" s="1796">
        <f t="shared" si="1"/>
        <v>22.558404558404565</v>
      </c>
      <c r="H18" s="1796">
        <f t="shared" si="2"/>
        <v>32.42770655270656</v>
      </c>
      <c r="I18" s="1796">
        <f t="shared" si="3"/>
        <v>42.297008547008552</v>
      </c>
      <c r="J18" s="1795" t="s">
        <v>396</v>
      </c>
      <c r="K18" s="1797"/>
      <c r="L18" s="1800"/>
      <c r="M18" s="1801">
        <v>21.082621082621088</v>
      </c>
      <c r="N18" s="1800">
        <v>30.306267806267812</v>
      </c>
      <c r="O18" s="1800">
        <v>39.529914529914535</v>
      </c>
      <c r="P18" s="1797"/>
      <c r="Q18" s="1797"/>
      <c r="R18" s="1797"/>
      <c r="S18" s="1797"/>
      <c r="T18" s="1797"/>
      <c r="U18" s="1797"/>
      <c r="V18" s="1797"/>
      <c r="W18" s="1797"/>
      <c r="X18" s="1797"/>
      <c r="Y18" s="1797"/>
      <c r="Z18" s="1797"/>
      <c r="AA18" s="1797"/>
      <c r="AB18" s="1797"/>
      <c r="AC18" s="1797"/>
      <c r="AD18" s="1797"/>
      <c r="AE18" s="1797"/>
      <c r="AF18" s="1797"/>
      <c r="AG18" s="1797"/>
      <c r="AH18" s="1797"/>
      <c r="AI18" s="1797"/>
    </row>
    <row r="19" spans="1:35" s="1798" customFormat="1" ht="21" customHeight="1">
      <c r="A19" s="1729"/>
      <c r="B19" s="1730"/>
      <c r="C19" s="1739"/>
      <c r="D19" s="1793" t="s">
        <v>493</v>
      </c>
      <c r="E19" s="1802" t="s">
        <v>404</v>
      </c>
      <c r="F19" s="1795" t="s">
        <v>396</v>
      </c>
      <c r="G19" s="1796">
        <f t="shared" si="1"/>
        <v>42.251282051282061</v>
      </c>
      <c r="H19" s="1796">
        <f t="shared" si="2"/>
        <v>60.736217948717965</v>
      </c>
      <c r="I19" s="1796">
        <f t="shared" si="3"/>
        <v>79.221153846153854</v>
      </c>
      <c r="J19" s="1795" t="s">
        <v>396</v>
      </c>
      <c r="K19" s="1797"/>
      <c r="L19" s="1800"/>
      <c r="M19" s="1801">
        <v>39.487179487179496</v>
      </c>
      <c r="N19" s="1800">
        <v>56.762820512820525</v>
      </c>
      <c r="O19" s="1800">
        <v>74.038461538461547</v>
      </c>
      <c r="P19" s="1797"/>
      <c r="Q19" s="1797"/>
      <c r="R19" s="1797"/>
      <c r="S19" s="1797"/>
      <c r="T19" s="1797"/>
      <c r="U19" s="1797"/>
      <c r="V19" s="1797"/>
      <c r="W19" s="1797"/>
      <c r="X19" s="1797"/>
      <c r="Y19" s="1797"/>
      <c r="Z19" s="1797"/>
      <c r="AA19" s="1797"/>
      <c r="AB19" s="1797"/>
      <c r="AC19" s="1797"/>
      <c r="AD19" s="1797"/>
      <c r="AE19" s="1797"/>
      <c r="AF19" s="1797"/>
      <c r="AG19" s="1797"/>
      <c r="AH19" s="1797"/>
      <c r="AI19" s="1797"/>
    </row>
    <row r="20" spans="1:35" s="1798" customFormat="1" ht="21" customHeight="1">
      <c r="A20" s="1729"/>
      <c r="B20" s="1730"/>
      <c r="C20" s="1739"/>
      <c r="D20" s="1793" t="s">
        <v>494</v>
      </c>
      <c r="E20" s="1802" t="s">
        <v>405</v>
      </c>
      <c r="F20" s="1795" t="s">
        <v>406</v>
      </c>
      <c r="G20" s="1796">
        <f t="shared" si="1"/>
        <v>97.97663817663819</v>
      </c>
      <c r="H20" s="1796">
        <f t="shared" si="2"/>
        <v>140.84141737891738</v>
      </c>
      <c r="I20" s="1796">
        <f t="shared" si="3"/>
        <v>183.70619658119659</v>
      </c>
      <c r="J20" s="1795" t="s">
        <v>406</v>
      </c>
      <c r="K20" s="1797"/>
      <c r="L20" s="1800"/>
      <c r="M20" s="1801">
        <v>91.566951566951573</v>
      </c>
      <c r="N20" s="1800">
        <v>131.62749287749287</v>
      </c>
      <c r="O20" s="1800">
        <v>171.68803418803418</v>
      </c>
      <c r="P20" s="1797"/>
      <c r="Q20" s="1797"/>
      <c r="R20" s="1797"/>
      <c r="S20" s="1797"/>
      <c r="T20" s="1797"/>
      <c r="U20" s="1797"/>
      <c r="V20" s="1797">
        <f>10000*0.3</f>
        <v>3000</v>
      </c>
      <c r="W20" s="1797"/>
      <c r="X20" s="1797"/>
      <c r="Y20" s="1797"/>
      <c r="Z20" s="1797"/>
      <c r="AA20" s="1797"/>
      <c r="AB20" s="1797"/>
      <c r="AC20" s="1797"/>
      <c r="AD20" s="1797"/>
      <c r="AE20" s="1797"/>
      <c r="AF20" s="1797"/>
      <c r="AG20" s="1797"/>
      <c r="AH20" s="1797"/>
      <c r="AI20" s="1797"/>
    </row>
    <row r="21" spans="1:35" s="1798" customFormat="1" ht="21" customHeight="1">
      <c r="A21" s="1729"/>
      <c r="B21" s="1730"/>
      <c r="C21" s="1739"/>
      <c r="D21" s="1793" t="s">
        <v>495</v>
      </c>
      <c r="E21" s="1802" t="s">
        <v>407</v>
      </c>
      <c r="F21" s="1795" t="s">
        <v>406</v>
      </c>
      <c r="G21" s="1796">
        <f t="shared" si="1"/>
        <v>7.4137891737891755</v>
      </c>
      <c r="H21" s="1796">
        <f t="shared" si="2"/>
        <v>10.657321937321939</v>
      </c>
      <c r="I21" s="1796">
        <f t="shared" si="3"/>
        <v>13.900854700854701</v>
      </c>
      <c r="J21" s="1795" t="s">
        <v>406</v>
      </c>
      <c r="K21" s="1797"/>
      <c r="L21" s="1800"/>
      <c r="M21" s="1801">
        <v>6.9287749287749296</v>
      </c>
      <c r="N21" s="1800">
        <v>9.9601139601139614</v>
      </c>
      <c r="O21" s="1800">
        <v>12.991452991452991</v>
      </c>
      <c r="P21" s="1797"/>
      <c r="Q21" s="1797"/>
      <c r="R21" s="1797"/>
      <c r="S21" s="1797"/>
      <c r="T21" s="1797"/>
      <c r="U21" s="1797"/>
      <c r="V21" s="1797"/>
      <c r="W21" s="1797"/>
      <c r="X21" s="1797"/>
      <c r="Y21" s="1797"/>
      <c r="Z21" s="1797"/>
      <c r="AA21" s="1797"/>
      <c r="AB21" s="1797"/>
      <c r="AC21" s="1797"/>
      <c r="AD21" s="1797"/>
      <c r="AE21" s="1797"/>
      <c r="AF21" s="1797"/>
      <c r="AG21" s="1797"/>
      <c r="AH21" s="1797"/>
      <c r="AI21" s="1797"/>
    </row>
    <row r="22" spans="1:35" s="1798" customFormat="1" ht="21" customHeight="1">
      <c r="A22" s="1729"/>
      <c r="B22" s="1730"/>
      <c r="C22" s="1739"/>
      <c r="D22" s="1793" t="s">
        <v>496</v>
      </c>
      <c r="E22" s="1802" t="s">
        <v>408</v>
      </c>
      <c r="F22" s="1795" t="s">
        <v>406</v>
      </c>
      <c r="G22" s="1796">
        <f t="shared" si="1"/>
        <v>14.266666666666669</v>
      </c>
      <c r="H22" s="1796">
        <f t="shared" si="2"/>
        <v>20.508333333333336</v>
      </c>
      <c r="I22" s="1796">
        <f t="shared" si="3"/>
        <v>26.75</v>
      </c>
      <c r="J22" s="1795" t="s">
        <v>406</v>
      </c>
      <c r="K22" s="1797"/>
      <c r="L22" s="1800"/>
      <c r="M22" s="1801">
        <v>13.333333333333336</v>
      </c>
      <c r="N22" s="1800">
        <v>19.166666666666668</v>
      </c>
      <c r="O22" s="1800">
        <v>25</v>
      </c>
      <c r="P22" s="1797"/>
      <c r="Q22" s="1797"/>
      <c r="R22" s="1797"/>
      <c r="S22" s="1797"/>
      <c r="T22" s="1797"/>
      <c r="U22" s="1797"/>
      <c r="V22" s="1797"/>
      <c r="W22" s="1797"/>
      <c r="X22" s="1797"/>
      <c r="Y22" s="1797"/>
      <c r="Z22" s="1797"/>
      <c r="AA22" s="1797"/>
      <c r="AB22" s="1797"/>
      <c r="AC22" s="1797"/>
      <c r="AD22" s="1797"/>
      <c r="AE22" s="1797"/>
      <c r="AF22" s="1797"/>
      <c r="AG22" s="1797"/>
      <c r="AH22" s="1797"/>
      <c r="AI22" s="1797"/>
    </row>
    <row r="23" spans="1:35" s="1798" customFormat="1" ht="21" customHeight="1">
      <c r="A23" s="1729"/>
      <c r="B23" s="1730"/>
      <c r="C23" s="1739"/>
      <c r="D23" s="1793" t="s">
        <v>497</v>
      </c>
      <c r="E23" s="1802" t="s">
        <v>409</v>
      </c>
      <c r="F23" s="1795" t="s">
        <v>406</v>
      </c>
      <c r="G23" s="1796">
        <f t="shared" si="1"/>
        <v>29.508831908831915</v>
      </c>
      <c r="H23" s="1796">
        <f t="shared" si="2"/>
        <v>42.418945868945883</v>
      </c>
      <c r="I23" s="1796">
        <f t="shared" si="3"/>
        <v>55.329059829059844</v>
      </c>
      <c r="J23" s="1795" t="s">
        <v>406</v>
      </c>
      <c r="K23" s="1797"/>
      <c r="L23" s="1800"/>
      <c r="M23" s="1801">
        <v>27.578347578347582</v>
      </c>
      <c r="N23" s="1800">
        <v>39.643874643874653</v>
      </c>
      <c r="O23" s="1800">
        <v>51.709401709401718</v>
      </c>
      <c r="P23" s="1797"/>
      <c r="Q23" s="1797"/>
      <c r="R23" s="1797"/>
      <c r="S23" s="1797"/>
      <c r="T23" s="1797"/>
      <c r="U23" s="1797"/>
      <c r="V23" s="1797"/>
      <c r="W23" s="1797"/>
      <c r="X23" s="1797"/>
      <c r="Y23" s="1797"/>
      <c r="Z23" s="1797"/>
      <c r="AA23" s="1797"/>
      <c r="AB23" s="1797"/>
      <c r="AC23" s="1797"/>
      <c r="AD23" s="1797"/>
      <c r="AE23" s="1797"/>
      <c r="AF23" s="1797"/>
      <c r="AG23" s="1797"/>
      <c r="AH23" s="1797"/>
      <c r="AI23" s="1797"/>
    </row>
    <row r="24" spans="1:35" s="1798" customFormat="1" ht="12" hidden="1" customHeight="1">
      <c r="A24" s="1729"/>
      <c r="B24" s="1730"/>
      <c r="C24" s="1739"/>
      <c r="D24" s="1793"/>
      <c r="E24" s="1802"/>
      <c r="F24" s="1795"/>
      <c r="G24" s="1796">
        <f t="shared" si="1"/>
        <v>0</v>
      </c>
      <c r="H24" s="1796">
        <f t="shared" si="2"/>
        <v>0</v>
      </c>
      <c r="I24" s="1796">
        <f t="shared" si="3"/>
        <v>0</v>
      </c>
      <c r="J24" s="1795"/>
      <c r="K24" s="1797"/>
      <c r="L24" s="1800"/>
      <c r="M24" s="1801">
        <v>0</v>
      </c>
      <c r="N24" s="1800">
        <v>0</v>
      </c>
      <c r="O24" s="1800">
        <v>0</v>
      </c>
      <c r="P24" s="1797">
        <v>30.890313390313391</v>
      </c>
      <c r="Q24" s="1797">
        <f t="shared" ref="Q24" si="4">P24*2</f>
        <v>61.780626780626783</v>
      </c>
      <c r="R24" s="1797"/>
      <c r="S24" s="1797"/>
      <c r="T24" s="1797"/>
      <c r="U24" s="1797"/>
      <c r="V24" s="1797"/>
      <c r="W24" s="1797"/>
      <c r="X24" s="1797"/>
      <c r="Y24" s="1797"/>
      <c r="Z24" s="1797"/>
      <c r="AA24" s="1797"/>
      <c r="AB24" s="1797"/>
      <c r="AC24" s="1797"/>
      <c r="AD24" s="1797"/>
      <c r="AE24" s="1797"/>
      <c r="AF24" s="1797"/>
      <c r="AG24" s="1797"/>
      <c r="AH24" s="1797"/>
      <c r="AI24" s="1797"/>
    </row>
    <row r="25" spans="1:35" s="1798" customFormat="1" ht="12" hidden="1" customHeight="1">
      <c r="A25" s="1729"/>
      <c r="B25" s="1730"/>
      <c r="C25" s="1739"/>
      <c r="D25" s="1793"/>
      <c r="E25" s="1802"/>
      <c r="F25" s="1795"/>
      <c r="G25" s="1796">
        <f t="shared" si="1"/>
        <v>0</v>
      </c>
      <c r="H25" s="1796">
        <f t="shared" si="2"/>
        <v>0</v>
      </c>
      <c r="I25" s="1796">
        <f t="shared" si="3"/>
        <v>0</v>
      </c>
      <c r="J25" s="1795"/>
      <c r="K25" s="1797"/>
      <c r="L25" s="1800"/>
      <c r="M25" s="1801">
        <v>0</v>
      </c>
      <c r="N25" s="1800">
        <v>0</v>
      </c>
      <c r="O25" s="1800">
        <v>0</v>
      </c>
      <c r="P25" s="1797"/>
      <c r="Q25" s="1797"/>
      <c r="R25" s="1797"/>
      <c r="S25" s="1797"/>
      <c r="T25" s="1797"/>
      <c r="U25" s="1797"/>
      <c r="V25" s="1797"/>
      <c r="W25" s="1797"/>
      <c r="X25" s="1797"/>
      <c r="Y25" s="1797"/>
      <c r="Z25" s="1797"/>
      <c r="AA25" s="1797"/>
      <c r="AB25" s="1797"/>
      <c r="AC25" s="1797"/>
      <c r="AD25" s="1797"/>
      <c r="AE25" s="1797"/>
      <c r="AF25" s="1797"/>
      <c r="AG25" s="1797"/>
      <c r="AH25" s="1797"/>
      <c r="AI25" s="1797"/>
    </row>
    <row r="26" spans="1:35" s="1798" customFormat="1" ht="12" hidden="1" customHeight="1">
      <c r="A26" s="1729"/>
      <c r="B26" s="1730"/>
      <c r="C26" s="1739"/>
      <c r="D26" s="1793"/>
      <c r="E26" s="1802"/>
      <c r="F26" s="1795"/>
      <c r="G26" s="1796">
        <f t="shared" si="1"/>
        <v>0</v>
      </c>
      <c r="H26" s="1796">
        <f t="shared" si="2"/>
        <v>0</v>
      </c>
      <c r="I26" s="1796">
        <f t="shared" si="3"/>
        <v>0</v>
      </c>
      <c r="J26" s="1795"/>
      <c r="K26" s="1797"/>
      <c r="L26" s="1800"/>
      <c r="M26" s="1801">
        <v>0</v>
      </c>
      <c r="N26" s="1800">
        <v>0</v>
      </c>
      <c r="O26" s="1800">
        <v>0</v>
      </c>
      <c r="P26" s="1797"/>
      <c r="Q26" s="1797"/>
      <c r="R26" s="1797"/>
      <c r="S26" s="1797"/>
      <c r="T26" s="1797"/>
      <c r="U26" s="1797"/>
      <c r="V26" s="1797"/>
      <c r="W26" s="1797"/>
      <c r="X26" s="1797"/>
      <c r="Y26" s="1797"/>
      <c r="Z26" s="1797"/>
      <c r="AA26" s="1797"/>
      <c r="AB26" s="1797"/>
      <c r="AC26" s="1797"/>
      <c r="AD26" s="1797"/>
      <c r="AE26" s="1797"/>
      <c r="AF26" s="1797"/>
      <c r="AG26" s="1797"/>
      <c r="AH26" s="1797"/>
      <c r="AI26" s="1797"/>
    </row>
    <row r="27" spans="1:35" s="1798" customFormat="1" ht="12" hidden="1" customHeight="1">
      <c r="A27" s="1729"/>
      <c r="B27" s="1730"/>
      <c r="C27" s="1739"/>
      <c r="D27" s="1793"/>
      <c r="E27" s="1802"/>
      <c r="F27" s="1795"/>
      <c r="G27" s="1796">
        <f t="shared" si="1"/>
        <v>0</v>
      </c>
      <c r="H27" s="1796">
        <f t="shared" si="2"/>
        <v>0</v>
      </c>
      <c r="I27" s="1796">
        <f t="shared" si="3"/>
        <v>0</v>
      </c>
      <c r="J27" s="1795"/>
      <c r="K27" s="1797"/>
      <c r="L27" s="1800"/>
      <c r="M27" s="1801">
        <v>0</v>
      </c>
      <c r="N27" s="1800">
        <v>0</v>
      </c>
      <c r="O27" s="1800">
        <v>0</v>
      </c>
      <c r="P27" s="1797"/>
      <c r="Q27" s="1797"/>
      <c r="R27" s="1797"/>
      <c r="S27" s="1797"/>
      <c r="T27" s="1797"/>
      <c r="U27" s="1797"/>
      <c r="V27" s="1797"/>
      <c r="W27" s="1797"/>
      <c r="X27" s="1797"/>
      <c r="Y27" s="1797"/>
      <c r="Z27" s="1797"/>
      <c r="AA27" s="1797"/>
      <c r="AB27" s="1797"/>
      <c r="AC27" s="1797"/>
      <c r="AD27" s="1797"/>
      <c r="AE27" s="1797"/>
      <c r="AF27" s="1797"/>
      <c r="AG27" s="1797"/>
      <c r="AH27" s="1797"/>
      <c r="AI27" s="1797"/>
    </row>
    <row r="28" spans="1:35" s="1798" customFormat="1" ht="12" hidden="1" customHeight="1">
      <c r="A28" s="1729"/>
      <c r="B28" s="1730"/>
      <c r="C28" s="1739"/>
      <c r="D28" s="1793"/>
      <c r="E28" s="1802"/>
      <c r="F28" s="1795"/>
      <c r="G28" s="1796">
        <f t="shared" si="1"/>
        <v>0</v>
      </c>
      <c r="H28" s="1796">
        <f t="shared" si="2"/>
        <v>0</v>
      </c>
      <c r="I28" s="1796">
        <f t="shared" si="3"/>
        <v>0</v>
      </c>
      <c r="J28" s="1795"/>
      <c r="K28" s="1797"/>
      <c r="L28" s="1800"/>
      <c r="M28" s="1801">
        <v>0</v>
      </c>
      <c r="N28" s="1800">
        <v>0</v>
      </c>
      <c r="O28" s="1800">
        <v>0</v>
      </c>
      <c r="P28" s="1797"/>
      <c r="Q28" s="1797"/>
      <c r="R28" s="1797"/>
      <c r="S28" s="1797"/>
      <c r="T28" s="1797"/>
      <c r="U28" s="1797"/>
      <c r="V28" s="1797"/>
      <c r="W28" s="1797"/>
      <c r="X28" s="1797"/>
      <c r="Y28" s="1797"/>
      <c r="Z28" s="1797"/>
      <c r="AA28" s="1797"/>
      <c r="AB28" s="1797"/>
      <c r="AC28" s="1797"/>
      <c r="AD28" s="1797"/>
      <c r="AE28" s="1797"/>
      <c r="AF28" s="1797"/>
      <c r="AG28" s="1797"/>
      <c r="AH28" s="1797"/>
      <c r="AI28" s="1797"/>
    </row>
    <row r="29" spans="1:35" s="1798" customFormat="1" ht="12" hidden="1" customHeight="1">
      <c r="A29" s="1729"/>
      <c r="B29" s="1730"/>
      <c r="C29" s="1739"/>
      <c r="D29" s="1793"/>
      <c r="E29" s="1802"/>
      <c r="F29" s="1795"/>
      <c r="G29" s="1796">
        <f t="shared" si="1"/>
        <v>0</v>
      </c>
      <c r="H29" s="1796">
        <f t="shared" si="2"/>
        <v>0</v>
      </c>
      <c r="I29" s="1796">
        <f t="shared" si="3"/>
        <v>0</v>
      </c>
      <c r="J29" s="1795"/>
      <c r="K29" s="1797"/>
      <c r="L29" s="1800"/>
      <c r="M29" s="1801">
        <v>0</v>
      </c>
      <c r="N29" s="1800">
        <v>0</v>
      </c>
      <c r="O29" s="1800">
        <v>0</v>
      </c>
      <c r="P29" s="1797"/>
      <c r="Q29" s="1797"/>
      <c r="R29" s="1797"/>
      <c r="S29" s="1797"/>
      <c r="T29" s="1797"/>
      <c r="U29" s="1797"/>
      <c r="V29" s="1797"/>
      <c r="W29" s="1797"/>
      <c r="X29" s="1797"/>
      <c r="Y29" s="1797"/>
      <c r="Z29" s="1797"/>
      <c r="AA29" s="1797"/>
      <c r="AB29" s="1797"/>
      <c r="AC29" s="1797"/>
      <c r="AD29" s="1797"/>
      <c r="AE29" s="1797"/>
      <c r="AF29" s="1797"/>
      <c r="AG29" s="1797"/>
      <c r="AH29" s="1797"/>
      <c r="AI29" s="1797"/>
    </row>
    <row r="30" spans="1:35" s="1798" customFormat="1" ht="12" hidden="1" customHeight="1">
      <c r="A30" s="1729"/>
      <c r="B30" s="1730"/>
      <c r="C30" s="1739"/>
      <c r="D30" s="1793"/>
      <c r="E30" s="1802"/>
      <c r="F30" s="1795"/>
      <c r="G30" s="1796">
        <f t="shared" si="1"/>
        <v>0</v>
      </c>
      <c r="H30" s="1796">
        <f t="shared" si="2"/>
        <v>0</v>
      </c>
      <c r="I30" s="1796">
        <f t="shared" si="3"/>
        <v>0</v>
      </c>
      <c r="J30" s="1795"/>
      <c r="K30" s="1797"/>
      <c r="L30" s="1800"/>
      <c r="M30" s="1801">
        <v>0</v>
      </c>
      <c r="N30" s="1800">
        <v>0</v>
      </c>
      <c r="O30" s="1800">
        <v>0</v>
      </c>
      <c r="P30" s="1797"/>
      <c r="Q30" s="1797"/>
      <c r="R30" s="1797"/>
      <c r="S30" s="1797"/>
      <c r="T30" s="1797"/>
      <c r="U30" s="1797"/>
      <c r="V30" s="1797"/>
      <c r="W30" s="1797"/>
      <c r="X30" s="1797"/>
      <c r="Y30" s="1797"/>
      <c r="Z30" s="1797"/>
      <c r="AA30" s="1797"/>
      <c r="AB30" s="1797"/>
      <c r="AC30" s="1797"/>
      <c r="AD30" s="1797"/>
      <c r="AE30" s="1797"/>
      <c r="AF30" s="1797"/>
      <c r="AG30" s="1797"/>
      <c r="AH30" s="1797"/>
      <c r="AI30" s="1797"/>
    </row>
    <row r="31" spans="1:35" s="1798" customFormat="1" ht="12" customHeight="1">
      <c r="A31" s="1729"/>
      <c r="B31" s="1730"/>
      <c r="C31" s="1739"/>
      <c r="D31" s="1793" t="s">
        <v>498</v>
      </c>
      <c r="E31" s="1799" t="s">
        <v>499</v>
      </c>
      <c r="F31" s="1795"/>
      <c r="G31" s="1796">
        <f t="shared" si="1"/>
        <v>0</v>
      </c>
      <c r="H31" s="1796">
        <f t="shared" si="2"/>
        <v>0</v>
      </c>
      <c r="I31" s="1796">
        <f t="shared" si="3"/>
        <v>0</v>
      </c>
      <c r="J31" s="1795"/>
      <c r="K31" s="1797"/>
      <c r="L31" s="1800"/>
      <c r="M31" s="1801"/>
      <c r="N31" s="1800"/>
      <c r="O31" s="1800"/>
      <c r="P31" s="1797"/>
      <c r="Q31" s="1797"/>
      <c r="R31" s="1797"/>
      <c r="S31" s="1797"/>
      <c r="T31" s="1797"/>
      <c r="U31" s="1797"/>
      <c r="V31" s="1797"/>
      <c r="W31" s="1797"/>
      <c r="X31" s="1797"/>
      <c r="Y31" s="1797"/>
      <c r="Z31" s="1797"/>
      <c r="AA31" s="1797"/>
      <c r="AB31" s="1797"/>
      <c r="AC31" s="1797"/>
      <c r="AD31" s="1797"/>
      <c r="AE31" s="1797"/>
      <c r="AF31" s="1797"/>
      <c r="AG31" s="1797"/>
      <c r="AH31" s="1797"/>
      <c r="AI31" s="1797"/>
    </row>
    <row r="32" spans="1:35" s="1798" customFormat="1" ht="12" customHeight="1">
      <c r="A32" s="1729"/>
      <c r="B32" s="1730"/>
      <c r="C32" s="1739"/>
      <c r="D32" s="1793" t="s">
        <v>500</v>
      </c>
      <c r="E32" s="1802" t="s">
        <v>410</v>
      </c>
      <c r="F32" s="1795" t="s">
        <v>392</v>
      </c>
      <c r="G32" s="1796">
        <f t="shared" si="1"/>
        <v>2.5680000000000004E-3</v>
      </c>
      <c r="H32" s="1796">
        <f t="shared" si="2"/>
        <v>3.6915000000000008E-3</v>
      </c>
      <c r="I32" s="1796">
        <f t="shared" si="3"/>
        <v>4.8150000000000007E-3</v>
      </c>
      <c r="J32" s="1803" t="s">
        <v>501</v>
      </c>
      <c r="K32" s="1797"/>
      <c r="L32" s="1800"/>
      <c r="M32" s="1801">
        <v>2.4000000000000002E-3</v>
      </c>
      <c r="N32" s="1800">
        <v>3.4500000000000004E-3</v>
      </c>
      <c r="O32" s="1800">
        <v>4.5000000000000005E-3</v>
      </c>
      <c r="P32" s="1797"/>
      <c r="Q32" s="1797"/>
      <c r="R32" s="1797"/>
      <c r="S32" s="1797"/>
      <c r="T32" s="1797"/>
      <c r="U32" s="1797"/>
      <c r="V32" s="1797"/>
      <c r="W32" s="1797"/>
      <c r="X32" s="1797"/>
      <c r="Y32" s="1797"/>
      <c r="Z32" s="1797"/>
      <c r="AA32" s="1797"/>
      <c r="AB32" s="1797"/>
      <c r="AC32" s="1797"/>
      <c r="AD32" s="1797"/>
      <c r="AE32" s="1797"/>
      <c r="AF32" s="1797"/>
      <c r="AG32" s="1797"/>
      <c r="AH32" s="1797"/>
      <c r="AI32" s="1797"/>
    </row>
    <row r="33" spans="1:35" s="1798" customFormat="1" ht="12" customHeight="1">
      <c r="A33" s="1729"/>
      <c r="B33" s="1730"/>
      <c r="C33" s="1739"/>
      <c r="D33" s="1793" t="s">
        <v>502</v>
      </c>
      <c r="E33" s="1802" t="s">
        <v>414</v>
      </c>
      <c r="F33" s="1795" t="s">
        <v>416</v>
      </c>
      <c r="G33" s="1796">
        <f t="shared" si="1"/>
        <v>6.8479999999999999E-2</v>
      </c>
      <c r="H33" s="1796">
        <f t="shared" si="2"/>
        <v>9.844E-2</v>
      </c>
      <c r="I33" s="1796">
        <f t="shared" si="3"/>
        <v>0.12840000000000001</v>
      </c>
      <c r="J33" s="1803" t="s">
        <v>503</v>
      </c>
      <c r="K33" s="1797"/>
      <c r="L33" s="1800"/>
      <c r="M33" s="1801">
        <v>6.4000000000000001E-2</v>
      </c>
      <c r="N33" s="1800">
        <v>9.1999999999999998E-2</v>
      </c>
      <c r="O33" s="1800">
        <v>0.12</v>
      </c>
      <c r="P33" s="1797"/>
      <c r="Q33" s="1797"/>
      <c r="R33" s="1797"/>
      <c r="S33" s="1797"/>
      <c r="T33" s="1797"/>
      <c r="U33" s="1797"/>
      <c r="V33" s="1797"/>
      <c r="W33" s="1797"/>
      <c r="X33" s="1797"/>
      <c r="Y33" s="1797"/>
      <c r="Z33" s="1797"/>
      <c r="AA33" s="1797"/>
      <c r="AB33" s="1797"/>
      <c r="AC33" s="1797"/>
      <c r="AD33" s="1797"/>
      <c r="AE33" s="1797"/>
      <c r="AF33" s="1797"/>
      <c r="AG33" s="1797"/>
      <c r="AH33" s="1797"/>
      <c r="AI33" s="1797"/>
    </row>
    <row r="34" spans="1:35" s="1798" customFormat="1" ht="12" customHeight="1">
      <c r="A34" s="1729"/>
      <c r="B34" s="1730"/>
      <c r="C34" s="1739"/>
      <c r="D34" s="1793" t="s">
        <v>504</v>
      </c>
      <c r="E34" s="1799" t="s">
        <v>505</v>
      </c>
      <c r="F34" s="1795"/>
      <c r="G34" s="1796">
        <f t="shared" si="1"/>
        <v>0</v>
      </c>
      <c r="H34" s="1796">
        <f t="shared" si="2"/>
        <v>0</v>
      </c>
      <c r="I34" s="1796">
        <f t="shared" si="3"/>
        <v>0</v>
      </c>
      <c r="J34" s="1795"/>
      <c r="K34" s="1797"/>
      <c r="L34" s="1800"/>
      <c r="M34" s="1801"/>
      <c r="N34" s="1800"/>
      <c r="O34" s="1800"/>
      <c r="P34" s="1797"/>
      <c r="Q34" s="1797"/>
      <c r="R34" s="1797"/>
      <c r="S34" s="1797"/>
      <c r="T34" s="1797"/>
      <c r="U34" s="1797"/>
      <c r="V34" s="1797"/>
      <c r="W34" s="1797"/>
      <c r="X34" s="1797"/>
      <c r="Y34" s="1797"/>
      <c r="Z34" s="1797"/>
      <c r="AA34" s="1797"/>
      <c r="AB34" s="1797"/>
      <c r="AC34" s="1797"/>
      <c r="AD34" s="1797"/>
      <c r="AE34" s="1797"/>
      <c r="AF34" s="1797"/>
      <c r="AG34" s="1797"/>
      <c r="AH34" s="1797"/>
      <c r="AI34" s="1797"/>
    </row>
    <row r="35" spans="1:35" s="1798" customFormat="1" ht="12" customHeight="1">
      <c r="A35" s="1729"/>
      <c r="B35" s="1730"/>
      <c r="C35" s="1739"/>
      <c r="D35" s="1793" t="s">
        <v>506</v>
      </c>
      <c r="E35" s="1799" t="s">
        <v>507</v>
      </c>
      <c r="F35" s="1795" t="s">
        <v>102</v>
      </c>
      <c r="G35" s="1796">
        <f t="shared" si="1"/>
        <v>19.793475783475788</v>
      </c>
      <c r="H35" s="1796">
        <f t="shared" si="2"/>
        <v>28.453121438746443</v>
      </c>
      <c r="I35" s="1796">
        <f t="shared" si="3"/>
        <v>37.112767094017101</v>
      </c>
      <c r="J35" s="1795" t="s">
        <v>431</v>
      </c>
      <c r="K35" s="1797"/>
      <c r="L35" s="1800"/>
      <c r="M35" s="1801">
        <v>18.498575498575502</v>
      </c>
      <c r="N35" s="1800">
        <v>26.591702279202281</v>
      </c>
      <c r="O35" s="1800">
        <v>34.684829059829063</v>
      </c>
      <c r="P35" s="1797"/>
      <c r="Q35" s="1797"/>
      <c r="R35" s="1797"/>
      <c r="S35" s="1797"/>
      <c r="T35" s="1797"/>
      <c r="U35" s="1797"/>
      <c r="V35" s="1797"/>
      <c r="W35" s="1797"/>
      <c r="X35" s="1797"/>
      <c r="Y35" s="1797"/>
      <c r="Z35" s="1797"/>
      <c r="AA35" s="1797"/>
      <c r="AB35" s="1797"/>
      <c r="AC35" s="1797"/>
      <c r="AD35" s="1797"/>
      <c r="AE35" s="1797"/>
      <c r="AF35" s="1797"/>
      <c r="AG35" s="1797"/>
      <c r="AH35" s="1797"/>
      <c r="AI35" s="1797"/>
    </row>
    <row r="36" spans="1:35" s="1798" customFormat="1" ht="12" customHeight="1">
      <c r="A36" s="1729"/>
      <c r="B36" s="1730"/>
      <c r="C36" s="1739"/>
      <c r="D36" s="1793" t="s">
        <v>508</v>
      </c>
      <c r="E36" s="1799" t="s">
        <v>509</v>
      </c>
      <c r="F36" s="1795" t="s">
        <v>392</v>
      </c>
      <c r="G36" s="1796">
        <f t="shared" si="1"/>
        <v>39.909475783475784</v>
      </c>
      <c r="H36" s="1796">
        <f t="shared" si="2"/>
        <v>57.369871438746436</v>
      </c>
      <c r="I36" s="1796">
        <f t="shared" si="3"/>
        <v>74.830267094017088</v>
      </c>
      <c r="J36" s="1795" t="s">
        <v>393</v>
      </c>
      <c r="K36" s="1797"/>
      <c r="L36" s="1800"/>
      <c r="M36" s="1801">
        <v>37.298575498575495</v>
      </c>
      <c r="N36" s="1800">
        <v>53.616702279202272</v>
      </c>
      <c r="O36" s="1800">
        <v>69.934829059829056</v>
      </c>
      <c r="P36" s="1797"/>
      <c r="Q36" s="1797"/>
      <c r="R36" s="1797"/>
      <c r="S36" s="1797"/>
      <c r="T36" s="1797"/>
      <c r="U36" s="1797"/>
      <c r="V36" s="1797"/>
      <c r="W36" s="1797"/>
      <c r="X36" s="1797"/>
      <c r="Y36" s="1797"/>
      <c r="Z36" s="1797"/>
      <c r="AA36" s="1797"/>
      <c r="AB36" s="1797"/>
      <c r="AC36" s="1797"/>
      <c r="AD36" s="1797"/>
      <c r="AE36" s="1797"/>
      <c r="AF36" s="1797"/>
      <c r="AG36" s="1797"/>
      <c r="AH36" s="1797"/>
      <c r="AI36" s="1797"/>
    </row>
    <row r="37" spans="1:35" s="1798" customFormat="1" ht="12" customHeight="1">
      <c r="A37" s="1729"/>
      <c r="B37" s="1730"/>
      <c r="C37" s="1739"/>
      <c r="D37" s="1793"/>
      <c r="E37" s="1799"/>
      <c r="F37" s="1795"/>
      <c r="G37" s="1796">
        <f t="shared" si="1"/>
        <v>0</v>
      </c>
      <c r="H37" s="1796">
        <f t="shared" si="2"/>
        <v>0</v>
      </c>
      <c r="I37" s="1796">
        <f t="shared" si="3"/>
        <v>0</v>
      </c>
      <c r="J37" s="1795"/>
      <c r="K37" s="1797"/>
      <c r="L37" s="1797"/>
      <c r="M37" s="1801"/>
      <c r="N37" s="1800"/>
      <c r="O37" s="1800"/>
      <c r="P37" s="1797"/>
      <c r="Q37" s="1797"/>
      <c r="R37" s="1797"/>
      <c r="S37" s="1797"/>
      <c r="T37" s="1797"/>
      <c r="U37" s="1797"/>
      <c r="V37" s="1797"/>
      <c r="W37" s="1797"/>
      <c r="X37" s="1797"/>
      <c r="Y37" s="1797"/>
      <c r="Z37" s="1797"/>
      <c r="AA37" s="1797"/>
      <c r="AB37" s="1797"/>
      <c r="AC37" s="1797"/>
      <c r="AD37" s="1797"/>
      <c r="AE37" s="1797"/>
      <c r="AF37" s="1797"/>
      <c r="AG37" s="1797"/>
      <c r="AH37" s="1797"/>
      <c r="AI37" s="1797"/>
    </row>
    <row r="38" spans="1:35" s="1798" customFormat="1" ht="12" customHeight="1">
      <c r="A38" s="1729"/>
      <c r="B38" s="1730"/>
      <c r="C38" s="1739"/>
      <c r="D38" s="1793" t="s">
        <v>510</v>
      </c>
      <c r="E38" s="1804" t="s">
        <v>333</v>
      </c>
      <c r="F38" s="1795"/>
      <c r="G38" s="1796">
        <f t="shared" si="1"/>
        <v>0</v>
      </c>
      <c r="H38" s="1796">
        <f t="shared" si="2"/>
        <v>0</v>
      </c>
      <c r="I38" s="1796">
        <f t="shared" si="3"/>
        <v>0</v>
      </c>
      <c r="J38" s="1795"/>
      <c r="K38" s="1797"/>
      <c r="L38" s="1797"/>
      <c r="M38" s="1801"/>
      <c r="N38" s="1800"/>
      <c r="O38" s="1800"/>
      <c r="P38" s="1797"/>
      <c r="Q38" s="1797"/>
      <c r="R38" s="1797"/>
      <c r="S38" s="1797"/>
      <c r="T38" s="1797"/>
      <c r="U38" s="1797"/>
      <c r="V38" s="1797"/>
      <c r="W38" s="1797"/>
      <c r="X38" s="1797"/>
      <c r="Y38" s="1797"/>
      <c r="Z38" s="1797"/>
      <c r="AA38" s="1797"/>
      <c r="AB38" s="1797"/>
      <c r="AC38" s="1797"/>
      <c r="AD38" s="1797"/>
      <c r="AE38" s="1797"/>
      <c r="AF38" s="1797"/>
      <c r="AG38" s="1797"/>
      <c r="AH38" s="1797"/>
      <c r="AI38" s="1797"/>
    </row>
    <row r="39" spans="1:35" s="1798" customFormat="1" ht="12" customHeight="1">
      <c r="A39" s="1729"/>
      <c r="B39" s="1730"/>
      <c r="C39" s="1739"/>
      <c r="D39" s="1793" t="s">
        <v>511</v>
      </c>
      <c r="E39" s="1799" t="s">
        <v>512</v>
      </c>
      <c r="F39" s="1795"/>
      <c r="G39" s="1796">
        <f t="shared" si="1"/>
        <v>0</v>
      </c>
      <c r="H39" s="1796">
        <f t="shared" si="2"/>
        <v>0</v>
      </c>
      <c r="I39" s="1796">
        <f t="shared" si="3"/>
        <v>0</v>
      </c>
      <c r="J39" s="1795"/>
      <c r="K39" s="1797"/>
      <c r="L39" s="1797"/>
      <c r="M39" s="1801"/>
      <c r="N39" s="1800"/>
      <c r="O39" s="1800"/>
      <c r="P39" s="1797"/>
      <c r="Q39" s="1797"/>
      <c r="R39" s="1797"/>
      <c r="S39" s="1797"/>
      <c r="T39" s="1797"/>
      <c r="U39" s="1797"/>
      <c r="V39" s="1797"/>
      <c r="W39" s="1797"/>
      <c r="X39" s="1797"/>
      <c r="Y39" s="1797"/>
      <c r="Z39" s="1797"/>
      <c r="AA39" s="1797"/>
      <c r="AB39" s="1797"/>
      <c r="AC39" s="1797"/>
      <c r="AD39" s="1797"/>
      <c r="AE39" s="1797"/>
      <c r="AF39" s="1797"/>
      <c r="AG39" s="1797"/>
      <c r="AH39" s="1797"/>
      <c r="AI39" s="1797"/>
    </row>
    <row r="40" spans="1:35" s="1798" customFormat="1" ht="12" customHeight="1">
      <c r="A40" s="1729"/>
      <c r="B40" s="1730"/>
      <c r="C40" s="1739"/>
      <c r="D40" s="1793" t="s">
        <v>513</v>
      </c>
      <c r="E40" s="1799" t="s">
        <v>457</v>
      </c>
      <c r="F40" s="1795" t="s">
        <v>456</v>
      </c>
      <c r="G40" s="1796">
        <f t="shared" si="1"/>
        <v>0.85600000000000009</v>
      </c>
      <c r="H40" s="1796">
        <f t="shared" si="2"/>
        <v>1.2304999999999999</v>
      </c>
      <c r="I40" s="1796">
        <f t="shared" si="3"/>
        <v>1.605</v>
      </c>
      <c r="J40" s="1795" t="s">
        <v>514</v>
      </c>
      <c r="K40" s="1797"/>
      <c r="L40" s="1797"/>
      <c r="M40" s="1801">
        <v>0.8</v>
      </c>
      <c r="N40" s="1800">
        <v>1.1499999999999999</v>
      </c>
      <c r="O40" s="1800">
        <v>1.5</v>
      </c>
      <c r="P40" s="1797"/>
      <c r="Q40" s="1797"/>
      <c r="R40" s="1797"/>
      <c r="S40" s="1797"/>
      <c r="T40" s="1797"/>
      <c r="U40" s="1797"/>
      <c r="V40" s="1797"/>
      <c r="W40" s="1797"/>
      <c r="X40" s="1797"/>
      <c r="Y40" s="1797"/>
      <c r="Z40" s="1797"/>
      <c r="AA40" s="1797"/>
      <c r="AB40" s="1797"/>
      <c r="AC40" s="1797"/>
      <c r="AD40" s="1797"/>
      <c r="AE40" s="1797"/>
      <c r="AF40" s="1797"/>
      <c r="AG40" s="1797"/>
      <c r="AH40" s="1797"/>
      <c r="AI40" s="1797"/>
    </row>
    <row r="41" spans="1:35" s="1798" customFormat="1" ht="12" customHeight="1">
      <c r="A41" s="1729"/>
      <c r="B41" s="1730"/>
      <c r="C41" s="1739"/>
      <c r="D41" s="1793" t="s">
        <v>515</v>
      </c>
      <c r="E41" s="1799" t="s">
        <v>454</v>
      </c>
      <c r="F41" s="1795" t="s">
        <v>456</v>
      </c>
      <c r="G41" s="1796">
        <f t="shared" si="1"/>
        <v>0.42800000000000005</v>
      </c>
      <c r="H41" s="1796">
        <f t="shared" si="2"/>
        <v>0.61524999999999996</v>
      </c>
      <c r="I41" s="1796">
        <f t="shared" si="3"/>
        <v>0.80249999999999999</v>
      </c>
      <c r="J41" s="1795" t="s">
        <v>514</v>
      </c>
      <c r="K41" s="1797"/>
      <c r="L41" s="1797"/>
      <c r="M41" s="1801">
        <v>0.4</v>
      </c>
      <c r="N41" s="1800">
        <v>0.57499999999999996</v>
      </c>
      <c r="O41" s="1800">
        <v>0.75</v>
      </c>
      <c r="P41" s="1797"/>
      <c r="Q41" s="1797"/>
      <c r="R41" s="1797"/>
      <c r="S41" s="1797"/>
      <c r="T41" s="1797"/>
      <c r="U41" s="1797"/>
      <c r="V41" s="1797"/>
      <c r="W41" s="1797"/>
      <c r="X41" s="1797"/>
      <c r="Y41" s="1797"/>
      <c r="Z41" s="1797"/>
      <c r="AA41" s="1797"/>
      <c r="AB41" s="1797"/>
      <c r="AC41" s="1797"/>
      <c r="AD41" s="1797"/>
      <c r="AE41" s="1797"/>
      <c r="AF41" s="1797"/>
      <c r="AG41" s="1797"/>
      <c r="AH41" s="1797"/>
      <c r="AI41" s="1797"/>
    </row>
    <row r="42" spans="1:35" s="1798" customFormat="1" ht="12" customHeight="1">
      <c r="A42" s="1729"/>
      <c r="B42" s="1730"/>
      <c r="C42" s="1739"/>
      <c r="D42" s="1793" t="s">
        <v>516</v>
      </c>
      <c r="E42" s="1799" t="s">
        <v>517</v>
      </c>
      <c r="F42" s="1795" t="s">
        <v>456</v>
      </c>
      <c r="G42" s="1796">
        <f t="shared" si="1"/>
        <v>0.12840000000000004</v>
      </c>
      <c r="H42" s="1796">
        <f t="shared" si="2"/>
        <v>0.18457500000000004</v>
      </c>
      <c r="I42" s="1796">
        <f t="shared" si="3"/>
        <v>0.24075000000000005</v>
      </c>
      <c r="J42" s="1795" t="s">
        <v>518</v>
      </c>
      <c r="K42" s="1797"/>
      <c r="L42" s="1797"/>
      <c r="M42" s="1801">
        <v>0.12000000000000002</v>
      </c>
      <c r="N42" s="1800">
        <v>0.17250000000000004</v>
      </c>
      <c r="O42" s="1800">
        <v>0.22500000000000003</v>
      </c>
      <c r="P42" s="1797"/>
      <c r="Q42" s="1797"/>
      <c r="R42" s="1797"/>
      <c r="S42" s="1797"/>
      <c r="T42" s="1797"/>
      <c r="U42" s="1797"/>
      <c r="V42" s="1797"/>
      <c r="W42" s="1797"/>
      <c r="X42" s="1797"/>
      <c r="Y42" s="1797"/>
      <c r="Z42" s="1797"/>
      <c r="AA42" s="1797"/>
      <c r="AB42" s="1797"/>
      <c r="AC42" s="1797"/>
      <c r="AD42" s="1797"/>
      <c r="AE42" s="1797"/>
      <c r="AF42" s="1797"/>
      <c r="AG42" s="1797"/>
      <c r="AH42" s="1797"/>
      <c r="AI42" s="1797"/>
    </row>
    <row r="43" spans="1:35" s="1798" customFormat="1" ht="12" customHeight="1">
      <c r="A43" s="1729"/>
      <c r="B43" s="1730"/>
      <c r="C43" s="1739"/>
      <c r="D43" s="1793" t="s">
        <v>519</v>
      </c>
      <c r="E43" s="1799" t="s">
        <v>520</v>
      </c>
      <c r="F43" s="1795" t="s">
        <v>521</v>
      </c>
      <c r="G43" s="1796">
        <f t="shared" si="1"/>
        <v>17.12</v>
      </c>
      <c r="H43" s="1796">
        <f t="shared" si="2"/>
        <v>24.610000000000003</v>
      </c>
      <c r="I43" s="1796">
        <f t="shared" si="3"/>
        <v>32.1</v>
      </c>
      <c r="J43" s="1795" t="s">
        <v>522</v>
      </c>
      <c r="K43" s="1797"/>
      <c r="L43" s="1797"/>
      <c r="M43" s="1801">
        <v>16</v>
      </c>
      <c r="N43" s="1800">
        <v>23</v>
      </c>
      <c r="O43" s="1800">
        <v>30</v>
      </c>
      <c r="P43" s="1797"/>
      <c r="Q43" s="1797"/>
      <c r="R43" s="1797"/>
      <c r="S43" s="1797"/>
      <c r="T43" s="1797"/>
      <c r="U43" s="1797"/>
      <c r="V43" s="1797"/>
      <c r="W43" s="1797"/>
      <c r="X43" s="1797"/>
      <c r="Y43" s="1797"/>
      <c r="Z43" s="1797"/>
      <c r="AA43" s="1797"/>
      <c r="AB43" s="1797"/>
      <c r="AC43" s="1797"/>
      <c r="AD43" s="1797"/>
      <c r="AE43" s="1797"/>
      <c r="AF43" s="1797"/>
      <c r="AG43" s="1797"/>
      <c r="AH43" s="1797"/>
      <c r="AI43" s="1797"/>
    </row>
    <row r="44" spans="1:35" s="1798" customFormat="1" ht="12" customHeight="1">
      <c r="A44" s="1729"/>
      <c r="B44" s="1730"/>
      <c r="C44" s="1739"/>
      <c r="D44" s="1793" t="s">
        <v>523</v>
      </c>
      <c r="E44" s="1799" t="s">
        <v>524</v>
      </c>
      <c r="F44" s="1795" t="s">
        <v>525</v>
      </c>
      <c r="G44" s="1796">
        <f t="shared" si="1"/>
        <v>231.12</v>
      </c>
      <c r="H44" s="1796">
        <f t="shared" si="2"/>
        <v>332.23500000000001</v>
      </c>
      <c r="I44" s="1796">
        <f t="shared" si="3"/>
        <v>433.35</v>
      </c>
      <c r="J44" s="1795" t="s">
        <v>526</v>
      </c>
      <c r="K44" s="1797"/>
      <c r="L44" s="1797"/>
      <c r="M44" s="1801">
        <v>216</v>
      </c>
      <c r="N44" s="1800">
        <v>310.5</v>
      </c>
      <c r="O44" s="1800">
        <v>405</v>
      </c>
      <c r="P44" s="1797"/>
      <c r="Q44" s="1797"/>
      <c r="R44" s="1797"/>
      <c r="S44" s="1797"/>
      <c r="T44" s="1797"/>
      <c r="U44" s="1797"/>
      <c r="V44" s="1797"/>
      <c r="W44" s="1797"/>
      <c r="X44" s="1797"/>
      <c r="Y44" s="1797"/>
      <c r="Z44" s="1797"/>
      <c r="AA44" s="1797"/>
      <c r="AB44" s="1797"/>
      <c r="AC44" s="1797"/>
      <c r="AD44" s="1797"/>
      <c r="AE44" s="1797"/>
      <c r="AF44" s="1797"/>
      <c r="AG44" s="1797"/>
      <c r="AH44" s="1797"/>
      <c r="AI44" s="1797"/>
    </row>
    <row r="45" spans="1:35" s="1798" customFormat="1" ht="12" customHeight="1">
      <c r="A45" s="1729"/>
      <c r="B45" s="1730"/>
      <c r="C45" s="1739"/>
      <c r="D45" s="1793" t="s">
        <v>527</v>
      </c>
      <c r="E45" s="1799" t="s">
        <v>528</v>
      </c>
      <c r="F45" s="1795"/>
      <c r="G45" s="1796">
        <f t="shared" si="1"/>
        <v>0</v>
      </c>
      <c r="H45" s="1796">
        <f t="shared" si="2"/>
        <v>0</v>
      </c>
      <c r="I45" s="1796">
        <f t="shared" si="3"/>
        <v>0</v>
      </c>
      <c r="J45" s="1795"/>
      <c r="K45" s="1797"/>
      <c r="L45" s="1797"/>
      <c r="M45" s="1801"/>
      <c r="N45" s="1800"/>
      <c r="O45" s="1800"/>
      <c r="P45" s="1797"/>
      <c r="Q45" s="1797"/>
      <c r="R45" s="1797"/>
      <c r="S45" s="1797"/>
      <c r="T45" s="1797"/>
      <c r="U45" s="1797"/>
      <c r="V45" s="1797"/>
      <c r="W45" s="1797"/>
      <c r="X45" s="1797"/>
      <c r="Y45" s="1797"/>
      <c r="Z45" s="1797"/>
      <c r="AA45" s="1797"/>
      <c r="AB45" s="1797"/>
      <c r="AC45" s="1797"/>
      <c r="AD45" s="1797"/>
      <c r="AE45" s="1797"/>
      <c r="AF45" s="1797"/>
      <c r="AG45" s="1797"/>
      <c r="AH45" s="1797"/>
      <c r="AI45" s="1797"/>
    </row>
    <row r="46" spans="1:35" s="1798" customFormat="1" ht="12" customHeight="1">
      <c r="A46" s="1729"/>
      <c r="B46" s="1730"/>
      <c r="C46" s="1739"/>
      <c r="D46" s="1793" t="s">
        <v>529</v>
      </c>
      <c r="E46" s="1799" t="s">
        <v>530</v>
      </c>
      <c r="F46" s="1795" t="s">
        <v>416</v>
      </c>
      <c r="G46" s="1796">
        <f t="shared" si="1"/>
        <v>77.040000000000006</v>
      </c>
      <c r="H46" s="1796">
        <f t="shared" si="2"/>
        <v>110.745</v>
      </c>
      <c r="I46" s="1796">
        <f t="shared" si="3"/>
        <v>144.45000000000002</v>
      </c>
      <c r="J46" s="1795" t="s">
        <v>459</v>
      </c>
      <c r="K46" s="1797"/>
      <c r="L46" s="1805"/>
      <c r="M46" s="1801">
        <v>72</v>
      </c>
      <c r="N46" s="1800">
        <v>103.5</v>
      </c>
      <c r="O46" s="1800">
        <v>135</v>
      </c>
      <c r="P46" s="1797"/>
      <c r="Q46" s="1797"/>
      <c r="R46" s="1797"/>
      <c r="S46" s="1797"/>
      <c r="T46" s="1797"/>
      <c r="U46" s="1797"/>
      <c r="V46" s="1797"/>
      <c r="W46" s="1797"/>
      <c r="X46" s="1797"/>
      <c r="Y46" s="1797"/>
      <c r="Z46" s="1797"/>
      <c r="AA46" s="1797"/>
      <c r="AB46" s="1797"/>
      <c r="AC46" s="1797"/>
      <c r="AD46" s="1797"/>
      <c r="AE46" s="1797"/>
      <c r="AF46" s="1797"/>
      <c r="AG46" s="1797"/>
      <c r="AH46" s="1797"/>
      <c r="AI46" s="1797"/>
    </row>
    <row r="47" spans="1:35" s="1798" customFormat="1" ht="12" customHeight="1">
      <c r="A47" s="1729"/>
      <c r="B47" s="1730"/>
      <c r="C47" s="1739"/>
      <c r="D47" s="1793" t="s">
        <v>531</v>
      </c>
      <c r="E47" s="1799" t="s">
        <v>458</v>
      </c>
      <c r="F47" s="1795" t="s">
        <v>416</v>
      </c>
      <c r="G47" s="1796">
        <f t="shared" si="1"/>
        <v>15.408000000000001</v>
      </c>
      <c r="H47" s="1796">
        <f t="shared" si="2"/>
        <v>22.149000000000001</v>
      </c>
      <c r="I47" s="1796">
        <f t="shared" si="3"/>
        <v>28.89</v>
      </c>
      <c r="J47" s="1795" t="s">
        <v>459</v>
      </c>
      <c r="K47" s="1797"/>
      <c r="L47" s="1797"/>
      <c r="M47" s="1801">
        <v>14.4</v>
      </c>
      <c r="N47" s="1800">
        <v>20.7</v>
      </c>
      <c r="O47" s="1800">
        <v>27</v>
      </c>
      <c r="P47" s="1797"/>
      <c r="Q47" s="1797"/>
      <c r="R47" s="1797"/>
      <c r="S47" s="1797"/>
      <c r="T47" s="1797"/>
      <c r="U47" s="1797"/>
      <c r="V47" s="1797"/>
      <c r="W47" s="1797"/>
      <c r="X47" s="1797"/>
      <c r="Y47" s="1797"/>
      <c r="Z47" s="1797"/>
      <c r="AA47" s="1797"/>
      <c r="AB47" s="1797"/>
      <c r="AC47" s="1797"/>
      <c r="AD47" s="1797"/>
      <c r="AE47" s="1797"/>
      <c r="AF47" s="1797"/>
      <c r="AG47" s="1797"/>
      <c r="AH47" s="1797"/>
      <c r="AI47" s="1797"/>
    </row>
    <row r="48" spans="1:35" s="1798" customFormat="1" ht="12" customHeight="1">
      <c r="A48" s="1729"/>
      <c r="B48" s="1730"/>
      <c r="C48" s="1739"/>
      <c r="D48" s="1793" t="s">
        <v>532</v>
      </c>
      <c r="E48" s="1799" t="s">
        <v>533</v>
      </c>
      <c r="F48" s="1795" t="s">
        <v>416</v>
      </c>
      <c r="G48" s="1796">
        <f t="shared" si="1"/>
        <v>14.552000000000003</v>
      </c>
      <c r="H48" s="1796">
        <f t="shared" si="2"/>
        <v>20.918500000000002</v>
      </c>
      <c r="I48" s="1796">
        <f t="shared" si="3"/>
        <v>27.285</v>
      </c>
      <c r="J48" s="1795" t="s">
        <v>459</v>
      </c>
      <c r="K48" s="1797"/>
      <c r="L48" s="1797"/>
      <c r="M48" s="1801">
        <v>13.600000000000001</v>
      </c>
      <c r="N48" s="1800">
        <v>19.55</v>
      </c>
      <c r="O48" s="1800">
        <v>25.5</v>
      </c>
      <c r="P48" s="1797"/>
      <c r="Q48" s="1797"/>
      <c r="R48" s="1797"/>
      <c r="S48" s="1797"/>
      <c r="T48" s="1797"/>
      <c r="U48" s="1797"/>
      <c r="V48" s="1797"/>
      <c r="W48" s="1797"/>
      <c r="X48" s="1797"/>
      <c r="Y48" s="1797"/>
      <c r="Z48" s="1797"/>
      <c r="AA48" s="1797"/>
      <c r="AB48" s="1797"/>
      <c r="AC48" s="1797"/>
      <c r="AD48" s="1797"/>
      <c r="AE48" s="1797"/>
      <c r="AF48" s="1797"/>
      <c r="AG48" s="1797"/>
      <c r="AH48" s="1797"/>
      <c r="AI48" s="1797"/>
    </row>
    <row r="49" spans="1:35" s="1798" customFormat="1" ht="12" customHeight="1">
      <c r="A49" s="1729"/>
      <c r="B49" s="1730"/>
      <c r="C49" s="1739"/>
      <c r="D49" s="1793" t="s">
        <v>534</v>
      </c>
      <c r="E49" s="1799" t="s">
        <v>535</v>
      </c>
      <c r="F49" s="1795"/>
      <c r="G49" s="1796">
        <f t="shared" si="1"/>
        <v>0</v>
      </c>
      <c r="H49" s="1796">
        <f t="shared" si="2"/>
        <v>0</v>
      </c>
      <c r="I49" s="1796">
        <f t="shared" si="3"/>
        <v>0</v>
      </c>
      <c r="J49" s="1795"/>
      <c r="K49" s="1797"/>
      <c r="L49" s="1797"/>
      <c r="M49" s="1801"/>
      <c r="N49" s="1800"/>
      <c r="O49" s="1800"/>
      <c r="P49" s="1797"/>
      <c r="Q49" s="1797"/>
      <c r="R49" s="1797"/>
      <c r="S49" s="1797"/>
      <c r="T49" s="1797"/>
      <c r="U49" s="1797"/>
      <c r="V49" s="1797"/>
      <c r="W49" s="1797"/>
      <c r="X49" s="1797"/>
      <c r="Y49" s="1797"/>
      <c r="Z49" s="1797"/>
      <c r="AA49" s="1797"/>
      <c r="AB49" s="1797"/>
      <c r="AC49" s="1797"/>
      <c r="AD49" s="1797"/>
      <c r="AE49" s="1797"/>
      <c r="AF49" s="1797"/>
      <c r="AG49" s="1797"/>
      <c r="AH49" s="1797"/>
      <c r="AI49" s="1797"/>
    </row>
    <row r="50" spans="1:35" s="1798" customFormat="1" ht="12" customHeight="1">
      <c r="A50" s="1729"/>
      <c r="B50" s="1730"/>
      <c r="C50" s="1739"/>
      <c r="D50" s="1793" t="s">
        <v>536</v>
      </c>
      <c r="E50" s="1799" t="s">
        <v>449</v>
      </c>
      <c r="F50" s="1795" t="s">
        <v>392</v>
      </c>
      <c r="G50" s="1796">
        <f t="shared" si="1"/>
        <v>6.8480000000000008</v>
      </c>
      <c r="H50" s="1796">
        <f t="shared" si="2"/>
        <v>9.8439999999999994</v>
      </c>
      <c r="I50" s="1796">
        <f t="shared" si="3"/>
        <v>12.84</v>
      </c>
      <c r="J50" s="1795" t="s">
        <v>537</v>
      </c>
      <c r="K50" s="1797"/>
      <c r="L50" s="1797"/>
      <c r="M50" s="1801">
        <v>6.4</v>
      </c>
      <c r="N50" s="1800">
        <v>9.1999999999999993</v>
      </c>
      <c r="O50" s="1800">
        <v>12</v>
      </c>
      <c r="P50" s="1797"/>
      <c r="Q50" s="1797"/>
      <c r="R50" s="1797"/>
      <c r="S50" s="1797"/>
      <c r="T50" s="1797"/>
      <c r="U50" s="1797"/>
      <c r="V50" s="1797"/>
      <c r="W50" s="1797"/>
      <c r="X50" s="1797"/>
      <c r="Y50" s="1797"/>
      <c r="Z50" s="1797"/>
      <c r="AA50" s="1797"/>
      <c r="AB50" s="1797"/>
      <c r="AC50" s="1797"/>
      <c r="AD50" s="1797"/>
      <c r="AE50" s="1797"/>
      <c r="AF50" s="1797"/>
      <c r="AG50" s="1797"/>
      <c r="AH50" s="1797"/>
      <c r="AI50" s="1797"/>
    </row>
    <row r="51" spans="1:35" s="1798" customFormat="1" ht="12" customHeight="1">
      <c r="A51" s="1729"/>
      <c r="B51" s="1730"/>
      <c r="C51" s="1739"/>
      <c r="D51" s="1793" t="s">
        <v>538</v>
      </c>
      <c r="E51" s="1806" t="s">
        <v>448</v>
      </c>
      <c r="F51" s="1795" t="s">
        <v>392</v>
      </c>
      <c r="G51" s="1796">
        <f t="shared" si="1"/>
        <v>1.2840000000000003</v>
      </c>
      <c r="H51" s="1796">
        <f t="shared" si="2"/>
        <v>1.8457500000000002</v>
      </c>
      <c r="I51" s="1796">
        <f t="shared" si="3"/>
        <v>2.4075000000000002</v>
      </c>
      <c r="J51" s="1795" t="s">
        <v>537</v>
      </c>
      <c r="K51" s="1797"/>
      <c r="L51" s="1797"/>
      <c r="M51" s="1801">
        <v>1.2000000000000002</v>
      </c>
      <c r="N51" s="1800">
        <v>1.7250000000000001</v>
      </c>
      <c r="O51" s="1800">
        <v>2.25</v>
      </c>
      <c r="P51" s="1797"/>
      <c r="Q51" s="1797"/>
      <c r="R51" s="1797"/>
      <c r="S51" s="1797"/>
      <c r="T51" s="1797"/>
      <c r="U51" s="1797"/>
      <c r="V51" s="1797"/>
      <c r="W51" s="1797"/>
      <c r="X51" s="1797"/>
      <c r="Y51" s="1797"/>
      <c r="Z51" s="1797"/>
      <c r="AA51" s="1797"/>
      <c r="AB51" s="1797"/>
      <c r="AC51" s="1797"/>
      <c r="AD51" s="1797"/>
      <c r="AE51" s="1797"/>
      <c r="AF51" s="1797"/>
      <c r="AG51" s="1797"/>
      <c r="AH51" s="1797"/>
      <c r="AI51" s="1797"/>
    </row>
    <row r="52" spans="1:35" s="1798" customFormat="1" ht="12" customHeight="1">
      <c r="A52" s="1729"/>
      <c r="B52" s="1730"/>
      <c r="C52" s="1739"/>
      <c r="D52" s="1793" t="s">
        <v>539</v>
      </c>
      <c r="E52" s="1799" t="s">
        <v>453</v>
      </c>
      <c r="F52" s="1795" t="s">
        <v>392</v>
      </c>
      <c r="G52" s="1796">
        <f t="shared" si="1"/>
        <v>0.72760000000000014</v>
      </c>
      <c r="H52" s="1796">
        <f t="shared" si="2"/>
        <v>1.045925</v>
      </c>
      <c r="I52" s="1796">
        <f t="shared" si="3"/>
        <v>1.36425</v>
      </c>
      <c r="J52" s="1795" t="s">
        <v>537</v>
      </c>
      <c r="K52" s="1797"/>
      <c r="L52" s="1797"/>
      <c r="M52" s="1801">
        <v>0.68</v>
      </c>
      <c r="N52" s="1800">
        <v>0.97750000000000004</v>
      </c>
      <c r="O52" s="1800">
        <v>1.2749999999999999</v>
      </c>
      <c r="P52" s="1797"/>
      <c r="Q52" s="1797"/>
      <c r="R52" s="1797"/>
      <c r="S52" s="1797"/>
      <c r="T52" s="1797"/>
      <c r="U52" s="1797"/>
      <c r="V52" s="1797"/>
      <c r="W52" s="1797"/>
      <c r="X52" s="1797"/>
      <c r="Y52" s="1797"/>
      <c r="Z52" s="1797"/>
      <c r="AA52" s="1797"/>
      <c r="AB52" s="1797"/>
      <c r="AC52" s="1797"/>
      <c r="AD52" s="1797"/>
      <c r="AE52" s="1797"/>
      <c r="AF52" s="1797"/>
      <c r="AG52" s="1797"/>
      <c r="AH52" s="1797"/>
      <c r="AI52" s="1797"/>
    </row>
    <row r="53" spans="1:35" s="1798" customFormat="1" ht="12" customHeight="1">
      <c r="A53" s="1729"/>
      <c r="B53" s="1730"/>
      <c r="C53" s="1739"/>
      <c r="D53" s="1793" t="s">
        <v>540</v>
      </c>
      <c r="E53" s="1799" t="s">
        <v>451</v>
      </c>
      <c r="F53" s="1795" t="s">
        <v>406</v>
      </c>
      <c r="G53" s="1796">
        <f t="shared" si="1"/>
        <v>4.6480800000000002</v>
      </c>
      <c r="H53" s="1796">
        <f t="shared" si="2"/>
        <v>6.6816150000000007</v>
      </c>
      <c r="I53" s="1796">
        <f t="shared" si="3"/>
        <v>8.7151499999999995</v>
      </c>
      <c r="J53" s="1795" t="s">
        <v>406</v>
      </c>
      <c r="K53" s="1797"/>
      <c r="L53" s="1797"/>
      <c r="M53" s="1801">
        <v>4.3440000000000003</v>
      </c>
      <c r="N53" s="1800">
        <v>6.2445000000000004</v>
      </c>
      <c r="O53" s="1800">
        <v>8.1449999999999996</v>
      </c>
      <c r="P53" s="1797"/>
      <c r="Q53" s="1797"/>
      <c r="R53" s="1797"/>
      <c r="S53" s="1797"/>
      <c r="T53" s="1797"/>
      <c r="U53" s="1797"/>
      <c r="V53" s="1797"/>
      <c r="W53" s="1797"/>
      <c r="X53" s="1797"/>
      <c r="Y53" s="1797"/>
      <c r="Z53" s="1797"/>
      <c r="AA53" s="1797"/>
      <c r="AB53" s="1797"/>
      <c r="AC53" s="1797"/>
      <c r="AD53" s="1797"/>
      <c r="AE53" s="1797"/>
      <c r="AF53" s="1797"/>
      <c r="AG53" s="1797"/>
      <c r="AH53" s="1797"/>
      <c r="AI53" s="1797"/>
    </row>
    <row r="54" spans="1:35" s="1798" customFormat="1" ht="12" customHeight="1">
      <c r="A54" s="1729"/>
      <c r="B54" s="1730"/>
      <c r="C54" s="1739"/>
      <c r="D54" s="1793"/>
      <c r="E54" s="1799"/>
      <c r="F54" s="1795"/>
      <c r="G54" s="1796">
        <f t="shared" si="1"/>
        <v>0</v>
      </c>
      <c r="H54" s="1796">
        <f t="shared" si="2"/>
        <v>0</v>
      </c>
      <c r="I54" s="1796">
        <f t="shared" si="3"/>
        <v>0</v>
      </c>
      <c r="J54" s="1795"/>
      <c r="K54" s="1797"/>
      <c r="L54" s="1797"/>
      <c r="M54" s="1801"/>
      <c r="N54" s="1800"/>
      <c r="O54" s="1800"/>
      <c r="P54" s="1797"/>
      <c r="Q54" s="1797"/>
      <c r="R54" s="1797"/>
      <c r="S54" s="1797"/>
      <c r="T54" s="1797"/>
      <c r="U54" s="1797"/>
      <c r="V54" s="1797"/>
      <c r="W54" s="1797"/>
      <c r="X54" s="1797"/>
      <c r="Y54" s="1797"/>
      <c r="Z54" s="1797"/>
      <c r="AA54" s="1797"/>
      <c r="AB54" s="1797"/>
      <c r="AC54" s="1797"/>
      <c r="AD54" s="1797"/>
      <c r="AE54" s="1797"/>
      <c r="AF54" s="1797"/>
      <c r="AG54" s="1797"/>
      <c r="AH54" s="1797"/>
      <c r="AI54" s="1797"/>
    </row>
    <row r="55" spans="1:35" s="1798" customFormat="1" ht="12" customHeight="1">
      <c r="A55" s="1729"/>
      <c r="B55" s="1730"/>
      <c r="C55" s="1739"/>
      <c r="D55" s="1793" t="s">
        <v>541</v>
      </c>
      <c r="E55" s="1804" t="s">
        <v>542</v>
      </c>
      <c r="F55" s="1795"/>
      <c r="G55" s="1796">
        <f t="shared" si="1"/>
        <v>0</v>
      </c>
      <c r="H55" s="1796">
        <f t="shared" si="2"/>
        <v>0</v>
      </c>
      <c r="I55" s="1796">
        <f t="shared" si="3"/>
        <v>0</v>
      </c>
      <c r="J55" s="1795"/>
      <c r="K55" s="1797"/>
      <c r="L55" s="1797"/>
      <c r="M55" s="1801"/>
      <c r="N55" s="1800"/>
      <c r="O55" s="1800"/>
      <c r="P55" s="1797"/>
      <c r="Q55" s="1797"/>
      <c r="R55" s="1797"/>
      <c r="S55" s="1797"/>
      <c r="T55" s="1797"/>
      <c r="U55" s="1797"/>
      <c r="V55" s="1797"/>
      <c r="W55" s="1797"/>
      <c r="X55" s="1797"/>
      <c r="Y55" s="1797"/>
      <c r="Z55" s="1797"/>
      <c r="AA55" s="1797"/>
      <c r="AB55" s="1797"/>
      <c r="AC55" s="1797"/>
      <c r="AD55" s="1797"/>
      <c r="AE55" s="1797"/>
      <c r="AF55" s="1797"/>
      <c r="AG55" s="1797"/>
      <c r="AH55" s="1797"/>
      <c r="AI55" s="1797"/>
    </row>
    <row r="56" spans="1:35" s="1798" customFormat="1" ht="12" customHeight="1">
      <c r="A56" s="1729"/>
      <c r="B56" s="1730"/>
      <c r="C56" s="1739"/>
      <c r="D56" s="1793" t="s">
        <v>543</v>
      </c>
      <c r="E56" s="1799" t="s">
        <v>544</v>
      </c>
      <c r="F56" s="1795"/>
      <c r="G56" s="1796">
        <f t="shared" si="1"/>
        <v>0</v>
      </c>
      <c r="H56" s="1796">
        <f t="shared" si="2"/>
        <v>0</v>
      </c>
      <c r="I56" s="1796">
        <f t="shared" si="3"/>
        <v>0</v>
      </c>
      <c r="J56" s="1795"/>
      <c r="K56" s="1797"/>
      <c r="L56" s="1797"/>
      <c r="M56" s="1801"/>
      <c r="N56" s="1800"/>
      <c r="O56" s="1800"/>
      <c r="P56" s="1797"/>
      <c r="Q56" s="1797"/>
      <c r="R56" s="1797"/>
      <c r="S56" s="1797"/>
      <c r="T56" s="1797"/>
      <c r="U56" s="1797"/>
      <c r="V56" s="1797"/>
      <c r="W56" s="1797"/>
      <c r="X56" s="1797"/>
      <c r="Y56" s="1797"/>
      <c r="Z56" s="1797"/>
      <c r="AA56" s="1797"/>
      <c r="AB56" s="1797"/>
      <c r="AC56" s="1797"/>
      <c r="AD56" s="1797"/>
      <c r="AE56" s="1797"/>
      <c r="AF56" s="1797"/>
      <c r="AG56" s="1797"/>
      <c r="AH56" s="1797"/>
      <c r="AI56" s="1797"/>
    </row>
    <row r="57" spans="1:35" s="1798" customFormat="1" ht="36.75" customHeight="1">
      <c r="A57" s="1729"/>
      <c r="B57" s="1730"/>
      <c r="C57" s="1739"/>
      <c r="D57" s="1793" t="s">
        <v>545</v>
      </c>
      <c r="E57" s="1806" t="s">
        <v>445</v>
      </c>
      <c r="F57" s="1795" t="s">
        <v>416</v>
      </c>
      <c r="G57" s="1796">
        <f t="shared" si="1"/>
        <v>1.3781600000000001</v>
      </c>
      <c r="H57" s="1796">
        <f t="shared" si="2"/>
        <v>1.9811050000000003</v>
      </c>
      <c r="I57" s="1796">
        <f t="shared" si="3"/>
        <v>2.5840500000000004</v>
      </c>
      <c r="J57" s="1795" t="s">
        <v>436</v>
      </c>
      <c r="K57" s="1797"/>
      <c r="L57" s="1797"/>
      <c r="M57" s="1801">
        <v>1.288</v>
      </c>
      <c r="N57" s="1800">
        <v>1.8515000000000001</v>
      </c>
      <c r="O57" s="1800">
        <v>2.415</v>
      </c>
      <c r="P57" s="1797"/>
      <c r="Q57" s="1797"/>
      <c r="R57" s="1797"/>
      <c r="S57" s="1797"/>
      <c r="T57" s="1797"/>
      <c r="U57" s="1797"/>
      <c r="V57" s="1797"/>
      <c r="W57" s="1797"/>
      <c r="X57" s="1797"/>
      <c r="Y57" s="1797"/>
      <c r="Z57" s="1797"/>
      <c r="AA57" s="1797"/>
      <c r="AB57" s="1797"/>
      <c r="AC57" s="1797"/>
      <c r="AD57" s="1797"/>
      <c r="AE57" s="1797"/>
      <c r="AF57" s="1797"/>
      <c r="AG57" s="1797"/>
      <c r="AH57" s="1797"/>
      <c r="AI57" s="1797"/>
    </row>
    <row r="58" spans="1:35" s="1798" customFormat="1" ht="12" customHeight="1">
      <c r="A58" s="1729"/>
      <c r="B58" s="1730"/>
      <c r="C58" s="1739"/>
      <c r="D58" s="1793" t="s">
        <v>546</v>
      </c>
      <c r="E58" s="1799" t="s">
        <v>446</v>
      </c>
      <c r="F58" s="1795" t="s">
        <v>416</v>
      </c>
      <c r="G58" s="1796">
        <f t="shared" si="1"/>
        <v>1.3781600000000001</v>
      </c>
      <c r="H58" s="1796">
        <f t="shared" si="2"/>
        <v>1.9811050000000003</v>
      </c>
      <c r="I58" s="1796">
        <f t="shared" si="3"/>
        <v>2.5840500000000004</v>
      </c>
      <c r="J58" s="1795" t="s">
        <v>436</v>
      </c>
      <c r="K58" s="1797"/>
      <c r="L58" s="1797"/>
      <c r="M58" s="1801">
        <v>1.288</v>
      </c>
      <c r="N58" s="1800">
        <v>1.8515000000000001</v>
      </c>
      <c r="O58" s="1800">
        <v>2.415</v>
      </c>
      <c r="P58" s="1797"/>
      <c r="Q58" s="1797"/>
      <c r="R58" s="1797"/>
      <c r="S58" s="1797"/>
      <c r="T58" s="1797"/>
      <c r="U58" s="1797"/>
      <c r="V58" s="1797"/>
      <c r="W58" s="1797"/>
      <c r="X58" s="1797"/>
      <c r="Y58" s="1797"/>
      <c r="Z58" s="1797"/>
      <c r="AA58" s="1797"/>
      <c r="AB58" s="1797"/>
      <c r="AC58" s="1797"/>
      <c r="AD58" s="1797"/>
      <c r="AE58" s="1797"/>
      <c r="AF58" s="1797"/>
      <c r="AG58" s="1797"/>
      <c r="AH58" s="1797"/>
      <c r="AI58" s="1797"/>
    </row>
    <row r="59" spans="1:35" s="1798" customFormat="1" ht="12" customHeight="1">
      <c r="A59" s="1729"/>
      <c r="B59" s="1730"/>
      <c r="C59" s="1739"/>
      <c r="D59" s="1793" t="s">
        <v>547</v>
      </c>
      <c r="E59" s="1799" t="s">
        <v>447</v>
      </c>
      <c r="F59" s="1795" t="s">
        <v>413</v>
      </c>
      <c r="G59" s="1796">
        <f t="shared" si="1"/>
        <v>1.5579199999999997</v>
      </c>
      <c r="H59" s="1796">
        <f t="shared" si="2"/>
        <v>2.2395099999999997</v>
      </c>
      <c r="I59" s="1796">
        <f t="shared" si="3"/>
        <v>2.9210999999999996</v>
      </c>
      <c r="J59" s="1795" t="s">
        <v>548</v>
      </c>
      <c r="K59" s="1797"/>
      <c r="L59" s="1797"/>
      <c r="M59" s="1801">
        <v>1.4559999999999997</v>
      </c>
      <c r="N59" s="1800">
        <v>2.0929999999999995</v>
      </c>
      <c r="O59" s="1800">
        <v>2.7299999999999995</v>
      </c>
      <c r="P59" s="1797"/>
      <c r="Q59" s="1797"/>
      <c r="R59" s="1797"/>
      <c r="S59" s="1797"/>
      <c r="T59" s="1797"/>
      <c r="U59" s="1797"/>
      <c r="V59" s="1797"/>
      <c r="W59" s="1797"/>
      <c r="X59" s="1797"/>
      <c r="Y59" s="1797"/>
      <c r="Z59" s="1797"/>
      <c r="AA59" s="1797"/>
      <c r="AB59" s="1797"/>
      <c r="AC59" s="1797"/>
      <c r="AD59" s="1797"/>
      <c r="AE59" s="1797"/>
      <c r="AF59" s="1797"/>
      <c r="AG59" s="1797"/>
      <c r="AH59" s="1797"/>
      <c r="AI59" s="1797"/>
    </row>
    <row r="60" spans="1:35" s="1798" customFormat="1" ht="12" customHeight="1">
      <c r="A60" s="1729"/>
      <c r="B60" s="1730"/>
      <c r="C60" s="1739"/>
      <c r="D60" s="1793" t="s">
        <v>549</v>
      </c>
      <c r="E60" s="1799" t="s">
        <v>550</v>
      </c>
      <c r="F60" s="1795" t="s">
        <v>392</v>
      </c>
      <c r="G60" s="1796">
        <f t="shared" si="1"/>
        <v>0.28248000000000001</v>
      </c>
      <c r="H60" s="1796">
        <f t="shared" si="2"/>
        <v>0.40606500000000001</v>
      </c>
      <c r="I60" s="1796">
        <f t="shared" si="3"/>
        <v>0.52965000000000007</v>
      </c>
      <c r="J60" s="1795" t="s">
        <v>393</v>
      </c>
      <c r="K60" s="1797"/>
      <c r="L60" s="1797"/>
      <c r="M60" s="1801">
        <v>0.26400000000000001</v>
      </c>
      <c r="N60" s="1800">
        <v>0.3795</v>
      </c>
      <c r="O60" s="1800">
        <v>0.495</v>
      </c>
      <c r="P60" s="1797"/>
      <c r="Q60" s="1797"/>
      <c r="R60" s="1797"/>
      <c r="S60" s="1797"/>
      <c r="T60" s="1797"/>
      <c r="U60" s="1797"/>
      <c r="V60" s="1797"/>
      <c r="W60" s="1797"/>
      <c r="X60" s="1797"/>
      <c r="Y60" s="1797"/>
      <c r="Z60" s="1797"/>
      <c r="AA60" s="1797"/>
      <c r="AB60" s="1797"/>
      <c r="AC60" s="1797"/>
      <c r="AD60" s="1797"/>
      <c r="AE60" s="1797"/>
      <c r="AF60" s="1797"/>
      <c r="AG60" s="1797"/>
      <c r="AH60" s="1797"/>
      <c r="AI60" s="1797"/>
    </row>
    <row r="61" spans="1:35" s="1798" customFormat="1" ht="12" customHeight="1">
      <c r="A61" s="1729"/>
      <c r="B61" s="1730"/>
      <c r="C61" s="1739"/>
      <c r="D61" s="1793"/>
      <c r="E61" s="1799"/>
      <c r="F61" s="1795"/>
      <c r="G61" s="1796">
        <f t="shared" si="1"/>
        <v>0</v>
      </c>
      <c r="H61" s="1796">
        <f t="shared" si="2"/>
        <v>0</v>
      </c>
      <c r="I61" s="1796">
        <f t="shared" si="3"/>
        <v>0</v>
      </c>
      <c r="J61" s="1795"/>
      <c r="K61" s="1797"/>
      <c r="L61" s="1797"/>
      <c r="M61" s="1801"/>
      <c r="N61" s="1800"/>
      <c r="O61" s="1800"/>
      <c r="P61" s="1797"/>
      <c r="Q61" s="1797"/>
      <c r="R61" s="1797"/>
      <c r="S61" s="1797"/>
      <c r="T61" s="1797"/>
      <c r="U61" s="1797"/>
      <c r="V61" s="1797"/>
      <c r="W61" s="1797"/>
      <c r="X61" s="1797"/>
      <c r="Y61" s="1797"/>
      <c r="Z61" s="1797"/>
      <c r="AA61" s="1797"/>
      <c r="AB61" s="1797"/>
      <c r="AC61" s="1797"/>
      <c r="AD61" s="1797"/>
      <c r="AE61" s="1797"/>
      <c r="AF61" s="1797"/>
      <c r="AG61" s="1797"/>
      <c r="AH61" s="1797"/>
      <c r="AI61" s="1797"/>
    </row>
    <row r="62" spans="1:35" s="1798" customFormat="1" ht="12" customHeight="1">
      <c r="A62" s="1729"/>
      <c r="B62" s="1730"/>
      <c r="C62" s="1739"/>
      <c r="D62" s="1793" t="s">
        <v>551</v>
      </c>
      <c r="E62" s="1804" t="s">
        <v>552</v>
      </c>
      <c r="F62" s="1795"/>
      <c r="G62" s="1796">
        <f t="shared" si="1"/>
        <v>0</v>
      </c>
      <c r="H62" s="1796">
        <f t="shared" si="2"/>
        <v>0</v>
      </c>
      <c r="I62" s="1796">
        <f t="shared" si="3"/>
        <v>0</v>
      </c>
      <c r="J62" s="1795"/>
      <c r="K62" s="1797"/>
      <c r="L62" s="1797"/>
      <c r="M62" s="1801"/>
      <c r="N62" s="1800"/>
      <c r="O62" s="1800"/>
      <c r="P62" s="1797"/>
      <c r="Q62" s="1797"/>
      <c r="R62" s="1797"/>
      <c r="S62" s="1797"/>
      <c r="T62" s="1797"/>
      <c r="U62" s="1797"/>
      <c r="V62" s="1797"/>
      <c r="W62" s="1797"/>
      <c r="X62" s="1797"/>
      <c r="Y62" s="1797"/>
      <c r="Z62" s="1797"/>
      <c r="AA62" s="1797"/>
      <c r="AB62" s="1797"/>
      <c r="AC62" s="1797"/>
      <c r="AD62" s="1797"/>
      <c r="AE62" s="1797"/>
      <c r="AF62" s="1797"/>
      <c r="AG62" s="1797"/>
      <c r="AH62" s="1797"/>
      <c r="AI62" s="1797"/>
    </row>
    <row r="63" spans="1:35" s="1798" customFormat="1" ht="12" customHeight="1">
      <c r="A63" s="1729"/>
      <c r="B63" s="1730"/>
      <c r="C63" s="1739"/>
      <c r="D63" s="1793" t="s">
        <v>553</v>
      </c>
      <c r="E63" s="1807" t="s">
        <v>424</v>
      </c>
      <c r="F63" s="1795"/>
      <c r="G63" s="1796">
        <f t="shared" si="1"/>
        <v>0</v>
      </c>
      <c r="H63" s="1796">
        <f t="shared" si="2"/>
        <v>0</v>
      </c>
      <c r="I63" s="1796">
        <f t="shared" si="3"/>
        <v>0</v>
      </c>
      <c r="J63" s="1795"/>
      <c r="K63" s="1797"/>
      <c r="L63" s="1797"/>
      <c r="M63" s="1801"/>
      <c r="N63" s="1800"/>
      <c r="O63" s="1800"/>
      <c r="P63" s="1797"/>
      <c r="Q63" s="1797"/>
      <c r="R63" s="1797"/>
      <c r="S63" s="1797"/>
      <c r="T63" s="1797"/>
      <c r="U63" s="1797"/>
      <c r="V63" s="1797"/>
      <c r="W63" s="1797"/>
      <c r="X63" s="1797"/>
      <c r="Y63" s="1797"/>
      <c r="Z63" s="1797"/>
      <c r="AA63" s="1797"/>
      <c r="AB63" s="1797"/>
      <c r="AC63" s="1797"/>
      <c r="AD63" s="1797"/>
      <c r="AE63" s="1797"/>
      <c r="AF63" s="1797"/>
      <c r="AG63" s="1797"/>
      <c r="AH63" s="1797"/>
      <c r="AI63" s="1797"/>
    </row>
    <row r="64" spans="1:35" s="1798" customFormat="1" ht="12" customHeight="1">
      <c r="A64" s="1729"/>
      <c r="B64" s="1730"/>
      <c r="C64" s="1739"/>
      <c r="D64" s="1793" t="s">
        <v>554</v>
      </c>
      <c r="E64" s="1799" t="s">
        <v>425</v>
      </c>
      <c r="F64" s="1803" t="s">
        <v>555</v>
      </c>
      <c r="G64" s="1796">
        <f t="shared" si="1"/>
        <v>0.64200000000000013</v>
      </c>
      <c r="H64" s="1796">
        <f t="shared" si="2"/>
        <v>0.92287500000000011</v>
      </c>
      <c r="I64" s="1796">
        <f t="shared" si="3"/>
        <v>1.2037500000000001</v>
      </c>
      <c r="J64" s="1803" t="s">
        <v>556</v>
      </c>
      <c r="K64" s="1797"/>
      <c r="L64" s="1797"/>
      <c r="M64" s="1801">
        <v>0.60000000000000009</v>
      </c>
      <c r="N64" s="1800">
        <v>0.86250000000000004</v>
      </c>
      <c r="O64" s="1800">
        <v>1.125</v>
      </c>
      <c r="P64" s="1797"/>
      <c r="Q64" s="1797"/>
      <c r="R64" s="1797"/>
      <c r="S64" s="1797"/>
      <c r="T64" s="1797"/>
      <c r="U64" s="1797"/>
      <c r="V64" s="1797"/>
      <c r="W64" s="1797"/>
      <c r="X64" s="1797"/>
      <c r="Y64" s="1797"/>
      <c r="Z64" s="1797"/>
      <c r="AA64" s="1797"/>
      <c r="AB64" s="1797"/>
      <c r="AC64" s="1797"/>
      <c r="AD64" s="1797"/>
      <c r="AE64" s="1797"/>
      <c r="AF64" s="1797"/>
      <c r="AG64" s="1797"/>
      <c r="AH64" s="1797"/>
      <c r="AI64" s="1797"/>
    </row>
    <row r="65" spans="1:35" s="1798" customFormat="1" ht="12" customHeight="1">
      <c r="A65" s="1729"/>
      <c r="B65" s="1730"/>
      <c r="C65" s="1739"/>
      <c r="D65" s="1793" t="s">
        <v>557</v>
      </c>
      <c r="E65" s="1799" t="s">
        <v>427</v>
      </c>
      <c r="F65" s="1803" t="s">
        <v>555</v>
      </c>
      <c r="G65" s="1796">
        <f t="shared" si="1"/>
        <v>8.5600000000000023E-2</v>
      </c>
      <c r="H65" s="1796">
        <f t="shared" si="2"/>
        <v>0.12305000000000002</v>
      </c>
      <c r="I65" s="1796">
        <f t="shared" si="3"/>
        <v>0.16050000000000003</v>
      </c>
      <c r="J65" s="1803"/>
      <c r="K65" s="1797"/>
      <c r="L65" s="1797"/>
      <c r="M65" s="1801">
        <v>8.0000000000000016E-2</v>
      </c>
      <c r="N65" s="1800">
        <v>0.11500000000000002</v>
      </c>
      <c r="O65" s="1800">
        <v>0.15000000000000002</v>
      </c>
      <c r="P65" s="1797"/>
      <c r="Q65" s="1797"/>
      <c r="R65" s="1797"/>
      <c r="S65" s="1797"/>
      <c r="T65" s="1797"/>
      <c r="U65" s="1797"/>
      <c r="V65" s="1797"/>
      <c r="W65" s="1797"/>
      <c r="X65" s="1797"/>
      <c r="Y65" s="1797"/>
      <c r="Z65" s="1797"/>
      <c r="AA65" s="1797"/>
      <c r="AB65" s="1797"/>
      <c r="AC65" s="1797"/>
      <c r="AD65" s="1797"/>
      <c r="AE65" s="1797"/>
      <c r="AF65" s="1797"/>
      <c r="AG65" s="1797"/>
      <c r="AH65" s="1797"/>
      <c r="AI65" s="1797"/>
    </row>
    <row r="66" spans="1:35" s="1798" customFormat="1" ht="12" customHeight="1">
      <c r="A66" s="1729"/>
      <c r="B66" s="1730"/>
      <c r="C66" s="1739"/>
      <c r="D66" s="1793" t="s">
        <v>558</v>
      </c>
      <c r="E66" s="1799" t="s">
        <v>428</v>
      </c>
      <c r="F66" s="1803" t="s">
        <v>555</v>
      </c>
      <c r="G66" s="1796">
        <f t="shared" si="1"/>
        <v>2.5680000000000005</v>
      </c>
      <c r="H66" s="1796">
        <f t="shared" si="2"/>
        <v>3.6915000000000004</v>
      </c>
      <c r="I66" s="1796">
        <f t="shared" si="3"/>
        <v>4.8150000000000004</v>
      </c>
      <c r="J66" s="1803" t="s">
        <v>556</v>
      </c>
      <c r="K66" s="1797"/>
      <c r="L66" s="1797"/>
      <c r="M66" s="1801">
        <v>2.4000000000000004</v>
      </c>
      <c r="N66" s="1800">
        <v>3.45</v>
      </c>
      <c r="O66" s="1800">
        <v>4.5</v>
      </c>
      <c r="P66" s="1797"/>
      <c r="Q66" s="1797"/>
      <c r="R66" s="1797"/>
      <c r="S66" s="1797"/>
      <c r="T66" s="1797"/>
      <c r="U66" s="1797"/>
      <c r="V66" s="1797"/>
      <c r="W66" s="1797"/>
      <c r="X66" s="1797"/>
      <c r="Y66" s="1797"/>
      <c r="Z66" s="1797"/>
      <c r="AA66" s="1797"/>
      <c r="AB66" s="1797"/>
      <c r="AC66" s="1797"/>
      <c r="AD66" s="1797"/>
      <c r="AE66" s="1797"/>
      <c r="AF66" s="1797"/>
      <c r="AG66" s="1797"/>
      <c r="AH66" s="1797"/>
      <c r="AI66" s="1797"/>
    </row>
    <row r="67" spans="1:35" s="1798" customFormat="1" ht="12" customHeight="1">
      <c r="A67" s="1729"/>
      <c r="B67" s="1730"/>
      <c r="C67" s="1739"/>
      <c r="D67" s="1793" t="s">
        <v>559</v>
      </c>
      <c r="E67" s="1807" t="s">
        <v>317</v>
      </c>
      <c r="F67" s="1795"/>
      <c r="G67" s="1796">
        <f t="shared" si="1"/>
        <v>0</v>
      </c>
      <c r="H67" s="1796">
        <f t="shared" si="2"/>
        <v>0</v>
      </c>
      <c r="I67" s="1796">
        <f t="shared" si="3"/>
        <v>0</v>
      </c>
      <c r="J67" s="1795"/>
      <c r="K67" s="1797"/>
      <c r="L67" s="1797"/>
      <c r="M67" s="1801"/>
      <c r="N67" s="1800"/>
      <c r="O67" s="1800"/>
      <c r="P67" s="1797"/>
      <c r="Q67" s="1797"/>
      <c r="R67" s="1797"/>
      <c r="S67" s="1797"/>
      <c r="T67" s="1797"/>
      <c r="U67" s="1797"/>
      <c r="V67" s="1797"/>
      <c r="W67" s="1797"/>
      <c r="X67" s="1797"/>
      <c r="Y67" s="1797"/>
      <c r="Z67" s="1797"/>
      <c r="AA67" s="1797"/>
      <c r="AB67" s="1797"/>
      <c r="AC67" s="1797"/>
      <c r="AD67" s="1797"/>
      <c r="AE67" s="1797"/>
      <c r="AF67" s="1797"/>
      <c r="AG67" s="1797"/>
      <c r="AH67" s="1797"/>
      <c r="AI67" s="1797"/>
    </row>
    <row r="68" spans="1:35" s="1798" customFormat="1" ht="12" customHeight="1">
      <c r="A68" s="1729"/>
      <c r="B68" s="1730"/>
      <c r="C68" s="1739"/>
      <c r="D68" s="1793" t="s">
        <v>560</v>
      </c>
      <c r="E68" s="1806" t="s">
        <v>417</v>
      </c>
      <c r="F68" s="1803" t="s">
        <v>339</v>
      </c>
      <c r="G68" s="1796">
        <f t="shared" si="1"/>
        <v>3.3812000000000002</v>
      </c>
      <c r="H68" s="1796">
        <f t="shared" si="2"/>
        <v>4.860475000000001</v>
      </c>
      <c r="I68" s="1796">
        <f t="shared" si="3"/>
        <v>6.3397500000000004</v>
      </c>
      <c r="J68" s="1803" t="s">
        <v>389</v>
      </c>
      <c r="K68" s="1797"/>
      <c r="L68" s="1805"/>
      <c r="M68" s="1801">
        <v>3.16</v>
      </c>
      <c r="N68" s="1800">
        <v>4.5425000000000004</v>
      </c>
      <c r="O68" s="1800">
        <v>5.9249999999999998</v>
      </c>
      <c r="P68" s="1797"/>
      <c r="Q68" s="1797"/>
      <c r="R68" s="1797"/>
      <c r="S68" s="1797"/>
      <c r="T68" s="1797"/>
      <c r="U68" s="1797"/>
      <c r="V68" s="1797"/>
      <c r="W68" s="1797"/>
      <c r="X68" s="1797"/>
      <c r="Y68" s="1797"/>
      <c r="Z68" s="1797"/>
      <c r="AA68" s="1797"/>
      <c r="AB68" s="1797"/>
      <c r="AC68" s="1797"/>
      <c r="AD68" s="1797"/>
      <c r="AE68" s="1797"/>
      <c r="AF68" s="1797"/>
      <c r="AG68" s="1797"/>
      <c r="AH68" s="1797"/>
      <c r="AI68" s="1797"/>
    </row>
    <row r="69" spans="1:35" s="1798" customFormat="1" ht="12" customHeight="1">
      <c r="A69" s="1729"/>
      <c r="B69" s="1730"/>
      <c r="C69" s="1739"/>
      <c r="D69" s="1793" t="s">
        <v>561</v>
      </c>
      <c r="E69" s="1799" t="s">
        <v>420</v>
      </c>
      <c r="F69" s="1803" t="s">
        <v>521</v>
      </c>
      <c r="G69" s="1796">
        <f t="shared" si="1"/>
        <v>20.544000000000004</v>
      </c>
      <c r="H69" s="1796">
        <f t="shared" si="2"/>
        <v>29.532000000000004</v>
      </c>
      <c r="I69" s="1796">
        <f t="shared" si="3"/>
        <v>38.520000000000003</v>
      </c>
      <c r="J69" s="1803" t="s">
        <v>421</v>
      </c>
      <c r="K69" s="1797"/>
      <c r="L69" s="1808"/>
      <c r="M69" s="1801">
        <v>19.200000000000003</v>
      </c>
      <c r="N69" s="1800">
        <v>27.6</v>
      </c>
      <c r="O69" s="1800">
        <v>36</v>
      </c>
      <c r="P69" s="1797"/>
      <c r="Q69" s="1797"/>
      <c r="R69" s="1797"/>
      <c r="S69" s="1797"/>
      <c r="T69" s="1797"/>
      <c r="U69" s="1797"/>
      <c r="V69" s="1797"/>
      <c r="W69" s="1797"/>
      <c r="X69" s="1797"/>
      <c r="Y69" s="1797"/>
      <c r="Z69" s="1797"/>
      <c r="AA69" s="1797"/>
      <c r="AB69" s="1797"/>
      <c r="AC69" s="1797"/>
      <c r="AD69" s="1797"/>
      <c r="AE69" s="1797"/>
      <c r="AF69" s="1797"/>
      <c r="AG69" s="1797"/>
      <c r="AH69" s="1797"/>
      <c r="AI69" s="1797"/>
    </row>
    <row r="70" spans="1:35" s="1798" customFormat="1" ht="12" customHeight="1">
      <c r="A70" s="1729"/>
      <c r="B70" s="1730"/>
      <c r="C70" s="1739"/>
      <c r="D70" s="1793" t="s">
        <v>562</v>
      </c>
      <c r="E70" s="1799" t="s">
        <v>422</v>
      </c>
      <c r="F70" s="1803" t="s">
        <v>521</v>
      </c>
      <c r="G70" s="1796">
        <f t="shared" si="1"/>
        <v>0.59919999999999995</v>
      </c>
      <c r="H70" s="1796">
        <f t="shared" si="2"/>
        <v>0.86134999999999995</v>
      </c>
      <c r="I70" s="1796">
        <f t="shared" si="3"/>
        <v>1.1234999999999999</v>
      </c>
      <c r="J70" s="1803" t="s">
        <v>421</v>
      </c>
      <c r="K70" s="1797"/>
      <c r="L70" s="1797"/>
      <c r="M70" s="1801">
        <v>0.55999999999999994</v>
      </c>
      <c r="N70" s="1800">
        <v>0.80499999999999994</v>
      </c>
      <c r="O70" s="1800">
        <v>1.0499999999999998</v>
      </c>
      <c r="P70" s="1797"/>
      <c r="Q70" s="1797"/>
      <c r="R70" s="1797"/>
      <c r="S70" s="1797"/>
      <c r="T70" s="1797"/>
      <c r="U70" s="1797"/>
      <c r="V70" s="1797"/>
      <c r="W70" s="1797"/>
      <c r="X70" s="1797"/>
      <c r="Y70" s="1797"/>
      <c r="Z70" s="1797"/>
      <c r="AA70" s="1797"/>
      <c r="AB70" s="1797"/>
      <c r="AC70" s="1797"/>
      <c r="AD70" s="1797"/>
      <c r="AE70" s="1797"/>
      <c r="AF70" s="1797"/>
      <c r="AG70" s="1797"/>
      <c r="AH70" s="1797"/>
      <c r="AI70" s="1797"/>
    </row>
    <row r="71" spans="1:35" s="1798" customFormat="1" ht="12" customHeight="1">
      <c r="A71" s="1729"/>
      <c r="B71" s="1730"/>
      <c r="C71" s="1739"/>
      <c r="D71" s="1793" t="s">
        <v>563</v>
      </c>
      <c r="E71" s="1799" t="s">
        <v>423</v>
      </c>
      <c r="F71" s="1803" t="s">
        <v>521</v>
      </c>
      <c r="G71" s="1796">
        <f t="shared" si="1"/>
        <v>2.3540000000000005</v>
      </c>
      <c r="H71" s="1796">
        <f t="shared" si="2"/>
        <v>3.3838750000000002</v>
      </c>
      <c r="I71" s="1796">
        <f t="shared" si="3"/>
        <v>4.4137500000000003</v>
      </c>
      <c r="J71" s="1803" t="s">
        <v>421</v>
      </c>
      <c r="K71" s="1797"/>
      <c r="L71" s="1797"/>
      <c r="M71" s="1801">
        <v>2.2000000000000002</v>
      </c>
      <c r="N71" s="1800">
        <v>3.1625000000000001</v>
      </c>
      <c r="O71" s="1800">
        <v>4.125</v>
      </c>
      <c r="P71" s="1797"/>
      <c r="Q71" s="1797"/>
      <c r="R71" s="1797"/>
      <c r="S71" s="1797"/>
      <c r="T71" s="1797"/>
      <c r="U71" s="1797"/>
      <c r="V71" s="1797"/>
      <c r="W71" s="1797"/>
      <c r="X71" s="1797"/>
      <c r="Y71" s="1797"/>
      <c r="Z71" s="1797"/>
      <c r="AA71" s="1797"/>
      <c r="AB71" s="1797"/>
      <c r="AC71" s="1797"/>
      <c r="AD71" s="1797"/>
      <c r="AE71" s="1797"/>
      <c r="AF71" s="1797"/>
      <c r="AG71" s="1797"/>
      <c r="AH71" s="1797"/>
      <c r="AI71" s="1797"/>
    </row>
    <row r="72" spans="1:35" s="1798" customFormat="1" ht="12" customHeight="1">
      <c r="A72" s="1729"/>
      <c r="B72" s="1730"/>
      <c r="C72" s="1739"/>
      <c r="D72" s="1793"/>
      <c r="E72" s="1799"/>
      <c r="F72" s="1795"/>
      <c r="G72" s="1796">
        <f t="shared" si="1"/>
        <v>0</v>
      </c>
      <c r="H72" s="1796">
        <f t="shared" si="2"/>
        <v>0</v>
      </c>
      <c r="I72" s="1796">
        <f t="shared" si="3"/>
        <v>0</v>
      </c>
      <c r="J72" s="1795"/>
      <c r="K72" s="1797"/>
      <c r="L72" s="1797"/>
      <c r="M72" s="1801"/>
      <c r="N72" s="1800"/>
      <c r="O72" s="1800"/>
      <c r="P72" s="1797"/>
      <c r="Q72" s="1797"/>
      <c r="R72" s="1797"/>
      <c r="S72" s="1797"/>
      <c r="T72" s="1797"/>
      <c r="U72" s="1797"/>
      <c r="V72" s="1797"/>
      <c r="W72" s="1797"/>
      <c r="X72" s="1797"/>
      <c r="Y72" s="1797"/>
      <c r="Z72" s="1797"/>
      <c r="AA72" s="1797"/>
      <c r="AB72" s="1797"/>
      <c r="AC72" s="1797"/>
      <c r="AD72" s="1797"/>
      <c r="AE72" s="1797"/>
      <c r="AF72" s="1797"/>
      <c r="AG72" s="1797"/>
      <c r="AH72" s="1797"/>
      <c r="AI72" s="1797"/>
    </row>
    <row r="73" spans="1:35" s="1798" customFormat="1" ht="12" customHeight="1">
      <c r="A73" s="1729"/>
      <c r="B73" s="1730"/>
      <c r="C73" s="1739"/>
      <c r="D73" s="1793" t="s">
        <v>564</v>
      </c>
      <c r="E73" s="1804" t="s">
        <v>565</v>
      </c>
      <c r="F73" s="1795"/>
      <c r="G73" s="1796">
        <f t="shared" si="1"/>
        <v>0</v>
      </c>
      <c r="H73" s="1796">
        <f t="shared" si="2"/>
        <v>0</v>
      </c>
      <c r="I73" s="1796">
        <f t="shared" si="3"/>
        <v>0</v>
      </c>
      <c r="J73" s="1795"/>
      <c r="K73" s="1797"/>
      <c r="L73" s="1797"/>
      <c r="M73" s="1801"/>
      <c r="N73" s="1800"/>
      <c r="O73" s="1800"/>
      <c r="P73" s="1797"/>
      <c r="Q73" s="1797"/>
      <c r="R73" s="1797"/>
      <c r="S73" s="1797"/>
      <c r="T73" s="1797"/>
      <c r="U73" s="1797"/>
      <c r="V73" s="1797"/>
      <c r="W73" s="1797"/>
      <c r="X73" s="1797"/>
      <c r="Y73" s="1797"/>
      <c r="Z73" s="1797"/>
      <c r="AA73" s="1797"/>
      <c r="AB73" s="1797"/>
      <c r="AC73" s="1797"/>
      <c r="AD73" s="1797"/>
      <c r="AE73" s="1797"/>
      <c r="AF73" s="1797"/>
      <c r="AG73" s="1797"/>
      <c r="AH73" s="1797"/>
      <c r="AI73" s="1797"/>
    </row>
    <row r="74" spans="1:35" s="1798" customFormat="1" ht="12" customHeight="1">
      <c r="A74" s="1729"/>
      <c r="B74" s="1730"/>
      <c r="C74" s="1739"/>
      <c r="D74" s="1793" t="s">
        <v>566</v>
      </c>
      <c r="E74" s="1799" t="s">
        <v>567</v>
      </c>
      <c r="F74" s="1795"/>
      <c r="G74" s="1796">
        <f t="shared" ref="G74:G97" si="5">M74*$M$8</f>
        <v>0</v>
      </c>
      <c r="H74" s="1796">
        <f t="shared" ref="H74:H97" si="6">N74*$M$8</f>
        <v>0</v>
      </c>
      <c r="I74" s="1796">
        <f t="shared" ref="I74:I97" si="7">O74*$M$8</f>
        <v>0</v>
      </c>
      <c r="J74" s="1795"/>
      <c r="K74" s="1797"/>
      <c r="L74" s="1797"/>
      <c r="M74" s="1801"/>
      <c r="N74" s="1800"/>
      <c r="O74" s="1800"/>
      <c r="P74" s="1797"/>
      <c r="Q74" s="1797"/>
      <c r="R74" s="1797"/>
      <c r="S74" s="1797"/>
      <c r="T74" s="1797"/>
      <c r="U74" s="1797"/>
      <c r="V74" s="1797"/>
      <c r="W74" s="1797"/>
      <c r="X74" s="1797"/>
      <c r="Y74" s="1797"/>
      <c r="Z74" s="1797"/>
      <c r="AA74" s="1797"/>
      <c r="AB74" s="1797"/>
      <c r="AC74" s="1797"/>
      <c r="AD74" s="1797"/>
      <c r="AE74" s="1797"/>
      <c r="AF74" s="1797"/>
      <c r="AG74" s="1797"/>
      <c r="AH74" s="1797"/>
      <c r="AI74" s="1797"/>
    </row>
    <row r="75" spans="1:35" s="1798" customFormat="1" ht="12" customHeight="1">
      <c r="A75" s="1729"/>
      <c r="B75" s="1730"/>
      <c r="C75" s="1739"/>
      <c r="D75" s="1793" t="s">
        <v>568</v>
      </c>
      <c r="E75" s="1799" t="s">
        <v>430</v>
      </c>
      <c r="F75" s="1795" t="s">
        <v>102</v>
      </c>
      <c r="G75" s="1796">
        <f t="shared" si="5"/>
        <v>0.85600000000000009</v>
      </c>
      <c r="H75" s="1796">
        <f t="shared" si="6"/>
        <v>1.2304999999999999</v>
      </c>
      <c r="I75" s="1796">
        <f t="shared" si="7"/>
        <v>1.605</v>
      </c>
      <c r="J75" s="1795" t="s">
        <v>569</v>
      </c>
      <c r="K75" s="1797"/>
      <c r="L75" s="1797"/>
      <c r="M75" s="1801">
        <v>0.8</v>
      </c>
      <c r="N75" s="1800">
        <v>1.1499999999999999</v>
      </c>
      <c r="O75" s="1800">
        <v>1.5</v>
      </c>
      <c r="P75" s="1797"/>
      <c r="Q75" s="1797"/>
      <c r="R75" s="1797"/>
      <c r="S75" s="1797"/>
      <c r="T75" s="1797"/>
      <c r="U75" s="1797"/>
      <c r="V75" s="1797"/>
      <c r="W75" s="1797"/>
      <c r="X75" s="1797"/>
      <c r="Y75" s="1797"/>
      <c r="Z75" s="1797"/>
      <c r="AA75" s="1797"/>
      <c r="AB75" s="1797"/>
      <c r="AC75" s="1797"/>
      <c r="AD75" s="1797"/>
      <c r="AE75" s="1797"/>
      <c r="AF75" s="1797"/>
      <c r="AG75" s="1797"/>
      <c r="AH75" s="1797"/>
      <c r="AI75" s="1797"/>
    </row>
    <row r="76" spans="1:35" s="1798" customFormat="1" ht="12" customHeight="1">
      <c r="A76" s="1729"/>
      <c r="B76" s="1730"/>
      <c r="C76" s="1739"/>
      <c r="D76" s="1793" t="s">
        <v>570</v>
      </c>
      <c r="E76" s="1799" t="s">
        <v>434</v>
      </c>
      <c r="F76" s="1795" t="s">
        <v>102</v>
      </c>
      <c r="G76" s="1796">
        <f t="shared" si="5"/>
        <v>0.17120000000000005</v>
      </c>
      <c r="H76" s="1796">
        <f t="shared" si="6"/>
        <v>0.24610000000000004</v>
      </c>
      <c r="I76" s="1796">
        <f t="shared" si="7"/>
        <v>0.32100000000000006</v>
      </c>
      <c r="J76" s="1795" t="s">
        <v>571</v>
      </c>
      <c r="K76" s="1797"/>
      <c r="L76" s="1797"/>
      <c r="M76" s="1801">
        <v>0.16000000000000003</v>
      </c>
      <c r="N76" s="1800">
        <v>0.23000000000000004</v>
      </c>
      <c r="O76" s="1800">
        <v>0.30000000000000004</v>
      </c>
      <c r="P76" s="1797"/>
      <c r="Q76" s="1797"/>
      <c r="R76" s="1797"/>
      <c r="S76" s="1797"/>
      <c r="T76" s="1797"/>
      <c r="U76" s="1797"/>
      <c r="V76" s="1797"/>
      <c r="W76" s="1797"/>
      <c r="X76" s="1797"/>
      <c r="Y76" s="1797"/>
      <c r="Z76" s="1797"/>
      <c r="AA76" s="1797"/>
      <c r="AB76" s="1797"/>
      <c r="AC76" s="1797"/>
      <c r="AD76" s="1797"/>
      <c r="AE76" s="1797"/>
      <c r="AF76" s="1797"/>
      <c r="AG76" s="1797"/>
      <c r="AH76" s="1797"/>
      <c r="AI76" s="1797"/>
    </row>
    <row r="77" spans="1:35" s="1798" customFormat="1" ht="12" customHeight="1">
      <c r="A77" s="1729"/>
      <c r="B77" s="1730"/>
      <c r="C77" s="1739"/>
      <c r="D77" s="1793" t="s">
        <v>572</v>
      </c>
      <c r="E77" s="1799" t="s">
        <v>432</v>
      </c>
      <c r="F77" s="1795" t="s">
        <v>392</v>
      </c>
      <c r="G77" s="1796">
        <f t="shared" si="5"/>
        <v>8.5600000000000023E-2</v>
      </c>
      <c r="H77" s="1796">
        <f t="shared" si="6"/>
        <v>0.12305000000000002</v>
      </c>
      <c r="I77" s="1796">
        <f t="shared" si="7"/>
        <v>0.16050000000000003</v>
      </c>
      <c r="J77" s="1795" t="s">
        <v>573</v>
      </c>
      <c r="K77" s="1797"/>
      <c r="L77" s="1797"/>
      <c r="M77" s="1801">
        <v>8.0000000000000016E-2</v>
      </c>
      <c r="N77" s="1800">
        <v>0.11500000000000002</v>
      </c>
      <c r="O77" s="1800">
        <v>0.15000000000000002</v>
      </c>
      <c r="P77" s="1797"/>
      <c r="Q77" s="1797"/>
      <c r="R77" s="1797"/>
      <c r="S77" s="1797"/>
      <c r="T77" s="1797"/>
      <c r="U77" s="1797"/>
      <c r="V77" s="1797"/>
      <c r="W77" s="1797"/>
      <c r="X77" s="1797"/>
      <c r="Y77" s="1797"/>
      <c r="Z77" s="1797"/>
      <c r="AA77" s="1797"/>
      <c r="AB77" s="1797"/>
      <c r="AC77" s="1797"/>
      <c r="AD77" s="1797"/>
      <c r="AE77" s="1797"/>
      <c r="AF77" s="1797"/>
      <c r="AG77" s="1797"/>
      <c r="AH77" s="1797"/>
      <c r="AI77" s="1797"/>
    </row>
    <row r="78" spans="1:35" s="1798" customFormat="1" ht="12" customHeight="1">
      <c r="A78" s="1729"/>
      <c r="B78" s="1730"/>
      <c r="C78" s="1739"/>
      <c r="D78" s="1793"/>
      <c r="E78" s="1799"/>
      <c r="F78" s="1795"/>
      <c r="G78" s="1796">
        <f t="shared" si="5"/>
        <v>0</v>
      </c>
      <c r="H78" s="1796">
        <f t="shared" si="6"/>
        <v>0</v>
      </c>
      <c r="I78" s="1796">
        <f t="shared" si="7"/>
        <v>0</v>
      </c>
      <c r="J78" s="1795"/>
      <c r="K78" s="1797"/>
      <c r="L78" s="1797"/>
      <c r="M78" s="1801"/>
      <c r="N78" s="1800"/>
      <c r="O78" s="1800"/>
      <c r="P78" s="1797"/>
      <c r="Q78" s="1797"/>
      <c r="R78" s="1797"/>
      <c r="S78" s="1797"/>
      <c r="T78" s="1797"/>
      <c r="U78" s="1797"/>
      <c r="V78" s="1797"/>
      <c r="W78" s="1797"/>
      <c r="X78" s="1797"/>
      <c r="Y78" s="1797"/>
      <c r="Z78" s="1797"/>
      <c r="AA78" s="1797"/>
      <c r="AB78" s="1797"/>
      <c r="AC78" s="1797"/>
      <c r="AD78" s="1797"/>
      <c r="AE78" s="1797"/>
      <c r="AF78" s="1797"/>
      <c r="AG78" s="1797"/>
      <c r="AH78" s="1797"/>
      <c r="AI78" s="1797"/>
    </row>
    <row r="79" spans="1:35" s="1798" customFormat="1" ht="12" customHeight="1">
      <c r="A79" s="1729"/>
      <c r="B79" s="1730"/>
      <c r="C79" s="1739"/>
      <c r="D79" s="1793" t="s">
        <v>574</v>
      </c>
      <c r="E79" s="1804" t="s">
        <v>575</v>
      </c>
      <c r="F79" s="1795"/>
      <c r="G79" s="1796">
        <f t="shared" si="5"/>
        <v>0</v>
      </c>
      <c r="H79" s="1796">
        <f t="shared" si="6"/>
        <v>0</v>
      </c>
      <c r="I79" s="1796">
        <f t="shared" si="7"/>
        <v>0</v>
      </c>
      <c r="J79" s="1795"/>
      <c r="K79" s="1797"/>
      <c r="L79" s="1797"/>
      <c r="M79" s="1801"/>
      <c r="N79" s="1800"/>
      <c r="O79" s="1800"/>
      <c r="P79" s="1797"/>
      <c r="Q79" s="1797"/>
      <c r="R79" s="1797"/>
      <c r="S79" s="1797"/>
      <c r="T79" s="1797"/>
      <c r="U79" s="1797"/>
      <c r="V79" s="1797"/>
      <c r="W79" s="1797"/>
      <c r="X79" s="1797"/>
      <c r="Y79" s="1797"/>
      <c r="Z79" s="1797"/>
      <c r="AA79" s="1797"/>
      <c r="AB79" s="1797"/>
      <c r="AC79" s="1797"/>
      <c r="AD79" s="1797"/>
      <c r="AE79" s="1797"/>
      <c r="AF79" s="1797"/>
      <c r="AG79" s="1797"/>
      <c r="AH79" s="1797"/>
      <c r="AI79" s="1797"/>
    </row>
    <row r="80" spans="1:35" s="1798" customFormat="1" ht="12" customHeight="1">
      <c r="A80" s="1729"/>
      <c r="B80" s="1730"/>
      <c r="C80" s="1739"/>
      <c r="D80" s="1793" t="s">
        <v>576</v>
      </c>
      <c r="E80" s="1799" t="s">
        <v>577</v>
      </c>
      <c r="F80" s="1795"/>
      <c r="G80" s="1796">
        <f t="shared" si="5"/>
        <v>0</v>
      </c>
      <c r="H80" s="1796">
        <f t="shared" si="6"/>
        <v>0</v>
      </c>
      <c r="I80" s="1796">
        <f t="shared" si="7"/>
        <v>0</v>
      </c>
      <c r="J80" s="1795"/>
      <c r="K80" s="1797"/>
      <c r="L80" s="1797"/>
      <c r="M80" s="1801"/>
      <c r="N80" s="1800"/>
      <c r="O80" s="1800"/>
      <c r="P80" s="1797"/>
      <c r="Q80" s="1797"/>
      <c r="R80" s="1797"/>
      <c r="S80" s="1797"/>
      <c r="T80" s="1797"/>
      <c r="U80" s="1797"/>
      <c r="V80" s="1797"/>
      <c r="W80" s="1797"/>
      <c r="X80" s="1797"/>
      <c r="Y80" s="1797"/>
      <c r="Z80" s="1797"/>
      <c r="AA80" s="1797"/>
      <c r="AB80" s="1797"/>
      <c r="AC80" s="1797"/>
      <c r="AD80" s="1797"/>
      <c r="AE80" s="1797"/>
      <c r="AF80" s="1797"/>
      <c r="AG80" s="1797"/>
      <c r="AH80" s="1797"/>
      <c r="AI80" s="1797"/>
    </row>
    <row r="81" spans="1:35" s="1798" customFormat="1" ht="12" customHeight="1">
      <c r="A81" s="1729"/>
      <c r="B81" s="1730"/>
      <c r="C81" s="1739"/>
      <c r="D81" s="1793" t="s">
        <v>578</v>
      </c>
      <c r="E81" s="1799" t="s">
        <v>435</v>
      </c>
      <c r="F81" s="1795" t="s">
        <v>413</v>
      </c>
      <c r="G81" s="1796">
        <f t="shared" si="5"/>
        <v>1.2840000000000002E-2</v>
      </c>
      <c r="H81" s="1796">
        <f t="shared" si="6"/>
        <v>1.8457500000000002E-2</v>
      </c>
      <c r="I81" s="1796">
        <f t="shared" si="7"/>
        <v>2.4075000000000003E-2</v>
      </c>
      <c r="J81" s="1795" t="s">
        <v>579</v>
      </c>
      <c r="K81" s="1797"/>
      <c r="L81" s="1797"/>
      <c r="M81" s="1801">
        <v>1.2000000000000002E-2</v>
      </c>
      <c r="N81" s="1800">
        <v>1.7250000000000001E-2</v>
      </c>
      <c r="O81" s="1800">
        <v>2.2500000000000003E-2</v>
      </c>
      <c r="P81" s="1797"/>
      <c r="Q81" s="1797"/>
      <c r="R81" s="1797"/>
      <c r="S81" s="1797"/>
      <c r="T81" s="1797"/>
      <c r="U81" s="1797"/>
      <c r="V81" s="1797"/>
      <c r="W81" s="1797"/>
      <c r="X81" s="1797"/>
      <c r="Y81" s="1797"/>
      <c r="Z81" s="1797"/>
      <c r="AA81" s="1797"/>
      <c r="AB81" s="1797"/>
      <c r="AC81" s="1797"/>
      <c r="AD81" s="1797"/>
      <c r="AE81" s="1797"/>
      <c r="AF81" s="1797"/>
      <c r="AG81" s="1797"/>
      <c r="AH81" s="1797"/>
      <c r="AI81" s="1797"/>
    </row>
    <row r="82" spans="1:35" s="1798" customFormat="1" ht="12" customHeight="1">
      <c r="A82" s="1729"/>
      <c r="B82" s="1730"/>
      <c r="C82" s="1739"/>
      <c r="D82" s="1793" t="s">
        <v>580</v>
      </c>
      <c r="E82" s="1799" t="s">
        <v>581</v>
      </c>
      <c r="F82" s="1795" t="s">
        <v>339</v>
      </c>
      <c r="G82" s="1796">
        <f t="shared" si="5"/>
        <v>0.53500000000000003</v>
      </c>
      <c r="H82" s="1796">
        <f t="shared" si="6"/>
        <v>0.76906250000000009</v>
      </c>
      <c r="I82" s="1796">
        <f t="shared" si="7"/>
        <v>1.003125</v>
      </c>
      <c r="J82" s="1795" t="s">
        <v>582</v>
      </c>
      <c r="K82" s="1797"/>
      <c r="L82" s="1797"/>
      <c r="M82" s="1801">
        <v>0.5</v>
      </c>
      <c r="N82" s="1800">
        <v>0.71875</v>
      </c>
      <c r="O82" s="1800">
        <v>0.9375</v>
      </c>
      <c r="P82" s="1797"/>
      <c r="Q82" s="1797"/>
      <c r="R82" s="1797"/>
      <c r="S82" s="1797"/>
      <c r="T82" s="1797"/>
      <c r="U82" s="1797"/>
      <c r="V82" s="1797"/>
      <c r="W82" s="1797"/>
      <c r="X82" s="1797"/>
      <c r="Y82" s="1797"/>
      <c r="Z82" s="1797"/>
      <c r="AA82" s="1797"/>
      <c r="AB82" s="1797"/>
      <c r="AC82" s="1797"/>
      <c r="AD82" s="1797"/>
      <c r="AE82" s="1797"/>
      <c r="AF82" s="1797"/>
      <c r="AG82" s="1797"/>
      <c r="AH82" s="1797"/>
      <c r="AI82" s="1797"/>
    </row>
    <row r="83" spans="1:35" s="1798" customFormat="1" ht="12" customHeight="1">
      <c r="A83" s="1729"/>
      <c r="B83" s="1730"/>
      <c r="C83" s="1739"/>
      <c r="D83" s="1793" t="s">
        <v>583</v>
      </c>
      <c r="E83" s="1799" t="s">
        <v>584</v>
      </c>
      <c r="F83" s="1795" t="s">
        <v>585</v>
      </c>
      <c r="G83" s="1796">
        <f t="shared" si="5"/>
        <v>0</v>
      </c>
      <c r="H83" s="1796">
        <f t="shared" si="6"/>
        <v>0</v>
      </c>
      <c r="I83" s="1796">
        <f t="shared" si="7"/>
        <v>0</v>
      </c>
      <c r="J83" s="1795" t="s">
        <v>586</v>
      </c>
      <c r="K83" s="1797"/>
      <c r="L83" s="1797"/>
      <c r="M83" s="1801">
        <v>0</v>
      </c>
      <c r="N83" s="1800">
        <v>0</v>
      </c>
      <c r="O83" s="1800">
        <v>0</v>
      </c>
      <c r="P83" s="1797"/>
      <c r="Q83" s="1797"/>
      <c r="R83" s="1797"/>
      <c r="S83" s="1797"/>
      <c r="T83" s="1797"/>
      <c r="U83" s="1797"/>
      <c r="V83" s="1797"/>
      <c r="W83" s="1797"/>
      <c r="X83" s="1797"/>
      <c r="Y83" s="1797"/>
      <c r="Z83" s="1797"/>
      <c r="AA83" s="1797"/>
      <c r="AB83" s="1797"/>
      <c r="AC83" s="1797"/>
      <c r="AD83" s="1797"/>
      <c r="AE83" s="1797"/>
      <c r="AF83" s="1797"/>
      <c r="AG83" s="1797"/>
      <c r="AH83" s="1797"/>
      <c r="AI83" s="1797"/>
    </row>
    <row r="84" spans="1:35" s="1798" customFormat="1" ht="12" customHeight="1">
      <c r="A84" s="1729"/>
      <c r="B84" s="1730"/>
      <c r="C84" s="1739"/>
      <c r="D84" s="1793" t="s">
        <v>587</v>
      </c>
      <c r="E84" s="1799" t="s">
        <v>588</v>
      </c>
      <c r="F84" s="1795" t="s">
        <v>339</v>
      </c>
      <c r="G84" s="1796">
        <f t="shared" si="5"/>
        <v>0.53500000000000003</v>
      </c>
      <c r="H84" s="1796">
        <f t="shared" si="6"/>
        <v>0.76906250000000009</v>
      </c>
      <c r="I84" s="1796">
        <f t="shared" si="7"/>
        <v>1.003125</v>
      </c>
      <c r="J84" s="1795" t="s">
        <v>582</v>
      </c>
      <c r="K84" s="1797"/>
      <c r="L84" s="1797"/>
      <c r="M84" s="1801">
        <v>0.5</v>
      </c>
      <c r="N84" s="1800">
        <v>0.71875</v>
      </c>
      <c r="O84" s="1800">
        <v>0.9375</v>
      </c>
      <c r="P84" s="1797"/>
      <c r="Q84" s="1797"/>
      <c r="R84" s="1797"/>
      <c r="S84" s="1797"/>
      <c r="T84" s="1797"/>
      <c r="U84" s="1797"/>
      <c r="V84" s="1797"/>
      <c r="W84" s="1797"/>
      <c r="X84" s="1797"/>
      <c r="Y84" s="1797"/>
      <c r="Z84" s="1797"/>
      <c r="AA84" s="1797"/>
      <c r="AB84" s="1797"/>
      <c r="AC84" s="1797"/>
      <c r="AD84" s="1797"/>
      <c r="AE84" s="1797"/>
      <c r="AF84" s="1797"/>
      <c r="AG84" s="1797"/>
      <c r="AH84" s="1797"/>
      <c r="AI84" s="1797"/>
    </row>
    <row r="85" spans="1:35" s="1798" customFormat="1" ht="12" customHeight="1">
      <c r="A85" s="1729"/>
      <c r="B85" s="1730"/>
      <c r="C85" s="1739"/>
      <c r="D85" s="1793" t="s">
        <v>589</v>
      </c>
      <c r="E85" s="1799" t="s">
        <v>437</v>
      </c>
      <c r="F85" s="1795" t="s">
        <v>339</v>
      </c>
      <c r="G85" s="1796">
        <f t="shared" si="5"/>
        <v>0.53500000000000003</v>
      </c>
      <c r="H85" s="1796">
        <f t="shared" si="6"/>
        <v>0.76906250000000009</v>
      </c>
      <c r="I85" s="1796">
        <f t="shared" si="7"/>
        <v>1.003125</v>
      </c>
      <c r="J85" s="1795" t="s">
        <v>582</v>
      </c>
      <c r="K85" s="1797"/>
      <c r="L85" s="1797"/>
      <c r="M85" s="1801">
        <v>0.5</v>
      </c>
      <c r="N85" s="1800">
        <v>0.71875</v>
      </c>
      <c r="O85" s="1800">
        <v>0.9375</v>
      </c>
      <c r="P85" s="1797"/>
      <c r="Q85" s="1797"/>
      <c r="R85" s="1797"/>
      <c r="S85" s="1797"/>
      <c r="T85" s="1797"/>
      <c r="U85" s="1797"/>
      <c r="V85" s="1797"/>
      <c r="W85" s="1797"/>
      <c r="X85" s="1797"/>
      <c r="Y85" s="1797"/>
      <c r="Z85" s="1797"/>
      <c r="AA85" s="1797"/>
      <c r="AB85" s="1797"/>
      <c r="AC85" s="1797"/>
      <c r="AD85" s="1797"/>
      <c r="AE85" s="1797"/>
      <c r="AF85" s="1797"/>
      <c r="AG85" s="1797"/>
      <c r="AH85" s="1797"/>
      <c r="AI85" s="1797"/>
    </row>
    <row r="86" spans="1:35" s="1798" customFormat="1" ht="12" customHeight="1">
      <c r="A86" s="1729"/>
      <c r="B86" s="1730"/>
      <c r="C86" s="1739"/>
      <c r="D86" s="1793" t="s">
        <v>590</v>
      </c>
      <c r="E86" s="1799" t="s">
        <v>438</v>
      </c>
      <c r="F86" s="1795" t="s">
        <v>416</v>
      </c>
      <c r="G86" s="1796">
        <f t="shared" si="5"/>
        <v>0.12840000000000004</v>
      </c>
      <c r="H86" s="1796">
        <f t="shared" si="6"/>
        <v>0.18457500000000004</v>
      </c>
      <c r="I86" s="1796">
        <f t="shared" si="7"/>
        <v>0.24075000000000005</v>
      </c>
      <c r="J86" s="1795" t="s">
        <v>436</v>
      </c>
      <c r="K86" s="1797"/>
      <c r="L86" s="1797"/>
      <c r="M86" s="1801">
        <v>0.12000000000000002</v>
      </c>
      <c r="N86" s="1800">
        <v>0.17250000000000004</v>
      </c>
      <c r="O86" s="1800">
        <v>0.22500000000000003</v>
      </c>
      <c r="P86" s="1797"/>
      <c r="Q86" s="1797"/>
      <c r="R86" s="1797"/>
      <c r="S86" s="1797"/>
      <c r="T86" s="1797"/>
      <c r="U86" s="1797"/>
      <c r="V86" s="1797"/>
      <c r="W86" s="1797"/>
      <c r="X86" s="1797"/>
      <c r="Y86" s="1797"/>
      <c r="Z86" s="1797"/>
      <c r="AA86" s="1797"/>
      <c r="AB86" s="1797"/>
      <c r="AC86" s="1797"/>
      <c r="AD86" s="1797"/>
      <c r="AE86" s="1797"/>
      <c r="AF86" s="1797"/>
      <c r="AG86" s="1797"/>
      <c r="AH86" s="1797"/>
      <c r="AI86" s="1797"/>
    </row>
    <row r="87" spans="1:35" s="1798" customFormat="1" ht="12" customHeight="1">
      <c r="A87" s="1729"/>
      <c r="B87" s="1730"/>
      <c r="C87" s="1739"/>
      <c r="D87" s="1793" t="s">
        <v>591</v>
      </c>
      <c r="E87" s="1799" t="s">
        <v>439</v>
      </c>
      <c r="F87" s="1795" t="s">
        <v>521</v>
      </c>
      <c r="G87" s="1796">
        <f t="shared" si="5"/>
        <v>2.5680000000000005</v>
      </c>
      <c r="H87" s="1796">
        <f t="shared" si="6"/>
        <v>3.6915000000000004</v>
      </c>
      <c r="I87" s="1796">
        <f t="shared" si="7"/>
        <v>4.8150000000000004</v>
      </c>
      <c r="J87" s="1795" t="s">
        <v>592</v>
      </c>
      <c r="K87" s="1797"/>
      <c r="L87" s="1797"/>
      <c r="M87" s="1801">
        <v>2.4000000000000004</v>
      </c>
      <c r="N87" s="1800">
        <v>3.45</v>
      </c>
      <c r="O87" s="1800">
        <v>4.5</v>
      </c>
      <c r="P87" s="1797"/>
      <c r="Q87" s="1797"/>
      <c r="R87" s="1797"/>
      <c r="S87" s="1797"/>
      <c r="T87" s="1797"/>
      <c r="U87" s="1797"/>
      <c r="V87" s="1797"/>
      <c r="W87" s="1797"/>
      <c r="X87" s="1797"/>
      <c r="Y87" s="1797"/>
      <c r="Z87" s="1797"/>
      <c r="AA87" s="1797"/>
      <c r="AB87" s="1797"/>
      <c r="AC87" s="1797"/>
      <c r="AD87" s="1797"/>
      <c r="AE87" s="1797"/>
      <c r="AF87" s="1797"/>
      <c r="AG87" s="1797"/>
      <c r="AH87" s="1797"/>
      <c r="AI87" s="1797"/>
    </row>
    <row r="88" spans="1:35" s="1798" customFormat="1" ht="12" customHeight="1">
      <c r="A88" s="1729"/>
      <c r="B88" s="1730"/>
      <c r="C88" s="1739"/>
      <c r="D88" s="1793" t="s">
        <v>593</v>
      </c>
      <c r="E88" s="1799" t="s">
        <v>441</v>
      </c>
      <c r="F88" s="1795" t="s">
        <v>594</v>
      </c>
      <c r="G88" s="1796">
        <f t="shared" si="5"/>
        <v>0.19259999999999999</v>
      </c>
      <c r="H88" s="1796">
        <f t="shared" si="6"/>
        <v>0.27686250000000001</v>
      </c>
      <c r="I88" s="1796">
        <f t="shared" si="7"/>
        <v>0.36112499999999997</v>
      </c>
      <c r="J88" s="1795" t="s">
        <v>582</v>
      </c>
      <c r="K88" s="1797"/>
      <c r="L88" s="1797"/>
      <c r="M88" s="1801">
        <v>0.18</v>
      </c>
      <c r="N88" s="1800">
        <v>0.25874999999999998</v>
      </c>
      <c r="O88" s="1800">
        <v>0.33749999999999997</v>
      </c>
      <c r="P88" s="1797"/>
      <c r="Q88" s="1797"/>
      <c r="R88" s="1797"/>
      <c r="S88" s="1797"/>
      <c r="T88" s="1797"/>
      <c r="U88" s="1797"/>
      <c r="V88" s="1797"/>
      <c r="W88" s="1797"/>
      <c r="X88" s="1797"/>
      <c r="Y88" s="1797"/>
      <c r="Z88" s="1797"/>
      <c r="AA88" s="1797"/>
      <c r="AB88" s="1797"/>
      <c r="AC88" s="1797"/>
      <c r="AD88" s="1797"/>
      <c r="AE88" s="1797"/>
      <c r="AF88" s="1797"/>
      <c r="AG88" s="1797"/>
      <c r="AH88" s="1797"/>
      <c r="AI88" s="1797"/>
    </row>
    <row r="89" spans="1:35" s="1798" customFormat="1" ht="12" customHeight="1">
      <c r="A89" s="1729"/>
      <c r="B89" s="1730"/>
      <c r="C89" s="1739"/>
      <c r="D89" s="1793" t="s">
        <v>595</v>
      </c>
      <c r="E89" s="1799" t="s">
        <v>442</v>
      </c>
      <c r="F89" s="1795" t="s">
        <v>594</v>
      </c>
      <c r="G89" s="1796">
        <f t="shared" si="5"/>
        <v>6.4200000000000021E-2</v>
      </c>
      <c r="H89" s="1796">
        <f t="shared" si="6"/>
        <v>9.2287500000000022E-2</v>
      </c>
      <c r="I89" s="1796">
        <f t="shared" si="7"/>
        <v>0.12037500000000002</v>
      </c>
      <c r="J89" s="1795" t="s">
        <v>582</v>
      </c>
      <c r="K89" s="1797"/>
      <c r="L89" s="1797"/>
      <c r="M89" s="1801">
        <v>6.0000000000000012E-2</v>
      </c>
      <c r="N89" s="1800">
        <v>8.6250000000000021E-2</v>
      </c>
      <c r="O89" s="1800">
        <v>0.11250000000000002</v>
      </c>
      <c r="P89" s="1797"/>
      <c r="Q89" s="1797"/>
      <c r="R89" s="1797"/>
      <c r="S89" s="1797"/>
      <c r="T89" s="1797"/>
      <c r="U89" s="1797"/>
      <c r="V89" s="1797"/>
      <c r="W89" s="1797"/>
      <c r="X89" s="1797"/>
      <c r="Y89" s="1797"/>
      <c r="Z89" s="1797"/>
      <c r="AA89" s="1797"/>
      <c r="AB89" s="1797"/>
      <c r="AC89" s="1797"/>
      <c r="AD89" s="1797"/>
      <c r="AE89" s="1797"/>
      <c r="AF89" s="1797"/>
      <c r="AG89" s="1797"/>
      <c r="AH89" s="1797"/>
      <c r="AI89" s="1797"/>
    </row>
    <row r="90" spans="1:35" s="1798" customFormat="1" ht="12" customHeight="1">
      <c r="A90" s="1729"/>
      <c r="B90" s="1730"/>
      <c r="C90" s="1739"/>
      <c r="D90" s="1793" t="s">
        <v>596</v>
      </c>
      <c r="E90" s="1799" t="s">
        <v>443</v>
      </c>
      <c r="F90" s="1795" t="s">
        <v>594</v>
      </c>
      <c r="G90" s="1796">
        <f t="shared" si="5"/>
        <v>0.85600000000000009</v>
      </c>
      <c r="H90" s="1796">
        <f t="shared" si="6"/>
        <v>1.2304999999999999</v>
      </c>
      <c r="I90" s="1796">
        <f t="shared" si="7"/>
        <v>1.605</v>
      </c>
      <c r="J90" s="1795" t="s">
        <v>582</v>
      </c>
      <c r="K90" s="1797"/>
      <c r="L90" s="1797"/>
      <c r="M90" s="1801">
        <v>0.8</v>
      </c>
      <c r="N90" s="1800">
        <v>1.1499999999999999</v>
      </c>
      <c r="O90" s="1800">
        <v>1.5</v>
      </c>
      <c r="P90" s="1797"/>
      <c r="Q90" s="1797"/>
      <c r="R90" s="1797"/>
      <c r="S90" s="1797"/>
      <c r="T90" s="1797"/>
      <c r="U90" s="1797"/>
      <c r="V90" s="1797"/>
      <c r="W90" s="1797"/>
      <c r="X90" s="1797"/>
      <c r="Y90" s="1797"/>
      <c r="Z90" s="1797"/>
      <c r="AA90" s="1797"/>
      <c r="AB90" s="1797"/>
      <c r="AC90" s="1797"/>
      <c r="AD90" s="1797"/>
      <c r="AE90" s="1797"/>
      <c r="AF90" s="1797"/>
      <c r="AG90" s="1797"/>
      <c r="AH90" s="1797"/>
      <c r="AI90" s="1797"/>
    </row>
    <row r="91" spans="1:35" s="1798" customFormat="1">
      <c r="A91" s="1729"/>
      <c r="B91" s="1730"/>
      <c r="C91" s="1739"/>
      <c r="D91" s="1793" t="s">
        <v>597</v>
      </c>
      <c r="E91" s="1799" t="s">
        <v>444</v>
      </c>
      <c r="F91" s="1795" t="s">
        <v>594</v>
      </c>
      <c r="G91" s="1796">
        <f t="shared" si="5"/>
        <v>0.28248000000000001</v>
      </c>
      <c r="H91" s="1796">
        <f t="shared" si="6"/>
        <v>0.40606500000000001</v>
      </c>
      <c r="I91" s="1796">
        <f t="shared" si="7"/>
        <v>0.52965000000000007</v>
      </c>
      <c r="J91" s="1795" t="s">
        <v>582</v>
      </c>
      <c r="K91" s="1797"/>
      <c r="L91" s="1797"/>
      <c r="M91" s="1801">
        <v>0.26400000000000001</v>
      </c>
      <c r="N91" s="1800">
        <v>0.3795</v>
      </c>
      <c r="O91" s="1800">
        <v>0.495</v>
      </c>
      <c r="P91" s="1797"/>
      <c r="Q91" s="1797"/>
      <c r="R91" s="1797"/>
      <c r="S91" s="1797"/>
      <c r="T91" s="1797"/>
      <c r="U91" s="1797"/>
      <c r="V91" s="1797"/>
      <c r="W91" s="1797"/>
      <c r="X91" s="1797"/>
      <c r="Y91" s="1797"/>
      <c r="Z91" s="1797"/>
      <c r="AA91" s="1797"/>
      <c r="AB91" s="1797"/>
      <c r="AC91" s="1797"/>
      <c r="AD91" s="1797"/>
      <c r="AE91" s="1797"/>
      <c r="AF91" s="1797"/>
      <c r="AG91" s="1797"/>
      <c r="AH91" s="1797"/>
      <c r="AI91" s="1797"/>
    </row>
    <row r="92" spans="1:35" s="1798" customFormat="1">
      <c r="A92" s="1729"/>
      <c r="B92" s="1730"/>
      <c r="C92" s="1739"/>
      <c r="D92" s="1793"/>
      <c r="E92" s="1799"/>
      <c r="F92" s="1795"/>
      <c r="G92" s="1796">
        <f t="shared" si="5"/>
        <v>0</v>
      </c>
      <c r="H92" s="1796">
        <f t="shared" si="6"/>
        <v>0</v>
      </c>
      <c r="I92" s="1796">
        <f t="shared" si="7"/>
        <v>0</v>
      </c>
      <c r="J92" s="1795"/>
      <c r="K92" s="1797"/>
      <c r="L92" s="1797"/>
      <c r="M92" s="1801"/>
      <c r="N92" s="1800"/>
      <c r="O92" s="1800"/>
      <c r="P92" s="1797"/>
      <c r="Q92" s="1797"/>
      <c r="R92" s="1797"/>
      <c r="S92" s="1797"/>
      <c r="T92" s="1797"/>
      <c r="U92" s="1797"/>
      <c r="V92" s="1797"/>
      <c r="W92" s="1797"/>
      <c r="X92" s="1797"/>
      <c r="Y92" s="1797"/>
      <c r="Z92" s="1797"/>
      <c r="AA92" s="1797"/>
      <c r="AB92" s="1797"/>
      <c r="AC92" s="1797"/>
      <c r="AD92" s="1797"/>
      <c r="AE92" s="1797"/>
      <c r="AF92" s="1797"/>
      <c r="AG92" s="1797"/>
      <c r="AH92" s="1797"/>
      <c r="AI92" s="1797"/>
    </row>
    <row r="93" spans="1:35" s="1798" customFormat="1">
      <c r="A93" s="1729"/>
      <c r="B93" s="1730"/>
      <c r="C93" s="1739"/>
      <c r="D93" s="1793" t="s">
        <v>598</v>
      </c>
      <c r="E93" s="1804" t="s">
        <v>335</v>
      </c>
      <c r="F93" s="1795"/>
      <c r="G93" s="1796">
        <f t="shared" si="5"/>
        <v>0</v>
      </c>
      <c r="H93" s="1796">
        <f t="shared" si="6"/>
        <v>0</v>
      </c>
      <c r="I93" s="1796">
        <f t="shared" si="7"/>
        <v>0</v>
      </c>
      <c r="J93" s="1795"/>
      <c r="K93" s="1797"/>
      <c r="L93" s="1797"/>
      <c r="M93" s="1801"/>
      <c r="N93" s="1800"/>
      <c r="O93" s="1800"/>
      <c r="P93" s="1797"/>
      <c r="Q93" s="1797"/>
      <c r="R93" s="1797"/>
      <c r="S93" s="1797"/>
      <c r="T93" s="1797"/>
      <c r="U93" s="1797"/>
      <c r="V93" s="1797"/>
      <c r="W93" s="1797"/>
      <c r="X93" s="1797"/>
      <c r="Y93" s="1797"/>
      <c r="Z93" s="1797"/>
      <c r="AA93" s="1797"/>
      <c r="AB93" s="1797"/>
      <c r="AC93" s="1797"/>
      <c r="AD93" s="1797"/>
      <c r="AE93" s="1797"/>
      <c r="AF93" s="1797"/>
      <c r="AG93" s="1797"/>
      <c r="AH93" s="1797"/>
      <c r="AI93" s="1797"/>
    </row>
    <row r="94" spans="1:35" s="1798" customFormat="1">
      <c r="A94" s="1729"/>
      <c r="B94" s="1730"/>
      <c r="C94" s="1739"/>
      <c r="D94" s="1793" t="s">
        <v>139</v>
      </c>
      <c r="E94" s="1799" t="s">
        <v>461</v>
      </c>
      <c r="F94" s="1795" t="s">
        <v>384</v>
      </c>
      <c r="G94" s="1796">
        <f t="shared" si="5"/>
        <v>2.5680000000000005</v>
      </c>
      <c r="H94" s="1796">
        <f t="shared" si="6"/>
        <v>3.6915000000000004</v>
      </c>
      <c r="I94" s="1796">
        <f t="shared" si="7"/>
        <v>4.8150000000000004</v>
      </c>
      <c r="J94" s="1795" t="s">
        <v>599</v>
      </c>
      <c r="K94" s="1797"/>
      <c r="L94" s="1797"/>
      <c r="M94" s="1801">
        <v>2.4000000000000004</v>
      </c>
      <c r="N94" s="1800">
        <v>3.45</v>
      </c>
      <c r="O94" s="1800">
        <v>4.5</v>
      </c>
      <c r="P94" s="1797"/>
      <c r="Q94" s="1797"/>
      <c r="R94" s="1797"/>
      <c r="S94" s="1797"/>
      <c r="T94" s="1797"/>
      <c r="U94" s="1797"/>
      <c r="V94" s="1797"/>
      <c r="W94" s="1797"/>
      <c r="X94" s="1797"/>
      <c r="Y94" s="1797"/>
      <c r="Z94" s="1797"/>
      <c r="AA94" s="1797"/>
      <c r="AB94" s="1797"/>
      <c r="AC94" s="1797"/>
      <c r="AD94" s="1797"/>
      <c r="AE94" s="1797"/>
      <c r="AF94" s="1797"/>
      <c r="AG94" s="1797"/>
      <c r="AH94" s="1797"/>
      <c r="AI94" s="1797"/>
    </row>
    <row r="95" spans="1:35" s="1798" customFormat="1">
      <c r="A95" s="1729"/>
      <c r="B95" s="1730"/>
      <c r="C95" s="1739"/>
      <c r="D95" s="1793"/>
      <c r="E95" s="1799"/>
      <c r="F95" s="1795"/>
      <c r="G95" s="1796">
        <f t="shared" si="5"/>
        <v>0</v>
      </c>
      <c r="H95" s="1796">
        <f t="shared" si="6"/>
        <v>0</v>
      </c>
      <c r="I95" s="1796">
        <f t="shared" si="7"/>
        <v>0</v>
      </c>
      <c r="J95" s="1795"/>
      <c r="K95" s="1797"/>
      <c r="L95" s="1797"/>
      <c r="M95" s="1801"/>
      <c r="N95" s="1800"/>
      <c r="O95" s="1800"/>
      <c r="P95" s="1797"/>
      <c r="Q95" s="1797"/>
      <c r="R95" s="1797"/>
      <c r="S95" s="1797"/>
      <c r="T95" s="1797"/>
      <c r="U95" s="1797"/>
      <c r="V95" s="1797"/>
      <c r="W95" s="1797"/>
      <c r="X95" s="1797"/>
      <c r="Y95" s="1797"/>
      <c r="Z95" s="1797"/>
      <c r="AA95" s="1797"/>
      <c r="AB95" s="1797"/>
      <c r="AC95" s="1797"/>
      <c r="AD95" s="1797"/>
      <c r="AE95" s="1797"/>
      <c r="AF95" s="1797"/>
      <c r="AG95" s="1797"/>
      <c r="AH95" s="1797"/>
      <c r="AI95" s="1797"/>
    </row>
    <row r="96" spans="1:35" s="1798" customFormat="1">
      <c r="A96" s="1729"/>
      <c r="B96" s="1730"/>
      <c r="C96" s="1739"/>
      <c r="D96" s="1793" t="s">
        <v>600</v>
      </c>
      <c r="E96" s="1804" t="s">
        <v>601</v>
      </c>
      <c r="F96" s="1795"/>
      <c r="G96" s="1796">
        <f t="shared" si="5"/>
        <v>0</v>
      </c>
      <c r="H96" s="1796">
        <f t="shared" si="6"/>
        <v>0</v>
      </c>
      <c r="I96" s="1796">
        <f t="shared" si="7"/>
        <v>0</v>
      </c>
      <c r="J96" s="1795"/>
      <c r="K96" s="1797"/>
      <c r="L96" s="1797"/>
      <c r="M96" s="1801"/>
      <c r="N96" s="1800"/>
      <c r="O96" s="1800"/>
      <c r="P96" s="1797"/>
      <c r="Q96" s="1797"/>
      <c r="R96" s="1797"/>
      <c r="S96" s="1797"/>
      <c r="T96" s="1797"/>
      <c r="U96" s="1797"/>
      <c r="V96" s="1797"/>
      <c r="W96" s="1797"/>
      <c r="X96" s="1797"/>
      <c r="Y96" s="1797"/>
      <c r="Z96" s="1797"/>
      <c r="AA96" s="1797"/>
      <c r="AB96" s="1797"/>
      <c r="AC96" s="1797"/>
      <c r="AD96" s="1797"/>
      <c r="AE96" s="1797"/>
      <c r="AF96" s="1797"/>
      <c r="AG96" s="1797"/>
      <c r="AH96" s="1797"/>
      <c r="AI96" s="1797"/>
    </row>
    <row r="97" spans="1:35" s="1798" customFormat="1">
      <c r="A97" s="1729"/>
      <c r="B97" s="1730"/>
      <c r="C97" s="1739"/>
      <c r="D97" s="1793" t="s">
        <v>602</v>
      </c>
      <c r="E97" s="1799" t="s">
        <v>460</v>
      </c>
      <c r="F97" s="1795" t="s">
        <v>411</v>
      </c>
      <c r="G97" s="1796">
        <f t="shared" si="5"/>
        <v>1.7120000000000002</v>
      </c>
      <c r="H97" s="1796">
        <f t="shared" si="6"/>
        <v>2.4609999999999999</v>
      </c>
      <c r="I97" s="1796">
        <f t="shared" si="7"/>
        <v>3.21</v>
      </c>
      <c r="J97" s="1795" t="s">
        <v>603</v>
      </c>
      <c r="K97" s="1797"/>
      <c r="L97" s="1797"/>
      <c r="M97" s="1801">
        <v>1.6</v>
      </c>
      <c r="N97" s="1800">
        <v>2.2999999999999998</v>
      </c>
      <c r="O97" s="1800">
        <v>3</v>
      </c>
      <c r="P97" s="1797"/>
      <c r="Q97" s="1797"/>
      <c r="R97" s="1797"/>
      <c r="S97" s="1797"/>
      <c r="T97" s="1797"/>
      <c r="U97" s="1797"/>
      <c r="V97" s="1797"/>
      <c r="W97" s="1797"/>
      <c r="X97" s="1797"/>
      <c r="Y97" s="1797"/>
      <c r="Z97" s="1797"/>
      <c r="AA97" s="1797"/>
      <c r="AB97" s="1797"/>
      <c r="AC97" s="1797"/>
      <c r="AD97" s="1797"/>
      <c r="AE97" s="1797"/>
      <c r="AF97" s="1797"/>
      <c r="AG97" s="1797"/>
      <c r="AH97" s="1797"/>
      <c r="AI97" s="1797"/>
    </row>
    <row r="98" spans="1:35" s="1798" customFormat="1">
      <c r="A98" s="1729"/>
      <c r="B98" s="1730"/>
      <c r="C98" s="1739"/>
      <c r="D98" s="1793"/>
      <c r="E98" s="1799"/>
      <c r="F98" s="1795"/>
      <c r="G98" s="1796"/>
      <c r="H98" s="1796"/>
      <c r="I98" s="1796"/>
      <c r="J98" s="1795"/>
      <c r="K98" s="1797"/>
      <c r="L98" s="1797"/>
      <c r="M98" s="1797"/>
      <c r="N98" s="1797"/>
      <c r="O98" s="1797"/>
      <c r="P98" s="1797"/>
      <c r="Q98" s="1797"/>
      <c r="R98" s="1797"/>
      <c r="S98" s="1797"/>
      <c r="T98" s="1797"/>
      <c r="U98" s="1797"/>
      <c r="V98" s="1797"/>
      <c r="W98" s="1797"/>
      <c r="X98" s="1797"/>
      <c r="Y98" s="1797"/>
      <c r="Z98" s="1797"/>
      <c r="AA98" s="1797"/>
      <c r="AB98" s="1797"/>
      <c r="AC98" s="1797"/>
      <c r="AD98" s="1797"/>
      <c r="AE98" s="1797"/>
      <c r="AF98" s="1797"/>
      <c r="AG98" s="1797"/>
      <c r="AH98" s="1797"/>
      <c r="AI98" s="1797"/>
    </row>
    <row r="99" spans="1:35" s="1798" customFormat="1">
      <c r="A99" s="1729"/>
      <c r="B99" s="1730"/>
      <c r="C99" s="1739"/>
      <c r="D99" s="1793" t="s">
        <v>604</v>
      </c>
      <c r="E99" s="1804" t="s">
        <v>605</v>
      </c>
      <c r="F99" s="1795"/>
      <c r="G99" s="1796"/>
      <c r="H99" s="1796"/>
      <c r="I99" s="1796"/>
      <c r="J99" s="1795"/>
      <c r="K99" s="1797"/>
      <c r="L99" s="1797"/>
      <c r="M99" s="1797"/>
      <c r="N99" s="1797"/>
      <c r="O99" s="1797"/>
      <c r="P99" s="1797"/>
      <c r="Q99" s="1797"/>
      <c r="R99" s="1797"/>
      <c r="S99" s="1797"/>
      <c r="T99" s="1797"/>
      <c r="U99" s="1797"/>
      <c r="V99" s="1797"/>
      <c r="W99" s="1797"/>
      <c r="X99" s="1797"/>
      <c r="Y99" s="1797"/>
      <c r="Z99" s="1797"/>
      <c r="AA99" s="1797"/>
      <c r="AB99" s="1797"/>
      <c r="AC99" s="1797"/>
      <c r="AD99" s="1797"/>
      <c r="AE99" s="1797"/>
      <c r="AF99" s="1797"/>
      <c r="AG99" s="1797"/>
      <c r="AH99" s="1797"/>
      <c r="AI99" s="1797"/>
    </row>
    <row r="100" spans="1:35" s="1798" customFormat="1">
      <c r="A100" s="1729"/>
      <c r="B100" s="1730"/>
      <c r="C100" s="1739"/>
      <c r="D100" s="1793" t="s">
        <v>167</v>
      </c>
      <c r="E100" s="1799" t="s">
        <v>606</v>
      </c>
      <c r="F100" s="1795" t="s">
        <v>312</v>
      </c>
      <c r="G100" s="1796">
        <v>1</v>
      </c>
      <c r="H100" s="1796">
        <f t="shared" ref="H100:H102" si="8">(I100+G100)/2</f>
        <v>1</v>
      </c>
      <c r="I100" s="1796">
        <v>1</v>
      </c>
      <c r="J100" s="1795" t="s">
        <v>312</v>
      </c>
      <c r="K100" s="1797"/>
      <c r="L100" s="1797"/>
      <c r="M100" s="1797"/>
      <c r="N100" s="1797"/>
      <c r="O100" s="1797"/>
      <c r="P100" s="1797"/>
      <c r="Q100" s="1797"/>
      <c r="R100" s="1797"/>
      <c r="S100" s="1797"/>
      <c r="T100" s="1797"/>
      <c r="U100" s="1797"/>
      <c r="V100" s="1797"/>
      <c r="W100" s="1797"/>
      <c r="X100" s="1797"/>
      <c r="Y100" s="1797"/>
      <c r="Z100" s="1797"/>
      <c r="AA100" s="1797"/>
      <c r="AB100" s="1797"/>
      <c r="AC100" s="1797"/>
      <c r="AD100" s="1797"/>
      <c r="AE100" s="1797"/>
      <c r="AF100" s="1797"/>
      <c r="AG100" s="1797"/>
      <c r="AH100" s="1797"/>
      <c r="AI100" s="1797"/>
    </row>
    <row r="101" spans="1:35" s="1798" customFormat="1">
      <c r="A101" s="1729"/>
      <c r="B101" s="1730"/>
      <c r="C101" s="1739"/>
      <c r="D101" s="1793" t="s">
        <v>169</v>
      </c>
      <c r="E101" s="1799" t="s">
        <v>607</v>
      </c>
      <c r="F101" s="1795" t="s">
        <v>312</v>
      </c>
      <c r="G101" s="1796">
        <v>1</v>
      </c>
      <c r="H101" s="1796">
        <f t="shared" si="8"/>
        <v>1</v>
      </c>
      <c r="I101" s="1796">
        <v>1</v>
      </c>
      <c r="J101" s="1795" t="s">
        <v>312</v>
      </c>
      <c r="K101" s="1797"/>
      <c r="L101" s="1797"/>
      <c r="M101" s="1797"/>
      <c r="N101" s="1797"/>
      <c r="O101" s="1797"/>
      <c r="P101" s="1797"/>
      <c r="Q101" s="1797"/>
      <c r="R101" s="1797"/>
      <c r="S101" s="1797"/>
      <c r="T101" s="1797"/>
      <c r="U101" s="1797"/>
      <c r="V101" s="1797"/>
      <c r="W101" s="1797"/>
      <c r="X101" s="1797"/>
      <c r="Y101" s="1797"/>
      <c r="Z101" s="1797"/>
      <c r="AA101" s="1797"/>
      <c r="AB101" s="1797"/>
      <c r="AC101" s="1797"/>
      <c r="AD101" s="1797"/>
      <c r="AE101" s="1797"/>
      <c r="AF101" s="1797"/>
      <c r="AG101" s="1797"/>
      <c r="AH101" s="1797"/>
      <c r="AI101" s="1797"/>
    </row>
    <row r="102" spans="1:35" s="1798" customFormat="1">
      <c r="A102" s="1729"/>
      <c r="B102" s="1730"/>
      <c r="C102" s="1739"/>
      <c r="D102" s="1793" t="s">
        <v>171</v>
      </c>
      <c r="E102" s="1799" t="s">
        <v>608</v>
      </c>
      <c r="F102" s="1795" t="s">
        <v>312</v>
      </c>
      <c r="G102" s="1796">
        <v>1</v>
      </c>
      <c r="H102" s="1796">
        <f t="shared" si="8"/>
        <v>1</v>
      </c>
      <c r="I102" s="1796">
        <v>1</v>
      </c>
      <c r="J102" s="1795" t="s">
        <v>312</v>
      </c>
      <c r="K102" s="1797"/>
      <c r="L102" s="1797"/>
      <c r="M102" s="1797"/>
      <c r="N102" s="1797"/>
      <c r="O102" s="1797"/>
      <c r="P102" s="1797"/>
      <c r="Q102" s="1797"/>
      <c r="R102" s="1797"/>
      <c r="S102" s="1797"/>
      <c r="T102" s="1797"/>
      <c r="U102" s="1797"/>
      <c r="V102" s="1797"/>
      <c r="W102" s="1797"/>
      <c r="X102" s="1797"/>
      <c r="Y102" s="1797"/>
      <c r="Z102" s="1797"/>
      <c r="AA102" s="1797"/>
      <c r="AB102" s="1797"/>
      <c r="AC102" s="1797"/>
      <c r="AD102" s="1797"/>
      <c r="AE102" s="1797"/>
      <c r="AF102" s="1797"/>
      <c r="AG102" s="1797"/>
      <c r="AH102" s="1797"/>
      <c r="AI102" s="1797"/>
    </row>
    <row r="103" spans="1:35" s="1798" customFormat="1">
      <c r="A103" s="1729"/>
      <c r="B103" s="1730"/>
      <c r="C103" s="1739"/>
      <c r="D103" s="1793"/>
      <c r="E103" s="1799"/>
      <c r="F103" s="1795"/>
      <c r="G103" s="1796"/>
      <c r="H103" s="1796"/>
      <c r="I103" s="1796"/>
      <c r="J103" s="1795"/>
      <c r="K103" s="1797"/>
      <c r="L103" s="1797"/>
      <c r="M103" s="1797"/>
      <c r="N103" s="1797"/>
      <c r="O103" s="1797"/>
      <c r="P103" s="1797"/>
      <c r="Q103" s="1797"/>
      <c r="R103" s="1797"/>
      <c r="S103" s="1797"/>
      <c r="T103" s="1797"/>
      <c r="U103" s="1797"/>
      <c r="V103" s="1797"/>
      <c r="W103" s="1797"/>
      <c r="X103" s="1797"/>
      <c r="Y103" s="1797"/>
      <c r="Z103" s="1797"/>
      <c r="AA103" s="1797"/>
      <c r="AB103" s="1797"/>
      <c r="AC103" s="1797"/>
      <c r="AD103" s="1797"/>
      <c r="AE103" s="1797"/>
      <c r="AF103" s="1797"/>
      <c r="AG103" s="1797"/>
      <c r="AH103" s="1797"/>
      <c r="AI103" s="1797"/>
    </row>
    <row r="104" spans="1:35" s="1798" customFormat="1">
      <c r="A104" s="1729"/>
      <c r="B104" s="1730"/>
      <c r="C104" s="1739"/>
      <c r="D104" s="1797"/>
      <c r="E104" s="1797"/>
      <c r="F104" s="1797"/>
      <c r="G104" s="1797"/>
      <c r="H104" s="1797"/>
      <c r="I104" s="1797"/>
      <c r="J104" s="1797"/>
      <c r="K104" s="1797"/>
      <c r="L104" s="1797"/>
      <c r="M104" s="1797"/>
      <c r="N104" s="1797"/>
      <c r="O104" s="1797"/>
      <c r="P104" s="1797"/>
      <c r="Q104" s="1797"/>
      <c r="R104" s="1797"/>
      <c r="S104" s="1797"/>
      <c r="T104" s="1797"/>
      <c r="U104" s="1797"/>
      <c r="V104" s="1797"/>
      <c r="W104" s="1797"/>
      <c r="X104" s="1797"/>
      <c r="Y104" s="1797"/>
      <c r="Z104" s="1797"/>
      <c r="AA104" s="1797"/>
      <c r="AB104" s="1797"/>
      <c r="AC104" s="1797"/>
      <c r="AD104" s="1797"/>
      <c r="AE104" s="1797"/>
      <c r="AF104" s="1797"/>
      <c r="AG104" s="1797"/>
      <c r="AH104" s="1797"/>
      <c r="AI104" s="1797"/>
    </row>
    <row r="105" spans="1:35" s="1798" customFormat="1">
      <c r="A105" s="1729"/>
      <c r="B105" s="1730"/>
      <c r="C105" s="1739"/>
      <c r="D105" s="1797"/>
      <c r="E105" s="1797"/>
      <c r="F105" s="1797"/>
      <c r="G105" s="1797"/>
      <c r="H105" s="1797"/>
      <c r="I105" s="1797"/>
      <c r="J105" s="1797"/>
      <c r="K105" s="1797"/>
      <c r="L105" s="1797"/>
      <c r="M105" s="1797"/>
      <c r="N105" s="1797"/>
      <c r="O105" s="1797"/>
      <c r="P105" s="1797"/>
      <c r="Q105" s="1797"/>
      <c r="R105" s="1797"/>
      <c r="S105" s="1797"/>
      <c r="T105" s="1797"/>
      <c r="U105" s="1797"/>
      <c r="V105" s="1797"/>
      <c r="W105" s="1797"/>
      <c r="X105" s="1797"/>
      <c r="Y105" s="1797"/>
      <c r="Z105" s="1797"/>
      <c r="AA105" s="1797"/>
      <c r="AB105" s="1797"/>
      <c r="AC105" s="1797"/>
      <c r="AD105" s="1797"/>
      <c r="AE105" s="1797"/>
      <c r="AF105" s="1797"/>
      <c r="AG105" s="1797"/>
      <c r="AH105" s="1797"/>
      <c r="AI105" s="1797"/>
    </row>
    <row r="106" spans="1:35" s="1798" customFormat="1">
      <c r="A106" s="1729"/>
      <c r="B106" s="1730"/>
      <c r="C106" s="1739"/>
      <c r="D106" s="1797"/>
      <c r="E106" s="1797"/>
      <c r="F106" s="1797"/>
      <c r="G106" s="1797"/>
      <c r="H106" s="1797"/>
      <c r="I106" s="1797"/>
      <c r="J106" s="1797"/>
      <c r="K106" s="1797"/>
      <c r="L106" s="1797"/>
      <c r="M106" s="1797"/>
      <c r="N106" s="1797"/>
      <c r="O106" s="1797"/>
      <c r="P106" s="1797"/>
      <c r="Q106" s="1797"/>
      <c r="R106" s="1797"/>
      <c r="S106" s="1797"/>
      <c r="T106" s="1797"/>
      <c r="U106" s="1797"/>
      <c r="V106" s="1797"/>
      <c r="W106" s="1797"/>
      <c r="X106" s="1797"/>
      <c r="Y106" s="1797"/>
      <c r="Z106" s="1797"/>
      <c r="AA106" s="1797"/>
      <c r="AB106" s="1797"/>
      <c r="AC106" s="1797"/>
      <c r="AD106" s="1797"/>
      <c r="AE106" s="1797"/>
      <c r="AF106" s="1797"/>
      <c r="AG106" s="1797"/>
      <c r="AH106" s="1797"/>
      <c r="AI106" s="1797"/>
    </row>
    <row r="107" spans="1:35" s="1798" customFormat="1">
      <c r="A107" s="1729"/>
      <c r="B107" s="1730"/>
      <c r="C107" s="1739"/>
      <c r="D107" s="1797"/>
      <c r="E107" s="1797"/>
      <c r="F107" s="1797"/>
      <c r="G107" s="1797"/>
      <c r="H107" s="1797"/>
      <c r="I107" s="1797"/>
      <c r="J107" s="1797"/>
      <c r="K107" s="1797"/>
      <c r="L107" s="1797"/>
      <c r="M107" s="1797"/>
      <c r="N107" s="1797"/>
      <c r="O107" s="1797"/>
      <c r="P107" s="1797"/>
      <c r="Q107" s="1797"/>
      <c r="R107" s="1797"/>
      <c r="S107" s="1797"/>
      <c r="T107" s="1797"/>
      <c r="U107" s="1797"/>
      <c r="V107" s="1797"/>
      <c r="W107" s="1797"/>
      <c r="X107" s="1797"/>
      <c r="Y107" s="1797"/>
      <c r="Z107" s="1797"/>
      <c r="AA107" s="1797"/>
      <c r="AB107" s="1797"/>
      <c r="AC107" s="1797"/>
      <c r="AD107" s="1797"/>
      <c r="AE107" s="1797"/>
      <c r="AF107" s="1797"/>
      <c r="AG107" s="1797"/>
      <c r="AH107" s="1797"/>
      <c r="AI107" s="1797"/>
    </row>
    <row r="108" spans="1:35" s="1798" customFormat="1">
      <c r="A108" s="1729"/>
      <c r="B108" s="1730"/>
      <c r="C108" s="1739"/>
      <c r="D108" s="1797"/>
      <c r="E108" s="1797"/>
      <c r="F108" s="1797"/>
      <c r="G108" s="1797"/>
      <c r="H108" s="1797"/>
      <c r="I108" s="1797"/>
      <c r="J108" s="1797"/>
      <c r="K108" s="1797"/>
      <c r="L108" s="1797"/>
      <c r="M108" s="1797"/>
      <c r="N108" s="1797"/>
      <c r="O108" s="1797"/>
      <c r="P108" s="1797"/>
      <c r="Q108" s="1797"/>
      <c r="R108" s="1797"/>
      <c r="S108" s="1797"/>
      <c r="T108" s="1797"/>
      <c r="U108" s="1797"/>
      <c r="V108" s="1797"/>
      <c r="W108" s="1797"/>
      <c r="X108" s="1797"/>
      <c r="Y108" s="1797"/>
      <c r="Z108" s="1797"/>
      <c r="AA108" s="1797"/>
      <c r="AB108" s="1797"/>
      <c r="AC108" s="1797"/>
      <c r="AD108" s="1797"/>
      <c r="AE108" s="1797"/>
      <c r="AF108" s="1797"/>
      <c r="AG108" s="1797"/>
      <c r="AH108" s="1797"/>
      <c r="AI108" s="1797"/>
    </row>
    <row r="109" spans="1:35" s="1798" customFormat="1">
      <c r="A109" s="1729"/>
      <c r="B109" s="1730"/>
      <c r="C109" s="1739"/>
      <c r="D109" s="1797"/>
      <c r="E109" s="1797"/>
      <c r="F109" s="1797"/>
      <c r="G109" s="1797"/>
      <c r="H109" s="1797"/>
      <c r="I109" s="1797"/>
      <c r="J109" s="1797"/>
      <c r="K109" s="1797"/>
      <c r="L109" s="1797"/>
      <c r="M109" s="1797"/>
      <c r="N109" s="1797"/>
      <c r="O109" s="1797"/>
      <c r="P109" s="1797"/>
      <c r="Q109" s="1797"/>
      <c r="R109" s="1797"/>
      <c r="S109" s="1797"/>
      <c r="T109" s="1797"/>
      <c r="U109" s="1797"/>
      <c r="V109" s="1797"/>
      <c r="W109" s="1797"/>
      <c r="X109" s="1797"/>
      <c r="Y109" s="1797"/>
      <c r="Z109" s="1797"/>
      <c r="AA109" s="1797"/>
      <c r="AB109" s="1797"/>
      <c r="AC109" s="1797"/>
      <c r="AD109" s="1797"/>
      <c r="AE109" s="1797"/>
      <c r="AF109" s="1797"/>
      <c r="AG109" s="1797"/>
      <c r="AH109" s="1797"/>
      <c r="AI109" s="1797"/>
    </row>
    <row r="110" spans="1:35">
      <c r="A110" s="595"/>
      <c r="B110" s="598"/>
      <c r="C110" s="599"/>
      <c r="D110" s="350"/>
      <c r="E110" s="350"/>
      <c r="F110" s="350"/>
      <c r="G110" s="350"/>
      <c r="H110" s="350"/>
      <c r="I110" s="350"/>
      <c r="J110" s="350"/>
      <c r="K110" s="350"/>
      <c r="L110" s="350"/>
      <c r="M110" s="350"/>
      <c r="N110" s="350"/>
      <c r="O110" s="350"/>
      <c r="P110" s="350"/>
      <c r="Q110" s="350"/>
      <c r="R110" s="350"/>
      <c r="S110" s="350"/>
      <c r="T110" s="350"/>
      <c r="U110" s="350"/>
      <c r="V110" s="350"/>
      <c r="W110" s="350"/>
      <c r="X110" s="350"/>
      <c r="Y110" s="350"/>
      <c r="Z110" s="350"/>
      <c r="AA110" s="350"/>
      <c r="AB110" s="350"/>
      <c r="AC110" s="350"/>
      <c r="AD110" s="350"/>
      <c r="AE110" s="350"/>
      <c r="AF110" s="350"/>
      <c r="AG110" s="350"/>
      <c r="AH110" s="350"/>
      <c r="AI110" s="350"/>
    </row>
    <row r="111" spans="1:35">
      <c r="A111" s="595"/>
      <c r="B111" s="598"/>
      <c r="C111" s="599"/>
      <c r="D111" s="350"/>
      <c r="E111" s="350"/>
      <c r="F111" s="350"/>
      <c r="G111" s="350"/>
      <c r="H111" s="350"/>
      <c r="I111" s="350"/>
      <c r="J111" s="350"/>
      <c r="K111" s="350"/>
      <c r="L111" s="350"/>
      <c r="M111" s="350"/>
      <c r="N111" s="350"/>
      <c r="O111" s="350"/>
      <c r="P111" s="350"/>
      <c r="Q111" s="350"/>
      <c r="R111" s="350"/>
      <c r="S111" s="350"/>
      <c r="T111" s="350"/>
      <c r="U111" s="350"/>
      <c r="V111" s="350"/>
      <c r="W111" s="350"/>
      <c r="X111" s="350"/>
      <c r="Y111" s="350"/>
      <c r="Z111" s="350"/>
      <c r="AA111" s="350"/>
      <c r="AB111" s="350"/>
      <c r="AC111" s="350"/>
      <c r="AD111" s="350"/>
      <c r="AE111" s="350"/>
      <c r="AF111" s="350"/>
      <c r="AG111" s="350"/>
      <c r="AH111" s="350"/>
      <c r="AI111" s="350"/>
    </row>
    <row r="112" spans="1:35">
      <c r="A112" s="595"/>
      <c r="B112" s="598"/>
      <c r="C112" s="599"/>
      <c r="D112" s="350"/>
      <c r="E112" s="350"/>
      <c r="F112" s="350"/>
      <c r="G112" s="350"/>
      <c r="H112" s="350"/>
      <c r="I112" s="350"/>
      <c r="J112" s="350"/>
      <c r="K112" s="350"/>
      <c r="L112" s="350"/>
      <c r="M112" s="350"/>
      <c r="N112" s="350"/>
      <c r="O112" s="350"/>
      <c r="P112" s="350"/>
      <c r="Q112" s="350"/>
      <c r="R112" s="350"/>
      <c r="S112" s="350"/>
      <c r="T112" s="350"/>
      <c r="U112" s="350"/>
      <c r="V112" s="350"/>
      <c r="W112" s="350"/>
      <c r="X112" s="350"/>
      <c r="Y112" s="350"/>
      <c r="Z112" s="350"/>
      <c r="AA112" s="350"/>
      <c r="AB112" s="350"/>
      <c r="AC112" s="350"/>
      <c r="AD112" s="350"/>
      <c r="AE112" s="350"/>
      <c r="AF112" s="350"/>
      <c r="AG112" s="350"/>
      <c r="AH112" s="350"/>
      <c r="AI112" s="350"/>
    </row>
    <row r="113" spans="1:35">
      <c r="A113" s="595"/>
      <c r="B113" s="598"/>
      <c r="C113" s="599"/>
      <c r="D113" s="350"/>
      <c r="E113" s="350"/>
      <c r="F113" s="350"/>
      <c r="G113" s="350"/>
      <c r="H113" s="350"/>
      <c r="I113" s="350"/>
      <c r="J113" s="350"/>
      <c r="K113" s="350"/>
      <c r="L113" s="350"/>
      <c r="M113" s="350"/>
      <c r="N113" s="350"/>
      <c r="O113" s="350"/>
      <c r="P113" s="350"/>
      <c r="Q113" s="350"/>
      <c r="R113" s="350"/>
      <c r="S113" s="350"/>
      <c r="T113" s="350"/>
      <c r="U113" s="350"/>
      <c r="V113" s="350"/>
      <c r="W113" s="350"/>
      <c r="X113" s="350"/>
      <c r="Y113" s="350"/>
      <c r="Z113" s="350"/>
      <c r="AA113" s="350"/>
      <c r="AB113" s="350"/>
      <c r="AC113" s="350"/>
      <c r="AD113" s="350"/>
      <c r="AE113" s="350"/>
      <c r="AF113" s="350"/>
      <c r="AG113" s="350"/>
      <c r="AH113" s="350"/>
      <c r="AI113" s="350"/>
    </row>
    <row r="114" spans="1:35">
      <c r="A114" s="595"/>
      <c r="B114" s="598"/>
      <c r="C114" s="599"/>
      <c r="D114" s="350"/>
      <c r="E114" s="350"/>
      <c r="F114" s="350"/>
      <c r="G114" s="350"/>
      <c r="H114" s="350"/>
      <c r="I114" s="350"/>
      <c r="J114" s="350"/>
      <c r="K114" s="350"/>
      <c r="L114" s="350"/>
      <c r="M114" s="350"/>
      <c r="N114" s="350"/>
      <c r="O114" s="350"/>
      <c r="P114" s="350"/>
      <c r="Q114" s="350"/>
      <c r="R114" s="350"/>
      <c r="S114" s="350"/>
      <c r="T114" s="350"/>
      <c r="U114" s="350"/>
      <c r="V114" s="350"/>
      <c r="W114" s="350"/>
      <c r="X114" s="350"/>
      <c r="Y114" s="350"/>
      <c r="Z114" s="350"/>
      <c r="AA114" s="350"/>
      <c r="AB114" s="350"/>
      <c r="AC114" s="350"/>
      <c r="AD114" s="350"/>
      <c r="AE114" s="350"/>
      <c r="AF114" s="350"/>
      <c r="AG114" s="350"/>
      <c r="AH114" s="350"/>
      <c r="AI114" s="350"/>
    </row>
    <row r="115" spans="1:35">
      <c r="A115" s="595"/>
      <c r="B115" s="598"/>
      <c r="C115" s="599"/>
      <c r="D115" s="350"/>
      <c r="E115" s="350"/>
      <c r="F115" s="350"/>
      <c r="G115" s="350"/>
      <c r="H115" s="350"/>
      <c r="I115" s="350"/>
      <c r="J115" s="350"/>
      <c r="K115" s="350"/>
      <c r="L115" s="350"/>
      <c r="M115" s="350"/>
      <c r="N115" s="350"/>
      <c r="O115" s="350"/>
      <c r="P115" s="350"/>
      <c r="Q115" s="350"/>
      <c r="R115" s="350"/>
      <c r="S115" s="350"/>
      <c r="T115" s="350"/>
      <c r="U115" s="350"/>
      <c r="V115" s="350"/>
      <c r="W115" s="350"/>
      <c r="X115" s="350"/>
      <c r="Y115" s="350"/>
      <c r="Z115" s="350"/>
      <c r="AA115" s="350"/>
      <c r="AB115" s="350"/>
      <c r="AC115" s="350"/>
      <c r="AD115" s="350"/>
      <c r="AE115" s="350"/>
      <c r="AF115" s="350"/>
      <c r="AG115" s="350"/>
      <c r="AH115" s="350"/>
      <c r="AI115" s="350"/>
    </row>
    <row r="116" spans="1:35">
      <c r="A116" s="595"/>
      <c r="B116" s="598"/>
      <c r="C116" s="599"/>
      <c r="D116" s="350"/>
      <c r="E116" s="350"/>
      <c r="F116" s="350"/>
      <c r="G116" s="350"/>
      <c r="H116" s="350"/>
      <c r="I116" s="350"/>
      <c r="J116" s="350"/>
      <c r="K116" s="350"/>
      <c r="L116" s="350"/>
      <c r="M116" s="350"/>
      <c r="N116" s="350"/>
      <c r="O116" s="350"/>
      <c r="P116" s="350"/>
      <c r="Q116" s="350"/>
      <c r="R116" s="350"/>
      <c r="S116" s="350"/>
      <c r="T116" s="350"/>
      <c r="U116" s="350"/>
      <c r="V116" s="350"/>
      <c r="W116" s="350"/>
      <c r="X116" s="350"/>
      <c r="Y116" s="350"/>
      <c r="Z116" s="350"/>
      <c r="AA116" s="350"/>
      <c r="AB116" s="350"/>
      <c r="AC116" s="350"/>
      <c r="AD116" s="350"/>
      <c r="AE116" s="350"/>
      <c r="AF116" s="350"/>
      <c r="AG116" s="350"/>
      <c r="AH116" s="350"/>
      <c r="AI116" s="350"/>
    </row>
    <row r="117" spans="1:35">
      <c r="A117" s="595"/>
      <c r="B117" s="598"/>
      <c r="C117" s="599"/>
      <c r="D117" s="350"/>
      <c r="E117" s="350"/>
      <c r="F117" s="350"/>
      <c r="G117" s="350"/>
      <c r="H117" s="350"/>
      <c r="I117" s="350"/>
      <c r="J117" s="350"/>
      <c r="K117" s="350"/>
      <c r="L117" s="350"/>
      <c r="M117" s="350"/>
      <c r="N117" s="350"/>
      <c r="O117" s="350"/>
      <c r="P117" s="350"/>
      <c r="Q117" s="350"/>
      <c r="R117" s="350"/>
      <c r="S117" s="350"/>
      <c r="T117" s="350"/>
      <c r="U117" s="350"/>
      <c r="V117" s="350"/>
      <c r="W117" s="350"/>
      <c r="X117" s="350"/>
      <c r="Y117" s="350"/>
      <c r="Z117" s="350"/>
      <c r="AA117" s="350"/>
      <c r="AB117" s="350"/>
      <c r="AC117" s="350"/>
      <c r="AD117" s="350"/>
      <c r="AE117" s="350"/>
      <c r="AF117" s="350"/>
      <c r="AG117" s="350"/>
      <c r="AH117" s="350"/>
      <c r="AI117" s="350"/>
    </row>
    <row r="118" spans="1:35">
      <c r="A118" s="595"/>
      <c r="B118" s="598"/>
      <c r="C118" s="599"/>
      <c r="D118" s="350"/>
      <c r="E118" s="350"/>
      <c r="F118" s="350"/>
      <c r="G118" s="350"/>
      <c r="H118" s="350"/>
      <c r="I118" s="350"/>
      <c r="J118" s="350"/>
      <c r="K118" s="350"/>
      <c r="L118" s="350"/>
      <c r="M118" s="350"/>
      <c r="N118" s="350"/>
      <c r="O118" s="350"/>
      <c r="P118" s="350"/>
      <c r="Q118" s="350"/>
      <c r="R118" s="350"/>
      <c r="S118" s="350"/>
      <c r="T118" s="350"/>
      <c r="U118" s="350"/>
      <c r="V118" s="350"/>
      <c r="W118" s="350"/>
      <c r="X118" s="350"/>
      <c r="Y118" s="350"/>
      <c r="Z118" s="350"/>
      <c r="AA118" s="350"/>
      <c r="AB118" s="350"/>
      <c r="AC118" s="350"/>
      <c r="AD118" s="350"/>
      <c r="AE118" s="350"/>
      <c r="AF118" s="350"/>
      <c r="AG118" s="350"/>
      <c r="AH118" s="350"/>
      <c r="AI118" s="350"/>
    </row>
    <row r="119" spans="1:35">
      <c r="A119" s="595"/>
      <c r="B119" s="598"/>
      <c r="C119" s="599"/>
      <c r="D119" s="350"/>
      <c r="E119" s="350"/>
      <c r="F119" s="350"/>
      <c r="G119" s="350"/>
      <c r="H119" s="350"/>
      <c r="I119" s="350"/>
      <c r="J119" s="350"/>
      <c r="K119" s="350"/>
      <c r="L119" s="350"/>
      <c r="M119" s="350"/>
      <c r="N119" s="350"/>
      <c r="O119" s="350"/>
      <c r="P119" s="350"/>
      <c r="Q119" s="350"/>
      <c r="R119" s="350"/>
      <c r="S119" s="350"/>
      <c r="T119" s="350"/>
      <c r="U119" s="350"/>
      <c r="V119" s="350"/>
      <c r="W119" s="350"/>
      <c r="X119" s="350"/>
      <c r="Y119" s="350"/>
      <c r="Z119" s="350"/>
      <c r="AA119" s="350"/>
      <c r="AB119" s="350"/>
      <c r="AC119" s="350"/>
      <c r="AD119" s="350"/>
      <c r="AE119" s="350"/>
      <c r="AF119" s="350"/>
      <c r="AG119" s="350"/>
      <c r="AH119" s="350"/>
      <c r="AI119" s="350"/>
    </row>
    <row r="120" spans="1:35">
      <c r="A120" s="595"/>
      <c r="B120" s="598"/>
      <c r="C120" s="599"/>
      <c r="D120" s="350"/>
      <c r="E120" s="350"/>
      <c r="F120" s="350"/>
      <c r="G120" s="350"/>
      <c r="H120" s="350"/>
      <c r="I120" s="350"/>
      <c r="J120" s="350"/>
      <c r="K120" s="350"/>
      <c r="L120" s="350"/>
      <c r="M120" s="350"/>
      <c r="N120" s="350"/>
      <c r="O120" s="350"/>
      <c r="P120" s="350"/>
      <c r="Q120" s="350"/>
      <c r="R120" s="350"/>
      <c r="S120" s="350"/>
      <c r="T120" s="350"/>
      <c r="U120" s="350"/>
      <c r="V120" s="350"/>
      <c r="W120" s="350"/>
      <c r="X120" s="350"/>
      <c r="Y120" s="350"/>
      <c r="Z120" s="350"/>
      <c r="AA120" s="350"/>
      <c r="AB120" s="350"/>
      <c r="AC120" s="350"/>
      <c r="AD120" s="350"/>
      <c r="AE120" s="350"/>
      <c r="AF120" s="350"/>
      <c r="AG120" s="350"/>
      <c r="AH120" s="350"/>
      <c r="AI120" s="350"/>
    </row>
    <row r="121" spans="1:35">
      <c r="A121" s="595"/>
      <c r="B121" s="598"/>
      <c r="C121" s="599"/>
      <c r="D121" s="350"/>
      <c r="E121" s="350"/>
      <c r="F121" s="350"/>
      <c r="G121" s="350"/>
      <c r="H121" s="350"/>
      <c r="I121" s="350"/>
      <c r="J121" s="350"/>
      <c r="K121" s="350"/>
      <c r="L121" s="350"/>
      <c r="M121" s="350"/>
      <c r="N121" s="350"/>
      <c r="O121" s="350"/>
      <c r="P121" s="350"/>
      <c r="Q121" s="350"/>
      <c r="R121" s="350"/>
      <c r="S121" s="350"/>
      <c r="T121" s="350"/>
      <c r="U121" s="350"/>
      <c r="V121" s="350"/>
      <c r="W121" s="350"/>
      <c r="X121" s="350"/>
      <c r="Y121" s="350"/>
      <c r="Z121" s="350"/>
      <c r="AA121" s="350"/>
      <c r="AB121" s="350"/>
      <c r="AC121" s="350"/>
      <c r="AD121" s="350"/>
      <c r="AE121" s="350"/>
      <c r="AF121" s="350"/>
      <c r="AG121" s="350"/>
      <c r="AH121" s="350"/>
      <c r="AI121" s="350"/>
    </row>
    <row r="122" spans="1:35">
      <c r="A122" s="595"/>
      <c r="B122" s="598"/>
      <c r="C122" s="599"/>
      <c r="D122" s="350"/>
      <c r="E122" s="350"/>
      <c r="F122" s="350"/>
      <c r="G122" s="350"/>
      <c r="H122" s="350"/>
      <c r="I122" s="350"/>
      <c r="J122" s="350"/>
      <c r="K122" s="350"/>
      <c r="L122" s="350"/>
      <c r="M122" s="350"/>
      <c r="N122" s="350"/>
      <c r="O122" s="350"/>
      <c r="P122" s="350"/>
      <c r="Q122" s="350"/>
      <c r="R122" s="350"/>
      <c r="S122" s="350"/>
      <c r="T122" s="350"/>
      <c r="U122" s="350"/>
      <c r="V122" s="350"/>
      <c r="W122" s="350"/>
      <c r="X122" s="350"/>
      <c r="Y122" s="350"/>
      <c r="Z122" s="350"/>
      <c r="AA122" s="350"/>
      <c r="AB122" s="350"/>
      <c r="AC122" s="350"/>
      <c r="AD122" s="350"/>
      <c r="AE122" s="350"/>
      <c r="AF122" s="350"/>
      <c r="AG122" s="350"/>
      <c r="AH122" s="350"/>
      <c r="AI122" s="350"/>
    </row>
    <row r="123" spans="1:35">
      <c r="A123" s="595"/>
      <c r="B123" s="598"/>
      <c r="C123" s="599"/>
      <c r="D123" s="350"/>
      <c r="E123" s="350"/>
      <c r="F123" s="350"/>
      <c r="G123" s="350"/>
      <c r="H123" s="350"/>
      <c r="I123" s="350"/>
      <c r="J123" s="350"/>
      <c r="K123" s="350"/>
      <c r="L123" s="350"/>
      <c r="M123" s="350"/>
      <c r="N123" s="350"/>
      <c r="O123" s="350"/>
      <c r="P123" s="350"/>
      <c r="Q123" s="350"/>
      <c r="R123" s="350"/>
      <c r="S123" s="350"/>
      <c r="T123" s="350"/>
      <c r="U123" s="350"/>
      <c r="V123" s="350"/>
      <c r="W123" s="350"/>
      <c r="X123" s="350"/>
      <c r="Y123" s="350"/>
      <c r="Z123" s="350"/>
      <c r="AA123" s="350"/>
      <c r="AB123" s="350"/>
      <c r="AC123" s="350"/>
      <c r="AD123" s="350"/>
      <c r="AE123" s="350"/>
      <c r="AF123" s="350"/>
      <c r="AG123" s="350"/>
      <c r="AH123" s="350"/>
      <c r="AI123" s="350"/>
    </row>
    <row r="124" spans="1:35">
      <c r="A124" s="595"/>
      <c r="B124" s="598"/>
      <c r="C124" s="599"/>
      <c r="D124" s="350"/>
      <c r="E124" s="350"/>
      <c r="F124" s="350"/>
      <c r="G124" s="350"/>
      <c r="H124" s="350"/>
      <c r="I124" s="350"/>
      <c r="J124" s="350"/>
      <c r="K124" s="350"/>
      <c r="L124" s="350"/>
      <c r="M124" s="350"/>
      <c r="N124" s="350"/>
      <c r="O124" s="350"/>
      <c r="P124" s="350"/>
      <c r="Q124" s="350"/>
      <c r="R124" s="350"/>
      <c r="S124" s="350"/>
      <c r="T124" s="350"/>
      <c r="U124" s="350"/>
      <c r="V124" s="350"/>
      <c r="W124" s="350"/>
      <c r="X124" s="350"/>
      <c r="Y124" s="350"/>
      <c r="Z124" s="350"/>
      <c r="AA124" s="350"/>
      <c r="AB124" s="350"/>
      <c r="AC124" s="350"/>
      <c r="AD124" s="350"/>
      <c r="AE124" s="350"/>
      <c r="AF124" s="350"/>
      <c r="AG124" s="350"/>
      <c r="AH124" s="350"/>
      <c r="AI124" s="350"/>
    </row>
    <row r="125" spans="1:35">
      <c r="A125" s="595"/>
      <c r="B125" s="598"/>
      <c r="C125" s="599"/>
      <c r="D125" s="350"/>
      <c r="E125" s="350"/>
      <c r="F125" s="350"/>
      <c r="G125" s="350"/>
      <c r="H125" s="350"/>
      <c r="I125" s="350"/>
      <c r="J125" s="350"/>
      <c r="K125" s="350"/>
      <c r="L125" s="350"/>
      <c r="M125" s="350"/>
      <c r="N125" s="350"/>
      <c r="O125" s="350"/>
      <c r="P125" s="350"/>
      <c r="Q125" s="350"/>
      <c r="R125" s="350"/>
      <c r="S125" s="350"/>
      <c r="T125" s="350"/>
      <c r="U125" s="350"/>
      <c r="V125" s="350"/>
      <c r="W125" s="350"/>
      <c r="X125" s="350"/>
      <c r="Y125" s="350"/>
      <c r="Z125" s="350"/>
      <c r="AA125" s="350"/>
      <c r="AB125" s="350"/>
      <c r="AC125" s="350"/>
      <c r="AD125" s="350"/>
      <c r="AE125" s="350"/>
      <c r="AF125" s="350"/>
      <c r="AG125" s="350"/>
      <c r="AH125" s="350"/>
      <c r="AI125" s="350"/>
    </row>
    <row r="126" spans="1:35">
      <c r="A126" s="595"/>
      <c r="B126" s="598"/>
      <c r="C126" s="599"/>
      <c r="D126" s="350"/>
      <c r="E126" s="350"/>
      <c r="F126" s="350"/>
      <c r="G126" s="350"/>
      <c r="H126" s="350"/>
      <c r="I126" s="350"/>
      <c r="J126" s="350"/>
      <c r="K126" s="350"/>
      <c r="L126" s="350"/>
      <c r="M126" s="350"/>
      <c r="N126" s="350"/>
      <c r="O126" s="350"/>
      <c r="P126" s="350"/>
      <c r="Q126" s="350"/>
      <c r="R126" s="350"/>
      <c r="S126" s="350"/>
      <c r="T126" s="350"/>
      <c r="U126" s="350"/>
      <c r="V126" s="350"/>
      <c r="W126" s="350"/>
      <c r="X126" s="350"/>
      <c r="Y126" s="350"/>
      <c r="Z126" s="350"/>
      <c r="AA126" s="350"/>
      <c r="AB126" s="350"/>
      <c r="AC126" s="350"/>
      <c r="AD126" s="350"/>
      <c r="AE126" s="350"/>
      <c r="AF126" s="350"/>
      <c r="AG126" s="350"/>
      <c r="AH126" s="350"/>
      <c r="AI126" s="350"/>
    </row>
    <row r="127" spans="1:35">
      <c r="A127" s="595"/>
      <c r="B127" s="598"/>
      <c r="C127" s="599"/>
      <c r="D127" s="350"/>
      <c r="E127" s="350"/>
      <c r="F127" s="350"/>
      <c r="G127" s="350"/>
      <c r="H127" s="350"/>
      <c r="I127" s="350"/>
      <c r="J127" s="350"/>
      <c r="K127" s="350"/>
      <c r="L127" s="350"/>
      <c r="M127" s="350"/>
      <c r="N127" s="350"/>
      <c r="O127" s="350"/>
      <c r="P127" s="350"/>
      <c r="Q127" s="350"/>
      <c r="R127" s="350"/>
      <c r="S127" s="350"/>
      <c r="T127" s="350"/>
      <c r="U127" s="350"/>
      <c r="V127" s="350"/>
      <c r="W127" s="350"/>
      <c r="X127" s="350"/>
      <c r="Y127" s="350"/>
      <c r="Z127" s="350"/>
      <c r="AA127" s="350"/>
      <c r="AB127" s="350"/>
      <c r="AC127" s="350"/>
      <c r="AD127" s="350"/>
      <c r="AE127" s="350"/>
      <c r="AF127" s="350"/>
      <c r="AG127" s="350"/>
      <c r="AH127" s="350"/>
      <c r="AI127" s="350"/>
    </row>
    <row r="128" spans="1:35">
      <c r="A128" s="595"/>
      <c r="B128" s="598"/>
      <c r="C128" s="599"/>
      <c r="D128" s="350"/>
      <c r="E128" s="350"/>
      <c r="F128" s="350"/>
      <c r="G128" s="350"/>
      <c r="H128" s="350"/>
      <c r="I128" s="350"/>
      <c r="J128" s="350"/>
      <c r="K128" s="350"/>
      <c r="L128" s="350"/>
      <c r="M128" s="350"/>
      <c r="N128" s="350"/>
      <c r="O128" s="350"/>
      <c r="P128" s="350"/>
      <c r="Q128" s="350"/>
      <c r="R128" s="350"/>
      <c r="S128" s="350"/>
      <c r="T128" s="350"/>
      <c r="U128" s="350"/>
      <c r="V128" s="350"/>
      <c r="W128" s="350"/>
      <c r="X128" s="350"/>
      <c r="Y128" s="350"/>
      <c r="Z128" s="350"/>
      <c r="AA128" s="350"/>
      <c r="AB128" s="350"/>
      <c r="AC128" s="350"/>
      <c r="AD128" s="350"/>
      <c r="AE128" s="350"/>
      <c r="AF128" s="350"/>
      <c r="AG128" s="350"/>
      <c r="AH128" s="350"/>
      <c r="AI128" s="350"/>
    </row>
    <row r="129" spans="1:35">
      <c r="A129" s="595"/>
      <c r="B129" s="598"/>
      <c r="C129" s="599"/>
      <c r="D129" s="350"/>
      <c r="E129" s="350"/>
      <c r="F129" s="350"/>
      <c r="G129" s="350"/>
      <c r="H129" s="350"/>
      <c r="I129" s="350"/>
      <c r="J129" s="350"/>
      <c r="K129" s="350"/>
      <c r="L129" s="350"/>
      <c r="M129" s="350"/>
      <c r="N129" s="350"/>
      <c r="O129" s="350"/>
      <c r="P129" s="350"/>
      <c r="Q129" s="350"/>
      <c r="R129" s="350"/>
      <c r="S129" s="350"/>
      <c r="T129" s="350"/>
      <c r="U129" s="350"/>
      <c r="V129" s="350"/>
      <c r="W129" s="350"/>
      <c r="X129" s="350"/>
      <c r="Y129" s="350"/>
      <c r="Z129" s="350"/>
      <c r="AA129" s="350"/>
      <c r="AB129" s="350"/>
      <c r="AC129" s="350"/>
      <c r="AD129" s="350"/>
      <c r="AE129" s="350"/>
      <c r="AF129" s="350"/>
      <c r="AG129" s="350"/>
      <c r="AH129" s="350"/>
      <c r="AI129" s="350"/>
    </row>
    <row r="130" spans="1:35">
      <c r="A130" s="595"/>
      <c r="B130" s="598"/>
      <c r="C130" s="599"/>
      <c r="D130" s="350"/>
      <c r="E130" s="350"/>
      <c r="F130" s="350"/>
      <c r="G130" s="350"/>
      <c r="H130" s="350"/>
      <c r="I130" s="350"/>
      <c r="J130" s="350"/>
      <c r="K130" s="350"/>
      <c r="L130" s="350"/>
      <c r="M130" s="350"/>
      <c r="N130" s="350"/>
      <c r="O130" s="350"/>
      <c r="P130" s="350"/>
      <c r="Q130" s="350"/>
      <c r="R130" s="350"/>
      <c r="S130" s="350"/>
      <c r="T130" s="350"/>
      <c r="U130" s="350"/>
      <c r="V130" s="350"/>
      <c r="W130" s="350"/>
      <c r="X130" s="350"/>
      <c r="Y130" s="350"/>
      <c r="Z130" s="350"/>
      <c r="AA130" s="350"/>
      <c r="AB130" s="350"/>
      <c r="AC130" s="350"/>
      <c r="AD130" s="350"/>
      <c r="AE130" s="350"/>
      <c r="AF130" s="350"/>
      <c r="AG130" s="350"/>
      <c r="AH130" s="350"/>
      <c r="AI130" s="350"/>
    </row>
    <row r="131" spans="1:35">
      <c r="A131" s="595"/>
      <c r="B131" s="598"/>
      <c r="C131" s="599"/>
      <c r="D131" s="350"/>
      <c r="E131" s="350"/>
      <c r="F131" s="350"/>
      <c r="G131" s="350"/>
      <c r="H131" s="350"/>
      <c r="I131" s="350"/>
      <c r="J131" s="350"/>
      <c r="K131" s="350"/>
      <c r="L131" s="350"/>
      <c r="M131" s="350"/>
      <c r="N131" s="350"/>
      <c r="O131" s="350"/>
      <c r="P131" s="350"/>
      <c r="Q131" s="350"/>
      <c r="R131" s="350"/>
      <c r="S131" s="350"/>
      <c r="T131" s="350"/>
      <c r="U131" s="350"/>
      <c r="V131" s="350"/>
      <c r="W131" s="350"/>
      <c r="X131" s="350"/>
      <c r="Y131" s="350"/>
      <c r="Z131" s="350"/>
      <c r="AA131" s="350"/>
      <c r="AB131" s="350"/>
      <c r="AC131" s="350"/>
      <c r="AD131" s="350"/>
      <c r="AE131" s="350"/>
      <c r="AF131" s="350"/>
      <c r="AG131" s="350"/>
      <c r="AH131" s="350"/>
      <c r="AI131" s="350"/>
    </row>
    <row r="132" spans="1:35">
      <c r="A132" s="595"/>
      <c r="B132" s="598"/>
      <c r="C132" s="599"/>
      <c r="D132" s="350"/>
      <c r="E132" s="350"/>
      <c r="F132" s="350"/>
      <c r="G132" s="350"/>
      <c r="H132" s="350"/>
      <c r="I132" s="350"/>
      <c r="J132" s="350"/>
      <c r="K132" s="350"/>
      <c r="L132" s="350"/>
      <c r="M132" s="350"/>
      <c r="N132" s="350"/>
      <c r="O132" s="350"/>
      <c r="P132" s="350"/>
      <c r="Q132" s="350"/>
      <c r="R132" s="350"/>
      <c r="S132" s="350"/>
      <c r="T132" s="350"/>
      <c r="U132" s="350"/>
      <c r="V132" s="350"/>
      <c r="W132" s="350"/>
      <c r="X132" s="350"/>
      <c r="Y132" s="350"/>
      <c r="Z132" s="350"/>
      <c r="AA132" s="350"/>
      <c r="AB132" s="350"/>
      <c r="AC132" s="350"/>
      <c r="AD132" s="350"/>
      <c r="AE132" s="350"/>
      <c r="AF132" s="350"/>
      <c r="AG132" s="350"/>
      <c r="AH132" s="350"/>
      <c r="AI132" s="350"/>
    </row>
    <row r="133" spans="1:35">
      <c r="A133" s="595"/>
      <c r="B133" s="598"/>
      <c r="C133" s="599"/>
      <c r="D133" s="350"/>
      <c r="E133" s="350"/>
      <c r="F133" s="350"/>
      <c r="G133" s="350"/>
      <c r="H133" s="350"/>
      <c r="I133" s="350"/>
      <c r="J133" s="350"/>
      <c r="K133" s="350"/>
      <c r="L133" s="350"/>
      <c r="M133" s="350"/>
      <c r="N133" s="350"/>
      <c r="O133" s="350"/>
      <c r="P133" s="350"/>
      <c r="Q133" s="350"/>
      <c r="R133" s="350"/>
      <c r="S133" s="350"/>
      <c r="T133" s="350"/>
      <c r="U133" s="350"/>
      <c r="V133" s="350"/>
      <c r="W133" s="350"/>
      <c r="X133" s="350"/>
      <c r="Y133" s="350"/>
      <c r="Z133" s="350"/>
      <c r="AA133" s="350"/>
      <c r="AB133" s="350"/>
      <c r="AC133" s="350"/>
      <c r="AD133" s="350"/>
      <c r="AE133" s="350"/>
      <c r="AF133" s="350"/>
      <c r="AG133" s="350"/>
      <c r="AH133" s="350"/>
      <c r="AI133" s="350"/>
    </row>
    <row r="134" spans="1:35">
      <c r="A134" s="595"/>
      <c r="B134" s="598"/>
      <c r="C134" s="599"/>
      <c r="D134" s="350"/>
      <c r="E134" s="350"/>
      <c r="F134" s="350"/>
      <c r="G134" s="350"/>
      <c r="H134" s="350"/>
      <c r="I134" s="350"/>
      <c r="J134" s="350"/>
      <c r="K134" s="350"/>
      <c r="L134" s="350"/>
      <c r="M134" s="350"/>
      <c r="N134" s="350"/>
      <c r="O134" s="350"/>
      <c r="P134" s="350"/>
      <c r="Q134" s="350"/>
      <c r="R134" s="350"/>
      <c r="S134" s="350"/>
      <c r="T134" s="350"/>
      <c r="U134" s="350"/>
      <c r="V134" s="350"/>
      <c r="W134" s="350"/>
      <c r="X134" s="350"/>
      <c r="Y134" s="350"/>
      <c r="Z134" s="350"/>
      <c r="AA134" s="350"/>
      <c r="AB134" s="350"/>
      <c r="AC134" s="350"/>
      <c r="AD134" s="350"/>
      <c r="AE134" s="350"/>
      <c r="AF134" s="350"/>
      <c r="AG134" s="350"/>
      <c r="AH134" s="350"/>
      <c r="AI134" s="350"/>
    </row>
    <row r="135" spans="1:35">
      <c r="A135" s="595"/>
      <c r="B135" s="598"/>
      <c r="C135" s="599"/>
      <c r="D135" s="350"/>
      <c r="E135" s="350"/>
      <c r="F135" s="350"/>
      <c r="G135" s="350"/>
      <c r="H135" s="350"/>
      <c r="I135" s="350"/>
      <c r="J135" s="350"/>
      <c r="K135" s="350"/>
      <c r="L135" s="350"/>
      <c r="M135" s="350"/>
      <c r="N135" s="350"/>
      <c r="O135" s="350"/>
      <c r="P135" s="350"/>
      <c r="Q135" s="350"/>
      <c r="R135" s="350"/>
      <c r="S135" s="350"/>
      <c r="T135" s="350"/>
      <c r="U135" s="350"/>
      <c r="V135" s="350"/>
      <c r="W135" s="350"/>
      <c r="X135" s="350"/>
      <c r="Y135" s="350"/>
      <c r="Z135" s="350"/>
      <c r="AA135" s="350"/>
      <c r="AB135" s="350"/>
      <c r="AC135" s="350"/>
      <c r="AD135" s="350"/>
      <c r="AE135" s="350"/>
      <c r="AF135" s="350"/>
      <c r="AG135" s="350"/>
      <c r="AH135" s="350"/>
      <c r="AI135" s="350"/>
    </row>
    <row r="136" spans="1:35">
      <c r="A136" s="595"/>
      <c r="B136" s="598"/>
      <c r="C136" s="599"/>
      <c r="D136" s="350"/>
      <c r="E136" s="350"/>
      <c r="F136" s="350"/>
      <c r="G136" s="350"/>
      <c r="H136" s="350"/>
      <c r="I136" s="350"/>
      <c r="J136" s="350"/>
      <c r="K136" s="350"/>
      <c r="L136" s="350"/>
      <c r="M136" s="350"/>
      <c r="N136" s="350"/>
      <c r="O136" s="350"/>
      <c r="P136" s="350"/>
      <c r="Q136" s="350"/>
      <c r="R136" s="350"/>
      <c r="S136" s="350"/>
      <c r="T136" s="350"/>
      <c r="U136" s="350"/>
      <c r="V136" s="350"/>
      <c r="W136" s="350"/>
      <c r="X136" s="350"/>
      <c r="Y136" s="350"/>
      <c r="Z136" s="350"/>
      <c r="AA136" s="350"/>
      <c r="AB136" s="350"/>
      <c r="AC136" s="350"/>
      <c r="AD136" s="350"/>
      <c r="AE136" s="350"/>
      <c r="AF136" s="350"/>
      <c r="AG136" s="350"/>
      <c r="AH136" s="350"/>
      <c r="AI136" s="350"/>
    </row>
    <row r="137" spans="1:35">
      <c r="A137" s="595"/>
      <c r="B137" s="598"/>
      <c r="C137" s="599"/>
      <c r="D137" s="350"/>
      <c r="E137" s="350"/>
      <c r="F137" s="350"/>
      <c r="G137" s="350"/>
      <c r="H137" s="350"/>
      <c r="I137" s="350"/>
      <c r="J137" s="350"/>
      <c r="K137" s="350"/>
      <c r="L137" s="350"/>
      <c r="M137" s="350"/>
      <c r="N137" s="350"/>
      <c r="O137" s="350"/>
      <c r="P137" s="350"/>
      <c r="Q137" s="350"/>
      <c r="R137" s="350"/>
      <c r="S137" s="350"/>
      <c r="T137" s="350"/>
      <c r="U137" s="350"/>
      <c r="V137" s="350"/>
      <c r="W137" s="350"/>
      <c r="X137" s="350"/>
      <c r="Y137" s="350"/>
      <c r="Z137" s="350"/>
      <c r="AA137" s="350"/>
      <c r="AB137" s="350"/>
      <c r="AC137" s="350"/>
      <c r="AD137" s="350"/>
      <c r="AE137" s="350"/>
      <c r="AF137" s="350"/>
      <c r="AG137" s="350"/>
      <c r="AH137" s="350"/>
      <c r="AI137" s="350"/>
    </row>
    <row r="138" spans="1:35">
      <c r="A138" s="595"/>
      <c r="B138" s="598"/>
      <c r="C138" s="599"/>
      <c r="D138" s="350"/>
      <c r="E138" s="350"/>
      <c r="F138" s="350"/>
      <c r="G138" s="350"/>
      <c r="H138" s="350"/>
      <c r="I138" s="350"/>
      <c r="J138" s="350"/>
      <c r="K138" s="350"/>
      <c r="L138" s="350"/>
      <c r="M138" s="350"/>
      <c r="N138" s="350"/>
      <c r="O138" s="350"/>
      <c r="P138" s="350"/>
      <c r="Q138" s="350"/>
      <c r="R138" s="350"/>
      <c r="S138" s="350"/>
      <c r="T138" s="350"/>
      <c r="U138" s="350"/>
      <c r="V138" s="350"/>
      <c r="W138" s="350"/>
      <c r="X138" s="350"/>
      <c r="Y138" s="350"/>
      <c r="Z138" s="350"/>
      <c r="AA138" s="350"/>
      <c r="AB138" s="350"/>
      <c r="AC138" s="350"/>
      <c r="AD138" s="350"/>
      <c r="AE138" s="350"/>
      <c r="AF138" s="350"/>
      <c r="AG138" s="350"/>
      <c r="AH138" s="350"/>
      <c r="AI138" s="350"/>
    </row>
    <row r="139" spans="1:35">
      <c r="A139" s="595"/>
      <c r="B139" s="598"/>
      <c r="C139" s="599"/>
      <c r="D139" s="350"/>
      <c r="E139" s="350"/>
      <c r="F139" s="350"/>
      <c r="G139" s="350"/>
      <c r="H139" s="350"/>
      <c r="I139" s="350"/>
      <c r="J139" s="350"/>
      <c r="K139" s="350"/>
      <c r="L139" s="350"/>
      <c r="M139" s="350"/>
      <c r="N139" s="350"/>
      <c r="O139" s="350"/>
      <c r="P139" s="350"/>
      <c r="Q139" s="350"/>
      <c r="R139" s="350"/>
      <c r="S139" s="350"/>
      <c r="T139" s="350"/>
      <c r="U139" s="350"/>
      <c r="V139" s="350"/>
      <c r="W139" s="350"/>
      <c r="X139" s="350"/>
      <c r="Y139" s="350"/>
      <c r="Z139" s="350"/>
      <c r="AA139" s="350"/>
      <c r="AB139" s="350"/>
      <c r="AC139" s="350"/>
      <c r="AD139" s="350"/>
      <c r="AE139" s="350"/>
      <c r="AF139" s="350"/>
      <c r="AG139" s="350"/>
      <c r="AH139" s="350"/>
      <c r="AI139" s="350"/>
    </row>
    <row r="140" spans="1:35">
      <c r="A140" s="595"/>
      <c r="B140" s="598"/>
      <c r="C140" s="599"/>
      <c r="D140" s="350"/>
      <c r="E140" s="350"/>
      <c r="F140" s="350"/>
      <c r="G140" s="350"/>
      <c r="H140" s="350"/>
      <c r="I140" s="350"/>
      <c r="J140" s="350"/>
      <c r="K140" s="350"/>
      <c r="L140" s="350"/>
      <c r="M140" s="350"/>
      <c r="N140" s="350"/>
      <c r="O140" s="350"/>
      <c r="P140" s="350"/>
      <c r="Q140" s="350"/>
      <c r="R140" s="350"/>
      <c r="S140" s="350"/>
      <c r="T140" s="350"/>
      <c r="U140" s="350"/>
      <c r="V140" s="350"/>
      <c r="W140" s="350"/>
      <c r="X140" s="350"/>
      <c r="Y140" s="350"/>
      <c r="Z140" s="350"/>
      <c r="AA140" s="350"/>
      <c r="AB140" s="350"/>
      <c r="AC140" s="350"/>
      <c r="AD140" s="350"/>
      <c r="AE140" s="350"/>
      <c r="AF140" s="350"/>
      <c r="AG140" s="350"/>
      <c r="AH140" s="350"/>
      <c r="AI140" s="350"/>
    </row>
    <row r="141" spans="1:35">
      <c r="A141" s="595"/>
      <c r="B141" s="598"/>
      <c r="C141" s="599"/>
      <c r="D141" s="350"/>
      <c r="E141" s="350"/>
      <c r="F141" s="350"/>
      <c r="G141" s="350"/>
      <c r="H141" s="350"/>
      <c r="I141" s="350"/>
      <c r="J141" s="350"/>
      <c r="K141" s="350"/>
      <c r="L141" s="350"/>
      <c r="M141" s="350"/>
      <c r="N141" s="350"/>
      <c r="O141" s="350"/>
      <c r="P141" s="350"/>
      <c r="Q141" s="350"/>
      <c r="R141" s="350"/>
      <c r="S141" s="350"/>
      <c r="T141" s="350"/>
      <c r="U141" s="350"/>
      <c r="V141" s="350"/>
      <c r="W141" s="350"/>
      <c r="X141" s="350"/>
      <c r="Y141" s="350"/>
      <c r="Z141" s="350"/>
      <c r="AA141" s="350"/>
      <c r="AB141" s="350"/>
      <c r="AC141" s="350"/>
      <c r="AD141" s="350"/>
      <c r="AE141" s="350"/>
      <c r="AF141" s="350"/>
      <c r="AG141" s="350"/>
      <c r="AH141" s="350"/>
      <c r="AI141" s="350"/>
    </row>
    <row r="142" spans="1:35">
      <c r="A142" s="595"/>
      <c r="B142" s="598"/>
      <c r="C142" s="599"/>
      <c r="D142" s="350"/>
      <c r="E142" s="350"/>
      <c r="F142" s="350"/>
      <c r="G142" s="350"/>
      <c r="H142" s="350"/>
      <c r="I142" s="350"/>
      <c r="J142" s="350"/>
      <c r="K142" s="350"/>
      <c r="L142" s="350"/>
      <c r="M142" s="350"/>
      <c r="N142" s="350"/>
      <c r="O142" s="350"/>
      <c r="P142" s="350"/>
      <c r="Q142" s="350"/>
      <c r="R142" s="350"/>
      <c r="S142" s="350"/>
      <c r="T142" s="350"/>
      <c r="U142" s="350"/>
      <c r="V142" s="350"/>
      <c r="W142" s="350"/>
      <c r="X142" s="350"/>
      <c r="Y142" s="350"/>
      <c r="Z142" s="350"/>
      <c r="AA142" s="350"/>
      <c r="AB142" s="350"/>
      <c r="AC142" s="350"/>
      <c r="AD142" s="350"/>
      <c r="AE142" s="350"/>
      <c r="AF142" s="350"/>
      <c r="AG142" s="350"/>
      <c r="AH142" s="350"/>
      <c r="AI142" s="350"/>
    </row>
    <row r="143" spans="1:35">
      <c r="A143" s="595"/>
      <c r="B143" s="598"/>
      <c r="C143" s="599"/>
      <c r="D143" s="350"/>
      <c r="E143" s="350"/>
      <c r="F143" s="350"/>
      <c r="G143" s="350"/>
      <c r="H143" s="350"/>
      <c r="I143" s="350"/>
      <c r="J143" s="350"/>
      <c r="K143" s="350"/>
      <c r="L143" s="350"/>
      <c r="M143" s="350"/>
      <c r="N143" s="350"/>
      <c r="O143" s="350"/>
      <c r="P143" s="350"/>
      <c r="Q143" s="350"/>
      <c r="R143" s="350"/>
      <c r="S143" s="350"/>
      <c r="T143" s="350"/>
      <c r="U143" s="350"/>
      <c r="V143" s="350"/>
      <c r="W143" s="350"/>
      <c r="X143" s="350"/>
      <c r="Y143" s="350"/>
      <c r="Z143" s="350"/>
      <c r="AA143" s="350"/>
      <c r="AB143" s="350"/>
      <c r="AC143" s="350"/>
      <c r="AD143" s="350"/>
      <c r="AE143" s="350"/>
      <c r="AF143" s="350"/>
      <c r="AG143" s="350"/>
      <c r="AH143" s="350"/>
      <c r="AI143" s="350"/>
    </row>
    <row r="144" spans="1:35">
      <c r="A144" s="595"/>
      <c r="B144" s="598"/>
      <c r="C144" s="243"/>
      <c r="D144" s="350"/>
      <c r="E144" s="350"/>
      <c r="F144" s="350"/>
      <c r="G144" s="350"/>
      <c r="H144" s="350"/>
      <c r="I144" s="350"/>
      <c r="J144" s="350"/>
      <c r="K144" s="350"/>
      <c r="L144" s="350"/>
      <c r="M144" s="350"/>
      <c r="N144" s="350"/>
      <c r="O144" s="350"/>
      <c r="P144" s="350"/>
      <c r="Q144" s="350"/>
      <c r="R144" s="350"/>
      <c r="S144" s="350"/>
      <c r="T144" s="350"/>
      <c r="U144" s="350"/>
      <c r="V144" s="350"/>
      <c r="W144" s="350"/>
      <c r="X144" s="350"/>
      <c r="Y144" s="350"/>
      <c r="Z144" s="350"/>
      <c r="AA144" s="350"/>
      <c r="AB144" s="350"/>
      <c r="AC144" s="350"/>
      <c r="AD144" s="350"/>
      <c r="AE144" s="350"/>
      <c r="AF144" s="350"/>
      <c r="AG144" s="350"/>
      <c r="AH144" s="350"/>
      <c r="AI144" s="350"/>
    </row>
    <row r="145" spans="1:35">
      <c r="A145" s="595"/>
      <c r="B145" s="598"/>
      <c r="C145" s="243"/>
      <c r="D145" s="350"/>
      <c r="E145" s="350"/>
      <c r="F145" s="350"/>
      <c r="G145" s="350"/>
      <c r="H145" s="350"/>
      <c r="I145" s="350"/>
      <c r="J145" s="350"/>
      <c r="K145" s="350"/>
      <c r="L145" s="350"/>
      <c r="M145" s="350"/>
      <c r="N145" s="350"/>
      <c r="O145" s="350"/>
      <c r="P145" s="350"/>
      <c r="Q145" s="350"/>
      <c r="R145" s="350"/>
      <c r="S145" s="350"/>
      <c r="T145" s="350"/>
      <c r="U145" s="350"/>
      <c r="V145" s="350"/>
      <c r="W145" s="350"/>
      <c r="X145" s="350"/>
      <c r="Y145" s="350"/>
      <c r="Z145" s="350"/>
      <c r="AA145" s="350"/>
      <c r="AB145" s="350"/>
      <c r="AC145" s="350"/>
      <c r="AD145" s="350"/>
      <c r="AE145" s="350"/>
      <c r="AF145" s="350"/>
      <c r="AG145" s="350"/>
      <c r="AH145" s="350"/>
      <c r="AI145" s="350"/>
    </row>
    <row r="146" spans="1:35">
      <c r="A146" s="595"/>
      <c r="B146" s="598"/>
      <c r="C146" s="243"/>
      <c r="D146" s="350"/>
      <c r="E146" s="350"/>
      <c r="F146" s="350"/>
      <c r="G146" s="350"/>
      <c r="H146" s="350"/>
      <c r="I146" s="350"/>
      <c r="J146" s="350"/>
      <c r="K146" s="350"/>
      <c r="L146" s="350"/>
      <c r="M146" s="350"/>
      <c r="N146" s="350"/>
      <c r="O146" s="350"/>
      <c r="P146" s="350"/>
      <c r="Q146" s="350"/>
      <c r="R146" s="350"/>
      <c r="S146" s="350"/>
      <c r="T146" s="350"/>
      <c r="U146" s="350"/>
      <c r="V146" s="350"/>
      <c r="W146" s="350"/>
      <c r="X146" s="350"/>
      <c r="Y146" s="350"/>
      <c r="Z146" s="350"/>
      <c r="AA146" s="350"/>
      <c r="AB146" s="350"/>
      <c r="AC146" s="350"/>
      <c r="AD146" s="350"/>
      <c r="AE146" s="350"/>
      <c r="AF146" s="350"/>
      <c r="AG146" s="350"/>
      <c r="AH146" s="350"/>
      <c r="AI146" s="350"/>
    </row>
    <row r="147" spans="1:35">
      <c r="A147" s="595"/>
      <c r="B147" s="598"/>
      <c r="C147" s="243"/>
      <c r="D147" s="350"/>
      <c r="E147" s="350"/>
      <c r="F147" s="350"/>
      <c r="G147" s="350"/>
      <c r="H147" s="350"/>
      <c r="I147" s="350"/>
      <c r="J147" s="350"/>
      <c r="K147" s="350"/>
      <c r="L147" s="350"/>
      <c r="M147" s="350"/>
      <c r="N147" s="350"/>
      <c r="O147" s="350"/>
      <c r="P147" s="350"/>
      <c r="Q147" s="350"/>
      <c r="R147" s="350"/>
      <c r="S147" s="350"/>
      <c r="T147" s="350"/>
      <c r="U147" s="350"/>
      <c r="V147" s="350"/>
      <c r="W147" s="350"/>
      <c r="X147" s="350"/>
      <c r="Y147" s="350"/>
      <c r="Z147" s="350"/>
      <c r="AA147" s="350"/>
      <c r="AB147" s="350"/>
      <c r="AC147" s="350"/>
      <c r="AD147" s="350"/>
      <c r="AE147" s="350"/>
      <c r="AF147" s="350"/>
      <c r="AG147" s="350"/>
      <c r="AH147" s="350"/>
      <c r="AI147" s="350"/>
    </row>
    <row r="148" spans="1:35">
      <c r="A148" s="595"/>
      <c r="B148" s="598"/>
      <c r="C148" s="243"/>
      <c r="D148" s="350"/>
      <c r="E148" s="350"/>
      <c r="F148" s="350"/>
      <c r="G148" s="350"/>
      <c r="H148" s="350"/>
      <c r="I148" s="350"/>
      <c r="J148" s="350"/>
      <c r="K148" s="350"/>
      <c r="L148" s="350"/>
      <c r="M148" s="350"/>
      <c r="N148" s="350"/>
      <c r="O148" s="350"/>
      <c r="P148" s="350"/>
      <c r="Q148" s="350"/>
      <c r="R148" s="350"/>
      <c r="S148" s="350"/>
      <c r="T148" s="350"/>
      <c r="U148" s="350"/>
      <c r="V148" s="350"/>
      <c r="W148" s="350"/>
      <c r="X148" s="350"/>
      <c r="Y148" s="350"/>
      <c r="Z148" s="350"/>
      <c r="AA148" s="350"/>
      <c r="AB148" s="350"/>
      <c r="AC148" s="350"/>
      <c r="AD148" s="350"/>
      <c r="AE148" s="350"/>
      <c r="AF148" s="350"/>
      <c r="AG148" s="350"/>
      <c r="AH148" s="350"/>
      <c r="AI148" s="350"/>
    </row>
    <row r="149" spans="1:35">
      <c r="A149" s="595"/>
      <c r="B149" s="598"/>
      <c r="C149" s="243"/>
      <c r="D149" s="350"/>
      <c r="E149" s="350"/>
      <c r="F149" s="350"/>
      <c r="G149" s="350"/>
      <c r="H149" s="350"/>
      <c r="I149" s="350"/>
      <c r="J149" s="350"/>
      <c r="K149" s="350"/>
      <c r="L149" s="350"/>
      <c r="M149" s="350"/>
      <c r="N149" s="350"/>
      <c r="O149" s="350"/>
      <c r="P149" s="350"/>
      <c r="Q149" s="350"/>
      <c r="R149" s="350"/>
      <c r="S149" s="350"/>
      <c r="T149" s="350"/>
      <c r="U149" s="350"/>
      <c r="V149" s="350"/>
      <c r="W149" s="350"/>
      <c r="X149" s="350"/>
      <c r="Y149" s="350"/>
      <c r="Z149" s="350"/>
      <c r="AA149" s="350"/>
      <c r="AB149" s="350"/>
      <c r="AC149" s="350"/>
      <c r="AD149" s="350"/>
      <c r="AE149" s="350"/>
      <c r="AF149" s="350"/>
      <c r="AG149" s="350"/>
      <c r="AH149" s="350"/>
      <c r="AI149" s="350"/>
    </row>
    <row r="150" spans="1:35">
      <c r="A150" s="595"/>
      <c r="B150" s="598"/>
      <c r="C150" s="243"/>
      <c r="D150" s="350"/>
      <c r="E150" s="350"/>
      <c r="F150" s="350"/>
      <c r="G150" s="350"/>
      <c r="H150" s="350"/>
      <c r="I150" s="350"/>
      <c r="J150" s="350"/>
      <c r="K150" s="350"/>
      <c r="L150" s="350"/>
      <c r="M150" s="350"/>
      <c r="N150" s="350"/>
      <c r="O150" s="350"/>
      <c r="P150" s="350"/>
      <c r="Q150" s="350"/>
      <c r="R150" s="350"/>
      <c r="S150" s="350"/>
      <c r="T150" s="350"/>
      <c r="U150" s="350"/>
      <c r="V150" s="350"/>
      <c r="W150" s="350"/>
      <c r="X150" s="350"/>
      <c r="Y150" s="350"/>
      <c r="Z150" s="350"/>
      <c r="AA150" s="350"/>
      <c r="AB150" s="350"/>
      <c r="AC150" s="350"/>
      <c r="AD150" s="350"/>
      <c r="AE150" s="350"/>
      <c r="AF150" s="350"/>
      <c r="AG150" s="350"/>
      <c r="AH150" s="350"/>
      <c r="AI150" s="350"/>
    </row>
    <row r="151" spans="1:35">
      <c r="A151" s="595"/>
      <c r="B151" s="598"/>
      <c r="C151" s="243"/>
      <c r="D151" s="350"/>
      <c r="E151" s="350"/>
      <c r="F151" s="350"/>
      <c r="G151" s="350"/>
      <c r="H151" s="350"/>
      <c r="I151" s="350"/>
      <c r="J151" s="350"/>
      <c r="K151" s="350"/>
      <c r="L151" s="350"/>
      <c r="M151" s="350"/>
      <c r="N151" s="350"/>
      <c r="O151" s="350"/>
      <c r="P151" s="350"/>
      <c r="Q151" s="350"/>
      <c r="R151" s="350"/>
      <c r="S151" s="350"/>
      <c r="T151" s="350"/>
      <c r="U151" s="350"/>
      <c r="V151" s="350"/>
      <c r="W151" s="350"/>
      <c r="X151" s="350"/>
      <c r="Y151" s="350"/>
      <c r="Z151" s="350"/>
      <c r="AA151" s="350"/>
      <c r="AB151" s="350"/>
      <c r="AC151" s="350"/>
      <c r="AD151" s="350"/>
      <c r="AE151" s="350"/>
      <c r="AF151" s="350"/>
      <c r="AG151" s="350"/>
      <c r="AH151" s="350"/>
      <c r="AI151" s="350"/>
    </row>
    <row r="152" spans="1:35">
      <c r="A152" s="595"/>
      <c r="B152" s="598"/>
      <c r="C152" s="243"/>
      <c r="D152" s="350"/>
      <c r="E152" s="350"/>
      <c r="F152" s="350"/>
      <c r="G152" s="350"/>
      <c r="H152" s="350"/>
      <c r="I152" s="350"/>
      <c r="J152" s="350"/>
      <c r="K152" s="350"/>
      <c r="L152" s="350"/>
      <c r="M152" s="350"/>
      <c r="N152" s="350"/>
      <c r="O152" s="350"/>
      <c r="P152" s="350"/>
      <c r="Q152" s="350"/>
      <c r="R152" s="350"/>
      <c r="S152" s="350"/>
      <c r="T152" s="350"/>
      <c r="U152" s="350"/>
      <c r="V152" s="350"/>
      <c r="W152" s="350"/>
      <c r="X152" s="350"/>
      <c r="Y152" s="350"/>
      <c r="Z152" s="350"/>
      <c r="AA152" s="350"/>
      <c r="AB152" s="350"/>
      <c r="AC152" s="350"/>
      <c r="AD152" s="350"/>
      <c r="AE152" s="350"/>
      <c r="AF152" s="350"/>
      <c r="AG152" s="350"/>
      <c r="AH152" s="350"/>
      <c r="AI152" s="350"/>
    </row>
    <row r="153" spans="1:35">
      <c r="A153" s="595"/>
      <c r="B153" s="598"/>
      <c r="C153" s="243"/>
      <c r="D153" s="350"/>
      <c r="E153" s="350"/>
      <c r="F153" s="350"/>
      <c r="G153" s="350"/>
      <c r="H153" s="350"/>
      <c r="I153" s="350"/>
      <c r="J153" s="350"/>
      <c r="K153" s="350"/>
      <c r="L153" s="350"/>
      <c r="M153" s="350"/>
      <c r="N153" s="350"/>
      <c r="O153" s="350"/>
      <c r="P153" s="350"/>
      <c r="Q153" s="350"/>
      <c r="R153" s="350"/>
      <c r="S153" s="350"/>
      <c r="T153" s="350"/>
      <c r="U153" s="350"/>
      <c r="V153" s="350"/>
      <c r="W153" s="350"/>
      <c r="X153" s="350"/>
      <c r="Y153" s="350"/>
      <c r="Z153" s="350"/>
      <c r="AA153" s="350"/>
      <c r="AB153" s="350"/>
      <c r="AC153" s="350"/>
      <c r="AD153" s="350"/>
      <c r="AE153" s="350"/>
      <c r="AF153" s="350"/>
      <c r="AG153" s="350"/>
      <c r="AH153" s="350"/>
      <c r="AI153" s="350"/>
    </row>
    <row r="154" spans="1:35">
      <c r="A154" s="595"/>
      <c r="B154" s="598"/>
      <c r="C154" s="243"/>
      <c r="D154" s="350"/>
      <c r="E154" s="350"/>
      <c r="F154" s="350"/>
      <c r="G154" s="350"/>
      <c r="H154" s="350"/>
      <c r="I154" s="350"/>
      <c r="J154" s="350"/>
      <c r="K154" s="350"/>
      <c r="L154" s="350"/>
      <c r="M154" s="350"/>
      <c r="N154" s="350"/>
      <c r="O154" s="350"/>
      <c r="P154" s="350"/>
      <c r="Q154" s="350"/>
      <c r="R154" s="350"/>
      <c r="S154" s="350"/>
      <c r="T154" s="350"/>
      <c r="U154" s="350"/>
      <c r="V154" s="350"/>
      <c r="W154" s="350"/>
      <c r="X154" s="350"/>
      <c r="Y154" s="350"/>
      <c r="Z154" s="350"/>
      <c r="AA154" s="350"/>
      <c r="AB154" s="350"/>
      <c r="AC154" s="350"/>
      <c r="AD154" s="350"/>
      <c r="AE154" s="350"/>
      <c r="AF154" s="350"/>
      <c r="AG154" s="350"/>
      <c r="AH154" s="350"/>
      <c r="AI154" s="350"/>
    </row>
    <row r="155" spans="1:35">
      <c r="A155" s="595"/>
      <c r="B155" s="598"/>
      <c r="C155" s="243"/>
      <c r="D155" s="350"/>
      <c r="E155" s="350"/>
      <c r="F155" s="350"/>
      <c r="G155" s="350"/>
      <c r="H155" s="350"/>
      <c r="I155" s="350"/>
      <c r="J155" s="350"/>
      <c r="K155" s="350"/>
      <c r="L155" s="350"/>
      <c r="M155" s="350"/>
      <c r="N155" s="350"/>
      <c r="O155" s="350"/>
      <c r="P155" s="350"/>
      <c r="Q155" s="350"/>
      <c r="R155" s="350"/>
      <c r="S155" s="350"/>
      <c r="T155" s="350"/>
      <c r="U155" s="350"/>
      <c r="V155" s="350"/>
      <c r="W155" s="350"/>
      <c r="X155" s="350"/>
      <c r="Y155" s="350"/>
      <c r="Z155" s="350"/>
      <c r="AA155" s="350"/>
      <c r="AB155" s="350"/>
      <c r="AC155" s="350"/>
      <c r="AD155" s="350"/>
      <c r="AE155" s="350"/>
      <c r="AF155" s="350"/>
      <c r="AG155" s="350"/>
      <c r="AH155" s="350"/>
      <c r="AI155" s="350"/>
    </row>
    <row r="156" spans="1:35">
      <c r="A156" s="595"/>
      <c r="B156" s="598"/>
      <c r="C156" s="243"/>
      <c r="D156" s="350"/>
      <c r="E156" s="350"/>
      <c r="F156" s="350"/>
      <c r="G156" s="350"/>
      <c r="H156" s="350"/>
      <c r="I156" s="350"/>
      <c r="J156" s="350"/>
      <c r="K156" s="350"/>
      <c r="L156" s="350"/>
      <c r="M156" s="350"/>
      <c r="N156" s="350"/>
      <c r="O156" s="350"/>
      <c r="P156" s="350"/>
      <c r="Q156" s="350"/>
      <c r="R156" s="350"/>
      <c r="S156" s="350"/>
      <c r="T156" s="350"/>
      <c r="U156" s="350"/>
      <c r="V156" s="350"/>
      <c r="W156" s="350"/>
      <c r="X156" s="350"/>
      <c r="Y156" s="350"/>
      <c r="Z156" s="350"/>
      <c r="AA156" s="350"/>
      <c r="AB156" s="350"/>
      <c r="AC156" s="350"/>
      <c r="AD156" s="350"/>
      <c r="AE156" s="350"/>
      <c r="AF156" s="350"/>
      <c r="AG156" s="350"/>
      <c r="AH156" s="350"/>
      <c r="AI156" s="350"/>
    </row>
    <row r="157" spans="1:35">
      <c r="A157" s="595"/>
      <c r="B157" s="598"/>
      <c r="C157" s="243"/>
      <c r="D157" s="350"/>
      <c r="E157" s="350"/>
      <c r="F157" s="350"/>
      <c r="G157" s="350"/>
      <c r="H157" s="350"/>
      <c r="I157" s="350"/>
      <c r="J157" s="350"/>
      <c r="K157" s="350"/>
      <c r="L157" s="350"/>
      <c r="M157" s="350"/>
      <c r="N157" s="350"/>
      <c r="O157" s="350"/>
      <c r="P157" s="350"/>
      <c r="Q157" s="350"/>
      <c r="R157" s="350"/>
      <c r="S157" s="350"/>
      <c r="T157" s="350"/>
      <c r="U157" s="350"/>
      <c r="V157" s="350"/>
      <c r="W157" s="350"/>
      <c r="X157" s="350"/>
      <c r="Y157" s="350"/>
      <c r="Z157" s="350"/>
      <c r="AA157" s="350"/>
      <c r="AB157" s="350"/>
      <c r="AC157" s="350"/>
      <c r="AD157" s="350"/>
      <c r="AE157" s="350"/>
      <c r="AF157" s="350"/>
      <c r="AG157" s="350"/>
      <c r="AH157" s="350"/>
      <c r="AI157" s="350"/>
    </row>
    <row r="158" spans="1:35">
      <c r="A158" s="595"/>
      <c r="B158" s="598"/>
      <c r="C158" s="243"/>
      <c r="D158" s="350"/>
      <c r="E158" s="350"/>
      <c r="F158" s="350"/>
      <c r="G158" s="350"/>
      <c r="H158" s="350"/>
      <c r="I158" s="350"/>
      <c r="J158" s="350"/>
      <c r="K158" s="350"/>
      <c r="L158" s="350"/>
      <c r="M158" s="350"/>
      <c r="N158" s="350"/>
      <c r="O158" s="350"/>
      <c r="P158" s="350"/>
      <c r="Q158" s="350"/>
      <c r="R158" s="350"/>
      <c r="S158" s="350"/>
      <c r="T158" s="350"/>
      <c r="U158" s="350"/>
      <c r="V158" s="350"/>
      <c r="W158" s="350"/>
      <c r="X158" s="350"/>
      <c r="Y158" s="350"/>
      <c r="Z158" s="350"/>
      <c r="AA158" s="350"/>
      <c r="AB158" s="350"/>
      <c r="AC158" s="350"/>
      <c r="AD158" s="350"/>
      <c r="AE158" s="350"/>
      <c r="AF158" s="350"/>
      <c r="AG158" s="350"/>
      <c r="AH158" s="350"/>
      <c r="AI158" s="350"/>
    </row>
    <row r="159" spans="1:35">
      <c r="A159" s="595"/>
      <c r="B159" s="598"/>
      <c r="C159" s="243"/>
      <c r="D159" s="350"/>
      <c r="E159" s="350"/>
      <c r="F159" s="350"/>
      <c r="G159" s="350"/>
      <c r="H159" s="350"/>
      <c r="I159" s="350"/>
      <c r="J159" s="350"/>
      <c r="K159" s="350"/>
      <c r="L159" s="350"/>
      <c r="M159" s="350"/>
      <c r="N159" s="350"/>
      <c r="O159" s="350"/>
      <c r="P159" s="350"/>
      <c r="Q159" s="350"/>
      <c r="R159" s="350"/>
      <c r="S159" s="350"/>
      <c r="T159" s="350"/>
      <c r="U159" s="350"/>
      <c r="V159" s="350"/>
      <c r="W159" s="350"/>
      <c r="X159" s="350"/>
      <c r="Y159" s="350"/>
      <c r="Z159" s="350"/>
      <c r="AA159" s="350"/>
      <c r="AB159" s="350"/>
      <c r="AC159" s="350"/>
      <c r="AD159" s="350"/>
      <c r="AE159" s="350"/>
      <c r="AF159" s="350"/>
      <c r="AG159" s="350"/>
      <c r="AH159" s="350"/>
      <c r="AI159" s="350"/>
    </row>
    <row r="160" spans="1:35">
      <c r="A160" s="595"/>
      <c r="B160" s="598"/>
      <c r="C160" s="243"/>
      <c r="D160" s="350"/>
      <c r="E160" s="350"/>
      <c r="F160" s="350"/>
      <c r="G160" s="350"/>
      <c r="H160" s="350"/>
      <c r="I160" s="350"/>
      <c r="J160" s="350"/>
      <c r="K160" s="350"/>
      <c r="L160" s="350"/>
      <c r="M160" s="350"/>
      <c r="N160" s="350"/>
      <c r="O160" s="350"/>
      <c r="P160" s="350"/>
      <c r="Q160" s="350"/>
      <c r="R160" s="350"/>
      <c r="S160" s="350"/>
      <c r="T160" s="350"/>
      <c r="U160" s="350"/>
      <c r="V160" s="350"/>
      <c r="W160" s="350"/>
      <c r="X160" s="350"/>
      <c r="Y160" s="350"/>
      <c r="Z160" s="350"/>
      <c r="AA160" s="350"/>
      <c r="AB160" s="350"/>
      <c r="AC160" s="350"/>
      <c r="AD160" s="350"/>
      <c r="AE160" s="350"/>
      <c r="AF160" s="350"/>
      <c r="AG160" s="350"/>
      <c r="AH160" s="350"/>
      <c r="AI160" s="350"/>
    </row>
    <row r="161" spans="1:35">
      <c r="A161" s="595"/>
      <c r="B161" s="598"/>
      <c r="C161" s="243"/>
      <c r="D161" s="350"/>
      <c r="E161" s="350"/>
      <c r="F161" s="350"/>
      <c r="G161" s="350"/>
      <c r="H161" s="350"/>
      <c r="I161" s="350"/>
      <c r="J161" s="350"/>
      <c r="K161" s="350"/>
      <c r="L161" s="350"/>
      <c r="M161" s="350"/>
      <c r="N161" s="350"/>
      <c r="O161" s="350"/>
      <c r="P161" s="350"/>
      <c r="Q161" s="350"/>
      <c r="R161" s="350"/>
      <c r="S161" s="350"/>
      <c r="T161" s="350"/>
      <c r="U161" s="350"/>
      <c r="V161" s="350"/>
      <c r="W161" s="350"/>
      <c r="X161" s="350"/>
      <c r="Y161" s="350"/>
      <c r="Z161" s="350"/>
      <c r="AA161" s="350"/>
      <c r="AB161" s="350"/>
      <c r="AC161" s="350"/>
      <c r="AD161" s="350"/>
      <c r="AE161" s="350"/>
      <c r="AF161" s="350"/>
      <c r="AG161" s="350"/>
      <c r="AH161" s="350"/>
      <c r="AI161" s="350"/>
    </row>
    <row r="162" spans="1:35">
      <c r="A162" s="595"/>
      <c r="B162" s="598"/>
      <c r="C162" s="243"/>
      <c r="D162" s="350"/>
      <c r="E162" s="350"/>
      <c r="F162" s="350"/>
      <c r="G162" s="350"/>
      <c r="H162" s="350"/>
      <c r="I162" s="350"/>
      <c r="J162" s="350"/>
      <c r="K162" s="350"/>
      <c r="L162" s="350"/>
      <c r="M162" s="350"/>
      <c r="N162" s="350"/>
      <c r="O162" s="350"/>
      <c r="P162" s="350"/>
      <c r="Q162" s="350"/>
      <c r="R162" s="350"/>
      <c r="S162" s="350"/>
      <c r="T162" s="350"/>
      <c r="U162" s="350"/>
      <c r="V162" s="350"/>
      <c r="W162" s="350"/>
      <c r="X162" s="350"/>
      <c r="Y162" s="350"/>
      <c r="Z162" s="350"/>
      <c r="AA162" s="350"/>
      <c r="AB162" s="350"/>
      <c r="AC162" s="350"/>
      <c r="AD162" s="350"/>
      <c r="AE162" s="350"/>
      <c r="AF162" s="350"/>
      <c r="AG162" s="350"/>
      <c r="AH162" s="350"/>
      <c r="AI162" s="350"/>
    </row>
    <row r="163" spans="1:35">
      <c r="A163" s="595"/>
      <c r="B163" s="598"/>
      <c r="C163" s="243"/>
      <c r="D163" s="350"/>
      <c r="E163" s="350"/>
      <c r="F163" s="350"/>
      <c r="G163" s="350"/>
      <c r="H163" s="350"/>
      <c r="I163" s="350"/>
      <c r="J163" s="350"/>
      <c r="K163" s="350"/>
      <c r="L163" s="350"/>
      <c r="M163" s="350"/>
      <c r="N163" s="350"/>
      <c r="O163" s="350"/>
      <c r="P163" s="350"/>
      <c r="Q163" s="350"/>
      <c r="R163" s="350"/>
      <c r="S163" s="350"/>
      <c r="T163" s="350"/>
      <c r="U163" s="350"/>
      <c r="V163" s="350"/>
      <c r="W163" s="350"/>
      <c r="X163" s="350"/>
      <c r="Y163" s="350"/>
      <c r="Z163" s="350"/>
      <c r="AA163" s="350"/>
      <c r="AB163" s="350"/>
      <c r="AC163" s="350"/>
      <c r="AD163" s="350"/>
      <c r="AE163" s="350"/>
      <c r="AF163" s="350"/>
      <c r="AG163" s="350"/>
      <c r="AH163" s="350"/>
      <c r="AI163" s="350"/>
    </row>
    <row r="164" spans="1:35">
      <c r="A164" s="595"/>
      <c r="B164" s="598"/>
      <c r="C164" s="243"/>
      <c r="D164" s="350"/>
      <c r="E164" s="350"/>
      <c r="F164" s="350"/>
      <c r="G164" s="350"/>
      <c r="H164" s="350"/>
      <c r="I164" s="350"/>
      <c r="J164" s="350"/>
      <c r="K164" s="350"/>
      <c r="L164" s="350"/>
      <c r="M164" s="350"/>
      <c r="N164" s="350"/>
      <c r="O164" s="350"/>
      <c r="P164" s="350"/>
      <c r="Q164" s="350"/>
      <c r="R164" s="350"/>
      <c r="S164" s="350"/>
      <c r="T164" s="350"/>
      <c r="U164" s="350"/>
      <c r="V164" s="350"/>
      <c r="W164" s="350"/>
      <c r="X164" s="350"/>
      <c r="Y164" s="350"/>
      <c r="Z164" s="350"/>
      <c r="AA164" s="350"/>
      <c r="AB164" s="350"/>
      <c r="AC164" s="350"/>
      <c r="AD164" s="350"/>
      <c r="AE164" s="350"/>
      <c r="AF164" s="350"/>
      <c r="AG164" s="350"/>
      <c r="AH164" s="350"/>
      <c r="AI164" s="350"/>
    </row>
    <row r="165" spans="1:35">
      <c r="A165" s="595"/>
      <c r="B165" s="598"/>
      <c r="C165" s="243"/>
      <c r="D165" s="350"/>
      <c r="E165" s="350"/>
      <c r="F165" s="350"/>
      <c r="G165" s="350"/>
      <c r="H165" s="350"/>
      <c r="I165" s="350"/>
      <c r="J165" s="350"/>
      <c r="K165" s="350"/>
      <c r="L165" s="350"/>
      <c r="M165" s="350"/>
      <c r="N165" s="350"/>
      <c r="O165" s="350"/>
      <c r="P165" s="350"/>
      <c r="Q165" s="350"/>
      <c r="R165" s="350"/>
      <c r="S165" s="350"/>
      <c r="T165" s="350"/>
      <c r="U165" s="350"/>
      <c r="V165" s="350"/>
      <c r="W165" s="350"/>
      <c r="X165" s="350"/>
      <c r="Y165" s="350"/>
      <c r="Z165" s="350"/>
      <c r="AA165" s="350"/>
      <c r="AB165" s="350"/>
      <c r="AC165" s="350"/>
      <c r="AD165" s="350"/>
      <c r="AE165" s="350"/>
      <c r="AF165" s="350"/>
      <c r="AG165" s="350"/>
      <c r="AH165" s="350"/>
      <c r="AI165" s="350"/>
    </row>
    <row r="166" spans="1:35">
      <c r="A166" s="595"/>
      <c r="B166" s="598"/>
      <c r="C166" s="243"/>
      <c r="D166" s="350"/>
      <c r="E166" s="350"/>
      <c r="F166" s="350"/>
      <c r="G166" s="350"/>
      <c r="H166" s="350"/>
      <c r="I166" s="350"/>
      <c r="J166" s="350"/>
      <c r="K166" s="350"/>
      <c r="L166" s="350"/>
      <c r="M166" s="350"/>
      <c r="N166" s="350"/>
      <c r="O166" s="350"/>
      <c r="P166" s="350"/>
      <c r="Q166" s="350"/>
      <c r="R166" s="350"/>
      <c r="S166" s="350"/>
      <c r="T166" s="350"/>
      <c r="U166" s="350"/>
      <c r="V166" s="350"/>
      <c r="W166" s="350"/>
      <c r="X166" s="350"/>
      <c r="Y166" s="350"/>
      <c r="Z166" s="350"/>
      <c r="AA166" s="350"/>
      <c r="AB166" s="350"/>
      <c r="AC166" s="350"/>
      <c r="AD166" s="350"/>
      <c r="AE166" s="350"/>
      <c r="AF166" s="350"/>
      <c r="AG166" s="350"/>
      <c r="AH166" s="350"/>
      <c r="AI166" s="350"/>
    </row>
    <row r="167" spans="1:35">
      <c r="A167" s="595"/>
      <c r="B167" s="598"/>
      <c r="C167" s="243"/>
      <c r="D167" s="350"/>
      <c r="E167" s="350"/>
      <c r="F167" s="350"/>
      <c r="G167" s="350"/>
      <c r="H167" s="350"/>
      <c r="I167" s="350"/>
      <c r="J167" s="350"/>
      <c r="K167" s="350"/>
      <c r="L167" s="350"/>
      <c r="M167" s="350"/>
      <c r="N167" s="350"/>
      <c r="O167" s="350"/>
      <c r="P167" s="350"/>
      <c r="Q167" s="350"/>
      <c r="R167" s="350"/>
      <c r="S167" s="350"/>
      <c r="T167" s="350"/>
      <c r="U167" s="350"/>
      <c r="V167" s="350"/>
      <c r="W167" s="350"/>
      <c r="X167" s="350"/>
      <c r="Y167" s="350"/>
      <c r="Z167" s="350"/>
      <c r="AA167" s="350"/>
      <c r="AB167" s="350"/>
      <c r="AC167" s="350"/>
      <c r="AD167" s="350"/>
      <c r="AE167" s="350"/>
      <c r="AF167" s="350"/>
      <c r="AG167" s="350"/>
      <c r="AH167" s="350"/>
      <c r="AI167" s="350"/>
    </row>
    <row r="168" spans="1:35">
      <c r="A168" s="595"/>
      <c r="B168" s="598"/>
      <c r="C168" s="243"/>
      <c r="D168" s="350"/>
      <c r="E168" s="350"/>
      <c r="F168" s="350"/>
      <c r="G168" s="350"/>
      <c r="H168" s="350"/>
      <c r="I168" s="350"/>
      <c r="J168" s="350"/>
      <c r="K168" s="350"/>
      <c r="L168" s="350"/>
      <c r="M168" s="350"/>
      <c r="N168" s="350"/>
      <c r="O168" s="350"/>
      <c r="P168" s="350"/>
      <c r="Q168" s="350"/>
      <c r="R168" s="350"/>
      <c r="S168" s="350"/>
      <c r="T168" s="350"/>
      <c r="U168" s="350"/>
      <c r="V168" s="350"/>
      <c r="W168" s="350"/>
      <c r="X168" s="350"/>
      <c r="Y168" s="350"/>
      <c r="Z168" s="350"/>
      <c r="AA168" s="350"/>
      <c r="AB168" s="350"/>
      <c r="AC168" s="350"/>
      <c r="AD168" s="350"/>
      <c r="AE168" s="350"/>
      <c r="AF168" s="350"/>
      <c r="AG168" s="350"/>
      <c r="AH168" s="350"/>
      <c r="AI168" s="350"/>
    </row>
    <row r="169" spans="1:35">
      <c r="A169" s="595"/>
      <c r="B169" s="598"/>
      <c r="C169" s="243"/>
      <c r="D169" s="350"/>
      <c r="E169" s="350"/>
      <c r="F169" s="350"/>
      <c r="G169" s="350"/>
      <c r="H169" s="350"/>
      <c r="I169" s="350"/>
      <c r="J169" s="350"/>
      <c r="K169" s="350"/>
      <c r="L169" s="350"/>
      <c r="M169" s="350"/>
      <c r="N169" s="350"/>
      <c r="O169" s="350"/>
      <c r="P169" s="350"/>
      <c r="Q169" s="350"/>
      <c r="R169" s="350"/>
      <c r="S169" s="350"/>
      <c r="T169" s="350"/>
      <c r="U169" s="350"/>
      <c r="V169" s="350"/>
      <c r="W169" s="350"/>
      <c r="X169" s="350"/>
      <c r="Y169" s="350"/>
      <c r="Z169" s="350"/>
      <c r="AA169" s="350"/>
      <c r="AB169" s="350"/>
      <c r="AC169" s="350"/>
      <c r="AD169" s="350"/>
      <c r="AE169" s="350"/>
      <c r="AF169" s="350"/>
      <c r="AG169" s="350"/>
      <c r="AH169" s="350"/>
      <c r="AI169" s="350"/>
    </row>
    <row r="170" spans="1:35">
      <c r="A170" s="595"/>
      <c r="B170" s="598"/>
      <c r="C170" s="243"/>
      <c r="D170" s="350"/>
      <c r="E170" s="350"/>
      <c r="F170" s="350"/>
      <c r="G170" s="350"/>
      <c r="H170" s="350"/>
      <c r="I170" s="350"/>
      <c r="J170" s="350"/>
      <c r="K170" s="350"/>
      <c r="L170" s="350"/>
      <c r="M170" s="350"/>
      <c r="N170" s="350"/>
      <c r="O170" s="350"/>
      <c r="P170" s="350"/>
      <c r="Q170" s="350"/>
      <c r="R170" s="350"/>
      <c r="S170" s="350"/>
      <c r="T170" s="350"/>
      <c r="U170" s="350"/>
      <c r="V170" s="350"/>
      <c r="W170" s="350"/>
      <c r="X170" s="350"/>
      <c r="Y170" s="350"/>
      <c r="Z170" s="350"/>
      <c r="AA170" s="350"/>
      <c r="AB170" s="350"/>
      <c r="AC170" s="350"/>
      <c r="AD170" s="350"/>
      <c r="AE170" s="350"/>
      <c r="AF170" s="350"/>
      <c r="AG170" s="350"/>
      <c r="AH170" s="350"/>
      <c r="AI170" s="350"/>
    </row>
    <row r="171" spans="1:35">
      <c r="A171" s="595"/>
      <c r="B171" s="598"/>
      <c r="C171" s="243"/>
      <c r="D171" s="350"/>
      <c r="E171" s="350"/>
      <c r="F171" s="350"/>
      <c r="G171" s="350"/>
      <c r="H171" s="350"/>
      <c r="I171" s="350"/>
      <c r="J171" s="350"/>
      <c r="K171" s="350"/>
      <c r="L171" s="350"/>
      <c r="M171" s="350"/>
      <c r="N171" s="350"/>
      <c r="O171" s="350"/>
      <c r="P171" s="350"/>
      <c r="Q171" s="350"/>
      <c r="R171" s="350"/>
      <c r="S171" s="350"/>
      <c r="T171" s="350"/>
      <c r="U171" s="350"/>
      <c r="V171" s="350"/>
      <c r="W171" s="350"/>
      <c r="X171" s="350"/>
      <c r="Y171" s="350"/>
      <c r="Z171" s="350"/>
      <c r="AA171" s="350"/>
      <c r="AB171" s="350"/>
      <c r="AC171" s="350"/>
      <c r="AD171" s="350"/>
      <c r="AE171" s="350"/>
      <c r="AF171" s="350"/>
      <c r="AG171" s="350"/>
      <c r="AH171" s="350"/>
      <c r="AI171" s="350"/>
    </row>
    <row r="172" spans="1:35">
      <c r="A172" s="595"/>
      <c r="B172" s="598"/>
      <c r="C172" s="243"/>
      <c r="D172" s="350"/>
      <c r="E172" s="350"/>
      <c r="F172" s="350"/>
      <c r="G172" s="350"/>
      <c r="H172" s="350"/>
      <c r="I172" s="350"/>
      <c r="J172" s="350"/>
      <c r="K172" s="350"/>
      <c r="L172" s="350"/>
      <c r="M172" s="350"/>
      <c r="N172" s="350"/>
      <c r="O172" s="350"/>
      <c r="P172" s="350"/>
      <c r="Q172" s="350"/>
      <c r="R172" s="350"/>
      <c r="S172" s="350"/>
      <c r="T172" s="350"/>
      <c r="U172" s="350"/>
      <c r="V172" s="350"/>
      <c r="W172" s="350"/>
      <c r="X172" s="350"/>
      <c r="Y172" s="350"/>
      <c r="Z172" s="350"/>
      <c r="AA172" s="350"/>
      <c r="AB172" s="350"/>
      <c r="AC172" s="350"/>
      <c r="AD172" s="350"/>
      <c r="AE172" s="350"/>
      <c r="AF172" s="350"/>
      <c r="AG172" s="350"/>
      <c r="AH172" s="350"/>
      <c r="AI172" s="350"/>
    </row>
    <row r="173" spans="1:35">
      <c r="A173" s="595"/>
      <c r="B173" s="598"/>
      <c r="C173" s="243"/>
      <c r="D173" s="350"/>
      <c r="E173" s="350"/>
      <c r="F173" s="350"/>
      <c r="G173" s="350"/>
      <c r="H173" s="350"/>
      <c r="I173" s="350"/>
      <c r="J173" s="350"/>
      <c r="K173" s="350"/>
      <c r="L173" s="350"/>
      <c r="M173" s="350"/>
      <c r="N173" s="350"/>
      <c r="O173" s="350"/>
      <c r="P173" s="350"/>
      <c r="Q173" s="350"/>
      <c r="R173" s="350"/>
      <c r="S173" s="350"/>
      <c r="T173" s="350"/>
      <c r="U173" s="350"/>
      <c r="V173" s="350"/>
      <c r="W173" s="350"/>
      <c r="X173" s="350"/>
      <c r="Y173" s="350"/>
      <c r="Z173" s="350"/>
      <c r="AA173" s="350"/>
      <c r="AB173" s="350"/>
      <c r="AC173" s="350"/>
      <c r="AD173" s="350"/>
      <c r="AE173" s="350"/>
      <c r="AF173" s="350"/>
      <c r="AG173" s="350"/>
      <c r="AH173" s="350"/>
      <c r="AI173" s="350"/>
    </row>
    <row r="174" spans="1:35">
      <c r="A174" s="595"/>
      <c r="B174" s="598"/>
      <c r="C174" s="243"/>
      <c r="K174" s="350"/>
      <c r="L174" s="350"/>
      <c r="M174" s="350"/>
      <c r="N174" s="350"/>
      <c r="O174" s="350"/>
      <c r="P174" s="350"/>
      <c r="Q174" s="350"/>
      <c r="R174" s="350"/>
      <c r="S174" s="350"/>
      <c r="T174" s="350"/>
      <c r="U174" s="350"/>
      <c r="V174" s="350"/>
      <c r="W174" s="350"/>
      <c r="X174" s="350"/>
      <c r="Y174" s="350"/>
      <c r="Z174" s="350"/>
      <c r="AA174" s="350"/>
      <c r="AB174" s="350"/>
      <c r="AC174" s="350"/>
      <c r="AD174" s="350"/>
      <c r="AE174" s="350"/>
      <c r="AF174" s="350"/>
      <c r="AG174" s="350"/>
      <c r="AH174" s="350"/>
      <c r="AI174" s="350"/>
    </row>
    <row r="175" spans="1:35">
      <c r="A175" s="595"/>
      <c r="B175" s="598"/>
      <c r="C175" s="243"/>
      <c r="K175" s="350"/>
      <c r="L175" s="350"/>
      <c r="M175" s="350"/>
      <c r="N175" s="350"/>
      <c r="O175" s="350"/>
      <c r="P175" s="350"/>
      <c r="Q175" s="350"/>
      <c r="R175" s="350"/>
      <c r="S175" s="350"/>
      <c r="T175" s="350"/>
      <c r="U175" s="350"/>
      <c r="V175" s="350"/>
      <c r="W175" s="350"/>
      <c r="X175" s="350"/>
      <c r="Y175" s="350"/>
      <c r="Z175" s="350"/>
      <c r="AA175" s="350"/>
      <c r="AB175" s="350"/>
      <c r="AC175" s="350"/>
      <c r="AD175" s="350"/>
      <c r="AE175" s="350"/>
      <c r="AF175" s="350"/>
      <c r="AG175" s="350"/>
      <c r="AH175" s="350"/>
      <c r="AI175" s="350"/>
    </row>
    <row r="176" spans="1:35">
      <c r="A176" s="595"/>
      <c r="B176" s="598"/>
      <c r="C176" s="243"/>
      <c r="K176" s="350"/>
      <c r="L176" s="350"/>
      <c r="M176" s="350"/>
      <c r="N176" s="350"/>
      <c r="O176" s="350"/>
      <c r="P176" s="350"/>
      <c r="Q176" s="350"/>
      <c r="R176" s="350"/>
      <c r="S176" s="350"/>
      <c r="T176" s="350"/>
      <c r="U176" s="350"/>
      <c r="V176" s="350"/>
      <c r="W176" s="350"/>
      <c r="X176" s="350"/>
      <c r="Y176" s="350"/>
      <c r="Z176" s="350"/>
      <c r="AA176" s="350"/>
      <c r="AB176" s="350"/>
      <c r="AC176" s="350"/>
      <c r="AD176" s="350"/>
      <c r="AE176" s="350"/>
      <c r="AF176" s="350"/>
      <c r="AG176" s="350"/>
      <c r="AH176" s="350"/>
      <c r="AI176" s="350"/>
    </row>
    <row r="177" spans="1:35">
      <c r="A177" s="595"/>
      <c r="B177" s="598"/>
      <c r="C177" s="243"/>
      <c r="K177" s="350"/>
      <c r="L177" s="350"/>
      <c r="M177" s="350"/>
      <c r="N177" s="350"/>
      <c r="O177" s="350"/>
      <c r="P177" s="350"/>
      <c r="Q177" s="350"/>
      <c r="R177" s="350"/>
      <c r="S177" s="350"/>
      <c r="T177" s="350"/>
      <c r="U177" s="350"/>
      <c r="V177" s="350"/>
      <c r="W177" s="350"/>
      <c r="X177" s="350"/>
      <c r="Y177" s="350"/>
      <c r="Z177" s="350"/>
      <c r="AA177" s="350"/>
      <c r="AB177" s="350"/>
      <c r="AC177" s="350"/>
      <c r="AD177" s="350"/>
      <c r="AE177" s="350"/>
      <c r="AF177" s="350"/>
      <c r="AG177" s="350"/>
      <c r="AH177" s="350"/>
      <c r="AI177" s="350"/>
    </row>
    <row r="178" spans="1:35">
      <c r="A178" s="595"/>
      <c r="B178" s="598"/>
      <c r="C178" s="243"/>
      <c r="K178" s="350"/>
      <c r="L178" s="350"/>
      <c r="M178" s="350"/>
      <c r="N178" s="350"/>
      <c r="O178" s="350"/>
      <c r="P178" s="350"/>
      <c r="Q178" s="350"/>
      <c r="R178" s="350"/>
      <c r="S178" s="350"/>
      <c r="T178" s="350"/>
      <c r="U178" s="350"/>
      <c r="V178" s="350"/>
      <c r="W178" s="350"/>
      <c r="X178" s="350"/>
      <c r="Y178" s="350"/>
      <c r="Z178" s="350"/>
      <c r="AA178" s="350"/>
      <c r="AB178" s="350"/>
      <c r="AC178" s="350"/>
      <c r="AD178" s="350"/>
      <c r="AE178" s="350"/>
      <c r="AF178" s="350"/>
      <c r="AG178" s="350"/>
      <c r="AH178" s="350"/>
      <c r="AI178" s="350"/>
    </row>
    <row r="179" spans="1:35">
      <c r="A179" s="595"/>
      <c r="B179" s="598"/>
      <c r="C179" s="243"/>
      <c r="K179" s="350"/>
      <c r="L179" s="350"/>
      <c r="M179" s="350"/>
      <c r="N179" s="350"/>
      <c r="O179" s="350"/>
      <c r="P179" s="350"/>
      <c r="Q179" s="350"/>
      <c r="R179" s="350"/>
      <c r="S179" s="350"/>
      <c r="T179" s="350"/>
      <c r="U179" s="350"/>
      <c r="V179" s="350"/>
      <c r="W179" s="350"/>
      <c r="X179" s="350"/>
      <c r="Y179" s="350"/>
      <c r="Z179" s="350"/>
      <c r="AA179" s="350"/>
      <c r="AB179" s="350"/>
      <c r="AC179" s="350"/>
      <c r="AD179" s="350"/>
      <c r="AE179" s="350"/>
      <c r="AF179" s="350"/>
      <c r="AG179" s="350"/>
      <c r="AH179" s="350"/>
      <c r="AI179" s="350"/>
    </row>
    <row r="180" spans="1:35">
      <c r="A180" s="595"/>
      <c r="B180" s="598"/>
      <c r="C180" s="243"/>
      <c r="K180" s="350"/>
      <c r="L180" s="350"/>
      <c r="M180" s="350"/>
      <c r="N180" s="350"/>
      <c r="O180" s="350"/>
      <c r="P180" s="350"/>
      <c r="Q180" s="350"/>
      <c r="R180" s="350"/>
      <c r="S180" s="350"/>
      <c r="T180" s="350"/>
      <c r="U180" s="350"/>
      <c r="V180" s="350"/>
      <c r="W180" s="350"/>
      <c r="X180" s="350"/>
      <c r="Y180" s="350"/>
      <c r="Z180" s="350"/>
      <c r="AA180" s="350"/>
      <c r="AB180" s="350"/>
      <c r="AC180" s="350"/>
      <c r="AD180" s="350"/>
      <c r="AE180" s="350"/>
      <c r="AF180" s="350"/>
      <c r="AG180" s="350"/>
      <c r="AH180" s="350"/>
      <c r="AI180" s="350"/>
    </row>
    <row r="181" spans="1:35">
      <c r="A181" s="595"/>
      <c r="B181" s="598"/>
      <c r="C181" s="243"/>
      <c r="K181" s="350"/>
      <c r="L181" s="350"/>
      <c r="M181" s="350"/>
      <c r="N181" s="350"/>
      <c r="O181" s="350"/>
      <c r="P181" s="350"/>
      <c r="Q181" s="350"/>
      <c r="R181" s="350"/>
      <c r="S181" s="350"/>
      <c r="T181" s="350"/>
      <c r="U181" s="350"/>
      <c r="V181" s="350"/>
      <c r="W181" s="350"/>
      <c r="X181" s="350"/>
      <c r="Y181" s="350"/>
      <c r="Z181" s="350"/>
      <c r="AA181" s="350"/>
      <c r="AB181" s="350"/>
      <c r="AC181" s="350"/>
      <c r="AD181" s="350"/>
      <c r="AE181" s="350"/>
      <c r="AF181" s="350"/>
      <c r="AG181" s="350"/>
      <c r="AH181" s="350"/>
      <c r="AI181" s="350"/>
    </row>
    <row r="182" spans="1:35">
      <c r="A182" s="595"/>
      <c r="B182" s="598"/>
      <c r="C182" s="243"/>
      <c r="K182" s="350"/>
      <c r="L182" s="350"/>
      <c r="M182" s="350"/>
      <c r="N182" s="350"/>
      <c r="O182" s="350"/>
      <c r="P182" s="350"/>
      <c r="Q182" s="350"/>
      <c r="R182" s="350"/>
      <c r="S182" s="350"/>
      <c r="T182" s="350"/>
      <c r="U182" s="350"/>
      <c r="V182" s="350"/>
      <c r="W182" s="350"/>
      <c r="X182" s="350"/>
      <c r="Y182" s="350"/>
      <c r="Z182" s="350"/>
      <c r="AA182" s="350"/>
      <c r="AB182" s="350"/>
      <c r="AC182" s="350"/>
      <c r="AD182" s="350"/>
      <c r="AE182" s="350"/>
      <c r="AF182" s="350"/>
      <c r="AG182" s="350"/>
      <c r="AH182" s="350"/>
      <c r="AI182" s="350"/>
    </row>
    <row r="183" spans="1:35">
      <c r="A183" s="595"/>
      <c r="B183" s="598"/>
      <c r="C183" s="243"/>
      <c r="K183" s="350"/>
      <c r="L183" s="350"/>
      <c r="M183" s="350"/>
      <c r="N183" s="350"/>
      <c r="O183" s="350"/>
      <c r="P183" s="350"/>
      <c r="Q183" s="350"/>
      <c r="R183" s="350"/>
      <c r="S183" s="350"/>
      <c r="T183" s="350"/>
      <c r="U183" s="350"/>
      <c r="V183" s="350"/>
      <c r="W183" s="350"/>
      <c r="X183" s="350"/>
      <c r="Y183" s="350"/>
      <c r="Z183" s="350"/>
      <c r="AA183" s="350"/>
      <c r="AB183" s="350"/>
      <c r="AC183" s="350"/>
      <c r="AD183" s="350"/>
      <c r="AE183" s="350"/>
      <c r="AF183" s="350"/>
      <c r="AG183" s="350"/>
      <c r="AH183" s="350"/>
      <c r="AI183" s="350"/>
    </row>
    <row r="184" spans="1:35">
      <c r="A184" s="595"/>
      <c r="B184" s="598"/>
      <c r="C184" s="243"/>
      <c r="K184" s="350"/>
      <c r="L184" s="350"/>
      <c r="M184" s="350"/>
      <c r="N184" s="350"/>
      <c r="O184" s="350"/>
      <c r="P184" s="350"/>
      <c r="Q184" s="350"/>
      <c r="R184" s="350"/>
      <c r="S184" s="350"/>
      <c r="T184" s="350"/>
      <c r="U184" s="350"/>
      <c r="V184" s="350"/>
      <c r="W184" s="350"/>
      <c r="X184" s="350"/>
      <c r="Y184" s="350"/>
      <c r="Z184" s="350"/>
      <c r="AA184" s="350"/>
      <c r="AB184" s="350"/>
      <c r="AC184" s="350"/>
      <c r="AD184" s="350"/>
      <c r="AE184" s="350"/>
      <c r="AF184" s="350"/>
      <c r="AG184" s="350"/>
      <c r="AH184" s="350"/>
      <c r="AI184" s="350"/>
    </row>
    <row r="185" spans="1:35">
      <c r="A185" s="595"/>
      <c r="B185" s="598"/>
      <c r="C185" s="243"/>
      <c r="K185" s="350"/>
      <c r="L185" s="350"/>
      <c r="M185" s="350"/>
      <c r="N185" s="350"/>
      <c r="O185" s="350"/>
      <c r="P185" s="350"/>
      <c r="Q185" s="350"/>
      <c r="R185" s="350"/>
      <c r="S185" s="350"/>
      <c r="T185" s="350"/>
      <c r="U185" s="350"/>
      <c r="V185" s="350"/>
      <c r="W185" s="350"/>
      <c r="X185" s="350"/>
      <c r="Y185" s="350"/>
      <c r="Z185" s="350"/>
      <c r="AA185" s="350"/>
      <c r="AB185" s="350"/>
      <c r="AC185" s="350"/>
      <c r="AD185" s="350"/>
      <c r="AE185" s="350"/>
      <c r="AF185" s="350"/>
      <c r="AG185" s="350"/>
      <c r="AH185" s="350"/>
      <c r="AI185" s="350"/>
    </row>
    <row r="186" spans="1:35">
      <c r="A186" s="595"/>
      <c r="B186" s="598"/>
      <c r="C186" s="243"/>
      <c r="K186" s="350"/>
      <c r="L186" s="350"/>
      <c r="M186" s="350"/>
      <c r="N186" s="350"/>
      <c r="O186" s="350"/>
      <c r="P186" s="350"/>
      <c r="Q186" s="350"/>
      <c r="R186" s="350"/>
      <c r="S186" s="350"/>
      <c r="T186" s="350"/>
      <c r="U186" s="350"/>
      <c r="V186" s="350"/>
      <c r="W186" s="350"/>
      <c r="X186" s="350"/>
      <c r="Y186" s="350"/>
      <c r="Z186" s="350"/>
      <c r="AA186" s="350"/>
      <c r="AB186" s="350"/>
      <c r="AC186" s="350"/>
      <c r="AD186" s="350"/>
      <c r="AE186" s="350"/>
      <c r="AF186" s="350"/>
      <c r="AG186" s="350"/>
      <c r="AH186" s="350"/>
      <c r="AI186" s="350"/>
    </row>
    <row r="187" spans="1:35">
      <c r="A187" s="595"/>
      <c r="B187" s="598"/>
      <c r="C187" s="243"/>
      <c r="K187" s="350"/>
      <c r="L187" s="350"/>
      <c r="M187" s="350"/>
      <c r="N187" s="350"/>
      <c r="O187" s="350"/>
      <c r="P187" s="350"/>
      <c r="Q187" s="350"/>
      <c r="R187" s="350"/>
      <c r="S187" s="350"/>
      <c r="T187" s="350"/>
      <c r="U187" s="350"/>
      <c r="V187" s="350"/>
      <c r="W187" s="350"/>
      <c r="X187" s="350"/>
      <c r="Y187" s="350"/>
      <c r="Z187" s="350"/>
      <c r="AA187" s="350"/>
      <c r="AB187" s="350"/>
      <c r="AC187" s="350"/>
      <c r="AD187" s="350"/>
      <c r="AE187" s="350"/>
      <c r="AF187" s="350"/>
      <c r="AG187" s="350"/>
      <c r="AH187" s="350"/>
      <c r="AI187" s="350"/>
    </row>
    <row r="188" spans="1:35">
      <c r="A188" s="595"/>
      <c r="B188" s="598"/>
      <c r="C188" s="243"/>
      <c r="K188" s="350"/>
      <c r="L188" s="350"/>
      <c r="M188" s="350"/>
      <c r="N188" s="350"/>
      <c r="O188" s="350"/>
      <c r="P188" s="350"/>
      <c r="Q188" s="350"/>
      <c r="R188" s="350"/>
      <c r="S188" s="350"/>
      <c r="T188" s="350"/>
      <c r="U188" s="350"/>
      <c r="V188" s="350"/>
      <c r="W188" s="350"/>
      <c r="X188" s="350"/>
      <c r="Y188" s="350"/>
      <c r="Z188" s="350"/>
      <c r="AA188" s="350"/>
      <c r="AB188" s="350"/>
      <c r="AC188" s="350"/>
      <c r="AD188" s="350"/>
      <c r="AE188" s="350"/>
      <c r="AF188" s="350"/>
      <c r="AG188" s="350"/>
      <c r="AH188" s="350"/>
      <c r="AI188" s="350"/>
    </row>
    <row r="189" spans="1:35">
      <c r="A189" s="595"/>
      <c r="B189" s="598"/>
      <c r="C189" s="243"/>
      <c r="K189" s="350"/>
      <c r="L189" s="350"/>
      <c r="M189" s="350"/>
      <c r="N189" s="350"/>
      <c r="O189" s="350"/>
      <c r="P189" s="350"/>
      <c r="Q189" s="350"/>
      <c r="R189" s="350"/>
      <c r="S189" s="350"/>
      <c r="T189" s="350"/>
      <c r="U189" s="350"/>
      <c r="V189" s="350"/>
      <c r="W189" s="350"/>
      <c r="X189" s="350"/>
      <c r="Y189" s="350"/>
      <c r="Z189" s="350"/>
      <c r="AA189" s="350"/>
      <c r="AB189" s="350"/>
      <c r="AC189" s="350"/>
      <c r="AD189" s="350"/>
      <c r="AE189" s="350"/>
      <c r="AF189" s="350"/>
      <c r="AG189" s="350"/>
      <c r="AH189" s="350"/>
      <c r="AI189" s="350"/>
    </row>
    <row r="190" spans="1:35">
      <c r="A190" s="595"/>
      <c r="B190" s="598"/>
      <c r="C190" s="243"/>
      <c r="K190" s="350"/>
      <c r="L190" s="350"/>
      <c r="M190" s="350"/>
      <c r="N190" s="350"/>
      <c r="O190" s="350"/>
      <c r="P190" s="350"/>
      <c r="Q190" s="350"/>
      <c r="R190" s="350"/>
      <c r="S190" s="350"/>
      <c r="T190" s="350"/>
      <c r="U190" s="350"/>
      <c r="V190" s="350"/>
      <c r="W190" s="350"/>
      <c r="X190" s="350"/>
      <c r="Y190" s="350"/>
      <c r="Z190" s="350"/>
      <c r="AA190" s="350"/>
      <c r="AB190" s="350"/>
      <c r="AC190" s="350"/>
      <c r="AD190" s="350"/>
      <c r="AE190" s="350"/>
      <c r="AF190" s="350"/>
      <c r="AG190" s="350"/>
      <c r="AH190" s="350"/>
      <c r="AI190" s="350"/>
    </row>
    <row r="191" spans="1:35">
      <c r="A191" s="595"/>
      <c r="B191" s="598"/>
      <c r="C191" s="243"/>
      <c r="K191" s="350"/>
      <c r="L191" s="350"/>
      <c r="M191" s="350"/>
      <c r="N191" s="350"/>
      <c r="O191" s="350"/>
      <c r="P191" s="350"/>
      <c r="Q191" s="350"/>
      <c r="R191" s="350"/>
      <c r="S191" s="350"/>
      <c r="T191" s="350"/>
      <c r="U191" s="350"/>
      <c r="V191" s="350"/>
      <c r="W191" s="350"/>
      <c r="X191" s="350"/>
      <c r="Y191" s="350"/>
      <c r="Z191" s="350"/>
      <c r="AA191" s="350"/>
      <c r="AB191" s="350"/>
      <c r="AC191" s="350"/>
      <c r="AD191" s="350"/>
      <c r="AE191" s="350"/>
      <c r="AF191" s="350"/>
      <c r="AG191" s="350"/>
      <c r="AH191" s="350"/>
      <c r="AI191" s="350"/>
    </row>
    <row r="192" spans="1:35">
      <c r="A192" s="595"/>
      <c r="B192" s="598"/>
      <c r="C192" s="243"/>
      <c r="K192" s="350"/>
      <c r="L192" s="350"/>
      <c r="M192" s="350"/>
      <c r="N192" s="350"/>
      <c r="O192" s="350"/>
      <c r="P192" s="350"/>
      <c r="Q192" s="350"/>
      <c r="R192" s="350"/>
      <c r="S192" s="350"/>
      <c r="T192" s="350"/>
      <c r="U192" s="350"/>
      <c r="V192" s="350"/>
      <c r="W192" s="350"/>
      <c r="X192" s="350"/>
      <c r="Y192" s="350"/>
      <c r="Z192" s="350"/>
      <c r="AA192" s="350"/>
      <c r="AB192" s="350"/>
      <c r="AC192" s="350"/>
      <c r="AD192" s="350"/>
      <c r="AE192" s="350"/>
      <c r="AF192" s="350"/>
      <c r="AG192" s="350"/>
      <c r="AH192" s="350"/>
      <c r="AI192" s="350"/>
    </row>
    <row r="193" spans="1:35">
      <c r="A193" s="595"/>
      <c r="B193" s="598"/>
      <c r="C193" s="243"/>
      <c r="K193" s="350"/>
      <c r="L193" s="350"/>
      <c r="M193" s="350"/>
      <c r="N193" s="350"/>
      <c r="O193" s="350"/>
      <c r="P193" s="350"/>
      <c r="Q193" s="350"/>
      <c r="R193" s="350"/>
      <c r="S193" s="350"/>
      <c r="T193" s="350"/>
      <c r="U193" s="350"/>
      <c r="V193" s="350"/>
      <c r="W193" s="350"/>
      <c r="X193" s="350"/>
      <c r="Y193" s="350"/>
      <c r="Z193" s="350"/>
      <c r="AA193" s="350"/>
      <c r="AB193" s="350"/>
      <c r="AC193" s="350"/>
      <c r="AD193" s="350"/>
      <c r="AE193" s="350"/>
      <c r="AF193" s="350"/>
      <c r="AG193" s="350"/>
      <c r="AH193" s="350"/>
      <c r="AI193" s="350"/>
    </row>
    <row r="194" spans="1:35">
      <c r="A194" s="595"/>
      <c r="B194" s="598"/>
      <c r="C194" s="243"/>
      <c r="K194" s="350"/>
      <c r="L194" s="350"/>
      <c r="M194" s="350"/>
      <c r="N194" s="350"/>
      <c r="O194" s="350"/>
      <c r="P194" s="350"/>
      <c r="Q194" s="350"/>
      <c r="R194" s="350"/>
      <c r="S194" s="350"/>
      <c r="T194" s="350"/>
      <c r="U194" s="350"/>
      <c r="V194" s="350"/>
      <c r="W194" s="350"/>
      <c r="X194" s="350"/>
      <c r="Y194" s="350"/>
      <c r="Z194" s="350"/>
      <c r="AA194" s="350"/>
      <c r="AB194" s="350"/>
      <c r="AC194" s="350"/>
      <c r="AD194" s="350"/>
      <c r="AE194" s="350"/>
      <c r="AF194" s="350"/>
      <c r="AG194" s="350"/>
      <c r="AH194" s="350"/>
      <c r="AI194" s="350"/>
    </row>
    <row r="195" spans="1:35">
      <c r="A195" s="595"/>
      <c r="B195" s="598"/>
      <c r="C195" s="243"/>
      <c r="K195" s="350"/>
      <c r="L195" s="350"/>
      <c r="M195" s="350"/>
      <c r="N195" s="350"/>
      <c r="O195" s="350"/>
      <c r="P195" s="350"/>
      <c r="Q195" s="350"/>
      <c r="R195" s="350"/>
      <c r="S195" s="350"/>
      <c r="T195" s="350"/>
      <c r="U195" s="350"/>
      <c r="V195" s="350"/>
      <c r="W195" s="350"/>
      <c r="X195" s="350"/>
      <c r="Y195" s="350"/>
      <c r="Z195" s="350"/>
      <c r="AA195" s="350"/>
      <c r="AB195" s="350"/>
      <c r="AC195" s="350"/>
      <c r="AD195" s="350"/>
      <c r="AE195" s="350"/>
      <c r="AF195" s="350"/>
      <c r="AG195" s="350"/>
      <c r="AH195" s="350"/>
      <c r="AI195" s="350"/>
    </row>
    <row r="196" spans="1:35">
      <c r="A196" s="595"/>
      <c r="B196" s="598"/>
      <c r="C196" s="243"/>
      <c r="K196" s="350"/>
      <c r="L196" s="350"/>
      <c r="M196" s="350"/>
      <c r="N196" s="350"/>
      <c r="O196" s="350"/>
      <c r="P196" s="350"/>
      <c r="Q196" s="350"/>
      <c r="R196" s="350"/>
      <c r="S196" s="350"/>
      <c r="T196" s="350"/>
      <c r="U196" s="350"/>
      <c r="V196" s="350"/>
      <c r="W196" s="350"/>
      <c r="X196" s="350"/>
      <c r="Y196" s="350"/>
      <c r="Z196" s="350"/>
      <c r="AA196" s="350"/>
      <c r="AB196" s="350"/>
      <c r="AC196" s="350"/>
      <c r="AD196" s="350"/>
      <c r="AE196" s="350"/>
      <c r="AF196" s="350"/>
      <c r="AG196" s="350"/>
      <c r="AH196" s="350"/>
      <c r="AI196" s="350"/>
    </row>
    <row r="197" spans="1:35">
      <c r="A197" s="595"/>
      <c r="B197" s="598"/>
      <c r="C197" s="243"/>
      <c r="K197" s="350"/>
      <c r="L197" s="350"/>
      <c r="M197" s="350"/>
      <c r="N197" s="350"/>
      <c r="O197" s="350"/>
      <c r="P197" s="350"/>
      <c r="Q197" s="350"/>
      <c r="R197" s="350"/>
      <c r="S197" s="350"/>
      <c r="T197" s="350"/>
      <c r="U197" s="350"/>
      <c r="V197" s="350"/>
      <c r="W197" s="350"/>
      <c r="X197" s="350"/>
      <c r="Y197" s="350"/>
      <c r="Z197" s="350"/>
      <c r="AA197" s="350"/>
      <c r="AB197" s="350"/>
      <c r="AC197" s="350"/>
      <c r="AD197" s="350"/>
      <c r="AE197" s="350"/>
      <c r="AF197" s="350"/>
      <c r="AG197" s="350"/>
      <c r="AH197" s="350"/>
      <c r="AI197" s="350"/>
    </row>
    <row r="198" spans="1:35">
      <c r="A198" s="595"/>
      <c r="B198" s="598"/>
      <c r="C198" s="243"/>
      <c r="K198" s="350"/>
      <c r="L198" s="350"/>
      <c r="M198" s="350"/>
      <c r="N198" s="350"/>
      <c r="O198" s="350"/>
      <c r="P198" s="350"/>
      <c r="Q198" s="350"/>
      <c r="R198" s="350"/>
      <c r="S198" s="350"/>
      <c r="T198" s="350"/>
      <c r="U198" s="350"/>
      <c r="V198" s="350"/>
      <c r="W198" s="350"/>
      <c r="X198" s="350"/>
      <c r="Y198" s="350"/>
      <c r="Z198" s="350"/>
      <c r="AA198" s="350"/>
      <c r="AB198" s="350"/>
      <c r="AC198" s="350"/>
      <c r="AD198" s="350"/>
      <c r="AE198" s="350"/>
      <c r="AF198" s="350"/>
      <c r="AG198" s="350"/>
      <c r="AH198" s="350"/>
      <c r="AI198" s="350"/>
    </row>
    <row r="199" spans="1:35">
      <c r="A199" s="595"/>
      <c r="B199" s="598"/>
      <c r="C199" s="243"/>
      <c r="K199" s="350"/>
      <c r="L199" s="350"/>
      <c r="M199" s="350"/>
      <c r="N199" s="350"/>
      <c r="O199" s="350"/>
      <c r="P199" s="350"/>
      <c r="Q199" s="350"/>
      <c r="R199" s="350"/>
      <c r="S199" s="350"/>
      <c r="T199" s="350"/>
      <c r="U199" s="350"/>
      <c r="V199" s="350"/>
      <c r="W199" s="350"/>
      <c r="X199" s="350"/>
      <c r="Y199" s="350"/>
      <c r="Z199" s="350"/>
      <c r="AA199" s="350"/>
      <c r="AB199" s="350"/>
      <c r="AC199" s="350"/>
      <c r="AD199" s="350"/>
      <c r="AE199" s="350"/>
      <c r="AF199" s="350"/>
      <c r="AG199" s="350"/>
      <c r="AH199" s="350"/>
      <c r="AI199" s="350"/>
    </row>
    <row r="200" spans="1:35">
      <c r="A200" s="595"/>
      <c r="B200" s="598"/>
      <c r="C200" s="243"/>
      <c r="K200" s="350"/>
      <c r="L200" s="350"/>
      <c r="M200" s="350"/>
      <c r="N200" s="350"/>
      <c r="O200" s="350"/>
      <c r="P200" s="350"/>
      <c r="Q200" s="350"/>
      <c r="R200" s="350"/>
      <c r="S200" s="350"/>
      <c r="T200" s="350"/>
      <c r="U200" s="350"/>
      <c r="V200" s="350"/>
      <c r="W200" s="350"/>
      <c r="X200" s="350"/>
      <c r="Y200" s="350"/>
      <c r="Z200" s="350"/>
      <c r="AA200" s="350"/>
      <c r="AB200" s="350"/>
      <c r="AC200" s="350"/>
      <c r="AD200" s="350"/>
      <c r="AE200" s="350"/>
      <c r="AF200" s="350"/>
      <c r="AG200" s="350"/>
      <c r="AH200" s="350"/>
      <c r="AI200" s="350"/>
    </row>
    <row r="201" spans="1:35">
      <c r="A201" s="595"/>
      <c r="B201" s="598"/>
      <c r="C201" s="243"/>
      <c r="K201" s="350"/>
      <c r="L201" s="350"/>
      <c r="M201" s="350"/>
      <c r="N201" s="350"/>
      <c r="O201" s="350"/>
      <c r="P201" s="350"/>
      <c r="Q201" s="350"/>
      <c r="R201" s="350"/>
      <c r="S201" s="350"/>
      <c r="T201" s="350"/>
      <c r="U201" s="350"/>
      <c r="V201" s="350"/>
      <c r="W201" s="350"/>
      <c r="X201" s="350"/>
      <c r="Y201" s="350"/>
      <c r="Z201" s="350"/>
      <c r="AA201" s="350"/>
      <c r="AB201" s="350"/>
      <c r="AC201" s="350"/>
      <c r="AD201" s="350"/>
      <c r="AE201" s="350"/>
      <c r="AF201" s="350"/>
      <c r="AG201" s="350"/>
      <c r="AH201" s="350"/>
      <c r="AI201" s="350"/>
    </row>
    <row r="202" spans="1:35">
      <c r="A202" s="595"/>
      <c r="B202" s="598"/>
      <c r="C202" s="243"/>
      <c r="K202" s="350"/>
      <c r="L202" s="350"/>
      <c r="M202" s="350"/>
      <c r="N202" s="350"/>
      <c r="O202" s="350"/>
      <c r="P202" s="350"/>
      <c r="Q202" s="350"/>
      <c r="R202" s="350"/>
      <c r="S202" s="350"/>
      <c r="T202" s="350"/>
      <c r="U202" s="350"/>
      <c r="V202" s="350"/>
      <c r="W202" s="350"/>
      <c r="X202" s="350"/>
      <c r="Y202" s="350"/>
      <c r="Z202" s="350"/>
      <c r="AA202" s="350"/>
      <c r="AB202" s="350"/>
      <c r="AC202" s="350"/>
      <c r="AD202" s="350"/>
      <c r="AE202" s="350"/>
      <c r="AF202" s="350"/>
      <c r="AG202" s="350"/>
      <c r="AH202" s="350"/>
      <c r="AI202" s="350"/>
    </row>
    <row r="203" spans="1:35">
      <c r="A203" s="595"/>
      <c r="B203" s="598"/>
      <c r="C203" s="243"/>
      <c r="K203" s="350"/>
      <c r="L203" s="350"/>
      <c r="M203" s="350"/>
      <c r="N203" s="350"/>
      <c r="O203" s="350"/>
      <c r="P203" s="350"/>
      <c r="Q203" s="350"/>
      <c r="R203" s="350"/>
      <c r="S203" s="350"/>
      <c r="T203" s="350"/>
      <c r="U203" s="350"/>
      <c r="V203" s="350"/>
      <c r="W203" s="350"/>
      <c r="X203" s="350"/>
      <c r="Y203" s="350"/>
      <c r="Z203" s="350"/>
      <c r="AA203" s="350"/>
      <c r="AB203" s="350"/>
      <c r="AC203" s="350"/>
      <c r="AD203" s="350"/>
      <c r="AE203" s="350"/>
      <c r="AF203" s="350"/>
      <c r="AG203" s="350"/>
      <c r="AH203" s="350"/>
      <c r="AI203" s="350"/>
    </row>
    <row r="204" spans="1:35">
      <c r="A204" s="595"/>
      <c r="B204" s="598"/>
      <c r="C204" s="243"/>
      <c r="K204" s="350"/>
      <c r="L204" s="350"/>
      <c r="M204" s="350"/>
      <c r="N204" s="350"/>
      <c r="O204" s="350"/>
      <c r="P204" s="350"/>
      <c r="Q204" s="350"/>
      <c r="R204" s="350"/>
      <c r="S204" s="350"/>
      <c r="T204" s="350"/>
      <c r="U204" s="350"/>
      <c r="V204" s="350"/>
      <c r="W204" s="350"/>
      <c r="X204" s="350"/>
      <c r="Y204" s="350"/>
      <c r="Z204" s="350"/>
      <c r="AA204" s="350"/>
      <c r="AB204" s="350"/>
      <c r="AC204" s="350"/>
      <c r="AD204" s="350"/>
      <c r="AE204" s="350"/>
      <c r="AF204" s="350"/>
      <c r="AG204" s="350"/>
      <c r="AH204" s="350"/>
      <c r="AI204" s="350"/>
    </row>
    <row r="205" spans="1:35">
      <c r="A205" s="595"/>
      <c r="B205" s="598"/>
      <c r="C205" s="243"/>
      <c r="K205" s="350"/>
      <c r="L205" s="350"/>
      <c r="M205" s="350"/>
      <c r="N205" s="350"/>
      <c r="O205" s="350"/>
      <c r="P205" s="350"/>
      <c r="Q205" s="350"/>
      <c r="R205" s="350"/>
      <c r="S205" s="350"/>
      <c r="T205" s="350"/>
      <c r="U205" s="350"/>
      <c r="V205" s="350"/>
      <c r="W205" s="350"/>
      <c r="X205" s="350"/>
      <c r="Y205" s="350"/>
      <c r="Z205" s="350"/>
      <c r="AA205" s="350"/>
      <c r="AB205" s="350"/>
      <c r="AC205" s="350"/>
      <c r="AD205" s="350"/>
      <c r="AE205" s="350"/>
      <c r="AF205" s="350"/>
      <c r="AG205" s="350"/>
      <c r="AH205" s="350"/>
      <c r="AI205" s="350"/>
    </row>
    <row r="206" spans="1:35">
      <c r="A206" s="595"/>
      <c r="B206" s="598"/>
      <c r="C206" s="243"/>
      <c r="K206" s="350"/>
      <c r="L206" s="350"/>
      <c r="M206" s="350"/>
      <c r="N206" s="350"/>
      <c r="O206" s="350"/>
      <c r="P206" s="350"/>
      <c r="Q206" s="350"/>
      <c r="R206" s="350"/>
      <c r="S206" s="350"/>
      <c r="T206" s="350"/>
      <c r="U206" s="350"/>
      <c r="V206" s="350"/>
      <c r="W206" s="350"/>
      <c r="X206" s="350"/>
      <c r="Y206" s="350"/>
      <c r="Z206" s="350"/>
      <c r="AA206" s="350"/>
      <c r="AB206" s="350"/>
      <c r="AC206" s="350"/>
      <c r="AD206" s="350"/>
      <c r="AE206" s="350"/>
      <c r="AF206" s="350"/>
      <c r="AG206" s="350"/>
      <c r="AH206" s="350"/>
      <c r="AI206" s="350"/>
    </row>
    <row r="207" spans="1:35">
      <c r="A207" s="595"/>
      <c r="B207" s="598"/>
      <c r="C207" s="243"/>
      <c r="K207" s="350"/>
      <c r="L207" s="350"/>
      <c r="M207" s="350"/>
      <c r="N207" s="350"/>
      <c r="O207" s="350"/>
      <c r="P207" s="350"/>
      <c r="Q207" s="350"/>
      <c r="R207" s="350"/>
      <c r="S207" s="350"/>
      <c r="T207" s="350"/>
      <c r="U207" s="350"/>
      <c r="V207" s="350"/>
      <c r="W207" s="350"/>
      <c r="X207" s="350"/>
      <c r="Y207" s="350"/>
      <c r="Z207" s="350"/>
      <c r="AA207" s="350"/>
      <c r="AB207" s="350"/>
      <c r="AC207" s="350"/>
      <c r="AD207" s="350"/>
      <c r="AE207" s="350"/>
      <c r="AF207" s="350"/>
      <c r="AG207" s="350"/>
      <c r="AH207" s="350"/>
      <c r="AI207" s="350"/>
    </row>
    <row r="208" spans="1:35">
      <c r="A208" s="595"/>
      <c r="B208" s="598"/>
      <c r="C208" s="243"/>
      <c r="K208" s="350"/>
      <c r="L208" s="350"/>
      <c r="M208" s="350"/>
      <c r="N208" s="350"/>
      <c r="O208" s="350"/>
      <c r="P208" s="350"/>
      <c r="Q208" s="350"/>
      <c r="R208" s="350"/>
      <c r="S208" s="350"/>
      <c r="T208" s="350"/>
      <c r="U208" s="350"/>
      <c r="V208" s="350"/>
      <c r="W208" s="350"/>
      <c r="X208" s="350"/>
      <c r="Y208" s="350"/>
      <c r="Z208" s="350"/>
      <c r="AA208" s="350"/>
      <c r="AB208" s="350"/>
      <c r="AC208" s="350"/>
      <c r="AD208" s="350"/>
      <c r="AE208" s="350"/>
      <c r="AF208" s="350"/>
      <c r="AG208" s="350"/>
      <c r="AH208" s="350"/>
      <c r="AI208" s="350"/>
    </row>
    <row r="209" spans="1:35">
      <c r="A209" s="595"/>
      <c r="B209" s="598"/>
      <c r="C209" s="243"/>
      <c r="K209" s="350"/>
      <c r="L209" s="350"/>
      <c r="M209" s="350"/>
      <c r="N209" s="350"/>
      <c r="O209" s="350"/>
      <c r="P209" s="350"/>
      <c r="Q209" s="350"/>
      <c r="R209" s="350"/>
      <c r="S209" s="350"/>
      <c r="T209" s="350"/>
      <c r="U209" s="350"/>
      <c r="V209" s="350"/>
      <c r="W209" s="350"/>
      <c r="X209" s="350"/>
      <c r="Y209" s="350"/>
      <c r="Z209" s="350"/>
      <c r="AA209" s="350"/>
      <c r="AB209" s="350"/>
      <c r="AC209" s="350"/>
      <c r="AD209" s="350"/>
      <c r="AE209" s="350"/>
      <c r="AF209" s="350"/>
      <c r="AG209" s="350"/>
      <c r="AH209" s="350"/>
      <c r="AI209" s="350"/>
    </row>
    <row r="210" spans="1:35">
      <c r="A210" s="595"/>
      <c r="B210" s="598"/>
      <c r="C210" s="243"/>
      <c r="K210" s="350"/>
      <c r="L210" s="350"/>
      <c r="M210" s="350"/>
      <c r="N210" s="350"/>
      <c r="O210" s="350"/>
      <c r="P210" s="350"/>
      <c r="Q210" s="350"/>
      <c r="R210" s="350"/>
      <c r="S210" s="350"/>
      <c r="T210" s="350"/>
      <c r="U210" s="350"/>
      <c r="V210" s="350"/>
      <c r="W210" s="350"/>
      <c r="X210" s="350"/>
      <c r="Y210" s="350"/>
      <c r="Z210" s="350"/>
      <c r="AA210" s="350"/>
      <c r="AB210" s="350"/>
      <c r="AC210" s="350"/>
      <c r="AD210" s="350"/>
      <c r="AE210" s="350"/>
      <c r="AF210" s="350"/>
      <c r="AG210" s="350"/>
      <c r="AH210" s="350"/>
      <c r="AI210" s="350"/>
    </row>
    <row r="211" spans="1:35">
      <c r="A211" s="595"/>
      <c r="B211" s="598"/>
      <c r="C211" s="243"/>
      <c r="K211" s="350"/>
      <c r="L211" s="350"/>
      <c r="M211" s="350"/>
      <c r="N211" s="350"/>
      <c r="O211" s="350"/>
      <c r="P211" s="350"/>
      <c r="Q211" s="350"/>
      <c r="R211" s="350"/>
      <c r="S211" s="350"/>
      <c r="T211" s="350"/>
      <c r="U211" s="350"/>
      <c r="V211" s="350"/>
      <c r="W211" s="350"/>
      <c r="X211" s="350"/>
      <c r="Y211" s="350"/>
      <c r="Z211" s="350"/>
      <c r="AA211" s="350"/>
      <c r="AB211" s="350"/>
      <c r="AC211" s="350"/>
      <c r="AD211" s="350"/>
      <c r="AE211" s="350"/>
      <c r="AF211" s="350"/>
      <c r="AG211" s="350"/>
      <c r="AH211" s="350"/>
      <c r="AI211" s="350"/>
    </row>
    <row r="212" spans="1:35">
      <c r="A212" s="595"/>
      <c r="B212" s="598"/>
      <c r="C212" s="243"/>
      <c r="K212" s="350"/>
      <c r="L212" s="350"/>
      <c r="M212" s="350"/>
      <c r="N212" s="350"/>
      <c r="O212" s="350"/>
      <c r="P212" s="350"/>
      <c r="Q212" s="350"/>
      <c r="R212" s="350"/>
      <c r="S212" s="350"/>
      <c r="T212" s="350"/>
      <c r="U212" s="350"/>
      <c r="V212" s="350"/>
      <c r="W212" s="350"/>
      <c r="X212" s="350"/>
      <c r="Y212" s="350"/>
      <c r="Z212" s="350"/>
      <c r="AA212" s="350"/>
      <c r="AB212" s="350"/>
      <c r="AC212" s="350"/>
      <c r="AD212" s="350"/>
      <c r="AE212" s="350"/>
      <c r="AF212" s="350"/>
      <c r="AG212" s="350"/>
      <c r="AH212" s="350"/>
      <c r="AI212" s="350"/>
    </row>
    <row r="213" spans="1:35">
      <c r="A213" s="595"/>
      <c r="B213" s="598"/>
      <c r="C213" s="243"/>
      <c r="K213" s="350"/>
      <c r="L213" s="350"/>
      <c r="M213" s="350"/>
      <c r="N213" s="350"/>
      <c r="O213" s="350"/>
      <c r="P213" s="350"/>
      <c r="Q213" s="350"/>
      <c r="R213" s="350"/>
      <c r="S213" s="350"/>
      <c r="T213" s="350"/>
      <c r="U213" s="350"/>
      <c r="V213" s="350"/>
      <c r="W213" s="350"/>
      <c r="X213" s="350"/>
      <c r="Y213" s="350"/>
      <c r="Z213" s="350"/>
      <c r="AA213" s="350"/>
      <c r="AB213" s="350"/>
      <c r="AC213" s="350"/>
      <c r="AD213" s="350"/>
      <c r="AE213" s="350"/>
      <c r="AF213" s="350"/>
      <c r="AG213" s="350"/>
      <c r="AH213" s="350"/>
      <c r="AI213" s="350"/>
    </row>
    <row r="214" spans="1:35">
      <c r="A214" s="595"/>
      <c r="B214" s="598"/>
      <c r="C214" s="243"/>
      <c r="K214" s="350"/>
      <c r="L214" s="350"/>
      <c r="M214" s="350"/>
      <c r="N214" s="350"/>
      <c r="O214" s="350"/>
      <c r="P214" s="350"/>
      <c r="Q214" s="350"/>
      <c r="R214" s="350"/>
      <c r="S214" s="350"/>
      <c r="T214" s="350"/>
      <c r="U214" s="350"/>
      <c r="V214" s="350"/>
      <c r="W214" s="350"/>
      <c r="X214" s="350"/>
      <c r="Y214" s="350"/>
      <c r="Z214" s="350"/>
      <c r="AA214" s="350"/>
      <c r="AB214" s="350"/>
      <c r="AC214" s="350"/>
      <c r="AD214" s="350"/>
      <c r="AE214" s="350"/>
      <c r="AF214" s="350"/>
      <c r="AG214" s="350"/>
      <c r="AH214" s="350"/>
      <c r="AI214" s="350"/>
    </row>
    <row r="215" spans="1:35">
      <c r="A215" s="595"/>
      <c r="B215" s="598"/>
      <c r="C215" s="243"/>
      <c r="K215" s="350"/>
      <c r="L215" s="350"/>
      <c r="M215" s="350"/>
      <c r="N215" s="350"/>
      <c r="O215" s="350"/>
      <c r="P215" s="350"/>
      <c r="Q215" s="350"/>
      <c r="R215" s="350"/>
      <c r="S215" s="350"/>
      <c r="T215" s="350"/>
      <c r="U215" s="350"/>
      <c r="V215" s="350"/>
      <c r="W215" s="350"/>
      <c r="X215" s="350"/>
      <c r="Y215" s="350"/>
      <c r="Z215" s="350"/>
      <c r="AA215" s="350"/>
      <c r="AB215" s="350"/>
      <c r="AC215" s="350"/>
      <c r="AD215" s="350"/>
      <c r="AE215" s="350"/>
      <c r="AF215" s="350"/>
      <c r="AG215" s="350"/>
      <c r="AH215" s="350"/>
      <c r="AI215" s="350"/>
    </row>
    <row r="216" spans="1:35">
      <c r="A216" s="595"/>
      <c r="B216" s="598"/>
      <c r="C216" s="243"/>
      <c r="K216" s="350"/>
      <c r="L216" s="350"/>
      <c r="M216" s="350"/>
      <c r="N216" s="350"/>
      <c r="O216" s="350"/>
      <c r="P216" s="350"/>
      <c r="Q216" s="350"/>
      <c r="R216" s="350"/>
      <c r="S216" s="350"/>
      <c r="T216" s="350"/>
      <c r="U216" s="350"/>
      <c r="V216" s="350"/>
      <c r="W216" s="350"/>
      <c r="X216" s="350"/>
      <c r="Y216" s="350"/>
      <c r="Z216" s="350"/>
      <c r="AA216" s="350"/>
      <c r="AB216" s="350"/>
      <c r="AC216" s="350"/>
      <c r="AD216" s="350"/>
      <c r="AE216" s="350"/>
      <c r="AF216" s="350"/>
      <c r="AG216" s="350"/>
      <c r="AH216" s="350"/>
      <c r="AI216" s="350"/>
    </row>
    <row r="217" spans="1:35">
      <c r="A217" s="595"/>
      <c r="B217" s="598"/>
      <c r="C217" s="243"/>
      <c r="K217" s="350"/>
      <c r="L217" s="350"/>
      <c r="M217" s="350"/>
      <c r="N217" s="350"/>
      <c r="O217" s="350"/>
      <c r="P217" s="350"/>
      <c r="Q217" s="350"/>
      <c r="R217" s="350"/>
      <c r="S217" s="350"/>
      <c r="T217" s="350"/>
      <c r="U217" s="350"/>
      <c r="V217" s="350"/>
      <c r="W217" s="350"/>
      <c r="X217" s="350"/>
      <c r="Y217" s="350"/>
      <c r="Z217" s="350"/>
      <c r="AA217" s="350"/>
      <c r="AB217" s="350"/>
      <c r="AC217" s="350"/>
      <c r="AD217" s="350"/>
      <c r="AE217" s="350"/>
      <c r="AF217" s="350"/>
      <c r="AG217" s="350"/>
      <c r="AH217" s="350"/>
      <c r="AI217" s="350"/>
    </row>
    <row r="218" spans="1:35">
      <c r="A218" s="595"/>
      <c r="B218" s="598"/>
      <c r="C218" s="243"/>
      <c r="K218" s="350"/>
      <c r="L218" s="350"/>
      <c r="M218" s="350"/>
      <c r="N218" s="350"/>
      <c r="O218" s="350"/>
      <c r="P218" s="350"/>
      <c r="Q218" s="350"/>
      <c r="R218" s="350"/>
      <c r="S218" s="350"/>
      <c r="T218" s="350"/>
      <c r="U218" s="350"/>
      <c r="V218" s="350"/>
      <c r="W218" s="350"/>
      <c r="X218" s="350"/>
      <c r="Y218" s="350"/>
      <c r="Z218" s="350"/>
      <c r="AA218" s="350"/>
      <c r="AB218" s="350"/>
      <c r="AC218" s="350"/>
      <c r="AD218" s="350"/>
      <c r="AE218" s="350"/>
      <c r="AF218" s="350"/>
      <c r="AG218" s="350"/>
      <c r="AH218" s="350"/>
      <c r="AI218" s="350"/>
    </row>
    <row r="219" spans="1:35">
      <c r="A219" s="595"/>
      <c r="B219" s="598"/>
      <c r="C219" s="243"/>
      <c r="K219" s="350"/>
      <c r="L219" s="350"/>
      <c r="M219" s="350"/>
      <c r="N219" s="350"/>
      <c r="O219" s="350"/>
      <c r="P219" s="350"/>
      <c r="Q219" s="350"/>
      <c r="R219" s="350"/>
      <c r="S219" s="350"/>
      <c r="T219" s="350"/>
      <c r="U219" s="350"/>
      <c r="V219" s="350"/>
      <c r="W219" s="350"/>
      <c r="X219" s="350"/>
      <c r="Y219" s="350"/>
      <c r="Z219" s="350"/>
      <c r="AA219" s="350"/>
      <c r="AB219" s="350"/>
      <c r="AC219" s="350"/>
      <c r="AD219" s="350"/>
      <c r="AE219" s="350"/>
      <c r="AF219" s="350"/>
      <c r="AG219" s="350"/>
      <c r="AH219" s="350"/>
      <c r="AI219" s="350"/>
    </row>
    <row r="220" spans="1:35">
      <c r="A220" s="595"/>
      <c r="B220" s="242"/>
      <c r="C220" s="243"/>
      <c r="K220" s="350"/>
      <c r="L220" s="350"/>
      <c r="M220" s="350"/>
      <c r="N220" s="350"/>
      <c r="O220" s="350"/>
      <c r="P220" s="350"/>
      <c r="Q220" s="350"/>
      <c r="R220" s="350"/>
      <c r="S220" s="350"/>
      <c r="T220" s="350"/>
      <c r="U220" s="350"/>
      <c r="V220" s="350"/>
      <c r="W220" s="350"/>
      <c r="X220" s="350"/>
      <c r="Y220" s="350"/>
      <c r="Z220" s="350"/>
      <c r="AA220" s="350"/>
      <c r="AB220" s="350"/>
      <c r="AC220" s="350"/>
      <c r="AD220" s="350"/>
      <c r="AE220" s="350"/>
      <c r="AF220" s="350"/>
      <c r="AG220" s="350"/>
      <c r="AH220" s="350"/>
      <c r="AI220" s="350"/>
    </row>
    <row r="221" spans="1:35">
      <c r="A221" s="595"/>
      <c r="B221" s="242"/>
      <c r="C221" s="243"/>
      <c r="K221" s="350"/>
      <c r="L221" s="350"/>
      <c r="M221" s="350"/>
      <c r="N221" s="350"/>
      <c r="O221" s="350"/>
      <c r="P221" s="350"/>
      <c r="Q221" s="350"/>
      <c r="R221" s="350"/>
      <c r="S221" s="350"/>
      <c r="T221" s="350"/>
      <c r="U221" s="350"/>
      <c r="V221" s="350"/>
      <c r="W221" s="350"/>
      <c r="X221" s="350"/>
      <c r="Y221" s="350"/>
      <c r="Z221" s="350"/>
      <c r="AA221" s="350"/>
      <c r="AB221" s="350"/>
      <c r="AC221" s="350"/>
      <c r="AD221" s="350"/>
      <c r="AE221" s="350"/>
      <c r="AF221" s="350"/>
      <c r="AG221" s="350"/>
      <c r="AH221" s="350"/>
      <c r="AI221" s="350"/>
    </row>
    <row r="222" spans="1:35">
      <c r="A222" s="595"/>
      <c r="B222" s="242"/>
      <c r="C222" s="243"/>
      <c r="K222" s="350"/>
      <c r="L222" s="350"/>
      <c r="M222" s="350"/>
      <c r="N222" s="350"/>
      <c r="O222" s="350"/>
      <c r="P222" s="350"/>
      <c r="Q222" s="350"/>
      <c r="R222" s="350"/>
      <c r="S222" s="350"/>
      <c r="T222" s="350"/>
      <c r="U222" s="350"/>
      <c r="V222" s="350"/>
      <c r="W222" s="350"/>
      <c r="X222" s="350"/>
      <c r="Y222" s="350"/>
      <c r="Z222" s="350"/>
      <c r="AA222" s="350"/>
      <c r="AB222" s="350"/>
      <c r="AC222" s="350"/>
      <c r="AD222" s="350"/>
      <c r="AE222" s="350"/>
      <c r="AF222" s="350"/>
      <c r="AG222" s="350"/>
      <c r="AH222" s="350"/>
      <c r="AI222" s="350"/>
    </row>
    <row r="223" spans="1:35">
      <c r="A223" s="595"/>
      <c r="B223" s="242"/>
      <c r="C223" s="243"/>
      <c r="K223" s="350"/>
      <c r="L223" s="350"/>
      <c r="M223" s="350"/>
      <c r="N223" s="350"/>
      <c r="O223" s="350"/>
      <c r="P223" s="350"/>
      <c r="Q223" s="350"/>
      <c r="R223" s="350"/>
      <c r="S223" s="350"/>
      <c r="T223" s="350"/>
      <c r="U223" s="350"/>
      <c r="V223" s="350"/>
      <c r="W223" s="350"/>
      <c r="X223" s="350"/>
      <c r="Y223" s="350"/>
      <c r="Z223" s="350"/>
      <c r="AA223" s="350"/>
      <c r="AB223" s="350"/>
      <c r="AC223" s="350"/>
      <c r="AD223" s="350"/>
      <c r="AE223" s="350"/>
      <c r="AF223" s="350"/>
      <c r="AG223" s="350"/>
      <c r="AH223" s="350"/>
      <c r="AI223" s="350"/>
    </row>
    <row r="224" spans="1:35">
      <c r="A224" s="595"/>
      <c r="B224" s="242"/>
      <c r="C224" s="243"/>
      <c r="K224" s="350"/>
      <c r="L224" s="350"/>
      <c r="M224" s="350"/>
      <c r="N224" s="350"/>
      <c r="O224" s="350"/>
      <c r="P224" s="350"/>
      <c r="Q224" s="350"/>
      <c r="R224" s="350"/>
      <c r="S224" s="350"/>
      <c r="T224" s="350"/>
      <c r="U224" s="350"/>
      <c r="V224" s="350"/>
      <c r="W224" s="350"/>
      <c r="X224" s="350"/>
      <c r="Y224" s="350"/>
      <c r="Z224" s="350"/>
      <c r="AA224" s="350"/>
      <c r="AB224" s="350"/>
      <c r="AC224" s="350"/>
      <c r="AD224" s="350"/>
      <c r="AE224" s="350"/>
      <c r="AF224" s="350"/>
      <c r="AG224" s="350"/>
      <c r="AH224" s="350"/>
      <c r="AI224" s="350"/>
    </row>
    <row r="225" spans="1:35">
      <c r="A225" s="595"/>
      <c r="B225" s="242"/>
      <c r="C225" s="243"/>
      <c r="K225" s="350"/>
      <c r="L225" s="350"/>
      <c r="M225" s="350"/>
      <c r="N225" s="350"/>
      <c r="O225" s="350"/>
      <c r="P225" s="350"/>
      <c r="Q225" s="350"/>
      <c r="R225" s="350"/>
      <c r="S225" s="350"/>
      <c r="T225" s="350"/>
      <c r="U225" s="350"/>
      <c r="V225" s="350"/>
      <c r="W225" s="350"/>
      <c r="X225" s="350"/>
      <c r="Y225" s="350"/>
      <c r="Z225" s="350"/>
      <c r="AA225" s="350"/>
      <c r="AB225" s="350"/>
      <c r="AC225" s="350"/>
      <c r="AD225" s="350"/>
      <c r="AE225" s="350"/>
      <c r="AF225" s="350"/>
      <c r="AG225" s="350"/>
      <c r="AH225" s="350"/>
      <c r="AI225" s="350"/>
    </row>
    <row r="226" spans="1:35">
      <c r="A226" s="595"/>
      <c r="B226" s="242"/>
      <c r="C226" s="243"/>
      <c r="K226" s="350"/>
      <c r="L226" s="350"/>
      <c r="M226" s="350"/>
      <c r="N226" s="350"/>
      <c r="O226" s="350"/>
      <c r="P226" s="350"/>
      <c r="Q226" s="350"/>
      <c r="R226" s="350"/>
      <c r="S226" s="350"/>
      <c r="T226" s="350"/>
      <c r="U226" s="350"/>
      <c r="V226" s="350"/>
      <c r="W226" s="350"/>
      <c r="X226" s="350"/>
      <c r="Y226" s="350"/>
      <c r="Z226" s="350"/>
      <c r="AA226" s="350"/>
      <c r="AB226" s="350"/>
      <c r="AC226" s="350"/>
      <c r="AD226" s="350"/>
      <c r="AE226" s="350"/>
      <c r="AF226" s="350"/>
      <c r="AG226" s="350"/>
      <c r="AH226" s="350"/>
      <c r="AI226" s="350"/>
    </row>
    <row r="227" spans="1:35">
      <c r="A227" s="595"/>
      <c r="B227" s="242"/>
      <c r="C227" s="243"/>
      <c r="K227" s="350"/>
      <c r="L227" s="350"/>
      <c r="M227" s="350"/>
      <c r="N227" s="350"/>
      <c r="O227" s="350"/>
      <c r="P227" s="350"/>
      <c r="Q227" s="350"/>
      <c r="R227" s="350"/>
      <c r="S227" s="350"/>
      <c r="T227" s="350"/>
      <c r="U227" s="350"/>
      <c r="V227" s="350"/>
      <c r="W227" s="350"/>
      <c r="X227" s="350"/>
      <c r="Y227" s="350"/>
      <c r="Z227" s="350"/>
      <c r="AA227" s="350"/>
      <c r="AB227" s="350"/>
      <c r="AC227" s="350"/>
      <c r="AD227" s="350"/>
      <c r="AE227" s="350"/>
      <c r="AF227" s="350"/>
      <c r="AG227" s="350"/>
      <c r="AH227" s="350"/>
      <c r="AI227" s="350"/>
    </row>
    <row r="228" spans="1:35">
      <c r="A228" s="595"/>
      <c r="B228" s="242"/>
      <c r="C228" s="243"/>
      <c r="K228" s="350"/>
      <c r="L228" s="350"/>
      <c r="M228" s="350"/>
      <c r="N228" s="350"/>
      <c r="O228" s="350"/>
      <c r="P228" s="350"/>
      <c r="Q228" s="350"/>
      <c r="R228" s="350"/>
      <c r="S228" s="350"/>
      <c r="T228" s="350"/>
      <c r="U228" s="350"/>
      <c r="V228" s="350"/>
      <c r="W228" s="350"/>
      <c r="X228" s="350"/>
      <c r="Y228" s="350"/>
      <c r="Z228" s="350"/>
      <c r="AA228" s="350"/>
      <c r="AB228" s="350"/>
      <c r="AC228" s="350"/>
      <c r="AD228" s="350"/>
      <c r="AE228" s="350"/>
      <c r="AF228" s="350"/>
      <c r="AG228" s="350"/>
      <c r="AH228" s="350"/>
      <c r="AI228" s="350"/>
    </row>
    <row r="229" spans="1:35">
      <c r="A229" s="595"/>
      <c r="B229" s="242"/>
      <c r="C229" s="243"/>
      <c r="K229" s="350"/>
      <c r="L229" s="350"/>
      <c r="M229" s="350"/>
      <c r="N229" s="350"/>
      <c r="O229" s="350"/>
      <c r="P229" s="350"/>
      <c r="Q229" s="350"/>
      <c r="R229" s="350"/>
      <c r="S229" s="350"/>
      <c r="T229" s="350"/>
      <c r="U229" s="350"/>
      <c r="V229" s="350"/>
      <c r="W229" s="350"/>
      <c r="X229" s="350"/>
      <c r="Y229" s="350"/>
      <c r="Z229" s="350"/>
      <c r="AA229" s="350"/>
      <c r="AB229" s="350"/>
      <c r="AC229" s="350"/>
      <c r="AD229" s="350"/>
      <c r="AE229" s="350"/>
      <c r="AF229" s="350"/>
      <c r="AG229" s="350"/>
      <c r="AH229" s="350"/>
      <c r="AI229" s="350"/>
    </row>
    <row r="230" spans="1:35">
      <c r="A230" s="595"/>
      <c r="B230" s="242"/>
      <c r="C230" s="243"/>
      <c r="K230" s="350"/>
      <c r="L230" s="350"/>
      <c r="M230" s="350"/>
      <c r="N230" s="350"/>
      <c r="O230" s="350"/>
      <c r="P230" s="350"/>
      <c r="Q230" s="350"/>
      <c r="R230" s="350"/>
      <c r="S230" s="350"/>
      <c r="T230" s="350"/>
      <c r="U230" s="350"/>
      <c r="V230" s="350"/>
      <c r="W230" s="350"/>
      <c r="X230" s="350"/>
      <c r="Y230" s="350"/>
      <c r="Z230" s="350"/>
      <c r="AA230" s="350"/>
      <c r="AB230" s="350"/>
      <c r="AC230" s="350"/>
      <c r="AD230" s="350"/>
      <c r="AE230" s="350"/>
      <c r="AF230" s="350"/>
      <c r="AG230" s="350"/>
      <c r="AH230" s="350"/>
      <c r="AI230" s="350"/>
    </row>
    <row r="231" spans="1:35">
      <c r="A231" s="595"/>
      <c r="B231" s="242"/>
      <c r="C231" s="243"/>
      <c r="K231" s="350"/>
      <c r="L231" s="350"/>
      <c r="M231" s="350"/>
      <c r="N231" s="350"/>
      <c r="O231" s="350"/>
      <c r="P231" s="350"/>
      <c r="Q231" s="350"/>
      <c r="R231" s="350"/>
      <c r="S231" s="350"/>
      <c r="T231" s="350"/>
      <c r="U231" s="350"/>
      <c r="V231" s="350"/>
      <c r="W231" s="350"/>
      <c r="X231" s="350"/>
      <c r="Y231" s="350"/>
      <c r="Z231" s="350"/>
      <c r="AA231" s="350"/>
      <c r="AB231" s="350"/>
      <c r="AC231" s="350"/>
      <c r="AD231" s="350"/>
      <c r="AE231" s="350"/>
      <c r="AF231" s="350"/>
      <c r="AG231" s="350"/>
      <c r="AH231" s="350"/>
      <c r="AI231" s="350"/>
    </row>
    <row r="232" spans="1:35">
      <c r="A232" s="595"/>
      <c r="B232" s="242"/>
      <c r="C232" s="243"/>
      <c r="K232" s="350"/>
      <c r="L232" s="350"/>
      <c r="M232" s="350"/>
      <c r="N232" s="350"/>
      <c r="O232" s="350"/>
      <c r="P232" s="350"/>
      <c r="Q232" s="350"/>
      <c r="R232" s="350"/>
      <c r="S232" s="350"/>
      <c r="T232" s="350"/>
      <c r="U232" s="350"/>
      <c r="V232" s="350"/>
      <c r="W232" s="350"/>
      <c r="X232" s="350"/>
      <c r="Y232" s="350"/>
      <c r="Z232" s="350"/>
      <c r="AA232" s="350"/>
      <c r="AB232" s="350"/>
      <c r="AC232" s="350"/>
      <c r="AD232" s="350"/>
      <c r="AE232" s="350"/>
      <c r="AF232" s="350"/>
      <c r="AG232" s="350"/>
      <c r="AH232" s="350"/>
      <c r="AI232" s="350"/>
    </row>
    <row r="233" spans="1:35">
      <c r="A233" s="595"/>
      <c r="B233" s="242"/>
      <c r="C233" s="243"/>
      <c r="K233" s="350"/>
      <c r="L233" s="350"/>
      <c r="M233" s="350"/>
      <c r="N233" s="350"/>
      <c r="O233" s="350"/>
      <c r="P233" s="350"/>
      <c r="Q233" s="350"/>
      <c r="R233" s="350"/>
      <c r="S233" s="350"/>
      <c r="T233" s="350"/>
      <c r="U233" s="350"/>
      <c r="V233" s="350"/>
      <c r="W233" s="350"/>
      <c r="X233" s="350"/>
      <c r="Y233" s="350"/>
      <c r="Z233" s="350"/>
      <c r="AA233" s="350"/>
      <c r="AB233" s="350"/>
      <c r="AC233" s="350"/>
      <c r="AD233" s="350"/>
      <c r="AE233" s="350"/>
      <c r="AF233" s="350"/>
      <c r="AG233" s="350"/>
      <c r="AH233" s="350"/>
      <c r="AI233" s="350"/>
    </row>
    <row r="234" spans="1:35">
      <c r="A234" s="595"/>
      <c r="B234" s="242"/>
      <c r="C234" s="243"/>
      <c r="K234" s="350"/>
      <c r="L234" s="350"/>
      <c r="M234" s="350"/>
      <c r="N234" s="350"/>
      <c r="O234" s="350"/>
      <c r="P234" s="350"/>
      <c r="Q234" s="350"/>
      <c r="R234" s="350"/>
      <c r="S234" s="350"/>
      <c r="T234" s="350"/>
      <c r="U234" s="350"/>
      <c r="V234" s="350"/>
      <c r="W234" s="350"/>
      <c r="X234" s="350"/>
      <c r="Y234" s="350"/>
      <c r="Z234" s="350"/>
      <c r="AA234" s="350"/>
      <c r="AB234" s="350"/>
      <c r="AC234" s="350"/>
      <c r="AD234" s="350"/>
      <c r="AE234" s="350"/>
      <c r="AF234" s="350"/>
      <c r="AG234" s="350"/>
      <c r="AH234" s="350"/>
      <c r="AI234" s="350"/>
    </row>
    <row r="235" spans="1:35">
      <c r="A235" s="595"/>
      <c r="B235" s="242"/>
      <c r="C235" s="243"/>
      <c r="K235" s="350"/>
      <c r="L235" s="350"/>
      <c r="M235" s="350"/>
      <c r="N235" s="350"/>
      <c r="O235" s="350"/>
      <c r="P235" s="350"/>
      <c r="Q235" s="350"/>
      <c r="R235" s="350"/>
      <c r="S235" s="350"/>
      <c r="T235" s="350"/>
      <c r="U235" s="350"/>
      <c r="V235" s="350"/>
      <c r="W235" s="350"/>
      <c r="X235" s="350"/>
      <c r="Y235" s="350"/>
      <c r="Z235" s="350"/>
      <c r="AA235" s="350"/>
      <c r="AB235" s="350"/>
      <c r="AC235" s="350"/>
      <c r="AD235" s="350"/>
      <c r="AE235" s="350"/>
      <c r="AF235" s="350"/>
      <c r="AG235" s="350"/>
      <c r="AH235" s="350"/>
      <c r="AI235" s="350"/>
    </row>
    <row r="236" spans="1:35">
      <c r="A236" s="595"/>
      <c r="B236" s="242"/>
      <c r="C236" s="243"/>
      <c r="K236" s="350"/>
      <c r="L236" s="350"/>
      <c r="M236" s="350"/>
      <c r="N236" s="350"/>
      <c r="O236" s="350"/>
      <c r="P236" s="350"/>
      <c r="Q236" s="350"/>
      <c r="R236" s="350"/>
      <c r="S236" s="350"/>
      <c r="T236" s="350"/>
      <c r="U236" s="350"/>
      <c r="V236" s="350"/>
      <c r="W236" s="350"/>
      <c r="X236" s="350"/>
      <c r="Y236" s="350"/>
      <c r="Z236" s="350"/>
      <c r="AA236" s="350"/>
      <c r="AB236" s="350"/>
      <c r="AC236" s="350"/>
      <c r="AD236" s="350"/>
      <c r="AE236" s="350"/>
      <c r="AF236" s="350"/>
      <c r="AG236" s="350"/>
      <c r="AH236" s="350"/>
      <c r="AI236" s="350"/>
    </row>
    <row r="237" spans="1:35">
      <c r="A237" s="595"/>
      <c r="B237" s="242"/>
      <c r="C237" s="243"/>
      <c r="K237" s="350"/>
      <c r="L237" s="350"/>
      <c r="M237" s="350"/>
      <c r="N237" s="350"/>
      <c r="O237" s="350"/>
      <c r="P237" s="350"/>
      <c r="Q237" s="350"/>
      <c r="R237" s="350"/>
      <c r="S237" s="350"/>
      <c r="T237" s="350"/>
      <c r="U237" s="350"/>
      <c r="V237" s="350"/>
      <c r="W237" s="350"/>
      <c r="X237" s="350"/>
      <c r="Y237" s="350"/>
      <c r="Z237" s="350"/>
      <c r="AA237" s="350"/>
      <c r="AB237" s="350"/>
      <c r="AC237" s="350"/>
      <c r="AD237" s="350"/>
      <c r="AE237" s="350"/>
      <c r="AF237" s="350"/>
      <c r="AG237" s="350"/>
      <c r="AH237" s="350"/>
      <c r="AI237" s="350"/>
    </row>
    <row r="238" spans="1:35">
      <c r="A238" s="595"/>
      <c r="B238" s="242"/>
      <c r="C238" s="243"/>
      <c r="K238" s="350"/>
      <c r="L238" s="350"/>
      <c r="M238" s="350"/>
      <c r="N238" s="350"/>
      <c r="O238" s="350"/>
      <c r="P238" s="350"/>
      <c r="Q238" s="350"/>
      <c r="R238" s="350"/>
      <c r="S238" s="350"/>
      <c r="T238" s="350"/>
      <c r="U238" s="350"/>
      <c r="V238" s="350"/>
      <c r="W238" s="350"/>
      <c r="X238" s="350"/>
      <c r="Y238" s="350"/>
      <c r="Z238" s="350"/>
      <c r="AA238" s="350"/>
      <c r="AB238" s="350"/>
      <c r="AC238" s="350"/>
      <c r="AD238" s="350"/>
      <c r="AE238" s="350"/>
      <c r="AF238" s="350"/>
      <c r="AG238" s="350"/>
      <c r="AH238" s="350"/>
      <c r="AI238" s="350"/>
    </row>
    <row r="239" spans="1:35">
      <c r="A239" s="595"/>
      <c r="B239" s="242"/>
      <c r="C239" s="243"/>
      <c r="K239" s="350"/>
      <c r="L239" s="350"/>
      <c r="M239" s="350"/>
      <c r="N239" s="350"/>
      <c r="O239" s="350"/>
      <c r="P239" s="350"/>
      <c r="Q239" s="350"/>
      <c r="R239" s="350"/>
      <c r="S239" s="350"/>
      <c r="T239" s="350"/>
      <c r="U239" s="350"/>
      <c r="V239" s="350"/>
      <c r="W239" s="350"/>
      <c r="X239" s="350"/>
      <c r="Y239" s="350"/>
      <c r="Z239" s="350"/>
      <c r="AA239" s="350"/>
      <c r="AB239" s="350"/>
      <c r="AC239" s="350"/>
      <c r="AD239" s="350"/>
      <c r="AE239" s="350"/>
      <c r="AF239" s="350"/>
      <c r="AG239" s="350"/>
      <c r="AH239" s="350"/>
      <c r="AI239" s="350"/>
    </row>
    <row r="240" spans="1:35">
      <c r="A240" s="595"/>
      <c r="B240" s="242"/>
      <c r="C240" s="243"/>
      <c r="K240" s="350"/>
      <c r="L240" s="350"/>
      <c r="M240" s="350"/>
      <c r="N240" s="350"/>
      <c r="O240" s="350"/>
      <c r="P240" s="350"/>
      <c r="Q240" s="350"/>
      <c r="R240" s="350"/>
      <c r="S240" s="350"/>
      <c r="T240" s="350"/>
      <c r="U240" s="350"/>
      <c r="V240" s="350"/>
      <c r="W240" s="350"/>
      <c r="X240" s="350"/>
      <c r="Y240" s="350"/>
      <c r="Z240" s="350"/>
      <c r="AA240" s="350"/>
      <c r="AB240" s="350"/>
      <c r="AC240" s="350"/>
      <c r="AD240" s="350"/>
      <c r="AE240" s="350"/>
      <c r="AF240" s="350"/>
      <c r="AG240" s="350"/>
      <c r="AH240" s="350"/>
      <c r="AI240" s="350"/>
    </row>
    <row r="241" spans="1:35">
      <c r="A241" s="595"/>
      <c r="B241" s="242"/>
      <c r="C241" s="243"/>
      <c r="K241" s="350"/>
      <c r="L241" s="350"/>
      <c r="M241" s="350"/>
      <c r="N241" s="350"/>
      <c r="O241" s="350"/>
      <c r="P241" s="350"/>
      <c r="Q241" s="350"/>
      <c r="R241" s="350"/>
      <c r="S241" s="350"/>
      <c r="T241" s="350"/>
      <c r="U241" s="350"/>
      <c r="V241" s="350"/>
      <c r="W241" s="350"/>
      <c r="X241" s="350"/>
      <c r="Y241" s="350"/>
      <c r="Z241" s="350"/>
      <c r="AA241" s="350"/>
      <c r="AB241" s="350"/>
      <c r="AC241" s="350"/>
      <c r="AD241" s="350"/>
      <c r="AE241" s="350"/>
      <c r="AF241" s="350"/>
      <c r="AG241" s="350"/>
      <c r="AH241" s="350"/>
      <c r="AI241" s="350"/>
    </row>
    <row r="242" spans="1:35">
      <c r="A242" s="595"/>
      <c r="B242" s="242"/>
      <c r="C242" s="243"/>
      <c r="K242" s="350"/>
      <c r="L242" s="350"/>
      <c r="M242" s="350"/>
      <c r="N242" s="350"/>
      <c r="O242" s="350"/>
      <c r="P242" s="350"/>
      <c r="Q242" s="350"/>
      <c r="R242" s="350"/>
      <c r="S242" s="350"/>
      <c r="T242" s="350"/>
      <c r="U242" s="350"/>
      <c r="V242" s="350"/>
      <c r="W242" s="350"/>
      <c r="X242" s="350"/>
      <c r="Y242" s="350"/>
      <c r="Z242" s="350"/>
      <c r="AA242" s="350"/>
      <c r="AB242" s="350"/>
      <c r="AC242" s="350"/>
      <c r="AD242" s="350"/>
      <c r="AE242" s="350"/>
      <c r="AF242" s="350"/>
      <c r="AG242" s="350"/>
      <c r="AH242" s="350"/>
      <c r="AI242" s="350"/>
    </row>
    <row r="243" spans="1:35">
      <c r="A243" s="595"/>
      <c r="B243" s="242"/>
      <c r="C243" s="243"/>
      <c r="K243" s="350"/>
      <c r="L243" s="350"/>
      <c r="M243" s="350"/>
      <c r="N243" s="350"/>
      <c r="O243" s="350"/>
      <c r="P243" s="350"/>
      <c r="Q243" s="350"/>
      <c r="R243" s="350"/>
      <c r="S243" s="350"/>
      <c r="T243" s="350"/>
      <c r="U243" s="350"/>
      <c r="V243" s="350"/>
      <c r="W243" s="350"/>
      <c r="X243" s="350"/>
      <c r="Y243" s="350"/>
      <c r="Z243" s="350"/>
      <c r="AA243" s="350"/>
      <c r="AB243" s="350"/>
      <c r="AC243" s="350"/>
      <c r="AD243" s="350"/>
      <c r="AE243" s="350"/>
      <c r="AF243" s="350"/>
      <c r="AG243" s="350"/>
      <c r="AH243" s="350"/>
      <c r="AI243" s="350"/>
    </row>
    <row r="244" spans="1:35">
      <c r="A244" s="595"/>
      <c r="B244" s="242"/>
      <c r="C244" s="243"/>
      <c r="K244" s="350"/>
      <c r="L244" s="350"/>
      <c r="M244" s="350"/>
      <c r="N244" s="350"/>
      <c r="O244" s="350"/>
      <c r="P244" s="350"/>
      <c r="Q244" s="350"/>
      <c r="R244" s="350"/>
      <c r="S244" s="350"/>
      <c r="T244" s="350"/>
      <c r="U244" s="350"/>
      <c r="V244" s="350"/>
      <c r="W244" s="350"/>
      <c r="X244" s="350"/>
      <c r="Y244" s="350"/>
      <c r="Z244" s="350"/>
      <c r="AA244" s="350"/>
      <c r="AB244" s="350"/>
      <c r="AC244" s="350"/>
      <c r="AD244" s="350"/>
      <c r="AE244" s="350"/>
      <c r="AF244" s="350"/>
      <c r="AG244" s="350"/>
      <c r="AH244" s="350"/>
      <c r="AI244" s="350"/>
    </row>
    <row r="245" spans="1:35">
      <c r="A245" s="595"/>
      <c r="B245" s="242"/>
      <c r="C245" s="243"/>
      <c r="K245" s="350"/>
      <c r="L245" s="350"/>
      <c r="M245" s="350"/>
      <c r="N245" s="350"/>
      <c r="O245" s="350"/>
      <c r="P245" s="350"/>
      <c r="Q245" s="350"/>
      <c r="R245" s="350"/>
      <c r="S245" s="350"/>
      <c r="T245" s="350"/>
      <c r="U245" s="350"/>
      <c r="V245" s="350"/>
      <c r="W245" s="350"/>
      <c r="X245" s="350"/>
      <c r="Y245" s="350"/>
      <c r="Z245" s="350"/>
      <c r="AA245" s="350"/>
      <c r="AB245" s="350"/>
      <c r="AC245" s="350"/>
      <c r="AD245" s="350"/>
      <c r="AE245" s="350"/>
      <c r="AF245" s="350"/>
      <c r="AG245" s="350"/>
      <c r="AH245" s="350"/>
      <c r="AI245" s="350"/>
    </row>
    <row r="246" spans="1:35">
      <c r="A246" s="595"/>
      <c r="B246" s="242"/>
      <c r="C246" s="243"/>
      <c r="K246" s="350"/>
      <c r="L246" s="350"/>
      <c r="M246" s="350"/>
      <c r="N246" s="350"/>
      <c r="O246" s="350"/>
      <c r="P246" s="350"/>
      <c r="Q246" s="350"/>
      <c r="R246" s="350"/>
      <c r="S246" s="350"/>
      <c r="T246" s="350"/>
      <c r="U246" s="350"/>
      <c r="V246" s="350"/>
      <c r="W246" s="350"/>
      <c r="X246" s="350"/>
      <c r="Y246" s="350"/>
      <c r="Z246" s="350"/>
      <c r="AA246" s="350"/>
      <c r="AB246" s="350"/>
      <c r="AC246" s="350"/>
      <c r="AD246" s="350"/>
      <c r="AE246" s="350"/>
      <c r="AF246" s="350"/>
      <c r="AG246" s="350"/>
      <c r="AH246" s="350"/>
      <c r="AI246" s="350"/>
    </row>
    <row r="247" spans="1:35">
      <c r="A247" s="595"/>
      <c r="B247" s="242"/>
      <c r="C247" s="243"/>
      <c r="K247" s="350"/>
      <c r="L247" s="350"/>
      <c r="M247" s="350"/>
      <c r="N247" s="350"/>
      <c r="O247" s="350"/>
      <c r="P247" s="350"/>
      <c r="Q247" s="350"/>
      <c r="R247" s="350"/>
      <c r="S247" s="350"/>
      <c r="T247" s="350"/>
      <c r="U247" s="350"/>
      <c r="V247" s="350"/>
      <c r="W247" s="350"/>
      <c r="X247" s="350"/>
      <c r="Y247" s="350"/>
      <c r="Z247" s="350"/>
      <c r="AA247" s="350"/>
      <c r="AB247" s="350"/>
      <c r="AC247" s="350"/>
      <c r="AD247" s="350"/>
      <c r="AE247" s="350"/>
      <c r="AF247" s="350"/>
      <c r="AG247" s="350"/>
      <c r="AH247" s="350"/>
      <c r="AI247" s="350"/>
    </row>
    <row r="248" spans="1:35">
      <c r="A248" s="595"/>
      <c r="B248" s="242"/>
      <c r="C248" s="243"/>
      <c r="K248" s="350"/>
      <c r="L248" s="350"/>
      <c r="M248" s="350"/>
      <c r="N248" s="350"/>
      <c r="O248" s="350"/>
      <c r="P248" s="350"/>
      <c r="Q248" s="350"/>
      <c r="R248" s="350"/>
      <c r="S248" s="350"/>
      <c r="T248" s="350"/>
      <c r="U248" s="350"/>
      <c r="V248" s="350"/>
      <c r="W248" s="350"/>
      <c r="X248" s="350"/>
      <c r="Y248" s="350"/>
      <c r="Z248" s="350"/>
      <c r="AA248" s="350"/>
      <c r="AB248" s="350"/>
      <c r="AC248" s="350"/>
      <c r="AD248" s="350"/>
      <c r="AE248" s="350"/>
      <c r="AF248" s="350"/>
      <c r="AG248" s="350"/>
      <c r="AH248" s="350"/>
      <c r="AI248" s="350"/>
    </row>
    <row r="249" spans="1:35">
      <c r="A249" s="595"/>
      <c r="B249" s="242"/>
      <c r="C249" s="243"/>
      <c r="K249" s="350"/>
      <c r="L249" s="350"/>
      <c r="M249" s="350"/>
      <c r="N249" s="350"/>
      <c r="O249" s="350"/>
      <c r="P249" s="350"/>
      <c r="Q249" s="350"/>
      <c r="R249" s="350"/>
      <c r="S249" s="350"/>
      <c r="T249" s="350"/>
      <c r="U249" s="350"/>
      <c r="V249" s="350"/>
      <c r="W249" s="350"/>
      <c r="X249" s="350"/>
      <c r="Y249" s="350"/>
      <c r="Z249" s="350"/>
      <c r="AA249" s="350"/>
      <c r="AB249" s="350"/>
      <c r="AC249" s="350"/>
      <c r="AD249" s="350"/>
      <c r="AE249" s="350"/>
      <c r="AF249" s="350"/>
      <c r="AG249" s="350"/>
      <c r="AH249" s="350"/>
      <c r="AI249" s="350"/>
    </row>
    <row r="250" spans="1:35">
      <c r="A250" s="595"/>
      <c r="B250" s="242"/>
      <c r="C250" s="243"/>
      <c r="K250" s="350"/>
      <c r="L250" s="350"/>
      <c r="M250" s="350"/>
      <c r="N250" s="350"/>
      <c r="O250" s="350"/>
      <c r="P250" s="350"/>
      <c r="Q250" s="350"/>
      <c r="R250" s="350"/>
      <c r="S250" s="350"/>
      <c r="T250" s="350"/>
      <c r="U250" s="350"/>
      <c r="V250" s="350"/>
      <c r="W250" s="350"/>
      <c r="X250" s="350"/>
      <c r="Y250" s="350"/>
      <c r="Z250" s="350"/>
      <c r="AA250" s="350"/>
      <c r="AB250" s="350"/>
      <c r="AC250" s="350"/>
      <c r="AD250" s="350"/>
      <c r="AE250" s="350"/>
      <c r="AF250" s="350"/>
      <c r="AG250" s="350"/>
      <c r="AH250" s="350"/>
      <c r="AI250" s="350"/>
    </row>
    <row r="251" spans="1:35">
      <c r="A251" s="595"/>
      <c r="B251" s="242"/>
      <c r="C251" s="243"/>
      <c r="K251" s="350"/>
      <c r="L251" s="350"/>
      <c r="M251" s="350"/>
      <c r="N251" s="350"/>
      <c r="O251" s="350"/>
      <c r="P251" s="350"/>
      <c r="Q251" s="350"/>
      <c r="R251" s="350"/>
      <c r="S251" s="350"/>
      <c r="T251" s="350"/>
      <c r="U251" s="350"/>
      <c r="V251" s="350"/>
      <c r="W251" s="350"/>
      <c r="X251" s="350"/>
      <c r="Y251" s="350"/>
      <c r="Z251" s="350"/>
      <c r="AA251" s="350"/>
      <c r="AB251" s="350"/>
      <c r="AC251" s="350"/>
      <c r="AD251" s="350"/>
      <c r="AE251" s="350"/>
      <c r="AF251" s="350"/>
      <c r="AG251" s="350"/>
      <c r="AH251" s="350"/>
      <c r="AI251" s="350"/>
    </row>
    <row r="252" spans="1:35">
      <c r="A252" s="595"/>
      <c r="B252" s="242"/>
      <c r="C252" s="243"/>
    </row>
    <row r="253" spans="1:35">
      <c r="A253" s="595"/>
      <c r="B253" s="242"/>
      <c r="C253" s="243"/>
    </row>
    <row r="254" spans="1:35">
      <c r="A254" s="595"/>
      <c r="B254" s="242"/>
      <c r="C254" s="243"/>
    </row>
    <row r="255" spans="1:35">
      <c r="A255" s="595"/>
      <c r="B255" s="242"/>
      <c r="C255" s="243"/>
    </row>
    <row r="256" spans="1:35">
      <c r="A256" s="595"/>
      <c r="B256" s="242"/>
      <c r="C256" s="243"/>
    </row>
    <row r="257" spans="1:3">
      <c r="A257" s="595"/>
      <c r="B257" s="242"/>
      <c r="C257" s="243"/>
    </row>
  </sheetData>
  <mergeCells count="3">
    <mergeCell ref="D4:J4"/>
    <mergeCell ref="G5:I5"/>
    <mergeCell ref="J5:J6"/>
  </mergeCells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Plan9">
    <tabColor theme="9" tint="-0.499984740745262"/>
    <pageSetUpPr fitToPage="1"/>
  </sheetPr>
  <dimension ref="A1:BE204"/>
  <sheetViews>
    <sheetView showZeros="0" zoomScaleNormal="100" zoomScaleSheetLayoutView="100" workbookViewId="0">
      <selection activeCell="E5" sqref="E5"/>
    </sheetView>
  </sheetViews>
  <sheetFormatPr defaultRowHeight="12.75"/>
  <cols>
    <col min="1" max="1" width="2.7109375" style="612" customWidth="1"/>
    <col min="2" max="3" width="2.7109375" customWidth="1"/>
    <col min="4" max="4" width="44.7109375" bestFit="1" customWidth="1"/>
    <col min="5" max="5" width="17.28515625" customWidth="1"/>
    <col min="251" max="251" width="44.7109375" bestFit="1" customWidth="1"/>
    <col min="252" max="260" width="10.7109375" customWidth="1"/>
    <col min="261" max="261" width="17.28515625" customWidth="1"/>
    <col min="507" max="507" width="44.7109375" bestFit="1" customWidth="1"/>
    <col min="508" max="516" width="10.7109375" customWidth="1"/>
    <col min="517" max="517" width="17.28515625" customWidth="1"/>
    <col min="763" max="763" width="44.7109375" bestFit="1" customWidth="1"/>
    <col min="764" max="772" width="10.7109375" customWidth="1"/>
    <col min="773" max="773" width="17.28515625" customWidth="1"/>
    <col min="1019" max="1019" width="44.7109375" bestFit="1" customWidth="1"/>
    <col min="1020" max="1028" width="10.7109375" customWidth="1"/>
    <col min="1029" max="1029" width="17.28515625" customWidth="1"/>
    <col min="1275" max="1275" width="44.7109375" bestFit="1" customWidth="1"/>
    <col min="1276" max="1284" width="10.7109375" customWidth="1"/>
    <col min="1285" max="1285" width="17.28515625" customWidth="1"/>
    <col min="1531" max="1531" width="44.7109375" bestFit="1" customWidth="1"/>
    <col min="1532" max="1540" width="10.7109375" customWidth="1"/>
    <col min="1541" max="1541" width="17.28515625" customWidth="1"/>
    <col min="1787" max="1787" width="44.7109375" bestFit="1" customWidth="1"/>
    <col min="1788" max="1796" width="10.7109375" customWidth="1"/>
    <col min="1797" max="1797" width="17.28515625" customWidth="1"/>
    <col min="2043" max="2043" width="44.7109375" bestFit="1" customWidth="1"/>
    <col min="2044" max="2052" width="10.7109375" customWidth="1"/>
    <col min="2053" max="2053" width="17.28515625" customWidth="1"/>
    <col min="2299" max="2299" width="44.7109375" bestFit="1" customWidth="1"/>
    <col min="2300" max="2308" width="10.7109375" customWidth="1"/>
    <col min="2309" max="2309" width="17.28515625" customWidth="1"/>
    <col min="2555" max="2555" width="44.7109375" bestFit="1" customWidth="1"/>
    <col min="2556" max="2564" width="10.7109375" customWidth="1"/>
    <col min="2565" max="2565" width="17.28515625" customWidth="1"/>
    <col min="2811" max="2811" width="44.7109375" bestFit="1" customWidth="1"/>
    <col min="2812" max="2820" width="10.7109375" customWidth="1"/>
    <col min="2821" max="2821" width="17.28515625" customWidth="1"/>
    <col min="3067" max="3067" width="44.7109375" bestFit="1" customWidth="1"/>
    <col min="3068" max="3076" width="10.7109375" customWidth="1"/>
    <col min="3077" max="3077" width="17.28515625" customWidth="1"/>
    <col min="3323" max="3323" width="44.7109375" bestFit="1" customWidth="1"/>
    <col min="3324" max="3332" width="10.7109375" customWidth="1"/>
    <col min="3333" max="3333" width="17.28515625" customWidth="1"/>
    <col min="3579" max="3579" width="44.7109375" bestFit="1" customWidth="1"/>
    <col min="3580" max="3588" width="10.7109375" customWidth="1"/>
    <col min="3589" max="3589" width="17.28515625" customWidth="1"/>
    <col min="3835" max="3835" width="44.7109375" bestFit="1" customWidth="1"/>
    <col min="3836" max="3844" width="10.7109375" customWidth="1"/>
    <col min="3845" max="3845" width="17.28515625" customWidth="1"/>
    <col min="4091" max="4091" width="44.7109375" bestFit="1" customWidth="1"/>
    <col min="4092" max="4100" width="10.7109375" customWidth="1"/>
    <col min="4101" max="4101" width="17.28515625" customWidth="1"/>
    <col min="4347" max="4347" width="44.7109375" bestFit="1" customWidth="1"/>
    <col min="4348" max="4356" width="10.7109375" customWidth="1"/>
    <col min="4357" max="4357" width="17.28515625" customWidth="1"/>
    <col min="4603" max="4603" width="44.7109375" bestFit="1" customWidth="1"/>
    <col min="4604" max="4612" width="10.7109375" customWidth="1"/>
    <col min="4613" max="4613" width="17.28515625" customWidth="1"/>
    <col min="4859" max="4859" width="44.7109375" bestFit="1" customWidth="1"/>
    <col min="4860" max="4868" width="10.7109375" customWidth="1"/>
    <col min="4869" max="4869" width="17.28515625" customWidth="1"/>
    <col min="5115" max="5115" width="44.7109375" bestFit="1" customWidth="1"/>
    <col min="5116" max="5124" width="10.7109375" customWidth="1"/>
    <col min="5125" max="5125" width="17.28515625" customWidth="1"/>
    <col min="5371" max="5371" width="44.7109375" bestFit="1" customWidth="1"/>
    <col min="5372" max="5380" width="10.7109375" customWidth="1"/>
    <col min="5381" max="5381" width="17.28515625" customWidth="1"/>
    <col min="5627" max="5627" width="44.7109375" bestFit="1" customWidth="1"/>
    <col min="5628" max="5636" width="10.7109375" customWidth="1"/>
    <col min="5637" max="5637" width="17.28515625" customWidth="1"/>
    <col min="5883" max="5883" width="44.7109375" bestFit="1" customWidth="1"/>
    <col min="5884" max="5892" width="10.7109375" customWidth="1"/>
    <col min="5893" max="5893" width="17.28515625" customWidth="1"/>
    <col min="6139" max="6139" width="44.7109375" bestFit="1" customWidth="1"/>
    <col min="6140" max="6148" width="10.7109375" customWidth="1"/>
    <col min="6149" max="6149" width="17.28515625" customWidth="1"/>
    <col min="6395" max="6395" width="44.7109375" bestFit="1" customWidth="1"/>
    <col min="6396" max="6404" width="10.7109375" customWidth="1"/>
    <col min="6405" max="6405" width="17.28515625" customWidth="1"/>
    <col min="6651" max="6651" width="44.7109375" bestFit="1" customWidth="1"/>
    <col min="6652" max="6660" width="10.7109375" customWidth="1"/>
    <col min="6661" max="6661" width="17.28515625" customWidth="1"/>
    <col min="6907" max="6907" width="44.7109375" bestFit="1" customWidth="1"/>
    <col min="6908" max="6916" width="10.7109375" customWidth="1"/>
    <col min="6917" max="6917" width="17.28515625" customWidth="1"/>
    <col min="7163" max="7163" width="44.7109375" bestFit="1" customWidth="1"/>
    <col min="7164" max="7172" width="10.7109375" customWidth="1"/>
    <col min="7173" max="7173" width="17.28515625" customWidth="1"/>
    <col min="7419" max="7419" width="44.7109375" bestFit="1" customWidth="1"/>
    <col min="7420" max="7428" width="10.7109375" customWidth="1"/>
    <col min="7429" max="7429" width="17.28515625" customWidth="1"/>
    <col min="7675" max="7675" width="44.7109375" bestFit="1" customWidth="1"/>
    <col min="7676" max="7684" width="10.7109375" customWidth="1"/>
    <col min="7685" max="7685" width="17.28515625" customWidth="1"/>
    <col min="7931" max="7931" width="44.7109375" bestFit="1" customWidth="1"/>
    <col min="7932" max="7940" width="10.7109375" customWidth="1"/>
    <col min="7941" max="7941" width="17.28515625" customWidth="1"/>
    <col min="8187" max="8187" width="44.7109375" bestFit="1" customWidth="1"/>
    <col min="8188" max="8196" width="10.7109375" customWidth="1"/>
    <col min="8197" max="8197" width="17.28515625" customWidth="1"/>
    <col min="8443" max="8443" width="44.7109375" bestFit="1" customWidth="1"/>
    <col min="8444" max="8452" width="10.7109375" customWidth="1"/>
    <col min="8453" max="8453" width="17.28515625" customWidth="1"/>
    <col min="8699" max="8699" width="44.7109375" bestFit="1" customWidth="1"/>
    <col min="8700" max="8708" width="10.7109375" customWidth="1"/>
    <col min="8709" max="8709" width="17.28515625" customWidth="1"/>
    <col min="8955" max="8955" width="44.7109375" bestFit="1" customWidth="1"/>
    <col min="8956" max="8964" width="10.7109375" customWidth="1"/>
    <col min="8965" max="8965" width="17.28515625" customWidth="1"/>
    <col min="9211" max="9211" width="44.7109375" bestFit="1" customWidth="1"/>
    <col min="9212" max="9220" width="10.7109375" customWidth="1"/>
    <col min="9221" max="9221" width="17.28515625" customWidth="1"/>
    <col min="9467" max="9467" width="44.7109375" bestFit="1" customWidth="1"/>
    <col min="9468" max="9476" width="10.7109375" customWidth="1"/>
    <col min="9477" max="9477" width="17.28515625" customWidth="1"/>
    <col min="9723" max="9723" width="44.7109375" bestFit="1" customWidth="1"/>
    <col min="9724" max="9732" width="10.7109375" customWidth="1"/>
    <col min="9733" max="9733" width="17.28515625" customWidth="1"/>
    <col min="9979" max="9979" width="44.7109375" bestFit="1" customWidth="1"/>
    <col min="9980" max="9988" width="10.7109375" customWidth="1"/>
    <col min="9989" max="9989" width="17.28515625" customWidth="1"/>
    <col min="10235" max="10235" width="44.7109375" bestFit="1" customWidth="1"/>
    <col min="10236" max="10244" width="10.7109375" customWidth="1"/>
    <col min="10245" max="10245" width="17.28515625" customWidth="1"/>
    <col min="10491" max="10491" width="44.7109375" bestFit="1" customWidth="1"/>
    <col min="10492" max="10500" width="10.7109375" customWidth="1"/>
    <col min="10501" max="10501" width="17.28515625" customWidth="1"/>
    <col min="10747" max="10747" width="44.7109375" bestFit="1" customWidth="1"/>
    <col min="10748" max="10756" width="10.7109375" customWidth="1"/>
    <col min="10757" max="10757" width="17.28515625" customWidth="1"/>
    <col min="11003" max="11003" width="44.7109375" bestFit="1" customWidth="1"/>
    <col min="11004" max="11012" width="10.7109375" customWidth="1"/>
    <col min="11013" max="11013" width="17.28515625" customWidth="1"/>
    <col min="11259" max="11259" width="44.7109375" bestFit="1" customWidth="1"/>
    <col min="11260" max="11268" width="10.7109375" customWidth="1"/>
    <col min="11269" max="11269" width="17.28515625" customWidth="1"/>
    <col min="11515" max="11515" width="44.7109375" bestFit="1" customWidth="1"/>
    <col min="11516" max="11524" width="10.7109375" customWidth="1"/>
    <col min="11525" max="11525" width="17.28515625" customWidth="1"/>
    <col min="11771" max="11771" width="44.7109375" bestFit="1" customWidth="1"/>
    <col min="11772" max="11780" width="10.7109375" customWidth="1"/>
    <col min="11781" max="11781" width="17.28515625" customWidth="1"/>
    <col min="12027" max="12027" width="44.7109375" bestFit="1" customWidth="1"/>
    <col min="12028" max="12036" width="10.7109375" customWidth="1"/>
    <col min="12037" max="12037" width="17.28515625" customWidth="1"/>
    <col min="12283" max="12283" width="44.7109375" bestFit="1" customWidth="1"/>
    <col min="12284" max="12292" width="10.7109375" customWidth="1"/>
    <col min="12293" max="12293" width="17.28515625" customWidth="1"/>
    <col min="12539" max="12539" width="44.7109375" bestFit="1" customWidth="1"/>
    <col min="12540" max="12548" width="10.7109375" customWidth="1"/>
    <col min="12549" max="12549" width="17.28515625" customWidth="1"/>
    <col min="12795" max="12795" width="44.7109375" bestFit="1" customWidth="1"/>
    <col min="12796" max="12804" width="10.7109375" customWidth="1"/>
    <col min="12805" max="12805" width="17.28515625" customWidth="1"/>
    <col min="13051" max="13051" width="44.7109375" bestFit="1" customWidth="1"/>
    <col min="13052" max="13060" width="10.7109375" customWidth="1"/>
    <col min="13061" max="13061" width="17.28515625" customWidth="1"/>
    <col min="13307" max="13307" width="44.7109375" bestFit="1" customWidth="1"/>
    <col min="13308" max="13316" width="10.7109375" customWidth="1"/>
    <col min="13317" max="13317" width="17.28515625" customWidth="1"/>
    <col min="13563" max="13563" width="44.7109375" bestFit="1" customWidth="1"/>
    <col min="13564" max="13572" width="10.7109375" customWidth="1"/>
    <col min="13573" max="13573" width="17.28515625" customWidth="1"/>
    <col min="13819" max="13819" width="44.7109375" bestFit="1" customWidth="1"/>
    <col min="13820" max="13828" width="10.7109375" customWidth="1"/>
    <col min="13829" max="13829" width="17.28515625" customWidth="1"/>
    <col min="14075" max="14075" width="44.7109375" bestFit="1" customWidth="1"/>
    <col min="14076" max="14084" width="10.7109375" customWidth="1"/>
    <col min="14085" max="14085" width="17.28515625" customWidth="1"/>
    <col min="14331" max="14331" width="44.7109375" bestFit="1" customWidth="1"/>
    <col min="14332" max="14340" width="10.7109375" customWidth="1"/>
    <col min="14341" max="14341" width="17.28515625" customWidth="1"/>
    <col min="14587" max="14587" width="44.7109375" bestFit="1" customWidth="1"/>
    <col min="14588" max="14596" width="10.7109375" customWidth="1"/>
    <col min="14597" max="14597" width="17.28515625" customWidth="1"/>
    <col min="14843" max="14843" width="44.7109375" bestFit="1" customWidth="1"/>
    <col min="14844" max="14852" width="10.7109375" customWidth="1"/>
    <col min="14853" max="14853" width="17.28515625" customWidth="1"/>
    <col min="15099" max="15099" width="44.7109375" bestFit="1" customWidth="1"/>
    <col min="15100" max="15108" width="10.7109375" customWidth="1"/>
    <col min="15109" max="15109" width="17.28515625" customWidth="1"/>
    <col min="15355" max="15355" width="44.7109375" bestFit="1" customWidth="1"/>
    <col min="15356" max="15364" width="10.7109375" customWidth="1"/>
    <col min="15365" max="15365" width="17.28515625" customWidth="1"/>
    <col min="15611" max="15611" width="44.7109375" bestFit="1" customWidth="1"/>
    <col min="15612" max="15620" width="10.7109375" customWidth="1"/>
    <col min="15621" max="15621" width="17.28515625" customWidth="1"/>
    <col min="15867" max="15867" width="44.7109375" bestFit="1" customWidth="1"/>
    <col min="15868" max="15876" width="10.7109375" customWidth="1"/>
    <col min="15877" max="15877" width="17.28515625" customWidth="1"/>
    <col min="16123" max="16123" width="44.7109375" bestFit="1" customWidth="1"/>
    <col min="16124" max="16132" width="10.7109375" customWidth="1"/>
    <col min="16133" max="16133" width="17.28515625" customWidth="1"/>
  </cols>
  <sheetData>
    <row r="1" spans="1:57" s="612" customFormat="1" ht="13.5" customHeight="1">
      <c r="A1" s="595"/>
      <c r="B1" s="596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  <c r="P1" s="595"/>
      <c r="Q1" s="595"/>
      <c r="R1" s="595"/>
      <c r="S1" s="595"/>
      <c r="T1" s="595"/>
      <c r="U1" s="595"/>
      <c r="V1" s="595"/>
      <c r="W1" s="595"/>
      <c r="X1" s="595"/>
      <c r="Y1" s="595"/>
      <c r="Z1" s="595"/>
      <c r="AA1" s="595"/>
      <c r="AB1" s="595"/>
      <c r="AC1" s="595"/>
      <c r="AD1" s="595"/>
      <c r="AE1" s="595"/>
      <c r="AF1" s="595"/>
      <c r="AG1" s="595"/>
      <c r="AH1" s="595"/>
      <c r="AI1" s="595"/>
      <c r="AJ1" s="595"/>
      <c r="AK1" s="595"/>
      <c r="AL1" s="595"/>
      <c r="AM1" s="595"/>
      <c r="AN1" s="595"/>
      <c r="AO1" s="595"/>
      <c r="AP1" s="595"/>
      <c r="AQ1" s="595"/>
      <c r="AR1" s="595"/>
      <c r="AS1" s="595"/>
      <c r="AT1" s="595"/>
      <c r="AU1" s="595"/>
      <c r="AV1" s="595"/>
      <c r="AW1" s="595"/>
      <c r="AX1" s="595"/>
      <c r="AY1" s="595"/>
      <c r="AZ1" s="595"/>
      <c r="BA1" s="595"/>
      <c r="BB1" s="595"/>
    </row>
    <row r="2" spans="1:57" ht="13.5" customHeight="1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598"/>
      <c r="AI2" s="598"/>
      <c r="AJ2" s="598"/>
      <c r="AK2" s="598"/>
      <c r="AL2" s="598"/>
      <c r="AM2" s="598"/>
      <c r="AN2" s="598"/>
      <c r="AO2" s="598"/>
      <c r="AP2" s="598"/>
      <c r="AQ2" s="598"/>
      <c r="AR2" s="598"/>
      <c r="AS2" s="598"/>
      <c r="AT2" s="598"/>
      <c r="AU2" s="598"/>
      <c r="AV2" s="598"/>
      <c r="AW2" s="598"/>
      <c r="AX2" s="598"/>
      <c r="AY2" s="598"/>
      <c r="AZ2" s="598"/>
      <c r="BA2" s="598"/>
      <c r="BB2" s="598"/>
    </row>
    <row r="3" spans="1:57" ht="13.5" customHeight="1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599"/>
      <c r="AI3" s="599"/>
      <c r="AJ3" s="599"/>
      <c r="AK3" s="599"/>
      <c r="AL3" s="599"/>
      <c r="AM3" s="599"/>
      <c r="AN3" s="599"/>
      <c r="AO3" s="599"/>
      <c r="AP3" s="599"/>
      <c r="AQ3" s="599"/>
      <c r="AR3" s="599"/>
      <c r="AS3" s="599"/>
      <c r="AT3" s="599"/>
      <c r="AU3" s="599"/>
      <c r="AV3" s="599"/>
      <c r="AW3" s="599"/>
      <c r="AX3" s="243"/>
      <c r="AY3" s="243"/>
      <c r="AZ3" s="243"/>
      <c r="BA3" s="243"/>
      <c r="BB3" s="243"/>
    </row>
    <row r="4" spans="1:57" ht="13.5" customHeight="1">
      <c r="A4" s="595"/>
      <c r="B4" s="598"/>
      <c r="C4" s="599"/>
      <c r="D4" s="1029" t="s">
        <v>609</v>
      </c>
      <c r="E4" s="1030">
        <v>500</v>
      </c>
      <c r="F4" s="283"/>
      <c r="G4" s="283"/>
      <c r="H4" s="283"/>
      <c r="I4" s="283"/>
      <c r="J4" s="283"/>
      <c r="K4" s="283"/>
      <c r="L4" s="283"/>
      <c r="M4" s="283"/>
      <c r="N4" s="283"/>
      <c r="O4" s="283"/>
      <c r="P4" s="283"/>
      <c r="Q4" s="283"/>
      <c r="R4" s="283"/>
      <c r="S4" s="283"/>
      <c r="T4" s="283"/>
      <c r="U4" s="283"/>
      <c r="V4" s="283"/>
      <c r="W4" s="283"/>
      <c r="X4" s="283"/>
      <c r="Y4" s="283"/>
      <c r="Z4" s="283"/>
      <c r="AA4" s="283"/>
      <c r="AB4" s="283"/>
      <c r="AC4" s="283"/>
      <c r="AD4" s="283"/>
      <c r="AE4" s="283"/>
      <c r="AF4" s="283"/>
      <c r="AG4" s="283"/>
      <c r="AH4" s="283"/>
      <c r="AI4" s="283"/>
      <c r="AJ4" s="283"/>
      <c r="AK4" s="283"/>
      <c r="AL4" s="283"/>
      <c r="AM4" s="283"/>
      <c r="AN4" s="283"/>
      <c r="AO4" s="283"/>
      <c r="AP4" s="283"/>
      <c r="AQ4" s="283"/>
      <c r="AR4" s="283"/>
      <c r="AS4" s="283"/>
      <c r="AT4" s="283"/>
      <c r="AU4" s="283"/>
      <c r="AV4" s="283"/>
      <c r="AW4" s="283"/>
      <c r="AX4" s="283"/>
      <c r="AY4" s="283"/>
      <c r="AZ4" s="283"/>
      <c r="BA4" s="283"/>
      <c r="BB4" s="283"/>
      <c r="BC4" s="283"/>
      <c r="BD4" s="283"/>
      <c r="BE4" s="283"/>
    </row>
    <row r="5" spans="1:57" ht="13.5" customHeight="1">
      <c r="A5" s="595"/>
      <c r="B5" s="598"/>
      <c r="C5" s="599"/>
      <c r="D5" s="1031" t="s">
        <v>610</v>
      </c>
      <c r="E5" s="1032">
        <f>E4*E6</f>
        <v>2480</v>
      </c>
      <c r="F5" s="283"/>
      <c r="G5" s="283"/>
      <c r="H5" s="283"/>
      <c r="I5" s="283"/>
      <c r="J5" s="283"/>
      <c r="K5" s="283"/>
      <c r="L5" s="283"/>
      <c r="M5" s="283"/>
      <c r="N5" s="283"/>
      <c r="O5" s="283"/>
      <c r="P5" s="283"/>
      <c r="Q5" s="283"/>
      <c r="R5" s="283"/>
      <c r="S5" s="283"/>
      <c r="T5" s="283"/>
      <c r="U5" s="283"/>
      <c r="V5" s="283"/>
      <c r="W5" s="283"/>
      <c r="X5" s="283"/>
      <c r="Y5" s="283"/>
      <c r="Z5" s="283"/>
      <c r="AA5" s="283"/>
      <c r="AB5" s="283"/>
      <c r="AC5" s="283"/>
      <c r="AD5" s="283"/>
      <c r="AE5" s="283"/>
      <c r="AF5" s="283"/>
      <c r="AG5" s="283"/>
      <c r="AH5" s="283"/>
      <c r="AI5" s="283"/>
      <c r="AJ5" s="283"/>
      <c r="AK5" s="283"/>
      <c r="AL5" s="283"/>
      <c r="AM5" s="283"/>
      <c r="AN5" s="283"/>
      <c r="AO5" s="283"/>
      <c r="AP5" s="283"/>
      <c r="AQ5" s="283"/>
      <c r="AR5" s="283"/>
      <c r="AS5" s="283"/>
      <c r="AT5" s="283"/>
      <c r="AU5" s="283"/>
      <c r="AV5" s="283"/>
      <c r="AW5" s="283"/>
      <c r="AX5" s="283"/>
      <c r="AY5" s="283"/>
      <c r="AZ5" s="283"/>
      <c r="BA5" s="283"/>
      <c r="BB5" s="283"/>
      <c r="BC5" s="283"/>
      <c r="BD5" s="283"/>
      <c r="BE5" s="283"/>
    </row>
    <row r="6" spans="1:57" ht="13.5" customHeight="1">
      <c r="A6" s="595"/>
      <c r="B6" s="598"/>
      <c r="C6" s="599"/>
      <c r="D6" s="1031" t="s">
        <v>611</v>
      </c>
      <c r="E6" s="1033">
        <v>4.96</v>
      </c>
      <c r="F6" s="283"/>
      <c r="G6" s="283"/>
      <c r="H6" s="283"/>
      <c r="I6" s="283"/>
      <c r="J6" s="283"/>
      <c r="K6" s="283"/>
      <c r="L6" s="283"/>
      <c r="M6" s="283"/>
      <c r="N6" s="283"/>
      <c r="O6" s="283"/>
      <c r="P6" s="283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3"/>
      <c r="AJ6" s="283"/>
      <c r="AK6" s="283"/>
      <c r="AL6" s="283"/>
      <c r="AM6" s="283"/>
      <c r="AN6" s="283"/>
      <c r="AO6" s="283"/>
      <c r="AP6" s="283"/>
      <c r="AQ6" s="283"/>
      <c r="AR6" s="283"/>
      <c r="AS6" s="283"/>
      <c r="AT6" s="283"/>
      <c r="AU6" s="283"/>
      <c r="AV6" s="283"/>
      <c r="AW6" s="283"/>
      <c r="AX6" s="283"/>
      <c r="AY6" s="283"/>
      <c r="AZ6" s="283"/>
      <c r="BA6" s="283"/>
      <c r="BB6" s="283"/>
      <c r="BC6" s="283"/>
      <c r="BD6" s="283"/>
      <c r="BE6" s="283"/>
    </row>
    <row r="7" spans="1:57" ht="13.5" customHeight="1">
      <c r="A7" s="595"/>
      <c r="B7" s="598"/>
      <c r="C7" s="599"/>
      <c r="D7" s="356"/>
      <c r="E7" s="356"/>
      <c r="F7" s="283"/>
      <c r="G7" s="283"/>
      <c r="H7" s="283"/>
      <c r="I7" s="283"/>
      <c r="J7" s="283"/>
      <c r="K7" s="283"/>
      <c r="L7" s="283"/>
      <c r="M7" s="283"/>
      <c r="N7" s="283"/>
      <c r="O7" s="283"/>
      <c r="P7" s="283"/>
      <c r="Q7" s="283"/>
      <c r="R7" s="283"/>
      <c r="S7" s="283"/>
      <c r="T7" s="283"/>
      <c r="U7" s="283"/>
      <c r="V7" s="283"/>
      <c r="W7" s="283"/>
      <c r="X7" s="283"/>
      <c r="Y7" s="283"/>
      <c r="Z7" s="283"/>
      <c r="AA7" s="283"/>
      <c r="AB7" s="283"/>
      <c r="AC7" s="283"/>
      <c r="AD7" s="283"/>
      <c r="AE7" s="283"/>
      <c r="AF7" s="283"/>
      <c r="AG7" s="283"/>
      <c r="AH7" s="283"/>
      <c r="AI7" s="283"/>
      <c r="AJ7" s="283"/>
      <c r="AK7" s="283"/>
      <c r="AL7" s="283"/>
      <c r="AM7" s="283"/>
      <c r="AN7" s="283"/>
      <c r="AO7" s="283"/>
      <c r="AP7" s="283"/>
      <c r="AQ7" s="283"/>
      <c r="AR7" s="283"/>
      <c r="AS7" s="283"/>
      <c r="AT7" s="283"/>
      <c r="AU7" s="283"/>
      <c r="AV7" s="283"/>
      <c r="AW7" s="283"/>
      <c r="AX7" s="283"/>
      <c r="AY7" s="283"/>
      <c r="AZ7" s="283"/>
      <c r="BA7" s="283"/>
      <c r="BB7" s="283"/>
      <c r="BC7" s="283"/>
      <c r="BD7" s="283"/>
      <c r="BE7" s="283"/>
    </row>
    <row r="8" spans="1:57">
      <c r="A8" s="595"/>
      <c r="B8" s="598"/>
      <c r="C8" s="599"/>
      <c r="D8" s="283"/>
      <c r="E8" s="283"/>
      <c r="F8" s="283"/>
      <c r="G8" s="283"/>
      <c r="H8" s="283"/>
      <c r="I8" s="283"/>
      <c r="J8" s="283"/>
      <c r="K8" s="283"/>
      <c r="L8" s="283"/>
      <c r="M8" s="283"/>
      <c r="N8" s="283"/>
      <c r="O8" s="283"/>
      <c r="P8" s="283"/>
      <c r="Q8" s="283"/>
      <c r="R8" s="283"/>
      <c r="S8" s="283"/>
      <c r="T8" s="283"/>
      <c r="U8" s="283"/>
      <c r="V8" s="283"/>
      <c r="W8" s="283"/>
      <c r="X8" s="283"/>
      <c r="Y8" s="283"/>
      <c r="Z8" s="283"/>
      <c r="AA8" s="283"/>
      <c r="AB8" s="283"/>
      <c r="AC8" s="283"/>
      <c r="AD8" s="283"/>
      <c r="AE8" s="283"/>
      <c r="AF8" s="283"/>
      <c r="AG8" s="283"/>
      <c r="AH8" s="283"/>
      <c r="AI8" s="283"/>
      <c r="AJ8" s="283"/>
      <c r="AK8" s="283"/>
      <c r="AL8" s="283"/>
      <c r="AM8" s="283"/>
      <c r="AN8" s="283"/>
      <c r="AO8" s="283"/>
      <c r="AP8" s="283"/>
      <c r="AQ8" s="283"/>
      <c r="AR8" s="283"/>
      <c r="AS8" s="283"/>
      <c r="AT8" s="283"/>
      <c r="AU8" s="283"/>
      <c r="AV8" s="283"/>
      <c r="AW8" s="283"/>
      <c r="AX8" s="283"/>
      <c r="AY8" s="283"/>
      <c r="AZ8" s="283"/>
      <c r="BA8" s="283"/>
      <c r="BB8" s="283"/>
      <c r="BC8" s="283"/>
      <c r="BD8" s="283"/>
      <c r="BE8" s="283"/>
    </row>
    <row r="9" spans="1:57">
      <c r="A9" s="595"/>
      <c r="B9" s="598"/>
      <c r="C9" s="599"/>
      <c r="D9" s="283"/>
      <c r="E9" s="283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283"/>
      <c r="S9" s="283"/>
      <c r="T9" s="283"/>
      <c r="U9" s="283"/>
      <c r="V9" s="283"/>
      <c r="W9" s="283"/>
      <c r="X9" s="283"/>
      <c r="Y9" s="283"/>
      <c r="Z9" s="283"/>
      <c r="AA9" s="283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3"/>
      <c r="AN9" s="283"/>
      <c r="AO9" s="283"/>
      <c r="AP9" s="283"/>
      <c r="AQ9" s="283"/>
      <c r="AR9" s="283"/>
      <c r="AS9" s="283"/>
      <c r="AT9" s="283"/>
      <c r="AU9" s="283"/>
      <c r="AV9" s="283"/>
      <c r="AW9" s="283"/>
      <c r="AX9" s="283"/>
      <c r="AY9" s="283"/>
      <c r="AZ9" s="283"/>
      <c r="BA9" s="283"/>
      <c r="BB9" s="283"/>
      <c r="BC9" s="283"/>
      <c r="BD9" s="283"/>
      <c r="BE9" s="283"/>
    </row>
    <row r="10" spans="1:57">
      <c r="A10" s="595"/>
      <c r="B10" s="598"/>
      <c r="C10" s="599"/>
      <c r="D10" s="283"/>
      <c r="E10" s="283"/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283"/>
      <c r="S10" s="283"/>
      <c r="T10" s="283"/>
      <c r="U10" s="283"/>
      <c r="V10" s="283"/>
      <c r="W10" s="283"/>
      <c r="X10" s="283"/>
      <c r="Y10" s="283"/>
      <c r="Z10" s="283"/>
      <c r="AA10" s="283"/>
      <c r="AB10" s="283"/>
      <c r="AC10" s="283"/>
      <c r="AD10" s="283"/>
      <c r="AE10" s="283"/>
      <c r="AF10" s="283"/>
      <c r="AG10" s="283"/>
      <c r="AH10" s="283"/>
      <c r="AI10" s="283"/>
      <c r="AJ10" s="283"/>
      <c r="AK10" s="283"/>
      <c r="AL10" s="283"/>
      <c r="AM10" s="283"/>
      <c r="AN10" s="283"/>
      <c r="AO10" s="283"/>
      <c r="AP10" s="283"/>
      <c r="AQ10" s="283"/>
      <c r="AR10" s="283"/>
      <c r="AS10" s="283"/>
      <c r="AT10" s="283"/>
      <c r="AU10" s="283"/>
      <c r="AV10" s="283"/>
      <c r="AW10" s="283"/>
      <c r="AX10" s="283"/>
      <c r="AY10" s="283"/>
      <c r="AZ10" s="283"/>
      <c r="BA10" s="283"/>
      <c r="BB10" s="283"/>
      <c r="BC10" s="283"/>
      <c r="BD10" s="283"/>
      <c r="BE10" s="283"/>
    </row>
    <row r="11" spans="1:57">
      <c r="A11" s="595"/>
      <c r="B11" s="598"/>
      <c r="C11" s="599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  <c r="AB11" s="283"/>
      <c r="AC11" s="283"/>
      <c r="AD11" s="283"/>
      <c r="AE11" s="283"/>
      <c r="AF11" s="283"/>
      <c r="AG11" s="283"/>
      <c r="AH11" s="283"/>
      <c r="AI11" s="283"/>
      <c r="AJ11" s="283"/>
      <c r="AK11" s="283"/>
      <c r="AL11" s="283"/>
      <c r="AM11" s="283"/>
      <c r="AN11" s="283"/>
      <c r="AO11" s="283"/>
      <c r="AP11" s="283"/>
      <c r="AQ11" s="283"/>
      <c r="AR11" s="283"/>
      <c r="AS11" s="283"/>
      <c r="AT11" s="283"/>
      <c r="AU11" s="283"/>
      <c r="AV11" s="283"/>
      <c r="AW11" s="283"/>
      <c r="AX11" s="283"/>
      <c r="AY11" s="283"/>
      <c r="AZ11" s="283"/>
      <c r="BA11" s="283"/>
      <c r="BB11" s="283"/>
      <c r="BC11" s="283"/>
      <c r="BD11" s="283"/>
      <c r="BE11" s="283"/>
    </row>
    <row r="12" spans="1:57">
      <c r="A12" s="595"/>
      <c r="B12" s="598"/>
      <c r="C12" s="599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  <c r="AB12" s="283"/>
      <c r="AC12" s="283"/>
      <c r="AD12" s="283"/>
      <c r="AE12" s="283"/>
      <c r="AF12" s="283"/>
      <c r="AG12" s="283"/>
      <c r="AH12" s="283"/>
      <c r="AI12" s="283"/>
      <c r="AJ12" s="283"/>
      <c r="AK12" s="283"/>
      <c r="AL12" s="283"/>
      <c r="AM12" s="283"/>
      <c r="AN12" s="283"/>
      <c r="AO12" s="283"/>
      <c r="AP12" s="283"/>
      <c r="AQ12" s="283"/>
      <c r="AR12" s="283"/>
      <c r="AS12" s="283"/>
      <c r="AT12" s="283"/>
      <c r="AU12" s="283"/>
      <c r="AV12" s="283"/>
      <c r="AW12" s="283"/>
      <c r="AX12" s="283"/>
      <c r="AY12" s="283"/>
      <c r="AZ12" s="283"/>
      <c r="BA12" s="283"/>
      <c r="BB12" s="283"/>
      <c r="BC12" s="283"/>
      <c r="BD12" s="283"/>
      <c r="BE12" s="283"/>
    </row>
    <row r="13" spans="1:57">
      <c r="A13" s="595"/>
      <c r="B13" s="598"/>
      <c r="C13" s="599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  <c r="AB13" s="283"/>
      <c r="AC13" s="283"/>
      <c r="AD13" s="283"/>
      <c r="AE13" s="283"/>
      <c r="AF13" s="283"/>
      <c r="AG13" s="283"/>
      <c r="AH13" s="283"/>
      <c r="AI13" s="283"/>
      <c r="AJ13" s="283"/>
      <c r="AK13" s="283"/>
      <c r="AL13" s="283"/>
      <c r="AM13" s="283"/>
      <c r="AN13" s="283"/>
      <c r="AO13" s="283"/>
      <c r="AP13" s="283"/>
      <c r="AQ13" s="283"/>
      <c r="AR13" s="283"/>
      <c r="AS13" s="283"/>
      <c r="AT13" s="283"/>
      <c r="AU13" s="283"/>
      <c r="AV13" s="283"/>
      <c r="AW13" s="283"/>
      <c r="AX13" s="283"/>
      <c r="AY13" s="283"/>
      <c r="AZ13" s="283"/>
      <c r="BA13" s="283"/>
      <c r="BB13" s="283"/>
      <c r="BC13" s="283"/>
      <c r="BD13" s="283"/>
      <c r="BE13" s="283"/>
    </row>
    <row r="14" spans="1:57">
      <c r="A14" s="595"/>
      <c r="B14" s="598"/>
      <c r="C14" s="599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  <c r="AB14" s="283"/>
      <c r="AC14" s="283"/>
      <c r="AD14" s="283"/>
      <c r="AE14" s="283"/>
      <c r="AF14" s="283"/>
      <c r="AG14" s="283"/>
      <c r="AH14" s="283"/>
      <c r="AI14" s="283"/>
      <c r="AJ14" s="283"/>
      <c r="AK14" s="283"/>
      <c r="AL14" s="283"/>
      <c r="AM14" s="283"/>
      <c r="AN14" s="283"/>
      <c r="AO14" s="283"/>
      <c r="AP14" s="283"/>
      <c r="AQ14" s="283"/>
      <c r="AR14" s="283"/>
      <c r="AS14" s="283"/>
      <c r="AT14" s="283"/>
      <c r="AU14" s="283"/>
      <c r="AV14" s="283"/>
      <c r="AW14" s="283"/>
      <c r="AX14" s="283"/>
      <c r="AY14" s="283"/>
      <c r="AZ14" s="283"/>
      <c r="BA14" s="283"/>
      <c r="BB14" s="283"/>
      <c r="BC14" s="283"/>
      <c r="BD14" s="283"/>
      <c r="BE14" s="283"/>
    </row>
    <row r="15" spans="1:57">
      <c r="A15" s="595"/>
      <c r="B15" s="598"/>
      <c r="C15" s="599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  <c r="AB15" s="283"/>
      <c r="AC15" s="283"/>
      <c r="AD15" s="283"/>
      <c r="AE15" s="283"/>
      <c r="AF15" s="283"/>
      <c r="AG15" s="283"/>
      <c r="AH15" s="283"/>
      <c r="AI15" s="283"/>
      <c r="AJ15" s="283"/>
      <c r="AK15" s="283"/>
      <c r="AL15" s="283"/>
      <c r="AM15" s="283"/>
      <c r="AN15" s="283"/>
      <c r="AO15" s="283"/>
      <c r="AP15" s="283"/>
      <c r="AQ15" s="283"/>
      <c r="AR15" s="283"/>
      <c r="AS15" s="283"/>
      <c r="AT15" s="283"/>
      <c r="AU15" s="283"/>
      <c r="AV15" s="283"/>
      <c r="AW15" s="283"/>
      <c r="AX15" s="283"/>
      <c r="AY15" s="283"/>
      <c r="AZ15" s="283"/>
      <c r="BA15" s="283"/>
      <c r="BB15" s="283"/>
      <c r="BC15" s="283"/>
      <c r="BD15" s="283"/>
      <c r="BE15" s="283"/>
    </row>
    <row r="16" spans="1:57">
      <c r="A16" s="595"/>
      <c r="B16" s="598"/>
      <c r="C16" s="599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  <c r="AB16" s="283"/>
      <c r="AC16" s="283"/>
      <c r="AD16" s="283"/>
      <c r="AE16" s="283"/>
      <c r="AF16" s="283"/>
      <c r="AG16" s="283"/>
      <c r="AH16" s="283"/>
      <c r="AI16" s="283"/>
      <c r="AJ16" s="283"/>
      <c r="AK16" s="283"/>
      <c r="AL16" s="283"/>
      <c r="AM16" s="283"/>
      <c r="AN16" s="283"/>
      <c r="AO16" s="283"/>
      <c r="AP16" s="283"/>
      <c r="AQ16" s="283"/>
      <c r="AR16" s="283"/>
      <c r="AS16" s="283"/>
      <c r="AT16" s="283"/>
      <c r="AU16" s="283"/>
      <c r="AV16" s="283"/>
      <c r="AW16" s="283"/>
      <c r="AX16" s="283"/>
      <c r="AY16" s="283"/>
      <c r="AZ16" s="283"/>
      <c r="BA16" s="283"/>
      <c r="BB16" s="283"/>
      <c r="BC16" s="283"/>
      <c r="BD16" s="283"/>
      <c r="BE16" s="283"/>
    </row>
    <row r="17" spans="1:57">
      <c r="A17" s="595"/>
      <c r="B17" s="598"/>
      <c r="C17" s="599"/>
      <c r="D17" s="283"/>
      <c r="E17" s="283"/>
      <c r="F17" s="283"/>
      <c r="G17" s="283"/>
      <c r="H17" s="283"/>
      <c r="I17" s="283"/>
      <c r="J17" s="283"/>
      <c r="K17" s="283"/>
      <c r="L17" s="283"/>
      <c r="M17" s="283"/>
      <c r="N17" s="283"/>
      <c r="O17" s="283"/>
      <c r="P17" s="283"/>
      <c r="Q17" s="283"/>
      <c r="R17" s="283"/>
      <c r="S17" s="283"/>
      <c r="T17" s="283"/>
      <c r="U17" s="283"/>
      <c r="V17" s="283"/>
      <c r="W17" s="283"/>
      <c r="X17" s="283"/>
      <c r="Y17" s="283"/>
      <c r="Z17" s="283"/>
      <c r="AA17" s="283"/>
      <c r="AB17" s="283"/>
      <c r="AC17" s="283"/>
      <c r="AD17" s="283"/>
      <c r="AE17" s="283"/>
      <c r="AF17" s="283"/>
      <c r="AG17" s="283"/>
      <c r="AH17" s="283"/>
      <c r="AI17" s="283"/>
      <c r="AJ17" s="283"/>
      <c r="AK17" s="283"/>
      <c r="AL17" s="283"/>
      <c r="AM17" s="283"/>
      <c r="AN17" s="283"/>
      <c r="AO17" s="283"/>
      <c r="AP17" s="283"/>
      <c r="AQ17" s="283"/>
      <c r="AR17" s="283"/>
      <c r="AS17" s="283"/>
      <c r="AT17" s="283"/>
      <c r="AU17" s="283"/>
      <c r="AV17" s="283"/>
      <c r="AW17" s="283"/>
      <c r="AX17" s="283"/>
      <c r="AY17" s="283"/>
      <c r="AZ17" s="283"/>
      <c r="BA17" s="283"/>
      <c r="BB17" s="283"/>
      <c r="BC17" s="283"/>
      <c r="BD17" s="283"/>
      <c r="BE17" s="283"/>
    </row>
    <row r="18" spans="1:57">
      <c r="A18" s="595"/>
      <c r="B18" s="598"/>
      <c r="C18" s="599"/>
      <c r="D18" s="283"/>
      <c r="E18" s="283"/>
      <c r="F18" s="283"/>
      <c r="G18" s="283"/>
      <c r="H18" s="283"/>
      <c r="I18" s="283"/>
      <c r="J18" s="283"/>
      <c r="K18" s="283"/>
      <c r="L18" s="283"/>
      <c r="M18" s="283"/>
      <c r="N18" s="283"/>
      <c r="O18" s="283"/>
      <c r="P18" s="283"/>
      <c r="Q18" s="283"/>
      <c r="R18" s="283"/>
      <c r="S18" s="283"/>
      <c r="T18" s="283"/>
      <c r="U18" s="283"/>
      <c r="V18" s="283"/>
      <c r="W18" s="283"/>
      <c r="X18" s="283"/>
      <c r="Y18" s="283"/>
      <c r="Z18" s="283"/>
      <c r="AA18" s="283"/>
      <c r="AB18" s="283"/>
      <c r="AC18" s="283"/>
      <c r="AD18" s="283"/>
      <c r="AE18" s="283"/>
      <c r="AF18" s="283"/>
      <c r="AG18" s="283"/>
      <c r="AH18" s="283"/>
      <c r="AI18" s="283"/>
      <c r="AJ18" s="283"/>
      <c r="AK18" s="283"/>
      <c r="AL18" s="283"/>
      <c r="AM18" s="283"/>
      <c r="AN18" s="283"/>
      <c r="AO18" s="283"/>
      <c r="AP18" s="283"/>
      <c r="AQ18" s="283"/>
      <c r="AR18" s="283"/>
      <c r="AS18" s="283"/>
      <c r="AT18" s="283"/>
      <c r="AU18" s="283"/>
      <c r="AV18" s="283"/>
      <c r="AW18" s="283"/>
      <c r="AX18" s="283"/>
      <c r="AY18" s="283"/>
      <c r="AZ18" s="283"/>
      <c r="BA18" s="283"/>
      <c r="BB18" s="283"/>
      <c r="BC18" s="283"/>
      <c r="BD18" s="283"/>
      <c r="BE18" s="283"/>
    </row>
    <row r="19" spans="1:57">
      <c r="A19" s="595"/>
      <c r="B19" s="598"/>
      <c r="C19" s="599"/>
      <c r="D19" s="283"/>
      <c r="E19" s="283"/>
      <c r="F19" s="283"/>
      <c r="G19" s="283"/>
      <c r="H19" s="283"/>
      <c r="I19" s="283"/>
      <c r="J19" s="283"/>
      <c r="K19" s="283"/>
      <c r="L19" s="283"/>
      <c r="M19" s="283"/>
      <c r="N19" s="283"/>
      <c r="O19" s="283"/>
      <c r="P19" s="283"/>
      <c r="Q19" s="283"/>
      <c r="R19" s="283"/>
      <c r="S19" s="283"/>
      <c r="T19" s="283"/>
      <c r="U19" s="283"/>
      <c r="V19" s="283"/>
      <c r="W19" s="283"/>
      <c r="X19" s="283"/>
      <c r="Y19" s="283"/>
      <c r="Z19" s="283"/>
      <c r="AA19" s="283"/>
      <c r="AB19" s="283"/>
      <c r="AC19" s="283"/>
      <c r="AD19" s="283"/>
      <c r="AE19" s="283"/>
      <c r="AF19" s="283"/>
      <c r="AG19" s="283"/>
      <c r="AH19" s="283"/>
      <c r="AI19" s="283"/>
      <c r="AJ19" s="283"/>
      <c r="AK19" s="283"/>
      <c r="AL19" s="283"/>
      <c r="AM19" s="283"/>
      <c r="AN19" s="283"/>
      <c r="AO19" s="283"/>
      <c r="AP19" s="283"/>
      <c r="AQ19" s="283"/>
      <c r="AR19" s="283"/>
      <c r="AS19" s="283"/>
      <c r="AT19" s="283"/>
      <c r="AU19" s="283"/>
      <c r="AV19" s="283"/>
      <c r="AW19" s="283"/>
      <c r="AX19" s="283"/>
      <c r="AY19" s="283"/>
      <c r="AZ19" s="283"/>
      <c r="BA19" s="283"/>
      <c r="BB19" s="283"/>
      <c r="BC19" s="283"/>
      <c r="BD19" s="283"/>
      <c r="BE19" s="283"/>
    </row>
    <row r="20" spans="1:57">
      <c r="A20" s="595"/>
      <c r="B20" s="598"/>
      <c r="C20" s="599"/>
      <c r="D20" s="283"/>
      <c r="E20" s="283"/>
      <c r="F20" s="283"/>
      <c r="G20" s="283"/>
      <c r="H20" s="283"/>
      <c r="I20" s="283"/>
      <c r="J20" s="283"/>
      <c r="K20" s="283"/>
      <c r="L20" s="283"/>
      <c r="M20" s="283"/>
      <c r="N20" s="283"/>
      <c r="O20" s="283"/>
      <c r="P20" s="283"/>
      <c r="Q20" s="283"/>
      <c r="R20" s="283"/>
      <c r="S20" s="283"/>
      <c r="T20" s="283"/>
      <c r="U20" s="283"/>
      <c r="V20" s="283"/>
      <c r="W20" s="283"/>
      <c r="X20" s="283"/>
      <c r="Y20" s="283"/>
      <c r="Z20" s="283"/>
      <c r="AA20" s="283"/>
      <c r="AB20" s="283"/>
      <c r="AC20" s="283"/>
      <c r="AD20" s="283"/>
      <c r="AE20" s="283"/>
      <c r="AF20" s="283"/>
      <c r="AG20" s="283"/>
      <c r="AH20" s="283"/>
      <c r="AI20" s="283"/>
      <c r="AJ20" s="283"/>
      <c r="AK20" s="283"/>
      <c r="AL20" s="283"/>
      <c r="AM20" s="283"/>
      <c r="AN20" s="283"/>
      <c r="AO20" s="283"/>
      <c r="AP20" s="283"/>
      <c r="AQ20" s="283"/>
      <c r="AR20" s="283"/>
      <c r="AS20" s="283"/>
      <c r="AT20" s="283"/>
      <c r="AU20" s="283"/>
      <c r="AV20" s="283"/>
      <c r="AW20" s="283"/>
      <c r="AX20" s="283"/>
      <c r="AY20" s="283"/>
      <c r="AZ20" s="283"/>
      <c r="BA20" s="283"/>
      <c r="BB20" s="283"/>
      <c r="BC20" s="283"/>
      <c r="BD20" s="283"/>
      <c r="BE20" s="283"/>
    </row>
    <row r="21" spans="1:57">
      <c r="A21" s="595"/>
      <c r="B21" s="598"/>
      <c r="C21" s="599"/>
      <c r="D21" s="283"/>
      <c r="E21" s="283"/>
      <c r="F21" s="283"/>
      <c r="G21" s="283"/>
      <c r="H21" s="283"/>
      <c r="I21" s="283"/>
      <c r="J21" s="283"/>
      <c r="K21" s="283"/>
      <c r="L21" s="283"/>
      <c r="M21" s="283"/>
      <c r="N21" s="283"/>
      <c r="O21" s="283"/>
      <c r="P21" s="283"/>
      <c r="Q21" s="283"/>
      <c r="R21" s="283"/>
      <c r="S21" s="283"/>
      <c r="T21" s="283"/>
      <c r="U21" s="283"/>
      <c r="V21" s="283"/>
      <c r="W21" s="283"/>
      <c r="X21" s="283"/>
      <c r="Y21" s="283"/>
      <c r="Z21" s="283"/>
      <c r="AA21" s="283"/>
      <c r="AB21" s="283"/>
      <c r="AC21" s="283"/>
      <c r="AD21" s="283"/>
      <c r="AE21" s="283"/>
      <c r="AF21" s="283"/>
      <c r="AG21" s="283"/>
      <c r="AH21" s="283"/>
      <c r="AI21" s="283"/>
      <c r="AJ21" s="283"/>
      <c r="AK21" s="283"/>
      <c r="AL21" s="283"/>
      <c r="AM21" s="283"/>
      <c r="AN21" s="283"/>
      <c r="AO21" s="283"/>
      <c r="AP21" s="283"/>
      <c r="AQ21" s="283"/>
      <c r="AR21" s="283"/>
      <c r="AS21" s="283"/>
      <c r="AT21" s="283"/>
      <c r="AU21" s="283"/>
      <c r="AV21" s="283"/>
      <c r="AW21" s="283"/>
      <c r="AX21" s="283"/>
      <c r="AY21" s="283"/>
      <c r="AZ21" s="283"/>
      <c r="BA21" s="283"/>
      <c r="BB21" s="283"/>
      <c r="BC21" s="283"/>
      <c r="BD21" s="283"/>
      <c r="BE21" s="283"/>
    </row>
    <row r="22" spans="1:57">
      <c r="A22" s="595"/>
      <c r="B22" s="598"/>
      <c r="C22" s="599"/>
      <c r="D22" s="283"/>
      <c r="E22" s="283"/>
      <c r="F22" s="283"/>
      <c r="G22" s="283"/>
      <c r="H22" s="283"/>
      <c r="I22" s="283"/>
      <c r="J22" s="283"/>
      <c r="K22" s="283"/>
      <c r="L22" s="283"/>
      <c r="M22" s="283"/>
      <c r="N22" s="283"/>
      <c r="O22" s="283"/>
      <c r="P22" s="283"/>
      <c r="Q22" s="283"/>
      <c r="R22" s="283"/>
      <c r="S22" s="283"/>
      <c r="T22" s="283"/>
      <c r="U22" s="283"/>
      <c r="V22" s="283"/>
      <c r="W22" s="283"/>
      <c r="X22" s="283"/>
      <c r="Y22" s="283"/>
      <c r="Z22" s="283"/>
      <c r="AA22" s="283"/>
      <c r="AB22" s="283"/>
      <c r="AC22" s="283"/>
      <c r="AD22" s="283"/>
      <c r="AE22" s="283"/>
      <c r="AF22" s="283"/>
      <c r="AG22" s="283"/>
      <c r="AH22" s="283"/>
      <c r="AI22" s="283"/>
      <c r="AJ22" s="283"/>
      <c r="AK22" s="283"/>
      <c r="AL22" s="283"/>
      <c r="AM22" s="283"/>
      <c r="AN22" s="283"/>
      <c r="AO22" s="283"/>
      <c r="AP22" s="283"/>
      <c r="AQ22" s="283"/>
      <c r="AR22" s="283"/>
      <c r="AS22" s="283"/>
      <c r="AT22" s="283"/>
      <c r="AU22" s="283"/>
      <c r="AV22" s="283"/>
      <c r="AW22" s="283"/>
      <c r="AX22" s="283"/>
      <c r="AY22" s="283"/>
      <c r="AZ22" s="283"/>
      <c r="BA22" s="283"/>
      <c r="BB22" s="283"/>
      <c r="BC22" s="283"/>
      <c r="BD22" s="283"/>
      <c r="BE22" s="283"/>
    </row>
    <row r="23" spans="1:57">
      <c r="A23" s="595"/>
      <c r="B23" s="598"/>
      <c r="C23" s="599"/>
      <c r="D23" s="283"/>
      <c r="E23" s="283"/>
      <c r="F23" s="283"/>
      <c r="G23" s="283"/>
      <c r="H23" s="283"/>
      <c r="I23" s="283"/>
      <c r="J23" s="283"/>
      <c r="K23" s="283"/>
      <c r="L23" s="283"/>
      <c r="M23" s="283"/>
      <c r="N23" s="283"/>
      <c r="O23" s="283"/>
      <c r="P23" s="283"/>
      <c r="Q23" s="283"/>
      <c r="R23" s="283"/>
      <c r="S23" s="283"/>
      <c r="T23" s="283"/>
      <c r="U23" s="283"/>
      <c r="V23" s="283"/>
      <c r="W23" s="283"/>
      <c r="X23" s="283"/>
      <c r="Y23" s="283"/>
      <c r="Z23" s="283"/>
      <c r="AA23" s="283"/>
      <c r="AB23" s="283"/>
      <c r="AC23" s="283"/>
      <c r="AD23" s="283"/>
      <c r="AE23" s="283"/>
      <c r="AF23" s="283"/>
      <c r="AG23" s="283"/>
      <c r="AH23" s="283"/>
      <c r="AI23" s="283"/>
      <c r="AJ23" s="283"/>
      <c r="AK23" s="283"/>
      <c r="AL23" s="283"/>
      <c r="AM23" s="283"/>
      <c r="AN23" s="283"/>
      <c r="AO23" s="283"/>
      <c r="AP23" s="283"/>
      <c r="AQ23" s="283"/>
      <c r="AR23" s="283"/>
      <c r="AS23" s="283"/>
      <c r="AT23" s="283"/>
      <c r="AU23" s="283"/>
      <c r="AV23" s="283"/>
      <c r="AW23" s="283"/>
      <c r="AX23" s="283"/>
      <c r="AY23" s="283"/>
      <c r="AZ23" s="283"/>
      <c r="BA23" s="283"/>
      <c r="BB23" s="283"/>
      <c r="BC23" s="283"/>
      <c r="BD23" s="283"/>
      <c r="BE23" s="283"/>
    </row>
    <row r="24" spans="1:57">
      <c r="A24" s="595"/>
      <c r="B24" s="598"/>
      <c r="C24" s="599"/>
      <c r="D24" s="283"/>
      <c r="E24" s="283"/>
      <c r="F24" s="283"/>
      <c r="G24" s="283"/>
      <c r="H24" s="283"/>
      <c r="I24" s="283"/>
      <c r="J24" s="283"/>
      <c r="K24" s="283"/>
      <c r="L24" s="283"/>
      <c r="M24" s="283"/>
      <c r="N24" s="283"/>
      <c r="O24" s="283"/>
      <c r="P24" s="283"/>
      <c r="Q24" s="283"/>
      <c r="R24" s="283"/>
      <c r="S24" s="283"/>
      <c r="T24" s="283"/>
      <c r="U24" s="283"/>
      <c r="V24" s="283"/>
      <c r="W24" s="283"/>
      <c r="X24" s="283"/>
      <c r="Y24" s="283"/>
      <c r="Z24" s="283"/>
      <c r="AA24" s="283"/>
      <c r="AB24" s="283"/>
      <c r="AC24" s="283"/>
      <c r="AD24" s="283"/>
      <c r="AE24" s="283"/>
      <c r="AF24" s="283"/>
      <c r="AG24" s="283"/>
      <c r="AH24" s="283"/>
      <c r="AI24" s="283"/>
      <c r="AJ24" s="283"/>
      <c r="AK24" s="283"/>
      <c r="AL24" s="283"/>
      <c r="AM24" s="283"/>
      <c r="AN24" s="283"/>
      <c r="AO24" s="283"/>
      <c r="AP24" s="283"/>
      <c r="AQ24" s="283"/>
      <c r="AR24" s="283"/>
      <c r="AS24" s="283"/>
      <c r="AT24" s="283"/>
      <c r="AU24" s="283"/>
      <c r="AV24" s="283"/>
      <c r="AW24" s="283"/>
      <c r="AX24" s="283"/>
      <c r="AY24" s="283"/>
      <c r="AZ24" s="283"/>
      <c r="BA24" s="283"/>
      <c r="BB24" s="283"/>
      <c r="BC24" s="283"/>
      <c r="BD24" s="283"/>
      <c r="BE24" s="283"/>
    </row>
    <row r="25" spans="1:57">
      <c r="A25" s="595"/>
      <c r="B25" s="598"/>
      <c r="C25" s="599"/>
      <c r="D25" s="283"/>
      <c r="E25" s="283"/>
      <c r="F25" s="283"/>
      <c r="G25" s="283"/>
      <c r="H25" s="283"/>
      <c r="I25" s="283"/>
      <c r="J25" s="283"/>
      <c r="K25" s="283"/>
      <c r="L25" s="283"/>
      <c r="M25" s="283"/>
      <c r="N25" s="283"/>
      <c r="O25" s="283"/>
      <c r="P25" s="283"/>
      <c r="Q25" s="283"/>
      <c r="R25" s="283"/>
      <c r="S25" s="283"/>
      <c r="T25" s="283"/>
      <c r="U25" s="283"/>
      <c r="V25" s="283"/>
      <c r="W25" s="283"/>
      <c r="X25" s="283"/>
      <c r="Y25" s="283"/>
      <c r="Z25" s="283"/>
      <c r="AA25" s="283"/>
      <c r="AB25" s="283"/>
      <c r="AC25" s="283"/>
      <c r="AD25" s="283"/>
      <c r="AE25" s="283"/>
      <c r="AF25" s="283"/>
      <c r="AG25" s="283"/>
      <c r="AH25" s="283"/>
      <c r="AI25" s="283"/>
      <c r="AJ25" s="283"/>
      <c r="AK25" s="283"/>
      <c r="AL25" s="283"/>
      <c r="AM25" s="283"/>
      <c r="AN25" s="283"/>
      <c r="AO25" s="283"/>
      <c r="AP25" s="283"/>
      <c r="AQ25" s="283"/>
      <c r="AR25" s="283"/>
      <c r="AS25" s="283"/>
      <c r="AT25" s="283"/>
      <c r="AU25" s="283"/>
      <c r="AV25" s="283"/>
      <c r="AW25" s="283"/>
      <c r="AX25" s="283"/>
      <c r="AY25" s="283"/>
      <c r="AZ25" s="283"/>
      <c r="BA25" s="283"/>
      <c r="BB25" s="283"/>
      <c r="BC25" s="283"/>
      <c r="BD25" s="283"/>
      <c r="BE25" s="283"/>
    </row>
    <row r="26" spans="1:57">
      <c r="A26" s="595"/>
      <c r="B26" s="598"/>
      <c r="C26" s="599"/>
      <c r="D26" s="283"/>
      <c r="E26" s="283"/>
      <c r="F26" s="283"/>
      <c r="G26" s="283"/>
      <c r="H26" s="283"/>
      <c r="I26" s="283"/>
      <c r="J26" s="283"/>
      <c r="K26" s="283"/>
      <c r="L26" s="283"/>
      <c r="M26" s="283"/>
      <c r="N26" s="283"/>
      <c r="O26" s="283"/>
      <c r="P26" s="283"/>
      <c r="Q26" s="283"/>
      <c r="R26" s="283"/>
      <c r="S26" s="283"/>
      <c r="T26" s="283"/>
      <c r="U26" s="283"/>
      <c r="V26" s="283"/>
      <c r="W26" s="283"/>
      <c r="X26" s="283"/>
      <c r="Y26" s="283"/>
      <c r="Z26" s="283"/>
      <c r="AA26" s="283"/>
      <c r="AB26" s="283"/>
      <c r="AC26" s="283"/>
      <c r="AD26" s="283"/>
      <c r="AE26" s="283"/>
      <c r="AF26" s="283"/>
      <c r="AG26" s="283"/>
      <c r="AH26" s="283"/>
      <c r="AI26" s="283"/>
      <c r="AJ26" s="283"/>
      <c r="AK26" s="283"/>
      <c r="AL26" s="283"/>
      <c r="AM26" s="283"/>
      <c r="AN26" s="283"/>
      <c r="AO26" s="283"/>
      <c r="AP26" s="283"/>
      <c r="AQ26" s="283"/>
      <c r="AR26" s="283"/>
      <c r="AS26" s="283"/>
      <c r="AT26" s="283"/>
      <c r="AU26" s="283"/>
      <c r="AV26" s="283"/>
      <c r="AW26" s="283"/>
      <c r="AX26" s="283"/>
      <c r="AY26" s="283"/>
      <c r="AZ26" s="283"/>
      <c r="BA26" s="283"/>
      <c r="BB26" s="283"/>
      <c r="BC26" s="283"/>
      <c r="BD26" s="283"/>
      <c r="BE26" s="283"/>
    </row>
    <row r="27" spans="1:57">
      <c r="A27" s="595"/>
      <c r="B27" s="598"/>
      <c r="C27" s="599"/>
      <c r="D27" s="283"/>
      <c r="E27" s="283"/>
      <c r="F27" s="283"/>
      <c r="G27" s="283"/>
      <c r="H27" s="283"/>
      <c r="I27" s="283"/>
      <c r="J27" s="283"/>
      <c r="K27" s="283"/>
      <c r="L27" s="283"/>
      <c r="M27" s="283"/>
      <c r="N27" s="283"/>
      <c r="O27" s="283"/>
      <c r="P27" s="283"/>
      <c r="Q27" s="283"/>
      <c r="R27" s="283"/>
      <c r="S27" s="283"/>
      <c r="T27" s="283"/>
      <c r="U27" s="283"/>
      <c r="V27" s="283"/>
      <c r="W27" s="283"/>
      <c r="X27" s="283"/>
      <c r="Y27" s="283"/>
      <c r="Z27" s="283"/>
      <c r="AA27" s="283"/>
      <c r="AB27" s="283"/>
      <c r="AC27" s="283"/>
      <c r="AD27" s="283"/>
      <c r="AE27" s="283"/>
      <c r="AF27" s="283"/>
      <c r="AG27" s="283"/>
      <c r="AH27" s="283"/>
      <c r="AI27" s="283"/>
      <c r="AJ27" s="283"/>
      <c r="AK27" s="283"/>
      <c r="AL27" s="283"/>
      <c r="AM27" s="283"/>
      <c r="AN27" s="283"/>
      <c r="AO27" s="283"/>
      <c r="AP27" s="283"/>
      <c r="AQ27" s="283"/>
      <c r="AR27" s="283"/>
      <c r="AS27" s="283"/>
      <c r="AT27" s="283"/>
      <c r="AU27" s="283"/>
      <c r="AV27" s="283"/>
      <c r="AW27" s="283"/>
      <c r="AX27" s="283"/>
      <c r="AY27" s="283"/>
      <c r="AZ27" s="283"/>
      <c r="BA27" s="283"/>
      <c r="BB27" s="283"/>
      <c r="BC27" s="283"/>
      <c r="BD27" s="283"/>
      <c r="BE27" s="283"/>
    </row>
    <row r="28" spans="1:57">
      <c r="A28" s="595"/>
      <c r="B28" s="598"/>
      <c r="C28" s="599"/>
      <c r="D28" s="283"/>
      <c r="E28" s="283"/>
      <c r="F28" s="283"/>
      <c r="G28" s="283"/>
      <c r="H28" s="283"/>
      <c r="I28" s="283"/>
      <c r="J28" s="283"/>
      <c r="K28" s="283"/>
      <c r="L28" s="283"/>
      <c r="M28" s="283"/>
      <c r="N28" s="283"/>
      <c r="O28" s="283"/>
      <c r="P28" s="283"/>
      <c r="Q28" s="283"/>
      <c r="R28" s="283"/>
      <c r="S28" s="283"/>
      <c r="T28" s="283"/>
      <c r="U28" s="283"/>
      <c r="V28" s="283"/>
      <c r="W28" s="283"/>
      <c r="X28" s="283"/>
      <c r="Y28" s="283"/>
      <c r="Z28" s="283"/>
      <c r="AA28" s="283"/>
      <c r="AB28" s="283"/>
      <c r="AC28" s="283"/>
      <c r="AD28" s="283"/>
      <c r="AE28" s="283"/>
      <c r="AF28" s="283"/>
      <c r="AG28" s="283"/>
      <c r="AH28" s="283"/>
      <c r="AI28" s="283"/>
      <c r="AJ28" s="283"/>
      <c r="AK28" s="283"/>
      <c r="AL28" s="283"/>
      <c r="AM28" s="283"/>
      <c r="AN28" s="283"/>
      <c r="AO28" s="283"/>
      <c r="AP28" s="283"/>
      <c r="AQ28" s="283"/>
      <c r="AR28" s="283"/>
      <c r="AS28" s="283"/>
      <c r="AT28" s="283"/>
      <c r="AU28" s="283"/>
      <c r="AV28" s="283"/>
      <c r="AW28" s="283"/>
      <c r="AX28" s="283"/>
      <c r="AY28" s="283"/>
      <c r="AZ28" s="283"/>
      <c r="BA28" s="283"/>
      <c r="BB28" s="283"/>
      <c r="BC28" s="283"/>
      <c r="BD28" s="283"/>
      <c r="BE28" s="283"/>
    </row>
    <row r="29" spans="1:57">
      <c r="A29" s="595"/>
      <c r="B29" s="598"/>
      <c r="C29" s="599"/>
      <c r="D29" s="283"/>
      <c r="E29" s="283"/>
      <c r="F29" s="283"/>
      <c r="G29" s="283"/>
      <c r="H29" s="283"/>
      <c r="I29" s="283"/>
      <c r="J29" s="283"/>
      <c r="K29" s="283"/>
      <c r="L29" s="283"/>
      <c r="M29" s="283"/>
      <c r="N29" s="283"/>
      <c r="O29" s="283"/>
      <c r="P29" s="283"/>
      <c r="Q29" s="283"/>
      <c r="R29" s="283"/>
      <c r="S29" s="283"/>
      <c r="T29" s="283"/>
      <c r="U29" s="283"/>
      <c r="V29" s="283"/>
      <c r="W29" s="283"/>
      <c r="X29" s="283"/>
      <c r="Y29" s="283"/>
      <c r="Z29" s="283"/>
      <c r="AA29" s="283"/>
      <c r="AB29" s="283"/>
      <c r="AC29" s="283"/>
      <c r="AD29" s="283"/>
      <c r="AE29" s="283"/>
      <c r="AF29" s="283"/>
      <c r="AG29" s="283"/>
      <c r="AH29" s="283"/>
      <c r="AI29" s="283"/>
      <c r="AJ29" s="283"/>
      <c r="AK29" s="283"/>
      <c r="AL29" s="283"/>
      <c r="AM29" s="283"/>
      <c r="AN29" s="283"/>
      <c r="AO29" s="283"/>
      <c r="AP29" s="283"/>
      <c r="AQ29" s="283"/>
      <c r="AR29" s="283"/>
      <c r="AS29" s="283"/>
      <c r="AT29" s="283"/>
      <c r="AU29" s="283"/>
      <c r="AV29" s="283"/>
      <c r="AW29" s="283"/>
      <c r="AX29" s="283"/>
      <c r="AY29" s="283"/>
      <c r="AZ29" s="283"/>
      <c r="BA29" s="283"/>
      <c r="BB29" s="283"/>
      <c r="BC29" s="283"/>
      <c r="BD29" s="283"/>
      <c r="BE29" s="283"/>
    </row>
    <row r="30" spans="1:57">
      <c r="A30" s="595"/>
      <c r="B30" s="598"/>
      <c r="C30" s="599"/>
      <c r="D30" s="283"/>
      <c r="E30" s="283"/>
      <c r="F30" s="283"/>
      <c r="G30" s="283"/>
      <c r="H30" s="283"/>
      <c r="I30" s="283"/>
      <c r="J30" s="283"/>
      <c r="K30" s="283"/>
      <c r="L30" s="283"/>
      <c r="M30" s="283"/>
      <c r="N30" s="283"/>
      <c r="O30" s="283"/>
      <c r="P30" s="283"/>
      <c r="Q30" s="283"/>
      <c r="R30" s="283"/>
      <c r="S30" s="283"/>
      <c r="T30" s="283"/>
      <c r="U30" s="283"/>
      <c r="V30" s="283"/>
      <c r="W30" s="283"/>
      <c r="X30" s="283"/>
      <c r="Y30" s="283"/>
      <c r="Z30" s="283"/>
      <c r="AA30" s="283"/>
      <c r="AB30" s="283"/>
      <c r="AC30" s="283"/>
      <c r="AD30" s="283"/>
      <c r="AE30" s="283"/>
      <c r="AF30" s="283"/>
      <c r="AG30" s="283"/>
      <c r="AH30" s="283"/>
      <c r="AI30" s="283"/>
      <c r="AJ30" s="283"/>
      <c r="AK30" s="283"/>
      <c r="AL30" s="283"/>
      <c r="AM30" s="283"/>
      <c r="AN30" s="283"/>
      <c r="AO30" s="283"/>
      <c r="AP30" s="283"/>
      <c r="AQ30" s="283"/>
      <c r="AR30" s="283"/>
      <c r="AS30" s="283"/>
      <c r="AT30" s="283"/>
      <c r="AU30" s="283"/>
      <c r="AV30" s="283"/>
      <c r="AW30" s="283"/>
      <c r="AX30" s="283"/>
      <c r="AY30" s="283"/>
      <c r="AZ30" s="283"/>
      <c r="BA30" s="283"/>
      <c r="BB30" s="283"/>
      <c r="BC30" s="283"/>
      <c r="BD30" s="283"/>
      <c r="BE30" s="283"/>
    </row>
    <row r="31" spans="1:57">
      <c r="A31" s="595"/>
      <c r="B31" s="598"/>
      <c r="C31" s="599"/>
      <c r="D31" s="283"/>
      <c r="E31" s="283"/>
      <c r="F31" s="283"/>
      <c r="G31" s="283"/>
      <c r="H31" s="283"/>
      <c r="I31" s="283"/>
      <c r="J31" s="283"/>
      <c r="K31" s="283"/>
      <c r="L31" s="283"/>
      <c r="M31" s="283"/>
      <c r="N31" s="283"/>
      <c r="O31" s="283"/>
      <c r="P31" s="283"/>
      <c r="Q31" s="283"/>
      <c r="R31" s="283"/>
      <c r="S31" s="283"/>
      <c r="T31" s="283"/>
      <c r="U31" s="283"/>
      <c r="V31" s="283"/>
      <c r="W31" s="283"/>
      <c r="X31" s="283"/>
      <c r="Y31" s="283"/>
      <c r="Z31" s="283"/>
      <c r="AA31" s="283"/>
      <c r="AB31" s="283"/>
      <c r="AC31" s="283"/>
      <c r="AD31" s="283"/>
      <c r="AE31" s="283"/>
      <c r="AF31" s="283"/>
      <c r="AG31" s="283"/>
      <c r="AH31" s="283"/>
      <c r="AI31" s="283"/>
      <c r="AJ31" s="283"/>
      <c r="AK31" s="283"/>
      <c r="AL31" s="283"/>
      <c r="AM31" s="283"/>
      <c r="AN31" s="283"/>
      <c r="AO31" s="283"/>
      <c r="AP31" s="283"/>
      <c r="AQ31" s="283"/>
      <c r="AR31" s="283"/>
      <c r="AS31" s="283"/>
      <c r="AT31" s="283"/>
      <c r="AU31" s="283"/>
      <c r="AV31" s="283"/>
      <c r="AW31" s="283"/>
      <c r="AX31" s="283"/>
      <c r="AY31" s="283"/>
      <c r="AZ31" s="283"/>
      <c r="BA31" s="283"/>
      <c r="BB31" s="283"/>
      <c r="BC31" s="283"/>
      <c r="BD31" s="283"/>
      <c r="BE31" s="283"/>
    </row>
    <row r="32" spans="1:57">
      <c r="A32" s="595"/>
      <c r="B32" s="598"/>
      <c r="C32" s="599"/>
      <c r="D32" s="283"/>
      <c r="E32" s="283"/>
      <c r="F32" s="283"/>
      <c r="G32" s="283"/>
      <c r="H32" s="283"/>
      <c r="I32" s="283"/>
      <c r="J32" s="283"/>
      <c r="K32" s="283"/>
      <c r="L32" s="283"/>
      <c r="M32" s="283"/>
      <c r="N32" s="283"/>
      <c r="O32" s="283"/>
      <c r="P32" s="283"/>
      <c r="Q32" s="283"/>
      <c r="R32" s="283"/>
      <c r="S32" s="283"/>
      <c r="T32" s="283"/>
      <c r="U32" s="283"/>
      <c r="V32" s="283"/>
      <c r="W32" s="283"/>
      <c r="X32" s="283"/>
      <c r="Y32" s="283"/>
      <c r="Z32" s="283"/>
      <c r="AA32" s="283"/>
      <c r="AB32" s="283"/>
      <c r="AC32" s="283"/>
      <c r="AD32" s="283"/>
      <c r="AE32" s="283"/>
      <c r="AF32" s="283"/>
      <c r="AG32" s="283"/>
      <c r="AH32" s="283"/>
      <c r="AI32" s="283"/>
      <c r="AJ32" s="283"/>
      <c r="AK32" s="283"/>
      <c r="AL32" s="283"/>
      <c r="AM32" s="283"/>
      <c r="AN32" s="283"/>
      <c r="AO32" s="283"/>
      <c r="AP32" s="283"/>
      <c r="AQ32" s="283"/>
      <c r="AR32" s="283"/>
      <c r="AS32" s="283"/>
      <c r="AT32" s="283"/>
      <c r="AU32" s="283"/>
      <c r="AV32" s="283"/>
      <c r="AW32" s="283"/>
      <c r="AX32" s="283"/>
      <c r="AY32" s="283"/>
      <c r="AZ32" s="283"/>
      <c r="BA32" s="283"/>
      <c r="BB32" s="283"/>
      <c r="BC32" s="283"/>
      <c r="BD32" s="283"/>
      <c r="BE32" s="283"/>
    </row>
    <row r="33" spans="1:57">
      <c r="A33" s="595"/>
      <c r="B33" s="598"/>
      <c r="C33" s="599"/>
      <c r="D33" s="283"/>
      <c r="E33" s="283"/>
      <c r="F33" s="283"/>
      <c r="G33" s="283"/>
      <c r="H33" s="283"/>
      <c r="I33" s="283"/>
      <c r="J33" s="283"/>
      <c r="K33" s="283"/>
      <c r="L33" s="283"/>
      <c r="M33" s="283"/>
      <c r="N33" s="283"/>
      <c r="O33" s="283"/>
      <c r="P33" s="283"/>
      <c r="Q33" s="283"/>
      <c r="R33" s="283"/>
      <c r="S33" s="283"/>
      <c r="T33" s="283"/>
      <c r="U33" s="283"/>
      <c r="V33" s="283"/>
      <c r="W33" s="283"/>
      <c r="X33" s="283"/>
      <c r="Y33" s="283"/>
      <c r="Z33" s="283"/>
      <c r="AA33" s="283"/>
      <c r="AB33" s="283"/>
      <c r="AC33" s="283"/>
      <c r="AD33" s="283"/>
      <c r="AE33" s="283"/>
      <c r="AF33" s="283"/>
      <c r="AG33" s="283"/>
      <c r="AH33" s="283"/>
      <c r="AI33" s="283"/>
      <c r="AJ33" s="283"/>
      <c r="AK33" s="283"/>
      <c r="AL33" s="283"/>
      <c r="AM33" s="283"/>
      <c r="AN33" s="283"/>
      <c r="AO33" s="283"/>
      <c r="AP33" s="283"/>
      <c r="AQ33" s="283"/>
      <c r="AR33" s="283"/>
      <c r="AS33" s="283"/>
      <c r="AT33" s="283"/>
      <c r="AU33" s="283"/>
      <c r="AV33" s="283"/>
      <c r="AW33" s="283"/>
      <c r="AX33" s="283"/>
      <c r="AY33" s="283"/>
      <c r="AZ33" s="283"/>
      <c r="BA33" s="283"/>
      <c r="BB33" s="283"/>
      <c r="BC33" s="283"/>
      <c r="BD33" s="283"/>
      <c r="BE33" s="283"/>
    </row>
    <row r="34" spans="1:57">
      <c r="A34" s="595"/>
      <c r="B34" s="598"/>
      <c r="C34" s="599"/>
      <c r="D34" s="283"/>
      <c r="E34" s="283"/>
      <c r="F34" s="283"/>
      <c r="G34" s="283"/>
      <c r="H34" s="283"/>
      <c r="I34" s="283"/>
      <c r="J34" s="283"/>
      <c r="K34" s="283"/>
      <c r="L34" s="283"/>
      <c r="M34" s="283"/>
      <c r="N34" s="283"/>
      <c r="O34" s="283"/>
      <c r="P34" s="283"/>
      <c r="Q34" s="283"/>
      <c r="R34" s="283"/>
      <c r="S34" s="283"/>
      <c r="T34" s="283"/>
      <c r="U34" s="283"/>
      <c r="V34" s="283"/>
      <c r="W34" s="283"/>
      <c r="X34" s="283"/>
      <c r="Y34" s="283"/>
      <c r="Z34" s="283"/>
      <c r="AA34" s="283"/>
      <c r="AB34" s="283"/>
      <c r="AC34" s="283"/>
      <c r="AD34" s="283"/>
      <c r="AE34" s="283"/>
      <c r="AF34" s="283"/>
      <c r="AG34" s="283"/>
      <c r="AH34" s="283"/>
      <c r="AI34" s="283"/>
      <c r="AJ34" s="283"/>
      <c r="AK34" s="283"/>
      <c r="AL34" s="283"/>
      <c r="AM34" s="283"/>
      <c r="AN34" s="283"/>
      <c r="AO34" s="283"/>
      <c r="AP34" s="283"/>
      <c r="AQ34" s="283"/>
      <c r="AR34" s="283"/>
      <c r="AS34" s="283"/>
      <c r="AT34" s="283"/>
      <c r="AU34" s="283"/>
      <c r="AV34" s="283"/>
      <c r="AW34" s="283"/>
      <c r="AX34" s="283"/>
      <c r="AY34" s="283"/>
      <c r="AZ34" s="283"/>
      <c r="BA34" s="283"/>
      <c r="BB34" s="283"/>
      <c r="BC34" s="283"/>
      <c r="BD34" s="283"/>
      <c r="BE34" s="283"/>
    </row>
    <row r="35" spans="1:57">
      <c r="A35" s="595"/>
      <c r="B35" s="598"/>
      <c r="C35" s="599"/>
      <c r="D35" s="283"/>
      <c r="E35" s="283"/>
      <c r="F35" s="283"/>
      <c r="G35" s="283"/>
      <c r="H35" s="283"/>
      <c r="I35" s="283"/>
      <c r="J35" s="283"/>
      <c r="K35" s="283"/>
      <c r="L35" s="283"/>
      <c r="M35" s="283"/>
      <c r="N35" s="283"/>
      <c r="O35" s="283"/>
      <c r="P35" s="283"/>
      <c r="Q35" s="283"/>
      <c r="R35" s="283"/>
      <c r="S35" s="283"/>
      <c r="T35" s="283"/>
      <c r="U35" s="283"/>
      <c r="V35" s="283"/>
      <c r="W35" s="283"/>
      <c r="X35" s="283"/>
      <c r="Y35" s="283"/>
      <c r="Z35" s="283"/>
      <c r="AA35" s="283"/>
      <c r="AB35" s="283"/>
      <c r="AC35" s="283"/>
      <c r="AD35" s="283"/>
      <c r="AE35" s="283"/>
      <c r="AF35" s="283"/>
      <c r="AG35" s="283"/>
      <c r="AH35" s="283"/>
      <c r="AI35" s="283"/>
      <c r="AJ35" s="283"/>
      <c r="AK35" s="283"/>
      <c r="AL35" s="283"/>
      <c r="AM35" s="283"/>
      <c r="AN35" s="283"/>
      <c r="AO35" s="283"/>
      <c r="AP35" s="283"/>
      <c r="AQ35" s="283"/>
      <c r="AR35" s="283"/>
      <c r="AS35" s="283"/>
      <c r="AT35" s="283"/>
      <c r="AU35" s="283"/>
      <c r="AV35" s="283"/>
      <c r="AW35" s="283"/>
      <c r="AX35" s="283"/>
      <c r="AY35" s="283"/>
      <c r="AZ35" s="283"/>
      <c r="BA35" s="283"/>
      <c r="BB35" s="283"/>
      <c r="BC35" s="283"/>
      <c r="BD35" s="283"/>
      <c r="BE35" s="283"/>
    </row>
    <row r="36" spans="1:57">
      <c r="A36" s="595"/>
      <c r="B36" s="598"/>
      <c r="C36" s="599"/>
      <c r="D36" s="283"/>
      <c r="E36" s="283"/>
      <c r="F36" s="283"/>
      <c r="G36" s="283"/>
      <c r="H36" s="283"/>
      <c r="I36" s="283"/>
      <c r="J36" s="283"/>
      <c r="K36" s="283"/>
      <c r="L36" s="283"/>
      <c r="M36" s="283"/>
      <c r="N36" s="283"/>
      <c r="O36" s="283"/>
      <c r="P36" s="283"/>
      <c r="Q36" s="283"/>
      <c r="R36" s="283"/>
      <c r="S36" s="283"/>
      <c r="T36" s="283"/>
      <c r="U36" s="283"/>
      <c r="V36" s="283"/>
      <c r="W36" s="283"/>
      <c r="X36" s="283"/>
      <c r="Y36" s="283"/>
      <c r="Z36" s="283"/>
      <c r="AA36" s="283"/>
      <c r="AB36" s="283"/>
      <c r="AC36" s="283"/>
      <c r="AD36" s="283"/>
      <c r="AE36" s="283"/>
      <c r="AF36" s="283"/>
      <c r="AG36" s="283"/>
      <c r="AH36" s="283"/>
      <c r="AI36" s="283"/>
      <c r="AJ36" s="283"/>
      <c r="AK36" s="283"/>
      <c r="AL36" s="283"/>
      <c r="AM36" s="283"/>
      <c r="AN36" s="283"/>
      <c r="AO36" s="283"/>
      <c r="AP36" s="283"/>
      <c r="AQ36" s="283"/>
      <c r="AR36" s="283"/>
      <c r="AS36" s="283"/>
      <c r="AT36" s="283"/>
      <c r="AU36" s="283"/>
      <c r="AV36" s="283"/>
      <c r="AW36" s="283"/>
      <c r="AX36" s="283"/>
      <c r="AY36" s="283"/>
      <c r="AZ36" s="283"/>
      <c r="BA36" s="283"/>
      <c r="BB36" s="283"/>
      <c r="BC36" s="283"/>
      <c r="BD36" s="283"/>
      <c r="BE36" s="283"/>
    </row>
    <row r="37" spans="1:57">
      <c r="A37" s="595"/>
      <c r="B37" s="598"/>
      <c r="C37" s="599"/>
      <c r="D37" s="283"/>
      <c r="E37" s="283"/>
      <c r="F37" s="283"/>
      <c r="G37" s="283"/>
      <c r="H37" s="283"/>
      <c r="I37" s="283"/>
      <c r="J37" s="283"/>
      <c r="K37" s="283"/>
      <c r="L37" s="283"/>
      <c r="M37" s="283"/>
      <c r="N37" s="283"/>
      <c r="O37" s="283"/>
      <c r="P37" s="283"/>
      <c r="Q37" s="283"/>
      <c r="R37" s="283"/>
      <c r="S37" s="283"/>
      <c r="T37" s="283"/>
      <c r="U37" s="283"/>
      <c r="V37" s="283"/>
      <c r="W37" s="283"/>
      <c r="X37" s="283"/>
      <c r="Y37" s="283"/>
      <c r="Z37" s="283"/>
      <c r="AA37" s="283"/>
      <c r="AB37" s="283"/>
      <c r="AC37" s="283"/>
      <c r="AD37" s="283"/>
      <c r="AE37" s="283"/>
      <c r="AF37" s="283"/>
      <c r="AG37" s="283"/>
      <c r="AH37" s="283"/>
      <c r="AI37" s="283"/>
      <c r="AJ37" s="283"/>
      <c r="AK37" s="283"/>
      <c r="AL37" s="283"/>
      <c r="AM37" s="283"/>
      <c r="AN37" s="283"/>
      <c r="AO37" s="283"/>
      <c r="AP37" s="283"/>
      <c r="AQ37" s="283"/>
      <c r="AR37" s="283"/>
      <c r="AS37" s="283"/>
      <c r="AT37" s="283"/>
      <c r="AU37" s="283"/>
      <c r="AV37" s="283"/>
      <c r="AW37" s="283"/>
      <c r="AX37" s="283"/>
      <c r="AY37" s="283"/>
      <c r="AZ37" s="283"/>
      <c r="BA37" s="283"/>
      <c r="BB37" s="283"/>
      <c r="BC37" s="283"/>
      <c r="BD37" s="283"/>
      <c r="BE37" s="283"/>
    </row>
    <row r="38" spans="1:57">
      <c r="A38" s="595"/>
      <c r="B38" s="598"/>
      <c r="C38" s="599"/>
      <c r="D38" s="283"/>
      <c r="E38" s="283"/>
      <c r="F38" s="283"/>
      <c r="G38" s="283"/>
      <c r="H38" s="283"/>
      <c r="I38" s="283"/>
      <c r="J38" s="283"/>
      <c r="K38" s="283"/>
      <c r="L38" s="283"/>
      <c r="M38" s="283"/>
      <c r="N38" s="283"/>
      <c r="O38" s="283"/>
      <c r="P38" s="283"/>
      <c r="Q38" s="283"/>
      <c r="R38" s="283"/>
      <c r="S38" s="283"/>
      <c r="T38" s="283"/>
      <c r="U38" s="283"/>
      <c r="V38" s="283"/>
      <c r="W38" s="283"/>
      <c r="X38" s="283"/>
      <c r="Y38" s="283"/>
      <c r="Z38" s="283"/>
      <c r="AA38" s="283"/>
      <c r="AB38" s="283"/>
      <c r="AC38" s="283"/>
      <c r="AD38" s="283"/>
      <c r="AE38" s="283"/>
      <c r="AF38" s="283"/>
      <c r="AG38" s="283"/>
      <c r="AH38" s="283"/>
      <c r="AI38" s="283"/>
      <c r="AJ38" s="283"/>
      <c r="AK38" s="283"/>
      <c r="AL38" s="283"/>
      <c r="AM38" s="283"/>
      <c r="AN38" s="283"/>
      <c r="AO38" s="283"/>
      <c r="AP38" s="283"/>
      <c r="AQ38" s="283"/>
      <c r="AR38" s="283"/>
      <c r="AS38" s="283"/>
      <c r="AT38" s="283"/>
      <c r="AU38" s="283"/>
      <c r="AV38" s="283"/>
      <c r="AW38" s="283"/>
      <c r="AX38" s="283"/>
      <c r="AY38" s="283"/>
      <c r="AZ38" s="283"/>
      <c r="BA38" s="283"/>
      <c r="BB38" s="283"/>
      <c r="BC38" s="283"/>
      <c r="BD38" s="283"/>
      <c r="BE38" s="283"/>
    </row>
    <row r="39" spans="1:57">
      <c r="A39" s="595"/>
      <c r="B39" s="598"/>
      <c r="C39" s="599"/>
      <c r="D39" s="283"/>
      <c r="E39" s="283"/>
      <c r="F39" s="283"/>
      <c r="G39" s="283"/>
      <c r="H39" s="283"/>
      <c r="I39" s="283"/>
      <c r="J39" s="283"/>
      <c r="K39" s="283"/>
      <c r="L39" s="283"/>
      <c r="M39" s="283"/>
      <c r="N39" s="283"/>
      <c r="O39" s="283"/>
      <c r="P39" s="283"/>
      <c r="Q39" s="283"/>
      <c r="R39" s="283"/>
      <c r="S39" s="283"/>
      <c r="T39" s="283"/>
      <c r="U39" s="283"/>
      <c r="V39" s="283"/>
      <c r="W39" s="283"/>
      <c r="X39" s="283"/>
      <c r="Y39" s="283"/>
      <c r="Z39" s="283"/>
      <c r="AA39" s="283"/>
      <c r="AB39" s="283"/>
      <c r="AC39" s="283"/>
      <c r="AD39" s="283"/>
      <c r="AE39" s="283"/>
      <c r="AF39" s="283"/>
      <c r="AG39" s="283"/>
      <c r="AH39" s="283"/>
      <c r="AI39" s="283"/>
      <c r="AJ39" s="283"/>
      <c r="AK39" s="283"/>
      <c r="AL39" s="283"/>
      <c r="AM39" s="283"/>
      <c r="AN39" s="283"/>
      <c r="AO39" s="283"/>
      <c r="AP39" s="283"/>
      <c r="AQ39" s="283"/>
      <c r="AR39" s="283"/>
      <c r="AS39" s="283"/>
      <c r="AT39" s="283"/>
      <c r="AU39" s="283"/>
      <c r="AV39" s="283"/>
      <c r="AW39" s="283"/>
      <c r="AX39" s="283"/>
      <c r="AY39" s="283"/>
      <c r="AZ39" s="283"/>
      <c r="BA39" s="283"/>
      <c r="BB39" s="283"/>
      <c r="BC39" s="283"/>
      <c r="BD39" s="283"/>
      <c r="BE39" s="283"/>
    </row>
    <row r="40" spans="1:57">
      <c r="A40" s="595"/>
      <c r="B40" s="598"/>
      <c r="C40" s="599"/>
      <c r="D40" s="283"/>
      <c r="E40" s="283"/>
      <c r="F40" s="283"/>
      <c r="G40" s="283"/>
      <c r="H40" s="283"/>
      <c r="I40" s="283"/>
      <c r="J40" s="283"/>
      <c r="K40" s="283"/>
      <c r="L40" s="283"/>
      <c r="M40" s="283"/>
      <c r="N40" s="283"/>
      <c r="O40" s="283"/>
      <c r="P40" s="283"/>
      <c r="Q40" s="283"/>
      <c r="R40" s="283"/>
      <c r="S40" s="283"/>
      <c r="T40" s="283"/>
      <c r="U40" s="283"/>
      <c r="V40" s="283"/>
      <c r="W40" s="283"/>
      <c r="X40" s="283"/>
      <c r="Y40" s="283"/>
      <c r="Z40" s="283"/>
      <c r="AA40" s="283"/>
      <c r="AB40" s="283"/>
      <c r="AC40" s="283"/>
      <c r="AD40" s="283"/>
      <c r="AE40" s="283"/>
      <c r="AF40" s="283"/>
      <c r="AG40" s="283"/>
      <c r="AH40" s="283"/>
      <c r="AI40" s="283"/>
      <c r="AJ40" s="283"/>
      <c r="AK40" s="283"/>
      <c r="AL40" s="283"/>
      <c r="AM40" s="283"/>
      <c r="AN40" s="283"/>
      <c r="AO40" s="283"/>
      <c r="AP40" s="283"/>
      <c r="AQ40" s="283"/>
      <c r="AR40" s="283"/>
      <c r="AS40" s="283"/>
      <c r="AT40" s="283"/>
      <c r="AU40" s="283"/>
      <c r="AV40" s="283"/>
      <c r="AW40" s="283"/>
      <c r="AX40" s="283"/>
      <c r="AY40" s="283"/>
      <c r="AZ40" s="283"/>
      <c r="BA40" s="283"/>
      <c r="BB40" s="283"/>
      <c r="BC40" s="283"/>
      <c r="BD40" s="283"/>
      <c r="BE40" s="283"/>
    </row>
    <row r="41" spans="1:57">
      <c r="A41" s="595"/>
      <c r="B41" s="598"/>
      <c r="C41" s="599"/>
      <c r="D41" s="283"/>
      <c r="E41" s="283"/>
      <c r="F41" s="283"/>
      <c r="G41" s="283"/>
      <c r="H41" s="283"/>
      <c r="I41" s="283"/>
      <c r="J41" s="283"/>
      <c r="K41" s="283"/>
      <c r="L41" s="283"/>
      <c r="M41" s="283"/>
      <c r="N41" s="283"/>
      <c r="O41" s="283"/>
      <c r="P41" s="283"/>
      <c r="Q41" s="283"/>
      <c r="R41" s="283"/>
      <c r="S41" s="283"/>
      <c r="T41" s="283"/>
      <c r="U41" s="283"/>
      <c r="V41" s="283"/>
      <c r="W41" s="283"/>
      <c r="X41" s="283"/>
      <c r="Y41" s="283"/>
      <c r="Z41" s="283"/>
      <c r="AA41" s="283"/>
      <c r="AB41" s="283"/>
      <c r="AC41" s="283"/>
      <c r="AD41" s="283"/>
      <c r="AE41" s="283"/>
      <c r="AF41" s="283"/>
      <c r="AG41" s="283"/>
      <c r="AH41" s="283"/>
      <c r="AI41" s="283"/>
      <c r="AJ41" s="283"/>
      <c r="AK41" s="283"/>
      <c r="AL41" s="283"/>
      <c r="AM41" s="283"/>
      <c r="AN41" s="283"/>
      <c r="AO41" s="283"/>
      <c r="AP41" s="283"/>
      <c r="AQ41" s="283"/>
      <c r="AR41" s="283"/>
      <c r="AS41" s="283"/>
      <c r="AT41" s="283"/>
      <c r="AU41" s="283"/>
      <c r="AV41" s="283"/>
      <c r="AW41" s="283"/>
      <c r="AX41" s="283"/>
      <c r="AY41" s="283"/>
      <c r="AZ41" s="283"/>
      <c r="BA41" s="283"/>
      <c r="BB41" s="283"/>
      <c r="BC41" s="283"/>
      <c r="BD41" s="283"/>
      <c r="BE41" s="283"/>
    </row>
    <row r="42" spans="1:57">
      <c r="A42" s="595"/>
      <c r="B42" s="598"/>
      <c r="C42" s="599"/>
      <c r="D42" s="283"/>
      <c r="E42" s="283"/>
      <c r="F42" s="283"/>
      <c r="G42" s="283"/>
      <c r="H42" s="283"/>
      <c r="I42" s="283"/>
      <c r="J42" s="283"/>
      <c r="K42" s="283"/>
      <c r="L42" s="283"/>
      <c r="M42" s="283"/>
      <c r="N42" s="283"/>
      <c r="O42" s="283"/>
      <c r="P42" s="283"/>
      <c r="Q42" s="283"/>
      <c r="R42" s="283"/>
      <c r="S42" s="283"/>
      <c r="T42" s="283"/>
      <c r="U42" s="283"/>
      <c r="V42" s="283"/>
      <c r="W42" s="283"/>
      <c r="X42" s="283"/>
      <c r="Y42" s="283"/>
      <c r="Z42" s="283"/>
      <c r="AA42" s="283"/>
      <c r="AB42" s="283"/>
      <c r="AC42" s="283"/>
      <c r="AD42" s="283"/>
      <c r="AE42" s="283"/>
      <c r="AF42" s="283"/>
      <c r="AG42" s="283"/>
      <c r="AH42" s="283"/>
      <c r="AI42" s="283"/>
      <c r="AJ42" s="283"/>
      <c r="AK42" s="283"/>
      <c r="AL42" s="283"/>
      <c r="AM42" s="283"/>
      <c r="AN42" s="283"/>
      <c r="AO42" s="283"/>
      <c r="AP42" s="283"/>
      <c r="AQ42" s="283"/>
      <c r="AR42" s="283"/>
      <c r="AS42" s="283"/>
      <c r="AT42" s="283"/>
      <c r="AU42" s="283"/>
      <c r="AV42" s="283"/>
      <c r="AW42" s="283"/>
      <c r="AX42" s="283"/>
      <c r="AY42" s="283"/>
      <c r="AZ42" s="283"/>
      <c r="BA42" s="283"/>
      <c r="BB42" s="283"/>
      <c r="BC42" s="283"/>
      <c r="BD42" s="283"/>
      <c r="BE42" s="283"/>
    </row>
    <row r="43" spans="1:57">
      <c r="A43" s="595"/>
      <c r="B43" s="598"/>
      <c r="C43" s="599"/>
      <c r="D43" s="283"/>
      <c r="E43" s="283"/>
      <c r="F43" s="283"/>
      <c r="G43" s="283"/>
      <c r="H43" s="283"/>
      <c r="I43" s="283"/>
      <c r="J43" s="283"/>
      <c r="K43" s="283"/>
      <c r="L43" s="283"/>
      <c r="M43" s="283"/>
      <c r="N43" s="283"/>
      <c r="O43" s="283"/>
      <c r="P43" s="283"/>
      <c r="Q43" s="283"/>
      <c r="R43" s="283"/>
      <c r="S43" s="283"/>
      <c r="T43" s="283"/>
      <c r="U43" s="283"/>
      <c r="V43" s="283"/>
      <c r="W43" s="283"/>
      <c r="X43" s="283"/>
      <c r="Y43" s="283"/>
      <c r="Z43" s="283"/>
      <c r="AA43" s="283"/>
      <c r="AB43" s="283"/>
      <c r="AC43" s="283"/>
      <c r="AD43" s="283"/>
      <c r="AE43" s="283"/>
      <c r="AF43" s="283"/>
      <c r="AG43" s="283"/>
      <c r="AH43" s="283"/>
      <c r="AI43" s="283"/>
      <c r="AJ43" s="283"/>
      <c r="AK43" s="283"/>
      <c r="AL43" s="283"/>
      <c r="AM43" s="283"/>
      <c r="AN43" s="283"/>
      <c r="AO43" s="283"/>
      <c r="AP43" s="283"/>
      <c r="AQ43" s="283"/>
      <c r="AR43" s="283"/>
      <c r="AS43" s="283"/>
      <c r="AT43" s="283"/>
      <c r="AU43" s="283"/>
      <c r="AV43" s="283"/>
      <c r="AW43" s="283"/>
      <c r="AX43" s="283"/>
      <c r="AY43" s="283"/>
      <c r="AZ43" s="283"/>
      <c r="BA43" s="283"/>
      <c r="BB43" s="283"/>
      <c r="BC43" s="283"/>
      <c r="BD43" s="283"/>
      <c r="BE43" s="283"/>
    </row>
    <row r="44" spans="1:57">
      <c r="A44" s="595"/>
      <c r="B44" s="598"/>
      <c r="C44" s="599"/>
      <c r="D44" s="283"/>
      <c r="E44" s="283"/>
      <c r="F44" s="283"/>
      <c r="G44" s="283"/>
      <c r="H44" s="283"/>
      <c r="I44" s="283"/>
      <c r="J44" s="283"/>
      <c r="K44" s="283"/>
      <c r="L44" s="283"/>
      <c r="M44" s="283"/>
      <c r="N44" s="283"/>
      <c r="O44" s="283"/>
      <c r="P44" s="283"/>
      <c r="Q44" s="283"/>
      <c r="R44" s="283"/>
      <c r="S44" s="283"/>
      <c r="T44" s="283"/>
      <c r="U44" s="283"/>
      <c r="V44" s="283"/>
      <c r="W44" s="283"/>
      <c r="X44" s="283"/>
      <c r="Y44" s="283"/>
      <c r="Z44" s="283"/>
      <c r="AA44" s="283"/>
      <c r="AB44" s="283"/>
      <c r="AC44" s="283"/>
      <c r="AD44" s="283"/>
      <c r="AE44" s="283"/>
      <c r="AF44" s="283"/>
      <c r="AG44" s="283"/>
      <c r="AH44" s="283"/>
      <c r="AI44" s="283"/>
      <c r="AJ44" s="283"/>
      <c r="AK44" s="283"/>
      <c r="AL44" s="283"/>
      <c r="AM44" s="283"/>
      <c r="AN44" s="283"/>
      <c r="AO44" s="283"/>
      <c r="AP44" s="283"/>
      <c r="AQ44" s="283"/>
      <c r="AR44" s="283"/>
      <c r="AS44" s="283"/>
      <c r="AT44" s="283"/>
      <c r="AU44" s="283"/>
      <c r="AV44" s="283"/>
      <c r="AW44" s="283"/>
      <c r="AX44" s="283"/>
      <c r="AY44" s="283"/>
      <c r="AZ44" s="283"/>
      <c r="BA44" s="283"/>
      <c r="BB44" s="283"/>
      <c r="BC44" s="283"/>
      <c r="BD44" s="283"/>
      <c r="BE44" s="283"/>
    </row>
    <row r="45" spans="1:57">
      <c r="A45" s="595"/>
      <c r="B45" s="598"/>
      <c r="C45" s="599"/>
      <c r="D45" s="283"/>
      <c r="E45" s="283"/>
      <c r="F45" s="283"/>
      <c r="G45" s="283"/>
      <c r="H45" s="283"/>
      <c r="I45" s="283"/>
      <c r="J45" s="283"/>
      <c r="K45" s="283"/>
      <c r="L45" s="283"/>
      <c r="M45" s="283"/>
      <c r="N45" s="283"/>
      <c r="O45" s="283"/>
      <c r="P45" s="283"/>
      <c r="Q45" s="283"/>
      <c r="R45" s="283"/>
      <c r="S45" s="283"/>
      <c r="T45" s="283"/>
      <c r="U45" s="283"/>
      <c r="V45" s="283"/>
      <c r="W45" s="283"/>
      <c r="X45" s="283"/>
      <c r="Y45" s="283"/>
      <c r="Z45" s="283"/>
      <c r="AA45" s="283"/>
      <c r="AB45" s="283"/>
      <c r="AC45" s="283"/>
      <c r="AD45" s="283"/>
      <c r="AE45" s="283"/>
      <c r="AF45" s="283"/>
      <c r="AG45" s="283"/>
      <c r="AH45" s="283"/>
      <c r="AI45" s="283"/>
      <c r="AJ45" s="283"/>
      <c r="AK45" s="283"/>
      <c r="AL45" s="283"/>
      <c r="AM45" s="283"/>
      <c r="AN45" s="283"/>
      <c r="AO45" s="283"/>
      <c r="AP45" s="283"/>
      <c r="AQ45" s="283"/>
      <c r="AR45" s="283"/>
      <c r="AS45" s="283"/>
      <c r="AT45" s="283"/>
      <c r="AU45" s="283"/>
      <c r="AV45" s="283"/>
      <c r="AW45" s="283"/>
      <c r="AX45" s="283"/>
      <c r="AY45" s="283"/>
      <c r="AZ45" s="283"/>
      <c r="BA45" s="283"/>
      <c r="BB45" s="283"/>
      <c r="BC45" s="283"/>
      <c r="BD45" s="283"/>
      <c r="BE45" s="283"/>
    </row>
    <row r="46" spans="1:57">
      <c r="A46" s="595"/>
      <c r="B46" s="598"/>
      <c r="C46" s="599"/>
      <c r="D46" s="283"/>
      <c r="E46" s="283"/>
      <c r="F46" s="283"/>
      <c r="G46" s="283"/>
      <c r="H46" s="283"/>
      <c r="I46" s="283"/>
      <c r="J46" s="283"/>
      <c r="K46" s="283"/>
      <c r="L46" s="283"/>
      <c r="M46" s="283"/>
      <c r="N46" s="283"/>
      <c r="O46" s="283"/>
      <c r="P46" s="283"/>
      <c r="Q46" s="283"/>
      <c r="R46" s="283"/>
      <c r="S46" s="283"/>
      <c r="T46" s="283"/>
      <c r="U46" s="283"/>
      <c r="V46" s="283"/>
      <c r="W46" s="283"/>
      <c r="X46" s="283"/>
      <c r="Y46" s="283"/>
      <c r="Z46" s="283"/>
      <c r="AA46" s="283"/>
      <c r="AB46" s="283"/>
      <c r="AC46" s="283"/>
      <c r="AD46" s="283"/>
      <c r="AE46" s="283"/>
      <c r="AF46" s="283"/>
      <c r="AG46" s="283"/>
      <c r="AH46" s="283"/>
      <c r="AI46" s="283"/>
      <c r="AJ46" s="283"/>
      <c r="AK46" s="283"/>
      <c r="AL46" s="283"/>
      <c r="AM46" s="283"/>
      <c r="AN46" s="283"/>
      <c r="AO46" s="283"/>
      <c r="AP46" s="283"/>
      <c r="AQ46" s="283"/>
      <c r="AR46" s="283"/>
      <c r="AS46" s="283"/>
      <c r="AT46" s="283"/>
      <c r="AU46" s="283"/>
      <c r="AV46" s="283"/>
      <c r="AW46" s="283"/>
      <c r="AX46" s="283"/>
      <c r="AY46" s="283"/>
      <c r="AZ46" s="283"/>
      <c r="BA46" s="283"/>
      <c r="BB46" s="283"/>
      <c r="BC46" s="283"/>
      <c r="BD46" s="283"/>
      <c r="BE46" s="283"/>
    </row>
    <row r="47" spans="1:57">
      <c r="A47" s="595"/>
      <c r="B47" s="598"/>
      <c r="C47" s="599"/>
      <c r="D47" s="283"/>
      <c r="E47" s="283"/>
      <c r="F47" s="283"/>
      <c r="G47" s="283"/>
      <c r="H47" s="283"/>
      <c r="I47" s="283"/>
      <c r="J47" s="283"/>
      <c r="K47" s="283"/>
      <c r="L47" s="283"/>
      <c r="M47" s="283"/>
      <c r="N47" s="283"/>
      <c r="O47" s="283"/>
      <c r="P47" s="283"/>
      <c r="Q47" s="283"/>
      <c r="R47" s="283"/>
      <c r="S47" s="283"/>
      <c r="T47" s="283"/>
      <c r="U47" s="283"/>
      <c r="V47" s="283"/>
      <c r="W47" s="283"/>
      <c r="X47" s="283"/>
      <c r="Y47" s="283"/>
      <c r="Z47" s="283"/>
      <c r="AA47" s="283"/>
      <c r="AB47" s="283"/>
      <c r="AC47" s="283"/>
      <c r="AD47" s="283"/>
      <c r="AE47" s="283"/>
      <c r="AF47" s="283"/>
      <c r="AG47" s="283"/>
      <c r="AH47" s="283"/>
      <c r="AI47" s="283"/>
      <c r="AJ47" s="283"/>
      <c r="AK47" s="283"/>
      <c r="AL47" s="283"/>
      <c r="AM47" s="283"/>
      <c r="AN47" s="283"/>
      <c r="AO47" s="283"/>
      <c r="AP47" s="283"/>
      <c r="AQ47" s="283"/>
      <c r="AR47" s="283"/>
      <c r="AS47" s="283"/>
      <c r="AT47" s="283"/>
      <c r="AU47" s="283"/>
      <c r="AV47" s="283"/>
      <c r="AW47" s="283"/>
      <c r="AX47" s="283"/>
      <c r="AY47" s="283"/>
      <c r="AZ47" s="283"/>
      <c r="BA47" s="283"/>
      <c r="BB47" s="283"/>
      <c r="BC47" s="283"/>
      <c r="BD47" s="283"/>
      <c r="BE47" s="283"/>
    </row>
    <row r="48" spans="1:57">
      <c r="A48" s="595"/>
      <c r="B48" s="598"/>
      <c r="C48" s="599"/>
      <c r="D48" s="283"/>
      <c r="E48" s="283"/>
      <c r="F48" s="283"/>
      <c r="G48" s="283"/>
      <c r="H48" s="283"/>
      <c r="I48" s="283"/>
      <c r="J48" s="283"/>
      <c r="K48" s="283"/>
      <c r="L48" s="283"/>
      <c r="M48" s="283"/>
      <c r="N48" s="283"/>
      <c r="O48" s="283"/>
      <c r="P48" s="283"/>
      <c r="Q48" s="283"/>
      <c r="R48" s="283"/>
      <c r="S48" s="283"/>
      <c r="T48" s="283"/>
      <c r="U48" s="283"/>
      <c r="V48" s="283"/>
      <c r="W48" s="283"/>
      <c r="X48" s="283"/>
      <c r="Y48" s="283"/>
      <c r="Z48" s="283"/>
      <c r="AA48" s="283"/>
      <c r="AB48" s="283"/>
      <c r="AC48" s="283"/>
      <c r="AD48" s="283"/>
      <c r="AE48" s="283"/>
      <c r="AF48" s="283"/>
      <c r="AG48" s="283"/>
      <c r="AH48" s="283"/>
      <c r="AI48" s="283"/>
      <c r="AJ48" s="283"/>
      <c r="AK48" s="283"/>
      <c r="AL48" s="283"/>
      <c r="AM48" s="283"/>
      <c r="AN48" s="283"/>
      <c r="AO48" s="283"/>
      <c r="AP48" s="283"/>
      <c r="AQ48" s="283"/>
      <c r="AR48" s="283"/>
      <c r="AS48" s="283"/>
      <c r="AT48" s="283"/>
      <c r="AU48" s="283"/>
      <c r="AV48" s="283"/>
      <c r="AW48" s="283"/>
      <c r="AX48" s="283"/>
      <c r="AY48" s="283"/>
      <c r="AZ48" s="283"/>
      <c r="BA48" s="283"/>
      <c r="BB48" s="283"/>
      <c r="BC48" s="283"/>
      <c r="BD48" s="283"/>
      <c r="BE48" s="283"/>
    </row>
    <row r="49" spans="1:57">
      <c r="A49" s="595"/>
      <c r="B49" s="598"/>
      <c r="C49" s="599"/>
      <c r="D49" s="283"/>
      <c r="E49" s="283"/>
      <c r="F49" s="283"/>
      <c r="G49" s="283"/>
      <c r="H49" s="283"/>
      <c r="I49" s="283"/>
      <c r="J49" s="283"/>
      <c r="K49" s="283"/>
      <c r="L49" s="283"/>
      <c r="M49" s="283"/>
      <c r="N49" s="283"/>
      <c r="O49" s="283"/>
      <c r="P49" s="283"/>
      <c r="Q49" s="283"/>
      <c r="R49" s="283"/>
      <c r="S49" s="283"/>
      <c r="T49" s="283"/>
      <c r="U49" s="283"/>
      <c r="V49" s="283"/>
      <c r="W49" s="283"/>
      <c r="X49" s="283"/>
      <c r="Y49" s="283"/>
      <c r="Z49" s="283"/>
      <c r="AA49" s="283"/>
      <c r="AB49" s="283"/>
      <c r="AC49" s="283"/>
      <c r="AD49" s="283"/>
      <c r="AE49" s="283"/>
      <c r="AF49" s="283"/>
      <c r="AG49" s="283"/>
      <c r="AH49" s="283"/>
      <c r="AI49" s="283"/>
      <c r="AJ49" s="283"/>
      <c r="AK49" s="283"/>
      <c r="AL49" s="283"/>
      <c r="AM49" s="283"/>
      <c r="AN49" s="283"/>
      <c r="AO49" s="283"/>
      <c r="AP49" s="283"/>
      <c r="AQ49" s="283"/>
      <c r="AR49" s="283"/>
      <c r="AS49" s="283"/>
      <c r="AT49" s="283"/>
      <c r="AU49" s="283"/>
      <c r="AV49" s="283"/>
      <c r="AW49" s="283"/>
      <c r="AX49" s="283"/>
      <c r="AY49" s="283"/>
      <c r="AZ49" s="283"/>
      <c r="BA49" s="283"/>
      <c r="BB49" s="283"/>
      <c r="BC49" s="283"/>
      <c r="BD49" s="283"/>
      <c r="BE49" s="283"/>
    </row>
    <row r="50" spans="1:57">
      <c r="A50" s="595"/>
      <c r="B50" s="598"/>
      <c r="C50" s="599"/>
      <c r="D50" s="283"/>
      <c r="E50" s="283"/>
      <c r="F50" s="283"/>
      <c r="G50" s="283"/>
      <c r="H50" s="283"/>
      <c r="I50" s="283"/>
      <c r="J50" s="283"/>
      <c r="K50" s="283"/>
      <c r="L50" s="283"/>
      <c r="M50" s="283"/>
      <c r="N50" s="283"/>
      <c r="O50" s="283"/>
      <c r="P50" s="283"/>
      <c r="Q50" s="283"/>
      <c r="R50" s="283"/>
      <c r="S50" s="283"/>
      <c r="T50" s="283"/>
      <c r="U50" s="283"/>
      <c r="V50" s="283"/>
      <c r="W50" s="283"/>
      <c r="X50" s="283"/>
      <c r="Y50" s="283"/>
      <c r="Z50" s="283"/>
      <c r="AA50" s="283"/>
      <c r="AB50" s="283"/>
      <c r="AC50" s="283"/>
      <c r="AD50" s="283"/>
      <c r="AE50" s="283"/>
      <c r="AF50" s="283"/>
      <c r="AG50" s="283"/>
      <c r="AH50" s="283"/>
      <c r="AI50" s="283"/>
      <c r="AJ50" s="283"/>
      <c r="AK50" s="283"/>
      <c r="AL50" s="283"/>
      <c r="AM50" s="283"/>
      <c r="AN50" s="283"/>
      <c r="AO50" s="283"/>
      <c r="AP50" s="283"/>
      <c r="AQ50" s="283"/>
      <c r="AR50" s="283"/>
      <c r="AS50" s="283"/>
      <c r="AT50" s="283"/>
      <c r="AU50" s="283"/>
      <c r="AV50" s="283"/>
      <c r="AW50" s="283"/>
      <c r="AX50" s="283"/>
      <c r="AY50" s="283"/>
      <c r="AZ50" s="283"/>
      <c r="BA50" s="283"/>
      <c r="BB50" s="283"/>
      <c r="BC50" s="283"/>
      <c r="BD50" s="283"/>
      <c r="BE50" s="283"/>
    </row>
    <row r="51" spans="1:57">
      <c r="A51" s="595"/>
      <c r="B51" s="598"/>
      <c r="C51" s="599"/>
      <c r="D51" s="283"/>
      <c r="E51" s="283"/>
      <c r="F51" s="283"/>
      <c r="G51" s="283"/>
      <c r="H51" s="283"/>
      <c r="I51" s="283"/>
      <c r="J51" s="283"/>
      <c r="K51" s="283"/>
      <c r="L51" s="283"/>
      <c r="M51" s="283"/>
      <c r="N51" s="283"/>
      <c r="O51" s="283"/>
      <c r="P51" s="283"/>
      <c r="Q51" s="283"/>
      <c r="R51" s="283"/>
      <c r="S51" s="283"/>
      <c r="T51" s="283"/>
      <c r="U51" s="283"/>
      <c r="V51" s="283"/>
      <c r="W51" s="283"/>
      <c r="X51" s="283"/>
      <c r="Y51" s="283"/>
      <c r="Z51" s="283"/>
      <c r="AA51" s="283"/>
      <c r="AB51" s="283"/>
      <c r="AC51" s="283"/>
      <c r="AD51" s="283"/>
      <c r="AE51" s="283"/>
      <c r="AF51" s="283"/>
      <c r="AG51" s="283"/>
      <c r="AH51" s="283"/>
      <c r="AI51" s="283"/>
      <c r="AJ51" s="283"/>
      <c r="AK51" s="283"/>
      <c r="AL51" s="283"/>
      <c r="AM51" s="283"/>
      <c r="AN51" s="283"/>
      <c r="AO51" s="283"/>
      <c r="AP51" s="283"/>
      <c r="AQ51" s="283"/>
      <c r="AR51" s="283"/>
      <c r="AS51" s="283"/>
      <c r="AT51" s="283"/>
      <c r="AU51" s="283"/>
      <c r="AV51" s="283"/>
      <c r="AW51" s="283"/>
      <c r="AX51" s="283"/>
      <c r="AY51" s="283"/>
      <c r="AZ51" s="283"/>
      <c r="BA51" s="283"/>
      <c r="BB51" s="283"/>
      <c r="BC51" s="283"/>
      <c r="BD51" s="283"/>
      <c r="BE51" s="283"/>
    </row>
    <row r="52" spans="1:57">
      <c r="A52" s="595"/>
      <c r="B52" s="598"/>
      <c r="C52" s="599"/>
      <c r="D52" s="283"/>
      <c r="E52" s="283"/>
      <c r="F52" s="283"/>
      <c r="G52" s="283"/>
      <c r="H52" s="283"/>
      <c r="I52" s="283"/>
      <c r="J52" s="283"/>
      <c r="K52" s="283"/>
      <c r="L52" s="283"/>
      <c r="M52" s="283"/>
      <c r="N52" s="283"/>
      <c r="O52" s="283"/>
      <c r="P52" s="283"/>
      <c r="Q52" s="283"/>
      <c r="R52" s="283"/>
      <c r="S52" s="283"/>
      <c r="T52" s="283"/>
      <c r="U52" s="283"/>
      <c r="V52" s="283"/>
      <c r="W52" s="283"/>
      <c r="X52" s="283"/>
      <c r="Y52" s="283"/>
      <c r="Z52" s="283"/>
      <c r="AA52" s="283"/>
      <c r="AB52" s="283"/>
      <c r="AC52" s="283"/>
      <c r="AD52" s="283"/>
      <c r="AE52" s="283"/>
      <c r="AF52" s="283"/>
      <c r="AG52" s="283"/>
      <c r="AH52" s="283"/>
      <c r="AI52" s="283"/>
      <c r="AJ52" s="283"/>
      <c r="AK52" s="283"/>
      <c r="AL52" s="283"/>
      <c r="AM52" s="283"/>
      <c r="AN52" s="283"/>
      <c r="AO52" s="283"/>
      <c r="AP52" s="283"/>
      <c r="AQ52" s="283"/>
      <c r="AR52" s="283"/>
      <c r="AS52" s="283"/>
      <c r="AT52" s="283"/>
      <c r="AU52" s="283"/>
      <c r="AV52" s="283"/>
      <c r="AW52" s="283"/>
      <c r="AX52" s="283"/>
      <c r="AY52" s="283"/>
      <c r="AZ52" s="283"/>
      <c r="BA52" s="283"/>
      <c r="BB52" s="283"/>
      <c r="BC52" s="283"/>
      <c r="BD52" s="283"/>
      <c r="BE52" s="283"/>
    </row>
    <row r="53" spans="1:57">
      <c r="A53" s="595"/>
      <c r="B53" s="598"/>
      <c r="C53" s="599"/>
      <c r="D53" s="283"/>
      <c r="E53" s="283"/>
      <c r="F53" s="283"/>
      <c r="G53" s="283"/>
      <c r="H53" s="283"/>
      <c r="I53" s="283"/>
      <c r="J53" s="283"/>
      <c r="K53" s="283"/>
      <c r="L53" s="283"/>
      <c r="M53" s="283"/>
      <c r="N53" s="283"/>
      <c r="O53" s="283"/>
      <c r="P53" s="283"/>
      <c r="Q53" s="283"/>
      <c r="R53" s="283"/>
      <c r="S53" s="283"/>
      <c r="T53" s="283"/>
      <c r="U53" s="283"/>
      <c r="V53" s="283"/>
      <c r="W53" s="283"/>
      <c r="X53" s="283"/>
      <c r="Y53" s="283"/>
      <c r="Z53" s="283"/>
      <c r="AA53" s="283"/>
      <c r="AB53" s="283"/>
      <c r="AC53" s="283"/>
      <c r="AD53" s="283"/>
      <c r="AE53" s="283"/>
      <c r="AF53" s="283"/>
      <c r="AG53" s="283"/>
      <c r="AH53" s="283"/>
      <c r="AI53" s="283"/>
      <c r="AJ53" s="283"/>
      <c r="AK53" s="283"/>
      <c r="AL53" s="283"/>
      <c r="AM53" s="283"/>
      <c r="AN53" s="283"/>
      <c r="AO53" s="283"/>
      <c r="AP53" s="283"/>
      <c r="AQ53" s="283"/>
      <c r="AR53" s="283"/>
      <c r="AS53" s="283"/>
      <c r="AT53" s="283"/>
      <c r="AU53" s="283"/>
      <c r="AV53" s="283"/>
      <c r="AW53" s="283"/>
      <c r="AX53" s="283"/>
      <c r="AY53" s="283"/>
      <c r="AZ53" s="283"/>
      <c r="BA53" s="283"/>
      <c r="BB53" s="283"/>
      <c r="BC53" s="283"/>
      <c r="BD53" s="283"/>
      <c r="BE53" s="283"/>
    </row>
    <row r="54" spans="1:57">
      <c r="A54" s="595"/>
      <c r="B54" s="598"/>
      <c r="C54" s="599"/>
      <c r="D54" s="283"/>
      <c r="E54" s="283"/>
      <c r="F54" s="283"/>
      <c r="G54" s="283"/>
      <c r="H54" s="283"/>
      <c r="I54" s="283"/>
      <c r="J54" s="283"/>
      <c r="K54" s="283"/>
      <c r="L54" s="283"/>
      <c r="M54" s="283"/>
      <c r="N54" s="283"/>
      <c r="O54" s="283"/>
      <c r="P54" s="283"/>
      <c r="Q54" s="283"/>
      <c r="R54" s="283"/>
      <c r="S54" s="283"/>
      <c r="T54" s="283"/>
      <c r="U54" s="283"/>
      <c r="V54" s="283"/>
      <c r="W54" s="283"/>
      <c r="X54" s="283"/>
      <c r="Y54" s="283"/>
      <c r="Z54" s="283"/>
      <c r="AA54" s="283"/>
      <c r="AB54" s="283"/>
      <c r="AC54" s="283"/>
      <c r="AD54" s="283"/>
      <c r="AE54" s="283"/>
      <c r="AF54" s="283"/>
      <c r="AG54" s="283"/>
      <c r="AH54" s="283"/>
      <c r="AI54" s="283"/>
      <c r="AJ54" s="283"/>
      <c r="AK54" s="283"/>
      <c r="AL54" s="283"/>
      <c r="AM54" s="283"/>
      <c r="AN54" s="283"/>
      <c r="AO54" s="283"/>
      <c r="AP54" s="283"/>
      <c r="AQ54" s="283"/>
      <c r="AR54" s="283"/>
      <c r="AS54" s="283"/>
      <c r="AT54" s="283"/>
      <c r="AU54" s="283"/>
      <c r="AV54" s="283"/>
      <c r="AW54" s="283"/>
      <c r="AX54" s="283"/>
      <c r="AY54" s="283"/>
      <c r="AZ54" s="283"/>
      <c r="BA54" s="283"/>
      <c r="BB54" s="283"/>
      <c r="BC54" s="283"/>
      <c r="BD54" s="283"/>
      <c r="BE54" s="283"/>
    </row>
    <row r="55" spans="1:57">
      <c r="A55" s="595"/>
      <c r="B55" s="598"/>
      <c r="C55" s="599"/>
      <c r="D55" s="283"/>
      <c r="E55" s="283"/>
      <c r="F55" s="283"/>
      <c r="G55" s="283"/>
      <c r="H55" s="283"/>
      <c r="I55" s="283"/>
      <c r="J55" s="283"/>
      <c r="K55" s="283"/>
      <c r="L55" s="283"/>
      <c r="M55" s="283"/>
      <c r="N55" s="283"/>
      <c r="O55" s="283"/>
      <c r="P55" s="283"/>
      <c r="Q55" s="283"/>
      <c r="R55" s="283"/>
      <c r="S55" s="283"/>
      <c r="T55" s="283"/>
      <c r="U55" s="283"/>
      <c r="V55" s="283"/>
      <c r="W55" s="283"/>
      <c r="X55" s="283"/>
      <c r="Y55" s="283"/>
      <c r="Z55" s="283"/>
      <c r="AA55" s="283"/>
      <c r="AB55" s="283"/>
      <c r="AC55" s="283"/>
      <c r="AD55" s="283"/>
      <c r="AE55" s="283"/>
      <c r="AF55" s="283"/>
      <c r="AG55" s="283"/>
      <c r="AH55" s="283"/>
      <c r="AI55" s="283"/>
      <c r="AJ55" s="283"/>
      <c r="AK55" s="283"/>
      <c r="AL55" s="283"/>
      <c r="AM55" s="283"/>
      <c r="AN55" s="283"/>
      <c r="AO55" s="283"/>
      <c r="AP55" s="283"/>
      <c r="AQ55" s="283"/>
      <c r="AR55" s="283"/>
      <c r="AS55" s="283"/>
      <c r="AT55" s="283"/>
      <c r="AU55" s="283"/>
      <c r="AV55" s="283"/>
      <c r="AW55" s="283"/>
      <c r="AX55" s="283"/>
      <c r="AY55" s="283"/>
      <c r="AZ55" s="283"/>
      <c r="BA55" s="283"/>
      <c r="BB55" s="283"/>
      <c r="BC55" s="283"/>
      <c r="BD55" s="283"/>
      <c r="BE55" s="283"/>
    </row>
    <row r="56" spans="1:57">
      <c r="A56" s="595"/>
      <c r="B56" s="598"/>
      <c r="C56" s="599"/>
      <c r="D56" s="283"/>
      <c r="E56" s="283"/>
      <c r="F56" s="283"/>
      <c r="G56" s="283"/>
      <c r="H56" s="283"/>
      <c r="I56" s="283"/>
      <c r="J56" s="283"/>
      <c r="K56" s="283"/>
      <c r="L56" s="283"/>
      <c r="M56" s="283"/>
      <c r="N56" s="283"/>
      <c r="O56" s="283"/>
      <c r="P56" s="283"/>
      <c r="Q56" s="283"/>
      <c r="R56" s="283"/>
      <c r="S56" s="283"/>
      <c r="T56" s="283"/>
      <c r="U56" s="283"/>
      <c r="V56" s="283"/>
      <c r="W56" s="283"/>
      <c r="X56" s="283"/>
      <c r="Y56" s="283"/>
      <c r="Z56" s="283"/>
      <c r="AA56" s="283"/>
      <c r="AB56" s="283"/>
      <c r="AC56" s="283"/>
      <c r="AD56" s="283"/>
      <c r="AE56" s="283"/>
      <c r="AF56" s="283"/>
      <c r="AG56" s="283"/>
      <c r="AH56" s="283"/>
      <c r="AI56" s="283"/>
      <c r="AJ56" s="283"/>
      <c r="AK56" s="283"/>
      <c r="AL56" s="283"/>
      <c r="AM56" s="283"/>
      <c r="AN56" s="283"/>
      <c r="AO56" s="283"/>
      <c r="AP56" s="283"/>
      <c r="AQ56" s="283"/>
      <c r="AR56" s="283"/>
      <c r="AS56" s="283"/>
      <c r="AT56" s="283"/>
      <c r="AU56" s="283"/>
      <c r="AV56" s="283"/>
      <c r="AW56" s="283"/>
      <c r="AX56" s="283"/>
      <c r="AY56" s="283"/>
      <c r="AZ56" s="283"/>
      <c r="BA56" s="283"/>
      <c r="BB56" s="283"/>
      <c r="BC56" s="283"/>
      <c r="BD56" s="283"/>
      <c r="BE56" s="283"/>
    </row>
    <row r="57" spans="1:57">
      <c r="A57" s="595"/>
      <c r="B57" s="598"/>
      <c r="C57" s="599"/>
      <c r="D57" s="283"/>
      <c r="E57" s="283"/>
      <c r="F57" s="283"/>
      <c r="G57" s="283"/>
      <c r="H57" s="283"/>
      <c r="I57" s="283"/>
      <c r="J57" s="283"/>
      <c r="K57" s="283"/>
      <c r="L57" s="283"/>
      <c r="M57" s="283"/>
      <c r="N57" s="283"/>
      <c r="O57" s="283"/>
      <c r="P57" s="283"/>
      <c r="Q57" s="283"/>
      <c r="R57" s="283"/>
      <c r="S57" s="283"/>
      <c r="T57" s="283"/>
      <c r="U57" s="283"/>
      <c r="V57" s="283"/>
      <c r="W57" s="283"/>
      <c r="X57" s="283"/>
      <c r="Y57" s="283"/>
      <c r="Z57" s="283"/>
      <c r="AA57" s="283"/>
      <c r="AB57" s="283"/>
      <c r="AC57" s="283"/>
      <c r="AD57" s="283"/>
      <c r="AE57" s="283"/>
      <c r="AF57" s="283"/>
      <c r="AG57" s="283"/>
      <c r="AH57" s="283"/>
      <c r="AI57" s="283"/>
      <c r="AJ57" s="283"/>
      <c r="AK57" s="283"/>
      <c r="AL57" s="283"/>
      <c r="AM57" s="283"/>
      <c r="AN57" s="283"/>
      <c r="AO57" s="283"/>
      <c r="AP57" s="283"/>
      <c r="AQ57" s="283"/>
      <c r="AR57" s="283"/>
      <c r="AS57" s="283"/>
      <c r="AT57" s="283"/>
      <c r="AU57" s="283"/>
      <c r="AV57" s="283"/>
      <c r="AW57" s="283"/>
      <c r="AX57" s="283"/>
      <c r="AY57" s="283"/>
      <c r="AZ57" s="283"/>
      <c r="BA57" s="283"/>
      <c r="BB57" s="283"/>
      <c r="BC57" s="283"/>
      <c r="BD57" s="283"/>
      <c r="BE57" s="283"/>
    </row>
    <row r="58" spans="1:57">
      <c r="A58" s="595"/>
      <c r="B58" s="598"/>
      <c r="C58" s="599"/>
      <c r="D58" s="283"/>
      <c r="E58" s="283"/>
      <c r="F58" s="283"/>
      <c r="G58" s="283"/>
      <c r="H58" s="283"/>
      <c r="I58" s="283"/>
      <c r="J58" s="283"/>
      <c r="K58" s="283"/>
      <c r="L58" s="283"/>
      <c r="M58" s="283"/>
      <c r="N58" s="283"/>
      <c r="O58" s="283"/>
      <c r="P58" s="283"/>
      <c r="Q58" s="283"/>
      <c r="R58" s="283"/>
      <c r="S58" s="283"/>
      <c r="T58" s="283"/>
      <c r="U58" s="283"/>
      <c r="V58" s="283"/>
      <c r="W58" s="283"/>
      <c r="X58" s="283"/>
      <c r="Y58" s="283"/>
      <c r="Z58" s="283"/>
      <c r="AA58" s="283"/>
      <c r="AB58" s="283"/>
      <c r="AC58" s="283"/>
      <c r="AD58" s="283"/>
      <c r="AE58" s="283"/>
      <c r="AF58" s="283"/>
      <c r="AG58" s="283"/>
      <c r="AH58" s="283"/>
      <c r="AI58" s="283"/>
      <c r="AJ58" s="283"/>
      <c r="AK58" s="283"/>
      <c r="AL58" s="283"/>
      <c r="AM58" s="283"/>
      <c r="AN58" s="283"/>
      <c r="AO58" s="283"/>
      <c r="AP58" s="283"/>
      <c r="AQ58" s="283"/>
      <c r="AR58" s="283"/>
      <c r="AS58" s="283"/>
      <c r="AT58" s="283"/>
      <c r="AU58" s="283"/>
      <c r="AV58" s="283"/>
      <c r="AW58" s="283"/>
      <c r="AX58" s="283"/>
      <c r="AY58" s="283"/>
      <c r="AZ58" s="283"/>
      <c r="BA58" s="283"/>
      <c r="BB58" s="283"/>
      <c r="BC58" s="283"/>
      <c r="BD58" s="283"/>
      <c r="BE58" s="283"/>
    </row>
    <row r="59" spans="1:57">
      <c r="A59" s="595"/>
      <c r="B59" s="598"/>
      <c r="C59" s="599"/>
      <c r="D59" s="283"/>
      <c r="E59" s="283"/>
      <c r="F59" s="283"/>
      <c r="G59" s="283"/>
      <c r="H59" s="283"/>
      <c r="I59" s="283"/>
      <c r="J59" s="283"/>
      <c r="K59" s="283"/>
      <c r="L59" s="283"/>
      <c r="M59" s="283"/>
      <c r="N59" s="283"/>
      <c r="O59" s="283"/>
      <c r="P59" s="283"/>
      <c r="Q59" s="283"/>
      <c r="R59" s="283"/>
      <c r="S59" s="283"/>
      <c r="T59" s="283"/>
      <c r="U59" s="283"/>
      <c r="V59" s="283"/>
      <c r="W59" s="283"/>
      <c r="X59" s="283"/>
      <c r="Y59" s="283"/>
      <c r="Z59" s="283"/>
      <c r="AA59" s="283"/>
      <c r="AB59" s="283"/>
      <c r="AC59" s="283"/>
      <c r="AD59" s="283"/>
      <c r="AE59" s="283"/>
      <c r="AF59" s="283"/>
      <c r="AG59" s="283"/>
      <c r="AH59" s="283"/>
      <c r="AI59" s="283"/>
      <c r="AJ59" s="283"/>
      <c r="AK59" s="283"/>
      <c r="AL59" s="283"/>
      <c r="AM59" s="283"/>
      <c r="AN59" s="283"/>
      <c r="AO59" s="283"/>
      <c r="AP59" s="283"/>
      <c r="AQ59" s="283"/>
      <c r="AR59" s="283"/>
      <c r="AS59" s="283"/>
      <c r="AT59" s="283"/>
      <c r="AU59" s="283"/>
      <c r="AV59" s="283"/>
      <c r="AW59" s="283"/>
      <c r="AX59" s="283"/>
      <c r="AY59" s="283"/>
      <c r="AZ59" s="283"/>
      <c r="BA59" s="283"/>
      <c r="BB59" s="283"/>
      <c r="BC59" s="283"/>
      <c r="BD59" s="283"/>
      <c r="BE59" s="283"/>
    </row>
    <row r="60" spans="1:57">
      <c r="A60" s="595"/>
      <c r="B60" s="598"/>
      <c r="C60" s="599"/>
      <c r="D60" s="283"/>
      <c r="E60" s="283"/>
      <c r="F60" s="283"/>
      <c r="G60" s="283"/>
      <c r="H60" s="283"/>
      <c r="I60" s="283"/>
      <c r="J60" s="283"/>
      <c r="K60" s="283"/>
      <c r="L60" s="283"/>
      <c r="M60" s="283"/>
      <c r="N60" s="283"/>
      <c r="O60" s="283"/>
      <c r="P60" s="283"/>
      <c r="Q60" s="283"/>
      <c r="R60" s="283"/>
      <c r="S60" s="283"/>
      <c r="T60" s="283"/>
      <c r="U60" s="283"/>
      <c r="V60" s="283"/>
      <c r="W60" s="283"/>
      <c r="X60" s="283"/>
      <c r="Y60" s="283"/>
      <c r="Z60" s="283"/>
      <c r="AA60" s="283"/>
      <c r="AB60" s="283"/>
      <c r="AC60" s="283"/>
      <c r="AD60" s="283"/>
      <c r="AE60" s="283"/>
      <c r="AF60" s="283"/>
      <c r="AG60" s="283"/>
      <c r="AH60" s="283"/>
      <c r="AI60" s="283"/>
      <c r="AJ60" s="283"/>
      <c r="AK60" s="283"/>
      <c r="AL60" s="283"/>
      <c r="AM60" s="283"/>
      <c r="AN60" s="283"/>
      <c r="AO60" s="283"/>
      <c r="AP60" s="283"/>
      <c r="AQ60" s="283"/>
      <c r="AR60" s="283"/>
      <c r="AS60" s="283"/>
      <c r="AT60" s="283"/>
      <c r="AU60" s="283"/>
      <c r="AV60" s="283"/>
      <c r="AW60" s="283"/>
      <c r="AX60" s="283"/>
      <c r="AY60" s="283"/>
      <c r="AZ60" s="283"/>
      <c r="BA60" s="283"/>
      <c r="BB60" s="283"/>
      <c r="BC60" s="283"/>
      <c r="BD60" s="283"/>
      <c r="BE60" s="283"/>
    </row>
    <row r="61" spans="1:57">
      <c r="A61" s="595"/>
      <c r="B61" s="598"/>
      <c r="C61" s="599"/>
      <c r="D61" s="283"/>
      <c r="E61" s="283"/>
      <c r="F61" s="283"/>
      <c r="G61" s="283"/>
      <c r="H61" s="283"/>
      <c r="I61" s="283"/>
      <c r="J61" s="283"/>
      <c r="K61" s="283"/>
      <c r="L61" s="283"/>
      <c r="M61" s="283"/>
      <c r="N61" s="283"/>
      <c r="O61" s="283"/>
      <c r="P61" s="283"/>
      <c r="Q61" s="283"/>
      <c r="R61" s="283"/>
      <c r="S61" s="283"/>
      <c r="T61" s="283"/>
      <c r="U61" s="283"/>
      <c r="V61" s="283"/>
      <c r="W61" s="283"/>
      <c r="X61" s="283"/>
      <c r="Y61" s="283"/>
      <c r="Z61" s="283"/>
      <c r="AA61" s="283"/>
      <c r="AB61" s="283"/>
      <c r="AC61" s="283"/>
      <c r="AD61" s="283"/>
      <c r="AE61" s="283"/>
      <c r="AF61" s="283"/>
      <c r="AG61" s="283"/>
      <c r="AH61" s="283"/>
      <c r="AI61" s="283"/>
      <c r="AJ61" s="283"/>
      <c r="AK61" s="283"/>
      <c r="AL61" s="283"/>
      <c r="AM61" s="283"/>
      <c r="AN61" s="283"/>
      <c r="AO61" s="283"/>
      <c r="AP61" s="283"/>
      <c r="AQ61" s="283"/>
      <c r="AR61" s="283"/>
      <c r="AS61" s="283"/>
      <c r="AT61" s="283"/>
      <c r="AU61" s="283"/>
      <c r="AV61" s="283"/>
      <c r="AW61" s="283"/>
      <c r="AX61" s="283"/>
      <c r="AY61" s="283"/>
      <c r="AZ61" s="283"/>
      <c r="BA61" s="283"/>
      <c r="BB61" s="283"/>
      <c r="BC61" s="283"/>
      <c r="BD61" s="283"/>
      <c r="BE61" s="283"/>
    </row>
    <row r="62" spans="1:57">
      <c r="A62" s="595"/>
      <c r="B62" s="598"/>
      <c r="C62" s="599"/>
      <c r="D62" s="283"/>
      <c r="E62" s="283"/>
      <c r="F62" s="283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283"/>
      <c r="W62" s="283"/>
      <c r="X62" s="283"/>
      <c r="Y62" s="283"/>
      <c r="Z62" s="283"/>
      <c r="AA62" s="283"/>
      <c r="AB62" s="283"/>
      <c r="AC62" s="283"/>
      <c r="AD62" s="283"/>
      <c r="AE62" s="283"/>
      <c r="AF62" s="283"/>
      <c r="AG62" s="283"/>
      <c r="AH62" s="283"/>
      <c r="AI62" s="283"/>
      <c r="AJ62" s="283"/>
      <c r="AK62" s="283"/>
      <c r="AL62" s="283"/>
      <c r="AM62" s="283"/>
      <c r="AN62" s="283"/>
      <c r="AO62" s="283"/>
      <c r="AP62" s="283"/>
      <c r="AQ62" s="283"/>
      <c r="AR62" s="283"/>
      <c r="AS62" s="283"/>
      <c r="AT62" s="283"/>
      <c r="AU62" s="283"/>
      <c r="AV62" s="283"/>
      <c r="AW62" s="283"/>
      <c r="AX62" s="283"/>
      <c r="AY62" s="283"/>
      <c r="AZ62" s="283"/>
      <c r="BA62" s="283"/>
      <c r="BB62" s="283"/>
      <c r="BC62" s="283"/>
      <c r="BD62" s="283"/>
      <c r="BE62" s="283"/>
    </row>
    <row r="63" spans="1:57">
      <c r="A63" s="595"/>
      <c r="B63" s="598"/>
      <c r="C63" s="599"/>
      <c r="D63" s="283"/>
      <c r="E63" s="283"/>
      <c r="F63" s="283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283"/>
      <c r="W63" s="283"/>
      <c r="X63" s="283"/>
      <c r="Y63" s="283"/>
      <c r="Z63" s="283"/>
      <c r="AA63" s="283"/>
      <c r="AB63" s="283"/>
      <c r="AC63" s="283"/>
      <c r="AD63" s="283"/>
      <c r="AE63" s="283"/>
      <c r="AF63" s="283"/>
      <c r="AG63" s="283"/>
      <c r="AH63" s="283"/>
      <c r="AI63" s="283"/>
      <c r="AJ63" s="283"/>
      <c r="AK63" s="283"/>
      <c r="AL63" s="283"/>
      <c r="AM63" s="283"/>
      <c r="AN63" s="283"/>
      <c r="AO63" s="283"/>
      <c r="AP63" s="283"/>
      <c r="AQ63" s="283"/>
      <c r="AR63" s="283"/>
      <c r="AS63" s="283"/>
      <c r="AT63" s="283"/>
      <c r="AU63" s="283"/>
      <c r="AV63" s="283"/>
      <c r="AW63" s="283"/>
      <c r="AX63" s="283"/>
      <c r="AY63" s="283"/>
      <c r="AZ63" s="283"/>
      <c r="BA63" s="283"/>
      <c r="BB63" s="283"/>
      <c r="BC63" s="283"/>
      <c r="BD63" s="283"/>
      <c r="BE63" s="283"/>
    </row>
    <row r="64" spans="1:57">
      <c r="A64" s="595"/>
      <c r="B64" s="598"/>
      <c r="C64" s="599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283"/>
      <c r="W64" s="283"/>
      <c r="X64" s="283"/>
      <c r="Y64" s="283"/>
      <c r="Z64" s="283"/>
      <c r="AA64" s="283"/>
      <c r="AB64" s="283"/>
      <c r="AC64" s="283"/>
      <c r="AD64" s="283"/>
      <c r="AE64" s="283"/>
      <c r="AF64" s="283"/>
      <c r="AG64" s="283"/>
      <c r="AH64" s="283"/>
      <c r="AI64" s="283"/>
      <c r="AJ64" s="283"/>
      <c r="AK64" s="283"/>
      <c r="AL64" s="283"/>
      <c r="AM64" s="283"/>
      <c r="AN64" s="283"/>
      <c r="AO64" s="283"/>
      <c r="AP64" s="283"/>
      <c r="AQ64" s="283"/>
      <c r="AR64" s="283"/>
      <c r="AS64" s="283"/>
      <c r="AT64" s="283"/>
      <c r="AU64" s="283"/>
      <c r="AV64" s="283"/>
      <c r="AW64" s="283"/>
      <c r="AX64" s="283"/>
      <c r="AY64" s="283"/>
      <c r="AZ64" s="283"/>
      <c r="BA64" s="283"/>
      <c r="BB64" s="283"/>
      <c r="BC64" s="283"/>
      <c r="BD64" s="283"/>
      <c r="BE64" s="283"/>
    </row>
    <row r="65" spans="1:57">
      <c r="A65" s="595"/>
      <c r="B65" s="598"/>
      <c r="C65" s="599"/>
      <c r="D65" s="283"/>
      <c r="E65" s="283"/>
      <c r="F65" s="283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283"/>
      <c r="W65" s="283"/>
      <c r="X65" s="283"/>
      <c r="Y65" s="283"/>
      <c r="Z65" s="283"/>
      <c r="AA65" s="283"/>
      <c r="AB65" s="283"/>
      <c r="AC65" s="283"/>
      <c r="AD65" s="283"/>
      <c r="AE65" s="283"/>
      <c r="AF65" s="283"/>
      <c r="AG65" s="283"/>
      <c r="AH65" s="283"/>
      <c r="AI65" s="283"/>
      <c r="AJ65" s="283"/>
      <c r="AK65" s="283"/>
      <c r="AL65" s="283"/>
      <c r="AM65" s="283"/>
      <c r="AN65" s="283"/>
      <c r="AO65" s="283"/>
      <c r="AP65" s="283"/>
      <c r="AQ65" s="283"/>
      <c r="AR65" s="283"/>
      <c r="AS65" s="283"/>
      <c r="AT65" s="283"/>
      <c r="AU65" s="283"/>
      <c r="AV65" s="283"/>
      <c r="AW65" s="283"/>
      <c r="AX65" s="283"/>
      <c r="AY65" s="283"/>
      <c r="AZ65" s="283"/>
      <c r="BA65" s="283"/>
      <c r="BB65" s="283"/>
      <c r="BC65" s="283"/>
      <c r="BD65" s="283"/>
      <c r="BE65" s="283"/>
    </row>
    <row r="66" spans="1:57">
      <c r="A66" s="595"/>
      <c r="B66" s="598"/>
      <c r="C66" s="599"/>
      <c r="D66" s="283"/>
      <c r="E66" s="283"/>
      <c r="F66" s="283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283"/>
      <c r="W66" s="283"/>
      <c r="X66" s="283"/>
      <c r="Y66" s="283"/>
      <c r="Z66" s="283"/>
      <c r="AA66" s="283"/>
      <c r="AB66" s="283"/>
      <c r="AC66" s="283"/>
      <c r="AD66" s="283"/>
      <c r="AE66" s="283"/>
      <c r="AF66" s="283"/>
      <c r="AG66" s="283"/>
      <c r="AH66" s="283"/>
      <c r="AI66" s="283"/>
      <c r="AJ66" s="283"/>
      <c r="AK66" s="283"/>
      <c r="AL66" s="283"/>
      <c r="AM66" s="283"/>
      <c r="AN66" s="283"/>
      <c r="AO66" s="283"/>
      <c r="AP66" s="283"/>
      <c r="AQ66" s="283"/>
      <c r="AR66" s="283"/>
      <c r="AS66" s="283"/>
      <c r="AT66" s="283"/>
      <c r="AU66" s="283"/>
      <c r="AV66" s="283"/>
      <c r="AW66" s="283"/>
      <c r="AX66" s="283"/>
      <c r="AY66" s="283"/>
      <c r="AZ66" s="283"/>
      <c r="BA66" s="283"/>
      <c r="BB66" s="283"/>
      <c r="BC66" s="283"/>
      <c r="BD66" s="283"/>
      <c r="BE66" s="283"/>
    </row>
    <row r="67" spans="1:57">
      <c r="A67" s="595"/>
      <c r="B67" s="598"/>
      <c r="C67" s="599"/>
      <c r="D67" s="283"/>
      <c r="E67" s="283"/>
      <c r="F67" s="283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283"/>
      <c r="W67" s="283"/>
      <c r="X67" s="283"/>
      <c r="Y67" s="283"/>
      <c r="Z67" s="283"/>
      <c r="AA67" s="283"/>
      <c r="AB67" s="283"/>
      <c r="AC67" s="283"/>
      <c r="AD67" s="283"/>
      <c r="AE67" s="283"/>
      <c r="AF67" s="283"/>
      <c r="AG67" s="283"/>
      <c r="AH67" s="283"/>
      <c r="AI67" s="283"/>
      <c r="AJ67" s="283"/>
      <c r="AK67" s="283"/>
      <c r="AL67" s="283"/>
      <c r="AM67" s="283"/>
      <c r="AN67" s="283"/>
      <c r="AO67" s="283"/>
      <c r="AP67" s="283"/>
      <c r="AQ67" s="283"/>
      <c r="AR67" s="283"/>
      <c r="AS67" s="283"/>
      <c r="AT67" s="283"/>
      <c r="AU67" s="283"/>
      <c r="AV67" s="283"/>
      <c r="AW67" s="283"/>
      <c r="AX67" s="283"/>
      <c r="AY67" s="283"/>
      <c r="AZ67" s="283"/>
      <c r="BA67" s="283"/>
      <c r="BB67" s="283"/>
      <c r="BC67" s="283"/>
      <c r="BD67" s="283"/>
      <c r="BE67" s="283"/>
    </row>
    <row r="68" spans="1:57">
      <c r="A68" s="595"/>
      <c r="B68" s="598"/>
      <c r="C68" s="599"/>
      <c r="D68" s="283"/>
      <c r="E68" s="283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283"/>
      <c r="W68" s="283"/>
      <c r="X68" s="283"/>
      <c r="Y68" s="283"/>
      <c r="Z68" s="283"/>
      <c r="AA68" s="283"/>
      <c r="AB68" s="283"/>
      <c r="AC68" s="283"/>
      <c r="AD68" s="283"/>
      <c r="AE68" s="283"/>
      <c r="AF68" s="283"/>
      <c r="AG68" s="283"/>
      <c r="AH68" s="283"/>
      <c r="AI68" s="283"/>
      <c r="AJ68" s="283"/>
      <c r="AK68" s="283"/>
      <c r="AL68" s="283"/>
      <c r="AM68" s="283"/>
      <c r="AN68" s="283"/>
      <c r="AO68" s="283"/>
      <c r="AP68" s="283"/>
      <c r="AQ68" s="283"/>
      <c r="AR68" s="283"/>
      <c r="AS68" s="283"/>
      <c r="AT68" s="283"/>
      <c r="AU68" s="283"/>
      <c r="AV68" s="283"/>
      <c r="AW68" s="283"/>
      <c r="AX68" s="283"/>
      <c r="AY68" s="283"/>
      <c r="AZ68" s="283"/>
      <c r="BA68" s="283"/>
      <c r="BB68" s="283"/>
      <c r="BC68" s="283"/>
      <c r="BD68" s="283"/>
      <c r="BE68" s="283"/>
    </row>
    <row r="69" spans="1:57">
      <c r="A69" s="595"/>
      <c r="B69" s="598"/>
      <c r="C69" s="599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283"/>
      <c r="W69" s="283"/>
      <c r="X69" s="283"/>
      <c r="Y69" s="283"/>
      <c r="Z69" s="283"/>
      <c r="AA69" s="283"/>
      <c r="AB69" s="283"/>
      <c r="AC69" s="283"/>
      <c r="AD69" s="283"/>
      <c r="AE69" s="283"/>
      <c r="AF69" s="283"/>
      <c r="AG69" s="283"/>
      <c r="AH69" s="283"/>
      <c r="AI69" s="283"/>
      <c r="AJ69" s="283"/>
      <c r="AK69" s="283"/>
      <c r="AL69" s="283"/>
      <c r="AM69" s="283"/>
      <c r="AN69" s="283"/>
      <c r="AO69" s="283"/>
      <c r="AP69" s="283"/>
      <c r="AQ69" s="283"/>
      <c r="AR69" s="283"/>
      <c r="AS69" s="283"/>
      <c r="AT69" s="283"/>
      <c r="AU69" s="283"/>
      <c r="AV69" s="283"/>
      <c r="AW69" s="283"/>
      <c r="AX69" s="283"/>
      <c r="AY69" s="283"/>
      <c r="AZ69" s="283"/>
      <c r="BA69" s="283"/>
      <c r="BB69" s="283"/>
      <c r="BC69" s="283"/>
      <c r="BD69" s="283"/>
      <c r="BE69" s="283"/>
    </row>
    <row r="70" spans="1:57">
      <c r="A70" s="595"/>
      <c r="B70" s="598"/>
      <c r="C70" s="599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283"/>
      <c r="W70" s="283"/>
      <c r="X70" s="283"/>
      <c r="Y70" s="283"/>
      <c r="Z70" s="283"/>
      <c r="AA70" s="283"/>
      <c r="AB70" s="283"/>
      <c r="AC70" s="283"/>
      <c r="AD70" s="283"/>
      <c r="AE70" s="283"/>
      <c r="AF70" s="283"/>
      <c r="AG70" s="283"/>
      <c r="AH70" s="283"/>
      <c r="AI70" s="283"/>
      <c r="AJ70" s="283"/>
      <c r="AK70" s="283"/>
      <c r="AL70" s="283"/>
      <c r="AM70" s="283"/>
      <c r="AN70" s="283"/>
      <c r="AO70" s="283"/>
      <c r="AP70" s="283"/>
      <c r="AQ70" s="283"/>
      <c r="AR70" s="283"/>
      <c r="AS70" s="283"/>
      <c r="AT70" s="283"/>
      <c r="AU70" s="283"/>
      <c r="AV70" s="283"/>
      <c r="AW70" s="283"/>
      <c r="AX70" s="283"/>
      <c r="AY70" s="283"/>
      <c r="AZ70" s="283"/>
      <c r="BA70" s="283"/>
      <c r="BB70" s="283"/>
      <c r="BC70" s="283"/>
      <c r="BD70" s="283"/>
      <c r="BE70" s="283"/>
    </row>
    <row r="71" spans="1:57">
      <c r="A71" s="595"/>
      <c r="B71" s="598"/>
      <c r="C71" s="599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283"/>
      <c r="W71" s="283"/>
      <c r="X71" s="283"/>
      <c r="Y71" s="283"/>
      <c r="Z71" s="283"/>
      <c r="AA71" s="283"/>
      <c r="AB71" s="283"/>
      <c r="AC71" s="283"/>
      <c r="AD71" s="283"/>
      <c r="AE71" s="283"/>
      <c r="AF71" s="283"/>
      <c r="AG71" s="283"/>
      <c r="AH71" s="283"/>
      <c r="AI71" s="283"/>
      <c r="AJ71" s="283"/>
      <c r="AK71" s="283"/>
      <c r="AL71" s="283"/>
      <c r="AM71" s="283"/>
      <c r="AN71" s="283"/>
      <c r="AO71" s="283"/>
      <c r="AP71" s="283"/>
      <c r="AQ71" s="283"/>
      <c r="AR71" s="283"/>
      <c r="AS71" s="283"/>
      <c r="AT71" s="283"/>
      <c r="AU71" s="283"/>
      <c r="AV71" s="283"/>
      <c r="AW71" s="283"/>
      <c r="AX71" s="283"/>
      <c r="AY71" s="283"/>
      <c r="AZ71" s="283"/>
      <c r="BA71" s="283"/>
      <c r="BB71" s="283"/>
      <c r="BC71" s="283"/>
      <c r="BD71" s="283"/>
      <c r="BE71" s="283"/>
    </row>
    <row r="72" spans="1:57">
      <c r="A72" s="595"/>
      <c r="B72" s="598"/>
      <c r="C72" s="599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283"/>
      <c r="W72" s="283"/>
      <c r="X72" s="283"/>
      <c r="Y72" s="283"/>
      <c r="Z72" s="283"/>
      <c r="AA72" s="283"/>
      <c r="AB72" s="283"/>
      <c r="AC72" s="283"/>
      <c r="AD72" s="283"/>
      <c r="AE72" s="283"/>
      <c r="AF72" s="283"/>
      <c r="AG72" s="283"/>
      <c r="AH72" s="283"/>
      <c r="AI72" s="283"/>
      <c r="AJ72" s="283"/>
      <c r="AK72" s="283"/>
      <c r="AL72" s="283"/>
      <c r="AM72" s="283"/>
      <c r="AN72" s="283"/>
      <c r="AO72" s="283"/>
      <c r="AP72" s="283"/>
      <c r="AQ72" s="283"/>
      <c r="AR72" s="283"/>
      <c r="AS72" s="283"/>
      <c r="AT72" s="283"/>
      <c r="AU72" s="283"/>
      <c r="AV72" s="283"/>
      <c r="AW72" s="283"/>
      <c r="AX72" s="283"/>
      <c r="AY72" s="283"/>
      <c r="AZ72" s="283"/>
      <c r="BA72" s="283"/>
      <c r="BB72" s="283"/>
      <c r="BC72" s="283"/>
      <c r="BD72" s="283"/>
      <c r="BE72" s="283"/>
    </row>
    <row r="73" spans="1:57">
      <c r="A73" s="595"/>
      <c r="B73" s="598"/>
      <c r="C73" s="599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3"/>
      <c r="AD73" s="283"/>
      <c r="AE73" s="283"/>
      <c r="AF73" s="283"/>
      <c r="AG73" s="283"/>
      <c r="AH73" s="283"/>
      <c r="AI73" s="283"/>
      <c r="AJ73" s="283"/>
      <c r="AK73" s="283"/>
      <c r="AL73" s="283"/>
      <c r="AM73" s="283"/>
      <c r="AN73" s="283"/>
      <c r="AO73" s="283"/>
      <c r="AP73" s="283"/>
      <c r="AQ73" s="283"/>
      <c r="AR73" s="283"/>
      <c r="AS73" s="283"/>
      <c r="AT73" s="283"/>
      <c r="AU73" s="283"/>
      <c r="AV73" s="283"/>
      <c r="AW73" s="283"/>
      <c r="AX73" s="283"/>
      <c r="AY73" s="283"/>
      <c r="AZ73" s="283"/>
      <c r="BA73" s="283"/>
      <c r="BB73" s="283"/>
      <c r="BC73" s="283"/>
      <c r="BD73" s="283"/>
      <c r="BE73" s="283"/>
    </row>
    <row r="74" spans="1:57">
      <c r="A74" s="595"/>
      <c r="B74" s="598"/>
      <c r="C74" s="599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283"/>
      <c r="W74" s="283"/>
      <c r="X74" s="283"/>
      <c r="Y74" s="283"/>
      <c r="Z74" s="283"/>
      <c r="AA74" s="283"/>
      <c r="AB74" s="283"/>
      <c r="AC74" s="283"/>
      <c r="AD74" s="283"/>
      <c r="AE74" s="283"/>
      <c r="AF74" s="283"/>
      <c r="AG74" s="283"/>
      <c r="AH74" s="283"/>
      <c r="AI74" s="283"/>
      <c r="AJ74" s="283"/>
      <c r="AK74" s="283"/>
      <c r="AL74" s="283"/>
      <c r="AM74" s="283"/>
      <c r="AN74" s="283"/>
      <c r="AO74" s="283"/>
      <c r="AP74" s="283"/>
      <c r="AQ74" s="283"/>
      <c r="AR74" s="283"/>
      <c r="AS74" s="283"/>
      <c r="AT74" s="283"/>
      <c r="AU74" s="283"/>
      <c r="AV74" s="283"/>
      <c r="AW74" s="283"/>
      <c r="AX74" s="283"/>
      <c r="AY74" s="283"/>
      <c r="AZ74" s="283"/>
      <c r="BA74" s="283"/>
      <c r="BB74" s="283"/>
      <c r="BC74" s="283"/>
      <c r="BD74" s="283"/>
      <c r="BE74" s="283"/>
    </row>
    <row r="75" spans="1:57">
      <c r="A75" s="595"/>
      <c r="B75" s="598"/>
      <c r="C75" s="599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3"/>
      <c r="Z75" s="283"/>
      <c r="AA75" s="283"/>
      <c r="AB75" s="283"/>
      <c r="AC75" s="283"/>
      <c r="AD75" s="283"/>
      <c r="AE75" s="283"/>
      <c r="AF75" s="283"/>
      <c r="AG75" s="283"/>
      <c r="AH75" s="283"/>
      <c r="AI75" s="283"/>
      <c r="AJ75" s="283"/>
      <c r="AK75" s="283"/>
      <c r="AL75" s="283"/>
      <c r="AM75" s="283"/>
      <c r="AN75" s="283"/>
      <c r="AO75" s="283"/>
      <c r="AP75" s="283"/>
      <c r="AQ75" s="283"/>
      <c r="AR75" s="283"/>
      <c r="AS75" s="283"/>
      <c r="AT75" s="283"/>
      <c r="AU75" s="283"/>
      <c r="AV75" s="283"/>
      <c r="AW75" s="283"/>
      <c r="AX75" s="283"/>
      <c r="AY75" s="283"/>
      <c r="AZ75" s="283"/>
      <c r="BA75" s="283"/>
      <c r="BB75" s="283"/>
      <c r="BC75" s="283"/>
      <c r="BD75" s="283"/>
      <c r="BE75" s="283"/>
    </row>
    <row r="76" spans="1:57">
      <c r="A76" s="595"/>
      <c r="B76" s="598"/>
      <c r="C76" s="599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283"/>
      <c r="W76" s="283"/>
      <c r="X76" s="283"/>
      <c r="Y76" s="283"/>
      <c r="Z76" s="283"/>
      <c r="AA76" s="283"/>
      <c r="AB76" s="283"/>
      <c r="AC76" s="283"/>
      <c r="AD76" s="283"/>
      <c r="AE76" s="283"/>
      <c r="AF76" s="283"/>
      <c r="AG76" s="283"/>
      <c r="AH76" s="283"/>
      <c r="AI76" s="283"/>
      <c r="AJ76" s="283"/>
      <c r="AK76" s="283"/>
      <c r="AL76" s="283"/>
      <c r="AM76" s="283"/>
      <c r="AN76" s="283"/>
      <c r="AO76" s="283"/>
      <c r="AP76" s="283"/>
      <c r="AQ76" s="283"/>
      <c r="AR76" s="283"/>
      <c r="AS76" s="283"/>
      <c r="AT76" s="283"/>
      <c r="AU76" s="283"/>
      <c r="AV76" s="283"/>
      <c r="AW76" s="283"/>
      <c r="AX76" s="283"/>
      <c r="AY76" s="283"/>
      <c r="AZ76" s="283"/>
      <c r="BA76" s="283"/>
      <c r="BB76" s="283"/>
      <c r="BC76" s="283"/>
      <c r="BD76" s="283"/>
      <c r="BE76" s="283"/>
    </row>
    <row r="77" spans="1:57">
      <c r="A77" s="595"/>
      <c r="B77" s="598"/>
      <c r="C77" s="599"/>
      <c r="D77" s="283"/>
      <c r="E77" s="283"/>
      <c r="F77" s="283"/>
      <c r="G77" s="283"/>
      <c r="H77" s="283"/>
      <c r="I77" s="283"/>
      <c r="J77" s="283"/>
      <c r="K77" s="283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283"/>
      <c r="W77" s="283"/>
      <c r="X77" s="283"/>
      <c r="Y77" s="283"/>
      <c r="Z77" s="283"/>
      <c r="AA77" s="283"/>
      <c r="AB77" s="283"/>
      <c r="AC77" s="283"/>
      <c r="AD77" s="283"/>
      <c r="AE77" s="283"/>
      <c r="AF77" s="283"/>
      <c r="AG77" s="283"/>
      <c r="AH77" s="283"/>
      <c r="AI77" s="283"/>
      <c r="AJ77" s="283"/>
      <c r="AK77" s="283"/>
      <c r="AL77" s="283"/>
      <c r="AM77" s="283"/>
      <c r="AN77" s="283"/>
      <c r="AO77" s="283"/>
      <c r="AP77" s="283"/>
      <c r="AQ77" s="283"/>
      <c r="AR77" s="283"/>
      <c r="AS77" s="283"/>
      <c r="AT77" s="283"/>
      <c r="AU77" s="283"/>
      <c r="AV77" s="283"/>
      <c r="AW77" s="283"/>
      <c r="AX77" s="283"/>
      <c r="AY77" s="283"/>
      <c r="AZ77" s="283"/>
      <c r="BA77" s="283"/>
      <c r="BB77" s="283"/>
      <c r="BC77" s="283"/>
      <c r="BD77" s="283"/>
      <c r="BE77" s="283"/>
    </row>
    <row r="78" spans="1:57">
      <c r="A78" s="595"/>
      <c r="B78" s="598"/>
      <c r="C78" s="599"/>
      <c r="D78" s="283"/>
      <c r="E78" s="283"/>
      <c r="F78" s="283"/>
      <c r="G78" s="283"/>
      <c r="H78" s="283"/>
      <c r="I78" s="283"/>
      <c r="J78" s="283"/>
      <c r="K78" s="283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283"/>
      <c r="W78" s="283"/>
      <c r="X78" s="283"/>
      <c r="Y78" s="283"/>
      <c r="Z78" s="283"/>
      <c r="AA78" s="283"/>
      <c r="AB78" s="283"/>
      <c r="AC78" s="283"/>
      <c r="AD78" s="283"/>
      <c r="AE78" s="283"/>
      <c r="AF78" s="283"/>
      <c r="AG78" s="283"/>
      <c r="AH78" s="283"/>
      <c r="AI78" s="283"/>
      <c r="AJ78" s="283"/>
      <c r="AK78" s="283"/>
      <c r="AL78" s="283"/>
      <c r="AM78" s="283"/>
      <c r="AN78" s="283"/>
      <c r="AO78" s="283"/>
      <c r="AP78" s="283"/>
      <c r="AQ78" s="283"/>
      <c r="AR78" s="283"/>
      <c r="AS78" s="283"/>
      <c r="AT78" s="283"/>
      <c r="AU78" s="283"/>
      <c r="AV78" s="283"/>
      <c r="AW78" s="283"/>
      <c r="AX78" s="283"/>
      <c r="AY78" s="283"/>
      <c r="AZ78" s="283"/>
      <c r="BA78" s="283"/>
      <c r="BB78" s="283"/>
      <c r="BC78" s="283"/>
      <c r="BD78" s="283"/>
      <c r="BE78" s="283"/>
    </row>
    <row r="79" spans="1:57">
      <c r="A79" s="595"/>
      <c r="B79" s="598"/>
      <c r="C79" s="599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3"/>
      <c r="Z79" s="283"/>
      <c r="AA79" s="283"/>
      <c r="AB79" s="283"/>
      <c r="AC79" s="283"/>
      <c r="AD79" s="283"/>
      <c r="AE79" s="283"/>
      <c r="AF79" s="283"/>
      <c r="AG79" s="283"/>
      <c r="AH79" s="283"/>
      <c r="AI79" s="283"/>
      <c r="AJ79" s="283"/>
      <c r="AK79" s="283"/>
      <c r="AL79" s="283"/>
      <c r="AM79" s="283"/>
      <c r="AN79" s="283"/>
      <c r="AO79" s="283"/>
      <c r="AP79" s="283"/>
      <c r="AQ79" s="283"/>
      <c r="AR79" s="283"/>
      <c r="AS79" s="283"/>
      <c r="AT79" s="283"/>
      <c r="AU79" s="283"/>
      <c r="AV79" s="283"/>
      <c r="AW79" s="283"/>
      <c r="AX79" s="283"/>
      <c r="AY79" s="283"/>
      <c r="AZ79" s="283"/>
      <c r="BA79" s="283"/>
      <c r="BB79" s="283"/>
      <c r="BC79" s="283"/>
      <c r="BD79" s="283"/>
      <c r="BE79" s="283"/>
    </row>
    <row r="80" spans="1:57">
      <c r="A80" s="595"/>
      <c r="B80" s="598"/>
      <c r="C80" s="599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3"/>
      <c r="Z80" s="283"/>
      <c r="AA80" s="283"/>
      <c r="AB80" s="283"/>
      <c r="AC80" s="283"/>
      <c r="AD80" s="283"/>
      <c r="AE80" s="283"/>
      <c r="AF80" s="283"/>
      <c r="AG80" s="283"/>
      <c r="AH80" s="283"/>
      <c r="AI80" s="283"/>
      <c r="AJ80" s="283"/>
      <c r="AK80" s="283"/>
      <c r="AL80" s="283"/>
      <c r="AM80" s="283"/>
      <c r="AN80" s="283"/>
      <c r="AO80" s="283"/>
      <c r="AP80" s="283"/>
      <c r="AQ80" s="283"/>
      <c r="AR80" s="283"/>
      <c r="AS80" s="283"/>
      <c r="AT80" s="283"/>
      <c r="AU80" s="283"/>
      <c r="AV80" s="283"/>
      <c r="AW80" s="283"/>
      <c r="AX80" s="283"/>
      <c r="AY80" s="283"/>
      <c r="AZ80" s="283"/>
      <c r="BA80" s="283"/>
      <c r="BB80" s="283"/>
      <c r="BC80" s="283"/>
      <c r="BD80" s="283"/>
      <c r="BE80" s="283"/>
    </row>
    <row r="81" spans="1:57">
      <c r="A81" s="595"/>
      <c r="B81" s="598"/>
      <c r="C81" s="599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3"/>
      <c r="Z81" s="283"/>
      <c r="AA81" s="283"/>
      <c r="AB81" s="283"/>
      <c r="AC81" s="283"/>
      <c r="AD81" s="283"/>
      <c r="AE81" s="283"/>
      <c r="AF81" s="283"/>
      <c r="AG81" s="283"/>
      <c r="AH81" s="283"/>
      <c r="AI81" s="283"/>
      <c r="AJ81" s="283"/>
      <c r="AK81" s="283"/>
      <c r="AL81" s="283"/>
      <c r="AM81" s="283"/>
      <c r="AN81" s="283"/>
      <c r="AO81" s="283"/>
      <c r="AP81" s="283"/>
      <c r="AQ81" s="283"/>
      <c r="AR81" s="283"/>
      <c r="AS81" s="283"/>
      <c r="AT81" s="283"/>
      <c r="AU81" s="283"/>
      <c r="AV81" s="283"/>
      <c r="AW81" s="283"/>
      <c r="AX81" s="283"/>
      <c r="AY81" s="283"/>
      <c r="AZ81" s="283"/>
      <c r="BA81" s="283"/>
      <c r="BB81" s="283"/>
      <c r="BC81" s="283"/>
      <c r="BD81" s="283"/>
      <c r="BE81" s="283"/>
    </row>
    <row r="82" spans="1:57">
      <c r="A82" s="595"/>
      <c r="B82" s="598"/>
      <c r="C82" s="599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3"/>
      <c r="Z82" s="283"/>
      <c r="AA82" s="283"/>
      <c r="AB82" s="283"/>
      <c r="AC82" s="283"/>
      <c r="AD82" s="283"/>
      <c r="AE82" s="283"/>
      <c r="AF82" s="283"/>
      <c r="AG82" s="283"/>
      <c r="AH82" s="283"/>
      <c r="AI82" s="283"/>
      <c r="AJ82" s="283"/>
      <c r="AK82" s="283"/>
      <c r="AL82" s="283"/>
      <c r="AM82" s="283"/>
      <c r="AN82" s="283"/>
      <c r="AO82" s="283"/>
      <c r="AP82" s="283"/>
      <c r="AQ82" s="283"/>
      <c r="AR82" s="283"/>
      <c r="AS82" s="283"/>
      <c r="AT82" s="283"/>
      <c r="AU82" s="283"/>
      <c r="AV82" s="283"/>
      <c r="AW82" s="283"/>
      <c r="AX82" s="283"/>
      <c r="AY82" s="283"/>
      <c r="AZ82" s="283"/>
      <c r="BA82" s="283"/>
      <c r="BB82" s="283"/>
      <c r="BC82" s="283"/>
      <c r="BD82" s="283"/>
      <c r="BE82" s="283"/>
    </row>
    <row r="83" spans="1:57">
      <c r="A83" s="595"/>
      <c r="B83" s="598"/>
      <c r="C83" s="599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3"/>
      <c r="Z83" s="283"/>
      <c r="AA83" s="283"/>
      <c r="AB83" s="283"/>
      <c r="AC83" s="283"/>
      <c r="AD83" s="283"/>
      <c r="AE83" s="283"/>
      <c r="AF83" s="283"/>
      <c r="AG83" s="283"/>
      <c r="AH83" s="283"/>
      <c r="AI83" s="283"/>
      <c r="AJ83" s="283"/>
      <c r="AK83" s="283"/>
      <c r="AL83" s="283"/>
      <c r="AM83" s="283"/>
      <c r="AN83" s="283"/>
      <c r="AO83" s="283"/>
      <c r="AP83" s="283"/>
      <c r="AQ83" s="283"/>
      <c r="AR83" s="283"/>
      <c r="AS83" s="283"/>
      <c r="AT83" s="283"/>
      <c r="AU83" s="283"/>
      <c r="AV83" s="283"/>
      <c r="AW83" s="283"/>
      <c r="AX83" s="283"/>
      <c r="AY83" s="283"/>
      <c r="AZ83" s="283"/>
      <c r="BA83" s="283"/>
      <c r="BB83" s="283"/>
      <c r="BC83" s="283"/>
      <c r="BD83" s="283"/>
      <c r="BE83" s="283"/>
    </row>
    <row r="84" spans="1:57">
      <c r="A84" s="595"/>
      <c r="B84" s="598"/>
      <c r="C84" s="599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3"/>
      <c r="Z84" s="283"/>
      <c r="AA84" s="283"/>
      <c r="AB84" s="283"/>
      <c r="AC84" s="283"/>
      <c r="AD84" s="283"/>
      <c r="AE84" s="283"/>
      <c r="AF84" s="283"/>
      <c r="AG84" s="283"/>
      <c r="AH84" s="283"/>
      <c r="AI84" s="283"/>
      <c r="AJ84" s="283"/>
      <c r="AK84" s="283"/>
      <c r="AL84" s="283"/>
      <c r="AM84" s="283"/>
      <c r="AN84" s="283"/>
      <c r="AO84" s="283"/>
      <c r="AP84" s="283"/>
      <c r="AQ84" s="283"/>
      <c r="AR84" s="283"/>
      <c r="AS84" s="283"/>
      <c r="AT84" s="283"/>
      <c r="AU84" s="283"/>
      <c r="AV84" s="283"/>
      <c r="AW84" s="283"/>
      <c r="AX84" s="283"/>
      <c r="AY84" s="283"/>
      <c r="AZ84" s="283"/>
      <c r="BA84" s="283"/>
      <c r="BB84" s="283"/>
      <c r="BC84" s="283"/>
      <c r="BD84" s="283"/>
      <c r="BE84" s="283"/>
    </row>
    <row r="85" spans="1:57">
      <c r="A85" s="595"/>
      <c r="B85" s="598"/>
      <c r="C85" s="599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3"/>
      <c r="Z85" s="283"/>
      <c r="AA85" s="283"/>
      <c r="AB85" s="283"/>
      <c r="AC85" s="283"/>
      <c r="AD85" s="283"/>
      <c r="AE85" s="283"/>
      <c r="AF85" s="283"/>
      <c r="AG85" s="283"/>
      <c r="AH85" s="283"/>
      <c r="AI85" s="283"/>
      <c r="AJ85" s="283"/>
      <c r="AK85" s="283"/>
      <c r="AL85" s="283"/>
      <c r="AM85" s="283"/>
      <c r="AN85" s="283"/>
      <c r="AO85" s="283"/>
      <c r="AP85" s="283"/>
      <c r="AQ85" s="283"/>
      <c r="AR85" s="283"/>
      <c r="AS85" s="283"/>
      <c r="AT85" s="283"/>
      <c r="AU85" s="283"/>
      <c r="AV85" s="283"/>
      <c r="AW85" s="283"/>
      <c r="AX85" s="283"/>
      <c r="AY85" s="283"/>
      <c r="AZ85" s="283"/>
      <c r="BA85" s="283"/>
      <c r="BB85" s="283"/>
      <c r="BC85" s="283"/>
      <c r="BD85" s="283"/>
      <c r="BE85" s="283"/>
    </row>
    <row r="86" spans="1:57">
      <c r="A86" s="595"/>
      <c r="B86" s="598"/>
      <c r="C86" s="599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3"/>
      <c r="Z86" s="283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3"/>
      <c r="AL86" s="283"/>
      <c r="AM86" s="283"/>
      <c r="AN86" s="283"/>
      <c r="AO86" s="283"/>
      <c r="AP86" s="283"/>
      <c r="AQ86" s="283"/>
      <c r="AR86" s="283"/>
      <c r="AS86" s="283"/>
      <c r="AT86" s="283"/>
      <c r="AU86" s="283"/>
      <c r="AV86" s="283"/>
      <c r="AW86" s="283"/>
      <c r="AX86" s="283"/>
      <c r="AY86" s="283"/>
      <c r="AZ86" s="283"/>
      <c r="BA86" s="283"/>
      <c r="BB86" s="283"/>
      <c r="BC86" s="283"/>
      <c r="BD86" s="283"/>
      <c r="BE86" s="283"/>
    </row>
    <row r="87" spans="1:57">
      <c r="A87" s="595"/>
      <c r="B87" s="598"/>
      <c r="C87" s="599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283"/>
      <c r="X87" s="283"/>
      <c r="Y87" s="283"/>
      <c r="Z87" s="283"/>
      <c r="AA87" s="283"/>
      <c r="AB87" s="283"/>
      <c r="AC87" s="283"/>
      <c r="AD87" s="283"/>
      <c r="AE87" s="283"/>
      <c r="AF87" s="283"/>
      <c r="AG87" s="283"/>
      <c r="AH87" s="283"/>
      <c r="AI87" s="283"/>
      <c r="AJ87" s="283"/>
      <c r="AK87" s="283"/>
      <c r="AL87" s="283"/>
      <c r="AM87" s="283"/>
      <c r="AN87" s="283"/>
      <c r="AO87" s="283"/>
      <c r="AP87" s="283"/>
      <c r="AQ87" s="283"/>
      <c r="AR87" s="283"/>
      <c r="AS87" s="283"/>
      <c r="AT87" s="283"/>
      <c r="AU87" s="283"/>
      <c r="AV87" s="283"/>
      <c r="AW87" s="283"/>
      <c r="AX87" s="283"/>
      <c r="AY87" s="283"/>
      <c r="AZ87" s="283"/>
      <c r="BA87" s="283"/>
      <c r="BB87" s="283"/>
      <c r="BC87" s="283"/>
      <c r="BD87" s="283"/>
      <c r="BE87" s="283"/>
    </row>
    <row r="88" spans="1:57">
      <c r="A88" s="595"/>
      <c r="B88" s="598"/>
      <c r="C88" s="599"/>
      <c r="D88" s="283"/>
      <c r="E88" s="283"/>
      <c r="F88" s="283"/>
      <c r="G88" s="283"/>
      <c r="H88" s="283"/>
      <c r="I88" s="283"/>
      <c r="J88" s="283"/>
      <c r="K88" s="283"/>
      <c r="L88" s="283"/>
      <c r="M88" s="283"/>
      <c r="N88" s="283"/>
      <c r="O88" s="283"/>
      <c r="P88" s="283"/>
      <c r="Q88" s="283"/>
      <c r="R88" s="283"/>
      <c r="S88" s="283"/>
      <c r="T88" s="283"/>
      <c r="U88" s="283"/>
      <c r="V88" s="283"/>
      <c r="W88" s="283"/>
      <c r="X88" s="283"/>
      <c r="Y88" s="283"/>
      <c r="Z88" s="283"/>
      <c r="AA88" s="283"/>
      <c r="AB88" s="283"/>
      <c r="AC88" s="283"/>
      <c r="AD88" s="283"/>
      <c r="AE88" s="283"/>
      <c r="AF88" s="283"/>
      <c r="AG88" s="283"/>
      <c r="AH88" s="283"/>
      <c r="AI88" s="283"/>
      <c r="AJ88" s="283"/>
      <c r="AK88" s="283"/>
      <c r="AL88" s="283"/>
      <c r="AM88" s="283"/>
      <c r="AN88" s="283"/>
      <c r="AO88" s="283"/>
      <c r="AP88" s="283"/>
      <c r="AQ88" s="283"/>
      <c r="AR88" s="283"/>
      <c r="AS88" s="283"/>
      <c r="AT88" s="283"/>
      <c r="AU88" s="283"/>
      <c r="AV88" s="283"/>
      <c r="AW88" s="283"/>
      <c r="AX88" s="283"/>
      <c r="AY88" s="283"/>
      <c r="AZ88" s="283"/>
      <c r="BA88" s="283"/>
      <c r="BB88" s="283"/>
      <c r="BC88" s="283"/>
      <c r="BD88" s="283"/>
      <c r="BE88" s="283"/>
    </row>
    <row r="89" spans="1:57">
      <c r="A89" s="595"/>
      <c r="B89" s="598"/>
      <c r="C89" s="599"/>
      <c r="D89" s="283"/>
      <c r="E89" s="283"/>
      <c r="F89" s="283"/>
      <c r="G89" s="283"/>
      <c r="H89" s="283"/>
      <c r="I89" s="283"/>
      <c r="J89" s="283"/>
      <c r="K89" s="283"/>
      <c r="L89" s="283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3"/>
      <c r="Z89" s="283"/>
      <c r="AA89" s="283"/>
      <c r="AB89" s="283"/>
      <c r="AC89" s="283"/>
      <c r="AD89" s="283"/>
      <c r="AE89" s="283"/>
      <c r="AF89" s="283"/>
      <c r="AG89" s="283"/>
      <c r="AH89" s="283"/>
      <c r="AI89" s="283"/>
      <c r="AJ89" s="283"/>
      <c r="AK89" s="283"/>
      <c r="AL89" s="283"/>
      <c r="AM89" s="283"/>
      <c r="AN89" s="283"/>
      <c r="AO89" s="283"/>
      <c r="AP89" s="283"/>
      <c r="AQ89" s="283"/>
      <c r="AR89" s="283"/>
      <c r="AS89" s="283"/>
      <c r="AT89" s="283"/>
      <c r="AU89" s="283"/>
      <c r="AV89" s="283"/>
      <c r="AW89" s="283"/>
      <c r="AX89" s="283"/>
      <c r="AY89" s="283"/>
      <c r="AZ89" s="283"/>
      <c r="BA89" s="283"/>
      <c r="BB89" s="283"/>
      <c r="BC89" s="283"/>
      <c r="BD89" s="283"/>
      <c r="BE89" s="283"/>
    </row>
    <row r="90" spans="1:57">
      <c r="A90" s="595"/>
      <c r="B90" s="598"/>
      <c r="C90" s="599"/>
      <c r="D90" s="283"/>
      <c r="E90" s="283"/>
      <c r="F90" s="283"/>
      <c r="G90" s="283"/>
      <c r="H90" s="283"/>
      <c r="I90" s="283"/>
      <c r="J90" s="283"/>
      <c r="K90" s="283"/>
      <c r="L90" s="283"/>
      <c r="M90" s="283"/>
      <c r="N90" s="283"/>
      <c r="O90" s="283"/>
      <c r="P90" s="283"/>
      <c r="Q90" s="283"/>
      <c r="R90" s="283"/>
      <c r="S90" s="283"/>
      <c r="T90" s="283"/>
      <c r="U90" s="283"/>
      <c r="V90" s="283"/>
      <c r="W90" s="283"/>
      <c r="X90" s="283"/>
      <c r="Y90" s="283"/>
      <c r="Z90" s="283"/>
      <c r="AA90" s="283"/>
      <c r="AB90" s="283"/>
      <c r="AC90" s="283"/>
      <c r="AD90" s="283"/>
      <c r="AE90" s="283"/>
      <c r="AF90" s="283"/>
      <c r="AG90" s="283"/>
      <c r="AH90" s="283"/>
      <c r="AI90" s="283"/>
      <c r="AJ90" s="283"/>
      <c r="AK90" s="283"/>
      <c r="AL90" s="283"/>
      <c r="AM90" s="283"/>
      <c r="AN90" s="283"/>
      <c r="AO90" s="283"/>
      <c r="AP90" s="283"/>
      <c r="AQ90" s="283"/>
      <c r="AR90" s="283"/>
      <c r="AS90" s="283"/>
      <c r="AT90" s="283"/>
      <c r="AU90" s="283"/>
      <c r="AV90" s="283"/>
      <c r="AW90" s="283"/>
      <c r="AX90" s="283"/>
      <c r="AY90" s="283"/>
      <c r="AZ90" s="283"/>
      <c r="BA90" s="283"/>
      <c r="BB90" s="283"/>
      <c r="BC90" s="283"/>
      <c r="BD90" s="283"/>
      <c r="BE90" s="283"/>
    </row>
    <row r="91" spans="1:57">
      <c r="A91" s="595"/>
      <c r="B91" s="598"/>
      <c r="C91" s="599"/>
      <c r="D91" s="283"/>
      <c r="E91" s="283"/>
      <c r="F91" s="283"/>
      <c r="G91" s="283"/>
      <c r="H91" s="283"/>
      <c r="I91" s="283"/>
      <c r="J91" s="283"/>
      <c r="K91" s="283"/>
      <c r="L91" s="283"/>
      <c r="M91" s="283"/>
      <c r="N91" s="283"/>
      <c r="O91" s="283"/>
      <c r="P91" s="283"/>
      <c r="Q91" s="283"/>
      <c r="R91" s="283"/>
      <c r="S91" s="283"/>
      <c r="T91" s="283"/>
      <c r="U91" s="283"/>
      <c r="V91" s="283"/>
      <c r="W91" s="283"/>
      <c r="X91" s="283"/>
      <c r="Y91" s="283"/>
      <c r="Z91" s="283"/>
      <c r="AA91" s="283"/>
      <c r="AB91" s="283"/>
      <c r="AC91" s="283"/>
      <c r="AD91" s="283"/>
      <c r="AE91" s="283"/>
      <c r="AF91" s="283"/>
      <c r="AG91" s="283"/>
      <c r="AH91" s="283"/>
      <c r="AI91" s="283"/>
      <c r="AJ91" s="283"/>
      <c r="AK91" s="283"/>
      <c r="AL91" s="283"/>
      <c r="AM91" s="283"/>
      <c r="AN91" s="283"/>
      <c r="AO91" s="283"/>
      <c r="AP91" s="283"/>
      <c r="AQ91" s="283"/>
      <c r="AR91" s="283"/>
      <c r="AS91" s="283"/>
      <c r="AT91" s="283"/>
      <c r="AU91" s="283"/>
      <c r="AV91" s="283"/>
      <c r="AW91" s="283"/>
      <c r="AX91" s="283"/>
      <c r="AY91" s="283"/>
      <c r="AZ91" s="283"/>
      <c r="BA91" s="283"/>
      <c r="BB91" s="283"/>
      <c r="BC91" s="283"/>
      <c r="BD91" s="283"/>
      <c r="BE91" s="283"/>
    </row>
    <row r="92" spans="1:57">
      <c r="A92" s="595"/>
      <c r="B92" s="598"/>
      <c r="C92" s="599"/>
      <c r="D92" s="283"/>
      <c r="E92" s="283"/>
      <c r="F92" s="283"/>
      <c r="G92" s="283"/>
      <c r="H92" s="283"/>
      <c r="I92" s="283"/>
      <c r="J92" s="283"/>
      <c r="K92" s="283"/>
      <c r="L92" s="283"/>
      <c r="M92" s="283"/>
      <c r="N92" s="283"/>
      <c r="O92" s="283"/>
      <c r="P92" s="283"/>
      <c r="Q92" s="283"/>
      <c r="R92" s="283"/>
      <c r="S92" s="283"/>
      <c r="T92" s="283"/>
      <c r="U92" s="283"/>
      <c r="V92" s="283"/>
      <c r="W92" s="283"/>
      <c r="X92" s="283"/>
      <c r="Y92" s="283"/>
      <c r="Z92" s="283"/>
      <c r="AA92" s="283"/>
      <c r="AB92" s="283"/>
      <c r="AC92" s="283"/>
      <c r="AD92" s="283"/>
      <c r="AE92" s="283"/>
      <c r="AF92" s="283"/>
      <c r="AG92" s="283"/>
      <c r="AH92" s="283"/>
      <c r="AI92" s="283"/>
      <c r="AJ92" s="283"/>
      <c r="AK92" s="283"/>
      <c r="AL92" s="283"/>
      <c r="AM92" s="283"/>
      <c r="AN92" s="283"/>
      <c r="AO92" s="283"/>
      <c r="AP92" s="283"/>
      <c r="AQ92" s="283"/>
      <c r="AR92" s="283"/>
      <c r="AS92" s="283"/>
      <c r="AT92" s="283"/>
      <c r="AU92" s="283"/>
      <c r="AV92" s="283"/>
      <c r="AW92" s="283"/>
      <c r="AX92" s="283"/>
      <c r="AY92" s="283"/>
      <c r="AZ92" s="283"/>
      <c r="BA92" s="283"/>
      <c r="BB92" s="283"/>
      <c r="BC92" s="283"/>
      <c r="BD92" s="283"/>
      <c r="BE92" s="283"/>
    </row>
    <row r="93" spans="1:57">
      <c r="A93" s="595"/>
      <c r="B93" s="598"/>
      <c r="C93" s="599"/>
      <c r="D93" s="283"/>
      <c r="E93" s="283"/>
      <c r="F93" s="283"/>
      <c r="G93" s="283"/>
      <c r="H93" s="283"/>
      <c r="I93" s="283"/>
      <c r="J93" s="283"/>
      <c r="K93" s="283"/>
      <c r="L93" s="283"/>
      <c r="M93" s="283"/>
      <c r="N93" s="283"/>
      <c r="O93" s="283"/>
      <c r="P93" s="283"/>
      <c r="Q93" s="283"/>
      <c r="R93" s="283"/>
      <c r="S93" s="283"/>
      <c r="T93" s="283"/>
      <c r="U93" s="283"/>
      <c r="V93" s="283"/>
      <c r="W93" s="283"/>
      <c r="X93" s="283"/>
      <c r="Y93" s="283"/>
      <c r="Z93" s="283"/>
      <c r="AA93" s="283"/>
      <c r="AB93" s="283"/>
      <c r="AC93" s="283"/>
      <c r="AD93" s="283"/>
      <c r="AE93" s="283"/>
      <c r="AF93" s="283"/>
      <c r="AG93" s="283"/>
      <c r="AH93" s="283"/>
      <c r="AI93" s="283"/>
      <c r="AJ93" s="283"/>
      <c r="AK93" s="283"/>
      <c r="AL93" s="283"/>
      <c r="AM93" s="283"/>
      <c r="AN93" s="283"/>
      <c r="AO93" s="283"/>
      <c r="AP93" s="283"/>
      <c r="AQ93" s="283"/>
      <c r="AR93" s="283"/>
      <c r="AS93" s="283"/>
      <c r="AT93" s="283"/>
      <c r="AU93" s="283"/>
      <c r="AV93" s="283"/>
      <c r="AW93" s="283"/>
      <c r="AX93" s="283"/>
      <c r="AY93" s="283"/>
      <c r="AZ93" s="283"/>
      <c r="BA93" s="283"/>
      <c r="BB93" s="283"/>
      <c r="BC93" s="283"/>
      <c r="BD93" s="283"/>
      <c r="BE93" s="283"/>
    </row>
    <row r="94" spans="1:57">
      <c r="A94" s="595"/>
      <c r="B94" s="598"/>
      <c r="C94" s="599"/>
      <c r="D94" s="283"/>
      <c r="E94" s="283"/>
      <c r="F94" s="283"/>
      <c r="G94" s="283"/>
      <c r="H94" s="283"/>
      <c r="I94" s="283"/>
      <c r="J94" s="283"/>
      <c r="K94" s="283"/>
      <c r="L94" s="283"/>
      <c r="M94" s="283"/>
      <c r="N94" s="283"/>
      <c r="O94" s="283"/>
      <c r="P94" s="283"/>
      <c r="Q94" s="283"/>
      <c r="R94" s="283"/>
      <c r="S94" s="283"/>
      <c r="T94" s="283"/>
      <c r="U94" s="283"/>
      <c r="V94" s="283"/>
      <c r="W94" s="283"/>
      <c r="X94" s="283"/>
      <c r="Y94" s="283"/>
      <c r="Z94" s="283"/>
      <c r="AA94" s="283"/>
      <c r="AB94" s="283"/>
      <c r="AC94" s="283"/>
      <c r="AD94" s="283"/>
      <c r="AE94" s="283"/>
      <c r="AF94" s="283"/>
      <c r="AG94" s="283"/>
      <c r="AH94" s="283"/>
      <c r="AI94" s="283"/>
      <c r="AJ94" s="283"/>
      <c r="AK94" s="283"/>
      <c r="AL94" s="283"/>
      <c r="AM94" s="283"/>
      <c r="AN94" s="283"/>
      <c r="AO94" s="283"/>
      <c r="AP94" s="283"/>
      <c r="AQ94" s="283"/>
      <c r="AR94" s="283"/>
      <c r="AS94" s="283"/>
      <c r="AT94" s="283"/>
      <c r="AU94" s="283"/>
      <c r="AV94" s="283"/>
      <c r="AW94" s="283"/>
      <c r="AX94" s="283"/>
      <c r="AY94" s="283"/>
      <c r="AZ94" s="283"/>
      <c r="BA94" s="283"/>
      <c r="BB94" s="283"/>
      <c r="BC94" s="283"/>
      <c r="BD94" s="283"/>
      <c r="BE94" s="283"/>
    </row>
    <row r="95" spans="1:57">
      <c r="A95" s="595"/>
      <c r="B95" s="598"/>
      <c r="C95" s="599"/>
      <c r="D95" s="283"/>
      <c r="E95" s="283"/>
      <c r="F95" s="283"/>
      <c r="G95" s="283"/>
      <c r="H95" s="283"/>
      <c r="I95" s="283"/>
      <c r="J95" s="283"/>
      <c r="K95" s="283"/>
      <c r="L95" s="283"/>
      <c r="M95" s="283"/>
      <c r="N95" s="283"/>
      <c r="O95" s="283"/>
      <c r="P95" s="283"/>
      <c r="Q95" s="283"/>
      <c r="R95" s="283"/>
      <c r="S95" s="283"/>
      <c r="T95" s="283"/>
      <c r="U95" s="283"/>
      <c r="V95" s="283"/>
      <c r="W95" s="283"/>
      <c r="X95" s="283"/>
      <c r="Y95" s="283"/>
      <c r="Z95" s="283"/>
      <c r="AA95" s="283"/>
      <c r="AB95" s="283"/>
      <c r="AC95" s="283"/>
      <c r="AD95" s="283"/>
      <c r="AE95" s="283"/>
      <c r="AF95" s="283"/>
      <c r="AG95" s="283"/>
      <c r="AH95" s="283"/>
      <c r="AI95" s="283"/>
      <c r="AJ95" s="283"/>
      <c r="AK95" s="283"/>
      <c r="AL95" s="283"/>
      <c r="AM95" s="283"/>
      <c r="AN95" s="283"/>
      <c r="AO95" s="283"/>
      <c r="AP95" s="283"/>
      <c r="AQ95" s="283"/>
      <c r="AR95" s="283"/>
      <c r="AS95" s="283"/>
      <c r="AT95" s="283"/>
      <c r="AU95" s="283"/>
      <c r="AV95" s="283"/>
      <c r="AW95" s="283"/>
      <c r="AX95" s="283"/>
      <c r="AY95" s="283"/>
      <c r="AZ95" s="283"/>
      <c r="BA95" s="283"/>
      <c r="BB95" s="283"/>
      <c r="BC95" s="283"/>
      <c r="BD95" s="283"/>
      <c r="BE95" s="283"/>
    </row>
    <row r="96" spans="1:57">
      <c r="A96" s="595"/>
      <c r="B96" s="598"/>
      <c r="C96" s="599"/>
      <c r="D96" s="283"/>
      <c r="E96" s="283"/>
      <c r="F96" s="283"/>
      <c r="G96" s="283"/>
      <c r="H96" s="283"/>
      <c r="I96" s="283"/>
      <c r="J96" s="283"/>
      <c r="K96" s="283"/>
      <c r="L96" s="283"/>
      <c r="M96" s="283"/>
      <c r="N96" s="283"/>
      <c r="O96" s="283"/>
      <c r="P96" s="283"/>
      <c r="Q96" s="283"/>
      <c r="R96" s="283"/>
      <c r="S96" s="283"/>
      <c r="T96" s="283"/>
      <c r="U96" s="283"/>
      <c r="V96" s="283"/>
      <c r="W96" s="283"/>
      <c r="X96" s="283"/>
      <c r="Y96" s="283"/>
      <c r="Z96" s="283"/>
      <c r="AA96" s="283"/>
      <c r="AB96" s="283"/>
      <c r="AC96" s="283"/>
      <c r="AD96" s="283"/>
      <c r="AE96" s="283"/>
      <c r="AF96" s="283"/>
      <c r="AG96" s="283"/>
      <c r="AH96" s="283"/>
      <c r="AI96" s="283"/>
      <c r="AJ96" s="283"/>
      <c r="AK96" s="283"/>
      <c r="AL96" s="283"/>
      <c r="AM96" s="283"/>
      <c r="AN96" s="283"/>
      <c r="AO96" s="283"/>
      <c r="AP96" s="283"/>
      <c r="AQ96" s="283"/>
      <c r="AR96" s="283"/>
      <c r="AS96" s="283"/>
      <c r="AT96" s="283"/>
      <c r="AU96" s="283"/>
      <c r="AV96" s="283"/>
      <c r="AW96" s="283"/>
      <c r="AX96" s="283"/>
      <c r="AY96" s="283"/>
      <c r="AZ96" s="283"/>
      <c r="BA96" s="283"/>
      <c r="BB96" s="283"/>
      <c r="BC96" s="283"/>
      <c r="BD96" s="283"/>
      <c r="BE96" s="283"/>
    </row>
    <row r="97" spans="1:57">
      <c r="A97" s="595"/>
      <c r="B97" s="598"/>
      <c r="C97" s="599"/>
      <c r="D97" s="283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283"/>
      <c r="S97" s="283"/>
      <c r="T97" s="283"/>
      <c r="U97" s="283"/>
      <c r="V97" s="283"/>
      <c r="W97" s="283"/>
      <c r="X97" s="283"/>
      <c r="Y97" s="283"/>
      <c r="Z97" s="283"/>
      <c r="AA97" s="283"/>
      <c r="AB97" s="283"/>
      <c r="AC97" s="283"/>
      <c r="AD97" s="283"/>
      <c r="AE97" s="283"/>
      <c r="AF97" s="283"/>
      <c r="AG97" s="283"/>
      <c r="AH97" s="283"/>
      <c r="AI97" s="283"/>
      <c r="AJ97" s="283"/>
      <c r="AK97" s="283"/>
      <c r="AL97" s="283"/>
      <c r="AM97" s="283"/>
      <c r="AN97" s="283"/>
      <c r="AO97" s="283"/>
      <c r="AP97" s="283"/>
      <c r="AQ97" s="283"/>
      <c r="AR97" s="283"/>
      <c r="AS97" s="283"/>
      <c r="AT97" s="283"/>
      <c r="AU97" s="283"/>
      <c r="AV97" s="283"/>
      <c r="AW97" s="283"/>
      <c r="AX97" s="283"/>
      <c r="AY97" s="283"/>
      <c r="AZ97" s="283"/>
      <c r="BA97" s="283"/>
      <c r="BB97" s="283"/>
      <c r="BC97" s="283"/>
      <c r="BD97" s="283"/>
      <c r="BE97" s="283"/>
    </row>
    <row r="98" spans="1:57">
      <c r="A98" s="595"/>
      <c r="B98" s="598"/>
      <c r="C98" s="599"/>
      <c r="D98" s="283"/>
      <c r="E98" s="283"/>
      <c r="F98" s="283"/>
      <c r="G98" s="283"/>
      <c r="H98" s="283"/>
      <c r="I98" s="283"/>
      <c r="J98" s="283"/>
      <c r="K98" s="283"/>
      <c r="L98" s="283"/>
      <c r="M98" s="283"/>
      <c r="N98" s="283"/>
      <c r="O98" s="283"/>
      <c r="P98" s="283"/>
      <c r="Q98" s="283"/>
      <c r="R98" s="283"/>
      <c r="S98" s="283"/>
      <c r="T98" s="283"/>
      <c r="U98" s="283"/>
      <c r="V98" s="283"/>
      <c r="W98" s="283"/>
      <c r="X98" s="283"/>
      <c r="Y98" s="283"/>
      <c r="Z98" s="283"/>
      <c r="AA98" s="283"/>
      <c r="AB98" s="283"/>
      <c r="AC98" s="283"/>
      <c r="AD98" s="283"/>
      <c r="AE98" s="283"/>
      <c r="AF98" s="283"/>
      <c r="AG98" s="283"/>
      <c r="AH98" s="283"/>
      <c r="AI98" s="283"/>
      <c r="AJ98" s="283"/>
      <c r="AK98" s="283"/>
      <c r="AL98" s="283"/>
      <c r="AM98" s="283"/>
      <c r="AN98" s="283"/>
      <c r="AO98" s="283"/>
      <c r="AP98" s="283"/>
      <c r="AQ98" s="283"/>
      <c r="AR98" s="283"/>
      <c r="AS98" s="283"/>
      <c r="AT98" s="283"/>
      <c r="AU98" s="283"/>
      <c r="AV98" s="283"/>
      <c r="AW98" s="283"/>
      <c r="AX98" s="283"/>
      <c r="AY98" s="283"/>
      <c r="AZ98" s="283"/>
      <c r="BA98" s="283"/>
      <c r="BB98" s="283"/>
      <c r="BC98" s="283"/>
      <c r="BD98" s="283"/>
      <c r="BE98" s="283"/>
    </row>
    <row r="99" spans="1:57">
      <c r="A99" s="595"/>
      <c r="B99" s="598"/>
      <c r="C99" s="599"/>
      <c r="D99" s="283"/>
      <c r="E99" s="283"/>
      <c r="F99" s="283"/>
      <c r="G99" s="283"/>
      <c r="H99" s="283"/>
      <c r="I99" s="283"/>
      <c r="J99" s="283"/>
      <c r="K99" s="283"/>
      <c r="L99" s="283"/>
      <c r="M99" s="283"/>
      <c r="N99" s="283"/>
      <c r="O99" s="283"/>
      <c r="P99" s="283"/>
      <c r="Q99" s="283"/>
      <c r="R99" s="283"/>
      <c r="S99" s="283"/>
      <c r="T99" s="283"/>
      <c r="U99" s="283"/>
      <c r="V99" s="283"/>
      <c r="W99" s="283"/>
      <c r="X99" s="283"/>
      <c r="Y99" s="283"/>
      <c r="Z99" s="283"/>
      <c r="AA99" s="283"/>
      <c r="AB99" s="283"/>
      <c r="AC99" s="283"/>
      <c r="AD99" s="283"/>
      <c r="AE99" s="283"/>
      <c r="AF99" s="283"/>
      <c r="AG99" s="283"/>
      <c r="AH99" s="283"/>
      <c r="AI99" s="283"/>
      <c r="AJ99" s="283"/>
      <c r="AK99" s="283"/>
      <c r="AL99" s="283"/>
      <c r="AM99" s="283"/>
      <c r="AN99" s="283"/>
      <c r="AO99" s="283"/>
      <c r="AP99" s="283"/>
      <c r="AQ99" s="283"/>
      <c r="AR99" s="283"/>
      <c r="AS99" s="283"/>
      <c r="AT99" s="283"/>
      <c r="AU99" s="283"/>
      <c r="AV99" s="283"/>
      <c r="AW99" s="283"/>
      <c r="AX99" s="283"/>
      <c r="AY99" s="283"/>
      <c r="AZ99" s="283"/>
      <c r="BA99" s="283"/>
      <c r="BB99" s="283"/>
      <c r="BC99" s="283"/>
      <c r="BD99" s="283"/>
      <c r="BE99" s="283"/>
    </row>
    <row r="100" spans="1:57">
      <c r="A100" s="595"/>
      <c r="B100" s="598"/>
      <c r="C100" s="599"/>
      <c r="D100" s="283"/>
      <c r="E100" s="283"/>
      <c r="F100" s="283"/>
      <c r="G100" s="283"/>
      <c r="H100" s="283"/>
      <c r="I100" s="283"/>
      <c r="J100" s="283"/>
      <c r="K100" s="283"/>
      <c r="L100" s="283"/>
      <c r="M100" s="283"/>
      <c r="N100" s="283"/>
      <c r="O100" s="283"/>
      <c r="P100" s="283"/>
      <c r="Q100" s="283"/>
      <c r="R100" s="283"/>
      <c r="S100" s="283"/>
      <c r="T100" s="283"/>
      <c r="U100" s="283"/>
      <c r="V100" s="283"/>
      <c r="W100" s="283"/>
      <c r="X100" s="283"/>
      <c r="Y100" s="283"/>
      <c r="Z100" s="283"/>
      <c r="AA100" s="283"/>
      <c r="AB100" s="283"/>
      <c r="AC100" s="283"/>
      <c r="AD100" s="283"/>
      <c r="AE100" s="283"/>
      <c r="AF100" s="283"/>
      <c r="AG100" s="283"/>
      <c r="AH100" s="283"/>
      <c r="AI100" s="283"/>
      <c r="AJ100" s="283"/>
      <c r="AK100" s="283"/>
      <c r="AL100" s="283"/>
      <c r="AM100" s="283"/>
      <c r="AN100" s="283"/>
      <c r="AO100" s="283"/>
      <c r="AP100" s="283"/>
      <c r="AQ100" s="283"/>
      <c r="AR100" s="283"/>
      <c r="AS100" s="283"/>
      <c r="AT100" s="283"/>
      <c r="AU100" s="283"/>
      <c r="AV100" s="283"/>
      <c r="AW100" s="283"/>
      <c r="AX100" s="283"/>
      <c r="AY100" s="283"/>
      <c r="AZ100" s="283"/>
      <c r="BA100" s="283"/>
      <c r="BB100" s="283"/>
      <c r="BC100" s="283"/>
      <c r="BD100" s="283"/>
      <c r="BE100" s="283"/>
    </row>
    <row r="101" spans="1:57">
      <c r="A101" s="595"/>
      <c r="B101" s="598"/>
      <c r="C101" s="599"/>
      <c r="D101" s="283"/>
      <c r="E101" s="283"/>
      <c r="F101" s="283"/>
      <c r="G101" s="283"/>
      <c r="H101" s="283"/>
      <c r="I101" s="283"/>
      <c r="J101" s="283"/>
      <c r="K101" s="283"/>
      <c r="L101" s="283"/>
      <c r="M101" s="283"/>
      <c r="N101" s="283"/>
      <c r="O101" s="283"/>
      <c r="P101" s="283"/>
      <c r="Q101" s="283"/>
      <c r="R101" s="283"/>
      <c r="S101" s="283"/>
      <c r="T101" s="283"/>
      <c r="U101" s="283"/>
      <c r="V101" s="283"/>
      <c r="W101" s="283"/>
      <c r="X101" s="283"/>
      <c r="Y101" s="283"/>
      <c r="Z101" s="283"/>
      <c r="AA101" s="283"/>
      <c r="AB101" s="283"/>
      <c r="AC101" s="283"/>
      <c r="AD101" s="283"/>
      <c r="AE101" s="283"/>
      <c r="AF101" s="283"/>
      <c r="AG101" s="283"/>
      <c r="AH101" s="283"/>
      <c r="AI101" s="283"/>
      <c r="AJ101" s="283"/>
      <c r="AK101" s="283"/>
      <c r="AL101" s="283"/>
      <c r="AM101" s="283"/>
      <c r="AN101" s="283"/>
      <c r="AO101" s="283"/>
      <c r="AP101" s="283"/>
      <c r="AQ101" s="283"/>
      <c r="AR101" s="283"/>
      <c r="AS101" s="283"/>
      <c r="AT101" s="283"/>
      <c r="AU101" s="283"/>
      <c r="AV101" s="283"/>
      <c r="AW101" s="283"/>
      <c r="AX101" s="283"/>
      <c r="AY101" s="283"/>
      <c r="AZ101" s="283"/>
      <c r="BA101" s="283"/>
      <c r="BB101" s="283"/>
      <c r="BC101" s="283"/>
      <c r="BD101" s="283"/>
      <c r="BE101" s="283"/>
    </row>
    <row r="102" spans="1:57">
      <c r="A102" s="595"/>
      <c r="B102" s="598"/>
      <c r="C102" s="599"/>
      <c r="D102" s="283"/>
      <c r="E102" s="283"/>
      <c r="F102" s="283"/>
      <c r="G102" s="283"/>
      <c r="H102" s="283"/>
      <c r="I102" s="283"/>
      <c r="J102" s="283"/>
      <c r="K102" s="283"/>
      <c r="L102" s="283"/>
      <c r="M102" s="283"/>
      <c r="N102" s="283"/>
      <c r="O102" s="283"/>
      <c r="P102" s="283"/>
      <c r="Q102" s="283"/>
      <c r="R102" s="283"/>
      <c r="S102" s="283"/>
      <c r="T102" s="283"/>
      <c r="U102" s="283"/>
      <c r="V102" s="283"/>
      <c r="W102" s="283"/>
      <c r="X102" s="283"/>
      <c r="Y102" s="283"/>
      <c r="Z102" s="283"/>
      <c r="AA102" s="283"/>
      <c r="AB102" s="283"/>
      <c r="AC102" s="283"/>
      <c r="AD102" s="283"/>
      <c r="AE102" s="283"/>
      <c r="AF102" s="283"/>
      <c r="AG102" s="283"/>
      <c r="AH102" s="283"/>
      <c r="AI102" s="283"/>
      <c r="AJ102" s="283"/>
      <c r="AK102" s="283"/>
      <c r="AL102" s="283"/>
      <c r="AM102" s="283"/>
      <c r="AN102" s="283"/>
      <c r="AO102" s="283"/>
      <c r="AP102" s="283"/>
      <c r="AQ102" s="283"/>
      <c r="AR102" s="283"/>
      <c r="AS102" s="283"/>
      <c r="AT102" s="283"/>
      <c r="AU102" s="283"/>
      <c r="AV102" s="283"/>
      <c r="AW102" s="283"/>
      <c r="AX102" s="283"/>
      <c r="AY102" s="283"/>
      <c r="AZ102" s="283"/>
      <c r="BA102" s="283"/>
      <c r="BB102" s="283"/>
      <c r="BC102" s="283"/>
      <c r="BD102" s="283"/>
      <c r="BE102" s="283"/>
    </row>
    <row r="103" spans="1:57">
      <c r="A103" s="595"/>
      <c r="B103" s="598"/>
      <c r="C103" s="599"/>
      <c r="D103" s="283"/>
      <c r="E103" s="283"/>
      <c r="F103" s="283"/>
      <c r="G103" s="283"/>
      <c r="H103" s="283"/>
      <c r="I103" s="283"/>
      <c r="J103" s="283"/>
      <c r="K103" s="283"/>
      <c r="L103" s="283"/>
      <c r="M103" s="283"/>
      <c r="N103" s="283"/>
      <c r="O103" s="283"/>
      <c r="P103" s="283"/>
      <c r="Q103" s="283"/>
      <c r="R103" s="283"/>
      <c r="S103" s="283"/>
      <c r="T103" s="283"/>
      <c r="U103" s="283"/>
      <c r="V103" s="283"/>
      <c r="W103" s="283"/>
      <c r="X103" s="283"/>
      <c r="Y103" s="283"/>
      <c r="Z103" s="283"/>
      <c r="AA103" s="283"/>
      <c r="AB103" s="283"/>
      <c r="AC103" s="283"/>
      <c r="AD103" s="283"/>
      <c r="AE103" s="283"/>
      <c r="AF103" s="283"/>
      <c r="AG103" s="283"/>
      <c r="AH103" s="283"/>
      <c r="AI103" s="283"/>
      <c r="AJ103" s="283"/>
      <c r="AK103" s="283"/>
      <c r="AL103" s="283"/>
      <c r="AM103" s="283"/>
      <c r="AN103" s="283"/>
      <c r="AO103" s="283"/>
      <c r="AP103" s="283"/>
      <c r="AQ103" s="283"/>
      <c r="AR103" s="283"/>
      <c r="AS103" s="283"/>
      <c r="AT103" s="283"/>
      <c r="AU103" s="283"/>
      <c r="AV103" s="283"/>
      <c r="AW103" s="283"/>
      <c r="AX103" s="283"/>
      <c r="AY103" s="283"/>
      <c r="AZ103" s="283"/>
      <c r="BA103" s="283"/>
      <c r="BB103" s="283"/>
      <c r="BC103" s="283"/>
      <c r="BD103" s="283"/>
      <c r="BE103" s="283"/>
    </row>
    <row r="104" spans="1:57">
      <c r="A104" s="595"/>
      <c r="B104" s="598"/>
      <c r="C104" s="599"/>
      <c r="D104" s="283"/>
      <c r="E104" s="283"/>
      <c r="F104" s="283"/>
      <c r="G104" s="283"/>
      <c r="H104" s="283"/>
      <c r="I104" s="283"/>
      <c r="J104" s="283"/>
      <c r="K104" s="283"/>
      <c r="L104" s="283"/>
      <c r="M104" s="283"/>
      <c r="N104" s="283"/>
      <c r="O104" s="283"/>
      <c r="P104" s="283"/>
      <c r="Q104" s="283"/>
      <c r="R104" s="283"/>
      <c r="S104" s="283"/>
      <c r="T104" s="283"/>
      <c r="U104" s="283"/>
      <c r="V104" s="283"/>
      <c r="W104" s="283"/>
      <c r="X104" s="283"/>
      <c r="Y104" s="283"/>
      <c r="Z104" s="283"/>
      <c r="AA104" s="283"/>
      <c r="AB104" s="283"/>
      <c r="AC104" s="283"/>
      <c r="AD104" s="283"/>
      <c r="AE104" s="283"/>
      <c r="AF104" s="283"/>
      <c r="AG104" s="283"/>
      <c r="AH104" s="283"/>
      <c r="AI104" s="283"/>
      <c r="AJ104" s="283"/>
      <c r="AK104" s="283"/>
      <c r="AL104" s="283"/>
      <c r="AM104" s="283"/>
      <c r="AN104" s="283"/>
      <c r="AO104" s="283"/>
      <c r="AP104" s="283"/>
      <c r="AQ104" s="283"/>
      <c r="AR104" s="283"/>
      <c r="AS104" s="283"/>
      <c r="AT104" s="283"/>
      <c r="AU104" s="283"/>
      <c r="AV104" s="283"/>
      <c r="AW104" s="283"/>
      <c r="AX104" s="283"/>
      <c r="AY104" s="283"/>
      <c r="AZ104" s="283"/>
      <c r="BA104" s="283"/>
      <c r="BB104" s="283"/>
      <c r="BC104" s="283"/>
      <c r="BD104" s="283"/>
      <c r="BE104" s="283"/>
    </row>
    <row r="105" spans="1:57">
      <c r="A105" s="595"/>
      <c r="B105" s="598"/>
      <c r="C105" s="599"/>
      <c r="D105" s="283"/>
      <c r="E105" s="283"/>
      <c r="F105" s="283"/>
      <c r="G105" s="283"/>
      <c r="H105" s="283"/>
      <c r="I105" s="283"/>
      <c r="J105" s="283"/>
      <c r="K105" s="283"/>
      <c r="L105" s="283"/>
      <c r="M105" s="283"/>
      <c r="N105" s="283"/>
      <c r="O105" s="283"/>
      <c r="P105" s="283"/>
      <c r="Q105" s="283"/>
      <c r="R105" s="283"/>
      <c r="S105" s="283"/>
      <c r="T105" s="283"/>
      <c r="U105" s="283"/>
      <c r="V105" s="283"/>
      <c r="W105" s="283"/>
      <c r="X105" s="283"/>
      <c r="Y105" s="283"/>
      <c r="Z105" s="283"/>
      <c r="AA105" s="283"/>
      <c r="AB105" s="283"/>
      <c r="AC105" s="283"/>
      <c r="AD105" s="283"/>
      <c r="AE105" s="283"/>
      <c r="AF105" s="283"/>
      <c r="AG105" s="283"/>
      <c r="AH105" s="283"/>
      <c r="AI105" s="283"/>
      <c r="AJ105" s="283"/>
      <c r="AK105" s="283"/>
      <c r="AL105" s="283"/>
      <c r="AM105" s="283"/>
      <c r="AN105" s="283"/>
      <c r="AO105" s="283"/>
      <c r="AP105" s="283"/>
      <c r="AQ105" s="283"/>
      <c r="AR105" s="283"/>
      <c r="AS105" s="283"/>
      <c r="AT105" s="283"/>
      <c r="AU105" s="283"/>
      <c r="AV105" s="283"/>
      <c r="AW105" s="283"/>
      <c r="AX105" s="283"/>
      <c r="AY105" s="283"/>
      <c r="AZ105" s="283"/>
      <c r="BA105" s="283"/>
      <c r="BB105" s="283"/>
      <c r="BC105" s="283"/>
      <c r="BD105" s="283"/>
      <c r="BE105" s="283"/>
    </row>
    <row r="106" spans="1:57">
      <c r="A106" s="595"/>
      <c r="B106" s="598"/>
      <c r="C106" s="599"/>
      <c r="D106" s="283"/>
      <c r="E106" s="283"/>
      <c r="F106" s="283"/>
      <c r="G106" s="283"/>
      <c r="H106" s="283"/>
      <c r="I106" s="283"/>
      <c r="J106" s="283"/>
      <c r="K106" s="283"/>
      <c r="L106" s="283"/>
      <c r="M106" s="283"/>
      <c r="N106" s="283"/>
      <c r="O106" s="283"/>
      <c r="P106" s="283"/>
      <c r="Q106" s="283"/>
      <c r="R106" s="283"/>
      <c r="S106" s="283"/>
      <c r="T106" s="283"/>
      <c r="U106" s="283"/>
      <c r="V106" s="283"/>
      <c r="W106" s="283"/>
      <c r="X106" s="283"/>
      <c r="Y106" s="283"/>
      <c r="Z106" s="283"/>
      <c r="AA106" s="283"/>
      <c r="AB106" s="283"/>
      <c r="AC106" s="283"/>
      <c r="AD106" s="283"/>
      <c r="AE106" s="283"/>
      <c r="AF106" s="283"/>
      <c r="AG106" s="283"/>
      <c r="AH106" s="283"/>
      <c r="AI106" s="283"/>
      <c r="AJ106" s="283"/>
      <c r="AK106" s="283"/>
      <c r="AL106" s="283"/>
      <c r="AM106" s="283"/>
      <c r="AN106" s="283"/>
      <c r="AO106" s="283"/>
      <c r="AP106" s="283"/>
      <c r="AQ106" s="283"/>
      <c r="AR106" s="283"/>
      <c r="AS106" s="283"/>
      <c r="AT106" s="283"/>
      <c r="AU106" s="283"/>
      <c r="AV106" s="283"/>
      <c r="AW106" s="283"/>
      <c r="AX106" s="283"/>
      <c r="AY106" s="283"/>
      <c r="AZ106" s="283"/>
      <c r="BA106" s="283"/>
      <c r="BB106" s="283"/>
      <c r="BC106" s="283"/>
      <c r="BD106" s="283"/>
      <c r="BE106" s="283"/>
    </row>
    <row r="107" spans="1:57">
      <c r="A107" s="595"/>
      <c r="B107" s="598"/>
      <c r="C107" s="599"/>
      <c r="D107" s="283"/>
      <c r="E107" s="283"/>
      <c r="F107" s="283"/>
      <c r="G107" s="283"/>
      <c r="H107" s="283"/>
      <c r="I107" s="283"/>
      <c r="J107" s="283"/>
      <c r="K107" s="283"/>
      <c r="L107" s="283"/>
      <c r="M107" s="283"/>
      <c r="N107" s="283"/>
      <c r="O107" s="283"/>
      <c r="P107" s="283"/>
      <c r="Q107" s="283"/>
      <c r="R107" s="283"/>
      <c r="S107" s="283"/>
      <c r="T107" s="283"/>
      <c r="U107" s="283"/>
      <c r="V107" s="283"/>
      <c r="W107" s="283"/>
      <c r="X107" s="283"/>
      <c r="Y107" s="283"/>
      <c r="Z107" s="283"/>
      <c r="AA107" s="283"/>
      <c r="AB107" s="283"/>
      <c r="AC107" s="283"/>
      <c r="AD107" s="283"/>
      <c r="AE107" s="283"/>
      <c r="AF107" s="283"/>
      <c r="AG107" s="283"/>
      <c r="AH107" s="283"/>
      <c r="AI107" s="283"/>
      <c r="AJ107" s="283"/>
      <c r="AK107" s="283"/>
      <c r="AL107" s="283"/>
      <c r="AM107" s="283"/>
      <c r="AN107" s="283"/>
      <c r="AO107" s="283"/>
      <c r="AP107" s="283"/>
      <c r="AQ107" s="283"/>
      <c r="AR107" s="283"/>
      <c r="AS107" s="283"/>
      <c r="AT107" s="283"/>
      <c r="AU107" s="283"/>
      <c r="AV107" s="283"/>
      <c r="AW107" s="283"/>
      <c r="AX107" s="283"/>
      <c r="AY107" s="283"/>
      <c r="AZ107" s="283"/>
      <c r="BA107" s="283"/>
      <c r="BB107" s="283"/>
      <c r="BC107" s="283"/>
      <c r="BD107" s="283"/>
      <c r="BE107" s="283"/>
    </row>
    <row r="108" spans="1:57">
      <c r="A108" s="595"/>
      <c r="B108" s="598"/>
      <c r="C108" s="599"/>
      <c r="D108" s="283"/>
      <c r="E108" s="283"/>
      <c r="F108" s="283"/>
      <c r="G108" s="283"/>
      <c r="H108" s="283"/>
      <c r="I108" s="283"/>
      <c r="J108" s="283"/>
      <c r="K108" s="283"/>
      <c r="L108" s="283"/>
      <c r="M108" s="283"/>
      <c r="N108" s="283"/>
      <c r="O108" s="283"/>
      <c r="P108" s="283"/>
      <c r="Q108" s="283"/>
      <c r="R108" s="283"/>
      <c r="S108" s="283"/>
      <c r="T108" s="283"/>
      <c r="U108" s="283"/>
      <c r="V108" s="283"/>
      <c r="W108" s="283"/>
      <c r="X108" s="283"/>
      <c r="Y108" s="283"/>
      <c r="Z108" s="283"/>
      <c r="AA108" s="283"/>
      <c r="AB108" s="283"/>
      <c r="AC108" s="283"/>
      <c r="AD108" s="283"/>
      <c r="AE108" s="283"/>
      <c r="AF108" s="283"/>
      <c r="AG108" s="283"/>
      <c r="AH108" s="283"/>
      <c r="AI108" s="283"/>
      <c r="AJ108" s="283"/>
      <c r="AK108" s="283"/>
      <c r="AL108" s="283"/>
      <c r="AM108" s="283"/>
      <c r="AN108" s="283"/>
      <c r="AO108" s="283"/>
      <c r="AP108" s="283"/>
      <c r="AQ108" s="283"/>
      <c r="AR108" s="283"/>
      <c r="AS108" s="283"/>
      <c r="AT108" s="283"/>
      <c r="AU108" s="283"/>
      <c r="AV108" s="283"/>
      <c r="AW108" s="283"/>
      <c r="AX108" s="283"/>
      <c r="AY108" s="283"/>
      <c r="AZ108" s="283"/>
      <c r="BA108" s="283"/>
      <c r="BB108" s="283"/>
      <c r="BC108" s="283"/>
      <c r="BD108" s="283"/>
      <c r="BE108" s="283"/>
    </row>
    <row r="109" spans="1:57">
      <c r="A109" s="595"/>
      <c r="B109" s="598"/>
      <c r="C109" s="599"/>
      <c r="D109" s="283"/>
      <c r="E109" s="283"/>
      <c r="F109" s="283"/>
      <c r="G109" s="283"/>
      <c r="H109" s="283"/>
      <c r="I109" s="283"/>
      <c r="J109" s="283"/>
      <c r="K109" s="283"/>
      <c r="L109" s="283"/>
      <c r="M109" s="283"/>
      <c r="N109" s="283"/>
      <c r="O109" s="283"/>
      <c r="P109" s="283"/>
      <c r="Q109" s="283"/>
      <c r="R109" s="283"/>
      <c r="S109" s="283"/>
      <c r="T109" s="283"/>
      <c r="U109" s="283"/>
      <c r="V109" s="283"/>
      <c r="W109" s="283"/>
      <c r="X109" s="283"/>
      <c r="Y109" s="283"/>
      <c r="Z109" s="283"/>
      <c r="AA109" s="283"/>
      <c r="AB109" s="283"/>
      <c r="AC109" s="283"/>
      <c r="AD109" s="283"/>
      <c r="AE109" s="283"/>
      <c r="AF109" s="283"/>
      <c r="AG109" s="283"/>
      <c r="AH109" s="283"/>
      <c r="AI109" s="283"/>
      <c r="AJ109" s="283"/>
      <c r="AK109" s="283"/>
      <c r="AL109" s="283"/>
      <c r="AM109" s="283"/>
      <c r="AN109" s="283"/>
      <c r="AO109" s="283"/>
      <c r="AP109" s="283"/>
      <c r="AQ109" s="283"/>
      <c r="AR109" s="283"/>
      <c r="AS109" s="283"/>
      <c r="AT109" s="283"/>
      <c r="AU109" s="283"/>
      <c r="AV109" s="283"/>
      <c r="AW109" s="283"/>
      <c r="AX109" s="283"/>
      <c r="AY109" s="283"/>
      <c r="AZ109" s="283"/>
      <c r="BA109" s="283"/>
      <c r="BB109" s="283"/>
      <c r="BC109" s="283"/>
      <c r="BD109" s="283"/>
      <c r="BE109" s="283"/>
    </row>
    <row r="110" spans="1:57">
      <c r="A110" s="595"/>
      <c r="B110" s="598"/>
      <c r="C110" s="599"/>
      <c r="D110" s="283"/>
      <c r="E110" s="283"/>
      <c r="F110" s="283"/>
      <c r="G110" s="283"/>
      <c r="H110" s="283"/>
      <c r="I110" s="283"/>
      <c r="J110" s="283"/>
      <c r="K110" s="283"/>
      <c r="L110" s="283"/>
      <c r="M110" s="283"/>
      <c r="N110" s="283"/>
      <c r="O110" s="283"/>
      <c r="P110" s="283"/>
      <c r="Q110" s="283"/>
      <c r="R110" s="283"/>
      <c r="S110" s="283"/>
      <c r="T110" s="283"/>
      <c r="U110" s="283"/>
      <c r="V110" s="283"/>
      <c r="W110" s="283"/>
      <c r="X110" s="283"/>
      <c r="Y110" s="283"/>
      <c r="Z110" s="283"/>
      <c r="AA110" s="283"/>
      <c r="AB110" s="283"/>
      <c r="AC110" s="283"/>
      <c r="AD110" s="283"/>
      <c r="AE110" s="283"/>
      <c r="AF110" s="283"/>
      <c r="AG110" s="283"/>
      <c r="AH110" s="283"/>
      <c r="AI110" s="283"/>
      <c r="AJ110" s="283"/>
      <c r="AK110" s="283"/>
      <c r="AL110" s="283"/>
      <c r="AM110" s="283"/>
      <c r="AN110" s="283"/>
      <c r="AO110" s="283"/>
      <c r="AP110" s="283"/>
      <c r="AQ110" s="283"/>
      <c r="AR110" s="283"/>
      <c r="AS110" s="283"/>
      <c r="AT110" s="283"/>
      <c r="AU110" s="283"/>
      <c r="AV110" s="283"/>
      <c r="AW110" s="283"/>
      <c r="AX110" s="283"/>
      <c r="AY110" s="283"/>
      <c r="AZ110" s="283"/>
      <c r="BA110" s="283"/>
      <c r="BB110" s="283"/>
      <c r="BC110" s="283"/>
      <c r="BD110" s="283"/>
      <c r="BE110" s="283"/>
    </row>
    <row r="111" spans="1:57">
      <c r="A111" s="595"/>
      <c r="B111" s="598"/>
      <c r="C111" s="599"/>
      <c r="D111" s="283"/>
      <c r="E111" s="283"/>
      <c r="F111" s="283"/>
      <c r="G111" s="283"/>
      <c r="H111" s="283"/>
      <c r="I111" s="283"/>
      <c r="J111" s="283"/>
      <c r="K111" s="283"/>
      <c r="L111" s="283"/>
      <c r="M111" s="283"/>
      <c r="N111" s="283"/>
      <c r="O111" s="283"/>
      <c r="P111" s="283"/>
      <c r="Q111" s="283"/>
      <c r="R111" s="283"/>
      <c r="S111" s="283"/>
      <c r="T111" s="283"/>
      <c r="U111" s="283"/>
      <c r="V111" s="283"/>
      <c r="W111" s="283"/>
      <c r="X111" s="283"/>
      <c r="Y111" s="283"/>
      <c r="Z111" s="283"/>
      <c r="AA111" s="283"/>
      <c r="AB111" s="283"/>
      <c r="AC111" s="283"/>
      <c r="AD111" s="283"/>
      <c r="AE111" s="283"/>
      <c r="AF111" s="283"/>
      <c r="AG111" s="283"/>
      <c r="AH111" s="283"/>
      <c r="AI111" s="283"/>
      <c r="AJ111" s="283"/>
      <c r="AK111" s="283"/>
      <c r="AL111" s="283"/>
      <c r="AM111" s="283"/>
      <c r="AN111" s="283"/>
      <c r="AO111" s="283"/>
      <c r="AP111" s="283"/>
      <c r="AQ111" s="283"/>
      <c r="AR111" s="283"/>
      <c r="AS111" s="283"/>
      <c r="AT111" s="283"/>
      <c r="AU111" s="283"/>
      <c r="AV111" s="283"/>
      <c r="AW111" s="283"/>
      <c r="AX111" s="283"/>
      <c r="AY111" s="283"/>
      <c r="AZ111" s="283"/>
      <c r="BA111" s="283"/>
      <c r="BB111" s="283"/>
      <c r="BC111" s="283"/>
      <c r="BD111" s="283"/>
      <c r="BE111" s="283"/>
    </row>
    <row r="112" spans="1:57">
      <c r="A112" s="595"/>
      <c r="B112" s="598"/>
      <c r="C112" s="599"/>
      <c r="D112" s="283"/>
      <c r="E112" s="283"/>
      <c r="F112" s="283"/>
      <c r="G112" s="283"/>
      <c r="H112" s="283"/>
      <c r="I112" s="283"/>
      <c r="J112" s="283"/>
      <c r="K112" s="283"/>
      <c r="L112" s="283"/>
      <c r="M112" s="283"/>
      <c r="N112" s="283"/>
      <c r="O112" s="283"/>
      <c r="P112" s="283"/>
      <c r="Q112" s="283"/>
      <c r="R112" s="283"/>
      <c r="S112" s="283"/>
      <c r="T112" s="283"/>
      <c r="U112" s="283"/>
      <c r="V112" s="283"/>
      <c r="W112" s="283"/>
      <c r="X112" s="283"/>
      <c r="Y112" s="283"/>
      <c r="Z112" s="283"/>
      <c r="AA112" s="283"/>
      <c r="AB112" s="283"/>
      <c r="AC112" s="283"/>
      <c r="AD112" s="283"/>
      <c r="AE112" s="283"/>
      <c r="AF112" s="283"/>
      <c r="AG112" s="283"/>
      <c r="AH112" s="283"/>
      <c r="AI112" s="283"/>
      <c r="AJ112" s="283"/>
      <c r="AK112" s="283"/>
      <c r="AL112" s="283"/>
      <c r="AM112" s="283"/>
      <c r="AN112" s="283"/>
      <c r="AO112" s="283"/>
      <c r="AP112" s="283"/>
      <c r="AQ112" s="283"/>
      <c r="AR112" s="283"/>
      <c r="AS112" s="283"/>
      <c r="AT112" s="283"/>
      <c r="AU112" s="283"/>
      <c r="AV112" s="283"/>
      <c r="AW112" s="283"/>
      <c r="AX112" s="283"/>
      <c r="AY112" s="283"/>
      <c r="AZ112" s="283"/>
      <c r="BA112" s="283"/>
      <c r="BB112" s="283"/>
      <c r="BC112" s="283"/>
      <c r="BD112" s="283"/>
      <c r="BE112" s="283"/>
    </row>
    <row r="113" spans="1:57">
      <c r="A113" s="595"/>
      <c r="B113" s="598"/>
      <c r="C113" s="599"/>
      <c r="D113" s="283"/>
      <c r="E113" s="283"/>
      <c r="F113" s="283"/>
      <c r="G113" s="283"/>
      <c r="H113" s="283"/>
      <c r="I113" s="283"/>
      <c r="J113" s="283"/>
      <c r="K113" s="283"/>
      <c r="L113" s="283"/>
      <c r="M113" s="283"/>
      <c r="N113" s="283"/>
      <c r="O113" s="283"/>
      <c r="P113" s="283"/>
      <c r="Q113" s="283"/>
      <c r="R113" s="283"/>
      <c r="S113" s="283"/>
      <c r="T113" s="283"/>
      <c r="U113" s="283"/>
      <c r="V113" s="283"/>
      <c r="W113" s="283"/>
      <c r="X113" s="283"/>
      <c r="Y113" s="283"/>
      <c r="Z113" s="283"/>
      <c r="AA113" s="283"/>
      <c r="AB113" s="283"/>
      <c r="AC113" s="283"/>
      <c r="AD113" s="283"/>
      <c r="AE113" s="283"/>
      <c r="AF113" s="283"/>
      <c r="AG113" s="283"/>
      <c r="AH113" s="283"/>
      <c r="AI113" s="283"/>
      <c r="AJ113" s="283"/>
      <c r="AK113" s="283"/>
      <c r="AL113" s="283"/>
      <c r="AM113" s="283"/>
      <c r="AN113" s="283"/>
      <c r="AO113" s="283"/>
      <c r="AP113" s="283"/>
      <c r="AQ113" s="283"/>
      <c r="AR113" s="283"/>
      <c r="AS113" s="283"/>
      <c r="AT113" s="283"/>
      <c r="AU113" s="283"/>
      <c r="AV113" s="283"/>
      <c r="AW113" s="283"/>
      <c r="AX113" s="283"/>
      <c r="AY113" s="283"/>
      <c r="AZ113" s="283"/>
      <c r="BA113" s="283"/>
      <c r="BB113" s="283"/>
      <c r="BC113" s="283"/>
      <c r="BD113" s="283"/>
      <c r="BE113" s="283"/>
    </row>
    <row r="114" spans="1:57">
      <c r="A114" s="595"/>
      <c r="B114" s="598"/>
      <c r="C114" s="599"/>
      <c r="D114" s="283"/>
      <c r="E114" s="283"/>
      <c r="F114" s="283"/>
      <c r="G114" s="283"/>
      <c r="H114" s="283"/>
      <c r="I114" s="283"/>
      <c r="J114" s="283"/>
      <c r="K114" s="283"/>
      <c r="L114" s="283"/>
      <c r="M114" s="283"/>
      <c r="N114" s="283"/>
      <c r="O114" s="283"/>
      <c r="P114" s="283"/>
      <c r="Q114" s="283"/>
      <c r="R114" s="283"/>
      <c r="S114" s="283"/>
      <c r="T114" s="283"/>
      <c r="U114" s="283"/>
      <c r="V114" s="283"/>
      <c r="W114" s="283"/>
      <c r="X114" s="283"/>
      <c r="Y114" s="283"/>
      <c r="Z114" s="283"/>
      <c r="AA114" s="283"/>
      <c r="AB114" s="283"/>
      <c r="AC114" s="283"/>
      <c r="AD114" s="283"/>
      <c r="AE114" s="283"/>
      <c r="AF114" s="283"/>
      <c r="AG114" s="283"/>
      <c r="AH114" s="283"/>
      <c r="AI114" s="283"/>
      <c r="AJ114" s="283"/>
      <c r="AK114" s="283"/>
      <c r="AL114" s="283"/>
      <c r="AM114" s="283"/>
      <c r="AN114" s="283"/>
      <c r="AO114" s="283"/>
      <c r="AP114" s="283"/>
      <c r="AQ114" s="283"/>
      <c r="AR114" s="283"/>
      <c r="AS114" s="283"/>
      <c r="AT114" s="283"/>
      <c r="AU114" s="283"/>
      <c r="AV114" s="283"/>
      <c r="AW114" s="283"/>
      <c r="AX114" s="283"/>
      <c r="AY114" s="283"/>
      <c r="AZ114" s="283"/>
      <c r="BA114" s="283"/>
      <c r="BB114" s="283"/>
      <c r="BC114" s="283"/>
      <c r="BD114" s="283"/>
      <c r="BE114" s="283"/>
    </row>
    <row r="115" spans="1:57">
      <c r="A115" s="595"/>
      <c r="B115" s="598"/>
      <c r="C115" s="599"/>
      <c r="D115" s="283"/>
      <c r="E115" s="283"/>
      <c r="F115" s="283"/>
      <c r="G115" s="283"/>
      <c r="H115" s="283"/>
      <c r="I115" s="283"/>
      <c r="J115" s="283"/>
      <c r="K115" s="283"/>
      <c r="L115" s="283"/>
      <c r="M115" s="283"/>
      <c r="N115" s="283"/>
      <c r="O115" s="283"/>
      <c r="P115" s="283"/>
      <c r="Q115" s="283"/>
      <c r="R115" s="283"/>
      <c r="S115" s="283"/>
      <c r="T115" s="283"/>
      <c r="U115" s="283"/>
      <c r="V115" s="283"/>
      <c r="W115" s="283"/>
      <c r="X115" s="283"/>
      <c r="Y115" s="283"/>
      <c r="Z115" s="283"/>
      <c r="AA115" s="283"/>
      <c r="AB115" s="283"/>
      <c r="AC115" s="283"/>
      <c r="AD115" s="283"/>
      <c r="AE115" s="283"/>
      <c r="AF115" s="283"/>
      <c r="AG115" s="283"/>
      <c r="AH115" s="283"/>
      <c r="AI115" s="283"/>
      <c r="AJ115" s="283"/>
      <c r="AK115" s="283"/>
      <c r="AL115" s="283"/>
      <c r="AM115" s="283"/>
      <c r="AN115" s="283"/>
      <c r="AO115" s="283"/>
      <c r="AP115" s="283"/>
      <c r="AQ115" s="283"/>
      <c r="AR115" s="283"/>
      <c r="AS115" s="283"/>
      <c r="AT115" s="283"/>
      <c r="AU115" s="283"/>
      <c r="AV115" s="283"/>
      <c r="AW115" s="283"/>
      <c r="AX115" s="283"/>
      <c r="AY115" s="283"/>
      <c r="AZ115" s="283"/>
      <c r="BA115" s="283"/>
      <c r="BB115" s="283"/>
      <c r="BC115" s="283"/>
      <c r="BD115" s="283"/>
      <c r="BE115" s="283"/>
    </row>
    <row r="116" spans="1:57">
      <c r="A116" s="595"/>
      <c r="B116" s="598"/>
      <c r="C116" s="599"/>
      <c r="D116" s="283"/>
      <c r="E116" s="283"/>
      <c r="F116" s="283"/>
      <c r="G116" s="283"/>
      <c r="H116" s="283"/>
      <c r="I116" s="283"/>
      <c r="J116" s="283"/>
      <c r="K116" s="283"/>
      <c r="L116" s="283"/>
      <c r="M116" s="283"/>
      <c r="N116" s="283"/>
      <c r="O116" s="283"/>
      <c r="P116" s="283"/>
      <c r="Q116" s="283"/>
      <c r="R116" s="283"/>
      <c r="S116" s="283"/>
      <c r="T116" s="283"/>
      <c r="U116" s="283"/>
      <c r="V116" s="283"/>
      <c r="W116" s="283"/>
      <c r="X116" s="283"/>
      <c r="Y116" s="283"/>
      <c r="Z116" s="283"/>
      <c r="AA116" s="283"/>
      <c r="AB116" s="283"/>
      <c r="AC116" s="283"/>
      <c r="AD116" s="283"/>
      <c r="AE116" s="283"/>
      <c r="AF116" s="283"/>
      <c r="AG116" s="283"/>
      <c r="AH116" s="283"/>
      <c r="AI116" s="283"/>
      <c r="AJ116" s="283"/>
      <c r="AK116" s="283"/>
      <c r="AL116" s="283"/>
      <c r="AM116" s="283"/>
      <c r="AN116" s="283"/>
      <c r="AO116" s="283"/>
      <c r="AP116" s="283"/>
      <c r="AQ116" s="283"/>
      <c r="AR116" s="283"/>
      <c r="AS116" s="283"/>
      <c r="AT116" s="283"/>
      <c r="AU116" s="283"/>
      <c r="AV116" s="283"/>
      <c r="AW116" s="283"/>
      <c r="AX116" s="283"/>
      <c r="AY116" s="283"/>
      <c r="AZ116" s="283"/>
      <c r="BA116" s="283"/>
      <c r="BB116" s="283"/>
      <c r="BC116" s="283"/>
      <c r="BD116" s="283"/>
      <c r="BE116" s="283"/>
    </row>
    <row r="117" spans="1:57">
      <c r="A117" s="595"/>
      <c r="B117" s="598"/>
      <c r="C117" s="599"/>
      <c r="D117" s="283"/>
      <c r="E117" s="283"/>
      <c r="F117" s="283"/>
      <c r="G117" s="283"/>
      <c r="H117" s="283"/>
      <c r="I117" s="283"/>
      <c r="J117" s="283"/>
      <c r="K117" s="283"/>
      <c r="L117" s="283"/>
      <c r="M117" s="283"/>
      <c r="N117" s="283"/>
      <c r="O117" s="283"/>
      <c r="P117" s="283"/>
      <c r="Q117" s="283"/>
      <c r="R117" s="283"/>
      <c r="S117" s="283"/>
      <c r="T117" s="283"/>
      <c r="U117" s="283"/>
      <c r="V117" s="283"/>
      <c r="W117" s="283"/>
      <c r="X117" s="283"/>
      <c r="Y117" s="283"/>
      <c r="Z117" s="283"/>
      <c r="AA117" s="283"/>
      <c r="AB117" s="283"/>
      <c r="AC117" s="283"/>
      <c r="AD117" s="283"/>
      <c r="AE117" s="283"/>
      <c r="AF117" s="283"/>
      <c r="AG117" s="283"/>
      <c r="AH117" s="283"/>
      <c r="AI117" s="283"/>
      <c r="AJ117" s="283"/>
      <c r="AK117" s="283"/>
      <c r="AL117" s="283"/>
      <c r="AM117" s="283"/>
      <c r="AN117" s="283"/>
      <c r="AO117" s="283"/>
      <c r="AP117" s="283"/>
      <c r="AQ117" s="283"/>
      <c r="AR117" s="283"/>
      <c r="AS117" s="283"/>
      <c r="AT117" s="283"/>
      <c r="AU117" s="283"/>
      <c r="AV117" s="283"/>
      <c r="AW117" s="283"/>
      <c r="AX117" s="283"/>
      <c r="AY117" s="283"/>
      <c r="AZ117" s="283"/>
      <c r="BA117" s="283"/>
      <c r="BB117" s="283"/>
      <c r="BC117" s="283"/>
      <c r="BD117" s="283"/>
      <c r="BE117" s="283"/>
    </row>
    <row r="118" spans="1:57">
      <c r="A118" s="595"/>
      <c r="B118" s="598"/>
      <c r="C118" s="599"/>
      <c r="D118" s="283"/>
      <c r="E118" s="283"/>
      <c r="F118" s="283"/>
      <c r="G118" s="283"/>
      <c r="H118" s="283"/>
      <c r="I118" s="283"/>
      <c r="J118" s="283"/>
      <c r="K118" s="283"/>
      <c r="L118" s="283"/>
      <c r="M118" s="283"/>
      <c r="N118" s="283"/>
      <c r="O118" s="283"/>
      <c r="P118" s="283"/>
      <c r="Q118" s="283"/>
      <c r="R118" s="283"/>
      <c r="S118" s="283"/>
      <c r="T118" s="283"/>
      <c r="U118" s="283"/>
      <c r="V118" s="283"/>
      <c r="W118" s="283"/>
      <c r="X118" s="283"/>
      <c r="Y118" s="283"/>
      <c r="Z118" s="283"/>
      <c r="AA118" s="283"/>
      <c r="AB118" s="283"/>
      <c r="AC118" s="283"/>
      <c r="AD118" s="283"/>
      <c r="AE118" s="283"/>
      <c r="AF118" s="283"/>
      <c r="AG118" s="283"/>
      <c r="AH118" s="283"/>
      <c r="AI118" s="283"/>
      <c r="AJ118" s="283"/>
      <c r="AK118" s="283"/>
      <c r="AL118" s="283"/>
      <c r="AM118" s="283"/>
      <c r="AN118" s="283"/>
      <c r="AO118" s="283"/>
      <c r="AP118" s="283"/>
      <c r="AQ118" s="283"/>
      <c r="AR118" s="283"/>
      <c r="AS118" s="283"/>
      <c r="AT118" s="283"/>
      <c r="AU118" s="283"/>
      <c r="AV118" s="283"/>
      <c r="AW118" s="283"/>
      <c r="AX118" s="283"/>
      <c r="AY118" s="283"/>
      <c r="AZ118" s="283"/>
      <c r="BA118" s="283"/>
      <c r="BB118" s="283"/>
      <c r="BC118" s="283"/>
      <c r="BD118" s="283"/>
      <c r="BE118" s="283"/>
    </row>
    <row r="119" spans="1:57">
      <c r="A119" s="595"/>
      <c r="B119" s="598"/>
      <c r="C119" s="599"/>
      <c r="D119" s="283"/>
      <c r="E119" s="283"/>
      <c r="F119" s="283"/>
      <c r="G119" s="283"/>
      <c r="H119" s="283"/>
      <c r="I119" s="283"/>
      <c r="J119" s="283"/>
      <c r="K119" s="283"/>
      <c r="L119" s="283"/>
      <c r="M119" s="283"/>
      <c r="N119" s="283"/>
      <c r="O119" s="283"/>
      <c r="P119" s="283"/>
      <c r="Q119" s="283"/>
      <c r="R119" s="283"/>
      <c r="S119" s="283"/>
      <c r="T119" s="283"/>
      <c r="U119" s="283"/>
      <c r="V119" s="283"/>
      <c r="W119" s="283"/>
      <c r="X119" s="283"/>
      <c r="Y119" s="283"/>
      <c r="Z119" s="283"/>
      <c r="AA119" s="283"/>
      <c r="AB119" s="283"/>
      <c r="AC119" s="283"/>
      <c r="AD119" s="283"/>
      <c r="AE119" s="283"/>
      <c r="AF119" s="283"/>
      <c r="AG119" s="283"/>
      <c r="AH119" s="283"/>
      <c r="AI119" s="283"/>
      <c r="AJ119" s="283"/>
      <c r="AK119" s="283"/>
      <c r="AL119" s="283"/>
      <c r="AM119" s="283"/>
      <c r="AN119" s="283"/>
      <c r="AO119" s="283"/>
      <c r="AP119" s="283"/>
      <c r="AQ119" s="283"/>
      <c r="AR119" s="283"/>
      <c r="AS119" s="283"/>
      <c r="AT119" s="283"/>
      <c r="AU119" s="283"/>
      <c r="AV119" s="283"/>
      <c r="AW119" s="283"/>
      <c r="AX119" s="283"/>
      <c r="AY119" s="283"/>
      <c r="AZ119" s="283"/>
      <c r="BA119" s="283"/>
      <c r="BB119" s="283"/>
      <c r="BC119" s="283"/>
      <c r="BD119" s="283"/>
      <c r="BE119" s="283"/>
    </row>
    <row r="120" spans="1:57">
      <c r="A120" s="595"/>
      <c r="B120" s="598"/>
      <c r="C120" s="599"/>
      <c r="D120" s="283"/>
      <c r="E120" s="283"/>
      <c r="F120" s="283"/>
      <c r="G120" s="283"/>
      <c r="H120" s="283"/>
      <c r="I120" s="283"/>
      <c r="J120" s="283"/>
      <c r="K120" s="283"/>
      <c r="L120" s="283"/>
      <c r="M120" s="283"/>
      <c r="N120" s="283"/>
      <c r="O120" s="283"/>
      <c r="P120" s="283"/>
      <c r="Q120" s="283"/>
      <c r="R120" s="283"/>
      <c r="S120" s="283"/>
      <c r="T120" s="283"/>
      <c r="U120" s="283"/>
      <c r="V120" s="283"/>
      <c r="W120" s="283"/>
      <c r="X120" s="283"/>
      <c r="Y120" s="283"/>
      <c r="Z120" s="283"/>
      <c r="AA120" s="283"/>
      <c r="AB120" s="283"/>
      <c r="AC120" s="283"/>
      <c r="AD120" s="283"/>
      <c r="AE120" s="283"/>
      <c r="AF120" s="283"/>
      <c r="AG120" s="283"/>
      <c r="AH120" s="283"/>
      <c r="AI120" s="283"/>
      <c r="AJ120" s="283"/>
      <c r="AK120" s="283"/>
      <c r="AL120" s="283"/>
      <c r="AM120" s="283"/>
      <c r="AN120" s="283"/>
      <c r="AO120" s="283"/>
      <c r="AP120" s="283"/>
      <c r="AQ120" s="283"/>
      <c r="AR120" s="283"/>
      <c r="AS120" s="283"/>
      <c r="AT120" s="283"/>
      <c r="AU120" s="283"/>
      <c r="AV120" s="283"/>
      <c r="AW120" s="283"/>
      <c r="AX120" s="283"/>
      <c r="AY120" s="283"/>
      <c r="AZ120" s="283"/>
      <c r="BA120" s="283"/>
      <c r="BB120" s="283"/>
      <c r="BC120" s="283"/>
      <c r="BD120" s="283"/>
      <c r="BE120" s="283"/>
    </row>
    <row r="121" spans="1:57">
      <c r="A121" s="595"/>
      <c r="B121" s="598"/>
      <c r="C121" s="599"/>
      <c r="D121" s="283"/>
      <c r="E121" s="283"/>
      <c r="F121" s="283"/>
      <c r="G121" s="283"/>
      <c r="H121" s="283"/>
      <c r="I121" s="283"/>
      <c r="J121" s="283"/>
      <c r="K121" s="283"/>
      <c r="L121" s="283"/>
      <c r="M121" s="283"/>
      <c r="N121" s="283"/>
      <c r="O121" s="283"/>
      <c r="P121" s="283"/>
      <c r="Q121" s="283"/>
      <c r="R121" s="283"/>
      <c r="S121" s="283"/>
      <c r="T121" s="283"/>
      <c r="U121" s="283"/>
      <c r="V121" s="283"/>
      <c r="W121" s="283"/>
      <c r="X121" s="283"/>
      <c r="Y121" s="283"/>
      <c r="Z121" s="283"/>
      <c r="AA121" s="283"/>
      <c r="AB121" s="283"/>
      <c r="AC121" s="283"/>
      <c r="AD121" s="283"/>
      <c r="AE121" s="283"/>
      <c r="AF121" s="283"/>
      <c r="AG121" s="283"/>
      <c r="AH121" s="283"/>
      <c r="AI121" s="283"/>
      <c r="AJ121" s="283"/>
      <c r="AK121" s="283"/>
      <c r="AL121" s="283"/>
      <c r="AM121" s="283"/>
      <c r="AN121" s="283"/>
      <c r="AO121" s="283"/>
      <c r="AP121" s="283"/>
      <c r="AQ121" s="283"/>
      <c r="AR121" s="283"/>
      <c r="AS121" s="283"/>
      <c r="AT121" s="283"/>
      <c r="AU121" s="283"/>
      <c r="AV121" s="283"/>
      <c r="AW121" s="283"/>
      <c r="AX121" s="283"/>
      <c r="AY121" s="283"/>
      <c r="AZ121" s="283"/>
      <c r="BA121" s="283"/>
      <c r="BB121" s="283"/>
      <c r="BC121" s="283"/>
      <c r="BD121" s="283"/>
      <c r="BE121" s="283"/>
    </row>
    <row r="122" spans="1:57">
      <c r="A122" s="595"/>
      <c r="B122" s="598"/>
      <c r="C122" s="599"/>
      <c r="D122" s="283"/>
      <c r="E122" s="283"/>
      <c r="F122" s="283"/>
      <c r="G122" s="283"/>
      <c r="H122" s="283"/>
      <c r="I122" s="283"/>
      <c r="J122" s="283"/>
      <c r="K122" s="283"/>
      <c r="L122" s="283"/>
      <c r="M122" s="283"/>
      <c r="N122" s="283"/>
      <c r="O122" s="283"/>
      <c r="P122" s="283"/>
      <c r="Q122" s="283"/>
      <c r="R122" s="283"/>
      <c r="S122" s="283"/>
      <c r="T122" s="283"/>
      <c r="U122" s="283"/>
      <c r="V122" s="283"/>
      <c r="W122" s="283"/>
      <c r="X122" s="283"/>
      <c r="Y122" s="283"/>
      <c r="Z122" s="283"/>
      <c r="AA122" s="283"/>
      <c r="AB122" s="283"/>
      <c r="AC122" s="283"/>
      <c r="AD122" s="283"/>
      <c r="AE122" s="283"/>
      <c r="AF122" s="283"/>
      <c r="AG122" s="283"/>
      <c r="AH122" s="283"/>
      <c r="AI122" s="283"/>
      <c r="AJ122" s="283"/>
      <c r="AK122" s="283"/>
      <c r="AL122" s="283"/>
      <c r="AM122" s="283"/>
      <c r="AN122" s="283"/>
      <c r="AO122" s="283"/>
      <c r="AP122" s="283"/>
      <c r="AQ122" s="283"/>
      <c r="AR122" s="283"/>
      <c r="AS122" s="283"/>
      <c r="AT122" s="283"/>
      <c r="AU122" s="283"/>
      <c r="AV122" s="283"/>
      <c r="AW122" s="283"/>
      <c r="AX122" s="283"/>
      <c r="AY122" s="283"/>
      <c r="AZ122" s="283"/>
      <c r="BA122" s="283"/>
      <c r="BB122" s="283"/>
      <c r="BC122" s="283"/>
      <c r="BD122" s="283"/>
      <c r="BE122" s="283"/>
    </row>
    <row r="123" spans="1:57">
      <c r="A123" s="595"/>
      <c r="B123" s="598"/>
      <c r="C123" s="599"/>
      <c r="D123" s="283"/>
      <c r="E123" s="283"/>
      <c r="F123" s="283"/>
      <c r="G123" s="283"/>
      <c r="H123" s="283"/>
      <c r="I123" s="283"/>
      <c r="J123" s="283"/>
      <c r="K123" s="283"/>
      <c r="L123" s="283"/>
      <c r="M123" s="283"/>
      <c r="N123" s="283"/>
      <c r="O123" s="283"/>
      <c r="P123" s="283"/>
      <c r="Q123" s="283"/>
      <c r="R123" s="283"/>
      <c r="S123" s="283"/>
      <c r="T123" s="283"/>
      <c r="U123" s="283"/>
      <c r="V123" s="283"/>
      <c r="W123" s="283"/>
      <c r="X123" s="283"/>
      <c r="Y123" s="283"/>
      <c r="Z123" s="283"/>
      <c r="AA123" s="283"/>
      <c r="AB123" s="283"/>
      <c r="AC123" s="283"/>
      <c r="AD123" s="283"/>
      <c r="AE123" s="283"/>
      <c r="AF123" s="283"/>
      <c r="AG123" s="283"/>
      <c r="AH123" s="283"/>
      <c r="AI123" s="283"/>
      <c r="AJ123" s="283"/>
      <c r="AK123" s="283"/>
      <c r="AL123" s="283"/>
      <c r="AM123" s="283"/>
      <c r="AN123" s="283"/>
      <c r="AO123" s="283"/>
      <c r="AP123" s="283"/>
      <c r="AQ123" s="283"/>
      <c r="AR123" s="283"/>
      <c r="AS123" s="283"/>
      <c r="AT123" s="283"/>
      <c r="AU123" s="283"/>
      <c r="AV123" s="283"/>
      <c r="AW123" s="283"/>
      <c r="AX123" s="283"/>
      <c r="AY123" s="283"/>
      <c r="AZ123" s="283"/>
      <c r="BA123" s="283"/>
      <c r="BB123" s="283"/>
      <c r="BC123" s="283"/>
      <c r="BD123" s="283"/>
      <c r="BE123" s="283"/>
    </row>
    <row r="124" spans="1:57">
      <c r="A124" s="595"/>
      <c r="B124" s="598"/>
      <c r="C124" s="599"/>
      <c r="D124" s="283"/>
      <c r="E124" s="283"/>
      <c r="F124" s="283"/>
      <c r="G124" s="283"/>
      <c r="H124" s="283"/>
      <c r="I124" s="283"/>
      <c r="J124" s="283"/>
      <c r="K124" s="283"/>
      <c r="L124" s="283"/>
      <c r="M124" s="283"/>
      <c r="N124" s="283"/>
      <c r="O124" s="283"/>
      <c r="P124" s="283"/>
      <c r="Q124" s="283"/>
      <c r="R124" s="283"/>
      <c r="S124" s="283"/>
      <c r="T124" s="283"/>
      <c r="U124" s="283"/>
      <c r="V124" s="283"/>
      <c r="W124" s="283"/>
      <c r="X124" s="283"/>
      <c r="Y124" s="283"/>
      <c r="Z124" s="283"/>
      <c r="AA124" s="283"/>
      <c r="AB124" s="283"/>
      <c r="AC124" s="283"/>
      <c r="AD124" s="283"/>
      <c r="AE124" s="283"/>
      <c r="AF124" s="283"/>
      <c r="AG124" s="283"/>
      <c r="AH124" s="283"/>
      <c r="AI124" s="283"/>
      <c r="AJ124" s="283"/>
      <c r="AK124" s="283"/>
      <c r="AL124" s="283"/>
      <c r="AM124" s="283"/>
      <c r="AN124" s="283"/>
      <c r="AO124" s="283"/>
      <c r="AP124" s="283"/>
      <c r="AQ124" s="283"/>
      <c r="AR124" s="283"/>
      <c r="AS124" s="283"/>
      <c r="AT124" s="283"/>
      <c r="AU124" s="283"/>
      <c r="AV124" s="283"/>
      <c r="AW124" s="283"/>
      <c r="AX124" s="283"/>
      <c r="AY124" s="283"/>
      <c r="AZ124" s="283"/>
      <c r="BA124" s="283"/>
      <c r="BB124" s="283"/>
      <c r="BC124" s="283"/>
      <c r="BD124" s="283"/>
      <c r="BE124" s="283"/>
    </row>
    <row r="125" spans="1:57">
      <c r="A125" s="595"/>
      <c r="B125" s="598"/>
      <c r="C125" s="599"/>
      <c r="D125" s="283"/>
      <c r="E125" s="283"/>
      <c r="F125" s="283"/>
      <c r="G125" s="283"/>
      <c r="H125" s="283"/>
      <c r="I125" s="283"/>
      <c r="J125" s="283"/>
      <c r="K125" s="283"/>
      <c r="L125" s="283"/>
      <c r="M125" s="283"/>
      <c r="N125" s="283"/>
      <c r="O125" s="283"/>
      <c r="P125" s="283"/>
      <c r="Q125" s="283"/>
      <c r="R125" s="283"/>
      <c r="S125" s="283"/>
      <c r="T125" s="283"/>
      <c r="U125" s="283"/>
      <c r="V125" s="283"/>
      <c r="W125" s="283"/>
      <c r="X125" s="283"/>
      <c r="Y125" s="283"/>
      <c r="Z125" s="283"/>
      <c r="AA125" s="283"/>
      <c r="AB125" s="283"/>
      <c r="AC125" s="283"/>
      <c r="AD125" s="283"/>
      <c r="AE125" s="283"/>
      <c r="AF125" s="283"/>
      <c r="AG125" s="283"/>
      <c r="AH125" s="283"/>
      <c r="AI125" s="283"/>
      <c r="AJ125" s="283"/>
      <c r="AK125" s="283"/>
      <c r="AL125" s="283"/>
      <c r="AM125" s="283"/>
      <c r="AN125" s="283"/>
      <c r="AO125" s="283"/>
      <c r="AP125" s="283"/>
      <c r="AQ125" s="283"/>
      <c r="AR125" s="283"/>
      <c r="AS125" s="283"/>
      <c r="AT125" s="283"/>
      <c r="AU125" s="283"/>
      <c r="AV125" s="283"/>
      <c r="AW125" s="283"/>
      <c r="AX125" s="283"/>
      <c r="AY125" s="283"/>
      <c r="AZ125" s="283"/>
      <c r="BA125" s="283"/>
      <c r="BB125" s="283"/>
      <c r="BC125" s="283"/>
      <c r="BD125" s="283"/>
      <c r="BE125" s="283"/>
    </row>
    <row r="126" spans="1:57">
      <c r="A126" s="595"/>
      <c r="B126" s="598"/>
      <c r="C126" s="599"/>
      <c r="D126" s="283"/>
      <c r="E126" s="283"/>
      <c r="F126" s="283"/>
      <c r="G126" s="283"/>
      <c r="H126" s="283"/>
      <c r="I126" s="283"/>
      <c r="J126" s="283"/>
      <c r="K126" s="283"/>
      <c r="L126" s="283"/>
      <c r="M126" s="283"/>
      <c r="N126" s="283"/>
      <c r="O126" s="283"/>
      <c r="P126" s="283"/>
      <c r="Q126" s="283"/>
      <c r="R126" s="283"/>
      <c r="S126" s="283"/>
      <c r="T126" s="283"/>
      <c r="U126" s="283"/>
      <c r="V126" s="283"/>
      <c r="W126" s="283"/>
      <c r="X126" s="283"/>
      <c r="Y126" s="283"/>
      <c r="Z126" s="283"/>
      <c r="AA126" s="283"/>
      <c r="AB126" s="283"/>
      <c r="AC126" s="283"/>
      <c r="AD126" s="283"/>
      <c r="AE126" s="283"/>
      <c r="AF126" s="283"/>
      <c r="AG126" s="283"/>
      <c r="AH126" s="283"/>
      <c r="AI126" s="283"/>
      <c r="AJ126" s="283"/>
      <c r="AK126" s="283"/>
      <c r="AL126" s="283"/>
      <c r="AM126" s="283"/>
      <c r="AN126" s="283"/>
      <c r="AO126" s="283"/>
      <c r="AP126" s="283"/>
      <c r="AQ126" s="283"/>
      <c r="AR126" s="283"/>
      <c r="AS126" s="283"/>
      <c r="AT126" s="283"/>
      <c r="AU126" s="283"/>
      <c r="AV126" s="283"/>
      <c r="AW126" s="283"/>
      <c r="AX126" s="283"/>
      <c r="AY126" s="283"/>
      <c r="AZ126" s="283"/>
      <c r="BA126" s="283"/>
      <c r="BB126" s="283"/>
      <c r="BC126" s="283"/>
      <c r="BD126" s="283"/>
      <c r="BE126" s="283"/>
    </row>
    <row r="127" spans="1:57">
      <c r="A127" s="595"/>
      <c r="B127" s="598"/>
      <c r="C127" s="599"/>
      <c r="D127" s="283"/>
      <c r="E127" s="283"/>
      <c r="F127" s="283"/>
      <c r="G127" s="283"/>
      <c r="H127" s="283"/>
      <c r="I127" s="283"/>
      <c r="J127" s="283"/>
      <c r="K127" s="283"/>
      <c r="L127" s="283"/>
      <c r="M127" s="283"/>
      <c r="N127" s="283"/>
      <c r="O127" s="283"/>
      <c r="P127" s="283"/>
      <c r="Q127" s="283"/>
      <c r="R127" s="283"/>
      <c r="S127" s="283"/>
      <c r="T127" s="283"/>
      <c r="U127" s="283"/>
      <c r="V127" s="283"/>
      <c r="W127" s="283"/>
      <c r="X127" s="283"/>
      <c r="Y127" s="283"/>
      <c r="Z127" s="283"/>
      <c r="AA127" s="283"/>
      <c r="AB127" s="283"/>
      <c r="AC127" s="283"/>
      <c r="AD127" s="283"/>
      <c r="AE127" s="283"/>
      <c r="AF127" s="283"/>
      <c r="AG127" s="283"/>
      <c r="AH127" s="283"/>
      <c r="AI127" s="283"/>
      <c r="AJ127" s="283"/>
      <c r="AK127" s="283"/>
      <c r="AL127" s="283"/>
      <c r="AM127" s="283"/>
      <c r="AN127" s="283"/>
      <c r="AO127" s="283"/>
      <c r="AP127" s="283"/>
      <c r="AQ127" s="283"/>
      <c r="AR127" s="283"/>
      <c r="AS127" s="283"/>
      <c r="AT127" s="283"/>
      <c r="AU127" s="283"/>
      <c r="AV127" s="283"/>
      <c r="AW127" s="283"/>
      <c r="AX127" s="283"/>
      <c r="AY127" s="283"/>
      <c r="AZ127" s="283"/>
      <c r="BA127" s="283"/>
      <c r="BB127" s="283"/>
      <c r="BC127" s="283"/>
      <c r="BD127" s="283"/>
      <c r="BE127" s="283"/>
    </row>
    <row r="128" spans="1:57">
      <c r="A128" s="595"/>
      <c r="B128" s="598"/>
      <c r="C128" s="599"/>
      <c r="D128" s="283"/>
      <c r="E128" s="283"/>
      <c r="F128" s="283"/>
      <c r="G128" s="283"/>
      <c r="H128" s="283"/>
      <c r="I128" s="283"/>
      <c r="J128" s="283"/>
      <c r="K128" s="283"/>
      <c r="L128" s="283"/>
      <c r="M128" s="283"/>
      <c r="N128" s="283"/>
      <c r="O128" s="283"/>
      <c r="P128" s="283"/>
      <c r="Q128" s="283"/>
      <c r="R128" s="283"/>
      <c r="S128" s="283"/>
      <c r="T128" s="283"/>
      <c r="U128" s="283"/>
      <c r="V128" s="283"/>
      <c r="W128" s="283"/>
      <c r="X128" s="283"/>
      <c r="Y128" s="283"/>
      <c r="Z128" s="283"/>
      <c r="AA128" s="283"/>
      <c r="AB128" s="283"/>
      <c r="AC128" s="283"/>
      <c r="AD128" s="283"/>
      <c r="AE128" s="283"/>
      <c r="AF128" s="283"/>
      <c r="AG128" s="283"/>
      <c r="AH128" s="283"/>
      <c r="AI128" s="283"/>
      <c r="AJ128" s="283"/>
      <c r="AK128" s="283"/>
      <c r="AL128" s="283"/>
      <c r="AM128" s="283"/>
      <c r="AN128" s="283"/>
      <c r="AO128" s="283"/>
      <c r="AP128" s="283"/>
      <c r="AQ128" s="283"/>
      <c r="AR128" s="283"/>
      <c r="AS128" s="283"/>
      <c r="AT128" s="283"/>
      <c r="AU128" s="283"/>
      <c r="AV128" s="283"/>
      <c r="AW128" s="283"/>
      <c r="AX128" s="283"/>
      <c r="AY128" s="283"/>
      <c r="AZ128" s="283"/>
      <c r="BA128" s="283"/>
      <c r="BB128" s="283"/>
      <c r="BC128" s="283"/>
      <c r="BD128" s="283"/>
      <c r="BE128" s="283"/>
    </row>
    <row r="129" spans="1:57">
      <c r="A129" s="595"/>
      <c r="B129" s="598"/>
      <c r="C129" s="599"/>
      <c r="D129" s="283"/>
      <c r="E129" s="283"/>
      <c r="F129" s="283"/>
      <c r="G129" s="283"/>
      <c r="H129" s="283"/>
      <c r="I129" s="283"/>
      <c r="J129" s="283"/>
      <c r="K129" s="283"/>
      <c r="L129" s="283"/>
      <c r="M129" s="283"/>
      <c r="N129" s="283"/>
      <c r="O129" s="283"/>
      <c r="P129" s="283"/>
      <c r="Q129" s="283"/>
      <c r="R129" s="283"/>
      <c r="S129" s="283"/>
      <c r="T129" s="283"/>
      <c r="U129" s="283"/>
      <c r="V129" s="283"/>
      <c r="W129" s="283"/>
      <c r="X129" s="283"/>
      <c r="Y129" s="283"/>
      <c r="Z129" s="283"/>
      <c r="AA129" s="283"/>
      <c r="AB129" s="283"/>
      <c r="AC129" s="283"/>
      <c r="AD129" s="283"/>
      <c r="AE129" s="283"/>
      <c r="AF129" s="283"/>
      <c r="AG129" s="283"/>
      <c r="AH129" s="283"/>
      <c r="AI129" s="283"/>
      <c r="AJ129" s="283"/>
      <c r="AK129" s="283"/>
      <c r="AL129" s="283"/>
      <c r="AM129" s="283"/>
      <c r="AN129" s="283"/>
      <c r="AO129" s="283"/>
      <c r="AP129" s="283"/>
      <c r="AQ129" s="283"/>
      <c r="AR129" s="283"/>
      <c r="AS129" s="283"/>
      <c r="AT129" s="283"/>
      <c r="AU129" s="283"/>
      <c r="AV129" s="283"/>
      <c r="AW129" s="283"/>
      <c r="AX129" s="283"/>
      <c r="AY129" s="283"/>
      <c r="AZ129" s="283"/>
      <c r="BA129" s="283"/>
      <c r="BB129" s="283"/>
      <c r="BC129" s="283"/>
      <c r="BD129" s="283"/>
      <c r="BE129" s="283"/>
    </row>
    <row r="130" spans="1:57">
      <c r="A130" s="595"/>
      <c r="B130" s="598"/>
      <c r="C130" s="599"/>
      <c r="D130" s="283"/>
      <c r="E130" s="283"/>
      <c r="F130" s="283"/>
      <c r="G130" s="283"/>
      <c r="H130" s="283"/>
      <c r="I130" s="283"/>
      <c r="J130" s="283"/>
      <c r="K130" s="283"/>
      <c r="L130" s="283"/>
      <c r="M130" s="283"/>
      <c r="N130" s="283"/>
      <c r="O130" s="283"/>
      <c r="P130" s="283"/>
      <c r="Q130" s="283"/>
      <c r="R130" s="283"/>
      <c r="S130" s="283"/>
      <c r="T130" s="283"/>
      <c r="U130" s="283"/>
      <c r="V130" s="283"/>
      <c r="W130" s="283"/>
      <c r="X130" s="283"/>
      <c r="Y130" s="283"/>
      <c r="Z130" s="283"/>
      <c r="AA130" s="283"/>
      <c r="AB130" s="283"/>
      <c r="AC130" s="283"/>
      <c r="AD130" s="283"/>
      <c r="AE130" s="283"/>
      <c r="AF130" s="283"/>
      <c r="AG130" s="283"/>
      <c r="AH130" s="283"/>
      <c r="AI130" s="283"/>
      <c r="AJ130" s="283"/>
      <c r="AK130" s="283"/>
      <c r="AL130" s="283"/>
      <c r="AM130" s="283"/>
      <c r="AN130" s="283"/>
      <c r="AO130" s="283"/>
      <c r="AP130" s="283"/>
      <c r="AQ130" s="283"/>
      <c r="AR130" s="283"/>
      <c r="AS130" s="283"/>
      <c r="AT130" s="283"/>
      <c r="AU130" s="283"/>
      <c r="AV130" s="283"/>
      <c r="AW130" s="283"/>
      <c r="AX130" s="283"/>
      <c r="AY130" s="283"/>
      <c r="AZ130" s="283"/>
      <c r="BA130" s="283"/>
      <c r="BB130" s="283"/>
      <c r="BC130" s="283"/>
      <c r="BD130" s="283"/>
      <c r="BE130" s="283"/>
    </row>
    <row r="131" spans="1:57">
      <c r="A131" s="595"/>
      <c r="B131" s="598"/>
      <c r="C131" s="599"/>
      <c r="D131" s="283"/>
      <c r="E131" s="283"/>
      <c r="F131" s="283"/>
      <c r="G131" s="283"/>
      <c r="H131" s="283"/>
      <c r="I131" s="283"/>
      <c r="J131" s="283"/>
      <c r="K131" s="283"/>
      <c r="L131" s="283"/>
      <c r="M131" s="283"/>
      <c r="N131" s="283"/>
      <c r="O131" s="283"/>
      <c r="P131" s="283"/>
      <c r="Q131" s="283"/>
      <c r="R131" s="283"/>
      <c r="S131" s="283"/>
      <c r="T131" s="283"/>
      <c r="U131" s="283"/>
      <c r="V131" s="283"/>
      <c r="W131" s="283"/>
      <c r="X131" s="283"/>
      <c r="Y131" s="283"/>
      <c r="Z131" s="283"/>
      <c r="AA131" s="283"/>
      <c r="AB131" s="283"/>
      <c r="AC131" s="283"/>
      <c r="AD131" s="283"/>
      <c r="AE131" s="283"/>
      <c r="AF131" s="283"/>
      <c r="AG131" s="283"/>
      <c r="AH131" s="283"/>
      <c r="AI131" s="283"/>
      <c r="AJ131" s="283"/>
      <c r="AK131" s="283"/>
      <c r="AL131" s="283"/>
      <c r="AM131" s="283"/>
      <c r="AN131" s="283"/>
      <c r="AO131" s="283"/>
      <c r="AP131" s="283"/>
      <c r="AQ131" s="283"/>
      <c r="AR131" s="283"/>
      <c r="AS131" s="283"/>
      <c r="AT131" s="283"/>
      <c r="AU131" s="283"/>
      <c r="AV131" s="283"/>
      <c r="AW131" s="283"/>
      <c r="AX131" s="283"/>
      <c r="AY131" s="283"/>
      <c r="AZ131" s="283"/>
      <c r="BA131" s="283"/>
      <c r="BB131" s="283"/>
      <c r="BC131" s="283"/>
      <c r="BD131" s="283"/>
      <c r="BE131" s="283"/>
    </row>
    <row r="132" spans="1:57">
      <c r="A132" s="595"/>
      <c r="B132" s="598"/>
      <c r="C132" s="599"/>
      <c r="D132" s="283"/>
      <c r="E132" s="283"/>
      <c r="F132" s="283"/>
      <c r="G132" s="283"/>
      <c r="H132" s="283"/>
      <c r="I132" s="283"/>
      <c r="J132" s="283"/>
      <c r="K132" s="283"/>
      <c r="L132" s="283"/>
      <c r="M132" s="283"/>
      <c r="N132" s="283"/>
      <c r="O132" s="283"/>
      <c r="P132" s="283"/>
      <c r="Q132" s="283"/>
      <c r="R132" s="283"/>
      <c r="S132" s="283"/>
      <c r="T132" s="283"/>
      <c r="U132" s="283"/>
      <c r="V132" s="283"/>
      <c r="W132" s="283"/>
      <c r="X132" s="283"/>
      <c r="Y132" s="283"/>
      <c r="Z132" s="283"/>
      <c r="AA132" s="283"/>
      <c r="AB132" s="283"/>
      <c r="AC132" s="283"/>
      <c r="AD132" s="283"/>
      <c r="AE132" s="283"/>
      <c r="AF132" s="283"/>
      <c r="AG132" s="283"/>
      <c r="AH132" s="283"/>
      <c r="AI132" s="283"/>
      <c r="AJ132" s="283"/>
      <c r="AK132" s="283"/>
      <c r="AL132" s="283"/>
      <c r="AM132" s="283"/>
      <c r="AN132" s="283"/>
      <c r="AO132" s="283"/>
      <c r="AP132" s="283"/>
      <c r="AQ132" s="283"/>
      <c r="AR132" s="283"/>
      <c r="AS132" s="283"/>
      <c r="AT132" s="283"/>
      <c r="AU132" s="283"/>
      <c r="AV132" s="283"/>
      <c r="AW132" s="283"/>
      <c r="AX132" s="283"/>
      <c r="AY132" s="283"/>
      <c r="AZ132" s="283"/>
      <c r="BA132" s="283"/>
      <c r="BB132" s="283"/>
      <c r="BC132" s="283"/>
      <c r="BD132" s="283"/>
      <c r="BE132" s="283"/>
    </row>
    <row r="133" spans="1:57">
      <c r="A133" s="595"/>
      <c r="B133" s="598"/>
      <c r="C133" s="599"/>
      <c r="D133" s="283"/>
      <c r="E133" s="283"/>
      <c r="F133" s="283"/>
      <c r="G133" s="283"/>
      <c r="H133" s="283"/>
      <c r="I133" s="283"/>
      <c r="J133" s="283"/>
      <c r="K133" s="283"/>
      <c r="L133" s="283"/>
      <c r="M133" s="283"/>
      <c r="N133" s="283"/>
      <c r="O133" s="283"/>
      <c r="P133" s="283"/>
      <c r="Q133" s="283"/>
      <c r="R133" s="283"/>
      <c r="S133" s="283"/>
      <c r="T133" s="283"/>
      <c r="U133" s="283"/>
      <c r="V133" s="283"/>
      <c r="W133" s="283"/>
      <c r="X133" s="283"/>
      <c r="Y133" s="283"/>
      <c r="Z133" s="283"/>
      <c r="AA133" s="283"/>
      <c r="AB133" s="283"/>
      <c r="AC133" s="283"/>
      <c r="AD133" s="283"/>
      <c r="AE133" s="283"/>
      <c r="AF133" s="283"/>
      <c r="AG133" s="283"/>
      <c r="AH133" s="283"/>
      <c r="AI133" s="283"/>
      <c r="AJ133" s="283"/>
      <c r="AK133" s="283"/>
      <c r="AL133" s="283"/>
      <c r="AM133" s="283"/>
      <c r="AN133" s="283"/>
      <c r="AO133" s="283"/>
      <c r="AP133" s="283"/>
      <c r="AQ133" s="283"/>
      <c r="AR133" s="283"/>
      <c r="AS133" s="283"/>
      <c r="AT133" s="283"/>
      <c r="AU133" s="283"/>
      <c r="AV133" s="283"/>
      <c r="AW133" s="283"/>
      <c r="AX133" s="283"/>
      <c r="AY133" s="283"/>
      <c r="AZ133" s="283"/>
      <c r="BA133" s="283"/>
      <c r="BB133" s="283"/>
      <c r="BC133" s="283"/>
      <c r="BD133" s="283"/>
      <c r="BE133" s="283"/>
    </row>
    <row r="134" spans="1:57">
      <c r="A134" s="595"/>
      <c r="B134" s="598"/>
      <c r="C134" s="599"/>
      <c r="D134" s="283"/>
      <c r="E134" s="283"/>
      <c r="F134" s="283"/>
      <c r="G134" s="283"/>
      <c r="H134" s="283"/>
      <c r="I134" s="283"/>
      <c r="J134" s="283"/>
      <c r="K134" s="283"/>
      <c r="L134" s="283"/>
      <c r="M134" s="283"/>
      <c r="N134" s="283"/>
      <c r="O134" s="283"/>
      <c r="P134" s="283"/>
      <c r="Q134" s="283"/>
      <c r="R134" s="283"/>
      <c r="S134" s="283"/>
      <c r="T134" s="283"/>
      <c r="U134" s="283"/>
      <c r="V134" s="283"/>
      <c r="W134" s="283"/>
      <c r="X134" s="283"/>
      <c r="Y134" s="283"/>
      <c r="Z134" s="283"/>
      <c r="AA134" s="283"/>
      <c r="AB134" s="283"/>
      <c r="AC134" s="283"/>
      <c r="AD134" s="283"/>
      <c r="AE134" s="283"/>
      <c r="AF134" s="283"/>
      <c r="AG134" s="283"/>
      <c r="AH134" s="283"/>
      <c r="AI134" s="283"/>
      <c r="AJ134" s="283"/>
      <c r="AK134" s="283"/>
      <c r="AL134" s="283"/>
      <c r="AM134" s="283"/>
      <c r="AN134" s="283"/>
      <c r="AO134" s="283"/>
      <c r="AP134" s="283"/>
      <c r="AQ134" s="283"/>
      <c r="AR134" s="283"/>
      <c r="AS134" s="283"/>
      <c r="AT134" s="283"/>
      <c r="AU134" s="283"/>
      <c r="AV134" s="283"/>
      <c r="AW134" s="283"/>
      <c r="AX134" s="283"/>
      <c r="AY134" s="283"/>
      <c r="AZ134" s="283"/>
      <c r="BA134" s="283"/>
      <c r="BB134" s="283"/>
      <c r="BC134" s="283"/>
      <c r="BD134" s="283"/>
      <c r="BE134" s="283"/>
    </row>
    <row r="135" spans="1:57">
      <c r="A135" s="595"/>
      <c r="B135" s="598"/>
      <c r="C135" s="599"/>
      <c r="D135" s="283"/>
      <c r="E135" s="283"/>
      <c r="F135" s="283"/>
      <c r="G135" s="283"/>
      <c r="H135" s="283"/>
      <c r="I135" s="283"/>
      <c r="J135" s="283"/>
      <c r="K135" s="283"/>
      <c r="L135" s="283"/>
      <c r="M135" s="283"/>
      <c r="N135" s="283"/>
      <c r="O135" s="283"/>
      <c r="P135" s="283"/>
      <c r="Q135" s="283"/>
      <c r="R135" s="283"/>
      <c r="S135" s="283"/>
      <c r="T135" s="283"/>
      <c r="U135" s="283"/>
      <c r="V135" s="283"/>
      <c r="W135" s="283"/>
      <c r="X135" s="283"/>
      <c r="Y135" s="283"/>
      <c r="Z135" s="283"/>
      <c r="AA135" s="283"/>
      <c r="AB135" s="283"/>
      <c r="AC135" s="283"/>
      <c r="AD135" s="283"/>
      <c r="AE135" s="283"/>
      <c r="AF135" s="283"/>
      <c r="AG135" s="283"/>
      <c r="AH135" s="283"/>
      <c r="AI135" s="283"/>
      <c r="AJ135" s="283"/>
      <c r="AK135" s="283"/>
      <c r="AL135" s="283"/>
      <c r="AM135" s="283"/>
      <c r="AN135" s="283"/>
      <c r="AO135" s="283"/>
      <c r="AP135" s="283"/>
      <c r="AQ135" s="283"/>
      <c r="AR135" s="283"/>
      <c r="AS135" s="283"/>
      <c r="AT135" s="283"/>
      <c r="AU135" s="283"/>
      <c r="AV135" s="283"/>
      <c r="AW135" s="283"/>
      <c r="AX135" s="283"/>
      <c r="AY135" s="283"/>
      <c r="AZ135" s="283"/>
      <c r="BA135" s="283"/>
      <c r="BB135" s="283"/>
      <c r="BC135" s="283"/>
      <c r="BD135" s="283"/>
      <c r="BE135" s="283"/>
    </row>
    <row r="136" spans="1:57">
      <c r="A136" s="595"/>
      <c r="B136" s="598"/>
      <c r="C136" s="599"/>
      <c r="D136" s="283"/>
      <c r="E136" s="283"/>
      <c r="F136" s="283"/>
      <c r="G136" s="283"/>
      <c r="H136" s="283"/>
      <c r="I136" s="283"/>
      <c r="J136" s="283"/>
      <c r="K136" s="283"/>
      <c r="L136" s="283"/>
      <c r="M136" s="283"/>
      <c r="N136" s="283"/>
      <c r="O136" s="283"/>
      <c r="P136" s="283"/>
      <c r="Q136" s="283"/>
      <c r="R136" s="283"/>
      <c r="S136" s="283"/>
      <c r="T136" s="283"/>
      <c r="U136" s="283"/>
      <c r="V136" s="283"/>
      <c r="W136" s="283"/>
      <c r="X136" s="283"/>
      <c r="Y136" s="283"/>
      <c r="Z136" s="283"/>
      <c r="AA136" s="283"/>
      <c r="AB136" s="283"/>
      <c r="AC136" s="283"/>
      <c r="AD136" s="283"/>
      <c r="AE136" s="283"/>
      <c r="AF136" s="283"/>
      <c r="AG136" s="283"/>
      <c r="AH136" s="283"/>
      <c r="AI136" s="283"/>
      <c r="AJ136" s="283"/>
      <c r="AK136" s="283"/>
      <c r="AL136" s="283"/>
      <c r="AM136" s="283"/>
      <c r="AN136" s="283"/>
      <c r="AO136" s="283"/>
      <c r="AP136" s="283"/>
      <c r="AQ136" s="283"/>
      <c r="AR136" s="283"/>
      <c r="AS136" s="283"/>
      <c r="AT136" s="283"/>
      <c r="AU136" s="283"/>
      <c r="AV136" s="283"/>
      <c r="AW136" s="283"/>
      <c r="AX136" s="283"/>
      <c r="AY136" s="283"/>
      <c r="AZ136" s="283"/>
      <c r="BA136" s="283"/>
      <c r="BB136" s="283"/>
      <c r="BC136" s="283"/>
      <c r="BD136" s="283"/>
      <c r="BE136" s="283"/>
    </row>
    <row r="137" spans="1:57">
      <c r="A137" s="595"/>
      <c r="B137" s="598"/>
      <c r="C137" s="599"/>
      <c r="D137" s="283"/>
      <c r="E137" s="283"/>
      <c r="F137" s="283"/>
      <c r="G137" s="283"/>
      <c r="H137" s="283"/>
      <c r="I137" s="283"/>
      <c r="J137" s="283"/>
      <c r="K137" s="283"/>
      <c r="L137" s="283"/>
      <c r="M137" s="283"/>
      <c r="N137" s="283"/>
      <c r="O137" s="283"/>
      <c r="P137" s="283"/>
      <c r="Q137" s="283"/>
      <c r="R137" s="283"/>
      <c r="S137" s="283"/>
      <c r="T137" s="283"/>
      <c r="U137" s="283"/>
      <c r="V137" s="283"/>
      <c r="W137" s="283"/>
      <c r="X137" s="283"/>
      <c r="Y137" s="283"/>
      <c r="Z137" s="283"/>
      <c r="AA137" s="283"/>
      <c r="AB137" s="283"/>
      <c r="AC137" s="283"/>
      <c r="AD137" s="283"/>
      <c r="AE137" s="283"/>
      <c r="AF137" s="283"/>
      <c r="AG137" s="283"/>
      <c r="AH137" s="283"/>
      <c r="AI137" s="283"/>
      <c r="AJ137" s="283"/>
      <c r="AK137" s="283"/>
      <c r="AL137" s="283"/>
      <c r="AM137" s="283"/>
      <c r="AN137" s="283"/>
      <c r="AO137" s="283"/>
      <c r="AP137" s="283"/>
      <c r="AQ137" s="283"/>
      <c r="AR137" s="283"/>
      <c r="AS137" s="283"/>
      <c r="AT137" s="283"/>
      <c r="AU137" s="283"/>
      <c r="AV137" s="283"/>
      <c r="AW137" s="283"/>
      <c r="AX137" s="283"/>
      <c r="AY137" s="283"/>
      <c r="AZ137" s="283"/>
      <c r="BA137" s="283"/>
      <c r="BB137" s="283"/>
      <c r="BC137" s="283"/>
      <c r="BD137" s="283"/>
      <c r="BE137" s="283"/>
    </row>
    <row r="138" spans="1:57">
      <c r="A138" s="595"/>
      <c r="B138" s="598"/>
      <c r="C138" s="599"/>
      <c r="D138" s="283"/>
      <c r="E138" s="283"/>
      <c r="F138" s="283"/>
      <c r="G138" s="283"/>
      <c r="H138" s="283"/>
      <c r="I138" s="283"/>
      <c r="J138" s="283"/>
      <c r="K138" s="283"/>
      <c r="L138" s="283"/>
      <c r="M138" s="283"/>
      <c r="N138" s="283"/>
      <c r="O138" s="283"/>
      <c r="P138" s="283"/>
      <c r="Q138" s="283"/>
      <c r="R138" s="283"/>
      <c r="S138" s="283"/>
      <c r="T138" s="283"/>
      <c r="U138" s="283"/>
      <c r="V138" s="283"/>
      <c r="W138" s="283"/>
      <c r="X138" s="283"/>
      <c r="Y138" s="283"/>
      <c r="Z138" s="283"/>
      <c r="AA138" s="283"/>
      <c r="AB138" s="283"/>
      <c r="AC138" s="283"/>
      <c r="AD138" s="283"/>
      <c r="AE138" s="283"/>
      <c r="AF138" s="283"/>
      <c r="AG138" s="283"/>
      <c r="AH138" s="283"/>
      <c r="AI138" s="283"/>
      <c r="AJ138" s="283"/>
      <c r="AK138" s="283"/>
      <c r="AL138" s="283"/>
      <c r="AM138" s="283"/>
      <c r="AN138" s="283"/>
      <c r="AO138" s="283"/>
      <c r="AP138" s="283"/>
      <c r="AQ138" s="283"/>
      <c r="AR138" s="283"/>
      <c r="AS138" s="283"/>
      <c r="AT138" s="283"/>
      <c r="AU138" s="283"/>
      <c r="AV138" s="283"/>
      <c r="AW138" s="283"/>
      <c r="AX138" s="283"/>
      <c r="AY138" s="283"/>
      <c r="AZ138" s="283"/>
      <c r="BA138" s="283"/>
      <c r="BB138" s="283"/>
      <c r="BC138" s="283"/>
      <c r="BD138" s="283"/>
      <c r="BE138" s="283"/>
    </row>
    <row r="139" spans="1:57">
      <c r="A139" s="595"/>
      <c r="B139" s="598"/>
      <c r="C139" s="599"/>
      <c r="D139" s="283"/>
      <c r="E139" s="283"/>
      <c r="F139" s="283"/>
      <c r="G139" s="283"/>
      <c r="H139" s="283"/>
      <c r="I139" s="283"/>
      <c r="J139" s="283"/>
      <c r="K139" s="283"/>
      <c r="L139" s="283"/>
      <c r="M139" s="283"/>
      <c r="N139" s="283"/>
      <c r="O139" s="283"/>
      <c r="P139" s="283"/>
      <c r="Q139" s="283"/>
      <c r="R139" s="283"/>
      <c r="S139" s="283"/>
      <c r="T139" s="283"/>
      <c r="U139" s="283"/>
      <c r="V139" s="283"/>
      <c r="W139" s="283"/>
      <c r="X139" s="283"/>
      <c r="Y139" s="283"/>
      <c r="Z139" s="283"/>
      <c r="AA139" s="283"/>
      <c r="AB139" s="283"/>
      <c r="AC139" s="283"/>
      <c r="AD139" s="283"/>
      <c r="AE139" s="283"/>
      <c r="AF139" s="283"/>
      <c r="AG139" s="283"/>
      <c r="AH139" s="283"/>
      <c r="AI139" s="283"/>
      <c r="AJ139" s="283"/>
      <c r="AK139" s="283"/>
      <c r="AL139" s="283"/>
      <c r="AM139" s="283"/>
      <c r="AN139" s="283"/>
      <c r="AO139" s="283"/>
      <c r="AP139" s="283"/>
      <c r="AQ139" s="283"/>
      <c r="AR139" s="283"/>
      <c r="AS139" s="283"/>
      <c r="AT139" s="283"/>
      <c r="AU139" s="283"/>
      <c r="AV139" s="283"/>
      <c r="AW139" s="283"/>
      <c r="AX139" s="283"/>
      <c r="AY139" s="283"/>
      <c r="AZ139" s="283"/>
      <c r="BA139" s="283"/>
      <c r="BB139" s="283"/>
      <c r="BC139" s="283"/>
      <c r="BD139" s="283"/>
      <c r="BE139" s="283"/>
    </row>
    <row r="140" spans="1:57">
      <c r="A140" s="595"/>
      <c r="B140" s="598"/>
      <c r="C140" s="599"/>
      <c r="D140" s="283"/>
      <c r="E140" s="283"/>
      <c r="F140" s="283"/>
      <c r="G140" s="283"/>
      <c r="H140" s="283"/>
      <c r="I140" s="283"/>
      <c r="J140" s="283"/>
      <c r="K140" s="283"/>
      <c r="L140" s="283"/>
      <c r="M140" s="283"/>
      <c r="N140" s="283"/>
      <c r="O140" s="283"/>
      <c r="P140" s="283"/>
      <c r="Q140" s="283"/>
      <c r="R140" s="283"/>
      <c r="S140" s="283"/>
      <c r="T140" s="283"/>
      <c r="U140" s="283"/>
      <c r="V140" s="283"/>
      <c r="W140" s="283"/>
      <c r="X140" s="283"/>
      <c r="Y140" s="283"/>
      <c r="Z140" s="283"/>
      <c r="AA140" s="283"/>
      <c r="AB140" s="283"/>
      <c r="AC140" s="283"/>
      <c r="AD140" s="283"/>
      <c r="AE140" s="283"/>
      <c r="AF140" s="283"/>
      <c r="AG140" s="283"/>
      <c r="AH140" s="283"/>
      <c r="AI140" s="283"/>
      <c r="AJ140" s="283"/>
      <c r="AK140" s="283"/>
      <c r="AL140" s="283"/>
      <c r="AM140" s="283"/>
      <c r="AN140" s="283"/>
      <c r="AO140" s="283"/>
      <c r="AP140" s="283"/>
      <c r="AQ140" s="283"/>
      <c r="AR140" s="283"/>
      <c r="AS140" s="283"/>
      <c r="AT140" s="283"/>
      <c r="AU140" s="283"/>
      <c r="AV140" s="283"/>
      <c r="AW140" s="283"/>
      <c r="AX140" s="283"/>
      <c r="AY140" s="283"/>
      <c r="AZ140" s="283"/>
      <c r="BA140" s="283"/>
      <c r="BB140" s="283"/>
      <c r="BC140" s="283"/>
      <c r="BD140" s="283"/>
      <c r="BE140" s="283"/>
    </row>
    <row r="141" spans="1:57">
      <c r="A141" s="595"/>
      <c r="B141" s="598"/>
      <c r="C141" s="599"/>
      <c r="D141" s="283"/>
      <c r="E141" s="283"/>
      <c r="F141" s="283"/>
      <c r="G141" s="283"/>
      <c r="H141" s="283"/>
      <c r="I141" s="283"/>
      <c r="J141" s="283"/>
      <c r="K141" s="283"/>
      <c r="L141" s="283"/>
      <c r="M141" s="283"/>
      <c r="N141" s="283"/>
      <c r="O141" s="283"/>
      <c r="P141" s="283"/>
      <c r="Q141" s="283"/>
      <c r="R141" s="283"/>
      <c r="S141" s="283"/>
      <c r="T141" s="283"/>
      <c r="U141" s="283"/>
      <c r="V141" s="283"/>
      <c r="W141" s="283"/>
      <c r="X141" s="283"/>
      <c r="Y141" s="283"/>
      <c r="Z141" s="283"/>
      <c r="AA141" s="283"/>
      <c r="AB141" s="283"/>
      <c r="AC141" s="283"/>
      <c r="AD141" s="283"/>
      <c r="AE141" s="283"/>
      <c r="AF141" s="283"/>
      <c r="AG141" s="283"/>
      <c r="AH141" s="283"/>
      <c r="AI141" s="283"/>
      <c r="AJ141" s="283"/>
      <c r="AK141" s="283"/>
      <c r="AL141" s="283"/>
      <c r="AM141" s="283"/>
      <c r="AN141" s="283"/>
      <c r="AO141" s="283"/>
      <c r="AP141" s="283"/>
      <c r="AQ141" s="283"/>
      <c r="AR141" s="283"/>
      <c r="AS141" s="283"/>
      <c r="AT141" s="283"/>
      <c r="AU141" s="283"/>
      <c r="AV141" s="283"/>
      <c r="AW141" s="283"/>
      <c r="AX141" s="283"/>
      <c r="AY141" s="283"/>
      <c r="AZ141" s="283"/>
      <c r="BA141" s="283"/>
      <c r="BB141" s="283"/>
      <c r="BC141" s="283"/>
      <c r="BD141" s="283"/>
      <c r="BE141" s="283"/>
    </row>
    <row r="142" spans="1:57">
      <c r="A142" s="595"/>
      <c r="B142" s="598"/>
      <c r="C142" s="599"/>
      <c r="D142" s="283"/>
      <c r="E142" s="283"/>
      <c r="F142" s="283"/>
      <c r="G142" s="283"/>
      <c r="H142" s="283"/>
      <c r="I142" s="283"/>
      <c r="J142" s="283"/>
      <c r="K142" s="283"/>
      <c r="L142" s="283"/>
      <c r="M142" s="283"/>
      <c r="N142" s="283"/>
      <c r="O142" s="283"/>
      <c r="P142" s="283"/>
      <c r="Q142" s="283"/>
      <c r="R142" s="283"/>
      <c r="S142" s="283"/>
      <c r="T142" s="283"/>
      <c r="U142" s="283"/>
      <c r="V142" s="283"/>
      <c r="W142" s="283"/>
      <c r="X142" s="283"/>
      <c r="Y142" s="283"/>
      <c r="Z142" s="283"/>
      <c r="AA142" s="283"/>
      <c r="AB142" s="283"/>
      <c r="AC142" s="283"/>
      <c r="AD142" s="283"/>
      <c r="AE142" s="283"/>
      <c r="AF142" s="283"/>
      <c r="AG142" s="283"/>
      <c r="AH142" s="283"/>
      <c r="AI142" s="283"/>
      <c r="AJ142" s="283"/>
      <c r="AK142" s="283"/>
      <c r="AL142" s="283"/>
      <c r="AM142" s="283"/>
      <c r="AN142" s="283"/>
      <c r="AO142" s="283"/>
      <c r="AP142" s="283"/>
      <c r="AQ142" s="283"/>
      <c r="AR142" s="283"/>
      <c r="AS142" s="283"/>
      <c r="AT142" s="283"/>
      <c r="AU142" s="283"/>
      <c r="AV142" s="283"/>
      <c r="AW142" s="283"/>
      <c r="AX142" s="283"/>
      <c r="AY142" s="283"/>
      <c r="AZ142" s="283"/>
      <c r="BA142" s="283"/>
      <c r="BB142" s="283"/>
      <c r="BC142" s="283"/>
      <c r="BD142" s="283"/>
      <c r="BE142" s="283"/>
    </row>
    <row r="143" spans="1:57">
      <c r="A143" s="595"/>
      <c r="B143" s="598"/>
      <c r="C143" s="599"/>
      <c r="D143" s="283"/>
      <c r="E143" s="283"/>
      <c r="F143" s="283"/>
      <c r="G143" s="283"/>
      <c r="H143" s="283"/>
      <c r="I143" s="283"/>
      <c r="J143" s="283"/>
      <c r="K143" s="283"/>
      <c r="L143" s="283"/>
      <c r="M143" s="283"/>
      <c r="N143" s="283"/>
      <c r="O143" s="283"/>
      <c r="P143" s="283"/>
      <c r="Q143" s="283"/>
      <c r="R143" s="283"/>
      <c r="S143" s="283"/>
      <c r="T143" s="283"/>
      <c r="U143" s="283"/>
      <c r="V143" s="283"/>
      <c r="W143" s="283"/>
      <c r="X143" s="283"/>
      <c r="Y143" s="283"/>
      <c r="Z143" s="283"/>
      <c r="AA143" s="283"/>
      <c r="AB143" s="283"/>
      <c r="AC143" s="283"/>
      <c r="AD143" s="283"/>
      <c r="AE143" s="283"/>
      <c r="AF143" s="283"/>
      <c r="AG143" s="283"/>
      <c r="AH143" s="283"/>
      <c r="AI143" s="283"/>
      <c r="AJ143" s="283"/>
      <c r="AK143" s="283"/>
      <c r="AL143" s="283"/>
      <c r="AM143" s="283"/>
      <c r="AN143" s="283"/>
      <c r="AO143" s="283"/>
      <c r="AP143" s="283"/>
      <c r="AQ143" s="283"/>
      <c r="AR143" s="283"/>
      <c r="AS143" s="283"/>
      <c r="AT143" s="283"/>
      <c r="AU143" s="283"/>
      <c r="AV143" s="283"/>
      <c r="AW143" s="283"/>
      <c r="AX143" s="283"/>
      <c r="AY143" s="283"/>
      <c r="AZ143" s="283"/>
      <c r="BA143" s="283"/>
      <c r="BB143" s="283"/>
      <c r="BC143" s="283"/>
      <c r="BD143" s="283"/>
      <c r="BE143" s="283"/>
    </row>
    <row r="144" spans="1:57">
      <c r="A144" s="595"/>
      <c r="B144" s="598"/>
      <c r="C144" s="599"/>
      <c r="D144" s="283"/>
      <c r="E144" s="283"/>
      <c r="F144" s="283"/>
      <c r="G144" s="283"/>
      <c r="H144" s="283"/>
      <c r="I144" s="283"/>
      <c r="J144" s="283"/>
      <c r="K144" s="283"/>
      <c r="L144" s="283"/>
      <c r="M144" s="283"/>
      <c r="N144" s="283"/>
      <c r="O144" s="283"/>
      <c r="P144" s="283"/>
      <c r="Q144" s="283"/>
      <c r="R144" s="283"/>
      <c r="S144" s="283"/>
      <c r="T144" s="283"/>
      <c r="U144" s="283"/>
      <c r="V144" s="283"/>
      <c r="W144" s="283"/>
      <c r="X144" s="283"/>
      <c r="Y144" s="283"/>
      <c r="Z144" s="283"/>
      <c r="AA144" s="283"/>
      <c r="AB144" s="283"/>
      <c r="AC144" s="283"/>
      <c r="AD144" s="283"/>
      <c r="AE144" s="283"/>
      <c r="AF144" s="283"/>
      <c r="AG144" s="283"/>
      <c r="AH144" s="283"/>
      <c r="AI144" s="283"/>
      <c r="AJ144" s="283"/>
      <c r="AK144" s="283"/>
      <c r="AL144" s="283"/>
      <c r="AM144" s="283"/>
      <c r="AN144" s="283"/>
      <c r="AO144" s="283"/>
      <c r="AP144" s="283"/>
      <c r="AQ144" s="283"/>
      <c r="AR144" s="283"/>
      <c r="AS144" s="283"/>
      <c r="AT144" s="283"/>
      <c r="AU144" s="283"/>
      <c r="AV144" s="283"/>
      <c r="AW144" s="283"/>
      <c r="AX144" s="283"/>
      <c r="AY144" s="283"/>
      <c r="AZ144" s="283"/>
      <c r="BA144" s="283"/>
      <c r="BB144" s="283"/>
      <c r="BC144" s="283"/>
      <c r="BD144" s="283"/>
      <c r="BE144" s="283"/>
    </row>
    <row r="145" spans="1:57">
      <c r="A145" s="595"/>
      <c r="B145" s="598"/>
      <c r="C145" s="599"/>
      <c r="D145" s="283"/>
      <c r="E145" s="283"/>
      <c r="F145" s="283"/>
      <c r="G145" s="283"/>
      <c r="H145" s="283"/>
      <c r="I145" s="283"/>
      <c r="J145" s="283"/>
      <c r="K145" s="283"/>
      <c r="L145" s="283"/>
      <c r="M145" s="283"/>
      <c r="N145" s="283"/>
      <c r="O145" s="283"/>
      <c r="P145" s="283"/>
      <c r="Q145" s="283"/>
      <c r="R145" s="283"/>
      <c r="S145" s="283"/>
      <c r="T145" s="283"/>
      <c r="U145" s="283"/>
      <c r="V145" s="283"/>
      <c r="W145" s="283"/>
      <c r="X145" s="283"/>
      <c r="Y145" s="283"/>
      <c r="Z145" s="283"/>
      <c r="AA145" s="283"/>
      <c r="AB145" s="283"/>
      <c r="AC145" s="283"/>
      <c r="AD145" s="283"/>
      <c r="AE145" s="283"/>
      <c r="AF145" s="283"/>
      <c r="AG145" s="283"/>
      <c r="AH145" s="283"/>
      <c r="AI145" s="283"/>
      <c r="AJ145" s="283"/>
      <c r="AK145" s="283"/>
      <c r="AL145" s="283"/>
      <c r="AM145" s="283"/>
      <c r="AN145" s="283"/>
      <c r="AO145" s="283"/>
      <c r="AP145" s="283"/>
      <c r="AQ145" s="283"/>
      <c r="AR145" s="283"/>
      <c r="AS145" s="283"/>
      <c r="AT145" s="283"/>
      <c r="AU145" s="283"/>
      <c r="AV145" s="283"/>
      <c r="AW145" s="283"/>
      <c r="AX145" s="283"/>
      <c r="AY145" s="283"/>
      <c r="AZ145" s="283"/>
      <c r="BA145" s="283"/>
      <c r="BB145" s="283"/>
      <c r="BC145" s="283"/>
      <c r="BD145" s="283"/>
      <c r="BE145" s="283"/>
    </row>
    <row r="146" spans="1:57">
      <c r="A146" s="595"/>
      <c r="B146" s="598"/>
      <c r="C146" s="599"/>
      <c r="D146" s="283"/>
      <c r="E146" s="283"/>
      <c r="F146" s="283"/>
      <c r="G146" s="283"/>
      <c r="H146" s="283"/>
      <c r="I146" s="283"/>
      <c r="J146" s="283"/>
      <c r="K146" s="283"/>
      <c r="L146" s="283"/>
      <c r="M146" s="283"/>
      <c r="N146" s="283"/>
      <c r="O146" s="283"/>
      <c r="P146" s="283"/>
      <c r="Q146" s="283"/>
      <c r="R146" s="283"/>
      <c r="S146" s="283"/>
      <c r="T146" s="283"/>
      <c r="U146" s="283"/>
      <c r="V146" s="283"/>
      <c r="W146" s="283"/>
      <c r="X146" s="283"/>
      <c r="Y146" s="283"/>
      <c r="Z146" s="283"/>
      <c r="AA146" s="283"/>
      <c r="AB146" s="283"/>
      <c r="AC146" s="283"/>
      <c r="AD146" s="283"/>
      <c r="AE146" s="283"/>
      <c r="AF146" s="283"/>
      <c r="AG146" s="283"/>
      <c r="AH146" s="283"/>
      <c r="AI146" s="283"/>
      <c r="AJ146" s="283"/>
      <c r="AK146" s="283"/>
      <c r="AL146" s="283"/>
      <c r="AM146" s="283"/>
      <c r="AN146" s="283"/>
      <c r="AO146" s="283"/>
      <c r="AP146" s="283"/>
      <c r="AQ146" s="283"/>
      <c r="AR146" s="283"/>
      <c r="AS146" s="283"/>
      <c r="AT146" s="283"/>
      <c r="AU146" s="283"/>
      <c r="AV146" s="283"/>
      <c r="AW146" s="283"/>
      <c r="AX146" s="283"/>
      <c r="AY146" s="283"/>
      <c r="AZ146" s="283"/>
      <c r="BA146" s="283"/>
      <c r="BB146" s="283"/>
      <c r="BC146" s="283"/>
      <c r="BD146" s="283"/>
      <c r="BE146" s="283"/>
    </row>
    <row r="147" spans="1:57">
      <c r="A147" s="595"/>
      <c r="B147" s="598"/>
      <c r="C147" s="599"/>
      <c r="D147" s="283"/>
      <c r="E147" s="283"/>
      <c r="F147" s="283"/>
      <c r="G147" s="283"/>
      <c r="H147" s="283"/>
      <c r="I147" s="283"/>
      <c r="J147" s="283"/>
      <c r="K147" s="283"/>
      <c r="L147" s="283"/>
      <c r="M147" s="283"/>
      <c r="N147" s="283"/>
      <c r="O147" s="283"/>
      <c r="P147" s="283"/>
      <c r="Q147" s="283"/>
      <c r="R147" s="283"/>
      <c r="S147" s="283"/>
      <c r="T147" s="283"/>
      <c r="U147" s="283"/>
      <c r="V147" s="283"/>
      <c r="W147" s="283"/>
      <c r="X147" s="283"/>
      <c r="Y147" s="283"/>
      <c r="Z147" s="283"/>
      <c r="AA147" s="283"/>
      <c r="AB147" s="283"/>
      <c r="AC147" s="283"/>
      <c r="AD147" s="283"/>
      <c r="AE147" s="283"/>
      <c r="AF147" s="283"/>
      <c r="AG147" s="283"/>
      <c r="AH147" s="283"/>
      <c r="AI147" s="283"/>
      <c r="AJ147" s="283"/>
      <c r="AK147" s="283"/>
      <c r="AL147" s="283"/>
      <c r="AM147" s="283"/>
      <c r="AN147" s="283"/>
      <c r="AO147" s="283"/>
      <c r="AP147" s="283"/>
      <c r="AQ147" s="283"/>
      <c r="AR147" s="283"/>
      <c r="AS147" s="283"/>
      <c r="AT147" s="283"/>
      <c r="AU147" s="283"/>
      <c r="AV147" s="283"/>
      <c r="AW147" s="283"/>
      <c r="AX147" s="283"/>
      <c r="AY147" s="283"/>
      <c r="AZ147" s="283"/>
      <c r="BA147" s="283"/>
      <c r="BB147" s="283"/>
      <c r="BC147" s="283"/>
      <c r="BD147" s="283"/>
      <c r="BE147" s="283"/>
    </row>
    <row r="148" spans="1:57">
      <c r="A148" s="595"/>
      <c r="B148" s="598"/>
      <c r="C148" s="599"/>
      <c r="D148" s="283"/>
      <c r="E148" s="283"/>
      <c r="F148" s="283"/>
      <c r="G148" s="283"/>
      <c r="H148" s="283"/>
      <c r="I148" s="283"/>
      <c r="J148" s="283"/>
      <c r="K148" s="283"/>
      <c r="L148" s="283"/>
      <c r="M148" s="283"/>
      <c r="N148" s="283"/>
      <c r="O148" s="283"/>
      <c r="P148" s="283"/>
      <c r="Q148" s="283"/>
      <c r="R148" s="283"/>
      <c r="S148" s="283"/>
      <c r="T148" s="283"/>
      <c r="U148" s="283"/>
      <c r="V148" s="283"/>
      <c r="W148" s="283"/>
      <c r="X148" s="283"/>
      <c r="Y148" s="283"/>
      <c r="Z148" s="283"/>
      <c r="AA148" s="283"/>
      <c r="AB148" s="283"/>
      <c r="AC148" s="283"/>
      <c r="AD148" s="283"/>
      <c r="AE148" s="283"/>
      <c r="AF148" s="283"/>
      <c r="AG148" s="283"/>
      <c r="AH148" s="283"/>
      <c r="AI148" s="283"/>
      <c r="AJ148" s="283"/>
      <c r="AK148" s="283"/>
      <c r="AL148" s="283"/>
      <c r="AM148" s="283"/>
      <c r="AN148" s="283"/>
      <c r="AO148" s="283"/>
      <c r="AP148" s="283"/>
      <c r="AQ148" s="283"/>
      <c r="AR148" s="283"/>
      <c r="AS148" s="283"/>
      <c r="AT148" s="283"/>
      <c r="AU148" s="283"/>
      <c r="AV148" s="283"/>
      <c r="AW148" s="283"/>
      <c r="AX148" s="283"/>
      <c r="AY148" s="283"/>
      <c r="AZ148" s="283"/>
      <c r="BA148" s="283"/>
      <c r="BB148" s="283"/>
      <c r="BC148" s="283"/>
      <c r="BD148" s="283"/>
      <c r="BE148" s="283"/>
    </row>
    <row r="149" spans="1:57">
      <c r="A149" s="595"/>
      <c r="B149" s="598"/>
      <c r="C149" s="599"/>
      <c r="D149" s="283"/>
      <c r="E149" s="283"/>
      <c r="F149" s="283"/>
      <c r="G149" s="283"/>
      <c r="H149" s="283"/>
      <c r="I149" s="283"/>
      <c r="J149" s="283"/>
      <c r="K149" s="283"/>
      <c r="L149" s="283"/>
      <c r="M149" s="283"/>
      <c r="N149" s="283"/>
      <c r="O149" s="283"/>
      <c r="P149" s="283"/>
      <c r="Q149" s="283"/>
      <c r="R149" s="283"/>
      <c r="S149" s="283"/>
      <c r="T149" s="283"/>
      <c r="U149" s="283"/>
      <c r="V149" s="283"/>
      <c r="W149" s="283"/>
      <c r="X149" s="283"/>
      <c r="Y149" s="283"/>
      <c r="Z149" s="283"/>
      <c r="AA149" s="283"/>
      <c r="AB149" s="283"/>
      <c r="AC149" s="283"/>
      <c r="AD149" s="283"/>
      <c r="AE149" s="283"/>
      <c r="AF149" s="283"/>
      <c r="AG149" s="283"/>
      <c r="AH149" s="283"/>
      <c r="AI149" s="283"/>
      <c r="AJ149" s="283"/>
      <c r="AK149" s="283"/>
      <c r="AL149" s="283"/>
      <c r="AM149" s="283"/>
      <c r="AN149" s="283"/>
      <c r="AO149" s="283"/>
      <c r="AP149" s="283"/>
      <c r="AQ149" s="283"/>
      <c r="AR149" s="283"/>
      <c r="AS149" s="283"/>
      <c r="AT149" s="283"/>
      <c r="AU149" s="283"/>
      <c r="AV149" s="283"/>
      <c r="AW149" s="283"/>
      <c r="AX149" s="283"/>
      <c r="AY149" s="283"/>
      <c r="AZ149" s="283"/>
      <c r="BA149" s="283"/>
      <c r="BB149" s="283"/>
      <c r="BC149" s="283"/>
      <c r="BD149" s="283"/>
      <c r="BE149" s="283"/>
    </row>
    <row r="150" spans="1:57">
      <c r="A150" s="595"/>
      <c r="B150" s="598"/>
      <c r="C150" s="599"/>
      <c r="D150" s="283"/>
      <c r="E150" s="283"/>
      <c r="F150" s="283"/>
      <c r="G150" s="283"/>
      <c r="H150" s="283"/>
      <c r="I150" s="283"/>
      <c r="J150" s="283"/>
      <c r="K150" s="283"/>
      <c r="L150" s="283"/>
      <c r="M150" s="283"/>
      <c r="N150" s="283"/>
      <c r="O150" s="283"/>
      <c r="P150" s="283"/>
      <c r="Q150" s="283"/>
      <c r="R150" s="283"/>
      <c r="S150" s="283"/>
      <c r="T150" s="283"/>
      <c r="U150" s="283"/>
      <c r="V150" s="283"/>
      <c r="W150" s="283"/>
      <c r="X150" s="283"/>
      <c r="Y150" s="283"/>
      <c r="Z150" s="283"/>
      <c r="AA150" s="283"/>
      <c r="AB150" s="283"/>
      <c r="AC150" s="283"/>
      <c r="AD150" s="283"/>
      <c r="AE150" s="283"/>
      <c r="AF150" s="283"/>
      <c r="AG150" s="283"/>
      <c r="AH150" s="283"/>
      <c r="AI150" s="283"/>
      <c r="AJ150" s="283"/>
      <c r="AK150" s="283"/>
      <c r="AL150" s="283"/>
      <c r="AM150" s="283"/>
      <c r="AN150" s="283"/>
      <c r="AO150" s="283"/>
      <c r="AP150" s="283"/>
      <c r="AQ150" s="283"/>
      <c r="AR150" s="283"/>
      <c r="AS150" s="283"/>
      <c r="AT150" s="283"/>
      <c r="AU150" s="283"/>
      <c r="AV150" s="283"/>
      <c r="AW150" s="283"/>
      <c r="AX150" s="283"/>
      <c r="AY150" s="283"/>
      <c r="AZ150" s="283"/>
      <c r="BA150" s="283"/>
      <c r="BB150" s="283"/>
      <c r="BC150" s="283"/>
      <c r="BD150" s="283"/>
      <c r="BE150" s="283"/>
    </row>
    <row r="151" spans="1:57">
      <c r="A151" s="595"/>
      <c r="B151" s="598"/>
      <c r="C151" s="599"/>
      <c r="D151" s="283"/>
      <c r="E151" s="283"/>
      <c r="F151" s="283"/>
      <c r="G151" s="283"/>
      <c r="H151" s="283"/>
      <c r="I151" s="283"/>
      <c r="J151" s="283"/>
      <c r="K151" s="283"/>
      <c r="L151" s="283"/>
      <c r="M151" s="283"/>
      <c r="N151" s="283"/>
      <c r="O151" s="283"/>
      <c r="P151" s="283"/>
      <c r="Q151" s="283"/>
      <c r="R151" s="283"/>
      <c r="S151" s="283"/>
      <c r="T151" s="283"/>
      <c r="U151" s="283"/>
      <c r="V151" s="283"/>
      <c r="W151" s="283"/>
      <c r="X151" s="283"/>
      <c r="Y151" s="283"/>
      <c r="Z151" s="283"/>
      <c r="AA151" s="283"/>
      <c r="AB151" s="283"/>
      <c r="AC151" s="283"/>
      <c r="AD151" s="283"/>
      <c r="AE151" s="283"/>
      <c r="AF151" s="283"/>
      <c r="AG151" s="283"/>
      <c r="AH151" s="283"/>
      <c r="AI151" s="283"/>
      <c r="AJ151" s="283"/>
      <c r="AK151" s="283"/>
      <c r="AL151" s="283"/>
      <c r="AM151" s="283"/>
      <c r="AN151" s="283"/>
      <c r="AO151" s="283"/>
      <c r="AP151" s="283"/>
      <c r="AQ151" s="283"/>
      <c r="AR151" s="283"/>
      <c r="AS151" s="283"/>
      <c r="AT151" s="283"/>
      <c r="AU151" s="283"/>
      <c r="AV151" s="283"/>
      <c r="AW151" s="283"/>
      <c r="AX151" s="283"/>
      <c r="AY151" s="283"/>
      <c r="AZ151" s="283"/>
      <c r="BA151" s="283"/>
      <c r="BB151" s="283"/>
      <c r="BC151" s="283"/>
      <c r="BD151" s="283"/>
      <c r="BE151" s="283"/>
    </row>
    <row r="152" spans="1:57">
      <c r="A152" s="595"/>
      <c r="B152" s="598"/>
      <c r="C152" s="599"/>
      <c r="D152" s="283"/>
      <c r="E152" s="283"/>
      <c r="F152" s="283"/>
      <c r="G152" s="283"/>
      <c r="H152" s="283"/>
      <c r="I152" s="283"/>
      <c r="J152" s="283"/>
      <c r="K152" s="283"/>
      <c r="L152" s="283"/>
      <c r="M152" s="283"/>
      <c r="N152" s="283"/>
      <c r="O152" s="283"/>
      <c r="P152" s="283"/>
      <c r="Q152" s="283"/>
      <c r="R152" s="283"/>
      <c r="S152" s="283"/>
      <c r="T152" s="283"/>
      <c r="U152" s="283"/>
      <c r="V152" s="283"/>
      <c r="W152" s="283"/>
      <c r="X152" s="283"/>
      <c r="Y152" s="283"/>
      <c r="Z152" s="283"/>
      <c r="AA152" s="283"/>
      <c r="AB152" s="283"/>
      <c r="AC152" s="283"/>
      <c r="AD152" s="283"/>
      <c r="AE152" s="283"/>
      <c r="AF152" s="283"/>
      <c r="AG152" s="283"/>
      <c r="AH152" s="283"/>
      <c r="AI152" s="283"/>
      <c r="AJ152" s="283"/>
      <c r="AK152" s="283"/>
      <c r="AL152" s="283"/>
      <c r="AM152" s="283"/>
      <c r="AN152" s="283"/>
      <c r="AO152" s="283"/>
      <c r="AP152" s="283"/>
      <c r="AQ152" s="283"/>
      <c r="AR152" s="283"/>
      <c r="AS152" s="283"/>
      <c r="AT152" s="283"/>
      <c r="AU152" s="283"/>
      <c r="AV152" s="283"/>
      <c r="AW152" s="283"/>
      <c r="AX152" s="283"/>
      <c r="AY152" s="283"/>
      <c r="AZ152" s="283"/>
      <c r="BA152" s="283"/>
      <c r="BB152" s="283"/>
      <c r="BC152" s="283"/>
      <c r="BD152" s="283"/>
      <c r="BE152" s="283"/>
    </row>
    <row r="153" spans="1:57">
      <c r="A153" s="595"/>
      <c r="B153" s="598"/>
      <c r="C153" s="599"/>
      <c r="D153" s="283"/>
      <c r="E153" s="283"/>
      <c r="F153" s="283"/>
      <c r="G153" s="283"/>
      <c r="H153" s="283"/>
      <c r="I153" s="283"/>
      <c r="J153" s="283"/>
      <c r="K153" s="283"/>
      <c r="L153" s="283"/>
      <c r="M153" s="283"/>
      <c r="N153" s="283"/>
      <c r="O153" s="283"/>
      <c r="P153" s="283"/>
      <c r="Q153" s="283"/>
      <c r="R153" s="283"/>
      <c r="S153" s="283"/>
      <c r="T153" s="283"/>
      <c r="U153" s="283"/>
      <c r="V153" s="283"/>
      <c r="W153" s="283"/>
      <c r="X153" s="283"/>
      <c r="Y153" s="283"/>
      <c r="Z153" s="283"/>
      <c r="AA153" s="283"/>
      <c r="AB153" s="283"/>
      <c r="AC153" s="283"/>
      <c r="AD153" s="283"/>
      <c r="AE153" s="283"/>
      <c r="AF153" s="283"/>
      <c r="AG153" s="283"/>
      <c r="AH153" s="283"/>
      <c r="AI153" s="283"/>
      <c r="AJ153" s="283"/>
      <c r="AK153" s="283"/>
      <c r="AL153" s="283"/>
      <c r="AM153" s="283"/>
      <c r="AN153" s="283"/>
      <c r="AO153" s="283"/>
      <c r="AP153" s="283"/>
      <c r="AQ153" s="283"/>
      <c r="AR153" s="283"/>
      <c r="AS153" s="283"/>
      <c r="AT153" s="283"/>
      <c r="AU153" s="283"/>
      <c r="AV153" s="283"/>
      <c r="AW153" s="283"/>
      <c r="AX153" s="283"/>
      <c r="AY153" s="283"/>
      <c r="AZ153" s="283"/>
      <c r="BA153" s="283"/>
      <c r="BB153" s="283"/>
      <c r="BC153" s="283"/>
      <c r="BD153" s="283"/>
      <c r="BE153" s="283"/>
    </row>
    <row r="154" spans="1:57">
      <c r="A154" s="595"/>
      <c r="B154" s="598"/>
      <c r="C154" s="599"/>
      <c r="D154" s="283"/>
      <c r="E154" s="283"/>
      <c r="F154" s="283"/>
      <c r="G154" s="283"/>
      <c r="H154" s="283"/>
      <c r="I154" s="283"/>
      <c r="J154" s="283"/>
      <c r="K154" s="283"/>
      <c r="L154" s="283"/>
      <c r="M154" s="283"/>
      <c r="N154" s="283"/>
      <c r="O154" s="283"/>
      <c r="P154" s="283"/>
      <c r="Q154" s="283"/>
      <c r="R154" s="283"/>
      <c r="S154" s="283"/>
      <c r="T154" s="283"/>
      <c r="U154" s="283"/>
      <c r="V154" s="283"/>
      <c r="W154" s="283"/>
      <c r="X154" s="283"/>
      <c r="Y154" s="283"/>
      <c r="Z154" s="283"/>
      <c r="AA154" s="283"/>
      <c r="AB154" s="283"/>
      <c r="AC154" s="283"/>
      <c r="AD154" s="283"/>
      <c r="AE154" s="283"/>
      <c r="AF154" s="283"/>
      <c r="AG154" s="283"/>
      <c r="AH154" s="283"/>
      <c r="AI154" s="283"/>
      <c r="AJ154" s="283"/>
      <c r="AK154" s="283"/>
      <c r="AL154" s="283"/>
      <c r="AM154" s="283"/>
      <c r="AN154" s="283"/>
      <c r="AO154" s="283"/>
      <c r="AP154" s="283"/>
      <c r="AQ154" s="283"/>
      <c r="AR154" s="283"/>
      <c r="AS154" s="283"/>
      <c r="AT154" s="283"/>
      <c r="AU154" s="283"/>
      <c r="AV154" s="283"/>
      <c r="AW154" s="283"/>
      <c r="AX154" s="283"/>
      <c r="AY154" s="283"/>
      <c r="AZ154" s="283"/>
      <c r="BA154" s="283"/>
      <c r="BB154" s="283"/>
      <c r="BC154" s="283"/>
      <c r="BD154" s="283"/>
      <c r="BE154" s="283"/>
    </row>
    <row r="155" spans="1:57">
      <c r="A155" s="595"/>
      <c r="B155" s="598"/>
      <c r="C155" s="599"/>
      <c r="D155" s="283"/>
      <c r="E155" s="283"/>
      <c r="F155" s="283"/>
      <c r="G155" s="283"/>
      <c r="H155" s="283"/>
      <c r="I155" s="283"/>
      <c r="J155" s="283"/>
      <c r="K155" s="283"/>
      <c r="L155" s="283"/>
      <c r="M155" s="283"/>
      <c r="N155" s="283"/>
      <c r="O155" s="283"/>
      <c r="P155" s="283"/>
      <c r="Q155" s="283"/>
      <c r="R155" s="283"/>
      <c r="S155" s="283"/>
      <c r="T155" s="283"/>
      <c r="U155" s="283"/>
      <c r="V155" s="283"/>
      <c r="W155" s="283"/>
      <c r="X155" s="283"/>
      <c r="Y155" s="283"/>
      <c r="Z155" s="283"/>
      <c r="AA155" s="283"/>
      <c r="AB155" s="283"/>
      <c r="AC155" s="283"/>
      <c r="AD155" s="283"/>
      <c r="AE155" s="283"/>
      <c r="AF155" s="283"/>
      <c r="AG155" s="283"/>
      <c r="AH155" s="283"/>
      <c r="AI155" s="283"/>
      <c r="AJ155" s="283"/>
      <c r="AK155" s="283"/>
      <c r="AL155" s="283"/>
      <c r="AM155" s="283"/>
      <c r="AN155" s="283"/>
      <c r="AO155" s="283"/>
      <c r="AP155" s="283"/>
      <c r="AQ155" s="283"/>
      <c r="AR155" s="283"/>
      <c r="AS155" s="283"/>
      <c r="AT155" s="283"/>
      <c r="AU155" s="283"/>
      <c r="AV155" s="283"/>
      <c r="AW155" s="283"/>
      <c r="AX155" s="283"/>
      <c r="AY155" s="283"/>
      <c r="AZ155" s="283"/>
      <c r="BA155" s="283"/>
      <c r="BB155" s="283"/>
      <c r="BC155" s="283"/>
      <c r="BD155" s="283"/>
      <c r="BE155" s="283"/>
    </row>
    <row r="156" spans="1:57">
      <c r="A156" s="595"/>
      <c r="B156" s="598"/>
      <c r="C156" s="599"/>
      <c r="D156" s="283"/>
      <c r="E156" s="283"/>
      <c r="F156" s="283"/>
      <c r="G156" s="283"/>
      <c r="H156" s="283"/>
      <c r="I156" s="283"/>
      <c r="J156" s="283"/>
      <c r="K156" s="283"/>
      <c r="L156" s="283"/>
      <c r="M156" s="283"/>
      <c r="N156" s="283"/>
      <c r="O156" s="283"/>
      <c r="P156" s="283"/>
      <c r="Q156" s="283"/>
      <c r="R156" s="283"/>
      <c r="S156" s="283"/>
      <c r="T156" s="283"/>
      <c r="U156" s="283"/>
      <c r="V156" s="283"/>
      <c r="W156" s="283"/>
      <c r="X156" s="283"/>
      <c r="Y156" s="283"/>
      <c r="Z156" s="283"/>
      <c r="AA156" s="283"/>
      <c r="AB156" s="283"/>
      <c r="AC156" s="283"/>
      <c r="AD156" s="283"/>
      <c r="AE156" s="283"/>
      <c r="AF156" s="283"/>
      <c r="AG156" s="283"/>
      <c r="AH156" s="283"/>
      <c r="AI156" s="283"/>
      <c r="AJ156" s="283"/>
      <c r="AK156" s="283"/>
      <c r="AL156" s="283"/>
      <c r="AM156" s="283"/>
      <c r="AN156" s="283"/>
      <c r="AO156" s="283"/>
      <c r="AP156" s="283"/>
      <c r="AQ156" s="283"/>
      <c r="AR156" s="283"/>
      <c r="AS156" s="283"/>
      <c r="AT156" s="283"/>
      <c r="AU156" s="283"/>
      <c r="AV156" s="283"/>
      <c r="AW156" s="283"/>
      <c r="AX156" s="283"/>
      <c r="AY156" s="283"/>
      <c r="AZ156" s="283"/>
      <c r="BA156" s="283"/>
      <c r="BB156" s="283"/>
      <c r="BC156" s="283"/>
      <c r="BD156" s="283"/>
      <c r="BE156" s="283"/>
    </row>
    <row r="157" spans="1:57">
      <c r="A157" s="595"/>
      <c r="B157" s="598"/>
      <c r="C157" s="599"/>
      <c r="D157" s="283"/>
      <c r="E157" s="283"/>
      <c r="F157" s="283"/>
      <c r="G157" s="283"/>
      <c r="H157" s="283"/>
      <c r="I157" s="283"/>
      <c r="J157" s="283"/>
      <c r="K157" s="283"/>
      <c r="L157" s="283"/>
      <c r="M157" s="283"/>
      <c r="N157" s="283"/>
      <c r="O157" s="283"/>
      <c r="P157" s="283"/>
      <c r="Q157" s="283"/>
      <c r="R157" s="283"/>
      <c r="S157" s="283"/>
      <c r="T157" s="283"/>
      <c r="U157" s="283"/>
      <c r="V157" s="283"/>
      <c r="W157" s="283"/>
      <c r="X157" s="283"/>
      <c r="Y157" s="283"/>
      <c r="Z157" s="283"/>
      <c r="AA157" s="283"/>
      <c r="AB157" s="283"/>
      <c r="AC157" s="283"/>
      <c r="AD157" s="283"/>
      <c r="AE157" s="283"/>
      <c r="AF157" s="283"/>
      <c r="AG157" s="283"/>
      <c r="AH157" s="283"/>
      <c r="AI157" s="283"/>
      <c r="AJ157" s="283"/>
      <c r="AK157" s="283"/>
      <c r="AL157" s="283"/>
      <c r="AM157" s="283"/>
      <c r="AN157" s="283"/>
      <c r="AO157" s="283"/>
      <c r="AP157" s="283"/>
      <c r="AQ157" s="283"/>
      <c r="AR157" s="283"/>
      <c r="AS157" s="283"/>
      <c r="AT157" s="283"/>
      <c r="AU157" s="283"/>
      <c r="AV157" s="283"/>
      <c r="AW157" s="283"/>
      <c r="AX157" s="283"/>
      <c r="AY157" s="283"/>
      <c r="AZ157" s="283"/>
      <c r="BA157" s="283"/>
      <c r="BB157" s="283"/>
      <c r="BC157" s="283"/>
      <c r="BD157" s="283"/>
      <c r="BE157" s="283"/>
    </row>
    <row r="158" spans="1:57">
      <c r="A158" s="595"/>
      <c r="B158" s="598"/>
      <c r="C158" s="599"/>
      <c r="D158" s="283"/>
      <c r="E158" s="283"/>
      <c r="F158" s="283"/>
      <c r="G158" s="283"/>
      <c r="H158" s="283"/>
      <c r="I158" s="283"/>
      <c r="J158" s="283"/>
      <c r="K158" s="283"/>
      <c r="L158" s="283"/>
      <c r="M158" s="283"/>
      <c r="N158" s="283"/>
      <c r="O158" s="283"/>
      <c r="P158" s="283"/>
      <c r="Q158" s="283"/>
      <c r="R158" s="283"/>
      <c r="S158" s="283"/>
      <c r="T158" s="283"/>
      <c r="U158" s="283"/>
      <c r="V158" s="283"/>
      <c r="W158" s="283"/>
      <c r="X158" s="283"/>
      <c r="Y158" s="283"/>
      <c r="Z158" s="283"/>
      <c r="AA158" s="283"/>
      <c r="AB158" s="283"/>
      <c r="AC158" s="283"/>
      <c r="AD158" s="283"/>
      <c r="AE158" s="283"/>
      <c r="AF158" s="283"/>
      <c r="AG158" s="283"/>
      <c r="AH158" s="283"/>
      <c r="AI158" s="283"/>
      <c r="AJ158" s="283"/>
      <c r="AK158" s="283"/>
      <c r="AL158" s="283"/>
      <c r="AM158" s="283"/>
      <c r="AN158" s="283"/>
      <c r="AO158" s="283"/>
      <c r="AP158" s="283"/>
      <c r="AQ158" s="283"/>
      <c r="AR158" s="283"/>
      <c r="AS158" s="283"/>
      <c r="AT158" s="283"/>
      <c r="AU158" s="283"/>
      <c r="AV158" s="283"/>
      <c r="AW158" s="283"/>
      <c r="AX158" s="283"/>
      <c r="AY158" s="283"/>
      <c r="AZ158" s="283"/>
      <c r="BA158" s="283"/>
      <c r="BB158" s="283"/>
      <c r="BC158" s="283"/>
      <c r="BD158" s="283"/>
      <c r="BE158" s="283"/>
    </row>
    <row r="159" spans="1:57">
      <c r="A159" s="595"/>
      <c r="B159" s="598"/>
      <c r="C159" s="599"/>
      <c r="D159" s="283"/>
      <c r="E159" s="283"/>
      <c r="F159" s="283"/>
      <c r="G159" s="283"/>
      <c r="H159" s="283"/>
      <c r="I159" s="283"/>
      <c r="J159" s="283"/>
      <c r="K159" s="283"/>
      <c r="L159" s="283"/>
      <c r="M159" s="283"/>
      <c r="N159" s="283"/>
      <c r="O159" s="283"/>
      <c r="P159" s="283"/>
      <c r="Q159" s="283"/>
      <c r="R159" s="283"/>
      <c r="S159" s="283"/>
      <c r="T159" s="283"/>
      <c r="U159" s="283"/>
      <c r="V159" s="283"/>
      <c r="W159" s="283"/>
      <c r="X159" s="283"/>
      <c r="Y159" s="283"/>
      <c r="Z159" s="283"/>
      <c r="AA159" s="283"/>
      <c r="AB159" s="283"/>
      <c r="AC159" s="283"/>
      <c r="AD159" s="283"/>
      <c r="AE159" s="283"/>
      <c r="AF159" s="283"/>
      <c r="AG159" s="283"/>
      <c r="AH159" s="283"/>
      <c r="AI159" s="283"/>
      <c r="AJ159" s="283"/>
      <c r="AK159" s="283"/>
      <c r="AL159" s="283"/>
      <c r="AM159" s="283"/>
      <c r="AN159" s="283"/>
      <c r="AO159" s="283"/>
      <c r="AP159" s="283"/>
      <c r="AQ159" s="283"/>
      <c r="AR159" s="283"/>
      <c r="AS159" s="283"/>
      <c r="AT159" s="283"/>
      <c r="AU159" s="283"/>
      <c r="AV159" s="283"/>
      <c r="AW159" s="283"/>
      <c r="AX159" s="283"/>
      <c r="AY159" s="283"/>
      <c r="AZ159" s="283"/>
      <c r="BA159" s="283"/>
      <c r="BB159" s="283"/>
      <c r="BC159" s="283"/>
      <c r="BD159" s="283"/>
      <c r="BE159" s="283"/>
    </row>
    <row r="160" spans="1:57">
      <c r="A160" s="595"/>
      <c r="B160" s="598"/>
      <c r="C160" s="599"/>
      <c r="D160" s="283"/>
      <c r="E160" s="283"/>
      <c r="F160" s="283"/>
      <c r="G160" s="283"/>
      <c r="H160" s="283"/>
      <c r="I160" s="283"/>
      <c r="J160" s="283"/>
      <c r="K160" s="283"/>
      <c r="L160" s="283"/>
      <c r="M160" s="283"/>
      <c r="N160" s="283"/>
      <c r="O160" s="283"/>
      <c r="P160" s="283"/>
      <c r="Q160" s="283"/>
      <c r="R160" s="283"/>
      <c r="S160" s="283"/>
      <c r="T160" s="283"/>
      <c r="U160" s="283"/>
      <c r="V160" s="283"/>
      <c r="W160" s="283"/>
      <c r="X160" s="283"/>
      <c r="Y160" s="283"/>
      <c r="Z160" s="283"/>
      <c r="AA160" s="283"/>
      <c r="AB160" s="283"/>
      <c r="AC160" s="283"/>
      <c r="AD160" s="283"/>
      <c r="AE160" s="283"/>
      <c r="AF160" s="283"/>
      <c r="AG160" s="283"/>
      <c r="AH160" s="283"/>
      <c r="AI160" s="283"/>
      <c r="AJ160" s="283"/>
      <c r="AK160" s="283"/>
      <c r="AL160" s="283"/>
      <c r="AM160" s="283"/>
      <c r="AN160" s="283"/>
      <c r="AO160" s="283"/>
      <c r="AP160" s="283"/>
      <c r="AQ160" s="283"/>
      <c r="AR160" s="283"/>
      <c r="AS160" s="283"/>
      <c r="AT160" s="283"/>
      <c r="AU160" s="283"/>
      <c r="AV160" s="283"/>
      <c r="AW160" s="283"/>
      <c r="AX160" s="283"/>
      <c r="AY160" s="283"/>
      <c r="AZ160" s="283"/>
      <c r="BA160" s="283"/>
      <c r="BB160" s="283"/>
      <c r="BC160" s="283"/>
      <c r="BD160" s="283"/>
      <c r="BE160" s="283"/>
    </row>
    <row r="161" spans="1:57">
      <c r="A161" s="595"/>
      <c r="B161" s="598"/>
      <c r="C161" s="599"/>
      <c r="D161" s="283"/>
      <c r="E161" s="283"/>
      <c r="F161" s="283"/>
      <c r="G161" s="283"/>
      <c r="H161" s="283"/>
      <c r="I161" s="283"/>
      <c r="J161" s="283"/>
      <c r="K161" s="283"/>
      <c r="L161" s="283"/>
      <c r="M161" s="283"/>
      <c r="N161" s="283"/>
      <c r="O161" s="283"/>
      <c r="P161" s="283"/>
      <c r="Q161" s="283"/>
      <c r="R161" s="283"/>
      <c r="S161" s="283"/>
      <c r="T161" s="283"/>
      <c r="U161" s="283"/>
      <c r="V161" s="283"/>
      <c r="W161" s="283"/>
      <c r="X161" s="283"/>
      <c r="Y161" s="283"/>
      <c r="Z161" s="283"/>
      <c r="AA161" s="283"/>
      <c r="AB161" s="283"/>
      <c r="AC161" s="283"/>
      <c r="AD161" s="283"/>
      <c r="AE161" s="283"/>
      <c r="AF161" s="283"/>
      <c r="AG161" s="283"/>
      <c r="AH161" s="283"/>
      <c r="AI161" s="283"/>
      <c r="AJ161" s="283"/>
      <c r="AK161" s="283"/>
      <c r="AL161" s="283"/>
      <c r="AM161" s="283"/>
      <c r="AN161" s="283"/>
      <c r="AO161" s="283"/>
      <c r="AP161" s="283"/>
      <c r="AQ161" s="283"/>
      <c r="AR161" s="283"/>
      <c r="AS161" s="283"/>
      <c r="AT161" s="283"/>
      <c r="AU161" s="283"/>
      <c r="AV161" s="283"/>
      <c r="AW161" s="283"/>
      <c r="AX161" s="283"/>
      <c r="AY161" s="283"/>
      <c r="AZ161" s="283"/>
      <c r="BA161" s="283"/>
      <c r="BB161" s="283"/>
      <c r="BC161" s="283"/>
      <c r="BD161" s="283"/>
      <c r="BE161" s="283"/>
    </row>
    <row r="162" spans="1:57">
      <c r="A162" s="595"/>
      <c r="B162" s="598"/>
      <c r="C162" s="599"/>
      <c r="D162" s="283"/>
      <c r="E162" s="283"/>
      <c r="F162" s="283"/>
      <c r="G162" s="283"/>
      <c r="H162" s="283"/>
      <c r="I162" s="283"/>
      <c r="J162" s="283"/>
      <c r="K162" s="283"/>
      <c r="L162" s="283"/>
      <c r="M162" s="283"/>
      <c r="N162" s="283"/>
      <c r="O162" s="283"/>
      <c r="P162" s="283"/>
      <c r="Q162" s="283"/>
      <c r="R162" s="283"/>
      <c r="S162" s="283"/>
      <c r="T162" s="283"/>
      <c r="U162" s="283"/>
      <c r="V162" s="283"/>
      <c r="W162" s="283"/>
      <c r="X162" s="283"/>
      <c r="Y162" s="283"/>
      <c r="Z162" s="283"/>
      <c r="AA162" s="283"/>
      <c r="AB162" s="283"/>
      <c r="AC162" s="283"/>
      <c r="AD162" s="283"/>
      <c r="AE162" s="283"/>
      <c r="AF162" s="283"/>
      <c r="AG162" s="283"/>
      <c r="AH162" s="283"/>
      <c r="AI162" s="283"/>
      <c r="AJ162" s="283"/>
      <c r="AK162" s="283"/>
      <c r="AL162" s="283"/>
      <c r="AM162" s="283"/>
      <c r="AN162" s="283"/>
      <c r="AO162" s="283"/>
      <c r="AP162" s="283"/>
      <c r="AQ162" s="283"/>
      <c r="AR162" s="283"/>
      <c r="AS162" s="283"/>
      <c r="AT162" s="283"/>
      <c r="AU162" s="283"/>
      <c r="AV162" s="283"/>
      <c r="AW162" s="283"/>
      <c r="AX162" s="283"/>
      <c r="AY162" s="283"/>
      <c r="AZ162" s="283"/>
      <c r="BA162" s="283"/>
      <c r="BB162" s="283"/>
      <c r="BC162" s="283"/>
      <c r="BD162" s="283"/>
      <c r="BE162" s="283"/>
    </row>
    <row r="163" spans="1:57">
      <c r="A163" s="595"/>
      <c r="B163" s="598"/>
      <c r="C163" s="599"/>
      <c r="D163" s="283"/>
      <c r="E163" s="283"/>
      <c r="F163" s="283"/>
      <c r="G163" s="283"/>
      <c r="H163" s="283"/>
      <c r="I163" s="283"/>
      <c r="J163" s="283"/>
      <c r="K163" s="283"/>
      <c r="L163" s="283"/>
      <c r="M163" s="283"/>
      <c r="N163" s="283"/>
      <c r="O163" s="283"/>
      <c r="P163" s="283"/>
      <c r="Q163" s="283"/>
      <c r="R163" s="283"/>
      <c r="S163" s="283"/>
      <c r="T163" s="283"/>
      <c r="U163" s="283"/>
      <c r="V163" s="283"/>
      <c r="W163" s="283"/>
      <c r="X163" s="283"/>
      <c r="Y163" s="283"/>
      <c r="Z163" s="283"/>
      <c r="AA163" s="283"/>
      <c r="AB163" s="283"/>
      <c r="AC163" s="283"/>
      <c r="AD163" s="283"/>
      <c r="AE163" s="283"/>
      <c r="AF163" s="283"/>
      <c r="AG163" s="283"/>
      <c r="AH163" s="283"/>
      <c r="AI163" s="283"/>
      <c r="AJ163" s="283"/>
      <c r="AK163" s="283"/>
      <c r="AL163" s="283"/>
      <c r="AM163" s="283"/>
      <c r="AN163" s="283"/>
      <c r="AO163" s="283"/>
      <c r="AP163" s="283"/>
      <c r="AQ163" s="283"/>
      <c r="AR163" s="283"/>
      <c r="AS163" s="283"/>
      <c r="AT163" s="283"/>
      <c r="AU163" s="283"/>
      <c r="AV163" s="283"/>
      <c r="AW163" s="283"/>
      <c r="AX163" s="283"/>
      <c r="AY163" s="283"/>
      <c r="AZ163" s="283"/>
      <c r="BA163" s="283"/>
      <c r="BB163" s="283"/>
      <c r="BC163" s="283"/>
      <c r="BD163" s="283"/>
      <c r="BE163" s="283"/>
    </row>
    <row r="164" spans="1:57">
      <c r="A164" s="595"/>
      <c r="B164" s="598"/>
      <c r="C164" s="599"/>
      <c r="D164" s="283"/>
      <c r="E164" s="283"/>
      <c r="F164" s="283"/>
      <c r="G164" s="283"/>
      <c r="H164" s="283"/>
      <c r="I164" s="283"/>
      <c r="J164" s="283"/>
      <c r="K164" s="283"/>
      <c r="L164" s="283"/>
      <c r="M164" s="283"/>
      <c r="N164" s="283"/>
      <c r="O164" s="283"/>
      <c r="P164" s="283"/>
      <c r="Q164" s="283"/>
      <c r="R164" s="283"/>
      <c r="S164" s="283"/>
      <c r="T164" s="283"/>
      <c r="U164" s="283"/>
      <c r="V164" s="283"/>
      <c r="W164" s="283"/>
      <c r="X164" s="283"/>
      <c r="Y164" s="283"/>
      <c r="Z164" s="283"/>
      <c r="AA164" s="283"/>
      <c r="AB164" s="283"/>
      <c r="AC164" s="283"/>
      <c r="AD164" s="283"/>
      <c r="AE164" s="283"/>
      <c r="AF164" s="283"/>
      <c r="AG164" s="283"/>
      <c r="AH164" s="283"/>
      <c r="AI164" s="283"/>
      <c r="AJ164" s="283"/>
      <c r="AK164" s="283"/>
      <c r="AL164" s="283"/>
      <c r="AM164" s="283"/>
      <c r="AN164" s="283"/>
      <c r="AO164" s="283"/>
      <c r="AP164" s="283"/>
      <c r="AQ164" s="283"/>
      <c r="AR164" s="283"/>
      <c r="AS164" s="283"/>
      <c r="AT164" s="283"/>
      <c r="AU164" s="283"/>
      <c r="AV164" s="283"/>
      <c r="AW164" s="283"/>
      <c r="AX164" s="283"/>
      <c r="AY164" s="283"/>
      <c r="AZ164" s="283"/>
      <c r="BA164" s="283"/>
      <c r="BB164" s="283"/>
      <c r="BC164" s="283"/>
      <c r="BD164" s="283"/>
      <c r="BE164" s="283"/>
    </row>
    <row r="165" spans="1:57">
      <c r="A165" s="595"/>
      <c r="B165" s="598"/>
      <c r="C165" s="599"/>
    </row>
    <row r="166" spans="1:57">
      <c r="A166" s="595"/>
      <c r="B166" s="598"/>
      <c r="C166" s="599"/>
    </row>
    <row r="167" spans="1:57">
      <c r="A167" s="595"/>
      <c r="B167" s="598"/>
      <c r="C167" s="599"/>
    </row>
    <row r="168" spans="1:57">
      <c r="A168" s="595"/>
      <c r="B168" s="598"/>
      <c r="C168" s="599"/>
    </row>
    <row r="169" spans="1:57">
      <c r="A169" s="595"/>
      <c r="B169" s="598"/>
      <c r="C169" s="599"/>
    </row>
    <row r="170" spans="1:57">
      <c r="A170" s="595"/>
      <c r="B170" s="598"/>
      <c r="C170" s="599"/>
    </row>
    <row r="171" spans="1:57">
      <c r="A171" s="595"/>
      <c r="B171" s="598"/>
      <c r="C171" s="599"/>
    </row>
    <row r="172" spans="1:57">
      <c r="A172" s="595"/>
      <c r="B172" s="598"/>
      <c r="C172" s="599"/>
    </row>
    <row r="173" spans="1:57">
      <c r="A173" s="595"/>
      <c r="B173" s="598"/>
      <c r="C173" s="599"/>
    </row>
    <row r="174" spans="1:57">
      <c r="A174" s="595"/>
      <c r="B174" s="598"/>
      <c r="C174" s="599"/>
    </row>
    <row r="175" spans="1:57">
      <c r="A175" s="595"/>
      <c r="B175" s="598"/>
      <c r="C175" s="599"/>
    </row>
    <row r="176" spans="1:57">
      <c r="A176" s="595"/>
      <c r="B176" s="598"/>
      <c r="C176" s="599"/>
    </row>
    <row r="177" spans="1:3">
      <c r="A177" s="595"/>
      <c r="B177" s="598"/>
      <c r="C177" s="599"/>
    </row>
    <row r="178" spans="1:3">
      <c r="A178" s="595"/>
      <c r="B178" s="598"/>
      <c r="C178" s="599"/>
    </row>
    <row r="179" spans="1:3">
      <c r="A179" s="595"/>
      <c r="B179" s="598"/>
      <c r="C179" s="599"/>
    </row>
    <row r="180" spans="1:3">
      <c r="A180" s="595"/>
      <c r="B180" s="598"/>
      <c r="C180" s="599"/>
    </row>
    <row r="181" spans="1:3">
      <c r="A181" s="595"/>
      <c r="B181" s="598"/>
      <c r="C181" s="599"/>
    </row>
    <row r="182" spans="1:3">
      <c r="A182" s="595"/>
      <c r="B182" s="598"/>
      <c r="C182" s="599"/>
    </row>
    <row r="183" spans="1:3">
      <c r="A183" s="595"/>
      <c r="B183" s="598"/>
      <c r="C183" s="599"/>
    </row>
    <row r="184" spans="1:3">
      <c r="A184" s="595"/>
      <c r="B184" s="598"/>
      <c r="C184" s="599"/>
    </row>
    <row r="185" spans="1:3">
      <c r="A185" s="595"/>
      <c r="B185" s="598"/>
      <c r="C185" s="599"/>
    </row>
    <row r="186" spans="1:3">
      <c r="A186" s="595"/>
      <c r="B186" s="598"/>
      <c r="C186" s="599"/>
    </row>
    <row r="187" spans="1:3">
      <c r="A187" s="595"/>
      <c r="B187" s="598"/>
      <c r="C187" s="599"/>
    </row>
    <row r="188" spans="1:3">
      <c r="A188" s="595"/>
      <c r="B188" s="598"/>
      <c r="C188" s="599"/>
    </row>
    <row r="189" spans="1:3">
      <c r="A189" s="595"/>
      <c r="B189" s="598"/>
      <c r="C189" s="599"/>
    </row>
    <row r="190" spans="1:3">
      <c r="A190" s="595"/>
      <c r="B190" s="598"/>
      <c r="C190" s="599"/>
    </row>
    <row r="191" spans="1:3">
      <c r="A191" s="595"/>
      <c r="B191" s="598"/>
      <c r="C191" s="599"/>
    </row>
    <row r="192" spans="1:3">
      <c r="A192" s="595"/>
      <c r="B192" s="598"/>
      <c r="C192" s="599"/>
    </row>
    <row r="193" spans="1:3">
      <c r="A193" s="595"/>
      <c r="B193" s="598"/>
      <c r="C193" s="599"/>
    </row>
    <row r="194" spans="1:3">
      <c r="A194" s="595"/>
      <c r="B194" s="598"/>
      <c r="C194" s="599"/>
    </row>
    <row r="195" spans="1:3">
      <c r="A195" s="595"/>
      <c r="B195" s="598"/>
      <c r="C195" s="599"/>
    </row>
    <row r="196" spans="1:3">
      <c r="A196" s="595"/>
      <c r="B196" s="598"/>
      <c r="C196" s="599"/>
    </row>
    <row r="197" spans="1:3">
      <c r="A197" s="595"/>
      <c r="B197" s="598"/>
      <c r="C197" s="599"/>
    </row>
    <row r="198" spans="1:3">
      <c r="A198" s="595"/>
      <c r="B198" s="598"/>
      <c r="C198" s="599"/>
    </row>
    <row r="199" spans="1:3">
      <c r="A199" s="595"/>
      <c r="B199" s="598"/>
      <c r="C199" s="599"/>
    </row>
    <row r="200" spans="1:3">
      <c r="A200" s="595"/>
      <c r="B200" s="598"/>
      <c r="C200" s="599"/>
    </row>
    <row r="201" spans="1:3">
      <c r="A201" s="595"/>
      <c r="B201" s="598"/>
      <c r="C201" s="599"/>
    </row>
    <row r="202" spans="1:3">
      <c r="A202" s="595"/>
      <c r="B202" s="598"/>
      <c r="C202" s="599"/>
    </row>
    <row r="203" spans="1:3">
      <c r="A203" s="595"/>
      <c r="B203" s="242"/>
      <c r="C203" s="599"/>
    </row>
    <row r="204" spans="1:3">
      <c r="A204" s="595"/>
      <c r="B204" s="242"/>
      <c r="C204" s="243"/>
    </row>
  </sheetData>
  <printOptions horizontalCentered="1"/>
  <pageMargins left="0.98425196850393704" right="0.78740157480314965" top="0.98425196850393704" bottom="0.98425196850393704" header="0.51181102362204722" footer="0.51181102362204722"/>
  <pageSetup paperSize="9" scale="28" fitToHeight="0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Plan10">
    <tabColor theme="9" tint="-0.499984740745262"/>
  </sheetPr>
  <dimension ref="A1:BL354"/>
  <sheetViews>
    <sheetView zoomScaleNormal="100" workbookViewId="0">
      <selection activeCell="F5" sqref="F5"/>
    </sheetView>
  </sheetViews>
  <sheetFormatPr defaultRowHeight="15"/>
  <cols>
    <col min="1" max="1" width="2.140625" style="613" customWidth="1"/>
    <col min="2" max="3" width="2.140625" style="354" customWidth="1"/>
    <col min="4" max="4" width="18.140625" style="354" customWidth="1"/>
    <col min="5" max="5" width="5.85546875" style="354" customWidth="1"/>
    <col min="6" max="6" width="10.7109375" style="354" customWidth="1"/>
    <col min="7" max="7" width="12.140625" style="354" customWidth="1"/>
    <col min="8" max="10" width="15.140625" style="354" customWidth="1"/>
    <col min="11" max="11" width="33.85546875" style="354" customWidth="1"/>
    <col min="12" max="13" width="6.140625" style="354" customWidth="1"/>
    <col min="14" max="261" width="9.140625" style="354"/>
    <col min="262" max="262" width="18.140625" style="354" customWidth="1"/>
    <col min="263" max="263" width="5.85546875" style="354" customWidth="1"/>
    <col min="264" max="264" width="21.7109375" style="354" bestFit="1" customWidth="1"/>
    <col min="265" max="265" width="17.85546875" style="354" bestFit="1" customWidth="1"/>
    <col min="266" max="266" width="15.140625" style="354" customWidth="1"/>
    <col min="267" max="267" width="37.28515625" style="354" customWidth="1"/>
    <col min="268" max="268" width="9.28515625" style="354" bestFit="1" customWidth="1"/>
    <col min="269" max="517" width="9.140625" style="354"/>
    <col min="518" max="518" width="18.140625" style="354" customWidth="1"/>
    <col min="519" max="519" width="5.85546875" style="354" customWidth="1"/>
    <col min="520" max="520" width="21.7109375" style="354" bestFit="1" customWidth="1"/>
    <col min="521" max="521" width="17.85546875" style="354" bestFit="1" customWidth="1"/>
    <col min="522" max="522" width="15.140625" style="354" customWidth="1"/>
    <col min="523" max="523" width="37.28515625" style="354" customWidth="1"/>
    <col min="524" max="524" width="9.28515625" style="354" bestFit="1" customWidth="1"/>
    <col min="525" max="773" width="9.140625" style="354"/>
    <col min="774" max="774" width="18.140625" style="354" customWidth="1"/>
    <col min="775" max="775" width="5.85546875" style="354" customWidth="1"/>
    <col min="776" max="776" width="21.7109375" style="354" bestFit="1" customWidth="1"/>
    <col min="777" max="777" width="17.85546875" style="354" bestFit="1" customWidth="1"/>
    <col min="778" max="778" width="15.140625" style="354" customWidth="1"/>
    <col min="779" max="779" width="37.28515625" style="354" customWidth="1"/>
    <col min="780" max="780" width="9.28515625" style="354" bestFit="1" customWidth="1"/>
    <col min="781" max="1029" width="9.140625" style="354"/>
    <col min="1030" max="1030" width="18.140625" style="354" customWidth="1"/>
    <col min="1031" max="1031" width="5.85546875" style="354" customWidth="1"/>
    <col min="1032" max="1032" width="21.7109375" style="354" bestFit="1" customWidth="1"/>
    <col min="1033" max="1033" width="17.85546875" style="354" bestFit="1" customWidth="1"/>
    <col min="1034" max="1034" width="15.140625" style="354" customWidth="1"/>
    <col min="1035" max="1035" width="37.28515625" style="354" customWidth="1"/>
    <col min="1036" max="1036" width="9.28515625" style="354" bestFit="1" customWidth="1"/>
    <col min="1037" max="1285" width="9.140625" style="354"/>
    <col min="1286" max="1286" width="18.140625" style="354" customWidth="1"/>
    <col min="1287" max="1287" width="5.85546875" style="354" customWidth="1"/>
    <col min="1288" max="1288" width="21.7109375" style="354" bestFit="1" customWidth="1"/>
    <col min="1289" max="1289" width="17.85546875" style="354" bestFit="1" customWidth="1"/>
    <col min="1290" max="1290" width="15.140625" style="354" customWidth="1"/>
    <col min="1291" max="1291" width="37.28515625" style="354" customWidth="1"/>
    <col min="1292" max="1292" width="9.28515625" style="354" bestFit="1" customWidth="1"/>
    <col min="1293" max="1541" width="9.140625" style="354"/>
    <col min="1542" max="1542" width="18.140625" style="354" customWidth="1"/>
    <col min="1543" max="1543" width="5.85546875" style="354" customWidth="1"/>
    <col min="1544" max="1544" width="21.7109375" style="354" bestFit="1" customWidth="1"/>
    <col min="1545" max="1545" width="17.85546875" style="354" bestFit="1" customWidth="1"/>
    <col min="1546" max="1546" width="15.140625" style="354" customWidth="1"/>
    <col min="1547" max="1547" width="37.28515625" style="354" customWidth="1"/>
    <col min="1548" max="1548" width="9.28515625" style="354" bestFit="1" customWidth="1"/>
    <col min="1549" max="1797" width="9.140625" style="354"/>
    <col min="1798" max="1798" width="18.140625" style="354" customWidth="1"/>
    <col min="1799" max="1799" width="5.85546875" style="354" customWidth="1"/>
    <col min="1800" max="1800" width="21.7109375" style="354" bestFit="1" customWidth="1"/>
    <col min="1801" max="1801" width="17.85546875" style="354" bestFit="1" customWidth="1"/>
    <col min="1802" max="1802" width="15.140625" style="354" customWidth="1"/>
    <col min="1803" max="1803" width="37.28515625" style="354" customWidth="1"/>
    <col min="1804" max="1804" width="9.28515625" style="354" bestFit="1" customWidth="1"/>
    <col min="1805" max="2053" width="9.140625" style="354"/>
    <col min="2054" max="2054" width="18.140625" style="354" customWidth="1"/>
    <col min="2055" max="2055" width="5.85546875" style="354" customWidth="1"/>
    <col min="2056" max="2056" width="21.7109375" style="354" bestFit="1" customWidth="1"/>
    <col min="2057" max="2057" width="17.85546875" style="354" bestFit="1" customWidth="1"/>
    <col min="2058" max="2058" width="15.140625" style="354" customWidth="1"/>
    <col min="2059" max="2059" width="37.28515625" style="354" customWidth="1"/>
    <col min="2060" max="2060" width="9.28515625" style="354" bestFit="1" customWidth="1"/>
    <col min="2061" max="2309" width="9.140625" style="354"/>
    <col min="2310" max="2310" width="18.140625" style="354" customWidth="1"/>
    <col min="2311" max="2311" width="5.85546875" style="354" customWidth="1"/>
    <col min="2312" max="2312" width="21.7109375" style="354" bestFit="1" customWidth="1"/>
    <col min="2313" max="2313" width="17.85546875" style="354" bestFit="1" customWidth="1"/>
    <col min="2314" max="2314" width="15.140625" style="354" customWidth="1"/>
    <col min="2315" max="2315" width="37.28515625" style="354" customWidth="1"/>
    <col min="2316" max="2316" width="9.28515625" style="354" bestFit="1" customWidth="1"/>
    <col min="2317" max="2565" width="9.140625" style="354"/>
    <col min="2566" max="2566" width="18.140625" style="354" customWidth="1"/>
    <col min="2567" max="2567" width="5.85546875" style="354" customWidth="1"/>
    <col min="2568" max="2568" width="21.7109375" style="354" bestFit="1" customWidth="1"/>
    <col min="2569" max="2569" width="17.85546875" style="354" bestFit="1" customWidth="1"/>
    <col min="2570" max="2570" width="15.140625" style="354" customWidth="1"/>
    <col min="2571" max="2571" width="37.28515625" style="354" customWidth="1"/>
    <col min="2572" max="2572" width="9.28515625" style="354" bestFit="1" customWidth="1"/>
    <col min="2573" max="2821" width="9.140625" style="354"/>
    <col min="2822" max="2822" width="18.140625" style="354" customWidth="1"/>
    <col min="2823" max="2823" width="5.85546875" style="354" customWidth="1"/>
    <col min="2824" max="2824" width="21.7109375" style="354" bestFit="1" customWidth="1"/>
    <col min="2825" max="2825" width="17.85546875" style="354" bestFit="1" customWidth="1"/>
    <col min="2826" max="2826" width="15.140625" style="354" customWidth="1"/>
    <col min="2827" max="2827" width="37.28515625" style="354" customWidth="1"/>
    <col min="2828" max="2828" width="9.28515625" style="354" bestFit="1" customWidth="1"/>
    <col min="2829" max="3077" width="9.140625" style="354"/>
    <col min="3078" max="3078" width="18.140625" style="354" customWidth="1"/>
    <col min="3079" max="3079" width="5.85546875" style="354" customWidth="1"/>
    <col min="3080" max="3080" width="21.7109375" style="354" bestFit="1" customWidth="1"/>
    <col min="3081" max="3081" width="17.85546875" style="354" bestFit="1" customWidth="1"/>
    <col min="3082" max="3082" width="15.140625" style="354" customWidth="1"/>
    <col min="3083" max="3083" width="37.28515625" style="354" customWidth="1"/>
    <col min="3084" max="3084" width="9.28515625" style="354" bestFit="1" customWidth="1"/>
    <col min="3085" max="3333" width="9.140625" style="354"/>
    <col min="3334" max="3334" width="18.140625" style="354" customWidth="1"/>
    <col min="3335" max="3335" width="5.85546875" style="354" customWidth="1"/>
    <col min="3336" max="3336" width="21.7109375" style="354" bestFit="1" customWidth="1"/>
    <col min="3337" max="3337" width="17.85546875" style="354" bestFit="1" customWidth="1"/>
    <col min="3338" max="3338" width="15.140625" style="354" customWidth="1"/>
    <col min="3339" max="3339" width="37.28515625" style="354" customWidth="1"/>
    <col min="3340" max="3340" width="9.28515625" style="354" bestFit="1" customWidth="1"/>
    <col min="3341" max="3589" width="9.140625" style="354"/>
    <col min="3590" max="3590" width="18.140625" style="354" customWidth="1"/>
    <col min="3591" max="3591" width="5.85546875" style="354" customWidth="1"/>
    <col min="3592" max="3592" width="21.7109375" style="354" bestFit="1" customWidth="1"/>
    <col min="3593" max="3593" width="17.85546875" style="354" bestFit="1" customWidth="1"/>
    <col min="3594" max="3594" width="15.140625" style="354" customWidth="1"/>
    <col min="3595" max="3595" width="37.28515625" style="354" customWidth="1"/>
    <col min="3596" max="3596" width="9.28515625" style="354" bestFit="1" customWidth="1"/>
    <col min="3597" max="3845" width="9.140625" style="354"/>
    <col min="3846" max="3846" width="18.140625" style="354" customWidth="1"/>
    <col min="3847" max="3847" width="5.85546875" style="354" customWidth="1"/>
    <col min="3848" max="3848" width="21.7109375" style="354" bestFit="1" customWidth="1"/>
    <col min="3849" max="3849" width="17.85546875" style="354" bestFit="1" customWidth="1"/>
    <col min="3850" max="3850" width="15.140625" style="354" customWidth="1"/>
    <col min="3851" max="3851" width="37.28515625" style="354" customWidth="1"/>
    <col min="3852" max="3852" width="9.28515625" style="354" bestFit="1" customWidth="1"/>
    <col min="3853" max="4101" width="9.140625" style="354"/>
    <col min="4102" max="4102" width="18.140625" style="354" customWidth="1"/>
    <col min="4103" max="4103" width="5.85546875" style="354" customWidth="1"/>
    <col min="4104" max="4104" width="21.7109375" style="354" bestFit="1" customWidth="1"/>
    <col min="4105" max="4105" width="17.85546875" style="354" bestFit="1" customWidth="1"/>
    <col min="4106" max="4106" width="15.140625" style="354" customWidth="1"/>
    <col min="4107" max="4107" width="37.28515625" style="354" customWidth="1"/>
    <col min="4108" max="4108" width="9.28515625" style="354" bestFit="1" customWidth="1"/>
    <col min="4109" max="4357" width="9.140625" style="354"/>
    <col min="4358" max="4358" width="18.140625" style="354" customWidth="1"/>
    <col min="4359" max="4359" width="5.85546875" style="354" customWidth="1"/>
    <col min="4360" max="4360" width="21.7109375" style="354" bestFit="1" customWidth="1"/>
    <col min="4361" max="4361" width="17.85546875" style="354" bestFit="1" customWidth="1"/>
    <col min="4362" max="4362" width="15.140625" style="354" customWidth="1"/>
    <col min="4363" max="4363" width="37.28515625" style="354" customWidth="1"/>
    <col min="4364" max="4364" width="9.28515625" style="354" bestFit="1" customWidth="1"/>
    <col min="4365" max="4613" width="9.140625" style="354"/>
    <col min="4614" max="4614" width="18.140625" style="354" customWidth="1"/>
    <col min="4615" max="4615" width="5.85546875" style="354" customWidth="1"/>
    <col min="4616" max="4616" width="21.7109375" style="354" bestFit="1" customWidth="1"/>
    <col min="4617" max="4617" width="17.85546875" style="354" bestFit="1" customWidth="1"/>
    <col min="4618" max="4618" width="15.140625" style="354" customWidth="1"/>
    <col min="4619" max="4619" width="37.28515625" style="354" customWidth="1"/>
    <col min="4620" max="4620" width="9.28515625" style="354" bestFit="1" customWidth="1"/>
    <col min="4621" max="4869" width="9.140625" style="354"/>
    <col min="4870" max="4870" width="18.140625" style="354" customWidth="1"/>
    <col min="4871" max="4871" width="5.85546875" style="354" customWidth="1"/>
    <col min="4872" max="4872" width="21.7109375" style="354" bestFit="1" customWidth="1"/>
    <col min="4873" max="4873" width="17.85546875" style="354" bestFit="1" customWidth="1"/>
    <col min="4874" max="4874" width="15.140625" style="354" customWidth="1"/>
    <col min="4875" max="4875" width="37.28515625" style="354" customWidth="1"/>
    <col min="4876" max="4876" width="9.28515625" style="354" bestFit="1" customWidth="1"/>
    <col min="4877" max="5125" width="9.140625" style="354"/>
    <col min="5126" max="5126" width="18.140625" style="354" customWidth="1"/>
    <col min="5127" max="5127" width="5.85546875" style="354" customWidth="1"/>
    <col min="5128" max="5128" width="21.7109375" style="354" bestFit="1" customWidth="1"/>
    <col min="5129" max="5129" width="17.85546875" style="354" bestFit="1" customWidth="1"/>
    <col min="5130" max="5130" width="15.140625" style="354" customWidth="1"/>
    <col min="5131" max="5131" width="37.28515625" style="354" customWidth="1"/>
    <col min="5132" max="5132" width="9.28515625" style="354" bestFit="1" customWidth="1"/>
    <col min="5133" max="5381" width="9.140625" style="354"/>
    <col min="5382" max="5382" width="18.140625" style="354" customWidth="1"/>
    <col min="5383" max="5383" width="5.85546875" style="354" customWidth="1"/>
    <col min="5384" max="5384" width="21.7109375" style="354" bestFit="1" customWidth="1"/>
    <col min="5385" max="5385" width="17.85546875" style="354" bestFit="1" customWidth="1"/>
    <col min="5386" max="5386" width="15.140625" style="354" customWidth="1"/>
    <col min="5387" max="5387" width="37.28515625" style="354" customWidth="1"/>
    <col min="5388" max="5388" width="9.28515625" style="354" bestFit="1" customWidth="1"/>
    <col min="5389" max="5637" width="9.140625" style="354"/>
    <col min="5638" max="5638" width="18.140625" style="354" customWidth="1"/>
    <col min="5639" max="5639" width="5.85546875" style="354" customWidth="1"/>
    <col min="5640" max="5640" width="21.7109375" style="354" bestFit="1" customWidth="1"/>
    <col min="5641" max="5641" width="17.85546875" style="354" bestFit="1" customWidth="1"/>
    <col min="5642" max="5642" width="15.140625" style="354" customWidth="1"/>
    <col min="5643" max="5643" width="37.28515625" style="354" customWidth="1"/>
    <col min="5644" max="5644" width="9.28515625" style="354" bestFit="1" customWidth="1"/>
    <col min="5645" max="5893" width="9.140625" style="354"/>
    <col min="5894" max="5894" width="18.140625" style="354" customWidth="1"/>
    <col min="5895" max="5895" width="5.85546875" style="354" customWidth="1"/>
    <col min="5896" max="5896" width="21.7109375" style="354" bestFit="1" customWidth="1"/>
    <col min="5897" max="5897" width="17.85546875" style="354" bestFit="1" customWidth="1"/>
    <col min="5898" max="5898" width="15.140625" style="354" customWidth="1"/>
    <col min="5899" max="5899" width="37.28515625" style="354" customWidth="1"/>
    <col min="5900" max="5900" width="9.28515625" style="354" bestFit="1" customWidth="1"/>
    <col min="5901" max="6149" width="9.140625" style="354"/>
    <col min="6150" max="6150" width="18.140625" style="354" customWidth="1"/>
    <col min="6151" max="6151" width="5.85546875" style="354" customWidth="1"/>
    <col min="6152" max="6152" width="21.7109375" style="354" bestFit="1" customWidth="1"/>
    <col min="6153" max="6153" width="17.85546875" style="354" bestFit="1" customWidth="1"/>
    <col min="6154" max="6154" width="15.140625" style="354" customWidth="1"/>
    <col min="6155" max="6155" width="37.28515625" style="354" customWidth="1"/>
    <col min="6156" max="6156" width="9.28515625" style="354" bestFit="1" customWidth="1"/>
    <col min="6157" max="6405" width="9.140625" style="354"/>
    <col min="6406" max="6406" width="18.140625" style="354" customWidth="1"/>
    <col min="6407" max="6407" width="5.85546875" style="354" customWidth="1"/>
    <col min="6408" max="6408" width="21.7109375" style="354" bestFit="1" customWidth="1"/>
    <col min="6409" max="6409" width="17.85546875" style="354" bestFit="1" customWidth="1"/>
    <col min="6410" max="6410" width="15.140625" style="354" customWidth="1"/>
    <col min="6411" max="6411" width="37.28515625" style="354" customWidth="1"/>
    <col min="6412" max="6412" width="9.28515625" style="354" bestFit="1" customWidth="1"/>
    <col min="6413" max="6661" width="9.140625" style="354"/>
    <col min="6662" max="6662" width="18.140625" style="354" customWidth="1"/>
    <col min="6663" max="6663" width="5.85546875" style="354" customWidth="1"/>
    <col min="6664" max="6664" width="21.7109375" style="354" bestFit="1" customWidth="1"/>
    <col min="6665" max="6665" width="17.85546875" style="354" bestFit="1" customWidth="1"/>
    <col min="6666" max="6666" width="15.140625" style="354" customWidth="1"/>
    <col min="6667" max="6667" width="37.28515625" style="354" customWidth="1"/>
    <col min="6668" max="6668" width="9.28515625" style="354" bestFit="1" customWidth="1"/>
    <col min="6669" max="6917" width="9.140625" style="354"/>
    <col min="6918" max="6918" width="18.140625" style="354" customWidth="1"/>
    <col min="6919" max="6919" width="5.85546875" style="354" customWidth="1"/>
    <col min="6920" max="6920" width="21.7109375" style="354" bestFit="1" customWidth="1"/>
    <col min="6921" max="6921" width="17.85546875" style="354" bestFit="1" customWidth="1"/>
    <col min="6922" max="6922" width="15.140625" style="354" customWidth="1"/>
    <col min="6923" max="6923" width="37.28515625" style="354" customWidth="1"/>
    <col min="6924" max="6924" width="9.28515625" style="354" bestFit="1" customWidth="1"/>
    <col min="6925" max="7173" width="9.140625" style="354"/>
    <col min="7174" max="7174" width="18.140625" style="354" customWidth="1"/>
    <col min="7175" max="7175" width="5.85546875" style="354" customWidth="1"/>
    <col min="7176" max="7176" width="21.7109375" style="354" bestFit="1" customWidth="1"/>
    <col min="7177" max="7177" width="17.85546875" style="354" bestFit="1" customWidth="1"/>
    <col min="7178" max="7178" width="15.140625" style="354" customWidth="1"/>
    <col min="7179" max="7179" width="37.28515625" style="354" customWidth="1"/>
    <col min="7180" max="7180" width="9.28515625" style="354" bestFit="1" customWidth="1"/>
    <col min="7181" max="7429" width="9.140625" style="354"/>
    <col min="7430" max="7430" width="18.140625" style="354" customWidth="1"/>
    <col min="7431" max="7431" width="5.85546875" style="354" customWidth="1"/>
    <col min="7432" max="7432" width="21.7109375" style="354" bestFit="1" customWidth="1"/>
    <col min="7433" max="7433" width="17.85546875" style="354" bestFit="1" customWidth="1"/>
    <col min="7434" max="7434" width="15.140625" style="354" customWidth="1"/>
    <col min="7435" max="7435" width="37.28515625" style="354" customWidth="1"/>
    <col min="7436" max="7436" width="9.28515625" style="354" bestFit="1" customWidth="1"/>
    <col min="7437" max="7685" width="9.140625" style="354"/>
    <col min="7686" max="7686" width="18.140625" style="354" customWidth="1"/>
    <col min="7687" max="7687" width="5.85546875" style="354" customWidth="1"/>
    <col min="7688" max="7688" width="21.7109375" style="354" bestFit="1" customWidth="1"/>
    <col min="7689" max="7689" width="17.85546875" style="354" bestFit="1" customWidth="1"/>
    <col min="7690" max="7690" width="15.140625" style="354" customWidth="1"/>
    <col min="7691" max="7691" width="37.28515625" style="354" customWidth="1"/>
    <col min="7692" max="7692" width="9.28515625" style="354" bestFit="1" customWidth="1"/>
    <col min="7693" max="7941" width="9.140625" style="354"/>
    <col min="7942" max="7942" width="18.140625" style="354" customWidth="1"/>
    <col min="7943" max="7943" width="5.85546875" style="354" customWidth="1"/>
    <col min="7944" max="7944" width="21.7109375" style="354" bestFit="1" customWidth="1"/>
    <col min="7945" max="7945" width="17.85546875" style="354" bestFit="1" customWidth="1"/>
    <col min="7946" max="7946" width="15.140625" style="354" customWidth="1"/>
    <col min="7947" max="7947" width="37.28515625" style="354" customWidth="1"/>
    <col min="7948" max="7948" width="9.28515625" style="354" bestFit="1" customWidth="1"/>
    <col min="7949" max="8197" width="9.140625" style="354"/>
    <col min="8198" max="8198" width="18.140625" style="354" customWidth="1"/>
    <col min="8199" max="8199" width="5.85546875" style="354" customWidth="1"/>
    <col min="8200" max="8200" width="21.7109375" style="354" bestFit="1" customWidth="1"/>
    <col min="8201" max="8201" width="17.85546875" style="354" bestFit="1" customWidth="1"/>
    <col min="8202" max="8202" width="15.140625" style="354" customWidth="1"/>
    <col min="8203" max="8203" width="37.28515625" style="354" customWidth="1"/>
    <col min="8204" max="8204" width="9.28515625" style="354" bestFit="1" customWidth="1"/>
    <col min="8205" max="8453" width="9.140625" style="354"/>
    <col min="8454" max="8454" width="18.140625" style="354" customWidth="1"/>
    <col min="8455" max="8455" width="5.85546875" style="354" customWidth="1"/>
    <col min="8456" max="8456" width="21.7109375" style="354" bestFit="1" customWidth="1"/>
    <col min="8457" max="8457" width="17.85546875" style="354" bestFit="1" customWidth="1"/>
    <col min="8458" max="8458" width="15.140625" style="354" customWidth="1"/>
    <col min="8459" max="8459" width="37.28515625" style="354" customWidth="1"/>
    <col min="8460" max="8460" width="9.28515625" style="354" bestFit="1" customWidth="1"/>
    <col min="8461" max="8709" width="9.140625" style="354"/>
    <col min="8710" max="8710" width="18.140625" style="354" customWidth="1"/>
    <col min="8711" max="8711" width="5.85546875" style="354" customWidth="1"/>
    <col min="8712" max="8712" width="21.7109375" style="354" bestFit="1" customWidth="1"/>
    <col min="8713" max="8713" width="17.85546875" style="354" bestFit="1" customWidth="1"/>
    <col min="8714" max="8714" width="15.140625" style="354" customWidth="1"/>
    <col min="8715" max="8715" width="37.28515625" style="354" customWidth="1"/>
    <col min="8716" max="8716" width="9.28515625" style="354" bestFit="1" customWidth="1"/>
    <col min="8717" max="8965" width="9.140625" style="354"/>
    <col min="8966" max="8966" width="18.140625" style="354" customWidth="1"/>
    <col min="8967" max="8967" width="5.85546875" style="354" customWidth="1"/>
    <col min="8968" max="8968" width="21.7109375" style="354" bestFit="1" customWidth="1"/>
    <col min="8969" max="8969" width="17.85546875" style="354" bestFit="1" customWidth="1"/>
    <col min="8970" max="8970" width="15.140625" style="354" customWidth="1"/>
    <col min="8971" max="8971" width="37.28515625" style="354" customWidth="1"/>
    <col min="8972" max="8972" width="9.28515625" style="354" bestFit="1" customWidth="1"/>
    <col min="8973" max="9221" width="9.140625" style="354"/>
    <col min="9222" max="9222" width="18.140625" style="354" customWidth="1"/>
    <col min="9223" max="9223" width="5.85546875" style="354" customWidth="1"/>
    <col min="9224" max="9224" width="21.7109375" style="354" bestFit="1" customWidth="1"/>
    <col min="9225" max="9225" width="17.85546875" style="354" bestFit="1" customWidth="1"/>
    <col min="9226" max="9226" width="15.140625" style="354" customWidth="1"/>
    <col min="9227" max="9227" width="37.28515625" style="354" customWidth="1"/>
    <col min="9228" max="9228" width="9.28515625" style="354" bestFit="1" customWidth="1"/>
    <col min="9229" max="9477" width="9.140625" style="354"/>
    <col min="9478" max="9478" width="18.140625" style="354" customWidth="1"/>
    <col min="9479" max="9479" width="5.85546875" style="354" customWidth="1"/>
    <col min="9480" max="9480" width="21.7109375" style="354" bestFit="1" customWidth="1"/>
    <col min="9481" max="9481" width="17.85546875" style="354" bestFit="1" customWidth="1"/>
    <col min="9482" max="9482" width="15.140625" style="354" customWidth="1"/>
    <col min="9483" max="9483" width="37.28515625" style="354" customWidth="1"/>
    <col min="9484" max="9484" width="9.28515625" style="354" bestFit="1" customWidth="1"/>
    <col min="9485" max="9733" width="9.140625" style="354"/>
    <col min="9734" max="9734" width="18.140625" style="354" customWidth="1"/>
    <col min="9735" max="9735" width="5.85546875" style="354" customWidth="1"/>
    <col min="9736" max="9736" width="21.7109375" style="354" bestFit="1" customWidth="1"/>
    <col min="9737" max="9737" width="17.85546875" style="354" bestFit="1" customWidth="1"/>
    <col min="9738" max="9738" width="15.140625" style="354" customWidth="1"/>
    <col min="9739" max="9739" width="37.28515625" style="354" customWidth="1"/>
    <col min="9740" max="9740" width="9.28515625" style="354" bestFit="1" customWidth="1"/>
    <col min="9741" max="9989" width="9.140625" style="354"/>
    <col min="9990" max="9990" width="18.140625" style="354" customWidth="1"/>
    <col min="9991" max="9991" width="5.85546875" style="354" customWidth="1"/>
    <col min="9992" max="9992" width="21.7109375" style="354" bestFit="1" customWidth="1"/>
    <col min="9993" max="9993" width="17.85546875" style="354" bestFit="1" customWidth="1"/>
    <col min="9994" max="9994" width="15.140625" style="354" customWidth="1"/>
    <col min="9995" max="9995" width="37.28515625" style="354" customWidth="1"/>
    <col min="9996" max="9996" width="9.28515625" style="354" bestFit="1" customWidth="1"/>
    <col min="9997" max="10245" width="9.140625" style="354"/>
    <col min="10246" max="10246" width="18.140625" style="354" customWidth="1"/>
    <col min="10247" max="10247" width="5.85546875" style="354" customWidth="1"/>
    <col min="10248" max="10248" width="21.7109375" style="354" bestFit="1" customWidth="1"/>
    <col min="10249" max="10249" width="17.85546875" style="354" bestFit="1" customWidth="1"/>
    <col min="10250" max="10250" width="15.140625" style="354" customWidth="1"/>
    <col min="10251" max="10251" width="37.28515625" style="354" customWidth="1"/>
    <col min="10252" max="10252" width="9.28515625" style="354" bestFit="1" customWidth="1"/>
    <col min="10253" max="10501" width="9.140625" style="354"/>
    <col min="10502" max="10502" width="18.140625" style="354" customWidth="1"/>
    <col min="10503" max="10503" width="5.85546875" style="354" customWidth="1"/>
    <col min="10504" max="10504" width="21.7109375" style="354" bestFit="1" customWidth="1"/>
    <col min="10505" max="10505" width="17.85546875" style="354" bestFit="1" customWidth="1"/>
    <col min="10506" max="10506" width="15.140625" style="354" customWidth="1"/>
    <col min="10507" max="10507" width="37.28515625" style="354" customWidth="1"/>
    <col min="10508" max="10508" width="9.28515625" style="354" bestFit="1" customWidth="1"/>
    <col min="10509" max="10757" width="9.140625" style="354"/>
    <col min="10758" max="10758" width="18.140625" style="354" customWidth="1"/>
    <col min="10759" max="10759" width="5.85546875" style="354" customWidth="1"/>
    <col min="10760" max="10760" width="21.7109375" style="354" bestFit="1" customWidth="1"/>
    <col min="10761" max="10761" width="17.85546875" style="354" bestFit="1" customWidth="1"/>
    <col min="10762" max="10762" width="15.140625" style="354" customWidth="1"/>
    <col min="10763" max="10763" width="37.28515625" style="354" customWidth="1"/>
    <col min="10764" max="10764" width="9.28515625" style="354" bestFit="1" customWidth="1"/>
    <col min="10765" max="11013" width="9.140625" style="354"/>
    <col min="11014" max="11014" width="18.140625" style="354" customWidth="1"/>
    <col min="11015" max="11015" width="5.85546875" style="354" customWidth="1"/>
    <col min="11016" max="11016" width="21.7109375" style="354" bestFit="1" customWidth="1"/>
    <col min="11017" max="11017" width="17.85546875" style="354" bestFit="1" customWidth="1"/>
    <col min="11018" max="11018" width="15.140625" style="354" customWidth="1"/>
    <col min="11019" max="11019" width="37.28515625" style="354" customWidth="1"/>
    <col min="11020" max="11020" width="9.28515625" style="354" bestFit="1" customWidth="1"/>
    <col min="11021" max="11269" width="9.140625" style="354"/>
    <col min="11270" max="11270" width="18.140625" style="354" customWidth="1"/>
    <col min="11271" max="11271" width="5.85546875" style="354" customWidth="1"/>
    <col min="11272" max="11272" width="21.7109375" style="354" bestFit="1" customWidth="1"/>
    <col min="11273" max="11273" width="17.85546875" style="354" bestFit="1" customWidth="1"/>
    <col min="11274" max="11274" width="15.140625" style="354" customWidth="1"/>
    <col min="11275" max="11275" width="37.28515625" style="354" customWidth="1"/>
    <col min="11276" max="11276" width="9.28515625" style="354" bestFit="1" customWidth="1"/>
    <col min="11277" max="11525" width="9.140625" style="354"/>
    <col min="11526" max="11526" width="18.140625" style="354" customWidth="1"/>
    <col min="11527" max="11527" width="5.85546875" style="354" customWidth="1"/>
    <col min="11528" max="11528" width="21.7109375" style="354" bestFit="1" customWidth="1"/>
    <col min="11529" max="11529" width="17.85546875" style="354" bestFit="1" customWidth="1"/>
    <col min="11530" max="11530" width="15.140625" style="354" customWidth="1"/>
    <col min="11531" max="11531" width="37.28515625" style="354" customWidth="1"/>
    <col min="11532" max="11532" width="9.28515625" style="354" bestFit="1" customWidth="1"/>
    <col min="11533" max="11781" width="9.140625" style="354"/>
    <col min="11782" max="11782" width="18.140625" style="354" customWidth="1"/>
    <col min="11783" max="11783" width="5.85546875" style="354" customWidth="1"/>
    <col min="11784" max="11784" width="21.7109375" style="354" bestFit="1" customWidth="1"/>
    <col min="11785" max="11785" width="17.85546875" style="354" bestFit="1" customWidth="1"/>
    <col min="11786" max="11786" width="15.140625" style="354" customWidth="1"/>
    <col min="11787" max="11787" width="37.28515625" style="354" customWidth="1"/>
    <col min="11788" max="11788" width="9.28515625" style="354" bestFit="1" customWidth="1"/>
    <col min="11789" max="12037" width="9.140625" style="354"/>
    <col min="12038" max="12038" width="18.140625" style="354" customWidth="1"/>
    <col min="12039" max="12039" width="5.85546875" style="354" customWidth="1"/>
    <col min="12040" max="12040" width="21.7109375" style="354" bestFit="1" customWidth="1"/>
    <col min="12041" max="12041" width="17.85546875" style="354" bestFit="1" customWidth="1"/>
    <col min="12042" max="12042" width="15.140625" style="354" customWidth="1"/>
    <col min="12043" max="12043" width="37.28515625" style="354" customWidth="1"/>
    <col min="12044" max="12044" width="9.28515625" style="354" bestFit="1" customWidth="1"/>
    <col min="12045" max="12293" width="9.140625" style="354"/>
    <col min="12294" max="12294" width="18.140625" style="354" customWidth="1"/>
    <col min="12295" max="12295" width="5.85546875" style="354" customWidth="1"/>
    <col min="12296" max="12296" width="21.7109375" style="354" bestFit="1" customWidth="1"/>
    <col min="12297" max="12297" width="17.85546875" style="354" bestFit="1" customWidth="1"/>
    <col min="12298" max="12298" width="15.140625" style="354" customWidth="1"/>
    <col min="12299" max="12299" width="37.28515625" style="354" customWidth="1"/>
    <col min="12300" max="12300" width="9.28515625" style="354" bestFit="1" customWidth="1"/>
    <col min="12301" max="12549" width="9.140625" style="354"/>
    <col min="12550" max="12550" width="18.140625" style="354" customWidth="1"/>
    <col min="12551" max="12551" width="5.85546875" style="354" customWidth="1"/>
    <col min="12552" max="12552" width="21.7109375" style="354" bestFit="1" customWidth="1"/>
    <col min="12553" max="12553" width="17.85546875" style="354" bestFit="1" customWidth="1"/>
    <col min="12554" max="12554" width="15.140625" style="354" customWidth="1"/>
    <col min="12555" max="12555" width="37.28515625" style="354" customWidth="1"/>
    <col min="12556" max="12556" width="9.28515625" style="354" bestFit="1" customWidth="1"/>
    <col min="12557" max="12805" width="9.140625" style="354"/>
    <col min="12806" max="12806" width="18.140625" style="354" customWidth="1"/>
    <col min="12807" max="12807" width="5.85546875" style="354" customWidth="1"/>
    <col min="12808" max="12808" width="21.7109375" style="354" bestFit="1" customWidth="1"/>
    <col min="12809" max="12809" width="17.85546875" style="354" bestFit="1" customWidth="1"/>
    <col min="12810" max="12810" width="15.140625" style="354" customWidth="1"/>
    <col min="12811" max="12811" width="37.28515625" style="354" customWidth="1"/>
    <col min="12812" max="12812" width="9.28515625" style="354" bestFit="1" customWidth="1"/>
    <col min="12813" max="13061" width="9.140625" style="354"/>
    <col min="13062" max="13062" width="18.140625" style="354" customWidth="1"/>
    <col min="13063" max="13063" width="5.85546875" style="354" customWidth="1"/>
    <col min="13064" max="13064" width="21.7109375" style="354" bestFit="1" customWidth="1"/>
    <col min="13065" max="13065" width="17.85546875" style="354" bestFit="1" customWidth="1"/>
    <col min="13066" max="13066" width="15.140625" style="354" customWidth="1"/>
    <col min="13067" max="13067" width="37.28515625" style="354" customWidth="1"/>
    <col min="13068" max="13068" width="9.28515625" style="354" bestFit="1" customWidth="1"/>
    <col min="13069" max="13317" width="9.140625" style="354"/>
    <col min="13318" max="13318" width="18.140625" style="354" customWidth="1"/>
    <col min="13319" max="13319" width="5.85546875" style="354" customWidth="1"/>
    <col min="13320" max="13320" width="21.7109375" style="354" bestFit="1" customWidth="1"/>
    <col min="13321" max="13321" width="17.85546875" style="354" bestFit="1" customWidth="1"/>
    <col min="13322" max="13322" width="15.140625" style="354" customWidth="1"/>
    <col min="13323" max="13323" width="37.28515625" style="354" customWidth="1"/>
    <col min="13324" max="13324" width="9.28515625" style="354" bestFit="1" customWidth="1"/>
    <col min="13325" max="13573" width="9.140625" style="354"/>
    <col min="13574" max="13574" width="18.140625" style="354" customWidth="1"/>
    <col min="13575" max="13575" width="5.85546875" style="354" customWidth="1"/>
    <col min="13576" max="13576" width="21.7109375" style="354" bestFit="1" customWidth="1"/>
    <col min="13577" max="13577" width="17.85546875" style="354" bestFit="1" customWidth="1"/>
    <col min="13578" max="13578" width="15.140625" style="354" customWidth="1"/>
    <col min="13579" max="13579" width="37.28515625" style="354" customWidth="1"/>
    <col min="13580" max="13580" width="9.28515625" style="354" bestFit="1" customWidth="1"/>
    <col min="13581" max="13829" width="9.140625" style="354"/>
    <col min="13830" max="13830" width="18.140625" style="354" customWidth="1"/>
    <col min="13831" max="13831" width="5.85546875" style="354" customWidth="1"/>
    <col min="13832" max="13832" width="21.7109375" style="354" bestFit="1" customWidth="1"/>
    <col min="13833" max="13833" width="17.85546875" style="354" bestFit="1" customWidth="1"/>
    <col min="13834" max="13834" width="15.140625" style="354" customWidth="1"/>
    <col min="13835" max="13835" width="37.28515625" style="354" customWidth="1"/>
    <col min="13836" max="13836" width="9.28515625" style="354" bestFit="1" customWidth="1"/>
    <col min="13837" max="14085" width="9.140625" style="354"/>
    <col min="14086" max="14086" width="18.140625" style="354" customWidth="1"/>
    <col min="14087" max="14087" width="5.85546875" style="354" customWidth="1"/>
    <col min="14088" max="14088" width="21.7109375" style="354" bestFit="1" customWidth="1"/>
    <col min="14089" max="14089" width="17.85546875" style="354" bestFit="1" customWidth="1"/>
    <col min="14090" max="14090" width="15.140625" style="354" customWidth="1"/>
    <col min="14091" max="14091" width="37.28515625" style="354" customWidth="1"/>
    <col min="14092" max="14092" width="9.28515625" style="354" bestFit="1" customWidth="1"/>
    <col min="14093" max="14341" width="9.140625" style="354"/>
    <col min="14342" max="14342" width="18.140625" style="354" customWidth="1"/>
    <col min="14343" max="14343" width="5.85546875" style="354" customWidth="1"/>
    <col min="14344" max="14344" width="21.7109375" style="354" bestFit="1" customWidth="1"/>
    <col min="14345" max="14345" width="17.85546875" style="354" bestFit="1" customWidth="1"/>
    <col min="14346" max="14346" width="15.140625" style="354" customWidth="1"/>
    <col min="14347" max="14347" width="37.28515625" style="354" customWidth="1"/>
    <col min="14348" max="14348" width="9.28515625" style="354" bestFit="1" customWidth="1"/>
    <col min="14349" max="14597" width="9.140625" style="354"/>
    <col min="14598" max="14598" width="18.140625" style="354" customWidth="1"/>
    <col min="14599" max="14599" width="5.85546875" style="354" customWidth="1"/>
    <col min="14600" max="14600" width="21.7109375" style="354" bestFit="1" customWidth="1"/>
    <col min="14601" max="14601" width="17.85546875" style="354" bestFit="1" customWidth="1"/>
    <col min="14602" max="14602" width="15.140625" style="354" customWidth="1"/>
    <col min="14603" max="14603" width="37.28515625" style="354" customWidth="1"/>
    <col min="14604" max="14604" width="9.28515625" style="354" bestFit="1" customWidth="1"/>
    <col min="14605" max="14853" width="9.140625" style="354"/>
    <col min="14854" max="14854" width="18.140625" style="354" customWidth="1"/>
    <col min="14855" max="14855" width="5.85546875" style="354" customWidth="1"/>
    <col min="14856" max="14856" width="21.7109375" style="354" bestFit="1" customWidth="1"/>
    <col min="14857" max="14857" width="17.85546875" style="354" bestFit="1" customWidth="1"/>
    <col min="14858" max="14858" width="15.140625" style="354" customWidth="1"/>
    <col min="14859" max="14859" width="37.28515625" style="354" customWidth="1"/>
    <col min="14860" max="14860" width="9.28515625" style="354" bestFit="1" customWidth="1"/>
    <col min="14861" max="15109" width="9.140625" style="354"/>
    <col min="15110" max="15110" width="18.140625" style="354" customWidth="1"/>
    <col min="15111" max="15111" width="5.85546875" style="354" customWidth="1"/>
    <col min="15112" max="15112" width="21.7109375" style="354" bestFit="1" customWidth="1"/>
    <col min="15113" max="15113" width="17.85546875" style="354" bestFit="1" customWidth="1"/>
    <col min="15114" max="15114" width="15.140625" style="354" customWidth="1"/>
    <col min="15115" max="15115" width="37.28515625" style="354" customWidth="1"/>
    <col min="15116" max="15116" width="9.28515625" style="354" bestFit="1" customWidth="1"/>
    <col min="15117" max="15365" width="9.140625" style="354"/>
    <col min="15366" max="15366" width="18.140625" style="354" customWidth="1"/>
    <col min="15367" max="15367" width="5.85546875" style="354" customWidth="1"/>
    <col min="15368" max="15368" width="21.7109375" style="354" bestFit="1" customWidth="1"/>
    <col min="15369" max="15369" width="17.85546875" style="354" bestFit="1" customWidth="1"/>
    <col min="15370" max="15370" width="15.140625" style="354" customWidth="1"/>
    <col min="15371" max="15371" width="37.28515625" style="354" customWidth="1"/>
    <col min="15372" max="15372" width="9.28515625" style="354" bestFit="1" customWidth="1"/>
    <col min="15373" max="15621" width="9.140625" style="354"/>
    <col min="15622" max="15622" width="18.140625" style="354" customWidth="1"/>
    <col min="15623" max="15623" width="5.85546875" style="354" customWidth="1"/>
    <col min="15624" max="15624" width="21.7109375" style="354" bestFit="1" customWidth="1"/>
    <col min="15625" max="15625" width="17.85546875" style="354" bestFit="1" customWidth="1"/>
    <col min="15626" max="15626" width="15.140625" style="354" customWidth="1"/>
    <col min="15627" max="15627" width="37.28515625" style="354" customWidth="1"/>
    <col min="15628" max="15628" width="9.28515625" style="354" bestFit="1" customWidth="1"/>
    <col min="15629" max="15877" width="9.140625" style="354"/>
    <col min="15878" max="15878" width="18.140625" style="354" customWidth="1"/>
    <col min="15879" max="15879" width="5.85546875" style="354" customWidth="1"/>
    <col min="15880" max="15880" width="21.7109375" style="354" bestFit="1" customWidth="1"/>
    <col min="15881" max="15881" width="17.85546875" style="354" bestFit="1" customWidth="1"/>
    <col min="15882" max="15882" width="15.140625" style="354" customWidth="1"/>
    <col min="15883" max="15883" width="37.28515625" style="354" customWidth="1"/>
    <col min="15884" max="15884" width="9.28515625" style="354" bestFit="1" customWidth="1"/>
    <col min="15885" max="16133" width="9.140625" style="354"/>
    <col min="16134" max="16134" width="18.140625" style="354" customWidth="1"/>
    <col min="16135" max="16135" width="5.85546875" style="354" customWidth="1"/>
    <col min="16136" max="16136" width="21.7109375" style="354" bestFit="1" customWidth="1"/>
    <col min="16137" max="16137" width="17.85546875" style="354" bestFit="1" customWidth="1"/>
    <col min="16138" max="16138" width="15.140625" style="354" customWidth="1"/>
    <col min="16139" max="16139" width="37.28515625" style="354" customWidth="1"/>
    <col min="16140" max="16140" width="9.28515625" style="354" bestFit="1" customWidth="1"/>
    <col min="16141" max="16384" width="9.140625" style="354"/>
  </cols>
  <sheetData>
    <row r="1" spans="1:64" s="613" customFormat="1" ht="12.75" customHeight="1">
      <c r="A1" s="595"/>
      <c r="B1" s="596"/>
      <c r="C1" s="595"/>
      <c r="D1" s="595"/>
      <c r="E1" s="595"/>
      <c r="F1" s="595">
        <v>3</v>
      </c>
      <c r="G1" s="595"/>
      <c r="H1" s="595"/>
      <c r="I1" s="595"/>
      <c r="J1" s="595"/>
      <c r="K1" s="595"/>
      <c r="L1" s="595"/>
      <c r="M1" s="595"/>
      <c r="N1" s="595"/>
      <c r="O1" s="595"/>
      <c r="P1" s="595"/>
      <c r="Q1" s="595"/>
      <c r="R1" s="595"/>
      <c r="S1" s="595"/>
      <c r="T1" s="595"/>
      <c r="U1" s="595"/>
      <c r="V1" s="595"/>
      <c r="W1" s="595"/>
      <c r="X1" s="595"/>
      <c r="Y1" s="595"/>
      <c r="Z1" s="595"/>
      <c r="AA1" s="595"/>
      <c r="AB1" s="595"/>
      <c r="AC1" s="595"/>
      <c r="AD1" s="595"/>
      <c r="AE1" s="595"/>
      <c r="AF1" s="595"/>
      <c r="AG1" s="595"/>
      <c r="AH1" s="595"/>
      <c r="AI1" s="595"/>
      <c r="AJ1" s="595"/>
      <c r="AK1" s="595"/>
      <c r="AL1" s="595"/>
      <c r="AM1" s="595"/>
      <c r="AN1" s="595"/>
      <c r="AO1" s="595"/>
      <c r="AP1" s="595"/>
      <c r="AQ1" s="595"/>
      <c r="AR1" s="595"/>
      <c r="AS1" s="595"/>
      <c r="AT1" s="595"/>
      <c r="AU1" s="595"/>
      <c r="AV1" s="595"/>
      <c r="AW1" s="595"/>
      <c r="AX1" s="595"/>
      <c r="AY1" s="595"/>
      <c r="AZ1" s="595"/>
      <c r="BA1" s="595"/>
      <c r="BB1" s="595"/>
      <c r="BC1" s="595"/>
      <c r="BD1" s="595"/>
      <c r="BE1" s="595"/>
      <c r="BF1" s="595"/>
      <c r="BG1" s="595"/>
      <c r="BH1" s="595"/>
      <c r="BI1" s="595"/>
      <c r="BJ1" s="595"/>
      <c r="BK1" s="595"/>
      <c r="BL1" s="595"/>
    </row>
    <row r="2" spans="1:64" ht="12.75" customHeight="1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242"/>
      <c r="AI2" s="242"/>
      <c r="AJ2" s="242"/>
      <c r="AK2" s="242"/>
      <c r="AL2" s="242"/>
      <c r="AM2" s="242"/>
      <c r="AN2" s="242"/>
      <c r="AO2" s="242"/>
      <c r="AP2" s="242"/>
      <c r="AQ2" s="242"/>
      <c r="AR2" s="242"/>
      <c r="AS2" s="242"/>
      <c r="AT2" s="242"/>
      <c r="AU2" s="242"/>
      <c r="AV2" s="242"/>
      <c r="AW2" s="242"/>
      <c r="AX2" s="242"/>
      <c r="AY2" s="242"/>
      <c r="AZ2" s="242"/>
      <c r="BA2" s="242"/>
      <c r="BB2" s="242"/>
      <c r="BC2" s="242"/>
      <c r="BD2" s="242"/>
      <c r="BE2" s="242"/>
      <c r="BF2" s="242"/>
      <c r="BG2" s="242"/>
      <c r="BH2" s="242"/>
      <c r="BI2" s="242"/>
      <c r="BJ2" s="242"/>
      <c r="BK2" s="242"/>
      <c r="BL2" s="242"/>
    </row>
    <row r="3" spans="1:64" ht="12.75" customHeight="1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</row>
    <row r="4" spans="1:64" ht="12.75" customHeight="1">
      <c r="A4" s="595"/>
      <c r="B4" s="598"/>
      <c r="C4" s="599"/>
      <c r="D4" s="1034" t="s">
        <v>612</v>
      </c>
      <c r="E4" s="1035" t="s">
        <v>613</v>
      </c>
      <c r="F4" s="1035" t="s">
        <v>614</v>
      </c>
      <c r="G4" s="1035" t="s">
        <v>615</v>
      </c>
      <c r="H4" s="1034" t="s">
        <v>616</v>
      </c>
      <c r="I4" s="1034" t="s">
        <v>617</v>
      </c>
      <c r="J4" s="1034" t="s">
        <v>38</v>
      </c>
      <c r="K4" s="1034" t="s">
        <v>618</v>
      </c>
      <c r="L4" s="1877" t="s">
        <v>382</v>
      </c>
      <c r="M4" s="1878"/>
    </row>
    <row r="5" spans="1:64" ht="12.75" customHeight="1">
      <c r="A5" s="595"/>
      <c r="B5" s="598"/>
      <c r="C5" s="599"/>
      <c r="D5" s="1036" t="s">
        <v>619</v>
      </c>
      <c r="E5" s="1036" t="s">
        <v>416</v>
      </c>
      <c r="F5" s="1036">
        <v>500</v>
      </c>
      <c r="G5" s="1037"/>
      <c r="H5" s="1036">
        <f>F5/2</f>
        <v>250</v>
      </c>
      <c r="I5" s="1036">
        <f>H5</f>
        <v>250</v>
      </c>
      <c r="J5" s="1036">
        <f>SUM(H5:I5)</f>
        <v>500</v>
      </c>
      <c r="K5" s="1036">
        <f>J5*L5</f>
        <v>100</v>
      </c>
      <c r="L5" s="1879">
        <v>0.2</v>
      </c>
      <c r="M5" s="1880"/>
    </row>
    <row r="6" spans="1:64" ht="12.75" customHeight="1">
      <c r="A6" s="595"/>
      <c r="B6" s="598"/>
      <c r="C6" s="599"/>
      <c r="D6" s="1036" t="s">
        <v>620</v>
      </c>
      <c r="E6" s="1036" t="s">
        <v>416</v>
      </c>
      <c r="F6" s="1036">
        <v>0</v>
      </c>
      <c r="G6" s="1037"/>
      <c r="H6" s="1036">
        <f>F6/2</f>
        <v>0</v>
      </c>
      <c r="I6" s="1036">
        <f>H6</f>
        <v>0</v>
      </c>
      <c r="J6" s="1036">
        <f>SUM(H6:I6)</f>
        <v>0</v>
      </c>
      <c r="K6" s="1036">
        <f>J6*L6</f>
        <v>0</v>
      </c>
      <c r="L6" s="1879">
        <v>0.2</v>
      </c>
      <c r="M6" s="1880"/>
    </row>
    <row r="7" spans="1:64" ht="12.75" customHeight="1">
      <c r="A7" s="595"/>
      <c r="B7" s="598"/>
      <c r="C7" s="599"/>
    </row>
    <row r="8" spans="1:64" ht="12.75" customHeight="1">
      <c r="A8" s="595"/>
      <c r="B8" s="598"/>
      <c r="C8" s="599"/>
    </row>
    <row r="9" spans="1:64" ht="12.75" customHeight="1">
      <c r="A9" s="595"/>
      <c r="B9" s="598"/>
      <c r="C9" s="599"/>
    </row>
    <row r="10" spans="1:64" ht="12.75" customHeight="1">
      <c r="A10" s="595"/>
      <c r="B10" s="598"/>
      <c r="C10" s="599"/>
    </row>
    <row r="11" spans="1:64" ht="12.75" customHeight="1">
      <c r="A11" s="595"/>
      <c r="B11" s="598"/>
      <c r="C11" s="599"/>
    </row>
    <row r="12" spans="1:64" ht="12.75" customHeight="1">
      <c r="A12" s="595"/>
      <c r="B12" s="598"/>
      <c r="C12" s="599"/>
    </row>
    <row r="13" spans="1:64" ht="12.75" customHeight="1">
      <c r="A13" s="595"/>
      <c r="B13" s="598"/>
      <c r="C13" s="599"/>
    </row>
    <row r="14" spans="1:64">
      <c r="A14" s="595"/>
      <c r="B14" s="598"/>
      <c r="C14" s="599"/>
    </row>
    <row r="15" spans="1:64">
      <c r="A15" s="595"/>
      <c r="B15" s="598"/>
      <c r="C15" s="599"/>
    </row>
    <row r="16" spans="1:64">
      <c r="A16" s="595"/>
      <c r="B16" s="598"/>
      <c r="C16" s="599"/>
    </row>
    <row r="17" spans="1:3">
      <c r="A17" s="595"/>
      <c r="B17" s="598"/>
      <c r="C17" s="599"/>
    </row>
    <row r="18" spans="1:3">
      <c r="A18" s="595"/>
      <c r="B18" s="598"/>
      <c r="C18" s="599"/>
    </row>
    <row r="19" spans="1:3">
      <c r="A19" s="595"/>
      <c r="B19" s="598"/>
      <c r="C19" s="599"/>
    </row>
    <row r="20" spans="1:3">
      <c r="A20" s="595"/>
      <c r="B20" s="598"/>
      <c r="C20" s="599"/>
    </row>
    <row r="21" spans="1:3">
      <c r="A21" s="595"/>
      <c r="B21" s="598"/>
      <c r="C21" s="599"/>
    </row>
    <row r="22" spans="1:3">
      <c r="A22" s="595"/>
      <c r="B22" s="598"/>
      <c r="C22" s="599"/>
    </row>
    <row r="23" spans="1:3">
      <c r="A23" s="595"/>
      <c r="B23" s="598"/>
      <c r="C23" s="599"/>
    </row>
    <row r="24" spans="1:3">
      <c r="A24" s="595"/>
      <c r="B24" s="598"/>
      <c r="C24" s="599"/>
    </row>
    <row r="25" spans="1:3">
      <c r="A25" s="595"/>
      <c r="B25" s="598"/>
      <c r="C25" s="599"/>
    </row>
    <row r="26" spans="1:3">
      <c r="A26" s="595"/>
      <c r="B26" s="598"/>
      <c r="C26" s="599"/>
    </row>
    <row r="27" spans="1:3">
      <c r="A27" s="595"/>
      <c r="B27" s="598"/>
      <c r="C27" s="599"/>
    </row>
    <row r="28" spans="1:3">
      <c r="A28" s="595"/>
      <c r="B28" s="598"/>
      <c r="C28" s="599"/>
    </row>
    <row r="29" spans="1:3">
      <c r="A29" s="595"/>
      <c r="B29" s="598"/>
      <c r="C29" s="599"/>
    </row>
    <row r="30" spans="1:3">
      <c r="A30" s="595"/>
      <c r="B30" s="598"/>
      <c r="C30" s="599"/>
    </row>
    <row r="31" spans="1:3">
      <c r="A31" s="595"/>
      <c r="B31" s="598"/>
      <c r="C31" s="599"/>
    </row>
    <row r="32" spans="1:3">
      <c r="A32" s="595"/>
      <c r="B32" s="598"/>
      <c r="C32" s="599"/>
    </row>
    <row r="33" spans="1:3">
      <c r="A33" s="595"/>
      <c r="B33" s="598"/>
      <c r="C33" s="599"/>
    </row>
    <row r="34" spans="1:3">
      <c r="A34" s="595"/>
      <c r="B34" s="598"/>
      <c r="C34" s="599"/>
    </row>
    <row r="35" spans="1:3">
      <c r="A35" s="595"/>
      <c r="B35" s="598"/>
      <c r="C35" s="599"/>
    </row>
    <row r="36" spans="1:3">
      <c r="A36" s="595"/>
      <c r="B36" s="598"/>
      <c r="C36" s="599"/>
    </row>
    <row r="37" spans="1:3">
      <c r="A37" s="595"/>
      <c r="B37" s="598"/>
      <c r="C37" s="599"/>
    </row>
    <row r="38" spans="1:3">
      <c r="A38" s="595"/>
      <c r="B38" s="598"/>
      <c r="C38" s="599"/>
    </row>
    <row r="39" spans="1:3">
      <c r="A39" s="595"/>
      <c r="B39" s="598"/>
      <c r="C39" s="599"/>
    </row>
    <row r="40" spans="1:3">
      <c r="A40" s="595"/>
      <c r="B40" s="598"/>
      <c r="C40" s="599"/>
    </row>
    <row r="41" spans="1:3">
      <c r="A41" s="595"/>
      <c r="B41" s="598"/>
      <c r="C41" s="599"/>
    </row>
    <row r="42" spans="1:3">
      <c r="A42" s="595"/>
      <c r="B42" s="598"/>
      <c r="C42" s="599"/>
    </row>
    <row r="43" spans="1:3">
      <c r="A43" s="595"/>
      <c r="B43" s="598"/>
      <c r="C43" s="599"/>
    </row>
    <row r="44" spans="1:3">
      <c r="A44" s="595"/>
      <c r="B44" s="598"/>
      <c r="C44" s="599"/>
    </row>
    <row r="45" spans="1:3">
      <c r="A45" s="595"/>
      <c r="B45" s="242"/>
      <c r="C45" s="599"/>
    </row>
    <row r="46" spans="1:3">
      <c r="A46" s="595"/>
      <c r="B46" s="242"/>
      <c r="C46" s="599"/>
    </row>
    <row r="47" spans="1:3">
      <c r="A47" s="595"/>
      <c r="B47" s="242"/>
      <c r="C47" s="599"/>
    </row>
    <row r="48" spans="1:3">
      <c r="A48" s="595"/>
      <c r="B48" s="242"/>
      <c r="C48" s="599"/>
    </row>
    <row r="49" spans="1:3">
      <c r="A49" s="595"/>
      <c r="B49" s="242"/>
      <c r="C49" s="599"/>
    </row>
    <row r="50" spans="1:3">
      <c r="A50" s="595"/>
      <c r="B50" s="242"/>
      <c r="C50" s="599"/>
    </row>
    <row r="51" spans="1:3">
      <c r="A51" s="595"/>
      <c r="B51" s="242"/>
      <c r="C51" s="599"/>
    </row>
    <row r="52" spans="1:3">
      <c r="A52" s="595"/>
      <c r="B52" s="242"/>
      <c r="C52" s="599"/>
    </row>
    <row r="53" spans="1:3">
      <c r="A53" s="595"/>
      <c r="B53" s="242"/>
      <c r="C53" s="599"/>
    </row>
    <row r="54" spans="1:3">
      <c r="A54" s="595"/>
      <c r="B54" s="242"/>
      <c r="C54" s="599"/>
    </row>
    <row r="55" spans="1:3">
      <c r="A55" s="595"/>
      <c r="B55" s="242"/>
      <c r="C55" s="599"/>
    </row>
    <row r="56" spans="1:3">
      <c r="A56" s="595"/>
      <c r="B56" s="242"/>
      <c r="C56" s="599"/>
    </row>
    <row r="57" spans="1:3">
      <c r="A57" s="595"/>
      <c r="B57" s="242"/>
      <c r="C57" s="599"/>
    </row>
    <row r="58" spans="1:3">
      <c r="A58" s="595"/>
      <c r="B58" s="242"/>
      <c r="C58" s="599"/>
    </row>
    <row r="59" spans="1:3">
      <c r="A59" s="595"/>
      <c r="B59" s="242"/>
      <c r="C59" s="599"/>
    </row>
    <row r="60" spans="1:3">
      <c r="A60" s="595"/>
      <c r="B60" s="242"/>
      <c r="C60" s="599"/>
    </row>
    <row r="61" spans="1:3">
      <c r="A61" s="595"/>
      <c r="B61" s="242"/>
      <c r="C61" s="599"/>
    </row>
    <row r="62" spans="1:3">
      <c r="A62" s="595"/>
      <c r="B62" s="242"/>
      <c r="C62" s="599"/>
    </row>
    <row r="63" spans="1:3">
      <c r="A63" s="595"/>
      <c r="B63" s="242"/>
      <c r="C63" s="599"/>
    </row>
    <row r="64" spans="1:3">
      <c r="A64" s="595"/>
      <c r="B64" s="242"/>
      <c r="C64" s="599"/>
    </row>
    <row r="65" spans="1:3">
      <c r="A65" s="595"/>
      <c r="B65" s="242"/>
      <c r="C65" s="243"/>
    </row>
    <row r="66" spans="1:3">
      <c r="A66" s="595"/>
      <c r="B66" s="242"/>
      <c r="C66" s="243"/>
    </row>
    <row r="67" spans="1:3">
      <c r="A67" s="595"/>
      <c r="B67" s="242"/>
      <c r="C67" s="243"/>
    </row>
    <row r="68" spans="1:3">
      <c r="A68" s="595"/>
      <c r="B68" s="242"/>
      <c r="C68" s="243"/>
    </row>
    <row r="69" spans="1:3">
      <c r="A69" s="595"/>
      <c r="B69" s="242"/>
      <c r="C69" s="243"/>
    </row>
    <row r="70" spans="1:3">
      <c r="A70" s="595"/>
      <c r="B70" s="242"/>
      <c r="C70" s="243"/>
    </row>
    <row r="71" spans="1:3">
      <c r="A71" s="595"/>
      <c r="B71" s="242"/>
      <c r="C71" s="243"/>
    </row>
    <row r="72" spans="1:3">
      <c r="A72" s="595"/>
      <c r="B72" s="242"/>
      <c r="C72" s="243"/>
    </row>
    <row r="73" spans="1:3">
      <c r="A73" s="595"/>
      <c r="B73" s="242"/>
      <c r="C73" s="243"/>
    </row>
    <row r="74" spans="1:3">
      <c r="A74" s="595"/>
      <c r="B74" s="242"/>
      <c r="C74" s="243"/>
    </row>
    <row r="75" spans="1:3">
      <c r="A75" s="595"/>
      <c r="B75" s="242"/>
      <c r="C75" s="243"/>
    </row>
    <row r="76" spans="1:3">
      <c r="A76" s="595"/>
      <c r="B76" s="242"/>
      <c r="C76" s="243"/>
    </row>
    <row r="77" spans="1:3">
      <c r="A77" s="595"/>
      <c r="B77" s="242"/>
      <c r="C77" s="243"/>
    </row>
    <row r="78" spans="1:3">
      <c r="A78" s="595"/>
      <c r="B78" s="242"/>
      <c r="C78" s="243"/>
    </row>
    <row r="79" spans="1:3">
      <c r="A79" s="595"/>
      <c r="B79" s="242"/>
      <c r="C79" s="243"/>
    </row>
    <row r="80" spans="1:3">
      <c r="A80" s="595"/>
      <c r="B80" s="242"/>
      <c r="C80" s="243"/>
    </row>
    <row r="81" spans="1:3">
      <c r="A81" s="595"/>
      <c r="B81" s="242"/>
      <c r="C81" s="243"/>
    </row>
    <row r="82" spans="1:3">
      <c r="A82" s="595"/>
      <c r="B82" s="242"/>
      <c r="C82" s="243"/>
    </row>
    <row r="83" spans="1:3">
      <c r="A83" s="595"/>
      <c r="B83" s="242"/>
      <c r="C83" s="243"/>
    </row>
    <row r="84" spans="1:3">
      <c r="A84" s="595"/>
      <c r="B84" s="242"/>
      <c r="C84" s="243"/>
    </row>
    <row r="85" spans="1:3">
      <c r="A85" s="595"/>
      <c r="B85" s="242"/>
      <c r="C85" s="243"/>
    </row>
    <row r="86" spans="1:3">
      <c r="A86" s="595"/>
      <c r="B86" s="242"/>
      <c r="C86" s="243"/>
    </row>
    <row r="87" spans="1:3">
      <c r="A87" s="595"/>
      <c r="B87" s="242"/>
      <c r="C87" s="243"/>
    </row>
    <row r="88" spans="1:3">
      <c r="A88" s="595"/>
      <c r="B88" s="242"/>
      <c r="C88" s="243"/>
    </row>
    <row r="89" spans="1:3">
      <c r="A89" s="595"/>
      <c r="B89" s="242"/>
      <c r="C89" s="243"/>
    </row>
    <row r="90" spans="1:3">
      <c r="A90" s="595"/>
      <c r="B90" s="242"/>
      <c r="C90" s="243"/>
    </row>
    <row r="91" spans="1:3">
      <c r="A91" s="595"/>
      <c r="B91" s="242"/>
      <c r="C91" s="243"/>
    </row>
    <row r="92" spans="1:3">
      <c r="A92" s="595"/>
      <c r="B92" s="242"/>
      <c r="C92" s="243"/>
    </row>
    <row r="93" spans="1:3">
      <c r="A93" s="595"/>
      <c r="B93" s="242"/>
      <c r="C93" s="243"/>
    </row>
    <row r="94" spans="1:3">
      <c r="A94" s="595"/>
      <c r="B94" s="242"/>
      <c r="C94" s="243"/>
    </row>
    <row r="95" spans="1:3">
      <c r="A95" s="595"/>
      <c r="B95" s="242"/>
      <c r="C95" s="243"/>
    </row>
    <row r="96" spans="1:3">
      <c r="A96" s="595"/>
      <c r="B96" s="242"/>
      <c r="C96" s="243"/>
    </row>
    <row r="97" spans="1:3">
      <c r="A97" s="595"/>
      <c r="B97" s="242"/>
      <c r="C97" s="243"/>
    </row>
    <row r="98" spans="1:3">
      <c r="A98" s="595"/>
      <c r="B98" s="242"/>
      <c r="C98" s="243"/>
    </row>
    <row r="99" spans="1:3">
      <c r="A99" s="595"/>
      <c r="B99" s="242"/>
      <c r="C99" s="243"/>
    </row>
    <row r="100" spans="1:3">
      <c r="A100" s="595"/>
      <c r="B100" s="242"/>
      <c r="C100" s="243"/>
    </row>
    <row r="101" spans="1:3">
      <c r="A101" s="595"/>
      <c r="B101" s="242"/>
      <c r="C101" s="243"/>
    </row>
    <row r="102" spans="1:3">
      <c r="A102" s="595"/>
      <c r="B102" s="242"/>
      <c r="C102" s="243"/>
    </row>
    <row r="103" spans="1:3">
      <c r="A103" s="595"/>
      <c r="B103" s="242"/>
      <c r="C103" s="243"/>
    </row>
    <row r="104" spans="1:3">
      <c r="A104" s="595"/>
      <c r="B104" s="242"/>
      <c r="C104" s="243"/>
    </row>
    <row r="105" spans="1:3">
      <c r="A105" s="595"/>
      <c r="B105" s="242"/>
      <c r="C105" s="243"/>
    </row>
    <row r="106" spans="1:3">
      <c r="A106" s="595"/>
      <c r="B106" s="242"/>
      <c r="C106" s="243"/>
    </row>
    <row r="107" spans="1:3">
      <c r="A107" s="595"/>
      <c r="B107" s="242"/>
      <c r="C107" s="243"/>
    </row>
    <row r="108" spans="1:3">
      <c r="A108" s="595"/>
      <c r="B108" s="242"/>
      <c r="C108" s="243"/>
    </row>
    <row r="109" spans="1:3">
      <c r="A109" s="595"/>
      <c r="B109" s="242"/>
      <c r="C109" s="243"/>
    </row>
    <row r="110" spans="1:3">
      <c r="A110" s="595"/>
      <c r="B110" s="242"/>
      <c r="C110" s="243"/>
    </row>
    <row r="111" spans="1:3">
      <c r="A111" s="595"/>
      <c r="B111" s="242"/>
      <c r="C111" s="243"/>
    </row>
    <row r="112" spans="1:3">
      <c r="A112" s="595"/>
      <c r="B112" s="242"/>
      <c r="C112" s="243"/>
    </row>
    <row r="113" spans="1:3">
      <c r="A113" s="595"/>
      <c r="B113" s="242"/>
      <c r="C113" s="243"/>
    </row>
    <row r="114" spans="1:3">
      <c r="A114" s="595"/>
      <c r="B114" s="242"/>
      <c r="C114" s="243"/>
    </row>
    <row r="115" spans="1:3">
      <c r="A115" s="595"/>
      <c r="B115" s="242"/>
      <c r="C115" s="243"/>
    </row>
    <row r="116" spans="1:3">
      <c r="A116" s="595"/>
      <c r="B116" s="242"/>
      <c r="C116" s="243"/>
    </row>
    <row r="117" spans="1:3">
      <c r="A117" s="595"/>
      <c r="B117" s="242"/>
      <c r="C117" s="243"/>
    </row>
    <row r="118" spans="1:3">
      <c r="A118" s="595"/>
      <c r="B118" s="242"/>
      <c r="C118" s="243"/>
    </row>
    <row r="119" spans="1:3">
      <c r="A119" s="595"/>
      <c r="B119" s="242"/>
      <c r="C119" s="243"/>
    </row>
    <row r="120" spans="1:3">
      <c r="A120" s="595"/>
      <c r="B120" s="242"/>
      <c r="C120" s="243"/>
    </row>
    <row r="121" spans="1:3">
      <c r="A121" s="595"/>
      <c r="B121" s="242"/>
      <c r="C121" s="243"/>
    </row>
    <row r="122" spans="1:3">
      <c r="A122" s="595"/>
      <c r="B122" s="242"/>
      <c r="C122" s="243"/>
    </row>
    <row r="123" spans="1:3">
      <c r="A123" s="595"/>
      <c r="B123" s="242"/>
      <c r="C123" s="243"/>
    </row>
    <row r="124" spans="1:3">
      <c r="A124" s="595"/>
      <c r="B124" s="242"/>
      <c r="C124" s="243"/>
    </row>
    <row r="125" spans="1:3">
      <c r="A125" s="595"/>
      <c r="B125" s="242"/>
      <c r="C125" s="243"/>
    </row>
    <row r="126" spans="1:3">
      <c r="A126" s="595"/>
      <c r="B126" s="242"/>
      <c r="C126" s="243"/>
    </row>
    <row r="127" spans="1:3">
      <c r="A127" s="595"/>
      <c r="B127" s="242"/>
      <c r="C127" s="243"/>
    </row>
    <row r="128" spans="1:3">
      <c r="A128" s="595"/>
      <c r="B128" s="242"/>
      <c r="C128" s="243"/>
    </row>
    <row r="129" spans="1:3">
      <c r="A129" s="595"/>
      <c r="B129" s="242"/>
      <c r="C129" s="243"/>
    </row>
    <row r="130" spans="1:3">
      <c r="A130" s="595"/>
      <c r="B130" s="242"/>
      <c r="C130" s="243"/>
    </row>
    <row r="131" spans="1:3">
      <c r="A131" s="595"/>
      <c r="B131" s="242"/>
      <c r="C131" s="243"/>
    </row>
    <row r="132" spans="1:3">
      <c r="A132" s="595"/>
      <c r="B132" s="242"/>
      <c r="C132" s="243"/>
    </row>
    <row r="133" spans="1:3">
      <c r="A133" s="595"/>
      <c r="B133" s="242"/>
      <c r="C133" s="243"/>
    </row>
    <row r="134" spans="1:3">
      <c r="A134" s="595"/>
      <c r="B134" s="242"/>
      <c r="C134" s="243"/>
    </row>
    <row r="135" spans="1:3">
      <c r="A135" s="595"/>
      <c r="B135" s="242"/>
      <c r="C135" s="243"/>
    </row>
    <row r="136" spans="1:3">
      <c r="A136" s="595"/>
      <c r="B136" s="242"/>
      <c r="C136" s="243"/>
    </row>
    <row r="137" spans="1:3">
      <c r="A137" s="595"/>
      <c r="B137" s="242"/>
      <c r="C137" s="243"/>
    </row>
    <row r="138" spans="1:3">
      <c r="A138" s="595"/>
      <c r="B138" s="242"/>
      <c r="C138" s="243"/>
    </row>
    <row r="139" spans="1:3">
      <c r="A139" s="595"/>
      <c r="B139" s="242"/>
      <c r="C139" s="243"/>
    </row>
    <row r="140" spans="1:3">
      <c r="A140" s="595"/>
      <c r="B140" s="242"/>
      <c r="C140" s="243"/>
    </row>
    <row r="141" spans="1:3">
      <c r="A141" s="595"/>
      <c r="B141" s="242"/>
      <c r="C141" s="243"/>
    </row>
    <row r="142" spans="1:3">
      <c r="A142" s="595"/>
      <c r="B142" s="242"/>
      <c r="C142" s="243"/>
    </row>
    <row r="143" spans="1:3">
      <c r="A143" s="595"/>
      <c r="B143" s="242"/>
      <c r="C143" s="243"/>
    </row>
    <row r="144" spans="1:3">
      <c r="A144" s="595"/>
      <c r="B144" s="242"/>
      <c r="C144" s="243"/>
    </row>
    <row r="145" spans="1:3">
      <c r="A145" s="595"/>
      <c r="B145" s="242"/>
      <c r="C145" s="243"/>
    </row>
    <row r="146" spans="1:3">
      <c r="A146" s="595"/>
      <c r="B146" s="242"/>
      <c r="C146" s="243"/>
    </row>
    <row r="147" spans="1:3">
      <c r="A147" s="595"/>
      <c r="B147" s="242"/>
      <c r="C147" s="243"/>
    </row>
    <row r="148" spans="1:3">
      <c r="A148" s="595"/>
      <c r="B148" s="242"/>
      <c r="C148" s="243"/>
    </row>
    <row r="149" spans="1:3">
      <c r="A149" s="595"/>
      <c r="B149" s="242"/>
      <c r="C149" s="243"/>
    </row>
    <row r="150" spans="1:3">
      <c r="A150" s="595"/>
      <c r="B150" s="242"/>
      <c r="C150" s="243"/>
    </row>
    <row r="151" spans="1:3">
      <c r="A151" s="595"/>
      <c r="B151" s="242"/>
      <c r="C151" s="243"/>
    </row>
    <row r="152" spans="1:3">
      <c r="A152" s="595"/>
      <c r="B152" s="242"/>
      <c r="C152" s="243"/>
    </row>
    <row r="153" spans="1:3">
      <c r="A153" s="595"/>
      <c r="B153" s="242"/>
      <c r="C153" s="243"/>
    </row>
    <row r="154" spans="1:3">
      <c r="A154" s="595"/>
      <c r="B154" s="242"/>
      <c r="C154" s="243"/>
    </row>
    <row r="155" spans="1:3">
      <c r="A155" s="595"/>
      <c r="B155" s="242"/>
      <c r="C155" s="243"/>
    </row>
    <row r="156" spans="1:3">
      <c r="A156" s="595"/>
      <c r="B156" s="242"/>
      <c r="C156" s="243"/>
    </row>
    <row r="157" spans="1:3">
      <c r="A157" s="595"/>
      <c r="B157" s="242"/>
      <c r="C157" s="243"/>
    </row>
    <row r="158" spans="1:3">
      <c r="A158" s="595"/>
      <c r="B158" s="242"/>
      <c r="C158" s="243"/>
    </row>
    <row r="159" spans="1:3">
      <c r="A159" s="595"/>
      <c r="B159" s="242"/>
      <c r="C159" s="243"/>
    </row>
    <row r="160" spans="1:3">
      <c r="A160" s="595"/>
      <c r="B160" s="242"/>
      <c r="C160" s="243"/>
    </row>
    <row r="161" spans="1:3">
      <c r="A161" s="595"/>
      <c r="B161" s="242"/>
      <c r="C161" s="243"/>
    </row>
    <row r="162" spans="1:3">
      <c r="A162" s="595"/>
      <c r="B162" s="242"/>
      <c r="C162" s="243"/>
    </row>
    <row r="163" spans="1:3">
      <c r="A163" s="595"/>
      <c r="B163" s="242"/>
      <c r="C163" s="243"/>
    </row>
    <row r="164" spans="1:3">
      <c r="A164" s="595"/>
      <c r="B164" s="242"/>
      <c r="C164" s="243"/>
    </row>
    <row r="165" spans="1:3">
      <c r="A165" s="595"/>
      <c r="B165" s="242"/>
      <c r="C165" s="243"/>
    </row>
    <row r="166" spans="1:3">
      <c r="A166" s="595"/>
      <c r="B166" s="242"/>
      <c r="C166" s="243"/>
    </row>
    <row r="167" spans="1:3">
      <c r="A167" s="595"/>
      <c r="B167" s="242"/>
      <c r="C167" s="243"/>
    </row>
    <row r="168" spans="1:3">
      <c r="A168" s="595"/>
      <c r="B168" s="242"/>
      <c r="C168" s="243"/>
    </row>
    <row r="169" spans="1:3">
      <c r="A169" s="595"/>
      <c r="B169" s="242"/>
      <c r="C169" s="243"/>
    </row>
    <row r="170" spans="1:3">
      <c r="A170" s="595"/>
      <c r="B170" s="242"/>
      <c r="C170" s="243"/>
    </row>
    <row r="171" spans="1:3">
      <c r="A171" s="595"/>
      <c r="B171" s="242"/>
      <c r="C171" s="243"/>
    </row>
    <row r="172" spans="1:3">
      <c r="A172" s="595"/>
      <c r="B172" s="242"/>
      <c r="C172" s="243"/>
    </row>
    <row r="173" spans="1:3">
      <c r="A173" s="595"/>
      <c r="B173" s="242"/>
      <c r="C173" s="243"/>
    </row>
    <row r="174" spans="1:3">
      <c r="A174" s="595"/>
      <c r="B174" s="242"/>
      <c r="C174" s="243"/>
    </row>
    <row r="175" spans="1:3">
      <c r="A175" s="595"/>
      <c r="B175" s="242"/>
      <c r="C175" s="243"/>
    </row>
    <row r="176" spans="1:3">
      <c r="A176" s="595"/>
      <c r="B176" s="242"/>
      <c r="C176" s="243"/>
    </row>
    <row r="177" spans="1:3">
      <c r="A177" s="595"/>
      <c r="B177" s="242"/>
      <c r="C177" s="243"/>
    </row>
    <row r="178" spans="1:3">
      <c r="A178" s="595"/>
      <c r="B178" s="242"/>
      <c r="C178" s="243"/>
    </row>
    <row r="179" spans="1:3">
      <c r="A179" s="595"/>
      <c r="B179" s="242"/>
      <c r="C179" s="243"/>
    </row>
    <row r="180" spans="1:3">
      <c r="A180" s="595"/>
      <c r="B180" s="242"/>
      <c r="C180" s="243"/>
    </row>
    <row r="181" spans="1:3">
      <c r="A181" s="595"/>
      <c r="B181" s="242"/>
      <c r="C181" s="243"/>
    </row>
    <row r="182" spans="1:3">
      <c r="A182" s="595"/>
      <c r="B182" s="242"/>
      <c r="C182" s="243"/>
    </row>
    <row r="183" spans="1:3">
      <c r="A183" s="595"/>
      <c r="B183" s="242"/>
      <c r="C183" s="243"/>
    </row>
    <row r="184" spans="1:3">
      <c r="A184" s="595"/>
      <c r="B184" s="242"/>
      <c r="C184" s="243"/>
    </row>
    <row r="185" spans="1:3">
      <c r="A185" s="595"/>
      <c r="B185" s="242"/>
      <c r="C185" s="243"/>
    </row>
    <row r="186" spans="1:3">
      <c r="A186" s="595"/>
      <c r="B186" s="242"/>
      <c r="C186" s="243"/>
    </row>
    <row r="187" spans="1:3">
      <c r="A187" s="595"/>
      <c r="B187" s="242"/>
      <c r="C187" s="243"/>
    </row>
    <row r="188" spans="1:3">
      <c r="A188" s="595"/>
      <c r="B188" s="242"/>
      <c r="C188" s="243"/>
    </row>
    <row r="189" spans="1:3">
      <c r="A189" s="595"/>
      <c r="B189" s="242"/>
      <c r="C189" s="243"/>
    </row>
    <row r="190" spans="1:3">
      <c r="A190" s="595"/>
      <c r="B190" s="242"/>
      <c r="C190" s="243"/>
    </row>
    <row r="191" spans="1:3">
      <c r="A191" s="595"/>
      <c r="B191" s="242"/>
      <c r="C191" s="243"/>
    </row>
    <row r="192" spans="1:3">
      <c r="A192" s="595"/>
      <c r="B192" s="242"/>
      <c r="C192" s="243"/>
    </row>
    <row r="193" spans="1:3">
      <c r="A193" s="595"/>
      <c r="B193" s="242"/>
      <c r="C193" s="243"/>
    </row>
    <row r="194" spans="1:3">
      <c r="A194" s="595"/>
      <c r="B194" s="242"/>
      <c r="C194" s="243"/>
    </row>
    <row r="195" spans="1:3">
      <c r="A195" s="595"/>
      <c r="B195" s="242"/>
      <c r="C195" s="243"/>
    </row>
    <row r="196" spans="1:3">
      <c r="A196" s="595"/>
      <c r="B196" s="242"/>
      <c r="C196" s="243"/>
    </row>
    <row r="197" spans="1:3">
      <c r="A197" s="595"/>
      <c r="B197" s="242"/>
      <c r="C197" s="243"/>
    </row>
    <row r="198" spans="1:3">
      <c r="A198" s="595"/>
      <c r="B198" s="242"/>
      <c r="C198" s="243"/>
    </row>
    <row r="199" spans="1:3">
      <c r="A199" s="595"/>
      <c r="B199" s="242"/>
      <c r="C199" s="243"/>
    </row>
    <row r="200" spans="1:3">
      <c r="A200" s="595"/>
      <c r="B200" s="242"/>
      <c r="C200" s="243"/>
    </row>
    <row r="201" spans="1:3">
      <c r="A201" s="595"/>
      <c r="B201" s="242"/>
      <c r="C201" s="243"/>
    </row>
    <row r="202" spans="1:3">
      <c r="A202" s="595"/>
      <c r="B202" s="242"/>
      <c r="C202" s="243"/>
    </row>
    <row r="203" spans="1:3">
      <c r="A203" s="595"/>
      <c r="B203" s="242"/>
      <c r="C203" s="243"/>
    </row>
    <row r="204" spans="1:3">
      <c r="A204" s="595"/>
      <c r="B204" s="242"/>
      <c r="C204" s="243"/>
    </row>
    <row r="205" spans="1:3">
      <c r="A205" s="595"/>
      <c r="B205" s="242"/>
      <c r="C205" s="243"/>
    </row>
    <row r="206" spans="1:3">
      <c r="A206" s="595"/>
      <c r="B206" s="242"/>
      <c r="C206" s="243"/>
    </row>
    <row r="207" spans="1:3">
      <c r="A207" s="595"/>
      <c r="B207" s="242"/>
      <c r="C207" s="243"/>
    </row>
    <row r="208" spans="1:3">
      <c r="A208" s="595"/>
      <c r="B208" s="242"/>
      <c r="C208" s="243"/>
    </row>
    <row r="209" spans="1:3">
      <c r="A209" s="595"/>
      <c r="B209" s="242"/>
      <c r="C209" s="243"/>
    </row>
    <row r="210" spans="1:3">
      <c r="A210" s="595"/>
      <c r="B210" s="242"/>
      <c r="C210" s="243"/>
    </row>
    <row r="211" spans="1:3">
      <c r="A211" s="595"/>
      <c r="B211" s="242"/>
      <c r="C211" s="243"/>
    </row>
    <row r="212" spans="1:3">
      <c r="A212" s="595"/>
      <c r="B212" s="242"/>
      <c r="C212" s="243"/>
    </row>
    <row r="213" spans="1:3">
      <c r="A213" s="595"/>
      <c r="B213" s="242"/>
      <c r="C213" s="243"/>
    </row>
    <row r="214" spans="1:3">
      <c r="A214" s="595"/>
      <c r="B214" s="242"/>
      <c r="C214" s="243"/>
    </row>
    <row r="215" spans="1:3">
      <c r="A215" s="595"/>
      <c r="B215" s="242"/>
      <c r="C215" s="243"/>
    </row>
    <row r="216" spans="1:3">
      <c r="A216" s="595"/>
      <c r="B216" s="242"/>
      <c r="C216" s="243"/>
    </row>
    <row r="217" spans="1:3">
      <c r="A217" s="595"/>
      <c r="B217" s="242"/>
      <c r="C217" s="243"/>
    </row>
    <row r="218" spans="1:3">
      <c r="A218" s="595"/>
      <c r="B218" s="242"/>
      <c r="C218" s="243"/>
    </row>
    <row r="219" spans="1:3">
      <c r="A219" s="595"/>
      <c r="B219" s="242"/>
      <c r="C219" s="243"/>
    </row>
    <row r="220" spans="1:3">
      <c r="A220" s="595"/>
      <c r="B220" s="242"/>
      <c r="C220" s="243"/>
    </row>
    <row r="221" spans="1:3">
      <c r="A221" s="595"/>
      <c r="B221" s="242"/>
      <c r="C221" s="243"/>
    </row>
    <row r="222" spans="1:3">
      <c r="A222" s="595"/>
      <c r="B222" s="242"/>
      <c r="C222" s="243"/>
    </row>
    <row r="223" spans="1:3">
      <c r="A223" s="595"/>
      <c r="B223" s="242"/>
      <c r="C223" s="243"/>
    </row>
    <row r="224" spans="1:3">
      <c r="A224" s="595"/>
      <c r="B224" s="242"/>
      <c r="C224" s="243"/>
    </row>
    <row r="225" spans="1:3">
      <c r="A225" s="595"/>
      <c r="B225" s="242"/>
      <c r="C225" s="243"/>
    </row>
    <row r="226" spans="1:3">
      <c r="A226" s="595"/>
      <c r="B226" s="242"/>
      <c r="C226" s="243"/>
    </row>
    <row r="227" spans="1:3">
      <c r="A227" s="595"/>
      <c r="B227" s="242"/>
      <c r="C227" s="243"/>
    </row>
    <row r="228" spans="1:3">
      <c r="A228" s="595"/>
      <c r="B228" s="242"/>
      <c r="C228" s="243"/>
    </row>
    <row r="229" spans="1:3">
      <c r="A229" s="595"/>
      <c r="B229" s="242"/>
      <c r="C229" s="243"/>
    </row>
    <row r="230" spans="1:3">
      <c r="A230" s="595"/>
      <c r="B230" s="242"/>
      <c r="C230" s="243"/>
    </row>
    <row r="231" spans="1:3">
      <c r="A231" s="595"/>
      <c r="B231" s="242"/>
      <c r="C231" s="243"/>
    </row>
    <row r="232" spans="1:3">
      <c r="A232" s="595"/>
      <c r="B232" s="242"/>
      <c r="C232" s="243"/>
    </row>
    <row r="233" spans="1:3">
      <c r="A233" s="595"/>
      <c r="B233" s="242"/>
      <c r="C233" s="243"/>
    </row>
    <row r="234" spans="1:3">
      <c r="A234" s="595"/>
      <c r="B234" s="242"/>
      <c r="C234" s="243"/>
    </row>
    <row r="235" spans="1:3">
      <c r="A235" s="595"/>
      <c r="B235" s="242"/>
      <c r="C235" s="243"/>
    </row>
    <row r="236" spans="1:3">
      <c r="A236" s="595"/>
      <c r="B236" s="242"/>
      <c r="C236" s="243"/>
    </row>
    <row r="237" spans="1:3">
      <c r="A237" s="595"/>
      <c r="B237" s="242"/>
      <c r="C237" s="243"/>
    </row>
    <row r="238" spans="1:3">
      <c r="A238" s="595"/>
      <c r="B238" s="242"/>
      <c r="C238" s="243"/>
    </row>
    <row r="239" spans="1:3">
      <c r="A239" s="595"/>
      <c r="B239" s="242"/>
      <c r="C239" s="243"/>
    </row>
    <row r="240" spans="1:3">
      <c r="A240" s="595"/>
      <c r="B240" s="242"/>
      <c r="C240" s="243"/>
    </row>
    <row r="241" spans="1:3">
      <c r="A241" s="595"/>
      <c r="B241" s="242"/>
      <c r="C241" s="243"/>
    </row>
    <row r="242" spans="1:3">
      <c r="A242" s="595"/>
      <c r="B242" s="242"/>
      <c r="C242" s="243"/>
    </row>
    <row r="243" spans="1:3">
      <c r="A243" s="595"/>
      <c r="B243" s="242"/>
      <c r="C243" s="243"/>
    </row>
    <row r="244" spans="1:3">
      <c r="A244" s="595"/>
      <c r="B244" s="242"/>
      <c r="C244" s="243"/>
    </row>
    <row r="245" spans="1:3">
      <c r="A245" s="595"/>
      <c r="B245" s="242"/>
      <c r="C245" s="243"/>
    </row>
    <row r="246" spans="1:3">
      <c r="A246" s="595"/>
      <c r="B246" s="242"/>
      <c r="C246" s="243"/>
    </row>
    <row r="247" spans="1:3">
      <c r="A247" s="595"/>
      <c r="B247" s="242"/>
      <c r="C247" s="243"/>
    </row>
    <row r="248" spans="1:3">
      <c r="A248" s="595"/>
      <c r="B248" s="242"/>
      <c r="C248" s="243"/>
    </row>
    <row r="249" spans="1:3">
      <c r="A249" s="595"/>
      <c r="B249" s="242"/>
      <c r="C249" s="243"/>
    </row>
    <row r="250" spans="1:3">
      <c r="A250" s="595"/>
      <c r="B250" s="242"/>
      <c r="C250" s="243"/>
    </row>
    <row r="251" spans="1:3">
      <c r="A251" s="595"/>
      <c r="B251" s="242"/>
      <c r="C251" s="243"/>
    </row>
    <row r="252" spans="1:3">
      <c r="A252" s="595"/>
      <c r="B252" s="242"/>
      <c r="C252" s="243"/>
    </row>
    <row r="253" spans="1:3">
      <c r="A253" s="595"/>
      <c r="B253" s="242"/>
      <c r="C253" s="243"/>
    </row>
    <row r="254" spans="1:3">
      <c r="A254" s="595"/>
      <c r="B254" s="242"/>
      <c r="C254" s="243"/>
    </row>
    <row r="255" spans="1:3">
      <c r="A255" s="595"/>
      <c r="B255" s="242"/>
      <c r="C255" s="243"/>
    </row>
    <row r="256" spans="1:3">
      <c r="A256" s="595"/>
      <c r="B256" s="242"/>
      <c r="C256" s="243"/>
    </row>
    <row r="257" spans="1:3">
      <c r="A257" s="595"/>
      <c r="B257" s="242"/>
      <c r="C257" s="243"/>
    </row>
    <row r="258" spans="1:3">
      <c r="A258" s="595"/>
      <c r="B258" s="242"/>
      <c r="C258" s="243"/>
    </row>
    <row r="259" spans="1:3">
      <c r="A259" s="595"/>
      <c r="B259" s="242"/>
      <c r="C259" s="243"/>
    </row>
    <row r="260" spans="1:3">
      <c r="A260" s="595"/>
      <c r="B260" s="242"/>
      <c r="C260" s="243"/>
    </row>
    <row r="261" spans="1:3">
      <c r="A261" s="595"/>
      <c r="B261" s="242"/>
      <c r="C261" s="243"/>
    </row>
    <row r="262" spans="1:3">
      <c r="A262" s="595"/>
      <c r="B262" s="242"/>
      <c r="C262" s="243"/>
    </row>
    <row r="263" spans="1:3">
      <c r="A263" s="595"/>
      <c r="B263" s="242"/>
      <c r="C263" s="243"/>
    </row>
    <row r="264" spans="1:3">
      <c r="A264" s="595"/>
      <c r="B264" s="242"/>
      <c r="C264" s="243"/>
    </row>
    <row r="265" spans="1:3">
      <c r="A265" s="595"/>
      <c r="B265" s="242"/>
      <c r="C265" s="243"/>
    </row>
    <row r="266" spans="1:3">
      <c r="A266" s="595"/>
      <c r="B266" s="242"/>
      <c r="C266" s="243"/>
    </row>
    <row r="267" spans="1:3">
      <c r="A267" s="595"/>
      <c r="B267" s="242"/>
      <c r="C267" s="243"/>
    </row>
    <row r="268" spans="1:3">
      <c r="A268" s="595"/>
      <c r="B268" s="242"/>
      <c r="C268" s="243"/>
    </row>
    <row r="269" spans="1:3">
      <c r="A269" s="595"/>
      <c r="B269" s="242"/>
      <c r="C269" s="243"/>
    </row>
    <row r="270" spans="1:3">
      <c r="A270" s="595"/>
      <c r="B270" s="242"/>
      <c r="C270" s="243"/>
    </row>
    <row r="271" spans="1:3">
      <c r="A271" s="595"/>
      <c r="B271" s="242"/>
      <c r="C271" s="243"/>
    </row>
    <row r="272" spans="1:3">
      <c r="A272" s="595"/>
      <c r="B272" s="242"/>
      <c r="C272" s="243"/>
    </row>
    <row r="273" spans="1:3">
      <c r="A273" s="595"/>
      <c r="B273" s="242"/>
      <c r="C273" s="243"/>
    </row>
    <row r="274" spans="1:3">
      <c r="A274" s="595"/>
      <c r="B274" s="242"/>
      <c r="C274" s="243"/>
    </row>
    <row r="275" spans="1:3">
      <c r="A275" s="595"/>
      <c r="B275" s="242"/>
      <c r="C275" s="243"/>
    </row>
    <row r="276" spans="1:3">
      <c r="A276" s="595"/>
      <c r="B276" s="242"/>
      <c r="C276" s="243"/>
    </row>
    <row r="277" spans="1:3">
      <c r="A277" s="595"/>
      <c r="B277" s="242"/>
      <c r="C277" s="243"/>
    </row>
    <row r="278" spans="1:3">
      <c r="A278" s="595"/>
      <c r="B278" s="242"/>
      <c r="C278" s="243"/>
    </row>
    <row r="279" spans="1:3">
      <c r="A279" s="595"/>
      <c r="B279" s="242"/>
      <c r="C279" s="243"/>
    </row>
    <row r="280" spans="1:3">
      <c r="A280" s="595"/>
      <c r="B280" s="242"/>
      <c r="C280" s="243"/>
    </row>
    <row r="281" spans="1:3">
      <c r="A281" s="595"/>
      <c r="B281" s="242"/>
      <c r="C281" s="243"/>
    </row>
    <row r="282" spans="1:3">
      <c r="A282" s="595"/>
      <c r="B282" s="242"/>
      <c r="C282" s="243"/>
    </row>
    <row r="283" spans="1:3">
      <c r="A283" s="595"/>
      <c r="B283" s="242"/>
      <c r="C283" s="243"/>
    </row>
    <row r="284" spans="1:3">
      <c r="A284" s="595"/>
      <c r="B284" s="242"/>
      <c r="C284" s="243"/>
    </row>
    <row r="285" spans="1:3">
      <c r="A285" s="595"/>
      <c r="B285" s="242"/>
      <c r="C285" s="243"/>
    </row>
    <row r="286" spans="1:3">
      <c r="A286" s="595"/>
      <c r="B286" s="242"/>
      <c r="C286" s="243"/>
    </row>
    <row r="287" spans="1:3">
      <c r="A287" s="595"/>
      <c r="B287" s="242"/>
      <c r="C287" s="243"/>
    </row>
    <row r="288" spans="1:3">
      <c r="A288" s="595"/>
      <c r="B288" s="242"/>
      <c r="C288" s="243"/>
    </row>
    <row r="289" spans="1:3">
      <c r="A289" s="595"/>
      <c r="B289" s="242"/>
      <c r="C289" s="243"/>
    </row>
    <row r="290" spans="1:3">
      <c r="A290" s="595"/>
      <c r="B290" s="242"/>
      <c r="C290" s="243"/>
    </row>
    <row r="291" spans="1:3">
      <c r="A291" s="595"/>
      <c r="B291" s="242"/>
      <c r="C291" s="243"/>
    </row>
    <row r="292" spans="1:3">
      <c r="A292" s="595"/>
      <c r="B292" s="242"/>
      <c r="C292" s="243"/>
    </row>
    <row r="293" spans="1:3">
      <c r="A293" s="595"/>
      <c r="B293" s="242"/>
      <c r="C293" s="243"/>
    </row>
    <row r="294" spans="1:3">
      <c r="A294" s="595"/>
      <c r="B294" s="242"/>
      <c r="C294" s="243"/>
    </row>
    <row r="295" spans="1:3">
      <c r="A295" s="595"/>
      <c r="B295" s="242"/>
      <c r="C295" s="243"/>
    </row>
    <row r="296" spans="1:3">
      <c r="A296" s="595"/>
      <c r="B296" s="242"/>
      <c r="C296" s="243"/>
    </row>
    <row r="297" spans="1:3">
      <c r="A297" s="595"/>
      <c r="B297" s="242"/>
      <c r="C297" s="243"/>
    </row>
    <row r="298" spans="1:3">
      <c r="A298" s="595"/>
      <c r="B298" s="242"/>
      <c r="C298" s="243"/>
    </row>
    <row r="299" spans="1:3">
      <c r="A299" s="595"/>
      <c r="B299" s="242"/>
      <c r="C299" s="243"/>
    </row>
    <row r="300" spans="1:3">
      <c r="A300" s="595"/>
      <c r="B300" s="242"/>
      <c r="C300" s="243"/>
    </row>
    <row r="301" spans="1:3">
      <c r="A301" s="595"/>
      <c r="B301" s="242"/>
      <c r="C301" s="243"/>
    </row>
    <row r="302" spans="1:3">
      <c r="A302" s="595"/>
      <c r="B302" s="242"/>
      <c r="C302" s="243"/>
    </row>
    <row r="303" spans="1:3">
      <c r="A303" s="595"/>
      <c r="B303" s="242"/>
      <c r="C303" s="243"/>
    </row>
    <row r="304" spans="1:3">
      <c r="A304" s="595"/>
      <c r="B304" s="242"/>
      <c r="C304" s="243"/>
    </row>
    <row r="305" spans="1:3">
      <c r="A305" s="595"/>
      <c r="B305" s="242"/>
      <c r="C305" s="243"/>
    </row>
    <row r="306" spans="1:3">
      <c r="A306" s="595"/>
      <c r="B306" s="242"/>
      <c r="C306" s="243"/>
    </row>
    <row r="307" spans="1:3">
      <c r="A307" s="595"/>
      <c r="B307" s="242"/>
      <c r="C307" s="243"/>
    </row>
    <row r="308" spans="1:3">
      <c r="A308" s="595"/>
      <c r="B308" s="242"/>
      <c r="C308" s="243"/>
    </row>
    <row r="309" spans="1:3">
      <c r="A309" s="595"/>
      <c r="B309" s="242"/>
      <c r="C309" s="243"/>
    </row>
    <row r="310" spans="1:3">
      <c r="A310" s="595"/>
      <c r="B310" s="242"/>
      <c r="C310" s="243"/>
    </row>
    <row r="311" spans="1:3">
      <c r="A311" s="595"/>
      <c r="B311" s="242"/>
      <c r="C311" s="243"/>
    </row>
    <row r="312" spans="1:3">
      <c r="A312" s="595"/>
      <c r="B312" s="242"/>
      <c r="C312" s="243"/>
    </row>
    <row r="313" spans="1:3">
      <c r="A313" s="595"/>
      <c r="B313" s="242"/>
      <c r="C313" s="243"/>
    </row>
    <row r="314" spans="1:3">
      <c r="A314" s="595"/>
      <c r="B314" s="242"/>
      <c r="C314" s="243"/>
    </row>
    <row r="315" spans="1:3">
      <c r="A315" s="595"/>
      <c r="B315" s="242"/>
      <c r="C315" s="243"/>
    </row>
    <row r="316" spans="1:3">
      <c r="A316" s="595"/>
      <c r="B316" s="242"/>
      <c r="C316" s="243"/>
    </row>
    <row r="317" spans="1:3">
      <c r="A317" s="595"/>
      <c r="B317" s="242"/>
      <c r="C317" s="243"/>
    </row>
    <row r="318" spans="1:3">
      <c r="A318" s="595"/>
      <c r="B318" s="242"/>
      <c r="C318" s="243"/>
    </row>
    <row r="319" spans="1:3">
      <c r="A319" s="595"/>
      <c r="B319" s="242"/>
      <c r="C319" s="243"/>
    </row>
    <row r="320" spans="1:3">
      <c r="A320" s="595"/>
      <c r="B320" s="242"/>
      <c r="C320" s="243"/>
    </row>
    <row r="321" spans="1:3">
      <c r="A321" s="595"/>
      <c r="B321" s="242"/>
      <c r="C321" s="243"/>
    </row>
    <row r="322" spans="1:3">
      <c r="A322" s="595"/>
      <c r="B322" s="242"/>
      <c r="C322" s="243"/>
    </row>
    <row r="323" spans="1:3">
      <c r="A323" s="595"/>
      <c r="B323" s="242"/>
      <c r="C323" s="243"/>
    </row>
    <row r="324" spans="1:3">
      <c r="A324" s="595"/>
      <c r="B324" s="242"/>
      <c r="C324" s="243"/>
    </row>
    <row r="325" spans="1:3">
      <c r="A325" s="595"/>
      <c r="B325" s="242"/>
      <c r="C325" s="243"/>
    </row>
    <row r="326" spans="1:3">
      <c r="A326" s="595"/>
      <c r="B326" s="242"/>
      <c r="C326" s="243"/>
    </row>
    <row r="327" spans="1:3">
      <c r="A327" s="595"/>
      <c r="B327" s="242"/>
      <c r="C327" s="243"/>
    </row>
    <row r="328" spans="1:3">
      <c r="A328" s="595"/>
      <c r="B328" s="242"/>
      <c r="C328" s="243"/>
    </row>
    <row r="329" spans="1:3">
      <c r="A329" s="595"/>
      <c r="B329" s="242"/>
      <c r="C329" s="243"/>
    </row>
    <row r="330" spans="1:3">
      <c r="A330" s="595"/>
      <c r="B330" s="242"/>
      <c r="C330" s="243"/>
    </row>
    <row r="331" spans="1:3">
      <c r="A331" s="595"/>
      <c r="B331" s="242"/>
      <c r="C331" s="243"/>
    </row>
    <row r="332" spans="1:3">
      <c r="A332" s="595"/>
      <c r="B332" s="242"/>
      <c r="C332" s="243"/>
    </row>
    <row r="333" spans="1:3">
      <c r="A333" s="595"/>
      <c r="B333" s="242"/>
      <c r="C333" s="243"/>
    </row>
    <row r="334" spans="1:3">
      <c r="A334" s="595"/>
      <c r="B334" s="242"/>
      <c r="C334" s="243"/>
    </row>
    <row r="335" spans="1:3">
      <c r="A335" s="595"/>
      <c r="B335" s="242"/>
      <c r="C335" s="243"/>
    </row>
    <row r="336" spans="1:3">
      <c r="A336" s="595"/>
      <c r="B336" s="242"/>
      <c r="C336" s="243"/>
    </row>
    <row r="337" spans="1:3">
      <c r="A337" s="595"/>
      <c r="B337" s="242"/>
      <c r="C337" s="243"/>
    </row>
    <row r="338" spans="1:3">
      <c r="A338" s="595"/>
      <c r="B338" s="242"/>
      <c r="C338" s="243"/>
    </row>
    <row r="339" spans="1:3">
      <c r="A339" s="595"/>
      <c r="B339" s="242"/>
      <c r="C339" s="243"/>
    </row>
    <row r="340" spans="1:3">
      <c r="A340" s="595"/>
      <c r="B340" s="242"/>
      <c r="C340" s="243"/>
    </row>
    <row r="341" spans="1:3">
      <c r="A341" s="595"/>
      <c r="B341" s="242"/>
      <c r="C341" s="243"/>
    </row>
    <row r="342" spans="1:3">
      <c r="A342" s="595"/>
      <c r="B342" s="242"/>
      <c r="C342" s="243"/>
    </row>
    <row r="343" spans="1:3">
      <c r="A343" s="595"/>
      <c r="B343" s="242"/>
      <c r="C343" s="243"/>
    </row>
    <row r="344" spans="1:3">
      <c r="A344" s="595"/>
      <c r="B344" s="242"/>
      <c r="C344" s="243"/>
    </row>
    <row r="345" spans="1:3">
      <c r="A345" s="595"/>
      <c r="B345" s="242"/>
      <c r="C345" s="243"/>
    </row>
    <row r="346" spans="1:3">
      <c r="A346" s="595"/>
      <c r="B346" s="242"/>
      <c r="C346" s="243"/>
    </row>
    <row r="347" spans="1:3">
      <c r="A347" s="595"/>
      <c r="B347" s="242"/>
      <c r="C347" s="243"/>
    </row>
    <row r="348" spans="1:3">
      <c r="A348" s="595"/>
      <c r="B348" s="242"/>
      <c r="C348" s="243"/>
    </row>
    <row r="349" spans="1:3">
      <c r="A349" s="595"/>
      <c r="B349" s="242"/>
      <c r="C349" s="243"/>
    </row>
    <row r="350" spans="1:3">
      <c r="A350" s="595"/>
      <c r="B350" s="242"/>
      <c r="C350" s="243"/>
    </row>
    <row r="351" spans="1:3">
      <c r="A351" s="595"/>
      <c r="B351" s="242"/>
      <c r="C351" s="243"/>
    </row>
    <row r="352" spans="1:3">
      <c r="A352" s="595"/>
      <c r="B352" s="242"/>
      <c r="C352" s="243"/>
    </row>
    <row r="353" spans="1:3">
      <c r="A353" s="595"/>
      <c r="B353" s="242"/>
      <c r="C353" s="243"/>
    </row>
    <row r="354" spans="1:3">
      <c r="A354" s="595"/>
      <c r="B354" s="242"/>
      <c r="C354" s="243"/>
    </row>
  </sheetData>
  <mergeCells count="3">
    <mergeCell ref="L4:M4"/>
    <mergeCell ref="L5:M5"/>
    <mergeCell ref="L6:M6"/>
  </mergeCells>
  <pageMargins left="0.78740157499999996" right="0.78740157499999996" top="0.984251969" bottom="0.984251969" header="0.49212598499999999" footer="0.49212598499999999"/>
  <pageSetup paperSize="9" orientation="portrait" r:id="rId1"/>
  <headerFooter alignWithMargins="0"/>
  <ignoredErrors>
    <ignoredError sqref="J5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Plan11">
    <tabColor theme="9" tint="-0.499984740745262"/>
    <pageSetUpPr fitToPage="1"/>
  </sheetPr>
  <dimension ref="A1:AX96"/>
  <sheetViews>
    <sheetView showZeros="0" zoomScaleNormal="100" zoomScaleSheetLayoutView="100" workbookViewId="0">
      <selection activeCell="E12" sqref="E12"/>
    </sheetView>
  </sheetViews>
  <sheetFormatPr defaultRowHeight="12.75"/>
  <cols>
    <col min="1" max="1" width="2.5703125" style="616" customWidth="1"/>
    <col min="2" max="3" width="2.5703125" style="142" customWidth="1"/>
    <col min="4" max="4" width="61.85546875" style="142" customWidth="1"/>
    <col min="5" max="5" width="10.28515625" style="142" bestFit="1" customWidth="1"/>
    <col min="6" max="6" width="19.5703125" style="357" customWidth="1"/>
    <col min="7" max="7" width="16.42578125" style="353" customWidth="1"/>
    <col min="8" max="8" width="9.140625" style="142"/>
    <col min="9" max="9" width="11.42578125" style="142" bestFit="1" customWidth="1"/>
    <col min="10" max="13" width="9.140625" style="142"/>
    <col min="14" max="14" width="16.85546875" style="142" customWidth="1"/>
    <col min="15" max="15" width="8.28515625" style="142" customWidth="1"/>
    <col min="16" max="16" width="3.5703125" style="142" customWidth="1"/>
    <col min="17" max="17" width="5.7109375" style="410" customWidth="1"/>
    <col min="18" max="263" width="9.140625" style="142"/>
    <col min="264" max="264" width="55.7109375" style="142" bestFit="1" customWidth="1"/>
    <col min="265" max="265" width="10.28515625" style="142" bestFit="1" customWidth="1"/>
    <col min="266" max="266" width="13.85546875" style="142" customWidth="1"/>
    <col min="267" max="267" width="15.85546875" style="142" customWidth="1"/>
    <col min="268" max="268" width="9.140625" style="142"/>
    <col min="269" max="269" width="11.42578125" style="142" bestFit="1" customWidth="1"/>
    <col min="270" max="519" width="9.140625" style="142"/>
    <col min="520" max="520" width="55.7109375" style="142" bestFit="1" customWidth="1"/>
    <col min="521" max="521" width="10.28515625" style="142" bestFit="1" customWidth="1"/>
    <col min="522" max="522" width="13.85546875" style="142" customWidth="1"/>
    <col min="523" max="523" width="15.85546875" style="142" customWidth="1"/>
    <col min="524" max="524" width="9.140625" style="142"/>
    <col min="525" max="525" width="11.42578125" style="142" bestFit="1" customWidth="1"/>
    <col min="526" max="775" width="9.140625" style="142"/>
    <col min="776" max="776" width="55.7109375" style="142" bestFit="1" customWidth="1"/>
    <col min="777" max="777" width="10.28515625" style="142" bestFit="1" customWidth="1"/>
    <col min="778" max="778" width="13.85546875" style="142" customWidth="1"/>
    <col min="779" max="779" width="15.85546875" style="142" customWidth="1"/>
    <col min="780" max="780" width="9.140625" style="142"/>
    <col min="781" max="781" width="11.42578125" style="142" bestFit="1" customWidth="1"/>
    <col min="782" max="1031" width="9.140625" style="142"/>
    <col min="1032" max="1032" width="55.7109375" style="142" bestFit="1" customWidth="1"/>
    <col min="1033" max="1033" width="10.28515625" style="142" bestFit="1" customWidth="1"/>
    <col min="1034" max="1034" width="13.85546875" style="142" customWidth="1"/>
    <col min="1035" max="1035" width="15.85546875" style="142" customWidth="1"/>
    <col min="1036" max="1036" width="9.140625" style="142"/>
    <col min="1037" max="1037" width="11.42578125" style="142" bestFit="1" customWidth="1"/>
    <col min="1038" max="1287" width="9.140625" style="142"/>
    <col min="1288" max="1288" width="55.7109375" style="142" bestFit="1" customWidth="1"/>
    <col min="1289" max="1289" width="10.28515625" style="142" bestFit="1" customWidth="1"/>
    <col min="1290" max="1290" width="13.85546875" style="142" customWidth="1"/>
    <col min="1291" max="1291" width="15.85546875" style="142" customWidth="1"/>
    <col min="1292" max="1292" width="9.140625" style="142"/>
    <col min="1293" max="1293" width="11.42578125" style="142" bestFit="1" customWidth="1"/>
    <col min="1294" max="1543" width="9.140625" style="142"/>
    <col min="1544" max="1544" width="55.7109375" style="142" bestFit="1" customWidth="1"/>
    <col min="1545" max="1545" width="10.28515625" style="142" bestFit="1" customWidth="1"/>
    <col min="1546" max="1546" width="13.85546875" style="142" customWidth="1"/>
    <col min="1547" max="1547" width="15.85546875" style="142" customWidth="1"/>
    <col min="1548" max="1548" width="9.140625" style="142"/>
    <col min="1549" max="1549" width="11.42578125" style="142" bestFit="1" customWidth="1"/>
    <col min="1550" max="1799" width="9.140625" style="142"/>
    <col min="1800" max="1800" width="55.7109375" style="142" bestFit="1" customWidth="1"/>
    <col min="1801" max="1801" width="10.28515625" style="142" bestFit="1" customWidth="1"/>
    <col min="1802" max="1802" width="13.85546875" style="142" customWidth="1"/>
    <col min="1803" max="1803" width="15.85546875" style="142" customWidth="1"/>
    <col min="1804" max="1804" width="9.140625" style="142"/>
    <col min="1805" max="1805" width="11.42578125" style="142" bestFit="1" customWidth="1"/>
    <col min="1806" max="2055" width="9.140625" style="142"/>
    <col min="2056" max="2056" width="55.7109375" style="142" bestFit="1" customWidth="1"/>
    <col min="2057" max="2057" width="10.28515625" style="142" bestFit="1" customWidth="1"/>
    <col min="2058" max="2058" width="13.85546875" style="142" customWidth="1"/>
    <col min="2059" max="2059" width="15.85546875" style="142" customWidth="1"/>
    <col min="2060" max="2060" width="9.140625" style="142"/>
    <col min="2061" max="2061" width="11.42578125" style="142" bestFit="1" customWidth="1"/>
    <col min="2062" max="2311" width="9.140625" style="142"/>
    <col min="2312" max="2312" width="55.7109375" style="142" bestFit="1" customWidth="1"/>
    <col min="2313" max="2313" width="10.28515625" style="142" bestFit="1" customWidth="1"/>
    <col min="2314" max="2314" width="13.85546875" style="142" customWidth="1"/>
    <col min="2315" max="2315" width="15.85546875" style="142" customWidth="1"/>
    <col min="2316" max="2316" width="9.140625" style="142"/>
    <col min="2317" max="2317" width="11.42578125" style="142" bestFit="1" customWidth="1"/>
    <col min="2318" max="2567" width="9.140625" style="142"/>
    <col min="2568" max="2568" width="55.7109375" style="142" bestFit="1" customWidth="1"/>
    <col min="2569" max="2569" width="10.28515625" style="142" bestFit="1" customWidth="1"/>
    <col min="2570" max="2570" width="13.85546875" style="142" customWidth="1"/>
    <col min="2571" max="2571" width="15.85546875" style="142" customWidth="1"/>
    <col min="2572" max="2572" width="9.140625" style="142"/>
    <col min="2573" max="2573" width="11.42578125" style="142" bestFit="1" customWidth="1"/>
    <col min="2574" max="2823" width="9.140625" style="142"/>
    <col min="2824" max="2824" width="55.7109375" style="142" bestFit="1" customWidth="1"/>
    <col min="2825" max="2825" width="10.28515625" style="142" bestFit="1" customWidth="1"/>
    <col min="2826" max="2826" width="13.85546875" style="142" customWidth="1"/>
    <col min="2827" max="2827" width="15.85546875" style="142" customWidth="1"/>
    <col min="2828" max="2828" width="9.140625" style="142"/>
    <col min="2829" max="2829" width="11.42578125" style="142" bestFit="1" customWidth="1"/>
    <col min="2830" max="3079" width="9.140625" style="142"/>
    <col min="3080" max="3080" width="55.7109375" style="142" bestFit="1" customWidth="1"/>
    <col min="3081" max="3081" width="10.28515625" style="142" bestFit="1" customWidth="1"/>
    <col min="3082" max="3082" width="13.85546875" style="142" customWidth="1"/>
    <col min="3083" max="3083" width="15.85546875" style="142" customWidth="1"/>
    <col min="3084" max="3084" width="9.140625" style="142"/>
    <col min="3085" max="3085" width="11.42578125" style="142" bestFit="1" customWidth="1"/>
    <col min="3086" max="3335" width="9.140625" style="142"/>
    <col min="3336" max="3336" width="55.7109375" style="142" bestFit="1" customWidth="1"/>
    <col min="3337" max="3337" width="10.28515625" style="142" bestFit="1" customWidth="1"/>
    <col min="3338" max="3338" width="13.85546875" style="142" customWidth="1"/>
    <col min="3339" max="3339" width="15.85546875" style="142" customWidth="1"/>
    <col min="3340" max="3340" width="9.140625" style="142"/>
    <col min="3341" max="3341" width="11.42578125" style="142" bestFit="1" customWidth="1"/>
    <col min="3342" max="3591" width="9.140625" style="142"/>
    <col min="3592" max="3592" width="55.7109375" style="142" bestFit="1" customWidth="1"/>
    <col min="3593" max="3593" width="10.28515625" style="142" bestFit="1" customWidth="1"/>
    <col min="3594" max="3594" width="13.85546875" style="142" customWidth="1"/>
    <col min="3595" max="3595" width="15.85546875" style="142" customWidth="1"/>
    <col min="3596" max="3596" width="9.140625" style="142"/>
    <col min="3597" max="3597" width="11.42578125" style="142" bestFit="1" customWidth="1"/>
    <col min="3598" max="3847" width="9.140625" style="142"/>
    <col min="3848" max="3848" width="55.7109375" style="142" bestFit="1" customWidth="1"/>
    <col min="3849" max="3849" width="10.28515625" style="142" bestFit="1" customWidth="1"/>
    <col min="3850" max="3850" width="13.85546875" style="142" customWidth="1"/>
    <col min="3851" max="3851" width="15.85546875" style="142" customWidth="1"/>
    <col min="3852" max="3852" width="9.140625" style="142"/>
    <col min="3853" max="3853" width="11.42578125" style="142" bestFit="1" customWidth="1"/>
    <col min="3854" max="4103" width="9.140625" style="142"/>
    <col min="4104" max="4104" width="55.7109375" style="142" bestFit="1" customWidth="1"/>
    <col min="4105" max="4105" width="10.28515625" style="142" bestFit="1" customWidth="1"/>
    <col min="4106" max="4106" width="13.85546875" style="142" customWidth="1"/>
    <col min="4107" max="4107" width="15.85546875" style="142" customWidth="1"/>
    <col min="4108" max="4108" width="9.140625" style="142"/>
    <col min="4109" max="4109" width="11.42578125" style="142" bestFit="1" customWidth="1"/>
    <col min="4110" max="4359" width="9.140625" style="142"/>
    <col min="4360" max="4360" width="55.7109375" style="142" bestFit="1" customWidth="1"/>
    <col min="4361" max="4361" width="10.28515625" style="142" bestFit="1" customWidth="1"/>
    <col min="4362" max="4362" width="13.85546875" style="142" customWidth="1"/>
    <col min="4363" max="4363" width="15.85546875" style="142" customWidth="1"/>
    <col min="4364" max="4364" width="9.140625" style="142"/>
    <col min="4365" max="4365" width="11.42578125" style="142" bestFit="1" customWidth="1"/>
    <col min="4366" max="4615" width="9.140625" style="142"/>
    <col min="4616" max="4616" width="55.7109375" style="142" bestFit="1" customWidth="1"/>
    <col min="4617" max="4617" width="10.28515625" style="142" bestFit="1" customWidth="1"/>
    <col min="4618" max="4618" width="13.85546875" style="142" customWidth="1"/>
    <col min="4619" max="4619" width="15.85546875" style="142" customWidth="1"/>
    <col min="4620" max="4620" width="9.140625" style="142"/>
    <col min="4621" max="4621" width="11.42578125" style="142" bestFit="1" customWidth="1"/>
    <col min="4622" max="4871" width="9.140625" style="142"/>
    <col min="4872" max="4872" width="55.7109375" style="142" bestFit="1" customWidth="1"/>
    <col min="4873" max="4873" width="10.28515625" style="142" bestFit="1" customWidth="1"/>
    <col min="4874" max="4874" width="13.85546875" style="142" customWidth="1"/>
    <col min="4875" max="4875" width="15.85546875" style="142" customWidth="1"/>
    <col min="4876" max="4876" width="9.140625" style="142"/>
    <col min="4877" max="4877" width="11.42578125" style="142" bestFit="1" customWidth="1"/>
    <col min="4878" max="5127" width="9.140625" style="142"/>
    <col min="5128" max="5128" width="55.7109375" style="142" bestFit="1" customWidth="1"/>
    <col min="5129" max="5129" width="10.28515625" style="142" bestFit="1" customWidth="1"/>
    <col min="5130" max="5130" width="13.85546875" style="142" customWidth="1"/>
    <col min="5131" max="5131" width="15.85546875" style="142" customWidth="1"/>
    <col min="5132" max="5132" width="9.140625" style="142"/>
    <col min="5133" max="5133" width="11.42578125" style="142" bestFit="1" customWidth="1"/>
    <col min="5134" max="5383" width="9.140625" style="142"/>
    <col min="5384" max="5384" width="55.7109375" style="142" bestFit="1" customWidth="1"/>
    <col min="5385" max="5385" width="10.28515625" style="142" bestFit="1" customWidth="1"/>
    <col min="5386" max="5386" width="13.85546875" style="142" customWidth="1"/>
    <col min="5387" max="5387" width="15.85546875" style="142" customWidth="1"/>
    <col min="5388" max="5388" width="9.140625" style="142"/>
    <col min="5389" max="5389" width="11.42578125" style="142" bestFit="1" customWidth="1"/>
    <col min="5390" max="5639" width="9.140625" style="142"/>
    <col min="5640" max="5640" width="55.7109375" style="142" bestFit="1" customWidth="1"/>
    <col min="5641" max="5641" width="10.28515625" style="142" bestFit="1" customWidth="1"/>
    <col min="5642" max="5642" width="13.85546875" style="142" customWidth="1"/>
    <col min="5643" max="5643" width="15.85546875" style="142" customWidth="1"/>
    <col min="5644" max="5644" width="9.140625" style="142"/>
    <col min="5645" max="5645" width="11.42578125" style="142" bestFit="1" customWidth="1"/>
    <col min="5646" max="5895" width="9.140625" style="142"/>
    <col min="5896" max="5896" width="55.7109375" style="142" bestFit="1" customWidth="1"/>
    <col min="5897" max="5897" width="10.28515625" style="142" bestFit="1" customWidth="1"/>
    <col min="5898" max="5898" width="13.85546875" style="142" customWidth="1"/>
    <col min="5899" max="5899" width="15.85546875" style="142" customWidth="1"/>
    <col min="5900" max="5900" width="9.140625" style="142"/>
    <col min="5901" max="5901" width="11.42578125" style="142" bestFit="1" customWidth="1"/>
    <col min="5902" max="6151" width="9.140625" style="142"/>
    <col min="6152" max="6152" width="55.7109375" style="142" bestFit="1" customWidth="1"/>
    <col min="6153" max="6153" width="10.28515625" style="142" bestFit="1" customWidth="1"/>
    <col min="6154" max="6154" width="13.85546875" style="142" customWidth="1"/>
    <col min="6155" max="6155" width="15.85546875" style="142" customWidth="1"/>
    <col min="6156" max="6156" width="9.140625" style="142"/>
    <col min="6157" max="6157" width="11.42578125" style="142" bestFit="1" customWidth="1"/>
    <col min="6158" max="6407" width="9.140625" style="142"/>
    <col min="6408" max="6408" width="55.7109375" style="142" bestFit="1" customWidth="1"/>
    <col min="6409" max="6409" width="10.28515625" style="142" bestFit="1" customWidth="1"/>
    <col min="6410" max="6410" width="13.85546875" style="142" customWidth="1"/>
    <col min="6411" max="6411" width="15.85546875" style="142" customWidth="1"/>
    <col min="6412" max="6412" width="9.140625" style="142"/>
    <col min="6413" max="6413" width="11.42578125" style="142" bestFit="1" customWidth="1"/>
    <col min="6414" max="6663" width="9.140625" style="142"/>
    <col min="6664" max="6664" width="55.7109375" style="142" bestFit="1" customWidth="1"/>
    <col min="6665" max="6665" width="10.28515625" style="142" bestFit="1" customWidth="1"/>
    <col min="6666" max="6666" width="13.85546875" style="142" customWidth="1"/>
    <col min="6667" max="6667" width="15.85546875" style="142" customWidth="1"/>
    <col min="6668" max="6668" width="9.140625" style="142"/>
    <col min="6669" max="6669" width="11.42578125" style="142" bestFit="1" customWidth="1"/>
    <col min="6670" max="6919" width="9.140625" style="142"/>
    <col min="6920" max="6920" width="55.7109375" style="142" bestFit="1" customWidth="1"/>
    <col min="6921" max="6921" width="10.28515625" style="142" bestFit="1" customWidth="1"/>
    <col min="6922" max="6922" width="13.85546875" style="142" customWidth="1"/>
    <col min="6923" max="6923" width="15.85546875" style="142" customWidth="1"/>
    <col min="6924" max="6924" width="9.140625" style="142"/>
    <col min="6925" max="6925" width="11.42578125" style="142" bestFit="1" customWidth="1"/>
    <col min="6926" max="7175" width="9.140625" style="142"/>
    <col min="7176" max="7176" width="55.7109375" style="142" bestFit="1" customWidth="1"/>
    <col min="7177" max="7177" width="10.28515625" style="142" bestFit="1" customWidth="1"/>
    <col min="7178" max="7178" width="13.85546875" style="142" customWidth="1"/>
    <col min="7179" max="7179" width="15.85546875" style="142" customWidth="1"/>
    <col min="7180" max="7180" width="9.140625" style="142"/>
    <col min="7181" max="7181" width="11.42578125" style="142" bestFit="1" customWidth="1"/>
    <col min="7182" max="7431" width="9.140625" style="142"/>
    <col min="7432" max="7432" width="55.7109375" style="142" bestFit="1" customWidth="1"/>
    <col min="7433" max="7433" width="10.28515625" style="142" bestFit="1" customWidth="1"/>
    <col min="7434" max="7434" width="13.85546875" style="142" customWidth="1"/>
    <col min="7435" max="7435" width="15.85546875" style="142" customWidth="1"/>
    <col min="7436" max="7436" width="9.140625" style="142"/>
    <col min="7437" max="7437" width="11.42578125" style="142" bestFit="1" customWidth="1"/>
    <col min="7438" max="7687" width="9.140625" style="142"/>
    <col min="7688" max="7688" width="55.7109375" style="142" bestFit="1" customWidth="1"/>
    <col min="7689" max="7689" width="10.28515625" style="142" bestFit="1" customWidth="1"/>
    <col min="7690" max="7690" width="13.85546875" style="142" customWidth="1"/>
    <col min="7691" max="7691" width="15.85546875" style="142" customWidth="1"/>
    <col min="7692" max="7692" width="9.140625" style="142"/>
    <col min="7693" max="7693" width="11.42578125" style="142" bestFit="1" customWidth="1"/>
    <col min="7694" max="7943" width="9.140625" style="142"/>
    <col min="7944" max="7944" width="55.7109375" style="142" bestFit="1" customWidth="1"/>
    <col min="7945" max="7945" width="10.28515625" style="142" bestFit="1" customWidth="1"/>
    <col min="7946" max="7946" width="13.85546875" style="142" customWidth="1"/>
    <col min="7947" max="7947" width="15.85546875" style="142" customWidth="1"/>
    <col min="7948" max="7948" width="9.140625" style="142"/>
    <col min="7949" max="7949" width="11.42578125" style="142" bestFit="1" customWidth="1"/>
    <col min="7950" max="8199" width="9.140625" style="142"/>
    <col min="8200" max="8200" width="55.7109375" style="142" bestFit="1" customWidth="1"/>
    <col min="8201" max="8201" width="10.28515625" style="142" bestFit="1" customWidth="1"/>
    <col min="8202" max="8202" width="13.85546875" style="142" customWidth="1"/>
    <col min="8203" max="8203" width="15.85546875" style="142" customWidth="1"/>
    <col min="8204" max="8204" width="9.140625" style="142"/>
    <col min="8205" max="8205" width="11.42578125" style="142" bestFit="1" customWidth="1"/>
    <col min="8206" max="8455" width="9.140625" style="142"/>
    <col min="8456" max="8456" width="55.7109375" style="142" bestFit="1" customWidth="1"/>
    <col min="8457" max="8457" width="10.28515625" style="142" bestFit="1" customWidth="1"/>
    <col min="8458" max="8458" width="13.85546875" style="142" customWidth="1"/>
    <col min="8459" max="8459" width="15.85546875" style="142" customWidth="1"/>
    <col min="8460" max="8460" width="9.140625" style="142"/>
    <col min="8461" max="8461" width="11.42578125" style="142" bestFit="1" customWidth="1"/>
    <col min="8462" max="8711" width="9.140625" style="142"/>
    <col min="8712" max="8712" width="55.7109375" style="142" bestFit="1" customWidth="1"/>
    <col min="8713" max="8713" width="10.28515625" style="142" bestFit="1" customWidth="1"/>
    <col min="8714" max="8714" width="13.85546875" style="142" customWidth="1"/>
    <col min="8715" max="8715" width="15.85546875" style="142" customWidth="1"/>
    <col min="8716" max="8716" width="9.140625" style="142"/>
    <col min="8717" max="8717" width="11.42578125" style="142" bestFit="1" customWidth="1"/>
    <col min="8718" max="8967" width="9.140625" style="142"/>
    <col min="8968" max="8968" width="55.7109375" style="142" bestFit="1" customWidth="1"/>
    <col min="8969" max="8969" width="10.28515625" style="142" bestFit="1" customWidth="1"/>
    <col min="8970" max="8970" width="13.85546875" style="142" customWidth="1"/>
    <col min="8971" max="8971" width="15.85546875" style="142" customWidth="1"/>
    <col min="8972" max="8972" width="9.140625" style="142"/>
    <col min="8973" max="8973" width="11.42578125" style="142" bestFit="1" customWidth="1"/>
    <col min="8974" max="9223" width="9.140625" style="142"/>
    <col min="9224" max="9224" width="55.7109375" style="142" bestFit="1" customWidth="1"/>
    <col min="9225" max="9225" width="10.28515625" style="142" bestFit="1" customWidth="1"/>
    <col min="9226" max="9226" width="13.85546875" style="142" customWidth="1"/>
    <col min="9227" max="9227" width="15.85546875" style="142" customWidth="1"/>
    <col min="9228" max="9228" width="9.140625" style="142"/>
    <col min="9229" max="9229" width="11.42578125" style="142" bestFit="1" customWidth="1"/>
    <col min="9230" max="9479" width="9.140625" style="142"/>
    <col min="9480" max="9480" width="55.7109375" style="142" bestFit="1" customWidth="1"/>
    <col min="9481" max="9481" width="10.28515625" style="142" bestFit="1" customWidth="1"/>
    <col min="9482" max="9482" width="13.85546875" style="142" customWidth="1"/>
    <col min="9483" max="9483" width="15.85546875" style="142" customWidth="1"/>
    <col min="9484" max="9484" width="9.140625" style="142"/>
    <col min="9485" max="9485" width="11.42578125" style="142" bestFit="1" customWidth="1"/>
    <col min="9486" max="9735" width="9.140625" style="142"/>
    <col min="9736" max="9736" width="55.7109375" style="142" bestFit="1" customWidth="1"/>
    <col min="9737" max="9737" width="10.28515625" style="142" bestFit="1" customWidth="1"/>
    <col min="9738" max="9738" width="13.85546875" style="142" customWidth="1"/>
    <col min="9739" max="9739" width="15.85546875" style="142" customWidth="1"/>
    <col min="9740" max="9740" width="9.140625" style="142"/>
    <col min="9741" max="9741" width="11.42578125" style="142" bestFit="1" customWidth="1"/>
    <col min="9742" max="9991" width="9.140625" style="142"/>
    <col min="9992" max="9992" width="55.7109375" style="142" bestFit="1" customWidth="1"/>
    <col min="9993" max="9993" width="10.28515625" style="142" bestFit="1" customWidth="1"/>
    <col min="9994" max="9994" width="13.85546875" style="142" customWidth="1"/>
    <col min="9995" max="9995" width="15.85546875" style="142" customWidth="1"/>
    <col min="9996" max="9996" width="9.140625" style="142"/>
    <col min="9997" max="9997" width="11.42578125" style="142" bestFit="1" customWidth="1"/>
    <col min="9998" max="10247" width="9.140625" style="142"/>
    <col min="10248" max="10248" width="55.7109375" style="142" bestFit="1" customWidth="1"/>
    <col min="10249" max="10249" width="10.28515625" style="142" bestFit="1" customWidth="1"/>
    <col min="10250" max="10250" width="13.85546875" style="142" customWidth="1"/>
    <col min="10251" max="10251" width="15.85546875" style="142" customWidth="1"/>
    <col min="10252" max="10252" width="9.140625" style="142"/>
    <col min="10253" max="10253" width="11.42578125" style="142" bestFit="1" customWidth="1"/>
    <col min="10254" max="10503" width="9.140625" style="142"/>
    <col min="10504" max="10504" width="55.7109375" style="142" bestFit="1" customWidth="1"/>
    <col min="10505" max="10505" width="10.28515625" style="142" bestFit="1" customWidth="1"/>
    <col min="10506" max="10506" width="13.85546875" style="142" customWidth="1"/>
    <col min="10507" max="10507" width="15.85546875" style="142" customWidth="1"/>
    <col min="10508" max="10508" width="9.140625" style="142"/>
    <col min="10509" max="10509" width="11.42578125" style="142" bestFit="1" customWidth="1"/>
    <col min="10510" max="10759" width="9.140625" style="142"/>
    <col min="10760" max="10760" width="55.7109375" style="142" bestFit="1" customWidth="1"/>
    <col min="10761" max="10761" width="10.28515625" style="142" bestFit="1" customWidth="1"/>
    <col min="10762" max="10762" width="13.85546875" style="142" customWidth="1"/>
    <col min="10763" max="10763" width="15.85546875" style="142" customWidth="1"/>
    <col min="10764" max="10764" width="9.140625" style="142"/>
    <col min="10765" max="10765" width="11.42578125" style="142" bestFit="1" customWidth="1"/>
    <col min="10766" max="11015" width="9.140625" style="142"/>
    <col min="11016" max="11016" width="55.7109375" style="142" bestFit="1" customWidth="1"/>
    <col min="11017" max="11017" width="10.28515625" style="142" bestFit="1" customWidth="1"/>
    <col min="11018" max="11018" width="13.85546875" style="142" customWidth="1"/>
    <col min="11019" max="11019" width="15.85546875" style="142" customWidth="1"/>
    <col min="11020" max="11020" width="9.140625" style="142"/>
    <col min="11021" max="11021" width="11.42578125" style="142" bestFit="1" customWidth="1"/>
    <col min="11022" max="11271" width="9.140625" style="142"/>
    <col min="11272" max="11272" width="55.7109375" style="142" bestFit="1" customWidth="1"/>
    <col min="11273" max="11273" width="10.28515625" style="142" bestFit="1" customWidth="1"/>
    <col min="11274" max="11274" width="13.85546875" style="142" customWidth="1"/>
    <col min="11275" max="11275" width="15.85546875" style="142" customWidth="1"/>
    <col min="11276" max="11276" width="9.140625" style="142"/>
    <col min="11277" max="11277" width="11.42578125" style="142" bestFit="1" customWidth="1"/>
    <col min="11278" max="11527" width="9.140625" style="142"/>
    <col min="11528" max="11528" width="55.7109375" style="142" bestFit="1" customWidth="1"/>
    <col min="11529" max="11529" width="10.28515625" style="142" bestFit="1" customWidth="1"/>
    <col min="11530" max="11530" width="13.85546875" style="142" customWidth="1"/>
    <col min="11531" max="11531" width="15.85546875" style="142" customWidth="1"/>
    <col min="11532" max="11532" width="9.140625" style="142"/>
    <col min="11533" max="11533" width="11.42578125" style="142" bestFit="1" customWidth="1"/>
    <col min="11534" max="11783" width="9.140625" style="142"/>
    <col min="11784" max="11784" width="55.7109375" style="142" bestFit="1" customWidth="1"/>
    <col min="11785" max="11785" width="10.28515625" style="142" bestFit="1" customWidth="1"/>
    <col min="11786" max="11786" width="13.85546875" style="142" customWidth="1"/>
    <col min="11787" max="11787" width="15.85546875" style="142" customWidth="1"/>
    <col min="11788" max="11788" width="9.140625" style="142"/>
    <col min="11789" max="11789" width="11.42578125" style="142" bestFit="1" customWidth="1"/>
    <col min="11790" max="12039" width="9.140625" style="142"/>
    <col min="12040" max="12040" width="55.7109375" style="142" bestFit="1" customWidth="1"/>
    <col min="12041" max="12041" width="10.28515625" style="142" bestFit="1" customWidth="1"/>
    <col min="12042" max="12042" width="13.85546875" style="142" customWidth="1"/>
    <col min="12043" max="12043" width="15.85546875" style="142" customWidth="1"/>
    <col min="12044" max="12044" width="9.140625" style="142"/>
    <col min="12045" max="12045" width="11.42578125" style="142" bestFit="1" customWidth="1"/>
    <col min="12046" max="12295" width="9.140625" style="142"/>
    <col min="12296" max="12296" width="55.7109375" style="142" bestFit="1" customWidth="1"/>
    <col min="12297" max="12297" width="10.28515625" style="142" bestFit="1" customWidth="1"/>
    <col min="12298" max="12298" width="13.85546875" style="142" customWidth="1"/>
    <col min="12299" max="12299" width="15.85546875" style="142" customWidth="1"/>
    <col min="12300" max="12300" width="9.140625" style="142"/>
    <col min="12301" max="12301" width="11.42578125" style="142" bestFit="1" customWidth="1"/>
    <col min="12302" max="12551" width="9.140625" style="142"/>
    <col min="12552" max="12552" width="55.7109375" style="142" bestFit="1" customWidth="1"/>
    <col min="12553" max="12553" width="10.28515625" style="142" bestFit="1" customWidth="1"/>
    <col min="12554" max="12554" width="13.85546875" style="142" customWidth="1"/>
    <col min="12555" max="12555" width="15.85546875" style="142" customWidth="1"/>
    <col min="12556" max="12556" width="9.140625" style="142"/>
    <col min="12557" max="12557" width="11.42578125" style="142" bestFit="1" customWidth="1"/>
    <col min="12558" max="12807" width="9.140625" style="142"/>
    <col min="12808" max="12808" width="55.7109375" style="142" bestFit="1" customWidth="1"/>
    <col min="12809" max="12809" width="10.28515625" style="142" bestFit="1" customWidth="1"/>
    <col min="12810" max="12810" width="13.85546875" style="142" customWidth="1"/>
    <col min="12811" max="12811" width="15.85546875" style="142" customWidth="1"/>
    <col min="12812" max="12812" width="9.140625" style="142"/>
    <col min="12813" max="12813" width="11.42578125" style="142" bestFit="1" customWidth="1"/>
    <col min="12814" max="13063" width="9.140625" style="142"/>
    <col min="13064" max="13064" width="55.7109375" style="142" bestFit="1" customWidth="1"/>
    <col min="13065" max="13065" width="10.28515625" style="142" bestFit="1" customWidth="1"/>
    <col min="13066" max="13066" width="13.85546875" style="142" customWidth="1"/>
    <col min="13067" max="13067" width="15.85546875" style="142" customWidth="1"/>
    <col min="13068" max="13068" width="9.140625" style="142"/>
    <col min="13069" max="13069" width="11.42578125" style="142" bestFit="1" customWidth="1"/>
    <col min="13070" max="13319" width="9.140625" style="142"/>
    <col min="13320" max="13320" width="55.7109375" style="142" bestFit="1" customWidth="1"/>
    <col min="13321" max="13321" width="10.28515625" style="142" bestFit="1" customWidth="1"/>
    <col min="13322" max="13322" width="13.85546875" style="142" customWidth="1"/>
    <col min="13323" max="13323" width="15.85546875" style="142" customWidth="1"/>
    <col min="13324" max="13324" width="9.140625" style="142"/>
    <col min="13325" max="13325" width="11.42578125" style="142" bestFit="1" customWidth="1"/>
    <col min="13326" max="13575" width="9.140625" style="142"/>
    <col min="13576" max="13576" width="55.7109375" style="142" bestFit="1" customWidth="1"/>
    <col min="13577" max="13577" width="10.28515625" style="142" bestFit="1" customWidth="1"/>
    <col min="13578" max="13578" width="13.85546875" style="142" customWidth="1"/>
    <col min="13579" max="13579" width="15.85546875" style="142" customWidth="1"/>
    <col min="13580" max="13580" width="9.140625" style="142"/>
    <col min="13581" max="13581" width="11.42578125" style="142" bestFit="1" customWidth="1"/>
    <col min="13582" max="13831" width="9.140625" style="142"/>
    <col min="13832" max="13832" width="55.7109375" style="142" bestFit="1" customWidth="1"/>
    <col min="13833" max="13833" width="10.28515625" style="142" bestFit="1" customWidth="1"/>
    <col min="13834" max="13834" width="13.85546875" style="142" customWidth="1"/>
    <col min="13835" max="13835" width="15.85546875" style="142" customWidth="1"/>
    <col min="13836" max="13836" width="9.140625" style="142"/>
    <col min="13837" max="13837" width="11.42578125" style="142" bestFit="1" customWidth="1"/>
    <col min="13838" max="14087" width="9.140625" style="142"/>
    <col min="14088" max="14088" width="55.7109375" style="142" bestFit="1" customWidth="1"/>
    <col min="14089" max="14089" width="10.28515625" style="142" bestFit="1" customWidth="1"/>
    <col min="14090" max="14090" width="13.85546875" style="142" customWidth="1"/>
    <col min="14091" max="14091" width="15.85546875" style="142" customWidth="1"/>
    <col min="14092" max="14092" width="9.140625" style="142"/>
    <col min="14093" max="14093" width="11.42578125" style="142" bestFit="1" customWidth="1"/>
    <col min="14094" max="14343" width="9.140625" style="142"/>
    <col min="14344" max="14344" width="55.7109375" style="142" bestFit="1" customWidth="1"/>
    <col min="14345" max="14345" width="10.28515625" style="142" bestFit="1" customWidth="1"/>
    <col min="14346" max="14346" width="13.85546875" style="142" customWidth="1"/>
    <col min="14347" max="14347" width="15.85546875" style="142" customWidth="1"/>
    <col min="14348" max="14348" width="9.140625" style="142"/>
    <col min="14349" max="14349" width="11.42578125" style="142" bestFit="1" customWidth="1"/>
    <col min="14350" max="14599" width="9.140625" style="142"/>
    <col min="14600" max="14600" width="55.7109375" style="142" bestFit="1" customWidth="1"/>
    <col min="14601" max="14601" width="10.28515625" style="142" bestFit="1" customWidth="1"/>
    <col min="14602" max="14602" width="13.85546875" style="142" customWidth="1"/>
    <col min="14603" max="14603" width="15.85546875" style="142" customWidth="1"/>
    <col min="14604" max="14604" width="9.140625" style="142"/>
    <col min="14605" max="14605" width="11.42578125" style="142" bestFit="1" customWidth="1"/>
    <col min="14606" max="14855" width="9.140625" style="142"/>
    <col min="14856" max="14856" width="55.7109375" style="142" bestFit="1" customWidth="1"/>
    <col min="14857" max="14857" width="10.28515625" style="142" bestFit="1" customWidth="1"/>
    <col min="14858" max="14858" width="13.85546875" style="142" customWidth="1"/>
    <col min="14859" max="14859" width="15.85546875" style="142" customWidth="1"/>
    <col min="14860" max="14860" width="9.140625" style="142"/>
    <col min="14861" max="14861" width="11.42578125" style="142" bestFit="1" customWidth="1"/>
    <col min="14862" max="15111" width="9.140625" style="142"/>
    <col min="15112" max="15112" width="55.7109375" style="142" bestFit="1" customWidth="1"/>
    <col min="15113" max="15113" width="10.28515625" style="142" bestFit="1" customWidth="1"/>
    <col min="15114" max="15114" width="13.85546875" style="142" customWidth="1"/>
    <col min="15115" max="15115" width="15.85546875" style="142" customWidth="1"/>
    <col min="15116" max="15116" width="9.140625" style="142"/>
    <col min="15117" max="15117" width="11.42578125" style="142" bestFit="1" customWidth="1"/>
    <col min="15118" max="15367" width="9.140625" style="142"/>
    <col min="15368" max="15368" width="55.7109375" style="142" bestFit="1" customWidth="1"/>
    <col min="15369" max="15369" width="10.28515625" style="142" bestFit="1" customWidth="1"/>
    <col min="15370" max="15370" width="13.85546875" style="142" customWidth="1"/>
    <col min="15371" max="15371" width="15.85546875" style="142" customWidth="1"/>
    <col min="15372" max="15372" width="9.140625" style="142"/>
    <col min="15373" max="15373" width="11.42578125" style="142" bestFit="1" customWidth="1"/>
    <col min="15374" max="15623" width="9.140625" style="142"/>
    <col min="15624" max="15624" width="55.7109375" style="142" bestFit="1" customWidth="1"/>
    <col min="15625" max="15625" width="10.28515625" style="142" bestFit="1" customWidth="1"/>
    <col min="15626" max="15626" width="13.85546875" style="142" customWidth="1"/>
    <col min="15627" max="15627" width="15.85546875" style="142" customWidth="1"/>
    <col min="15628" max="15628" width="9.140625" style="142"/>
    <col min="15629" max="15629" width="11.42578125" style="142" bestFit="1" customWidth="1"/>
    <col min="15630" max="15879" width="9.140625" style="142"/>
    <col min="15880" max="15880" width="55.7109375" style="142" bestFit="1" customWidth="1"/>
    <col min="15881" max="15881" width="10.28515625" style="142" bestFit="1" customWidth="1"/>
    <col min="15882" max="15882" width="13.85546875" style="142" customWidth="1"/>
    <col min="15883" max="15883" width="15.85546875" style="142" customWidth="1"/>
    <col min="15884" max="15884" width="9.140625" style="142"/>
    <col min="15885" max="15885" width="11.42578125" style="142" bestFit="1" customWidth="1"/>
    <col min="15886" max="16135" width="9.140625" style="142"/>
    <col min="16136" max="16136" width="55.7109375" style="142" bestFit="1" customWidth="1"/>
    <col min="16137" max="16137" width="10.28515625" style="142" bestFit="1" customWidth="1"/>
    <col min="16138" max="16138" width="13.85546875" style="142" customWidth="1"/>
    <col min="16139" max="16139" width="15.85546875" style="142" customWidth="1"/>
    <col min="16140" max="16140" width="9.140625" style="142"/>
    <col min="16141" max="16141" width="11.42578125" style="142" bestFit="1" customWidth="1"/>
    <col min="16142" max="16384" width="9.140625" style="142"/>
  </cols>
  <sheetData>
    <row r="1" spans="1:50" s="615" customFormat="1">
      <c r="A1" s="595"/>
      <c r="B1" s="596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  <c r="P1" s="595"/>
      <c r="Q1" s="614"/>
      <c r="R1" s="595"/>
      <c r="S1" s="595"/>
      <c r="T1" s="595"/>
      <c r="U1" s="595"/>
      <c r="V1" s="595"/>
      <c r="W1" s="595"/>
      <c r="X1" s="595"/>
      <c r="Y1" s="595"/>
      <c r="Z1" s="595"/>
      <c r="AA1" s="595"/>
      <c r="AB1" s="595"/>
      <c r="AC1" s="595"/>
      <c r="AD1" s="595"/>
      <c r="AE1" s="595"/>
      <c r="AF1" s="595"/>
      <c r="AG1" s="595"/>
      <c r="AH1" s="595"/>
      <c r="AI1" s="595"/>
      <c r="AJ1" s="595"/>
      <c r="AK1" s="595"/>
      <c r="AL1" s="595"/>
      <c r="AM1" s="595"/>
      <c r="AN1" s="595"/>
      <c r="AO1" s="595"/>
      <c r="AP1" s="595"/>
      <c r="AQ1" s="595"/>
      <c r="AR1" s="595"/>
      <c r="AS1" s="595"/>
      <c r="AT1" s="595"/>
      <c r="AU1" s="595"/>
      <c r="AV1" s="595"/>
      <c r="AW1" s="595"/>
      <c r="AX1" s="595"/>
    </row>
    <row r="2" spans="1:50" s="41" customFormat="1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617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598"/>
      <c r="AI2" s="242"/>
      <c r="AJ2" s="242"/>
      <c r="AK2" s="242"/>
      <c r="AL2" s="242"/>
      <c r="AM2" s="242"/>
      <c r="AN2" s="242"/>
      <c r="AO2" s="242"/>
      <c r="AP2" s="242"/>
      <c r="AQ2" s="242"/>
      <c r="AR2" s="242"/>
      <c r="AS2" s="242"/>
      <c r="AT2" s="242"/>
      <c r="AU2" s="242"/>
      <c r="AV2" s="242"/>
      <c r="AW2" s="242"/>
      <c r="AX2" s="242"/>
    </row>
    <row r="3" spans="1:50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618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</row>
    <row r="4" spans="1:50">
      <c r="A4" s="595"/>
      <c r="B4" s="598"/>
      <c r="C4" s="599"/>
      <c r="D4" s="1038" t="s">
        <v>4</v>
      </c>
      <c r="E4" s="1039" t="s">
        <v>621</v>
      </c>
      <c r="F4" s="1040" t="s">
        <v>622</v>
      </c>
      <c r="G4" s="358"/>
      <c r="H4" s="358"/>
      <c r="I4" s="358"/>
      <c r="J4" s="358"/>
      <c r="K4" s="358"/>
      <c r="L4" s="358"/>
      <c r="M4" s="358"/>
      <c r="N4" s="358"/>
      <c r="O4" s="358" t="s">
        <v>623</v>
      </c>
      <c r="P4" s="358" t="s">
        <v>102</v>
      </c>
      <c r="Q4" s="409">
        <v>6.3</v>
      </c>
      <c r="R4" s="358">
        <v>30</v>
      </c>
      <c r="S4" s="358" t="s">
        <v>416</v>
      </c>
      <c r="T4" s="358"/>
      <c r="U4" s="358"/>
      <c r="V4" s="358"/>
      <c r="W4" s="358"/>
      <c r="X4" s="358"/>
      <c r="Y4" s="358"/>
      <c r="Z4" s="358"/>
      <c r="AA4" s="358"/>
      <c r="AB4" s="358"/>
      <c r="AC4" s="358"/>
      <c r="AD4" s="358"/>
      <c r="AE4" s="358"/>
      <c r="AF4" s="358"/>
      <c r="AG4" s="358"/>
      <c r="AH4" s="358"/>
      <c r="AI4" s="358"/>
      <c r="AJ4" s="358"/>
      <c r="AK4" s="358"/>
      <c r="AL4" s="358"/>
      <c r="AM4" s="358"/>
      <c r="AN4" s="358"/>
      <c r="AO4" s="358"/>
      <c r="AP4" s="358"/>
      <c r="AQ4" s="358"/>
      <c r="AR4" s="358"/>
      <c r="AS4" s="358"/>
      <c r="AT4" s="358"/>
      <c r="AU4" s="358"/>
      <c r="AV4" s="358"/>
      <c r="AW4" s="358"/>
    </row>
    <row r="5" spans="1:50">
      <c r="A5" s="595"/>
      <c r="B5" s="598"/>
      <c r="C5" s="599"/>
      <c r="D5" s="1041" t="s">
        <v>624</v>
      </c>
      <c r="E5" s="1042" t="s">
        <v>416</v>
      </c>
      <c r="F5" s="1043"/>
      <c r="G5" s="358"/>
      <c r="H5" s="358"/>
      <c r="I5" s="358"/>
      <c r="J5" s="358"/>
      <c r="K5" s="358"/>
      <c r="L5" s="358"/>
      <c r="M5" s="358"/>
      <c r="N5" s="358"/>
      <c r="O5" s="358" t="s">
        <v>623</v>
      </c>
      <c r="P5" s="358" t="s">
        <v>102</v>
      </c>
      <c r="Q5" s="409">
        <v>90</v>
      </c>
      <c r="R5" s="358">
        <v>30</v>
      </c>
      <c r="S5" s="358" t="s">
        <v>416</v>
      </c>
      <c r="T5" s="358"/>
      <c r="U5" s="358"/>
      <c r="V5" s="358"/>
      <c r="W5" s="358"/>
      <c r="X5" s="358"/>
      <c r="Y5" s="358"/>
      <c r="Z5" s="358"/>
      <c r="AA5" s="358"/>
      <c r="AB5" s="358"/>
      <c r="AC5" s="358"/>
      <c r="AD5" s="358"/>
      <c r="AE5" s="358"/>
      <c r="AF5" s="358"/>
      <c r="AG5" s="358"/>
      <c r="AH5" s="358"/>
      <c r="AI5" s="358"/>
      <c r="AJ5" s="358"/>
      <c r="AK5" s="358"/>
      <c r="AL5" s="358"/>
      <c r="AM5" s="358"/>
      <c r="AN5" s="358"/>
      <c r="AO5" s="358"/>
      <c r="AP5" s="358"/>
      <c r="AQ5" s="358"/>
      <c r="AR5" s="358"/>
      <c r="AS5" s="358"/>
      <c r="AT5" s="358"/>
      <c r="AU5" s="358"/>
      <c r="AV5" s="358"/>
      <c r="AW5" s="358"/>
    </row>
    <row r="6" spans="1:50">
      <c r="A6" s="595"/>
      <c r="B6" s="598"/>
      <c r="C6" s="599"/>
      <c r="D6" s="1041" t="s">
        <v>625</v>
      </c>
      <c r="E6" s="1042" t="s">
        <v>384</v>
      </c>
      <c r="F6" s="1043"/>
      <c r="G6" s="358"/>
      <c r="H6" s="358"/>
      <c r="I6" s="358"/>
      <c r="J6" s="358"/>
      <c r="K6" s="358"/>
      <c r="L6" s="358"/>
      <c r="M6" s="358"/>
      <c r="N6" s="358"/>
      <c r="O6" s="358" t="s">
        <v>623</v>
      </c>
      <c r="P6" s="358" t="s">
        <v>102</v>
      </c>
      <c r="Q6" s="409">
        <v>15.5</v>
      </c>
      <c r="R6" s="358">
        <v>401</v>
      </c>
      <c r="S6" s="358" t="s">
        <v>416</v>
      </c>
      <c r="T6" s="358"/>
      <c r="U6" s="358"/>
      <c r="V6" s="358"/>
      <c r="W6" s="358"/>
      <c r="X6" s="358"/>
      <c r="Y6" s="358"/>
      <c r="Z6" s="358"/>
      <c r="AA6" s="358"/>
      <c r="AB6" s="358"/>
      <c r="AC6" s="358"/>
      <c r="AD6" s="358"/>
      <c r="AE6" s="358"/>
      <c r="AF6" s="358"/>
      <c r="AG6" s="358"/>
      <c r="AH6" s="358"/>
      <c r="AI6" s="358"/>
      <c r="AJ6" s="358"/>
      <c r="AK6" s="358"/>
      <c r="AL6" s="358"/>
      <c r="AM6" s="358"/>
      <c r="AN6" s="358"/>
      <c r="AO6" s="358"/>
      <c r="AP6" s="358"/>
      <c r="AQ6" s="358"/>
      <c r="AR6" s="358"/>
      <c r="AS6" s="358"/>
      <c r="AT6" s="358"/>
      <c r="AU6" s="358"/>
      <c r="AV6" s="358"/>
      <c r="AW6" s="358"/>
    </row>
    <row r="7" spans="1:50">
      <c r="A7" s="595"/>
      <c r="B7" s="598"/>
      <c r="C7" s="599"/>
      <c r="D7" s="1041" t="s">
        <v>626</v>
      </c>
      <c r="E7" s="1042" t="s">
        <v>411</v>
      </c>
      <c r="F7" s="1043">
        <v>10900</v>
      </c>
      <c r="G7" s="358"/>
      <c r="H7" s="358"/>
      <c r="I7" s="358"/>
      <c r="J7" s="358"/>
      <c r="K7" s="358"/>
      <c r="L7" s="358"/>
      <c r="M7" s="358"/>
      <c r="N7" s="358"/>
      <c r="O7" s="358" t="s">
        <v>623</v>
      </c>
      <c r="P7" s="358" t="s">
        <v>102</v>
      </c>
      <c r="Q7" s="409">
        <v>16.2</v>
      </c>
      <c r="R7" s="358">
        <v>40</v>
      </c>
      <c r="S7" s="358" t="s">
        <v>416</v>
      </c>
      <c r="T7" s="358"/>
      <c r="U7" s="358"/>
      <c r="V7" s="358"/>
      <c r="W7" s="358"/>
      <c r="X7" s="358"/>
      <c r="Y7" s="358"/>
      <c r="Z7" s="358"/>
      <c r="AA7" s="358"/>
      <c r="AB7" s="358"/>
      <c r="AC7" s="358"/>
      <c r="AD7" s="358"/>
      <c r="AE7" s="358"/>
      <c r="AF7" s="358"/>
      <c r="AG7" s="358"/>
      <c r="AH7" s="358"/>
      <c r="AI7" s="358"/>
      <c r="AJ7" s="358"/>
      <c r="AK7" s="358"/>
      <c r="AL7" s="358"/>
      <c r="AM7" s="358"/>
      <c r="AN7" s="358"/>
      <c r="AO7" s="358"/>
      <c r="AP7" s="358"/>
      <c r="AQ7" s="358"/>
      <c r="AR7" s="358"/>
      <c r="AS7" s="358"/>
      <c r="AT7" s="358"/>
      <c r="AU7" s="358"/>
      <c r="AV7" s="358"/>
      <c r="AW7" s="358"/>
    </row>
    <row r="8" spans="1:50">
      <c r="A8" s="595"/>
      <c r="B8" s="598"/>
      <c r="C8" s="599"/>
      <c r="D8" s="282"/>
      <c r="E8" s="358"/>
      <c r="F8" s="359"/>
      <c r="G8" s="360"/>
      <c r="H8" s="358"/>
      <c r="I8" s="358"/>
      <c r="J8" s="358"/>
      <c r="K8" s="358"/>
      <c r="L8" s="358"/>
      <c r="M8" s="358"/>
      <c r="N8" s="358"/>
      <c r="O8" s="358" t="s">
        <v>623</v>
      </c>
      <c r="P8" s="358" t="s">
        <v>102</v>
      </c>
      <c r="Q8" s="409">
        <v>48.2</v>
      </c>
      <c r="R8" s="358">
        <v>30</v>
      </c>
      <c r="S8" s="358" t="s">
        <v>416</v>
      </c>
      <c r="T8" s="358"/>
      <c r="U8" s="358"/>
      <c r="V8" s="358"/>
      <c r="W8" s="358"/>
      <c r="X8" s="358"/>
      <c r="Y8" s="358"/>
      <c r="Z8" s="358"/>
      <c r="AA8" s="358"/>
      <c r="AB8" s="358"/>
      <c r="AC8" s="358"/>
      <c r="AD8" s="358"/>
      <c r="AE8" s="358"/>
      <c r="AF8" s="358"/>
      <c r="AG8" s="358"/>
      <c r="AH8" s="358"/>
      <c r="AI8" s="358"/>
      <c r="AJ8" s="358"/>
      <c r="AK8" s="358"/>
      <c r="AL8" s="358"/>
      <c r="AM8" s="358"/>
      <c r="AN8" s="358"/>
      <c r="AO8" s="358"/>
      <c r="AP8" s="358"/>
      <c r="AQ8" s="358"/>
      <c r="AR8" s="358"/>
      <c r="AS8" s="358"/>
      <c r="AT8" s="358"/>
      <c r="AU8" s="358"/>
      <c r="AV8" s="358"/>
      <c r="AW8" s="358"/>
    </row>
    <row r="9" spans="1:50">
      <c r="A9" s="595"/>
      <c r="B9" s="598"/>
      <c r="C9" s="599"/>
      <c r="D9" s="1044" t="s">
        <v>627</v>
      </c>
      <c r="E9" s="1040" t="s">
        <v>38</v>
      </c>
      <c r="F9" s="1040" t="s">
        <v>628</v>
      </c>
      <c r="G9" s="1045" t="s">
        <v>629</v>
      </c>
      <c r="H9" s="358"/>
      <c r="I9" s="358"/>
      <c r="J9" s="358"/>
      <c r="K9" s="358"/>
      <c r="L9" s="358"/>
      <c r="M9" s="358"/>
      <c r="N9" s="358"/>
      <c r="O9" s="358" t="s">
        <v>623</v>
      </c>
      <c r="P9" s="358" t="s">
        <v>102</v>
      </c>
      <c r="Q9" s="409">
        <v>50.7</v>
      </c>
      <c r="R9" s="358">
        <v>40</v>
      </c>
      <c r="S9" s="358" t="s">
        <v>416</v>
      </c>
      <c r="T9" s="358"/>
      <c r="U9" s="358"/>
      <c r="V9" s="358"/>
      <c r="W9" s="358"/>
      <c r="X9" s="358"/>
      <c r="Y9" s="358"/>
      <c r="Z9" s="358"/>
      <c r="AA9" s="358"/>
      <c r="AB9" s="358"/>
      <c r="AC9" s="358"/>
      <c r="AD9" s="358"/>
      <c r="AE9" s="358"/>
      <c r="AF9" s="358"/>
      <c r="AG9" s="358"/>
      <c r="AH9" s="358"/>
      <c r="AI9" s="358"/>
      <c r="AJ9" s="358"/>
      <c r="AK9" s="358"/>
      <c r="AL9" s="358"/>
      <c r="AM9" s="358"/>
      <c r="AN9" s="358"/>
      <c r="AO9" s="358"/>
      <c r="AP9" s="358"/>
      <c r="AQ9" s="358"/>
      <c r="AR9" s="358"/>
      <c r="AS9" s="358"/>
      <c r="AT9" s="358"/>
      <c r="AU9" s="358"/>
      <c r="AV9" s="358"/>
      <c r="AW9" s="358"/>
    </row>
    <row r="10" spans="1:50">
      <c r="A10" s="595"/>
      <c r="B10" s="598"/>
      <c r="C10" s="599"/>
      <c r="D10" s="1046" t="s">
        <v>38</v>
      </c>
      <c r="E10" s="1047">
        <f>SUM(E11:E12)</f>
        <v>4348</v>
      </c>
      <c r="F10" s="1048"/>
      <c r="G10" s="1049">
        <f>SUM(G11:G12)</f>
        <v>1739.2</v>
      </c>
      <c r="H10" s="358"/>
      <c r="I10" s="358"/>
      <c r="J10" s="358"/>
      <c r="K10" s="358"/>
      <c r="L10" s="358"/>
      <c r="M10" s="358"/>
      <c r="N10" s="358"/>
      <c r="O10" s="358" t="s">
        <v>623</v>
      </c>
      <c r="P10" s="358" t="s">
        <v>102</v>
      </c>
      <c r="Q10" s="409">
        <v>62.1</v>
      </c>
      <c r="R10" s="358">
        <v>31</v>
      </c>
      <c r="S10" s="358" t="s">
        <v>416</v>
      </c>
      <c r="T10" s="358"/>
      <c r="U10" s="358"/>
      <c r="V10" s="358"/>
      <c r="W10" s="358"/>
      <c r="X10" s="358"/>
      <c r="Y10" s="358"/>
      <c r="Z10" s="358"/>
      <c r="AA10" s="358"/>
      <c r="AB10" s="358"/>
      <c r="AC10" s="358"/>
      <c r="AD10" s="358"/>
      <c r="AE10" s="358"/>
      <c r="AF10" s="358"/>
      <c r="AG10" s="358"/>
      <c r="AH10" s="358"/>
      <c r="AI10" s="358"/>
      <c r="AJ10" s="358"/>
      <c r="AK10" s="358"/>
      <c r="AL10" s="358"/>
      <c r="AM10" s="358"/>
      <c r="AN10" s="358"/>
      <c r="AO10" s="358"/>
      <c r="AP10" s="358"/>
      <c r="AQ10" s="358"/>
      <c r="AR10" s="358"/>
      <c r="AS10" s="358"/>
      <c r="AT10" s="358"/>
      <c r="AU10" s="358"/>
      <c r="AV10" s="358"/>
    </row>
    <row r="11" spans="1:50">
      <c r="A11" s="595"/>
      <c r="B11" s="598"/>
      <c r="C11" s="599"/>
      <c r="D11" s="1050" t="s">
        <v>630</v>
      </c>
      <c r="E11" s="1051">
        <v>0</v>
      </c>
      <c r="F11" s="1052">
        <v>0.4</v>
      </c>
      <c r="G11" s="1053">
        <f>E11*F11</f>
        <v>0</v>
      </c>
      <c r="H11" s="358"/>
      <c r="I11" s="358"/>
      <c r="J11" s="358"/>
      <c r="K11" s="358"/>
      <c r="L11" s="358"/>
      <c r="M11" s="358"/>
      <c r="N11" s="358"/>
      <c r="O11" s="358" t="s">
        <v>623</v>
      </c>
      <c r="P11" s="358" t="s">
        <v>102</v>
      </c>
      <c r="Q11" s="409">
        <v>65.3</v>
      </c>
      <c r="R11" s="358">
        <v>42</v>
      </c>
      <c r="S11" s="358" t="s">
        <v>416</v>
      </c>
      <c r="T11" s="358"/>
      <c r="U11" s="358"/>
      <c r="V11" s="358"/>
      <c r="W11" s="358"/>
      <c r="X11" s="358"/>
      <c r="Y11" s="358"/>
      <c r="Z11" s="358"/>
      <c r="AA11" s="358"/>
      <c r="AB11" s="358"/>
      <c r="AC11" s="358"/>
      <c r="AD11" s="358"/>
      <c r="AE11" s="358"/>
      <c r="AF11" s="358"/>
      <c r="AG11" s="358"/>
      <c r="AH11" s="358"/>
      <c r="AI11" s="358"/>
      <c r="AJ11" s="358"/>
      <c r="AK11" s="358"/>
      <c r="AL11" s="358"/>
      <c r="AM11" s="358"/>
      <c r="AN11" s="358"/>
      <c r="AO11" s="358"/>
      <c r="AP11" s="358"/>
      <c r="AQ11" s="358"/>
      <c r="AR11" s="358"/>
      <c r="AS11" s="358"/>
      <c r="AT11" s="358"/>
      <c r="AU11" s="358"/>
      <c r="AV11" s="358"/>
    </row>
    <row r="12" spans="1:50">
      <c r="A12" s="595"/>
      <c r="B12" s="598"/>
      <c r="C12" s="599"/>
      <c r="D12" s="1050" t="s">
        <v>631</v>
      </c>
      <c r="E12" s="1051">
        <f>R43*2</f>
        <v>4348</v>
      </c>
      <c r="F12" s="1052">
        <v>0.4</v>
      </c>
      <c r="G12" s="1053">
        <f>E12*F12</f>
        <v>1739.2</v>
      </c>
      <c r="H12" s="358"/>
      <c r="I12" s="358"/>
      <c r="J12" s="358"/>
      <c r="K12" s="358"/>
      <c r="L12" s="358"/>
      <c r="M12" s="358"/>
      <c r="N12" s="358"/>
      <c r="O12" s="358" t="s">
        <v>623</v>
      </c>
      <c r="P12" s="358" t="s">
        <v>102</v>
      </c>
      <c r="Q12" s="409">
        <v>73.3</v>
      </c>
      <c r="R12" s="358">
        <v>26</v>
      </c>
      <c r="S12" s="358" t="s">
        <v>416</v>
      </c>
      <c r="T12" s="358"/>
      <c r="U12" s="358"/>
      <c r="V12" s="358"/>
      <c r="W12" s="358"/>
      <c r="X12" s="358"/>
      <c r="Y12" s="358"/>
      <c r="Z12" s="358"/>
      <c r="AA12" s="358"/>
      <c r="AB12" s="358"/>
      <c r="AC12" s="358"/>
      <c r="AD12" s="358"/>
      <c r="AE12" s="358"/>
      <c r="AF12" s="358"/>
      <c r="AG12" s="358"/>
      <c r="AH12" s="358"/>
      <c r="AI12" s="358"/>
      <c r="AJ12" s="358"/>
      <c r="AK12" s="358"/>
      <c r="AL12" s="358"/>
      <c r="AM12" s="358"/>
      <c r="AN12" s="358"/>
      <c r="AO12" s="358"/>
      <c r="AP12" s="358"/>
      <c r="AQ12" s="358"/>
      <c r="AR12" s="358"/>
      <c r="AS12" s="358"/>
      <c r="AT12" s="358"/>
      <c r="AU12" s="358"/>
      <c r="AV12" s="358"/>
    </row>
    <row r="13" spans="1:50">
      <c r="A13" s="595"/>
      <c r="B13" s="598"/>
      <c r="C13" s="599"/>
      <c r="D13" s="160"/>
      <c r="E13" s="358"/>
      <c r="F13" s="359"/>
      <c r="G13" s="360"/>
      <c r="H13" s="358"/>
      <c r="I13" s="358"/>
      <c r="J13" s="358"/>
      <c r="K13" s="358"/>
      <c r="L13" s="358"/>
      <c r="M13" s="358"/>
      <c r="N13" s="358"/>
      <c r="O13" s="358" t="s">
        <v>623</v>
      </c>
      <c r="P13" s="358" t="s">
        <v>102</v>
      </c>
      <c r="Q13" s="409">
        <v>93.2</v>
      </c>
      <c r="R13" s="358">
        <v>50</v>
      </c>
      <c r="S13" s="358" t="s">
        <v>416</v>
      </c>
      <c r="T13" s="358"/>
      <c r="U13" s="358"/>
      <c r="V13" s="358"/>
      <c r="W13" s="358"/>
      <c r="X13" s="358"/>
      <c r="Y13" s="358"/>
      <c r="Z13" s="358"/>
      <c r="AA13" s="358"/>
      <c r="AB13" s="358"/>
      <c r="AC13" s="358"/>
      <c r="AD13" s="358"/>
      <c r="AE13" s="358"/>
      <c r="AF13" s="358"/>
      <c r="AG13" s="358"/>
      <c r="AH13" s="358"/>
      <c r="AI13" s="358"/>
      <c r="AJ13" s="358"/>
      <c r="AK13" s="358"/>
      <c r="AL13" s="358"/>
      <c r="AM13" s="358"/>
      <c r="AN13" s="358"/>
      <c r="AO13" s="358"/>
      <c r="AP13" s="358"/>
      <c r="AQ13" s="358"/>
      <c r="AR13" s="358"/>
      <c r="AS13" s="358"/>
      <c r="AT13" s="358"/>
      <c r="AU13" s="358"/>
      <c r="AV13" s="358"/>
    </row>
    <row r="14" spans="1:50" ht="14.25" customHeight="1">
      <c r="A14" s="595"/>
      <c r="B14" s="598"/>
      <c r="C14" s="599"/>
      <c r="D14" s="1038" t="s">
        <v>632</v>
      </c>
      <c r="E14" s="1039" t="s">
        <v>38</v>
      </c>
      <c r="F14" s="1054" t="s">
        <v>633</v>
      </c>
      <c r="G14" s="1055" t="s">
        <v>634</v>
      </c>
      <c r="H14" s="358"/>
      <c r="I14" s="358"/>
      <c r="J14" s="358"/>
      <c r="K14" s="358"/>
      <c r="L14" s="358"/>
      <c r="M14" s="358"/>
      <c r="N14" s="358"/>
      <c r="O14" s="358" t="s">
        <v>623</v>
      </c>
      <c r="P14" s="358" t="s">
        <v>102</v>
      </c>
      <c r="Q14" s="409">
        <v>100</v>
      </c>
      <c r="R14" s="358">
        <v>25</v>
      </c>
      <c r="S14" s="358" t="s">
        <v>416</v>
      </c>
      <c r="T14" s="358"/>
      <c r="U14" s="358"/>
      <c r="V14" s="358"/>
      <c r="W14" s="358"/>
      <c r="X14" s="358"/>
      <c r="Y14" s="358"/>
      <c r="Z14" s="358"/>
      <c r="AA14" s="358"/>
      <c r="AB14" s="358"/>
      <c r="AC14" s="358"/>
      <c r="AD14" s="358"/>
      <c r="AE14" s="358"/>
      <c r="AF14" s="358"/>
      <c r="AG14" s="358"/>
      <c r="AH14" s="358"/>
      <c r="AI14" s="358"/>
      <c r="AJ14" s="358"/>
      <c r="AK14" s="358"/>
      <c r="AL14" s="358"/>
      <c r="AM14" s="358"/>
      <c r="AN14" s="358"/>
      <c r="AO14" s="358"/>
      <c r="AP14" s="358"/>
      <c r="AQ14" s="358"/>
      <c r="AR14" s="358"/>
      <c r="AS14" s="358"/>
      <c r="AT14" s="358"/>
      <c r="AU14" s="358"/>
      <c r="AV14" s="358"/>
    </row>
    <row r="15" spans="1:50">
      <c r="A15" s="595"/>
      <c r="B15" s="598"/>
      <c r="C15" s="599"/>
      <c r="D15" s="1046" t="s">
        <v>38</v>
      </c>
      <c r="E15" s="1047">
        <f>SUM(E16:E17)</f>
        <v>600</v>
      </c>
      <c r="F15" s="1048"/>
      <c r="G15" s="1049">
        <f>SUM(G16:G17)</f>
        <v>240</v>
      </c>
      <c r="H15" s="358"/>
      <c r="I15" s="358"/>
      <c r="J15" s="358"/>
      <c r="K15" s="358"/>
      <c r="L15" s="358"/>
      <c r="M15" s="358"/>
      <c r="N15" s="358"/>
      <c r="O15" s="358" t="s">
        <v>623</v>
      </c>
      <c r="P15" s="358" t="s">
        <v>102</v>
      </c>
      <c r="Q15" s="409">
        <v>113.5</v>
      </c>
      <c r="R15" s="358">
        <v>26</v>
      </c>
      <c r="S15" s="358" t="s">
        <v>416</v>
      </c>
      <c r="T15" s="358"/>
      <c r="U15" s="358"/>
      <c r="V15" s="358"/>
      <c r="W15" s="358"/>
      <c r="X15" s="358"/>
      <c r="Y15" s="358"/>
      <c r="Z15" s="358"/>
      <c r="AA15" s="358"/>
      <c r="AB15" s="358"/>
      <c r="AC15" s="358"/>
      <c r="AD15" s="358"/>
      <c r="AE15" s="358"/>
      <c r="AF15" s="358"/>
      <c r="AG15" s="358"/>
      <c r="AH15" s="358"/>
      <c r="AI15" s="358"/>
      <c r="AJ15" s="358"/>
      <c r="AK15" s="358"/>
      <c r="AL15" s="358"/>
      <c r="AM15" s="358"/>
      <c r="AN15" s="358"/>
      <c r="AO15" s="358"/>
      <c r="AP15" s="358"/>
      <c r="AQ15" s="358"/>
      <c r="AR15" s="358"/>
      <c r="AS15" s="358"/>
      <c r="AT15" s="358"/>
      <c r="AU15" s="358"/>
      <c r="AV15" s="358"/>
    </row>
    <row r="16" spans="1:50">
      <c r="A16" s="595"/>
      <c r="B16" s="598"/>
      <c r="C16" s="599"/>
      <c r="D16" s="1050" t="s">
        <v>635</v>
      </c>
      <c r="E16" s="1051">
        <v>300</v>
      </c>
      <c r="F16" s="1056">
        <v>0.4</v>
      </c>
      <c r="G16" s="1053">
        <f>E16*F16</f>
        <v>120</v>
      </c>
      <c r="H16" s="358"/>
      <c r="I16" s="358"/>
      <c r="J16" s="358"/>
      <c r="K16" s="358"/>
      <c r="L16" s="358"/>
      <c r="M16" s="358"/>
      <c r="N16" s="358"/>
      <c r="O16" s="358" t="s">
        <v>623</v>
      </c>
      <c r="P16" s="358" t="s">
        <v>102</v>
      </c>
      <c r="Q16" s="409">
        <v>116.4</v>
      </c>
      <c r="R16" s="358">
        <v>168</v>
      </c>
      <c r="S16" s="358" t="s">
        <v>416</v>
      </c>
      <c r="T16" s="358"/>
      <c r="U16" s="358"/>
      <c r="V16" s="358"/>
      <c r="W16" s="358"/>
      <c r="X16" s="358"/>
      <c r="Y16" s="358"/>
      <c r="Z16" s="358"/>
      <c r="AA16" s="358"/>
      <c r="AB16" s="358"/>
      <c r="AC16" s="358"/>
      <c r="AD16" s="358"/>
      <c r="AE16" s="358"/>
      <c r="AF16" s="358"/>
      <c r="AG16" s="358"/>
      <c r="AH16" s="358"/>
      <c r="AI16" s="358"/>
      <c r="AJ16" s="358"/>
      <c r="AK16" s="358"/>
      <c r="AL16" s="358"/>
      <c r="AM16" s="358"/>
      <c r="AN16" s="358"/>
      <c r="AO16" s="358"/>
      <c r="AP16" s="358"/>
      <c r="AQ16" s="358"/>
      <c r="AR16" s="358"/>
      <c r="AS16" s="358"/>
      <c r="AT16" s="358"/>
      <c r="AU16" s="358"/>
      <c r="AV16" s="358"/>
    </row>
    <row r="17" spans="1:48">
      <c r="A17" s="595"/>
      <c r="B17" s="598"/>
      <c r="C17" s="599"/>
      <c r="D17" s="1050" t="s">
        <v>636</v>
      </c>
      <c r="E17" s="1051">
        <v>300</v>
      </c>
      <c r="F17" s="1056">
        <v>0.4</v>
      </c>
      <c r="G17" s="1053">
        <f>E17*F17</f>
        <v>120</v>
      </c>
      <c r="H17" s="358"/>
      <c r="I17" s="358"/>
      <c r="J17" s="358"/>
      <c r="K17" s="358"/>
      <c r="L17" s="358"/>
      <c r="M17" s="358"/>
      <c r="N17" s="358"/>
      <c r="O17" s="358" t="s">
        <v>623</v>
      </c>
      <c r="P17" s="358" t="s">
        <v>102</v>
      </c>
      <c r="Q17" s="409">
        <v>127.4</v>
      </c>
      <c r="R17" s="358">
        <v>36</v>
      </c>
      <c r="S17" s="358" t="s">
        <v>416</v>
      </c>
      <c r="T17" s="358"/>
      <c r="U17" s="358"/>
      <c r="V17" s="358"/>
      <c r="W17" s="358"/>
      <c r="X17" s="358"/>
      <c r="Y17" s="358"/>
      <c r="Z17" s="358"/>
      <c r="AA17" s="358"/>
      <c r="AB17" s="358"/>
      <c r="AC17" s="358"/>
      <c r="AD17" s="358"/>
      <c r="AE17" s="358"/>
      <c r="AF17" s="358"/>
      <c r="AG17" s="358"/>
      <c r="AH17" s="358"/>
      <c r="AI17" s="358"/>
      <c r="AJ17" s="358"/>
      <c r="AK17" s="358"/>
      <c r="AL17" s="358"/>
      <c r="AM17" s="358"/>
      <c r="AN17" s="358"/>
      <c r="AO17" s="358"/>
      <c r="AP17" s="358"/>
      <c r="AQ17" s="358"/>
      <c r="AR17" s="358"/>
      <c r="AS17" s="358"/>
      <c r="AT17" s="358"/>
      <c r="AU17" s="358"/>
      <c r="AV17" s="358"/>
    </row>
    <row r="18" spans="1:48">
      <c r="A18" s="595"/>
      <c r="B18" s="598"/>
      <c r="C18" s="599"/>
      <c r="D18" s="160"/>
      <c r="E18" s="358"/>
      <c r="F18" s="359"/>
      <c r="G18" s="360"/>
      <c r="H18" s="358"/>
      <c r="I18" s="358"/>
      <c r="J18" s="358"/>
      <c r="K18" s="358"/>
      <c r="L18" s="358"/>
      <c r="M18" s="358"/>
      <c r="N18" s="358"/>
      <c r="O18" s="358" t="s">
        <v>623</v>
      </c>
      <c r="P18" s="358" t="s">
        <v>102</v>
      </c>
      <c r="Q18" s="409">
        <v>131</v>
      </c>
      <c r="R18" s="358">
        <v>44</v>
      </c>
      <c r="S18" s="358" t="s">
        <v>416</v>
      </c>
      <c r="T18" s="358"/>
      <c r="U18" s="358"/>
      <c r="V18" s="358"/>
      <c r="W18" s="358"/>
      <c r="X18" s="358"/>
      <c r="Y18" s="358"/>
      <c r="Z18" s="358"/>
      <c r="AA18" s="358"/>
      <c r="AB18" s="358"/>
      <c r="AC18" s="358"/>
      <c r="AD18" s="358"/>
      <c r="AE18" s="358"/>
      <c r="AF18" s="358"/>
      <c r="AG18" s="358"/>
      <c r="AH18" s="358"/>
      <c r="AI18" s="358"/>
      <c r="AJ18" s="358"/>
      <c r="AK18" s="358"/>
      <c r="AL18" s="358"/>
      <c r="AM18" s="358"/>
      <c r="AN18" s="358"/>
      <c r="AO18" s="358"/>
      <c r="AP18" s="358"/>
      <c r="AQ18" s="358"/>
      <c r="AR18" s="358"/>
      <c r="AS18" s="358"/>
      <c r="AT18" s="358"/>
      <c r="AU18" s="358"/>
      <c r="AV18" s="358"/>
    </row>
    <row r="19" spans="1:48">
      <c r="A19" s="595"/>
      <c r="B19" s="598"/>
      <c r="C19" s="599"/>
      <c r="D19" s="1044" t="s">
        <v>637</v>
      </c>
      <c r="E19" s="1040" t="s">
        <v>38</v>
      </c>
      <c r="F19" s="1040" t="s">
        <v>638</v>
      </c>
      <c r="G19" s="1045" t="s">
        <v>639</v>
      </c>
      <c r="H19" s="358"/>
      <c r="I19" s="358"/>
      <c r="J19" s="358"/>
      <c r="K19" s="358"/>
      <c r="L19" s="358"/>
      <c r="M19" s="358"/>
      <c r="N19" s="358"/>
      <c r="O19" s="358" t="s">
        <v>623</v>
      </c>
      <c r="P19" s="358" t="s">
        <v>102</v>
      </c>
      <c r="Q19" s="409">
        <v>135.6</v>
      </c>
      <c r="R19" s="358">
        <v>21</v>
      </c>
      <c r="S19" s="358" t="s">
        <v>416</v>
      </c>
      <c r="T19" s="358"/>
      <c r="U19" s="358"/>
      <c r="V19" s="358"/>
      <c r="W19" s="358"/>
      <c r="X19" s="358"/>
      <c r="Y19" s="358"/>
      <c r="Z19" s="358"/>
      <c r="AA19" s="358"/>
      <c r="AB19" s="358"/>
      <c r="AC19" s="358"/>
      <c r="AD19" s="358"/>
      <c r="AE19" s="358"/>
      <c r="AF19" s="358"/>
      <c r="AG19" s="358"/>
      <c r="AH19" s="358"/>
      <c r="AI19" s="358"/>
      <c r="AJ19" s="358"/>
      <c r="AK19" s="358"/>
      <c r="AL19" s="358"/>
      <c r="AM19" s="358"/>
      <c r="AN19" s="358"/>
      <c r="AO19" s="358"/>
      <c r="AP19" s="358"/>
      <c r="AQ19" s="358"/>
      <c r="AR19" s="358"/>
      <c r="AS19" s="358"/>
      <c r="AT19" s="358"/>
      <c r="AU19" s="358"/>
      <c r="AV19" s="358"/>
    </row>
    <row r="20" spans="1:48">
      <c r="A20" s="595"/>
      <c r="B20" s="598"/>
      <c r="C20" s="599"/>
      <c r="D20" s="1057"/>
      <c r="E20" s="1058"/>
      <c r="F20" s="1048"/>
      <c r="G20" s="1059"/>
      <c r="H20" s="358"/>
      <c r="I20" s="358"/>
      <c r="J20" s="358"/>
      <c r="K20" s="358"/>
      <c r="L20" s="358"/>
      <c r="M20" s="358"/>
      <c r="N20" s="358"/>
      <c r="O20" s="358" t="s">
        <v>623</v>
      </c>
      <c r="P20" s="358" t="s">
        <v>102</v>
      </c>
      <c r="Q20" s="409">
        <v>136.5</v>
      </c>
      <c r="R20" s="358">
        <v>40</v>
      </c>
      <c r="S20" s="358" t="s">
        <v>416</v>
      </c>
      <c r="T20" s="358"/>
      <c r="U20" s="358"/>
      <c r="V20" s="358"/>
      <c r="W20" s="358"/>
      <c r="X20" s="358"/>
      <c r="Y20" s="358"/>
      <c r="Z20" s="358"/>
      <c r="AA20" s="358"/>
      <c r="AB20" s="358"/>
      <c r="AC20" s="358"/>
      <c r="AD20" s="358"/>
      <c r="AE20" s="358"/>
      <c r="AF20" s="358"/>
      <c r="AG20" s="358"/>
      <c r="AH20" s="358"/>
      <c r="AI20" s="358"/>
      <c r="AJ20" s="358"/>
      <c r="AK20" s="358"/>
      <c r="AL20" s="358"/>
      <c r="AM20" s="358"/>
      <c r="AN20" s="358"/>
      <c r="AO20" s="358"/>
      <c r="AP20" s="358"/>
      <c r="AQ20" s="358"/>
      <c r="AR20" s="358"/>
      <c r="AS20" s="358"/>
      <c r="AT20" s="358"/>
      <c r="AU20" s="358"/>
      <c r="AV20" s="358"/>
    </row>
    <row r="21" spans="1:48">
      <c r="A21" s="595"/>
      <c r="B21" s="598"/>
      <c r="C21" s="599"/>
      <c r="D21" s="1050" t="s">
        <v>640</v>
      </c>
      <c r="E21" s="1060">
        <v>20</v>
      </c>
      <c r="F21" s="1056">
        <v>0.4</v>
      </c>
      <c r="G21" s="1061">
        <f>E21*F21</f>
        <v>8</v>
      </c>
      <c r="H21" s="358"/>
      <c r="I21" s="358"/>
      <c r="J21" s="358"/>
      <c r="K21" s="358"/>
      <c r="L21" s="358"/>
      <c r="M21" s="358"/>
      <c r="N21" s="358"/>
      <c r="O21" s="358" t="s">
        <v>623</v>
      </c>
      <c r="P21" s="358" t="s">
        <v>102</v>
      </c>
      <c r="Q21" s="409">
        <v>140.9</v>
      </c>
      <c r="R21" s="358">
        <v>31</v>
      </c>
      <c r="S21" s="358" t="s">
        <v>416</v>
      </c>
      <c r="T21" s="358"/>
      <c r="U21" s="358"/>
      <c r="V21" s="358"/>
      <c r="W21" s="358"/>
      <c r="X21" s="358"/>
      <c r="Y21" s="358"/>
      <c r="Z21" s="358"/>
      <c r="AA21" s="358"/>
      <c r="AB21" s="358"/>
      <c r="AC21" s="358"/>
      <c r="AD21" s="358"/>
      <c r="AE21" s="358"/>
      <c r="AF21" s="358"/>
      <c r="AG21" s="358"/>
      <c r="AH21" s="358"/>
      <c r="AI21" s="358"/>
      <c r="AJ21" s="358"/>
      <c r="AK21" s="358"/>
      <c r="AL21" s="358"/>
      <c r="AM21" s="358"/>
      <c r="AN21" s="358"/>
      <c r="AO21" s="358"/>
      <c r="AP21" s="358"/>
      <c r="AQ21" s="358"/>
      <c r="AR21" s="358"/>
      <c r="AS21" s="358"/>
      <c r="AT21" s="358"/>
      <c r="AU21" s="358"/>
      <c r="AV21" s="358"/>
    </row>
    <row r="22" spans="1:48">
      <c r="A22" s="595"/>
      <c r="B22" s="598"/>
      <c r="C22" s="599"/>
      <c r="D22" s="1050" t="s">
        <v>641</v>
      </c>
      <c r="E22" s="1060">
        <v>20</v>
      </c>
      <c r="F22" s="1056">
        <v>0.4</v>
      </c>
      <c r="G22" s="1062">
        <v>217</v>
      </c>
      <c r="H22" s="358"/>
      <c r="I22" s="358"/>
      <c r="J22" s="358"/>
      <c r="K22" s="358"/>
      <c r="L22" s="358"/>
      <c r="M22" s="358"/>
      <c r="N22" s="358"/>
      <c r="O22" s="358" t="s">
        <v>623</v>
      </c>
      <c r="P22" s="358" t="s">
        <v>102</v>
      </c>
      <c r="Q22" s="409">
        <v>145</v>
      </c>
      <c r="R22" s="358">
        <v>40</v>
      </c>
      <c r="S22" s="358" t="s">
        <v>416</v>
      </c>
      <c r="T22" s="358"/>
      <c r="U22" s="358"/>
      <c r="V22" s="358"/>
      <c r="W22" s="358"/>
      <c r="X22" s="358"/>
      <c r="Y22" s="358"/>
      <c r="Z22" s="358"/>
      <c r="AA22" s="358"/>
      <c r="AB22" s="358"/>
      <c r="AC22" s="358"/>
      <c r="AD22" s="358"/>
      <c r="AE22" s="358"/>
      <c r="AF22" s="358"/>
      <c r="AG22" s="358"/>
      <c r="AH22" s="358"/>
      <c r="AI22" s="358"/>
      <c r="AJ22" s="358"/>
      <c r="AK22" s="358"/>
      <c r="AL22" s="358"/>
      <c r="AM22" s="358"/>
      <c r="AN22" s="358"/>
      <c r="AO22" s="358"/>
      <c r="AP22" s="358"/>
      <c r="AQ22" s="358"/>
      <c r="AR22" s="358"/>
      <c r="AS22" s="358"/>
      <c r="AT22" s="358"/>
      <c r="AU22" s="358"/>
      <c r="AV22" s="358"/>
    </row>
    <row r="23" spans="1:48">
      <c r="A23" s="595"/>
      <c r="B23" s="598"/>
      <c r="C23" s="599"/>
      <c r="D23" s="1050" t="s">
        <v>642</v>
      </c>
      <c r="E23" s="1060">
        <f>F7</f>
        <v>10900</v>
      </c>
      <c r="F23" s="1056">
        <v>0</v>
      </c>
      <c r="G23" s="1062">
        <v>0</v>
      </c>
      <c r="H23" s="358"/>
      <c r="I23" s="358"/>
      <c r="J23" s="358"/>
      <c r="K23" s="358"/>
      <c r="L23" s="358"/>
      <c r="M23" s="358"/>
      <c r="N23" s="358"/>
      <c r="O23" s="358" t="s">
        <v>623</v>
      </c>
      <c r="P23" s="358" t="s">
        <v>102</v>
      </c>
      <c r="Q23" s="409">
        <v>147.80000000000001</v>
      </c>
      <c r="R23" s="358">
        <v>93</v>
      </c>
      <c r="S23" s="358" t="s">
        <v>416</v>
      </c>
      <c r="T23" s="358"/>
      <c r="U23" s="358"/>
      <c r="V23" s="358"/>
      <c r="W23" s="358"/>
      <c r="X23" s="358"/>
      <c r="Y23" s="358"/>
      <c r="Z23" s="358"/>
      <c r="AA23" s="358"/>
      <c r="AB23" s="358"/>
      <c r="AC23" s="358"/>
      <c r="AD23" s="358"/>
      <c r="AE23" s="358"/>
      <c r="AF23" s="358"/>
      <c r="AG23" s="358"/>
      <c r="AH23" s="358"/>
      <c r="AI23" s="358"/>
      <c r="AJ23" s="358"/>
      <c r="AK23" s="358"/>
      <c r="AL23" s="358"/>
      <c r="AM23" s="358"/>
      <c r="AN23" s="358"/>
      <c r="AO23" s="358"/>
      <c r="AP23" s="358"/>
      <c r="AQ23" s="358"/>
      <c r="AR23" s="358"/>
      <c r="AS23" s="358"/>
      <c r="AT23" s="358"/>
      <c r="AU23" s="358"/>
      <c r="AV23" s="358"/>
    </row>
    <row r="24" spans="1:48">
      <c r="A24" s="595"/>
      <c r="B24" s="598"/>
      <c r="C24" s="599"/>
      <c r="D24" s="1050" t="s">
        <v>643</v>
      </c>
      <c r="E24" s="1060">
        <f>F7</f>
        <v>10900</v>
      </c>
      <c r="F24" s="1056">
        <v>0</v>
      </c>
      <c r="G24" s="1062">
        <v>0</v>
      </c>
      <c r="H24" s="358"/>
      <c r="I24" s="358"/>
      <c r="J24" s="358"/>
      <c r="K24" s="358"/>
      <c r="L24" s="358"/>
      <c r="M24" s="358"/>
      <c r="N24" s="358"/>
      <c r="O24" s="358" t="s">
        <v>623</v>
      </c>
      <c r="P24" s="358" t="s">
        <v>102</v>
      </c>
      <c r="Q24" s="409">
        <v>176.5</v>
      </c>
      <c r="R24" s="358">
        <v>40</v>
      </c>
      <c r="S24" s="358" t="s">
        <v>416</v>
      </c>
      <c r="T24" s="358"/>
      <c r="U24" s="358"/>
      <c r="V24" s="358"/>
      <c r="W24" s="358"/>
      <c r="X24" s="358"/>
      <c r="Y24" s="358"/>
      <c r="Z24" s="358"/>
      <c r="AA24" s="358"/>
      <c r="AB24" s="358"/>
      <c r="AC24" s="358"/>
      <c r="AD24" s="358"/>
      <c r="AE24" s="358"/>
      <c r="AF24" s="358"/>
      <c r="AG24" s="358"/>
      <c r="AH24" s="358"/>
      <c r="AI24" s="358"/>
      <c r="AJ24" s="358"/>
      <c r="AK24" s="358"/>
      <c r="AL24" s="358"/>
      <c r="AM24" s="358"/>
      <c r="AN24" s="358"/>
      <c r="AO24" s="358"/>
      <c r="AP24" s="358"/>
      <c r="AQ24" s="358"/>
      <c r="AR24" s="358"/>
      <c r="AS24" s="358"/>
      <c r="AT24" s="358"/>
      <c r="AU24" s="358"/>
      <c r="AV24" s="358"/>
    </row>
    <row r="25" spans="1:48">
      <c r="A25" s="595"/>
      <c r="B25" s="598"/>
      <c r="C25" s="599"/>
      <c r="D25" s="358"/>
      <c r="E25" s="358"/>
      <c r="F25" s="359"/>
      <c r="G25" s="360"/>
      <c r="H25" s="358"/>
      <c r="I25" s="358"/>
      <c r="J25" s="358"/>
      <c r="K25" s="358"/>
      <c r="L25" s="358"/>
      <c r="M25" s="358"/>
      <c r="N25" s="358"/>
      <c r="O25" s="358" t="s">
        <v>623</v>
      </c>
      <c r="P25" s="358" t="s">
        <v>102</v>
      </c>
      <c r="Q25" s="409">
        <v>206.4</v>
      </c>
      <c r="R25" s="358">
        <v>40</v>
      </c>
      <c r="S25" s="358" t="s">
        <v>416</v>
      </c>
      <c r="T25" s="358"/>
      <c r="U25" s="358"/>
      <c r="V25" s="358"/>
      <c r="W25" s="358"/>
      <c r="X25" s="358"/>
      <c r="Y25" s="358"/>
      <c r="Z25" s="358"/>
      <c r="AA25" s="358"/>
      <c r="AB25" s="358"/>
      <c r="AC25" s="358"/>
      <c r="AD25" s="358"/>
      <c r="AE25" s="358"/>
      <c r="AF25" s="358"/>
      <c r="AG25" s="358"/>
      <c r="AH25" s="358"/>
      <c r="AI25" s="358"/>
      <c r="AJ25" s="358"/>
      <c r="AK25" s="358"/>
      <c r="AL25" s="358"/>
      <c r="AM25" s="358"/>
      <c r="AN25" s="358"/>
      <c r="AO25" s="358"/>
      <c r="AP25" s="358"/>
      <c r="AQ25" s="358"/>
      <c r="AR25" s="358"/>
      <c r="AS25" s="358"/>
      <c r="AT25" s="358"/>
      <c r="AU25" s="358"/>
      <c r="AV25" s="358"/>
    </row>
    <row r="26" spans="1:48">
      <c r="A26" s="595"/>
      <c r="B26" s="598"/>
      <c r="C26" s="599"/>
      <c r="D26" s="1044" t="s">
        <v>644</v>
      </c>
      <c r="E26" s="1040" t="s">
        <v>38</v>
      </c>
      <c r="F26" s="1040" t="s">
        <v>645</v>
      </c>
      <c r="G26" s="1045" t="s">
        <v>646</v>
      </c>
      <c r="H26" s="358"/>
      <c r="I26" s="358"/>
      <c r="J26" s="358"/>
      <c r="K26" s="358"/>
      <c r="L26" s="358"/>
      <c r="M26" s="358"/>
      <c r="N26" s="358"/>
      <c r="O26" s="358" t="s">
        <v>623</v>
      </c>
      <c r="P26" s="358" t="s">
        <v>102</v>
      </c>
      <c r="Q26" s="409">
        <v>207</v>
      </c>
      <c r="R26" s="358">
        <v>40</v>
      </c>
      <c r="S26" s="358" t="s">
        <v>416</v>
      </c>
      <c r="T26" s="358"/>
      <c r="U26" s="358"/>
      <c r="V26" s="358"/>
      <c r="W26" s="358"/>
      <c r="X26" s="358"/>
      <c r="Y26" s="358"/>
      <c r="Z26" s="358"/>
      <c r="AA26" s="358"/>
      <c r="AB26" s="358"/>
      <c r="AC26" s="358"/>
      <c r="AD26" s="358"/>
      <c r="AE26" s="358"/>
      <c r="AF26" s="358"/>
      <c r="AG26" s="358"/>
      <c r="AH26" s="358"/>
      <c r="AI26" s="358"/>
      <c r="AJ26" s="358"/>
      <c r="AK26" s="358"/>
      <c r="AL26" s="358"/>
      <c r="AM26" s="358"/>
      <c r="AN26" s="358"/>
      <c r="AO26" s="358"/>
      <c r="AP26" s="358"/>
      <c r="AQ26" s="358"/>
      <c r="AR26" s="358"/>
      <c r="AS26" s="358"/>
      <c r="AT26" s="358"/>
      <c r="AU26" s="358"/>
      <c r="AV26" s="358"/>
    </row>
    <row r="27" spans="1:48">
      <c r="A27" s="595"/>
      <c r="B27" s="598"/>
      <c r="C27" s="599"/>
      <c r="D27" s="1057"/>
      <c r="E27" s="1058"/>
      <c r="F27" s="1048"/>
      <c r="G27" s="1059"/>
      <c r="H27" s="358"/>
      <c r="I27" s="358"/>
      <c r="J27" s="358"/>
      <c r="K27" s="358"/>
      <c r="L27" s="358"/>
      <c r="M27" s="358"/>
      <c r="N27" s="358"/>
      <c r="O27" s="358" t="s">
        <v>623</v>
      </c>
      <c r="P27" s="358" t="s">
        <v>102</v>
      </c>
      <c r="Q27" s="409">
        <v>210</v>
      </c>
      <c r="R27" s="358">
        <v>40</v>
      </c>
      <c r="S27" s="358" t="s">
        <v>416</v>
      </c>
      <c r="T27" s="358"/>
      <c r="U27" s="358"/>
      <c r="V27" s="358"/>
      <c r="W27" s="358"/>
      <c r="X27" s="358"/>
      <c r="Y27" s="358"/>
      <c r="Z27" s="358"/>
      <c r="AA27" s="358"/>
      <c r="AB27" s="358"/>
      <c r="AC27" s="358"/>
      <c r="AD27" s="358"/>
      <c r="AE27" s="358"/>
      <c r="AF27" s="358"/>
      <c r="AG27" s="358"/>
      <c r="AH27" s="358"/>
      <c r="AI27" s="358"/>
      <c r="AJ27" s="358"/>
      <c r="AK27" s="358"/>
      <c r="AL27" s="358"/>
      <c r="AM27" s="358"/>
      <c r="AN27" s="358"/>
      <c r="AO27" s="358"/>
      <c r="AP27" s="358"/>
      <c r="AQ27" s="358"/>
      <c r="AR27" s="358"/>
      <c r="AS27" s="358"/>
      <c r="AT27" s="358"/>
      <c r="AU27" s="358"/>
      <c r="AV27" s="358"/>
    </row>
    <row r="28" spans="1:48">
      <c r="A28" s="595"/>
      <c r="B28" s="598"/>
      <c r="C28" s="599"/>
      <c r="D28" s="1050" t="s">
        <v>647</v>
      </c>
      <c r="E28" s="1060">
        <f>E23</f>
        <v>10900</v>
      </c>
      <c r="F28" s="1056">
        <v>1</v>
      </c>
      <c r="G28" s="1061">
        <f>E28*F28</f>
        <v>10900</v>
      </c>
      <c r="H28" s="358"/>
      <c r="I28" s="358"/>
      <c r="J28" s="358"/>
      <c r="K28" s="358"/>
      <c r="L28" s="358"/>
      <c r="M28" s="358"/>
      <c r="N28" s="358"/>
      <c r="O28" s="358" t="s">
        <v>623</v>
      </c>
      <c r="P28" s="358" t="s">
        <v>102</v>
      </c>
      <c r="Q28" s="409">
        <v>214</v>
      </c>
      <c r="R28" s="358">
        <v>40</v>
      </c>
      <c r="S28" s="358" t="s">
        <v>416</v>
      </c>
      <c r="T28" s="358"/>
      <c r="U28" s="358"/>
      <c r="V28" s="358"/>
      <c r="W28" s="358"/>
      <c r="X28" s="358"/>
      <c r="Y28" s="358"/>
      <c r="Z28" s="358"/>
      <c r="AA28" s="358"/>
      <c r="AB28" s="358"/>
      <c r="AC28" s="358"/>
      <c r="AD28" s="358"/>
      <c r="AE28" s="358"/>
      <c r="AF28" s="358"/>
      <c r="AG28" s="358"/>
      <c r="AH28" s="358"/>
      <c r="AI28" s="358"/>
      <c r="AJ28" s="358"/>
      <c r="AK28" s="358"/>
      <c r="AL28" s="358"/>
      <c r="AM28" s="358"/>
      <c r="AN28" s="358"/>
      <c r="AO28" s="358"/>
      <c r="AP28" s="358"/>
      <c r="AQ28" s="358"/>
      <c r="AR28" s="358"/>
      <c r="AS28" s="358"/>
      <c r="AT28" s="358"/>
      <c r="AU28" s="358"/>
      <c r="AV28" s="358"/>
    </row>
    <row r="29" spans="1:48">
      <c r="A29" s="595"/>
      <c r="B29" s="598"/>
      <c r="C29" s="599"/>
      <c r="D29" s="1050" t="s">
        <v>648</v>
      </c>
      <c r="E29" s="1060">
        <f>E24</f>
        <v>10900</v>
      </c>
      <c r="F29" s="1056">
        <v>0.33333333333333331</v>
      </c>
      <c r="G29" s="1062">
        <f>E29*F29</f>
        <v>3633.333333333333</v>
      </c>
      <c r="H29" s="358"/>
      <c r="I29" s="358"/>
      <c r="J29" s="358"/>
      <c r="K29" s="358"/>
      <c r="L29" s="358"/>
      <c r="M29" s="358"/>
      <c r="N29" s="358"/>
      <c r="O29" s="358" t="s">
        <v>623</v>
      </c>
      <c r="P29" s="358" t="s">
        <v>102</v>
      </c>
      <c r="Q29" s="409">
        <v>234</v>
      </c>
      <c r="R29" s="358">
        <v>40</v>
      </c>
      <c r="S29" s="358" t="s">
        <v>416</v>
      </c>
      <c r="T29" s="358"/>
      <c r="U29" s="358"/>
      <c r="V29" s="358"/>
      <c r="W29" s="358"/>
      <c r="X29" s="358"/>
      <c r="Y29" s="358"/>
      <c r="Z29" s="358"/>
      <c r="AA29" s="358"/>
      <c r="AB29" s="358"/>
      <c r="AC29" s="358"/>
      <c r="AD29" s="358"/>
      <c r="AE29" s="358"/>
      <c r="AF29" s="358"/>
      <c r="AG29" s="358"/>
      <c r="AH29" s="358"/>
      <c r="AI29" s="358"/>
      <c r="AJ29" s="358"/>
      <c r="AK29" s="358"/>
      <c r="AL29" s="358"/>
      <c r="AM29" s="358"/>
      <c r="AN29" s="358"/>
      <c r="AO29" s="358"/>
      <c r="AP29" s="358"/>
      <c r="AQ29" s="358"/>
      <c r="AR29" s="358"/>
      <c r="AS29" s="358"/>
      <c r="AT29" s="358"/>
      <c r="AU29" s="358"/>
      <c r="AV29" s="358"/>
    </row>
    <row r="30" spans="1:48">
      <c r="A30" s="595"/>
      <c r="B30" s="598"/>
      <c r="C30" s="599"/>
      <c r="D30" s="358"/>
      <c r="E30" s="358"/>
      <c r="F30" s="359"/>
      <c r="G30" s="360"/>
      <c r="H30" s="358"/>
      <c r="I30" s="358"/>
      <c r="J30" s="358"/>
      <c r="K30" s="358"/>
      <c r="L30" s="358"/>
      <c r="M30" s="358"/>
      <c r="N30" s="358"/>
      <c r="O30" s="358" t="s">
        <v>623</v>
      </c>
      <c r="P30" s="358" t="s">
        <v>102</v>
      </c>
      <c r="Q30" s="409">
        <v>240.8</v>
      </c>
      <c r="R30" s="358">
        <v>30</v>
      </c>
      <c r="S30" s="358" t="s">
        <v>416</v>
      </c>
      <c r="T30" s="358"/>
      <c r="U30" s="358"/>
      <c r="V30" s="358"/>
      <c r="W30" s="358"/>
      <c r="X30" s="358"/>
      <c r="Y30" s="358"/>
      <c r="Z30" s="358"/>
      <c r="AA30" s="358"/>
      <c r="AB30" s="358"/>
      <c r="AC30" s="358"/>
      <c r="AD30" s="358"/>
      <c r="AE30" s="358"/>
      <c r="AF30" s="358"/>
      <c r="AG30" s="358"/>
      <c r="AH30" s="358"/>
      <c r="AI30" s="358"/>
      <c r="AJ30" s="358"/>
      <c r="AK30" s="358"/>
      <c r="AL30" s="358"/>
      <c r="AM30" s="358"/>
      <c r="AN30" s="358"/>
      <c r="AO30" s="358"/>
      <c r="AP30" s="358"/>
      <c r="AQ30" s="358"/>
      <c r="AR30" s="358"/>
      <c r="AS30" s="358"/>
      <c r="AT30" s="358"/>
      <c r="AU30" s="358"/>
      <c r="AV30" s="358"/>
    </row>
    <row r="31" spans="1:48">
      <c r="A31" s="595"/>
      <c r="B31" s="598"/>
      <c r="C31" s="599"/>
      <c r="D31" s="1063" t="s">
        <v>649</v>
      </c>
      <c r="E31" s="1064"/>
      <c r="F31" s="359"/>
      <c r="G31" s="360"/>
      <c r="H31" s="358"/>
      <c r="I31" s="358"/>
      <c r="J31" s="358"/>
      <c r="K31" s="358"/>
      <c r="L31" s="358"/>
      <c r="M31" s="358"/>
      <c r="N31" s="358"/>
      <c r="O31" s="358" t="s">
        <v>623</v>
      </c>
      <c r="P31" s="358" t="s">
        <v>102</v>
      </c>
      <c r="Q31" s="409">
        <v>248.6</v>
      </c>
      <c r="R31" s="358">
        <v>40</v>
      </c>
      <c r="S31" s="358" t="s">
        <v>416</v>
      </c>
      <c r="T31" s="358"/>
      <c r="U31" s="358"/>
      <c r="V31" s="358"/>
      <c r="W31" s="358"/>
      <c r="X31" s="358"/>
      <c r="Y31" s="358"/>
      <c r="Z31" s="358"/>
      <c r="AA31" s="358"/>
      <c r="AB31" s="358"/>
      <c r="AC31" s="358"/>
      <c r="AD31" s="358"/>
      <c r="AE31" s="358"/>
      <c r="AF31" s="358"/>
      <c r="AG31" s="358"/>
      <c r="AH31" s="358"/>
      <c r="AI31" s="358"/>
      <c r="AJ31" s="358"/>
      <c r="AK31" s="358"/>
      <c r="AL31" s="358"/>
      <c r="AM31" s="358"/>
      <c r="AN31" s="358"/>
      <c r="AO31" s="358"/>
      <c r="AP31" s="358"/>
      <c r="AQ31" s="358"/>
      <c r="AR31" s="358"/>
      <c r="AS31" s="358"/>
      <c r="AT31" s="358"/>
      <c r="AU31" s="358"/>
      <c r="AV31" s="358"/>
    </row>
    <row r="32" spans="1:48">
      <c r="A32" s="595"/>
      <c r="B32" s="598"/>
      <c r="C32" s="599"/>
      <c r="D32" s="1065" t="s">
        <v>650</v>
      </c>
      <c r="E32" s="1066" t="s">
        <v>416</v>
      </c>
      <c r="F32" s="359"/>
      <c r="G32" s="360"/>
      <c r="H32" s="358"/>
      <c r="I32" s="358"/>
      <c r="J32" s="358"/>
      <c r="K32" s="358"/>
      <c r="L32" s="358"/>
      <c r="M32" s="358"/>
      <c r="N32" s="358"/>
      <c r="O32" s="358" t="s">
        <v>623</v>
      </c>
      <c r="P32" s="358" t="s">
        <v>102</v>
      </c>
      <c r="Q32" s="409">
        <v>252</v>
      </c>
      <c r="R32" s="358">
        <v>20</v>
      </c>
      <c r="S32" s="358" t="s">
        <v>416</v>
      </c>
      <c r="T32" s="358"/>
      <c r="U32" s="358"/>
      <c r="V32" s="358"/>
      <c r="W32" s="358"/>
      <c r="X32" s="358"/>
      <c r="Y32" s="358"/>
      <c r="Z32" s="358"/>
      <c r="AA32" s="358"/>
      <c r="AB32" s="358"/>
      <c r="AC32" s="358"/>
      <c r="AD32" s="358"/>
      <c r="AE32" s="358"/>
      <c r="AF32" s="358"/>
      <c r="AG32" s="358"/>
      <c r="AH32" s="358"/>
      <c r="AI32" s="358"/>
      <c r="AJ32" s="358"/>
      <c r="AK32" s="358"/>
      <c r="AL32" s="358"/>
      <c r="AM32" s="358"/>
      <c r="AN32" s="358"/>
      <c r="AO32" s="358"/>
      <c r="AP32" s="358"/>
      <c r="AQ32" s="358"/>
      <c r="AR32" s="358"/>
      <c r="AS32" s="358"/>
      <c r="AT32" s="358"/>
      <c r="AU32" s="358"/>
      <c r="AV32" s="358"/>
    </row>
    <row r="33" spans="1:48">
      <c r="A33" s="595"/>
      <c r="B33" s="598"/>
      <c r="C33" s="599"/>
      <c r="D33" s="1057" t="s">
        <v>38</v>
      </c>
      <c r="E33" s="1058">
        <f>SUM(E34:E35)</f>
        <v>4348</v>
      </c>
      <c r="F33" s="359"/>
      <c r="G33" s="360"/>
      <c r="H33" s="358"/>
      <c r="I33" s="358"/>
      <c r="J33" s="358"/>
      <c r="K33" s="358"/>
      <c r="L33" s="358"/>
      <c r="M33" s="358"/>
      <c r="N33" s="358"/>
      <c r="O33" s="358" t="s">
        <v>623</v>
      </c>
      <c r="P33" s="358" t="s">
        <v>102</v>
      </c>
      <c r="Q33" s="409">
        <v>256.2</v>
      </c>
      <c r="R33" s="358">
        <v>30</v>
      </c>
      <c r="S33" s="358" t="s">
        <v>416</v>
      </c>
      <c r="T33" s="358"/>
      <c r="U33" s="358"/>
      <c r="V33" s="358"/>
      <c r="W33" s="358"/>
      <c r="X33" s="358"/>
      <c r="Y33" s="358"/>
      <c r="Z33" s="358"/>
      <c r="AA33" s="358"/>
      <c r="AB33" s="358"/>
      <c r="AC33" s="358"/>
      <c r="AD33" s="358"/>
      <c r="AE33" s="358"/>
      <c r="AF33" s="358"/>
      <c r="AG33" s="358"/>
      <c r="AH33" s="358"/>
      <c r="AI33" s="358"/>
      <c r="AJ33" s="358"/>
      <c r="AK33" s="358"/>
      <c r="AL33" s="358"/>
      <c r="AM33" s="358"/>
      <c r="AN33" s="358"/>
      <c r="AO33" s="358"/>
      <c r="AP33" s="358"/>
      <c r="AQ33" s="358"/>
      <c r="AR33" s="358"/>
      <c r="AS33" s="358"/>
      <c r="AT33" s="358"/>
      <c r="AU33" s="358"/>
      <c r="AV33" s="358"/>
    </row>
    <row r="34" spans="1:48">
      <c r="A34" s="595"/>
      <c r="B34" s="598"/>
      <c r="C34" s="599"/>
      <c r="D34" s="1067" t="s">
        <v>651</v>
      </c>
      <c r="E34" s="1058">
        <f>E11</f>
        <v>0</v>
      </c>
      <c r="F34" s="359"/>
      <c r="G34" s="360"/>
      <c r="H34" s="358"/>
      <c r="I34" s="358"/>
      <c r="J34" s="358"/>
      <c r="K34" s="358"/>
      <c r="L34" s="358"/>
      <c r="M34" s="358"/>
      <c r="N34" s="358"/>
      <c r="O34" s="358" t="s">
        <v>623</v>
      </c>
      <c r="P34" s="358" t="s">
        <v>102</v>
      </c>
      <c r="Q34" s="409">
        <v>258</v>
      </c>
      <c r="R34" s="358">
        <v>50</v>
      </c>
      <c r="S34" s="358" t="s">
        <v>416</v>
      </c>
      <c r="T34" s="358"/>
      <c r="U34" s="358"/>
      <c r="V34" s="358"/>
      <c r="W34" s="358"/>
      <c r="X34" s="358"/>
      <c r="Y34" s="358"/>
      <c r="Z34" s="358"/>
      <c r="AA34" s="358"/>
      <c r="AB34" s="358"/>
      <c r="AC34" s="358"/>
      <c r="AD34" s="358"/>
      <c r="AE34" s="358"/>
      <c r="AF34" s="358"/>
      <c r="AG34" s="358"/>
      <c r="AH34" s="358"/>
      <c r="AI34" s="358"/>
      <c r="AJ34" s="358"/>
      <c r="AK34" s="358"/>
      <c r="AL34" s="358"/>
      <c r="AM34" s="358"/>
      <c r="AN34" s="358"/>
      <c r="AO34" s="358"/>
      <c r="AP34" s="358"/>
      <c r="AQ34" s="358"/>
      <c r="AR34" s="358"/>
      <c r="AS34" s="358"/>
      <c r="AT34" s="358"/>
      <c r="AU34" s="358"/>
      <c r="AV34" s="358"/>
    </row>
    <row r="35" spans="1:48">
      <c r="A35" s="595"/>
      <c r="B35" s="598"/>
      <c r="C35" s="599"/>
      <c r="D35" s="1067" t="s">
        <v>652</v>
      </c>
      <c r="E35" s="1058">
        <f>E12</f>
        <v>4348</v>
      </c>
      <c r="F35" s="359"/>
      <c r="G35" s="360"/>
      <c r="H35" s="358"/>
      <c r="I35" s="358"/>
      <c r="J35" s="358"/>
      <c r="K35" s="358"/>
      <c r="L35" s="358"/>
      <c r="M35" s="358"/>
      <c r="N35" s="358"/>
      <c r="O35" s="358" t="s">
        <v>623</v>
      </c>
      <c r="P35" s="358" t="s">
        <v>102</v>
      </c>
      <c r="Q35" s="409">
        <v>264.60000000000002</v>
      </c>
      <c r="R35" s="358">
        <v>40</v>
      </c>
      <c r="S35" s="358" t="s">
        <v>416</v>
      </c>
      <c r="T35" s="358"/>
      <c r="U35" s="358"/>
      <c r="V35" s="358"/>
      <c r="W35" s="358"/>
      <c r="X35" s="358"/>
      <c r="Y35" s="358"/>
      <c r="Z35" s="358"/>
      <c r="AA35" s="358"/>
      <c r="AB35" s="358"/>
      <c r="AC35" s="358"/>
      <c r="AD35" s="358"/>
      <c r="AE35" s="358"/>
      <c r="AF35" s="358"/>
      <c r="AG35" s="358"/>
      <c r="AH35" s="358"/>
      <c r="AI35" s="358"/>
      <c r="AJ35" s="358"/>
      <c r="AK35" s="358"/>
      <c r="AL35" s="358"/>
      <c r="AM35" s="358"/>
      <c r="AN35" s="358"/>
      <c r="AO35" s="358"/>
      <c r="AP35" s="358"/>
      <c r="AQ35" s="358"/>
      <c r="AR35" s="358"/>
      <c r="AS35" s="358"/>
      <c r="AT35" s="358"/>
      <c r="AU35" s="358"/>
      <c r="AV35" s="358"/>
    </row>
    <row r="36" spans="1:48">
      <c r="A36" s="595"/>
      <c r="B36" s="598"/>
      <c r="C36" s="599"/>
      <c r="D36" s="1065" t="s">
        <v>653</v>
      </c>
      <c r="E36" s="1066" t="s">
        <v>339</v>
      </c>
      <c r="F36" s="359"/>
      <c r="G36" s="360"/>
      <c r="H36" s="358"/>
      <c r="I36" s="358"/>
      <c r="J36" s="358"/>
      <c r="K36" s="358"/>
      <c r="L36" s="358"/>
      <c r="M36" s="358"/>
      <c r="N36" s="358"/>
      <c r="O36" s="358" t="s">
        <v>654</v>
      </c>
      <c r="P36" s="358" t="s">
        <v>102</v>
      </c>
      <c r="Q36" s="409">
        <v>302.8</v>
      </c>
      <c r="R36" s="358">
        <v>50</v>
      </c>
      <c r="S36" s="358" t="s">
        <v>416</v>
      </c>
      <c r="T36" s="358"/>
      <c r="U36" s="358"/>
      <c r="V36" s="358"/>
      <c r="W36" s="358"/>
      <c r="X36" s="358"/>
      <c r="Y36" s="358"/>
      <c r="Z36" s="358"/>
      <c r="AA36" s="358"/>
      <c r="AB36" s="358"/>
      <c r="AC36" s="358"/>
      <c r="AD36" s="358"/>
      <c r="AE36" s="358"/>
      <c r="AF36" s="358"/>
      <c r="AG36" s="358"/>
      <c r="AH36" s="358"/>
      <c r="AI36" s="358"/>
      <c r="AJ36" s="358"/>
      <c r="AK36" s="358"/>
      <c r="AL36" s="358"/>
      <c r="AM36" s="358"/>
      <c r="AN36" s="358"/>
      <c r="AO36" s="358"/>
      <c r="AP36" s="358"/>
      <c r="AQ36" s="358"/>
      <c r="AR36" s="358"/>
      <c r="AS36" s="358"/>
      <c r="AT36" s="358"/>
      <c r="AU36" s="358"/>
      <c r="AV36" s="358"/>
    </row>
    <row r="37" spans="1:48">
      <c r="A37" s="595"/>
      <c r="B37" s="598"/>
      <c r="C37" s="599"/>
      <c r="D37" s="1057" t="s">
        <v>38</v>
      </c>
      <c r="E37" s="1058">
        <f>E23</f>
        <v>10900</v>
      </c>
      <c r="F37" s="359"/>
      <c r="G37" s="360"/>
      <c r="H37" s="358"/>
      <c r="I37" s="358"/>
      <c r="J37" s="358"/>
      <c r="K37" s="358"/>
      <c r="L37" s="358"/>
      <c r="M37" s="358"/>
      <c r="N37" s="358"/>
      <c r="O37" s="358" t="s">
        <v>655</v>
      </c>
      <c r="P37" s="358" t="s">
        <v>102</v>
      </c>
      <c r="Q37" s="409">
        <v>2</v>
      </c>
      <c r="R37" s="358">
        <v>30</v>
      </c>
      <c r="S37" s="358" t="s">
        <v>416</v>
      </c>
      <c r="T37" s="358"/>
      <c r="U37" s="358"/>
      <c r="V37" s="358"/>
      <c r="W37" s="358"/>
      <c r="X37" s="358"/>
      <c r="Y37" s="358"/>
      <c r="Z37" s="358"/>
      <c r="AA37" s="358"/>
      <c r="AB37" s="358"/>
      <c r="AC37" s="358"/>
      <c r="AD37" s="358"/>
      <c r="AE37" s="358"/>
      <c r="AF37" s="358"/>
      <c r="AG37" s="358"/>
      <c r="AH37" s="358"/>
      <c r="AI37" s="358"/>
      <c r="AJ37" s="358"/>
      <c r="AK37" s="358"/>
      <c r="AL37" s="358"/>
      <c r="AM37" s="358"/>
      <c r="AN37" s="358"/>
      <c r="AO37" s="358"/>
      <c r="AP37" s="358"/>
      <c r="AQ37" s="358"/>
      <c r="AR37" s="358"/>
      <c r="AS37" s="358"/>
      <c r="AT37" s="358"/>
      <c r="AU37" s="358"/>
      <c r="AV37" s="358"/>
    </row>
    <row r="38" spans="1:48">
      <c r="A38" s="595"/>
      <c r="B38" s="598"/>
      <c r="C38" s="599"/>
      <c r="D38" s="1068" t="s">
        <v>656</v>
      </c>
      <c r="E38" s="1046" t="s">
        <v>474</v>
      </c>
      <c r="F38" s="359"/>
      <c r="G38" s="360"/>
      <c r="H38" s="358"/>
      <c r="I38" s="358"/>
      <c r="J38" s="358"/>
      <c r="K38" s="358"/>
      <c r="L38" s="358"/>
      <c r="M38" s="358"/>
      <c r="N38" s="358"/>
      <c r="O38" s="358" t="s">
        <v>657</v>
      </c>
      <c r="P38" s="358" t="s">
        <v>102</v>
      </c>
      <c r="Q38" s="409">
        <v>10</v>
      </c>
      <c r="R38" s="358">
        <v>35</v>
      </c>
      <c r="S38" s="358" t="s">
        <v>416</v>
      </c>
      <c r="T38" s="358"/>
      <c r="U38" s="358"/>
      <c r="V38" s="358"/>
      <c r="W38" s="358"/>
      <c r="X38" s="358"/>
      <c r="Y38" s="358"/>
      <c r="Z38" s="358"/>
      <c r="AA38" s="358"/>
      <c r="AB38" s="358"/>
      <c r="AC38" s="358"/>
      <c r="AD38" s="358"/>
      <c r="AE38" s="358"/>
      <c r="AF38" s="358"/>
      <c r="AG38" s="358"/>
      <c r="AH38" s="358"/>
      <c r="AI38" s="358"/>
      <c r="AJ38" s="358"/>
      <c r="AK38" s="358"/>
      <c r="AL38" s="358"/>
      <c r="AM38" s="358"/>
      <c r="AN38" s="358"/>
      <c r="AO38" s="358"/>
      <c r="AP38" s="358"/>
      <c r="AQ38" s="358"/>
      <c r="AR38" s="358"/>
      <c r="AS38" s="358"/>
      <c r="AT38" s="358"/>
      <c r="AU38" s="358"/>
      <c r="AV38" s="358"/>
    </row>
    <row r="39" spans="1:48">
      <c r="A39" s="595"/>
      <c r="B39" s="598"/>
      <c r="C39" s="599"/>
      <c r="D39" s="1057" t="s">
        <v>38</v>
      </c>
      <c r="E39" s="1058">
        <f>E37</f>
        <v>10900</v>
      </c>
      <c r="F39" s="359"/>
      <c r="G39" s="360"/>
      <c r="H39" s="358"/>
      <c r="I39" s="358"/>
      <c r="J39" s="358"/>
      <c r="K39" s="358"/>
      <c r="L39" s="358"/>
      <c r="M39" s="358"/>
      <c r="N39" s="358"/>
      <c r="O39" s="358" t="s">
        <v>658</v>
      </c>
      <c r="P39" s="358" t="s">
        <v>102</v>
      </c>
      <c r="Q39" s="409">
        <v>27</v>
      </c>
      <c r="R39" s="358">
        <v>40</v>
      </c>
      <c r="S39" s="358" t="s">
        <v>416</v>
      </c>
      <c r="T39" s="358"/>
      <c r="U39" s="358"/>
      <c r="V39" s="358"/>
      <c r="W39" s="358"/>
      <c r="X39" s="358"/>
      <c r="Y39" s="358"/>
      <c r="Z39" s="358"/>
      <c r="AA39" s="358"/>
      <c r="AB39" s="358"/>
      <c r="AC39" s="358"/>
      <c r="AD39" s="358"/>
      <c r="AE39" s="358"/>
      <c r="AF39" s="358"/>
      <c r="AG39" s="358"/>
      <c r="AH39" s="358"/>
      <c r="AI39" s="358"/>
      <c r="AJ39" s="358"/>
      <c r="AK39" s="358"/>
      <c r="AL39" s="358"/>
      <c r="AM39" s="358"/>
      <c r="AN39" s="358"/>
      <c r="AO39" s="358"/>
      <c r="AP39" s="358"/>
      <c r="AQ39" s="358"/>
      <c r="AR39" s="358"/>
      <c r="AS39" s="358"/>
      <c r="AT39" s="358"/>
      <c r="AU39" s="358"/>
      <c r="AV39" s="358"/>
    </row>
    <row r="40" spans="1:48">
      <c r="A40" s="595"/>
      <c r="B40" s="598"/>
      <c r="C40" s="599"/>
      <c r="D40" s="1068" t="s">
        <v>438</v>
      </c>
      <c r="E40" s="1046" t="s">
        <v>416</v>
      </c>
      <c r="F40" s="359"/>
      <c r="G40" s="360"/>
      <c r="H40" s="358"/>
      <c r="I40" s="358"/>
      <c r="J40" s="358"/>
      <c r="K40" s="358"/>
      <c r="L40" s="358"/>
      <c r="M40" s="358"/>
      <c r="N40" s="358"/>
      <c r="O40" s="358" t="s">
        <v>659</v>
      </c>
      <c r="P40" s="358" t="s">
        <v>102</v>
      </c>
      <c r="Q40" s="409">
        <v>38.6</v>
      </c>
      <c r="R40" s="358">
        <v>30</v>
      </c>
      <c r="S40" s="358" t="s">
        <v>416</v>
      </c>
      <c r="T40" s="358"/>
      <c r="U40" s="358"/>
      <c r="V40" s="358"/>
      <c r="W40" s="358"/>
      <c r="X40" s="358"/>
      <c r="Y40" s="358"/>
      <c r="Z40" s="358"/>
      <c r="AA40" s="358"/>
      <c r="AB40" s="358"/>
      <c r="AC40" s="358"/>
      <c r="AD40" s="358"/>
      <c r="AE40" s="358"/>
      <c r="AF40" s="358"/>
      <c r="AG40" s="358"/>
      <c r="AH40" s="358"/>
      <c r="AI40" s="358"/>
      <c r="AJ40" s="358"/>
      <c r="AK40" s="358"/>
      <c r="AL40" s="358"/>
      <c r="AM40" s="358"/>
      <c r="AN40" s="358"/>
      <c r="AO40" s="358"/>
      <c r="AP40" s="358"/>
      <c r="AQ40" s="358"/>
      <c r="AR40" s="358"/>
      <c r="AS40" s="358"/>
      <c r="AT40" s="358"/>
      <c r="AU40" s="358"/>
      <c r="AV40" s="358"/>
    </row>
    <row r="41" spans="1:48">
      <c r="A41" s="595"/>
      <c r="B41" s="598"/>
      <c r="C41" s="599"/>
      <c r="D41" s="1057" t="s">
        <v>38</v>
      </c>
      <c r="E41" s="1058">
        <f>SUM(E21)</f>
        <v>20</v>
      </c>
      <c r="F41" s="359"/>
      <c r="G41" s="360"/>
      <c r="H41" s="358"/>
      <c r="I41" s="358"/>
      <c r="J41" s="358"/>
      <c r="K41" s="358"/>
      <c r="L41" s="358"/>
      <c r="M41" s="358"/>
      <c r="N41" s="358"/>
      <c r="O41" s="358" t="s">
        <v>660</v>
      </c>
      <c r="P41" s="358" t="s">
        <v>102</v>
      </c>
      <c r="Q41" s="409">
        <v>44</v>
      </c>
      <c r="R41" s="358">
        <v>280</v>
      </c>
      <c r="S41" s="358" t="s">
        <v>416</v>
      </c>
      <c r="T41" s="358"/>
      <c r="U41" s="358"/>
      <c r="V41" s="358"/>
      <c r="W41" s="358"/>
      <c r="X41" s="358"/>
      <c r="Y41" s="358"/>
      <c r="Z41" s="358"/>
      <c r="AA41" s="358"/>
      <c r="AB41" s="358"/>
      <c r="AC41" s="358"/>
      <c r="AD41" s="358"/>
      <c r="AE41" s="358"/>
      <c r="AF41" s="358"/>
      <c r="AG41" s="358"/>
      <c r="AH41" s="358"/>
      <c r="AI41" s="358"/>
      <c r="AJ41" s="358"/>
      <c r="AK41" s="358"/>
      <c r="AL41" s="358"/>
      <c r="AM41" s="358"/>
      <c r="AN41" s="358"/>
      <c r="AO41" s="358"/>
      <c r="AP41" s="358"/>
      <c r="AQ41" s="358"/>
      <c r="AR41" s="358"/>
      <c r="AS41" s="358"/>
      <c r="AT41" s="358"/>
      <c r="AU41" s="358"/>
      <c r="AV41" s="358"/>
    </row>
    <row r="42" spans="1:48">
      <c r="A42" s="595"/>
      <c r="B42" s="598"/>
      <c r="C42" s="599"/>
      <c r="D42" s="1068" t="s">
        <v>661</v>
      </c>
      <c r="E42" s="1046" t="s">
        <v>474</v>
      </c>
      <c r="F42" s="359"/>
      <c r="G42" s="360"/>
      <c r="H42" s="358"/>
      <c r="I42" s="358"/>
      <c r="J42" s="358"/>
      <c r="K42" s="358"/>
      <c r="L42" s="358"/>
      <c r="M42" s="358"/>
      <c r="N42" s="358"/>
      <c r="O42" s="358" t="s">
        <v>662</v>
      </c>
      <c r="P42" s="358" t="s">
        <v>102</v>
      </c>
      <c r="Q42" s="409">
        <v>0.5</v>
      </c>
      <c r="R42" s="358">
        <v>15</v>
      </c>
      <c r="S42" s="358" t="s">
        <v>416</v>
      </c>
      <c r="T42" s="358"/>
      <c r="U42" s="358"/>
      <c r="V42" s="358"/>
      <c r="W42" s="358"/>
      <c r="X42" s="358"/>
      <c r="Y42" s="358"/>
      <c r="Z42" s="358"/>
      <c r="AA42" s="358"/>
      <c r="AB42" s="358"/>
      <c r="AC42" s="358"/>
      <c r="AD42" s="358"/>
      <c r="AE42" s="358"/>
      <c r="AF42" s="358"/>
      <c r="AG42" s="358"/>
      <c r="AH42" s="358"/>
      <c r="AI42" s="358"/>
      <c r="AJ42" s="358"/>
      <c r="AK42" s="358"/>
      <c r="AL42" s="358"/>
      <c r="AM42" s="358"/>
      <c r="AN42" s="358"/>
      <c r="AO42" s="358"/>
      <c r="AP42" s="358"/>
      <c r="AQ42" s="358"/>
      <c r="AR42" s="358"/>
      <c r="AS42" s="358"/>
      <c r="AT42" s="358"/>
      <c r="AU42" s="358"/>
      <c r="AV42" s="358"/>
    </row>
    <row r="43" spans="1:48">
      <c r="A43" s="595"/>
      <c r="B43" s="598"/>
      <c r="C43" s="599"/>
      <c r="D43" s="1057" t="s">
        <v>38</v>
      </c>
      <c r="E43" s="1058">
        <f>E22</f>
        <v>20</v>
      </c>
      <c r="F43" s="359"/>
      <c r="G43" s="360"/>
      <c r="H43" s="358"/>
      <c r="I43" s="358"/>
      <c r="J43" s="358"/>
      <c r="K43" s="358"/>
      <c r="L43" s="358"/>
      <c r="M43" s="358"/>
      <c r="N43" s="358"/>
      <c r="O43" s="1881" t="s">
        <v>38</v>
      </c>
      <c r="P43" s="1881"/>
      <c r="Q43" s="1881"/>
      <c r="R43" s="282">
        <f>SUM(R4:R42)</f>
        <v>2174</v>
      </c>
      <c r="S43" s="282" t="s">
        <v>416</v>
      </c>
      <c r="T43" s="358"/>
      <c r="U43" s="358"/>
      <c r="V43" s="358"/>
      <c r="W43" s="358"/>
      <c r="X43" s="358"/>
      <c r="Y43" s="358"/>
      <c r="Z43" s="358"/>
      <c r="AA43" s="358"/>
      <c r="AB43" s="358"/>
      <c r="AC43" s="358"/>
      <c r="AD43" s="358"/>
      <c r="AE43" s="358"/>
      <c r="AF43" s="358"/>
      <c r="AG43" s="358"/>
      <c r="AH43" s="358"/>
      <c r="AI43" s="358"/>
      <c r="AJ43" s="358"/>
      <c r="AK43" s="358"/>
      <c r="AL43" s="358"/>
      <c r="AM43" s="358"/>
      <c r="AN43" s="358"/>
      <c r="AO43" s="358"/>
      <c r="AP43" s="358"/>
      <c r="AQ43" s="358"/>
      <c r="AR43" s="358"/>
      <c r="AS43" s="358"/>
      <c r="AT43" s="358"/>
      <c r="AU43" s="358"/>
      <c r="AV43" s="358"/>
    </row>
    <row r="44" spans="1:48">
      <c r="A44" s="595"/>
      <c r="B44" s="598"/>
      <c r="C44" s="599"/>
      <c r="D44" s="1068" t="s">
        <v>663</v>
      </c>
      <c r="E44" s="1046" t="s">
        <v>339</v>
      </c>
      <c r="F44" s="359"/>
      <c r="G44" s="360"/>
      <c r="H44" s="358"/>
      <c r="I44" s="358"/>
      <c r="J44" s="358"/>
      <c r="K44" s="358"/>
      <c r="L44" s="358"/>
      <c r="M44" s="358"/>
      <c r="N44" s="358"/>
      <c r="O44" s="358"/>
      <c r="P44" s="358"/>
      <c r="Q44" s="409"/>
      <c r="R44" s="358"/>
      <c r="S44" s="358"/>
      <c r="T44" s="358"/>
      <c r="U44" s="358"/>
      <c r="V44" s="358"/>
      <c r="W44" s="358"/>
      <c r="X44" s="358"/>
      <c r="Y44" s="358"/>
      <c r="Z44" s="358"/>
      <c r="AA44" s="358"/>
      <c r="AB44" s="358"/>
      <c r="AC44" s="358"/>
      <c r="AD44" s="358"/>
      <c r="AE44" s="358"/>
      <c r="AF44" s="358"/>
      <c r="AG44" s="358"/>
      <c r="AH44" s="358"/>
      <c r="AI44" s="358"/>
      <c r="AJ44" s="358"/>
      <c r="AK44" s="358"/>
      <c r="AL44" s="358"/>
      <c r="AM44" s="358"/>
      <c r="AN44" s="358"/>
      <c r="AO44" s="358"/>
      <c r="AP44" s="358"/>
      <c r="AQ44" s="358"/>
      <c r="AR44" s="358"/>
      <c r="AS44" s="358"/>
      <c r="AT44" s="358"/>
      <c r="AU44" s="358"/>
      <c r="AV44" s="358"/>
    </row>
    <row r="45" spans="1:48">
      <c r="A45" s="595"/>
      <c r="B45" s="598"/>
      <c r="C45" s="599"/>
      <c r="D45" s="1057" t="s">
        <v>38</v>
      </c>
      <c r="E45" s="1058">
        <f>E37</f>
        <v>10900</v>
      </c>
      <c r="F45" s="359"/>
      <c r="G45" s="360"/>
      <c r="H45" s="358"/>
      <c r="I45" s="358"/>
      <c r="J45" s="358"/>
      <c r="K45" s="358"/>
      <c r="L45" s="358"/>
      <c r="M45" s="358"/>
      <c r="N45" s="358"/>
      <c r="O45" s="358"/>
      <c r="P45" s="358"/>
      <c r="Q45" s="409"/>
      <c r="R45" s="358"/>
      <c r="S45" s="358"/>
      <c r="T45" s="358"/>
      <c r="U45" s="358"/>
      <c r="V45" s="358"/>
      <c r="W45" s="358"/>
      <c r="X45" s="358"/>
      <c r="Y45" s="358"/>
      <c r="Z45" s="358"/>
      <c r="AA45" s="358"/>
      <c r="AB45" s="358"/>
      <c r="AC45" s="358"/>
      <c r="AD45" s="358"/>
      <c r="AE45" s="358"/>
      <c r="AF45" s="358"/>
      <c r="AG45" s="358"/>
      <c r="AH45" s="358"/>
      <c r="AI45" s="358"/>
      <c r="AJ45" s="358"/>
      <c r="AK45" s="358"/>
      <c r="AL45" s="358"/>
      <c r="AM45" s="358"/>
      <c r="AN45" s="358"/>
      <c r="AO45" s="358"/>
      <c r="AP45" s="358"/>
      <c r="AQ45" s="358"/>
      <c r="AR45" s="358"/>
      <c r="AS45" s="358"/>
      <c r="AT45" s="358"/>
      <c r="AU45" s="358"/>
      <c r="AV45" s="358"/>
    </row>
    <row r="46" spans="1:48">
      <c r="A46" s="595"/>
      <c r="B46" s="598"/>
      <c r="C46" s="599"/>
      <c r="D46" s="1068" t="s">
        <v>664</v>
      </c>
      <c r="E46" s="1046" t="s">
        <v>339</v>
      </c>
      <c r="F46" s="359"/>
      <c r="G46" s="360"/>
      <c r="H46" s="358"/>
      <c r="I46" s="358"/>
      <c r="J46" s="358"/>
      <c r="K46" s="358"/>
      <c r="L46" s="358"/>
      <c r="M46" s="358"/>
      <c r="N46" s="358"/>
      <c r="O46" s="358"/>
      <c r="P46" s="358"/>
      <c r="Q46" s="409"/>
      <c r="R46" s="358"/>
      <c r="S46" s="358"/>
      <c r="T46" s="358"/>
      <c r="U46" s="358"/>
      <c r="V46" s="358"/>
      <c r="W46" s="358"/>
      <c r="X46" s="358"/>
      <c r="Y46" s="358"/>
      <c r="Z46" s="358"/>
      <c r="AA46" s="358"/>
      <c r="AB46" s="358"/>
      <c r="AC46" s="358"/>
      <c r="AD46" s="358"/>
      <c r="AE46" s="358"/>
      <c r="AF46" s="358"/>
      <c r="AG46" s="358"/>
      <c r="AH46" s="358"/>
      <c r="AI46" s="358"/>
      <c r="AJ46" s="358"/>
      <c r="AK46" s="358"/>
      <c r="AL46" s="358"/>
      <c r="AM46" s="358"/>
      <c r="AN46" s="358"/>
      <c r="AO46" s="358"/>
      <c r="AP46" s="358"/>
      <c r="AQ46" s="358"/>
      <c r="AR46" s="358"/>
      <c r="AS46" s="358"/>
      <c r="AT46" s="358"/>
      <c r="AU46" s="358"/>
      <c r="AV46" s="358"/>
    </row>
    <row r="47" spans="1:48">
      <c r="A47" s="595"/>
      <c r="B47" s="598"/>
      <c r="C47" s="599"/>
      <c r="D47" s="1057" t="s">
        <v>38</v>
      </c>
      <c r="E47" s="1058">
        <f>E37</f>
        <v>10900</v>
      </c>
      <c r="F47" s="359"/>
      <c r="G47" s="360"/>
      <c r="H47" s="358"/>
      <c r="I47" s="358"/>
      <c r="J47" s="358"/>
      <c r="K47" s="358"/>
      <c r="L47" s="358"/>
      <c r="M47" s="358"/>
      <c r="N47" s="358"/>
      <c r="O47" s="358"/>
      <c r="P47" s="358"/>
      <c r="Q47" s="409"/>
      <c r="R47" s="358"/>
      <c r="S47" s="358"/>
      <c r="T47" s="358"/>
      <c r="U47" s="358"/>
      <c r="V47" s="358"/>
      <c r="W47" s="358"/>
      <c r="X47" s="358"/>
      <c r="Y47" s="358"/>
      <c r="Z47" s="358"/>
      <c r="AA47" s="358"/>
      <c r="AB47" s="358"/>
      <c r="AC47" s="358"/>
      <c r="AD47" s="358"/>
      <c r="AE47" s="358"/>
      <c r="AF47" s="358"/>
      <c r="AG47" s="358"/>
      <c r="AH47" s="358"/>
      <c r="AI47" s="358"/>
      <c r="AJ47" s="358"/>
      <c r="AK47" s="358"/>
      <c r="AL47" s="358"/>
      <c r="AM47" s="358"/>
      <c r="AN47" s="358"/>
      <c r="AO47" s="358"/>
      <c r="AP47" s="358"/>
      <c r="AQ47" s="358"/>
      <c r="AR47" s="358"/>
      <c r="AS47" s="358"/>
      <c r="AT47" s="358"/>
      <c r="AU47" s="358"/>
      <c r="AV47" s="358"/>
    </row>
    <row r="48" spans="1:48">
      <c r="A48" s="595"/>
      <c r="B48" s="598"/>
      <c r="C48" s="599"/>
      <c r="D48" s="1068" t="s">
        <v>665</v>
      </c>
      <c r="E48" s="1046" t="s">
        <v>339</v>
      </c>
      <c r="F48" s="359"/>
      <c r="G48" s="360"/>
      <c r="H48" s="358"/>
      <c r="I48" s="358"/>
      <c r="J48" s="358"/>
      <c r="K48" s="358"/>
      <c r="L48" s="358"/>
      <c r="M48" s="358"/>
      <c r="N48" s="358"/>
      <c r="O48" s="358"/>
      <c r="P48" s="358"/>
      <c r="Q48" s="409"/>
      <c r="R48" s="358"/>
      <c r="S48" s="358"/>
      <c r="T48" s="358"/>
      <c r="U48" s="358"/>
      <c r="V48" s="358"/>
      <c r="W48" s="358"/>
      <c r="X48" s="358"/>
      <c r="Y48" s="358"/>
      <c r="Z48" s="358"/>
      <c r="AA48" s="358"/>
      <c r="AB48" s="358"/>
      <c r="AC48" s="358"/>
      <c r="AD48" s="358"/>
      <c r="AE48" s="358"/>
      <c r="AF48" s="358"/>
      <c r="AG48" s="358"/>
      <c r="AH48" s="358"/>
      <c r="AI48" s="358"/>
      <c r="AJ48" s="358"/>
      <c r="AK48" s="358"/>
      <c r="AL48" s="358"/>
      <c r="AM48" s="358"/>
      <c r="AN48" s="358"/>
      <c r="AO48" s="358"/>
      <c r="AP48" s="358"/>
      <c r="AQ48" s="358"/>
      <c r="AR48" s="358"/>
      <c r="AS48" s="358"/>
      <c r="AT48" s="358"/>
      <c r="AU48" s="358"/>
      <c r="AV48" s="358"/>
    </row>
    <row r="49" spans="1:48">
      <c r="A49" s="595"/>
      <c r="B49" s="598"/>
      <c r="C49" s="599"/>
      <c r="D49" s="1057" t="s">
        <v>38</v>
      </c>
      <c r="E49" s="1058">
        <f>E47</f>
        <v>10900</v>
      </c>
      <c r="F49" s="359"/>
      <c r="G49" s="360"/>
      <c r="H49" s="358"/>
      <c r="I49" s="358"/>
      <c r="J49" s="358"/>
      <c r="K49" s="358"/>
      <c r="L49" s="358"/>
      <c r="M49" s="358"/>
      <c r="N49" s="358"/>
      <c r="O49" s="358"/>
      <c r="P49" s="358"/>
      <c r="Q49" s="409"/>
      <c r="R49" s="358"/>
      <c r="S49" s="358"/>
      <c r="T49" s="358"/>
      <c r="U49" s="358"/>
      <c r="V49" s="358"/>
      <c r="W49" s="358"/>
      <c r="X49" s="358"/>
      <c r="Y49" s="358"/>
      <c r="Z49" s="358"/>
      <c r="AA49" s="358"/>
      <c r="AB49" s="358"/>
      <c r="AC49" s="358"/>
      <c r="AD49" s="358"/>
      <c r="AE49" s="358"/>
      <c r="AF49" s="358"/>
      <c r="AG49" s="358"/>
      <c r="AH49" s="358"/>
      <c r="AI49" s="358"/>
      <c r="AJ49" s="358"/>
      <c r="AK49" s="358"/>
      <c r="AL49" s="358"/>
      <c r="AM49" s="358"/>
      <c r="AN49" s="358"/>
      <c r="AO49" s="358"/>
      <c r="AP49" s="358"/>
      <c r="AQ49" s="358"/>
      <c r="AR49" s="358"/>
      <c r="AS49" s="358"/>
      <c r="AT49" s="358"/>
      <c r="AU49" s="358"/>
      <c r="AV49" s="358"/>
    </row>
    <row r="50" spans="1:48">
      <c r="A50" s="595"/>
      <c r="B50" s="598"/>
      <c r="C50" s="599"/>
      <c r="D50" s="1068" t="s">
        <v>665</v>
      </c>
      <c r="E50" s="1046" t="s">
        <v>339</v>
      </c>
      <c r="F50" s="359"/>
      <c r="G50" s="360"/>
      <c r="H50" s="358"/>
      <c r="I50" s="358"/>
      <c r="J50" s="358"/>
      <c r="K50" s="358"/>
      <c r="L50" s="358"/>
      <c r="M50" s="358"/>
      <c r="N50" s="358"/>
      <c r="O50" s="358"/>
      <c r="P50" s="358"/>
      <c r="Q50" s="409"/>
      <c r="R50" s="358"/>
      <c r="S50" s="358"/>
      <c r="T50" s="358"/>
      <c r="U50" s="358"/>
      <c r="V50" s="358"/>
      <c r="W50" s="358"/>
      <c r="X50" s="358"/>
      <c r="Y50" s="358"/>
      <c r="Z50" s="358"/>
      <c r="AA50" s="358"/>
      <c r="AB50" s="358"/>
      <c r="AC50" s="358"/>
      <c r="AD50" s="358"/>
      <c r="AE50" s="358"/>
      <c r="AF50" s="358"/>
      <c r="AG50" s="358"/>
      <c r="AH50" s="358"/>
      <c r="AI50" s="358"/>
      <c r="AJ50" s="358"/>
      <c r="AK50" s="358"/>
      <c r="AL50" s="358"/>
      <c r="AM50" s="358"/>
      <c r="AN50" s="358"/>
      <c r="AO50" s="358"/>
      <c r="AP50" s="358"/>
      <c r="AQ50" s="358"/>
      <c r="AR50" s="358"/>
      <c r="AS50" s="358"/>
      <c r="AT50" s="358"/>
      <c r="AU50" s="358"/>
      <c r="AV50" s="358"/>
    </row>
    <row r="51" spans="1:48">
      <c r="A51" s="595"/>
      <c r="B51" s="598"/>
      <c r="C51" s="599"/>
      <c r="D51" s="1057" t="s">
        <v>38</v>
      </c>
      <c r="E51" s="1058">
        <f>E49</f>
        <v>10900</v>
      </c>
      <c r="F51" s="359"/>
      <c r="G51" s="360"/>
      <c r="H51" s="358"/>
      <c r="I51" s="358"/>
      <c r="J51" s="358"/>
      <c r="K51" s="358"/>
      <c r="L51" s="358"/>
      <c r="M51" s="358"/>
      <c r="N51" s="358"/>
      <c r="O51" s="358"/>
      <c r="P51" s="358"/>
      <c r="Q51" s="409"/>
      <c r="R51" s="358"/>
      <c r="S51" s="358"/>
      <c r="T51" s="358"/>
      <c r="U51" s="358"/>
      <c r="V51" s="358"/>
      <c r="W51" s="358"/>
      <c r="X51" s="358"/>
      <c r="Y51" s="358"/>
      <c r="Z51" s="358"/>
      <c r="AA51" s="358"/>
      <c r="AB51" s="358"/>
      <c r="AC51" s="358"/>
      <c r="AD51" s="358"/>
      <c r="AE51" s="358"/>
      <c r="AF51" s="358"/>
      <c r="AG51" s="358"/>
      <c r="AH51" s="358"/>
      <c r="AI51" s="358"/>
      <c r="AJ51" s="358"/>
      <c r="AK51" s="358"/>
      <c r="AL51" s="358"/>
      <c r="AM51" s="358"/>
      <c r="AN51" s="358"/>
      <c r="AO51" s="358"/>
      <c r="AP51" s="358"/>
      <c r="AQ51" s="358"/>
      <c r="AR51" s="358"/>
      <c r="AS51" s="358"/>
      <c r="AT51" s="358"/>
      <c r="AU51" s="358"/>
      <c r="AV51" s="358"/>
    </row>
    <row r="52" spans="1:48">
      <c r="A52" s="595"/>
      <c r="B52" s="598"/>
      <c r="C52" s="599"/>
      <c r="D52" s="358"/>
      <c r="E52" s="358"/>
      <c r="F52" s="359"/>
      <c r="G52" s="360"/>
      <c r="H52" s="358"/>
      <c r="I52" s="358"/>
      <c r="J52" s="358"/>
      <c r="K52" s="358"/>
      <c r="L52" s="358"/>
      <c r="M52" s="358"/>
      <c r="N52" s="358"/>
      <c r="O52" s="358"/>
      <c r="P52" s="358"/>
      <c r="Q52" s="409"/>
      <c r="R52" s="358"/>
      <c r="S52" s="358"/>
      <c r="T52" s="358"/>
      <c r="U52" s="358"/>
      <c r="V52" s="358"/>
      <c r="W52" s="358"/>
      <c r="X52" s="358"/>
      <c r="Y52" s="358"/>
      <c r="Z52" s="358"/>
      <c r="AA52" s="358"/>
      <c r="AB52" s="358"/>
      <c r="AC52" s="358"/>
      <c r="AD52" s="358"/>
      <c r="AE52" s="358"/>
      <c r="AF52" s="358"/>
      <c r="AG52" s="358"/>
      <c r="AH52" s="358"/>
      <c r="AI52" s="358"/>
      <c r="AJ52" s="358"/>
      <c r="AK52" s="358"/>
      <c r="AL52" s="358"/>
      <c r="AM52" s="358"/>
      <c r="AN52" s="358"/>
      <c r="AO52" s="358"/>
      <c r="AP52" s="358"/>
      <c r="AQ52" s="358"/>
      <c r="AR52" s="358"/>
      <c r="AS52" s="358"/>
      <c r="AT52" s="358"/>
      <c r="AU52" s="358"/>
      <c r="AV52" s="358"/>
    </row>
    <row r="53" spans="1:48">
      <c r="A53" s="595"/>
      <c r="B53" s="598"/>
      <c r="C53" s="599"/>
      <c r="D53" s="358"/>
      <c r="E53" s="358"/>
      <c r="F53" s="359"/>
      <c r="G53" s="360"/>
      <c r="H53" s="358"/>
      <c r="I53" s="358"/>
      <c r="J53" s="358"/>
      <c r="K53" s="358"/>
      <c r="L53" s="358"/>
      <c r="M53" s="358"/>
      <c r="N53" s="358"/>
      <c r="O53" s="358"/>
      <c r="P53" s="358"/>
      <c r="Q53" s="409"/>
      <c r="R53" s="358"/>
      <c r="S53" s="358"/>
      <c r="T53" s="358"/>
      <c r="U53" s="358"/>
      <c r="V53" s="358"/>
      <c r="W53" s="358"/>
      <c r="X53" s="358"/>
      <c r="Y53" s="358"/>
      <c r="Z53" s="358"/>
      <c r="AA53" s="358"/>
      <c r="AB53" s="358"/>
      <c r="AC53" s="358"/>
      <c r="AD53" s="358"/>
      <c r="AE53" s="358"/>
      <c r="AF53" s="358"/>
      <c r="AG53" s="358"/>
      <c r="AH53" s="358"/>
      <c r="AI53" s="358"/>
      <c r="AJ53" s="358"/>
      <c r="AK53" s="358"/>
      <c r="AL53" s="358"/>
      <c r="AM53" s="358"/>
      <c r="AN53" s="358"/>
      <c r="AO53" s="358"/>
      <c r="AP53" s="358"/>
      <c r="AQ53" s="358"/>
      <c r="AR53" s="358"/>
      <c r="AS53" s="358"/>
      <c r="AT53" s="358"/>
      <c r="AU53" s="358"/>
      <c r="AV53" s="358"/>
    </row>
    <row r="54" spans="1:48">
      <c r="A54" s="595"/>
      <c r="B54" s="598"/>
      <c r="C54" s="599"/>
      <c r="D54" s="358"/>
      <c r="E54" s="358"/>
      <c r="F54" s="359"/>
      <c r="G54" s="360"/>
      <c r="H54" s="358"/>
      <c r="I54" s="358"/>
      <c r="J54" s="358"/>
      <c r="K54" s="358"/>
      <c r="L54" s="358"/>
      <c r="M54" s="358"/>
      <c r="N54" s="358"/>
      <c r="O54" s="358"/>
      <c r="P54" s="358"/>
      <c r="Q54" s="409"/>
      <c r="R54" s="358"/>
      <c r="S54" s="358"/>
      <c r="T54" s="358"/>
      <c r="U54" s="358"/>
      <c r="V54" s="358"/>
      <c r="W54" s="358"/>
      <c r="X54" s="358"/>
      <c r="Y54" s="358"/>
      <c r="Z54" s="358"/>
      <c r="AA54" s="358"/>
      <c r="AB54" s="358"/>
      <c r="AC54" s="358"/>
      <c r="AD54" s="358"/>
      <c r="AE54" s="358"/>
      <c r="AF54" s="358"/>
      <c r="AG54" s="358"/>
      <c r="AH54" s="358"/>
      <c r="AI54" s="358"/>
      <c r="AJ54" s="358"/>
      <c r="AK54" s="358"/>
      <c r="AL54" s="358"/>
      <c r="AM54" s="358"/>
      <c r="AN54" s="358"/>
      <c r="AO54" s="358"/>
      <c r="AP54" s="358"/>
      <c r="AQ54" s="358"/>
      <c r="AR54" s="358"/>
      <c r="AS54" s="358"/>
      <c r="AT54" s="358"/>
      <c r="AU54" s="358"/>
      <c r="AV54" s="358"/>
    </row>
    <row r="55" spans="1:48">
      <c r="A55" s="595"/>
      <c r="B55" s="598"/>
      <c r="C55" s="599"/>
      <c r="D55" s="358"/>
      <c r="E55" s="358"/>
      <c r="F55" s="359"/>
      <c r="G55" s="360"/>
      <c r="H55" s="358"/>
      <c r="I55" s="358"/>
      <c r="J55" s="358"/>
      <c r="K55" s="358"/>
      <c r="L55" s="358"/>
      <c r="M55" s="358"/>
      <c r="N55" s="358"/>
      <c r="O55" s="358"/>
      <c r="P55" s="358"/>
      <c r="Q55" s="409"/>
      <c r="R55" s="358"/>
      <c r="S55" s="358"/>
      <c r="T55" s="358"/>
      <c r="U55" s="358"/>
      <c r="V55" s="358"/>
      <c r="W55" s="358"/>
      <c r="X55" s="358"/>
      <c r="Y55" s="358"/>
      <c r="Z55" s="358"/>
      <c r="AA55" s="358"/>
      <c r="AB55" s="358"/>
      <c r="AC55" s="358"/>
      <c r="AD55" s="358"/>
      <c r="AE55" s="358"/>
      <c r="AF55" s="358"/>
      <c r="AG55" s="358"/>
      <c r="AH55" s="358"/>
      <c r="AI55" s="358"/>
      <c r="AJ55" s="358"/>
      <c r="AK55" s="358"/>
      <c r="AL55" s="358"/>
      <c r="AM55" s="358"/>
      <c r="AN55" s="358"/>
      <c r="AO55" s="358"/>
      <c r="AP55" s="358"/>
      <c r="AQ55" s="358"/>
      <c r="AR55" s="358"/>
      <c r="AS55" s="358"/>
      <c r="AT55" s="358"/>
      <c r="AU55" s="358"/>
      <c r="AV55" s="358"/>
    </row>
    <row r="56" spans="1:48">
      <c r="A56" s="595"/>
      <c r="B56" s="598"/>
      <c r="C56" s="599"/>
      <c r="D56" s="358"/>
      <c r="E56" s="358"/>
      <c r="F56" s="359"/>
      <c r="G56" s="360"/>
      <c r="H56" s="358"/>
      <c r="I56" s="358"/>
      <c r="J56" s="358"/>
      <c r="K56" s="358"/>
      <c r="L56" s="358"/>
      <c r="M56" s="358"/>
      <c r="N56" s="358"/>
      <c r="O56" s="358"/>
      <c r="P56" s="358"/>
      <c r="Q56" s="409"/>
      <c r="R56" s="358"/>
      <c r="S56" s="358"/>
      <c r="T56" s="358"/>
      <c r="U56" s="358"/>
      <c r="V56" s="358"/>
      <c r="W56" s="358"/>
      <c r="X56" s="358"/>
      <c r="Y56" s="358"/>
      <c r="Z56" s="358"/>
      <c r="AA56" s="358"/>
      <c r="AB56" s="358"/>
      <c r="AC56" s="358"/>
      <c r="AD56" s="358"/>
      <c r="AE56" s="358"/>
      <c r="AF56" s="358"/>
      <c r="AG56" s="358"/>
      <c r="AH56" s="358"/>
      <c r="AI56" s="358"/>
      <c r="AJ56" s="358"/>
      <c r="AK56" s="358"/>
      <c r="AL56" s="358"/>
      <c r="AM56" s="358"/>
      <c r="AN56" s="358"/>
      <c r="AO56" s="358"/>
      <c r="AP56" s="358"/>
      <c r="AQ56" s="358"/>
      <c r="AR56" s="358"/>
      <c r="AS56" s="358"/>
      <c r="AT56" s="358"/>
      <c r="AU56" s="358"/>
      <c r="AV56" s="358"/>
    </row>
    <row r="57" spans="1:48">
      <c r="A57" s="595"/>
      <c r="B57" s="598"/>
      <c r="C57" s="599"/>
      <c r="D57" s="358"/>
      <c r="E57" s="358"/>
      <c r="F57" s="359"/>
      <c r="G57" s="360"/>
      <c r="H57" s="358"/>
      <c r="I57" s="358"/>
      <c r="J57" s="358"/>
      <c r="K57" s="358"/>
      <c r="L57" s="358"/>
      <c r="M57" s="358"/>
      <c r="N57" s="358"/>
      <c r="O57" s="358"/>
      <c r="P57" s="358"/>
      <c r="Q57" s="409"/>
      <c r="R57" s="358"/>
      <c r="S57" s="358"/>
      <c r="T57" s="358"/>
      <c r="U57" s="358"/>
      <c r="V57" s="358"/>
      <c r="W57" s="358"/>
      <c r="X57" s="358"/>
      <c r="Y57" s="358"/>
      <c r="Z57" s="358"/>
      <c r="AA57" s="358"/>
      <c r="AB57" s="358"/>
      <c r="AC57" s="358"/>
      <c r="AD57" s="358"/>
      <c r="AE57" s="358"/>
      <c r="AF57" s="358"/>
      <c r="AG57" s="358"/>
      <c r="AH57" s="358"/>
      <c r="AI57" s="358"/>
      <c r="AJ57" s="358"/>
      <c r="AK57" s="358"/>
      <c r="AL57" s="358"/>
      <c r="AM57" s="358"/>
      <c r="AN57" s="358"/>
      <c r="AO57" s="358"/>
      <c r="AP57" s="358"/>
      <c r="AQ57" s="358"/>
      <c r="AR57" s="358"/>
      <c r="AS57" s="358"/>
      <c r="AT57" s="358"/>
      <c r="AU57" s="358"/>
      <c r="AV57" s="358"/>
    </row>
    <row r="58" spans="1:48">
      <c r="A58" s="595"/>
      <c r="B58" s="598"/>
      <c r="C58" s="599"/>
      <c r="D58" s="358"/>
      <c r="E58" s="358"/>
      <c r="F58" s="359"/>
      <c r="G58" s="360"/>
      <c r="H58" s="358"/>
      <c r="I58" s="358"/>
      <c r="J58" s="358"/>
      <c r="K58" s="358"/>
      <c r="L58" s="358"/>
      <c r="M58" s="358"/>
      <c r="N58" s="358"/>
      <c r="O58" s="358"/>
      <c r="P58" s="358"/>
      <c r="Q58" s="409"/>
      <c r="R58" s="358"/>
      <c r="S58" s="358"/>
      <c r="T58" s="358"/>
      <c r="U58" s="358"/>
      <c r="V58" s="358"/>
      <c r="W58" s="358"/>
      <c r="X58" s="358"/>
      <c r="Y58" s="358"/>
      <c r="Z58" s="358"/>
      <c r="AA58" s="358"/>
      <c r="AB58" s="358"/>
      <c r="AC58" s="358"/>
      <c r="AD58" s="358"/>
      <c r="AE58" s="358"/>
      <c r="AF58" s="358"/>
      <c r="AG58" s="358"/>
      <c r="AH58" s="358"/>
      <c r="AI58" s="358"/>
      <c r="AJ58" s="358"/>
      <c r="AK58" s="358"/>
      <c r="AL58" s="358"/>
      <c r="AM58" s="358"/>
      <c r="AN58" s="358"/>
      <c r="AO58" s="358"/>
      <c r="AP58" s="358"/>
      <c r="AQ58" s="358"/>
      <c r="AR58" s="358"/>
      <c r="AS58" s="358"/>
      <c r="AT58" s="358"/>
      <c r="AU58" s="358"/>
      <c r="AV58" s="358"/>
    </row>
    <row r="59" spans="1:48">
      <c r="A59" s="595"/>
      <c r="B59" s="598"/>
      <c r="C59" s="599"/>
      <c r="D59" s="358"/>
      <c r="E59" s="358"/>
      <c r="F59" s="359"/>
      <c r="G59" s="360"/>
      <c r="H59" s="358"/>
      <c r="I59" s="358"/>
      <c r="J59" s="358"/>
      <c r="K59" s="358"/>
      <c r="L59" s="358"/>
      <c r="M59" s="358"/>
      <c r="N59" s="358"/>
      <c r="O59" s="358"/>
      <c r="P59" s="358"/>
      <c r="Q59" s="409"/>
      <c r="R59" s="358"/>
      <c r="S59" s="358"/>
      <c r="T59" s="358"/>
      <c r="U59" s="358"/>
      <c r="V59" s="358"/>
      <c r="W59" s="358"/>
      <c r="X59" s="358"/>
      <c r="Y59" s="358"/>
      <c r="Z59" s="358"/>
      <c r="AA59" s="358"/>
      <c r="AB59" s="358"/>
      <c r="AC59" s="358"/>
      <c r="AD59" s="358"/>
      <c r="AE59" s="358"/>
      <c r="AF59" s="358"/>
      <c r="AG59" s="358"/>
      <c r="AH59" s="358"/>
      <c r="AI59" s="358"/>
      <c r="AJ59" s="358"/>
      <c r="AK59" s="358"/>
      <c r="AL59" s="358"/>
      <c r="AM59" s="358"/>
      <c r="AN59" s="358"/>
      <c r="AO59" s="358"/>
      <c r="AP59" s="358"/>
      <c r="AQ59" s="358"/>
      <c r="AR59" s="358"/>
      <c r="AS59" s="358"/>
      <c r="AT59" s="358"/>
      <c r="AU59" s="358"/>
      <c r="AV59" s="358"/>
    </row>
    <row r="60" spans="1:48">
      <c r="A60" s="595"/>
      <c r="B60" s="598"/>
      <c r="C60" s="599"/>
      <c r="D60" s="358"/>
      <c r="E60" s="358"/>
      <c r="F60" s="359"/>
      <c r="G60" s="360"/>
      <c r="H60" s="358"/>
      <c r="I60" s="358"/>
      <c r="J60" s="358"/>
      <c r="K60" s="358"/>
      <c r="L60" s="358"/>
      <c r="M60" s="358"/>
      <c r="N60" s="358"/>
      <c r="O60" s="358"/>
      <c r="P60" s="358"/>
      <c r="Q60" s="409"/>
      <c r="R60" s="358"/>
      <c r="S60" s="358"/>
      <c r="T60" s="358"/>
      <c r="U60" s="358"/>
      <c r="V60" s="358"/>
      <c r="W60" s="358"/>
      <c r="X60" s="358"/>
      <c r="Y60" s="358"/>
      <c r="Z60" s="358"/>
      <c r="AA60" s="358"/>
      <c r="AB60" s="358"/>
      <c r="AC60" s="358"/>
      <c r="AD60" s="358"/>
      <c r="AE60" s="358"/>
      <c r="AF60" s="358"/>
      <c r="AG60" s="358"/>
      <c r="AH60" s="358"/>
      <c r="AI60" s="358"/>
      <c r="AJ60" s="358"/>
      <c r="AK60" s="358"/>
      <c r="AL60" s="358"/>
      <c r="AM60" s="358"/>
      <c r="AN60" s="358"/>
      <c r="AO60" s="358"/>
      <c r="AP60" s="358"/>
      <c r="AQ60" s="358"/>
      <c r="AR60" s="358"/>
      <c r="AS60" s="358"/>
      <c r="AT60" s="358"/>
      <c r="AU60" s="358"/>
      <c r="AV60" s="358"/>
    </row>
    <row r="61" spans="1:48">
      <c r="A61" s="595"/>
      <c r="B61" s="598"/>
      <c r="C61" s="599"/>
      <c r="D61" s="358"/>
      <c r="E61" s="358"/>
      <c r="F61" s="359"/>
      <c r="G61" s="360"/>
      <c r="H61" s="358"/>
      <c r="I61" s="358"/>
      <c r="J61" s="358"/>
      <c r="K61" s="358"/>
      <c r="L61" s="358"/>
      <c r="M61" s="358"/>
      <c r="N61" s="358"/>
      <c r="O61" s="358"/>
      <c r="P61" s="358"/>
      <c r="Q61" s="409"/>
      <c r="R61" s="358"/>
      <c r="S61" s="358"/>
      <c r="T61" s="358"/>
      <c r="U61" s="358"/>
      <c r="V61" s="358"/>
      <c r="W61" s="358"/>
      <c r="X61" s="358"/>
      <c r="Y61" s="358"/>
      <c r="Z61" s="358"/>
      <c r="AA61" s="358"/>
      <c r="AB61" s="358"/>
      <c r="AC61" s="358"/>
      <c r="AD61" s="358"/>
      <c r="AE61" s="358"/>
      <c r="AF61" s="358"/>
      <c r="AG61" s="358"/>
      <c r="AH61" s="358"/>
      <c r="AI61" s="358"/>
      <c r="AJ61" s="358"/>
      <c r="AK61" s="358"/>
      <c r="AL61" s="358"/>
      <c r="AM61" s="358"/>
      <c r="AN61" s="358"/>
      <c r="AO61" s="358"/>
      <c r="AP61" s="358"/>
      <c r="AQ61" s="358"/>
      <c r="AR61" s="358"/>
      <c r="AS61" s="358"/>
      <c r="AT61" s="358"/>
      <c r="AU61" s="358"/>
      <c r="AV61" s="358"/>
    </row>
    <row r="62" spans="1:48">
      <c r="A62" s="595"/>
      <c r="B62" s="598"/>
      <c r="C62" s="599"/>
      <c r="D62" s="358"/>
      <c r="E62" s="358"/>
      <c r="F62" s="359"/>
      <c r="G62" s="360"/>
      <c r="H62" s="358"/>
      <c r="I62" s="358"/>
      <c r="J62" s="358"/>
      <c r="K62" s="358"/>
      <c r="L62" s="358"/>
      <c r="M62" s="358"/>
      <c r="N62" s="358"/>
      <c r="O62" s="358"/>
      <c r="P62" s="358"/>
      <c r="Q62" s="409"/>
      <c r="R62" s="358"/>
      <c r="S62" s="358"/>
      <c r="T62" s="358"/>
      <c r="U62" s="358"/>
      <c r="V62" s="358"/>
      <c r="W62" s="358"/>
      <c r="X62" s="358"/>
      <c r="Y62" s="358"/>
      <c r="Z62" s="358"/>
      <c r="AA62" s="358"/>
      <c r="AB62" s="358"/>
      <c r="AC62" s="358"/>
      <c r="AD62" s="358"/>
      <c r="AE62" s="358"/>
      <c r="AF62" s="358"/>
      <c r="AG62" s="358"/>
      <c r="AH62" s="358"/>
      <c r="AI62" s="358"/>
      <c r="AJ62" s="358"/>
      <c r="AK62" s="358"/>
      <c r="AL62" s="358"/>
      <c r="AM62" s="358"/>
      <c r="AN62" s="358"/>
      <c r="AO62" s="358"/>
      <c r="AP62" s="358"/>
      <c r="AQ62" s="358"/>
      <c r="AR62" s="358"/>
      <c r="AS62" s="358"/>
      <c r="AT62" s="358"/>
      <c r="AU62" s="358"/>
      <c r="AV62" s="358"/>
    </row>
    <row r="63" spans="1:48">
      <c r="A63" s="595"/>
      <c r="B63" s="598"/>
      <c r="C63" s="599"/>
      <c r="D63" s="358"/>
      <c r="E63" s="358"/>
      <c r="F63" s="359"/>
      <c r="G63" s="360"/>
      <c r="H63" s="358"/>
      <c r="I63" s="358"/>
      <c r="J63" s="358"/>
      <c r="K63" s="358"/>
      <c r="L63" s="358"/>
      <c r="M63" s="358"/>
      <c r="N63" s="358"/>
      <c r="O63" s="358"/>
      <c r="P63" s="358"/>
      <c r="Q63" s="409"/>
      <c r="R63" s="358"/>
      <c r="S63" s="358"/>
      <c r="T63" s="358"/>
      <c r="U63" s="358"/>
      <c r="V63" s="358"/>
      <c r="W63" s="358"/>
      <c r="X63" s="358"/>
      <c r="Y63" s="358"/>
      <c r="Z63" s="358"/>
      <c r="AA63" s="358"/>
      <c r="AB63" s="358"/>
      <c r="AC63" s="358"/>
      <c r="AD63" s="358"/>
      <c r="AE63" s="358"/>
      <c r="AF63" s="358"/>
      <c r="AG63" s="358"/>
      <c r="AH63" s="358"/>
      <c r="AI63" s="358"/>
      <c r="AJ63" s="358"/>
      <c r="AK63" s="358"/>
      <c r="AL63" s="358"/>
      <c r="AM63" s="358"/>
      <c r="AN63" s="358"/>
      <c r="AO63" s="358"/>
      <c r="AP63" s="358"/>
      <c r="AQ63" s="358"/>
      <c r="AR63" s="358"/>
      <c r="AS63" s="358"/>
      <c r="AT63" s="358"/>
      <c r="AU63" s="358"/>
      <c r="AV63" s="358"/>
    </row>
    <row r="64" spans="1:48">
      <c r="A64" s="595"/>
      <c r="B64" s="598"/>
      <c r="C64" s="599"/>
      <c r="D64" s="358"/>
      <c r="E64" s="358"/>
      <c r="F64" s="359"/>
      <c r="G64" s="360"/>
      <c r="H64" s="358"/>
      <c r="I64" s="358"/>
      <c r="J64" s="358"/>
      <c r="K64" s="358"/>
      <c r="L64" s="358"/>
      <c r="M64" s="358"/>
      <c r="N64" s="358"/>
      <c r="O64" s="358"/>
      <c r="P64" s="358"/>
      <c r="Q64" s="409"/>
      <c r="R64" s="358"/>
      <c r="S64" s="358"/>
      <c r="T64" s="358"/>
      <c r="U64" s="358"/>
      <c r="V64" s="358"/>
      <c r="W64" s="358"/>
      <c r="X64" s="358"/>
      <c r="Y64" s="358"/>
      <c r="Z64" s="358"/>
      <c r="AA64" s="358"/>
      <c r="AB64" s="358"/>
      <c r="AC64" s="358"/>
      <c r="AD64" s="358"/>
      <c r="AE64" s="358"/>
      <c r="AF64" s="358"/>
      <c r="AG64" s="358"/>
      <c r="AH64" s="358"/>
      <c r="AI64" s="358"/>
      <c r="AJ64" s="358"/>
      <c r="AK64" s="358"/>
      <c r="AL64" s="358"/>
      <c r="AM64" s="358"/>
      <c r="AN64" s="358"/>
      <c r="AO64" s="358"/>
      <c r="AP64" s="358"/>
      <c r="AQ64" s="358"/>
      <c r="AR64" s="358"/>
      <c r="AS64" s="358"/>
      <c r="AT64" s="358"/>
      <c r="AU64" s="358"/>
      <c r="AV64" s="358"/>
    </row>
    <row r="65" spans="1:48">
      <c r="A65" s="595"/>
      <c r="B65" s="598"/>
      <c r="C65" s="599"/>
      <c r="D65" s="358"/>
      <c r="E65" s="358"/>
      <c r="F65" s="359"/>
      <c r="G65" s="360"/>
      <c r="H65" s="358"/>
      <c r="I65" s="358"/>
      <c r="J65" s="358"/>
      <c r="K65" s="358"/>
      <c r="L65" s="358"/>
      <c r="M65" s="358"/>
      <c r="N65" s="358"/>
      <c r="O65" s="358"/>
      <c r="P65" s="358"/>
      <c r="Q65" s="409"/>
      <c r="R65" s="358"/>
      <c r="S65" s="358"/>
      <c r="T65" s="358"/>
      <c r="U65" s="358"/>
      <c r="V65" s="358"/>
      <c r="W65" s="358"/>
      <c r="X65" s="358"/>
      <c r="Y65" s="358"/>
      <c r="Z65" s="358"/>
      <c r="AA65" s="358"/>
      <c r="AB65" s="358"/>
      <c r="AC65" s="358"/>
      <c r="AD65" s="358"/>
      <c r="AE65" s="358"/>
      <c r="AF65" s="358"/>
      <c r="AG65" s="358"/>
      <c r="AH65" s="358"/>
      <c r="AI65" s="358"/>
      <c r="AJ65" s="358"/>
      <c r="AK65" s="358"/>
      <c r="AL65" s="358"/>
      <c r="AM65" s="358"/>
      <c r="AN65" s="358"/>
      <c r="AO65" s="358"/>
      <c r="AP65" s="358"/>
      <c r="AQ65" s="358"/>
      <c r="AR65" s="358"/>
      <c r="AS65" s="358"/>
      <c r="AT65" s="358"/>
      <c r="AU65" s="358"/>
      <c r="AV65" s="358"/>
    </row>
    <row r="66" spans="1:48">
      <c r="A66" s="595"/>
      <c r="B66" s="598"/>
      <c r="C66" s="599"/>
      <c r="D66" s="358"/>
      <c r="E66" s="358"/>
      <c r="F66" s="359"/>
      <c r="G66" s="360"/>
      <c r="H66" s="358"/>
      <c r="I66" s="358"/>
      <c r="J66" s="358"/>
      <c r="K66" s="358"/>
      <c r="L66" s="358"/>
      <c r="M66" s="358"/>
      <c r="N66" s="358"/>
      <c r="O66" s="358"/>
      <c r="P66" s="358"/>
      <c r="Q66" s="409"/>
      <c r="R66" s="358"/>
      <c r="S66" s="358"/>
      <c r="T66" s="358"/>
      <c r="U66" s="358"/>
      <c r="V66" s="358"/>
      <c r="W66" s="358"/>
      <c r="X66" s="358"/>
      <c r="Y66" s="358"/>
      <c r="Z66" s="358"/>
      <c r="AA66" s="358"/>
      <c r="AB66" s="358"/>
      <c r="AC66" s="358"/>
      <c r="AD66" s="358"/>
      <c r="AE66" s="358"/>
      <c r="AF66" s="358"/>
      <c r="AG66" s="358"/>
      <c r="AH66" s="358"/>
      <c r="AI66" s="358"/>
      <c r="AJ66" s="358"/>
      <c r="AK66" s="358"/>
      <c r="AL66" s="358"/>
      <c r="AM66" s="358"/>
      <c r="AN66" s="358"/>
      <c r="AO66" s="358"/>
      <c r="AP66" s="358"/>
      <c r="AQ66" s="358"/>
      <c r="AR66" s="358"/>
      <c r="AS66" s="358"/>
      <c r="AT66" s="358"/>
      <c r="AU66" s="358"/>
      <c r="AV66" s="358"/>
    </row>
    <row r="67" spans="1:48">
      <c r="A67" s="595"/>
      <c r="B67" s="598"/>
      <c r="C67" s="599"/>
      <c r="D67" s="358"/>
      <c r="E67" s="358"/>
      <c r="F67" s="359"/>
      <c r="G67" s="360"/>
      <c r="H67" s="358"/>
      <c r="I67" s="358"/>
      <c r="J67" s="358"/>
      <c r="K67" s="358"/>
      <c r="L67" s="358"/>
      <c r="M67" s="358"/>
      <c r="N67" s="358"/>
      <c r="O67" s="358"/>
      <c r="P67" s="358"/>
      <c r="Q67" s="409"/>
      <c r="R67" s="358"/>
      <c r="S67" s="358"/>
      <c r="T67" s="358"/>
      <c r="U67" s="358"/>
      <c r="V67" s="358"/>
      <c r="W67" s="358"/>
      <c r="X67" s="358"/>
      <c r="Y67" s="358"/>
      <c r="Z67" s="358"/>
      <c r="AA67" s="358"/>
      <c r="AB67" s="358"/>
      <c r="AC67" s="358"/>
      <c r="AD67" s="358"/>
      <c r="AE67" s="358"/>
      <c r="AF67" s="358"/>
      <c r="AG67" s="358"/>
      <c r="AH67" s="358"/>
      <c r="AI67" s="358"/>
      <c r="AJ67" s="358"/>
      <c r="AK67" s="358"/>
      <c r="AL67" s="358"/>
      <c r="AM67" s="358"/>
      <c r="AN67" s="358"/>
      <c r="AO67" s="358"/>
      <c r="AP67" s="358"/>
      <c r="AQ67" s="358"/>
      <c r="AR67" s="358"/>
      <c r="AS67" s="358"/>
      <c r="AT67" s="358"/>
      <c r="AU67" s="358"/>
      <c r="AV67" s="358"/>
    </row>
    <row r="68" spans="1:48">
      <c r="A68" s="595"/>
      <c r="B68" s="598"/>
      <c r="C68" s="599"/>
      <c r="D68" s="358"/>
      <c r="E68" s="358"/>
      <c r="F68" s="359"/>
      <c r="G68" s="360"/>
      <c r="H68" s="358"/>
      <c r="I68" s="358"/>
      <c r="J68" s="358"/>
      <c r="K68" s="358"/>
      <c r="L68" s="358"/>
      <c r="M68" s="358"/>
      <c r="N68" s="358"/>
      <c r="O68" s="358"/>
      <c r="P68" s="358"/>
      <c r="Q68" s="409"/>
      <c r="R68" s="358"/>
      <c r="S68" s="358"/>
      <c r="T68" s="358"/>
      <c r="U68" s="358"/>
      <c r="V68" s="358"/>
      <c r="W68" s="358"/>
      <c r="X68" s="358"/>
      <c r="Y68" s="358"/>
      <c r="Z68" s="358"/>
      <c r="AA68" s="358"/>
      <c r="AB68" s="358"/>
      <c r="AC68" s="358"/>
      <c r="AD68" s="358"/>
      <c r="AE68" s="358"/>
      <c r="AF68" s="358"/>
      <c r="AG68" s="358"/>
      <c r="AH68" s="358"/>
      <c r="AI68" s="358"/>
      <c r="AJ68" s="358"/>
      <c r="AK68" s="358"/>
      <c r="AL68" s="358"/>
      <c r="AM68" s="358"/>
      <c r="AN68" s="358"/>
      <c r="AO68" s="358"/>
      <c r="AP68" s="358"/>
      <c r="AQ68" s="358"/>
      <c r="AR68" s="358"/>
      <c r="AS68" s="358"/>
      <c r="AT68" s="358"/>
      <c r="AU68" s="358"/>
      <c r="AV68" s="358"/>
    </row>
    <row r="69" spans="1:48">
      <c r="A69" s="595"/>
      <c r="B69" s="598"/>
      <c r="C69" s="599"/>
      <c r="D69" s="358"/>
      <c r="E69" s="358"/>
      <c r="F69" s="359"/>
      <c r="G69" s="360"/>
      <c r="H69" s="358"/>
      <c r="I69" s="358"/>
      <c r="J69" s="358"/>
      <c r="K69" s="358"/>
      <c r="L69" s="358"/>
      <c r="M69" s="358"/>
      <c r="N69" s="358"/>
      <c r="O69" s="358"/>
      <c r="P69" s="358"/>
      <c r="Q69" s="409"/>
      <c r="R69" s="358"/>
      <c r="S69" s="358"/>
      <c r="T69" s="358"/>
      <c r="U69" s="358"/>
      <c r="V69" s="358"/>
      <c r="W69" s="358"/>
      <c r="X69" s="358"/>
      <c r="Y69" s="358"/>
      <c r="Z69" s="358"/>
      <c r="AA69" s="358"/>
      <c r="AB69" s="358"/>
      <c r="AC69" s="358"/>
      <c r="AD69" s="358"/>
      <c r="AE69" s="358"/>
      <c r="AF69" s="358"/>
      <c r="AG69" s="358"/>
      <c r="AH69" s="358"/>
      <c r="AI69" s="358"/>
      <c r="AJ69" s="358"/>
      <c r="AK69" s="358"/>
      <c r="AL69" s="358"/>
      <c r="AM69" s="358"/>
      <c r="AN69" s="358"/>
      <c r="AO69" s="358"/>
      <c r="AP69" s="358"/>
      <c r="AQ69" s="358"/>
      <c r="AR69" s="358"/>
      <c r="AS69" s="358"/>
      <c r="AT69" s="358"/>
      <c r="AU69" s="358"/>
      <c r="AV69" s="358"/>
    </row>
    <row r="70" spans="1:48">
      <c r="A70" s="595"/>
      <c r="B70" s="598"/>
      <c r="C70" s="599"/>
      <c r="D70" s="358"/>
      <c r="E70" s="358"/>
      <c r="F70" s="359"/>
      <c r="G70" s="360"/>
      <c r="H70" s="358"/>
      <c r="I70" s="358"/>
      <c r="J70" s="358"/>
      <c r="K70" s="358"/>
      <c r="L70" s="358"/>
      <c r="M70" s="358"/>
      <c r="N70" s="358"/>
      <c r="O70" s="358"/>
      <c r="P70" s="358"/>
      <c r="Q70" s="409"/>
      <c r="R70" s="358"/>
      <c r="S70" s="358"/>
      <c r="T70" s="358"/>
      <c r="U70" s="358"/>
      <c r="V70" s="358"/>
      <c r="W70" s="358"/>
      <c r="X70" s="358"/>
      <c r="Y70" s="358"/>
      <c r="Z70" s="358"/>
      <c r="AA70" s="358"/>
      <c r="AB70" s="358"/>
      <c r="AC70" s="358"/>
      <c r="AD70" s="358"/>
      <c r="AE70" s="358"/>
      <c r="AF70" s="358"/>
      <c r="AG70" s="358"/>
      <c r="AH70" s="358"/>
      <c r="AI70" s="358"/>
      <c r="AJ70" s="358"/>
      <c r="AK70" s="358"/>
      <c r="AL70" s="358"/>
      <c r="AM70" s="358"/>
      <c r="AN70" s="358"/>
      <c r="AO70" s="358"/>
      <c r="AP70" s="358"/>
      <c r="AQ70" s="358"/>
      <c r="AR70" s="358"/>
      <c r="AS70" s="358"/>
      <c r="AT70" s="358"/>
      <c r="AU70" s="358"/>
      <c r="AV70" s="358"/>
    </row>
    <row r="71" spans="1:48">
      <c r="A71" s="595"/>
      <c r="B71" s="598"/>
      <c r="C71" s="599"/>
      <c r="D71" s="358"/>
      <c r="E71" s="358"/>
      <c r="F71" s="359"/>
      <c r="G71" s="360"/>
      <c r="H71" s="358"/>
      <c r="I71" s="358"/>
      <c r="J71" s="358"/>
      <c r="K71" s="358"/>
      <c r="L71" s="358"/>
      <c r="M71" s="358"/>
      <c r="N71" s="358"/>
      <c r="O71" s="358"/>
      <c r="P71" s="358"/>
      <c r="Q71" s="409"/>
      <c r="R71" s="358"/>
      <c r="S71" s="358"/>
      <c r="T71" s="358"/>
      <c r="U71" s="358"/>
      <c r="V71" s="358"/>
      <c r="W71" s="358"/>
      <c r="X71" s="358"/>
      <c r="Y71" s="358"/>
      <c r="Z71" s="358"/>
      <c r="AA71" s="358"/>
      <c r="AB71" s="358"/>
      <c r="AC71" s="358"/>
      <c r="AD71" s="358"/>
      <c r="AE71" s="358"/>
      <c r="AF71" s="358"/>
      <c r="AG71" s="358"/>
      <c r="AH71" s="358"/>
      <c r="AI71" s="358"/>
      <c r="AJ71" s="358"/>
      <c r="AK71" s="358"/>
      <c r="AL71" s="358"/>
      <c r="AM71" s="358"/>
      <c r="AN71" s="358"/>
      <c r="AO71" s="358"/>
      <c r="AP71" s="358"/>
      <c r="AQ71" s="358"/>
      <c r="AR71" s="358"/>
      <c r="AS71" s="358"/>
      <c r="AT71" s="358"/>
      <c r="AU71" s="358"/>
      <c r="AV71" s="358"/>
    </row>
    <row r="72" spans="1:48">
      <c r="A72" s="595"/>
      <c r="B72" s="598"/>
      <c r="C72" s="599"/>
      <c r="D72" s="358"/>
      <c r="E72" s="358"/>
      <c r="F72" s="359"/>
      <c r="G72" s="360"/>
      <c r="H72" s="358"/>
      <c r="I72" s="358"/>
      <c r="J72" s="358"/>
      <c r="K72" s="358"/>
      <c r="L72" s="358"/>
      <c r="M72" s="358"/>
      <c r="N72" s="358"/>
      <c r="O72" s="358"/>
      <c r="P72" s="358"/>
      <c r="Q72" s="409"/>
      <c r="R72" s="358"/>
      <c r="S72" s="358"/>
      <c r="T72" s="358"/>
      <c r="U72" s="358"/>
      <c r="V72" s="358"/>
      <c r="W72" s="358"/>
      <c r="X72" s="358"/>
      <c r="Y72" s="358"/>
      <c r="Z72" s="358"/>
      <c r="AA72" s="358"/>
      <c r="AB72" s="358"/>
      <c r="AC72" s="358"/>
      <c r="AD72" s="358"/>
      <c r="AE72" s="358"/>
      <c r="AF72" s="358"/>
      <c r="AG72" s="358"/>
      <c r="AH72" s="358"/>
      <c r="AI72" s="358"/>
      <c r="AJ72" s="358"/>
      <c r="AK72" s="358"/>
      <c r="AL72" s="358"/>
      <c r="AM72" s="358"/>
      <c r="AN72" s="358"/>
      <c r="AO72" s="358"/>
      <c r="AP72" s="358"/>
      <c r="AQ72" s="358"/>
      <c r="AR72" s="358"/>
      <c r="AS72" s="358"/>
      <c r="AT72" s="358"/>
      <c r="AU72" s="358"/>
      <c r="AV72" s="358"/>
    </row>
    <row r="73" spans="1:48">
      <c r="A73" s="595"/>
      <c r="B73" s="598"/>
      <c r="C73" s="599"/>
      <c r="D73" s="358"/>
      <c r="E73" s="358"/>
      <c r="F73" s="359"/>
      <c r="G73" s="360"/>
      <c r="H73" s="358"/>
      <c r="I73" s="358"/>
      <c r="J73" s="358"/>
      <c r="K73" s="358"/>
      <c r="L73" s="358"/>
      <c r="M73" s="358"/>
      <c r="N73" s="358"/>
      <c r="O73" s="358"/>
      <c r="P73" s="358"/>
      <c r="Q73" s="409"/>
      <c r="R73" s="358"/>
      <c r="S73" s="358"/>
      <c r="T73" s="358"/>
      <c r="U73" s="358"/>
      <c r="V73" s="358"/>
      <c r="W73" s="358"/>
      <c r="X73" s="358"/>
      <c r="Y73" s="358"/>
      <c r="Z73" s="358"/>
      <c r="AA73" s="358"/>
      <c r="AB73" s="358"/>
      <c r="AC73" s="358"/>
      <c r="AD73" s="358"/>
      <c r="AE73" s="358"/>
      <c r="AF73" s="358"/>
      <c r="AG73" s="358"/>
      <c r="AH73" s="358"/>
      <c r="AI73" s="358"/>
      <c r="AJ73" s="358"/>
      <c r="AK73" s="358"/>
      <c r="AL73" s="358"/>
      <c r="AM73" s="358"/>
      <c r="AN73" s="358"/>
      <c r="AO73" s="358"/>
      <c r="AP73" s="358"/>
      <c r="AQ73" s="358"/>
      <c r="AR73" s="358"/>
      <c r="AS73" s="358"/>
      <c r="AT73" s="358"/>
      <c r="AU73" s="358"/>
      <c r="AV73" s="358"/>
    </row>
    <row r="74" spans="1:48">
      <c r="A74" s="595"/>
      <c r="B74" s="598"/>
      <c r="C74" s="599"/>
      <c r="D74" s="358"/>
      <c r="E74" s="358"/>
      <c r="F74" s="359"/>
      <c r="G74" s="360"/>
      <c r="H74" s="358"/>
      <c r="I74" s="358"/>
      <c r="J74" s="358"/>
      <c r="K74" s="358"/>
      <c r="L74" s="358"/>
      <c r="M74" s="358"/>
      <c r="N74" s="358"/>
      <c r="O74" s="358"/>
      <c r="P74" s="358"/>
      <c r="Q74" s="409"/>
      <c r="R74" s="358"/>
      <c r="S74" s="358"/>
      <c r="T74" s="358"/>
      <c r="U74" s="358"/>
      <c r="V74" s="358"/>
      <c r="W74" s="358"/>
      <c r="X74" s="358"/>
      <c r="Y74" s="358"/>
      <c r="Z74" s="358"/>
      <c r="AA74" s="358"/>
      <c r="AB74" s="358"/>
      <c r="AC74" s="358"/>
      <c r="AD74" s="358"/>
      <c r="AE74" s="358"/>
      <c r="AF74" s="358"/>
      <c r="AG74" s="358"/>
      <c r="AH74" s="358"/>
      <c r="AI74" s="358"/>
      <c r="AJ74" s="358"/>
      <c r="AK74" s="358"/>
      <c r="AL74" s="358"/>
      <c r="AM74" s="358"/>
      <c r="AN74" s="358"/>
      <c r="AO74" s="358"/>
      <c r="AP74" s="358"/>
      <c r="AQ74" s="358"/>
      <c r="AR74" s="358"/>
      <c r="AS74" s="358"/>
      <c r="AT74" s="358"/>
      <c r="AU74" s="358"/>
      <c r="AV74" s="358"/>
    </row>
    <row r="75" spans="1:48">
      <c r="A75" s="595"/>
      <c r="B75" s="598"/>
      <c r="C75" s="243"/>
      <c r="D75" s="358"/>
      <c r="E75" s="358"/>
      <c r="F75" s="359"/>
      <c r="G75" s="360"/>
      <c r="H75" s="358"/>
      <c r="I75" s="358"/>
      <c r="J75" s="358"/>
      <c r="K75" s="358"/>
      <c r="L75" s="358"/>
      <c r="M75" s="358"/>
      <c r="N75" s="358"/>
      <c r="O75" s="358"/>
      <c r="P75" s="358"/>
      <c r="Q75" s="409"/>
      <c r="R75" s="358"/>
      <c r="S75" s="358"/>
      <c r="T75" s="358"/>
      <c r="U75" s="358"/>
      <c r="V75" s="358"/>
      <c r="W75" s="358"/>
      <c r="X75" s="358"/>
      <c r="Y75" s="358"/>
      <c r="Z75" s="358"/>
      <c r="AA75" s="358"/>
      <c r="AB75" s="358"/>
      <c r="AC75" s="358"/>
      <c r="AD75" s="358"/>
      <c r="AE75" s="358"/>
      <c r="AF75" s="358"/>
      <c r="AG75" s="358"/>
      <c r="AH75" s="358"/>
      <c r="AI75" s="358"/>
      <c r="AJ75" s="358"/>
      <c r="AK75" s="358"/>
      <c r="AL75" s="358"/>
      <c r="AM75" s="358"/>
      <c r="AN75" s="358"/>
      <c r="AO75" s="358"/>
      <c r="AP75" s="358"/>
      <c r="AQ75" s="358"/>
      <c r="AR75" s="358"/>
      <c r="AS75" s="358"/>
      <c r="AT75" s="358"/>
      <c r="AU75" s="358"/>
      <c r="AV75" s="358"/>
    </row>
    <row r="76" spans="1:48">
      <c r="A76" s="595"/>
      <c r="B76" s="598"/>
      <c r="C76" s="243"/>
      <c r="D76" s="358"/>
      <c r="E76" s="358"/>
      <c r="F76" s="359"/>
      <c r="G76" s="360"/>
      <c r="H76" s="358"/>
      <c r="I76" s="358"/>
      <c r="J76" s="358"/>
      <c r="K76" s="358"/>
      <c r="L76" s="358"/>
      <c r="M76" s="358"/>
      <c r="N76" s="358"/>
      <c r="O76" s="358"/>
      <c r="P76" s="358"/>
      <c r="Q76" s="409"/>
      <c r="R76" s="358"/>
      <c r="S76" s="358"/>
      <c r="T76" s="358"/>
      <c r="U76" s="358"/>
      <c r="V76" s="358"/>
      <c r="W76" s="358"/>
      <c r="X76" s="358"/>
      <c r="Y76" s="358"/>
      <c r="Z76" s="358"/>
      <c r="AA76" s="358"/>
      <c r="AB76" s="358"/>
      <c r="AC76" s="358"/>
      <c r="AD76" s="358"/>
      <c r="AE76" s="358"/>
      <c r="AF76" s="358"/>
      <c r="AG76" s="358"/>
      <c r="AH76" s="358"/>
      <c r="AI76" s="358"/>
      <c r="AJ76" s="358"/>
      <c r="AK76" s="358"/>
      <c r="AL76" s="358"/>
      <c r="AM76" s="358"/>
      <c r="AN76" s="358"/>
      <c r="AO76" s="358"/>
      <c r="AP76" s="358"/>
      <c r="AQ76" s="358"/>
      <c r="AR76" s="358"/>
      <c r="AS76" s="358"/>
      <c r="AT76" s="358"/>
      <c r="AU76" s="358"/>
      <c r="AV76" s="358"/>
    </row>
    <row r="77" spans="1:48">
      <c r="A77" s="595"/>
      <c r="B77" s="598"/>
      <c r="C77" s="243"/>
      <c r="D77" s="358"/>
      <c r="E77" s="358"/>
      <c r="F77" s="359"/>
      <c r="G77" s="360"/>
      <c r="H77" s="358"/>
      <c r="I77" s="358"/>
      <c r="J77" s="358"/>
      <c r="K77" s="358"/>
      <c r="L77" s="358"/>
      <c r="M77" s="358"/>
      <c r="N77" s="358"/>
      <c r="O77" s="358"/>
      <c r="P77" s="358"/>
      <c r="Q77" s="409"/>
      <c r="R77" s="358"/>
      <c r="S77" s="358"/>
      <c r="T77" s="358"/>
      <c r="U77" s="358"/>
      <c r="V77" s="358"/>
      <c r="W77" s="358"/>
      <c r="X77" s="358"/>
      <c r="Y77" s="358"/>
      <c r="Z77" s="358"/>
      <c r="AA77" s="358"/>
      <c r="AB77" s="358"/>
      <c r="AC77" s="358"/>
      <c r="AD77" s="358"/>
      <c r="AE77" s="358"/>
      <c r="AF77" s="358"/>
      <c r="AG77" s="358"/>
      <c r="AH77" s="358"/>
      <c r="AI77" s="358"/>
      <c r="AJ77" s="358"/>
      <c r="AK77" s="358"/>
      <c r="AL77" s="358"/>
      <c r="AM77" s="358"/>
      <c r="AN77" s="358"/>
      <c r="AO77" s="358"/>
      <c r="AP77" s="358"/>
      <c r="AQ77" s="358"/>
      <c r="AR77" s="358"/>
      <c r="AS77" s="358"/>
      <c r="AT77" s="358"/>
      <c r="AU77" s="358"/>
      <c r="AV77" s="358"/>
    </row>
    <row r="78" spans="1:48">
      <c r="A78" s="595"/>
      <c r="B78" s="242"/>
      <c r="C78" s="243"/>
      <c r="D78" s="358"/>
      <c r="E78" s="358"/>
      <c r="F78" s="359"/>
      <c r="G78" s="360"/>
      <c r="H78" s="358"/>
      <c r="I78" s="358"/>
      <c r="J78" s="358"/>
      <c r="K78" s="358"/>
      <c r="L78" s="358"/>
      <c r="M78" s="358"/>
      <c r="N78" s="358"/>
      <c r="O78" s="358"/>
      <c r="P78" s="358"/>
      <c r="Q78" s="409"/>
      <c r="R78" s="358"/>
      <c r="S78" s="358"/>
      <c r="T78" s="358"/>
      <c r="U78" s="358"/>
      <c r="V78" s="358"/>
      <c r="W78" s="358"/>
      <c r="X78" s="358"/>
      <c r="Y78" s="358"/>
      <c r="Z78" s="358"/>
      <c r="AA78" s="358"/>
      <c r="AB78" s="358"/>
      <c r="AC78" s="358"/>
      <c r="AD78" s="358"/>
      <c r="AE78" s="358"/>
      <c r="AF78" s="358"/>
      <c r="AG78" s="358"/>
      <c r="AH78" s="358"/>
      <c r="AI78" s="358"/>
      <c r="AJ78" s="358"/>
      <c r="AK78" s="358"/>
      <c r="AL78" s="358"/>
      <c r="AM78" s="358"/>
      <c r="AN78" s="358"/>
      <c r="AO78" s="358"/>
      <c r="AP78" s="358"/>
      <c r="AQ78" s="358"/>
      <c r="AR78" s="358"/>
      <c r="AS78" s="358"/>
      <c r="AT78" s="358"/>
      <c r="AU78" s="358"/>
      <c r="AV78" s="358"/>
    </row>
    <row r="79" spans="1:48">
      <c r="A79" s="595"/>
      <c r="B79" s="242"/>
      <c r="C79" s="243"/>
      <c r="D79" s="358"/>
      <c r="E79" s="358"/>
      <c r="F79" s="359"/>
      <c r="G79" s="360"/>
      <c r="H79" s="358"/>
      <c r="I79" s="358"/>
      <c r="J79" s="358"/>
      <c r="K79" s="358"/>
      <c r="L79" s="358"/>
      <c r="M79" s="358"/>
      <c r="N79" s="358"/>
      <c r="O79" s="358"/>
      <c r="P79" s="358"/>
      <c r="Q79" s="409"/>
      <c r="R79" s="358"/>
      <c r="S79" s="358"/>
      <c r="T79" s="358"/>
      <c r="U79" s="358"/>
      <c r="V79" s="358"/>
      <c r="W79" s="358"/>
      <c r="X79" s="358"/>
      <c r="Y79" s="358"/>
      <c r="Z79" s="358"/>
      <c r="AA79" s="358"/>
      <c r="AB79" s="358"/>
      <c r="AC79" s="358"/>
      <c r="AD79" s="358"/>
      <c r="AE79" s="358"/>
      <c r="AF79" s="358"/>
      <c r="AG79" s="358"/>
      <c r="AH79" s="358"/>
      <c r="AI79" s="358"/>
      <c r="AJ79" s="358"/>
      <c r="AK79" s="358"/>
      <c r="AL79" s="358"/>
      <c r="AM79" s="358"/>
      <c r="AN79" s="358"/>
      <c r="AO79" s="358"/>
      <c r="AP79" s="358"/>
      <c r="AQ79" s="358"/>
      <c r="AR79" s="358"/>
      <c r="AS79" s="358"/>
      <c r="AT79" s="358"/>
      <c r="AU79" s="358"/>
      <c r="AV79" s="358"/>
    </row>
    <row r="80" spans="1:48">
      <c r="A80" s="595"/>
      <c r="B80" s="242"/>
      <c r="C80" s="243"/>
      <c r="D80" s="358"/>
      <c r="E80" s="358"/>
      <c r="F80" s="359"/>
      <c r="G80" s="360"/>
      <c r="H80" s="358"/>
      <c r="I80" s="358"/>
      <c r="J80" s="358"/>
      <c r="K80" s="358"/>
      <c r="L80" s="358"/>
      <c r="M80" s="358"/>
      <c r="N80" s="358"/>
      <c r="O80" s="358"/>
      <c r="P80" s="358"/>
      <c r="Q80" s="409"/>
      <c r="R80" s="358"/>
      <c r="S80" s="358"/>
      <c r="T80" s="358"/>
      <c r="U80" s="358"/>
      <c r="V80" s="358"/>
      <c r="W80" s="358"/>
      <c r="X80" s="358"/>
      <c r="Y80" s="358"/>
      <c r="Z80" s="358"/>
      <c r="AA80" s="358"/>
      <c r="AB80" s="358"/>
      <c r="AC80" s="358"/>
      <c r="AD80" s="358"/>
      <c r="AE80" s="358"/>
      <c r="AF80" s="358"/>
      <c r="AG80" s="358"/>
      <c r="AH80" s="358"/>
      <c r="AI80" s="358"/>
      <c r="AJ80" s="358"/>
      <c r="AK80" s="358"/>
      <c r="AL80" s="358"/>
      <c r="AM80" s="358"/>
      <c r="AN80" s="358"/>
      <c r="AO80" s="358"/>
      <c r="AP80" s="358"/>
      <c r="AQ80" s="358"/>
      <c r="AR80" s="358"/>
      <c r="AS80" s="358"/>
      <c r="AT80" s="358"/>
      <c r="AU80" s="358"/>
      <c r="AV80" s="358"/>
    </row>
    <row r="81" spans="1:48">
      <c r="A81" s="595"/>
      <c r="B81" s="242"/>
      <c r="C81" s="243"/>
      <c r="D81" s="358"/>
      <c r="E81" s="358"/>
      <c r="F81" s="359"/>
      <c r="G81" s="360"/>
      <c r="H81" s="358"/>
      <c r="I81" s="358"/>
      <c r="J81" s="358"/>
      <c r="K81" s="358"/>
      <c r="L81" s="358"/>
      <c r="M81" s="358"/>
      <c r="N81" s="358"/>
      <c r="O81" s="358"/>
      <c r="P81" s="358"/>
      <c r="Q81" s="409"/>
      <c r="R81" s="358"/>
      <c r="S81" s="358"/>
      <c r="T81" s="358"/>
      <c r="U81" s="358"/>
      <c r="V81" s="358"/>
      <c r="W81" s="358"/>
      <c r="X81" s="358"/>
      <c r="Y81" s="358"/>
      <c r="Z81" s="358"/>
      <c r="AA81" s="358"/>
      <c r="AB81" s="358"/>
      <c r="AC81" s="358"/>
      <c r="AD81" s="358"/>
      <c r="AE81" s="358"/>
      <c r="AF81" s="358"/>
      <c r="AG81" s="358"/>
      <c r="AH81" s="358"/>
      <c r="AI81" s="358"/>
      <c r="AJ81" s="358"/>
      <c r="AK81" s="358"/>
      <c r="AL81" s="358"/>
      <c r="AM81" s="358"/>
      <c r="AN81" s="358"/>
      <c r="AO81" s="358"/>
      <c r="AP81" s="358"/>
      <c r="AQ81" s="358"/>
      <c r="AR81" s="358"/>
      <c r="AS81" s="358"/>
      <c r="AT81" s="358"/>
      <c r="AU81" s="358"/>
      <c r="AV81" s="358"/>
    </row>
    <row r="82" spans="1:48">
      <c r="A82" s="595"/>
      <c r="B82" s="242"/>
      <c r="C82" s="243"/>
      <c r="D82" s="358"/>
      <c r="E82" s="358"/>
      <c r="F82" s="359"/>
      <c r="G82" s="360"/>
      <c r="H82" s="358"/>
      <c r="I82" s="358"/>
      <c r="J82" s="358"/>
      <c r="K82" s="358"/>
      <c r="L82" s="358"/>
      <c r="M82" s="358"/>
      <c r="N82" s="358"/>
      <c r="O82" s="358"/>
      <c r="P82" s="358"/>
      <c r="Q82" s="409"/>
      <c r="R82" s="358"/>
      <c r="S82" s="358"/>
      <c r="T82" s="358"/>
      <c r="U82" s="358"/>
      <c r="V82" s="358"/>
      <c r="W82" s="358"/>
      <c r="X82" s="358"/>
      <c r="Y82" s="358"/>
      <c r="Z82" s="358"/>
      <c r="AA82" s="358"/>
      <c r="AB82" s="358"/>
      <c r="AC82" s="358"/>
      <c r="AD82" s="358"/>
      <c r="AE82" s="358"/>
      <c r="AF82" s="358"/>
      <c r="AG82" s="358"/>
      <c r="AH82" s="358"/>
      <c r="AI82" s="358"/>
      <c r="AJ82" s="358"/>
      <c r="AK82" s="358"/>
      <c r="AL82" s="358"/>
      <c r="AM82" s="358"/>
      <c r="AN82" s="358"/>
      <c r="AO82" s="358"/>
      <c r="AP82" s="358"/>
      <c r="AQ82" s="358"/>
      <c r="AR82" s="358"/>
      <c r="AS82" s="358"/>
      <c r="AT82" s="358"/>
      <c r="AU82" s="358"/>
      <c r="AV82" s="358"/>
    </row>
    <row r="83" spans="1:48">
      <c r="A83" s="595"/>
      <c r="B83" s="242"/>
      <c r="C83" s="243"/>
      <c r="D83" s="358"/>
      <c r="E83" s="358"/>
      <c r="F83" s="359"/>
      <c r="G83" s="360"/>
      <c r="H83" s="358"/>
      <c r="I83" s="358"/>
      <c r="J83" s="358"/>
      <c r="K83" s="358"/>
      <c r="L83" s="358"/>
      <c r="M83" s="358"/>
      <c r="N83" s="358"/>
      <c r="O83" s="358"/>
      <c r="P83" s="358"/>
      <c r="Q83" s="409"/>
      <c r="R83" s="358"/>
      <c r="S83" s="358"/>
      <c r="T83" s="358"/>
      <c r="U83" s="358"/>
      <c r="V83" s="358"/>
      <c r="W83" s="358"/>
      <c r="X83" s="358"/>
      <c r="Y83" s="358"/>
      <c r="Z83" s="358"/>
      <c r="AA83" s="358"/>
      <c r="AB83" s="358"/>
      <c r="AC83" s="358"/>
      <c r="AD83" s="358"/>
      <c r="AE83" s="358"/>
      <c r="AF83" s="358"/>
      <c r="AG83" s="358"/>
      <c r="AH83" s="358"/>
      <c r="AI83" s="358"/>
      <c r="AJ83" s="358"/>
      <c r="AK83" s="358"/>
      <c r="AL83" s="358"/>
      <c r="AM83" s="358"/>
      <c r="AN83" s="358"/>
      <c r="AO83" s="358"/>
      <c r="AP83" s="358"/>
      <c r="AQ83" s="358"/>
      <c r="AR83" s="358"/>
      <c r="AS83" s="358"/>
      <c r="AT83" s="358"/>
      <c r="AU83" s="358"/>
      <c r="AV83" s="358"/>
    </row>
    <row r="84" spans="1:48">
      <c r="A84" s="595"/>
      <c r="B84" s="242"/>
      <c r="C84" s="243"/>
      <c r="D84" s="358"/>
      <c r="E84" s="358"/>
      <c r="F84" s="359"/>
      <c r="G84" s="360"/>
      <c r="H84" s="358"/>
      <c r="I84" s="358"/>
      <c r="J84" s="358"/>
      <c r="K84" s="358"/>
      <c r="L84" s="358"/>
      <c r="M84" s="358"/>
      <c r="N84" s="358"/>
      <c r="O84" s="358"/>
      <c r="P84" s="358"/>
      <c r="Q84" s="409"/>
      <c r="R84" s="358"/>
      <c r="S84" s="358"/>
      <c r="T84" s="358"/>
      <c r="U84" s="358"/>
      <c r="V84" s="358"/>
      <c r="W84" s="358"/>
      <c r="X84" s="358"/>
      <c r="Y84" s="358"/>
      <c r="Z84" s="358"/>
      <c r="AA84" s="358"/>
      <c r="AB84" s="358"/>
      <c r="AC84" s="358"/>
      <c r="AD84" s="358"/>
      <c r="AE84" s="358"/>
      <c r="AF84" s="358"/>
      <c r="AG84" s="358"/>
      <c r="AH84" s="358"/>
      <c r="AI84" s="358"/>
      <c r="AJ84" s="358"/>
      <c r="AK84" s="358"/>
      <c r="AL84" s="358"/>
      <c r="AM84" s="358"/>
      <c r="AN84" s="358"/>
      <c r="AO84" s="358"/>
      <c r="AP84" s="358"/>
      <c r="AQ84" s="358"/>
      <c r="AR84" s="358"/>
      <c r="AS84" s="358"/>
      <c r="AT84" s="358"/>
      <c r="AU84" s="358"/>
      <c r="AV84" s="358"/>
    </row>
    <row r="85" spans="1:48">
      <c r="A85" s="595"/>
      <c r="B85" s="242"/>
      <c r="C85" s="243"/>
      <c r="D85" s="358"/>
      <c r="E85" s="358"/>
      <c r="F85" s="359"/>
      <c r="G85" s="360"/>
      <c r="H85" s="358"/>
      <c r="I85" s="358"/>
      <c r="J85" s="358"/>
      <c r="K85" s="358"/>
      <c r="L85" s="358"/>
      <c r="M85" s="358"/>
      <c r="N85" s="358"/>
      <c r="O85" s="358"/>
      <c r="P85" s="358"/>
      <c r="Q85" s="409"/>
      <c r="R85" s="358"/>
      <c r="S85" s="358"/>
      <c r="T85" s="358"/>
      <c r="U85" s="358"/>
      <c r="V85" s="358"/>
      <c r="W85" s="358"/>
      <c r="X85" s="358"/>
      <c r="Y85" s="358"/>
      <c r="Z85" s="358"/>
      <c r="AA85" s="358"/>
      <c r="AB85" s="358"/>
      <c r="AC85" s="358"/>
      <c r="AD85" s="358"/>
      <c r="AE85" s="358"/>
      <c r="AF85" s="358"/>
      <c r="AG85" s="358"/>
      <c r="AH85" s="358"/>
      <c r="AI85" s="358"/>
      <c r="AJ85" s="358"/>
      <c r="AK85" s="358"/>
      <c r="AL85" s="358"/>
      <c r="AM85" s="358"/>
      <c r="AN85" s="358"/>
      <c r="AO85" s="358"/>
      <c r="AP85" s="358"/>
      <c r="AQ85" s="358"/>
      <c r="AR85" s="358"/>
      <c r="AS85" s="358"/>
      <c r="AT85" s="358"/>
      <c r="AU85" s="358"/>
      <c r="AV85" s="358"/>
    </row>
    <row r="86" spans="1:48">
      <c r="A86" s="595"/>
      <c r="B86" s="242"/>
      <c r="C86" s="243"/>
      <c r="D86" s="358"/>
      <c r="E86" s="358"/>
      <c r="F86" s="359"/>
      <c r="G86" s="360"/>
      <c r="H86" s="358"/>
      <c r="I86" s="358"/>
      <c r="J86" s="358"/>
      <c r="K86" s="358"/>
      <c r="L86" s="358"/>
      <c r="M86" s="358"/>
      <c r="N86" s="358"/>
      <c r="O86" s="358"/>
      <c r="P86" s="358"/>
      <c r="Q86" s="409"/>
      <c r="R86" s="358"/>
      <c r="S86" s="358"/>
      <c r="T86" s="358"/>
      <c r="U86" s="358"/>
      <c r="V86" s="358"/>
      <c r="W86" s="358"/>
      <c r="X86" s="358"/>
      <c r="Y86" s="358"/>
      <c r="Z86" s="358"/>
      <c r="AA86" s="358"/>
      <c r="AB86" s="358"/>
      <c r="AC86" s="358"/>
      <c r="AD86" s="358"/>
      <c r="AE86" s="358"/>
      <c r="AF86" s="358"/>
      <c r="AG86" s="358"/>
      <c r="AH86" s="358"/>
      <c r="AI86" s="358"/>
      <c r="AJ86" s="358"/>
      <c r="AK86" s="358"/>
      <c r="AL86" s="358"/>
      <c r="AM86" s="358"/>
      <c r="AN86" s="358"/>
      <c r="AO86" s="358"/>
      <c r="AP86" s="358"/>
      <c r="AQ86" s="358"/>
      <c r="AR86" s="358"/>
      <c r="AS86" s="358"/>
      <c r="AT86" s="358"/>
      <c r="AU86" s="358"/>
      <c r="AV86" s="358"/>
    </row>
    <row r="87" spans="1:48">
      <c r="A87" s="595"/>
      <c r="B87" s="242"/>
      <c r="C87" s="243"/>
      <c r="D87" s="358"/>
      <c r="E87" s="358"/>
      <c r="F87" s="359"/>
      <c r="G87" s="360"/>
      <c r="H87" s="358"/>
      <c r="I87" s="358"/>
      <c r="J87" s="358"/>
      <c r="K87" s="358"/>
      <c r="L87" s="358"/>
      <c r="M87" s="358"/>
      <c r="N87" s="358"/>
      <c r="O87" s="358"/>
      <c r="P87" s="358"/>
      <c r="Q87" s="409"/>
      <c r="R87" s="358"/>
      <c r="S87" s="358"/>
      <c r="T87" s="358"/>
      <c r="U87" s="358"/>
      <c r="V87" s="358"/>
      <c r="W87" s="358"/>
      <c r="X87" s="358"/>
      <c r="Y87" s="358"/>
      <c r="Z87" s="358"/>
      <c r="AA87" s="358"/>
      <c r="AB87" s="358"/>
      <c r="AC87" s="358"/>
      <c r="AD87" s="358"/>
      <c r="AE87" s="358"/>
      <c r="AF87" s="358"/>
      <c r="AG87" s="358"/>
      <c r="AH87" s="358"/>
      <c r="AI87" s="358"/>
      <c r="AJ87" s="358"/>
      <c r="AK87" s="358"/>
      <c r="AL87" s="358"/>
      <c r="AM87" s="358"/>
      <c r="AN87" s="358"/>
      <c r="AO87" s="358"/>
      <c r="AP87" s="358"/>
      <c r="AQ87" s="358"/>
      <c r="AR87" s="358"/>
      <c r="AS87" s="358"/>
      <c r="AT87" s="358"/>
      <c r="AU87" s="358"/>
      <c r="AV87" s="358"/>
    </row>
    <row r="88" spans="1:48">
      <c r="D88" s="358"/>
      <c r="E88" s="358"/>
      <c r="F88" s="359"/>
      <c r="G88" s="360"/>
      <c r="H88" s="358"/>
      <c r="I88" s="358"/>
      <c r="J88" s="358"/>
      <c r="K88" s="358"/>
      <c r="L88" s="358"/>
      <c r="M88" s="358"/>
      <c r="N88" s="358"/>
      <c r="O88" s="358"/>
      <c r="P88" s="358"/>
      <c r="Q88" s="409"/>
      <c r="R88" s="358"/>
      <c r="S88" s="358"/>
      <c r="T88" s="358"/>
      <c r="U88" s="358"/>
      <c r="V88" s="358"/>
      <c r="W88" s="358"/>
      <c r="X88" s="358"/>
      <c r="Y88" s="358"/>
      <c r="Z88" s="358"/>
      <c r="AA88" s="358"/>
      <c r="AB88" s="358"/>
      <c r="AC88" s="358"/>
      <c r="AD88" s="358"/>
      <c r="AE88" s="358"/>
      <c r="AF88" s="358"/>
      <c r="AG88" s="358"/>
      <c r="AH88" s="358"/>
      <c r="AI88" s="358"/>
      <c r="AJ88" s="358"/>
      <c r="AK88" s="358"/>
      <c r="AL88" s="358"/>
      <c r="AM88" s="358"/>
      <c r="AN88" s="358"/>
      <c r="AO88" s="358"/>
      <c r="AP88" s="358"/>
      <c r="AQ88" s="358"/>
      <c r="AR88" s="358"/>
      <c r="AS88" s="358"/>
      <c r="AT88" s="358"/>
      <c r="AU88" s="358"/>
      <c r="AV88" s="358"/>
    </row>
    <row r="89" spans="1:48">
      <c r="D89" s="358"/>
      <c r="E89" s="358"/>
      <c r="F89" s="359"/>
      <c r="G89" s="360"/>
      <c r="H89" s="358"/>
      <c r="I89" s="358"/>
      <c r="J89" s="358"/>
      <c r="K89" s="358"/>
      <c r="L89" s="358"/>
      <c r="M89" s="358"/>
      <c r="N89" s="358"/>
      <c r="O89" s="358"/>
      <c r="P89" s="358"/>
      <c r="Q89" s="409"/>
      <c r="R89" s="358"/>
      <c r="S89" s="358"/>
      <c r="T89" s="358"/>
      <c r="U89" s="358"/>
      <c r="V89" s="358"/>
      <c r="W89" s="358"/>
      <c r="X89" s="358"/>
      <c r="Y89" s="358"/>
      <c r="Z89" s="358"/>
      <c r="AA89" s="358"/>
      <c r="AB89" s="358"/>
      <c r="AC89" s="358"/>
      <c r="AD89" s="358"/>
      <c r="AE89" s="358"/>
      <c r="AF89" s="358"/>
      <c r="AG89" s="358"/>
      <c r="AH89" s="358"/>
      <c r="AI89" s="358"/>
      <c r="AJ89" s="358"/>
      <c r="AK89" s="358"/>
      <c r="AL89" s="358"/>
      <c r="AM89" s="358"/>
      <c r="AN89" s="358"/>
      <c r="AO89" s="358"/>
      <c r="AP89" s="358"/>
      <c r="AQ89" s="358"/>
      <c r="AR89" s="358"/>
      <c r="AS89" s="358"/>
      <c r="AT89" s="358"/>
      <c r="AU89" s="358"/>
      <c r="AV89" s="358"/>
    </row>
    <row r="90" spans="1:48">
      <c r="D90" s="358"/>
      <c r="E90" s="358"/>
      <c r="F90" s="359"/>
      <c r="G90" s="360"/>
      <c r="H90" s="358"/>
      <c r="I90" s="358"/>
      <c r="J90" s="358"/>
      <c r="K90" s="358"/>
      <c r="L90" s="358"/>
      <c r="M90" s="358"/>
      <c r="N90" s="358"/>
      <c r="O90" s="358"/>
      <c r="P90" s="358"/>
      <c r="Q90" s="409"/>
      <c r="R90" s="358"/>
      <c r="S90" s="358"/>
      <c r="T90" s="358"/>
      <c r="U90" s="358"/>
      <c r="V90" s="358"/>
      <c r="W90" s="358"/>
      <c r="X90" s="358"/>
      <c r="Y90" s="358"/>
      <c r="Z90" s="358"/>
      <c r="AA90" s="358"/>
      <c r="AB90" s="358"/>
      <c r="AC90" s="358"/>
      <c r="AD90" s="358"/>
      <c r="AE90" s="358"/>
      <c r="AF90" s="358"/>
      <c r="AG90" s="358"/>
      <c r="AH90" s="358"/>
      <c r="AI90" s="358"/>
      <c r="AJ90" s="358"/>
      <c r="AK90" s="358"/>
      <c r="AL90" s="358"/>
      <c r="AM90" s="358"/>
      <c r="AN90" s="358"/>
      <c r="AO90" s="358"/>
      <c r="AP90" s="358"/>
      <c r="AQ90" s="358"/>
      <c r="AR90" s="358"/>
      <c r="AS90" s="358"/>
      <c r="AT90" s="358"/>
      <c r="AU90" s="358"/>
      <c r="AV90" s="358"/>
    </row>
    <row r="91" spans="1:48">
      <c r="D91" s="358"/>
      <c r="E91" s="358"/>
      <c r="F91" s="359"/>
      <c r="G91" s="360"/>
      <c r="H91" s="358"/>
      <c r="I91" s="358"/>
      <c r="J91" s="358"/>
      <c r="K91" s="358"/>
      <c r="L91" s="358"/>
      <c r="M91" s="358"/>
      <c r="N91" s="358"/>
      <c r="O91" s="358"/>
      <c r="P91" s="358"/>
      <c r="Q91" s="409"/>
      <c r="R91" s="358"/>
      <c r="S91" s="358"/>
      <c r="T91" s="358"/>
      <c r="U91" s="358"/>
      <c r="V91" s="358"/>
      <c r="W91" s="358"/>
      <c r="X91" s="358"/>
      <c r="Y91" s="358"/>
      <c r="Z91" s="358"/>
      <c r="AA91" s="358"/>
      <c r="AB91" s="358"/>
      <c r="AC91" s="358"/>
      <c r="AD91" s="358"/>
      <c r="AE91" s="358"/>
      <c r="AF91" s="358"/>
      <c r="AG91" s="358"/>
      <c r="AH91" s="358"/>
      <c r="AI91" s="358"/>
      <c r="AJ91" s="358"/>
      <c r="AK91" s="358"/>
      <c r="AL91" s="358"/>
      <c r="AM91" s="358"/>
      <c r="AN91" s="358"/>
      <c r="AO91" s="358"/>
      <c r="AP91" s="358"/>
      <c r="AQ91" s="358"/>
      <c r="AR91" s="358"/>
      <c r="AS91" s="358"/>
      <c r="AT91" s="358"/>
      <c r="AU91" s="358"/>
      <c r="AV91" s="358"/>
    </row>
    <row r="92" spans="1:48">
      <c r="D92" s="358"/>
      <c r="E92" s="358"/>
      <c r="F92" s="359"/>
      <c r="G92" s="360"/>
      <c r="H92" s="358"/>
      <c r="I92" s="358"/>
      <c r="J92" s="358"/>
      <c r="K92" s="358"/>
      <c r="L92" s="358"/>
      <c r="M92" s="358"/>
      <c r="N92" s="358"/>
      <c r="O92" s="358"/>
      <c r="P92" s="358"/>
      <c r="Q92" s="409"/>
      <c r="R92" s="358"/>
      <c r="S92" s="358"/>
      <c r="T92" s="358"/>
      <c r="U92" s="358"/>
      <c r="V92" s="358"/>
      <c r="W92" s="358"/>
      <c r="X92" s="358"/>
      <c r="Y92" s="358"/>
      <c r="Z92" s="358"/>
      <c r="AA92" s="358"/>
      <c r="AB92" s="358"/>
      <c r="AC92" s="358"/>
      <c r="AD92" s="358"/>
      <c r="AE92" s="358"/>
      <c r="AF92" s="358"/>
      <c r="AG92" s="358"/>
      <c r="AH92" s="358"/>
      <c r="AI92" s="358"/>
      <c r="AJ92" s="358"/>
      <c r="AK92" s="358"/>
      <c r="AL92" s="358"/>
      <c r="AM92" s="358"/>
      <c r="AN92" s="358"/>
      <c r="AO92" s="358"/>
      <c r="AP92" s="358"/>
      <c r="AQ92" s="358"/>
      <c r="AR92" s="358"/>
      <c r="AS92" s="358"/>
      <c r="AT92" s="358"/>
      <c r="AU92" s="358"/>
      <c r="AV92" s="358"/>
    </row>
    <row r="93" spans="1:48">
      <c r="D93" s="358"/>
      <c r="E93" s="358"/>
      <c r="F93" s="359"/>
      <c r="G93" s="360"/>
      <c r="H93" s="358"/>
      <c r="I93" s="358"/>
      <c r="J93" s="358"/>
      <c r="K93" s="358"/>
      <c r="L93" s="358"/>
      <c r="M93" s="358"/>
      <c r="N93" s="358"/>
      <c r="O93" s="358"/>
      <c r="P93" s="358"/>
      <c r="Q93" s="409"/>
      <c r="R93" s="358"/>
      <c r="S93" s="358"/>
      <c r="T93" s="358"/>
      <c r="U93" s="358"/>
      <c r="V93" s="358"/>
      <c r="W93" s="358"/>
      <c r="X93" s="358"/>
      <c r="Y93" s="358"/>
      <c r="Z93" s="358"/>
      <c r="AA93" s="358"/>
      <c r="AB93" s="358"/>
      <c r="AC93" s="358"/>
      <c r="AD93" s="358"/>
      <c r="AE93" s="358"/>
      <c r="AF93" s="358"/>
      <c r="AG93" s="358"/>
      <c r="AH93" s="358"/>
      <c r="AI93" s="358"/>
      <c r="AJ93" s="358"/>
      <c r="AK93" s="358"/>
      <c r="AL93" s="358"/>
      <c r="AM93" s="358"/>
      <c r="AN93" s="358"/>
      <c r="AO93" s="358"/>
      <c r="AP93" s="358"/>
      <c r="AQ93" s="358"/>
      <c r="AR93" s="358"/>
      <c r="AS93" s="358"/>
      <c r="AT93" s="358"/>
      <c r="AU93" s="358"/>
      <c r="AV93" s="358"/>
    </row>
    <row r="94" spans="1:48">
      <c r="D94" s="358"/>
      <c r="E94" s="358"/>
      <c r="F94" s="359"/>
      <c r="G94" s="360"/>
      <c r="H94" s="358"/>
      <c r="I94" s="358"/>
      <c r="J94" s="358"/>
      <c r="K94" s="358"/>
      <c r="L94" s="358"/>
      <c r="M94" s="358"/>
      <c r="N94" s="358"/>
      <c r="O94" s="358"/>
      <c r="P94" s="358"/>
      <c r="Q94" s="409"/>
      <c r="R94" s="358"/>
      <c r="S94" s="358"/>
      <c r="T94" s="358"/>
      <c r="U94" s="358"/>
      <c r="V94" s="358"/>
      <c r="W94" s="358"/>
      <c r="X94" s="358"/>
      <c r="Y94" s="358"/>
      <c r="Z94" s="358"/>
      <c r="AA94" s="358"/>
      <c r="AB94" s="358"/>
      <c r="AC94" s="358"/>
      <c r="AD94" s="358"/>
      <c r="AE94" s="358"/>
      <c r="AF94" s="358"/>
      <c r="AG94" s="358"/>
      <c r="AH94" s="358"/>
      <c r="AI94" s="358"/>
      <c r="AJ94" s="358"/>
      <c r="AK94" s="358"/>
      <c r="AL94" s="358"/>
      <c r="AM94" s="358"/>
      <c r="AN94" s="358"/>
      <c r="AO94" s="358"/>
      <c r="AP94" s="358"/>
      <c r="AQ94" s="358"/>
      <c r="AR94" s="358"/>
      <c r="AS94" s="358"/>
      <c r="AT94" s="358"/>
      <c r="AU94" s="358"/>
      <c r="AV94" s="358"/>
    </row>
    <row r="95" spans="1:48">
      <c r="H95" s="358"/>
      <c r="I95" s="358"/>
      <c r="J95" s="358"/>
      <c r="K95" s="358"/>
      <c r="L95" s="358"/>
      <c r="M95" s="358"/>
      <c r="N95" s="358"/>
      <c r="O95" s="358"/>
      <c r="P95" s="358"/>
      <c r="Q95" s="409"/>
      <c r="R95" s="358"/>
      <c r="S95" s="358"/>
      <c r="T95" s="358"/>
      <c r="U95" s="358"/>
      <c r="V95" s="358"/>
      <c r="W95" s="358"/>
      <c r="X95" s="358"/>
      <c r="Y95" s="358"/>
      <c r="Z95" s="358"/>
      <c r="AA95" s="358"/>
      <c r="AB95" s="358"/>
      <c r="AC95" s="358"/>
      <c r="AD95" s="358"/>
      <c r="AE95" s="358"/>
      <c r="AF95" s="358"/>
      <c r="AG95" s="358"/>
      <c r="AH95" s="358"/>
      <c r="AI95" s="358"/>
      <c r="AJ95" s="358"/>
      <c r="AK95" s="358"/>
      <c r="AL95" s="358"/>
      <c r="AM95" s="358"/>
      <c r="AN95" s="358"/>
      <c r="AO95" s="358"/>
      <c r="AP95" s="358"/>
      <c r="AQ95" s="358"/>
      <c r="AR95" s="358"/>
      <c r="AS95" s="358"/>
      <c r="AT95" s="358"/>
      <c r="AU95" s="358"/>
      <c r="AV95" s="358"/>
    </row>
    <row r="96" spans="1:48">
      <c r="H96" s="358"/>
      <c r="I96" s="358"/>
      <c r="J96" s="358"/>
      <c r="K96" s="358"/>
      <c r="L96" s="358"/>
      <c r="M96" s="358"/>
      <c r="N96" s="358"/>
      <c r="O96" s="358"/>
      <c r="P96" s="358"/>
      <c r="Q96" s="409"/>
      <c r="R96" s="358"/>
      <c r="S96" s="358"/>
      <c r="T96" s="358"/>
      <c r="U96" s="358"/>
      <c r="V96" s="358"/>
      <c r="W96" s="358"/>
      <c r="X96" s="358"/>
      <c r="Y96" s="358"/>
      <c r="Z96" s="358"/>
      <c r="AA96" s="358"/>
      <c r="AB96" s="358"/>
      <c r="AC96" s="358"/>
      <c r="AD96" s="358"/>
      <c r="AE96" s="358"/>
      <c r="AF96" s="358"/>
      <c r="AG96" s="358"/>
      <c r="AH96" s="358"/>
      <c r="AI96" s="358"/>
      <c r="AJ96" s="358"/>
      <c r="AK96" s="358"/>
      <c r="AL96" s="358"/>
      <c r="AM96" s="358"/>
      <c r="AN96" s="358"/>
      <c r="AO96" s="358"/>
      <c r="AP96" s="358"/>
      <c r="AQ96" s="358"/>
      <c r="AR96" s="358"/>
      <c r="AS96" s="358"/>
      <c r="AT96" s="358"/>
      <c r="AU96" s="358"/>
      <c r="AV96" s="358"/>
    </row>
  </sheetData>
  <mergeCells count="1">
    <mergeCell ref="O43:Q43"/>
  </mergeCells>
  <printOptions horizontalCentered="1"/>
  <pageMargins left="0.98425196850393704" right="0.78740157480314965" top="0.98425196850393704" bottom="0.98425196850393704" header="0.51181102362204722" footer="0.51181102362204722"/>
  <pageSetup paperSize="9" scale="61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Plan12">
    <tabColor theme="9" tint="-0.499984740745262"/>
  </sheetPr>
  <dimension ref="A1:BK189"/>
  <sheetViews>
    <sheetView showZeros="0" zoomScaleNormal="100" zoomScaleSheetLayoutView="100" workbookViewId="0">
      <selection activeCell="J5" sqref="J5"/>
    </sheetView>
  </sheetViews>
  <sheetFormatPr defaultRowHeight="12.75"/>
  <cols>
    <col min="1" max="1" width="2.5703125" style="612" customWidth="1"/>
    <col min="2" max="3" width="2.5703125" customWidth="1"/>
    <col min="4" max="4" width="53.85546875" customWidth="1"/>
    <col min="5" max="5" width="7" customWidth="1"/>
    <col min="6" max="6" width="14.85546875" customWidth="1"/>
    <col min="7" max="7" width="17.42578125" customWidth="1"/>
    <col min="8" max="8" width="21.28515625" bestFit="1" customWidth="1"/>
    <col min="9" max="9" width="11.7109375" bestFit="1" customWidth="1"/>
    <col min="10" max="10" width="11.28515625" bestFit="1" customWidth="1"/>
    <col min="260" max="260" width="53.85546875" customWidth="1"/>
    <col min="261" max="261" width="7" customWidth="1"/>
    <col min="262" max="262" width="14.85546875" customWidth="1"/>
    <col min="263" max="263" width="17.42578125" customWidth="1"/>
    <col min="264" max="264" width="21.28515625" bestFit="1" customWidth="1"/>
    <col min="265" max="265" width="11.7109375" bestFit="1" customWidth="1"/>
    <col min="516" max="516" width="53.85546875" customWidth="1"/>
    <col min="517" max="517" width="7" customWidth="1"/>
    <col min="518" max="518" width="14.85546875" customWidth="1"/>
    <col min="519" max="519" width="17.42578125" customWidth="1"/>
    <col min="520" max="520" width="21.28515625" bestFit="1" customWidth="1"/>
    <col min="521" max="521" width="11.7109375" bestFit="1" customWidth="1"/>
    <col min="772" max="772" width="53.85546875" customWidth="1"/>
    <col min="773" max="773" width="7" customWidth="1"/>
    <col min="774" max="774" width="14.85546875" customWidth="1"/>
    <col min="775" max="775" width="17.42578125" customWidth="1"/>
    <col min="776" max="776" width="21.28515625" bestFit="1" customWidth="1"/>
    <col min="777" max="777" width="11.7109375" bestFit="1" customWidth="1"/>
    <col min="1028" max="1028" width="53.85546875" customWidth="1"/>
    <col min="1029" max="1029" width="7" customWidth="1"/>
    <col min="1030" max="1030" width="14.85546875" customWidth="1"/>
    <col min="1031" max="1031" width="17.42578125" customWidth="1"/>
    <col min="1032" max="1032" width="21.28515625" bestFit="1" customWidth="1"/>
    <col min="1033" max="1033" width="11.7109375" bestFit="1" customWidth="1"/>
    <col min="1284" max="1284" width="53.85546875" customWidth="1"/>
    <col min="1285" max="1285" width="7" customWidth="1"/>
    <col min="1286" max="1286" width="14.85546875" customWidth="1"/>
    <col min="1287" max="1287" width="17.42578125" customWidth="1"/>
    <col min="1288" max="1288" width="21.28515625" bestFit="1" customWidth="1"/>
    <col min="1289" max="1289" width="11.7109375" bestFit="1" customWidth="1"/>
    <col min="1540" max="1540" width="53.85546875" customWidth="1"/>
    <col min="1541" max="1541" width="7" customWidth="1"/>
    <col min="1542" max="1542" width="14.85546875" customWidth="1"/>
    <col min="1543" max="1543" width="17.42578125" customWidth="1"/>
    <col min="1544" max="1544" width="21.28515625" bestFit="1" customWidth="1"/>
    <col min="1545" max="1545" width="11.7109375" bestFit="1" customWidth="1"/>
    <col min="1796" max="1796" width="53.85546875" customWidth="1"/>
    <col min="1797" max="1797" width="7" customWidth="1"/>
    <col min="1798" max="1798" width="14.85546875" customWidth="1"/>
    <col min="1799" max="1799" width="17.42578125" customWidth="1"/>
    <col min="1800" max="1800" width="21.28515625" bestFit="1" customWidth="1"/>
    <col min="1801" max="1801" width="11.7109375" bestFit="1" customWidth="1"/>
    <col min="2052" max="2052" width="53.85546875" customWidth="1"/>
    <col min="2053" max="2053" width="7" customWidth="1"/>
    <col min="2054" max="2054" width="14.85546875" customWidth="1"/>
    <col min="2055" max="2055" width="17.42578125" customWidth="1"/>
    <col min="2056" max="2056" width="21.28515625" bestFit="1" customWidth="1"/>
    <col min="2057" max="2057" width="11.7109375" bestFit="1" customWidth="1"/>
    <col min="2308" max="2308" width="53.85546875" customWidth="1"/>
    <col min="2309" max="2309" width="7" customWidth="1"/>
    <col min="2310" max="2310" width="14.85546875" customWidth="1"/>
    <col min="2311" max="2311" width="17.42578125" customWidth="1"/>
    <col min="2312" max="2312" width="21.28515625" bestFit="1" customWidth="1"/>
    <col min="2313" max="2313" width="11.7109375" bestFit="1" customWidth="1"/>
    <col min="2564" max="2564" width="53.85546875" customWidth="1"/>
    <col min="2565" max="2565" width="7" customWidth="1"/>
    <col min="2566" max="2566" width="14.85546875" customWidth="1"/>
    <col min="2567" max="2567" width="17.42578125" customWidth="1"/>
    <col min="2568" max="2568" width="21.28515625" bestFit="1" customWidth="1"/>
    <col min="2569" max="2569" width="11.7109375" bestFit="1" customWidth="1"/>
    <col min="2820" max="2820" width="53.85546875" customWidth="1"/>
    <col min="2821" max="2821" width="7" customWidth="1"/>
    <col min="2822" max="2822" width="14.85546875" customWidth="1"/>
    <col min="2823" max="2823" width="17.42578125" customWidth="1"/>
    <col min="2824" max="2824" width="21.28515625" bestFit="1" customWidth="1"/>
    <col min="2825" max="2825" width="11.7109375" bestFit="1" customWidth="1"/>
    <col min="3076" max="3076" width="53.85546875" customWidth="1"/>
    <col min="3077" max="3077" width="7" customWidth="1"/>
    <col min="3078" max="3078" width="14.85546875" customWidth="1"/>
    <col min="3079" max="3079" width="17.42578125" customWidth="1"/>
    <col min="3080" max="3080" width="21.28515625" bestFit="1" customWidth="1"/>
    <col min="3081" max="3081" width="11.7109375" bestFit="1" customWidth="1"/>
    <col min="3332" max="3332" width="53.85546875" customWidth="1"/>
    <col min="3333" max="3333" width="7" customWidth="1"/>
    <col min="3334" max="3334" width="14.85546875" customWidth="1"/>
    <col min="3335" max="3335" width="17.42578125" customWidth="1"/>
    <col min="3336" max="3336" width="21.28515625" bestFit="1" customWidth="1"/>
    <col min="3337" max="3337" width="11.7109375" bestFit="1" customWidth="1"/>
    <col min="3588" max="3588" width="53.85546875" customWidth="1"/>
    <col min="3589" max="3589" width="7" customWidth="1"/>
    <col min="3590" max="3590" width="14.85546875" customWidth="1"/>
    <col min="3591" max="3591" width="17.42578125" customWidth="1"/>
    <col min="3592" max="3592" width="21.28515625" bestFit="1" customWidth="1"/>
    <col min="3593" max="3593" width="11.7109375" bestFit="1" customWidth="1"/>
    <col min="3844" max="3844" width="53.85546875" customWidth="1"/>
    <col min="3845" max="3845" width="7" customWidth="1"/>
    <col min="3846" max="3846" width="14.85546875" customWidth="1"/>
    <col min="3847" max="3847" width="17.42578125" customWidth="1"/>
    <col min="3848" max="3848" width="21.28515625" bestFit="1" customWidth="1"/>
    <col min="3849" max="3849" width="11.7109375" bestFit="1" customWidth="1"/>
    <col min="4100" max="4100" width="53.85546875" customWidth="1"/>
    <col min="4101" max="4101" width="7" customWidth="1"/>
    <col min="4102" max="4102" width="14.85546875" customWidth="1"/>
    <col min="4103" max="4103" width="17.42578125" customWidth="1"/>
    <col min="4104" max="4104" width="21.28515625" bestFit="1" customWidth="1"/>
    <col min="4105" max="4105" width="11.7109375" bestFit="1" customWidth="1"/>
    <col min="4356" max="4356" width="53.85546875" customWidth="1"/>
    <col min="4357" max="4357" width="7" customWidth="1"/>
    <col min="4358" max="4358" width="14.85546875" customWidth="1"/>
    <col min="4359" max="4359" width="17.42578125" customWidth="1"/>
    <col min="4360" max="4360" width="21.28515625" bestFit="1" customWidth="1"/>
    <col min="4361" max="4361" width="11.7109375" bestFit="1" customWidth="1"/>
    <col min="4612" max="4612" width="53.85546875" customWidth="1"/>
    <col min="4613" max="4613" width="7" customWidth="1"/>
    <col min="4614" max="4614" width="14.85546875" customWidth="1"/>
    <col min="4615" max="4615" width="17.42578125" customWidth="1"/>
    <col min="4616" max="4616" width="21.28515625" bestFit="1" customWidth="1"/>
    <col min="4617" max="4617" width="11.7109375" bestFit="1" customWidth="1"/>
    <col min="4868" max="4868" width="53.85546875" customWidth="1"/>
    <col min="4869" max="4869" width="7" customWidth="1"/>
    <col min="4870" max="4870" width="14.85546875" customWidth="1"/>
    <col min="4871" max="4871" width="17.42578125" customWidth="1"/>
    <col min="4872" max="4872" width="21.28515625" bestFit="1" customWidth="1"/>
    <col min="4873" max="4873" width="11.7109375" bestFit="1" customWidth="1"/>
    <col min="5124" max="5124" width="53.85546875" customWidth="1"/>
    <col min="5125" max="5125" width="7" customWidth="1"/>
    <col min="5126" max="5126" width="14.85546875" customWidth="1"/>
    <col min="5127" max="5127" width="17.42578125" customWidth="1"/>
    <col min="5128" max="5128" width="21.28515625" bestFit="1" customWidth="1"/>
    <col min="5129" max="5129" width="11.7109375" bestFit="1" customWidth="1"/>
    <col min="5380" max="5380" width="53.85546875" customWidth="1"/>
    <col min="5381" max="5381" width="7" customWidth="1"/>
    <col min="5382" max="5382" width="14.85546875" customWidth="1"/>
    <col min="5383" max="5383" width="17.42578125" customWidth="1"/>
    <col min="5384" max="5384" width="21.28515625" bestFit="1" customWidth="1"/>
    <col min="5385" max="5385" width="11.7109375" bestFit="1" customWidth="1"/>
    <col min="5636" max="5636" width="53.85546875" customWidth="1"/>
    <col min="5637" max="5637" width="7" customWidth="1"/>
    <col min="5638" max="5638" width="14.85546875" customWidth="1"/>
    <col min="5639" max="5639" width="17.42578125" customWidth="1"/>
    <col min="5640" max="5640" width="21.28515625" bestFit="1" customWidth="1"/>
    <col min="5641" max="5641" width="11.7109375" bestFit="1" customWidth="1"/>
    <col min="5892" max="5892" width="53.85546875" customWidth="1"/>
    <col min="5893" max="5893" width="7" customWidth="1"/>
    <col min="5894" max="5894" width="14.85546875" customWidth="1"/>
    <col min="5895" max="5895" width="17.42578125" customWidth="1"/>
    <col min="5896" max="5896" width="21.28515625" bestFit="1" customWidth="1"/>
    <col min="5897" max="5897" width="11.7109375" bestFit="1" customWidth="1"/>
    <col min="6148" max="6148" width="53.85546875" customWidth="1"/>
    <col min="6149" max="6149" width="7" customWidth="1"/>
    <col min="6150" max="6150" width="14.85546875" customWidth="1"/>
    <col min="6151" max="6151" width="17.42578125" customWidth="1"/>
    <col min="6152" max="6152" width="21.28515625" bestFit="1" customWidth="1"/>
    <col min="6153" max="6153" width="11.7109375" bestFit="1" customWidth="1"/>
    <col min="6404" max="6404" width="53.85546875" customWidth="1"/>
    <col min="6405" max="6405" width="7" customWidth="1"/>
    <col min="6406" max="6406" width="14.85546875" customWidth="1"/>
    <col min="6407" max="6407" width="17.42578125" customWidth="1"/>
    <col min="6408" max="6408" width="21.28515625" bestFit="1" customWidth="1"/>
    <col min="6409" max="6409" width="11.7109375" bestFit="1" customWidth="1"/>
    <col min="6660" max="6660" width="53.85546875" customWidth="1"/>
    <col min="6661" max="6661" width="7" customWidth="1"/>
    <col min="6662" max="6662" width="14.85546875" customWidth="1"/>
    <col min="6663" max="6663" width="17.42578125" customWidth="1"/>
    <col min="6664" max="6664" width="21.28515625" bestFit="1" customWidth="1"/>
    <col min="6665" max="6665" width="11.7109375" bestFit="1" customWidth="1"/>
    <col min="6916" max="6916" width="53.85546875" customWidth="1"/>
    <col min="6917" max="6917" width="7" customWidth="1"/>
    <col min="6918" max="6918" width="14.85546875" customWidth="1"/>
    <col min="6919" max="6919" width="17.42578125" customWidth="1"/>
    <col min="6920" max="6920" width="21.28515625" bestFit="1" customWidth="1"/>
    <col min="6921" max="6921" width="11.7109375" bestFit="1" customWidth="1"/>
    <col min="7172" max="7172" width="53.85546875" customWidth="1"/>
    <col min="7173" max="7173" width="7" customWidth="1"/>
    <col min="7174" max="7174" width="14.85546875" customWidth="1"/>
    <col min="7175" max="7175" width="17.42578125" customWidth="1"/>
    <col min="7176" max="7176" width="21.28515625" bestFit="1" customWidth="1"/>
    <col min="7177" max="7177" width="11.7109375" bestFit="1" customWidth="1"/>
    <col min="7428" max="7428" width="53.85546875" customWidth="1"/>
    <col min="7429" max="7429" width="7" customWidth="1"/>
    <col min="7430" max="7430" width="14.85546875" customWidth="1"/>
    <col min="7431" max="7431" width="17.42578125" customWidth="1"/>
    <col min="7432" max="7432" width="21.28515625" bestFit="1" customWidth="1"/>
    <col min="7433" max="7433" width="11.7109375" bestFit="1" customWidth="1"/>
    <col min="7684" max="7684" width="53.85546875" customWidth="1"/>
    <col min="7685" max="7685" width="7" customWidth="1"/>
    <col min="7686" max="7686" width="14.85546875" customWidth="1"/>
    <col min="7687" max="7687" width="17.42578125" customWidth="1"/>
    <col min="7688" max="7688" width="21.28515625" bestFit="1" customWidth="1"/>
    <col min="7689" max="7689" width="11.7109375" bestFit="1" customWidth="1"/>
    <col min="7940" max="7940" width="53.85546875" customWidth="1"/>
    <col min="7941" max="7941" width="7" customWidth="1"/>
    <col min="7942" max="7942" width="14.85546875" customWidth="1"/>
    <col min="7943" max="7943" width="17.42578125" customWidth="1"/>
    <col min="7944" max="7944" width="21.28515625" bestFit="1" customWidth="1"/>
    <col min="7945" max="7945" width="11.7109375" bestFit="1" customWidth="1"/>
    <col min="8196" max="8196" width="53.85546875" customWidth="1"/>
    <col min="8197" max="8197" width="7" customWidth="1"/>
    <col min="8198" max="8198" width="14.85546875" customWidth="1"/>
    <col min="8199" max="8199" width="17.42578125" customWidth="1"/>
    <col min="8200" max="8200" width="21.28515625" bestFit="1" customWidth="1"/>
    <col min="8201" max="8201" width="11.7109375" bestFit="1" customWidth="1"/>
    <col min="8452" max="8452" width="53.85546875" customWidth="1"/>
    <col min="8453" max="8453" width="7" customWidth="1"/>
    <col min="8454" max="8454" width="14.85546875" customWidth="1"/>
    <col min="8455" max="8455" width="17.42578125" customWidth="1"/>
    <col min="8456" max="8456" width="21.28515625" bestFit="1" customWidth="1"/>
    <col min="8457" max="8457" width="11.7109375" bestFit="1" customWidth="1"/>
    <col min="8708" max="8708" width="53.85546875" customWidth="1"/>
    <col min="8709" max="8709" width="7" customWidth="1"/>
    <col min="8710" max="8710" width="14.85546875" customWidth="1"/>
    <col min="8711" max="8711" width="17.42578125" customWidth="1"/>
    <col min="8712" max="8712" width="21.28515625" bestFit="1" customWidth="1"/>
    <col min="8713" max="8713" width="11.7109375" bestFit="1" customWidth="1"/>
    <col min="8964" max="8964" width="53.85546875" customWidth="1"/>
    <col min="8965" max="8965" width="7" customWidth="1"/>
    <col min="8966" max="8966" width="14.85546875" customWidth="1"/>
    <col min="8967" max="8967" width="17.42578125" customWidth="1"/>
    <col min="8968" max="8968" width="21.28515625" bestFit="1" customWidth="1"/>
    <col min="8969" max="8969" width="11.7109375" bestFit="1" customWidth="1"/>
    <col min="9220" max="9220" width="53.85546875" customWidth="1"/>
    <col min="9221" max="9221" width="7" customWidth="1"/>
    <col min="9222" max="9222" width="14.85546875" customWidth="1"/>
    <col min="9223" max="9223" width="17.42578125" customWidth="1"/>
    <col min="9224" max="9224" width="21.28515625" bestFit="1" customWidth="1"/>
    <col min="9225" max="9225" width="11.7109375" bestFit="1" customWidth="1"/>
    <col min="9476" max="9476" width="53.85546875" customWidth="1"/>
    <col min="9477" max="9477" width="7" customWidth="1"/>
    <col min="9478" max="9478" width="14.85546875" customWidth="1"/>
    <col min="9479" max="9479" width="17.42578125" customWidth="1"/>
    <col min="9480" max="9480" width="21.28515625" bestFit="1" customWidth="1"/>
    <col min="9481" max="9481" width="11.7109375" bestFit="1" customWidth="1"/>
    <col min="9732" max="9732" width="53.85546875" customWidth="1"/>
    <col min="9733" max="9733" width="7" customWidth="1"/>
    <col min="9734" max="9734" width="14.85546875" customWidth="1"/>
    <col min="9735" max="9735" width="17.42578125" customWidth="1"/>
    <col min="9736" max="9736" width="21.28515625" bestFit="1" customWidth="1"/>
    <col min="9737" max="9737" width="11.7109375" bestFit="1" customWidth="1"/>
    <col min="9988" max="9988" width="53.85546875" customWidth="1"/>
    <col min="9989" max="9989" width="7" customWidth="1"/>
    <col min="9990" max="9990" width="14.85546875" customWidth="1"/>
    <col min="9991" max="9991" width="17.42578125" customWidth="1"/>
    <col min="9992" max="9992" width="21.28515625" bestFit="1" customWidth="1"/>
    <col min="9993" max="9993" width="11.7109375" bestFit="1" customWidth="1"/>
    <col min="10244" max="10244" width="53.85546875" customWidth="1"/>
    <col min="10245" max="10245" width="7" customWidth="1"/>
    <col min="10246" max="10246" width="14.85546875" customWidth="1"/>
    <col min="10247" max="10247" width="17.42578125" customWidth="1"/>
    <col min="10248" max="10248" width="21.28515625" bestFit="1" customWidth="1"/>
    <col min="10249" max="10249" width="11.7109375" bestFit="1" customWidth="1"/>
    <col min="10500" max="10500" width="53.85546875" customWidth="1"/>
    <col min="10501" max="10501" width="7" customWidth="1"/>
    <col min="10502" max="10502" width="14.85546875" customWidth="1"/>
    <col min="10503" max="10503" width="17.42578125" customWidth="1"/>
    <col min="10504" max="10504" width="21.28515625" bestFit="1" customWidth="1"/>
    <col min="10505" max="10505" width="11.7109375" bestFit="1" customWidth="1"/>
    <col min="10756" max="10756" width="53.85546875" customWidth="1"/>
    <col min="10757" max="10757" width="7" customWidth="1"/>
    <col min="10758" max="10758" width="14.85546875" customWidth="1"/>
    <col min="10759" max="10759" width="17.42578125" customWidth="1"/>
    <col min="10760" max="10760" width="21.28515625" bestFit="1" customWidth="1"/>
    <col min="10761" max="10761" width="11.7109375" bestFit="1" customWidth="1"/>
    <col min="11012" max="11012" width="53.85546875" customWidth="1"/>
    <col min="11013" max="11013" width="7" customWidth="1"/>
    <col min="11014" max="11014" width="14.85546875" customWidth="1"/>
    <col min="11015" max="11015" width="17.42578125" customWidth="1"/>
    <col min="11016" max="11016" width="21.28515625" bestFit="1" customWidth="1"/>
    <col min="11017" max="11017" width="11.7109375" bestFit="1" customWidth="1"/>
    <col min="11268" max="11268" width="53.85546875" customWidth="1"/>
    <col min="11269" max="11269" width="7" customWidth="1"/>
    <col min="11270" max="11270" width="14.85546875" customWidth="1"/>
    <col min="11271" max="11271" width="17.42578125" customWidth="1"/>
    <col min="11272" max="11272" width="21.28515625" bestFit="1" customWidth="1"/>
    <col min="11273" max="11273" width="11.7109375" bestFit="1" customWidth="1"/>
    <col min="11524" max="11524" width="53.85546875" customWidth="1"/>
    <col min="11525" max="11525" width="7" customWidth="1"/>
    <col min="11526" max="11526" width="14.85546875" customWidth="1"/>
    <col min="11527" max="11527" width="17.42578125" customWidth="1"/>
    <col min="11528" max="11528" width="21.28515625" bestFit="1" customWidth="1"/>
    <col min="11529" max="11529" width="11.7109375" bestFit="1" customWidth="1"/>
    <col min="11780" max="11780" width="53.85546875" customWidth="1"/>
    <col min="11781" max="11781" width="7" customWidth="1"/>
    <col min="11782" max="11782" width="14.85546875" customWidth="1"/>
    <col min="11783" max="11783" width="17.42578125" customWidth="1"/>
    <col min="11784" max="11784" width="21.28515625" bestFit="1" customWidth="1"/>
    <col min="11785" max="11785" width="11.7109375" bestFit="1" customWidth="1"/>
    <col min="12036" max="12036" width="53.85546875" customWidth="1"/>
    <col min="12037" max="12037" width="7" customWidth="1"/>
    <col min="12038" max="12038" width="14.85546875" customWidth="1"/>
    <col min="12039" max="12039" width="17.42578125" customWidth="1"/>
    <col min="12040" max="12040" width="21.28515625" bestFit="1" customWidth="1"/>
    <col min="12041" max="12041" width="11.7109375" bestFit="1" customWidth="1"/>
    <col min="12292" max="12292" width="53.85546875" customWidth="1"/>
    <col min="12293" max="12293" width="7" customWidth="1"/>
    <col min="12294" max="12294" width="14.85546875" customWidth="1"/>
    <col min="12295" max="12295" width="17.42578125" customWidth="1"/>
    <col min="12296" max="12296" width="21.28515625" bestFit="1" customWidth="1"/>
    <col min="12297" max="12297" width="11.7109375" bestFit="1" customWidth="1"/>
    <col min="12548" max="12548" width="53.85546875" customWidth="1"/>
    <col min="12549" max="12549" width="7" customWidth="1"/>
    <col min="12550" max="12550" width="14.85546875" customWidth="1"/>
    <col min="12551" max="12551" width="17.42578125" customWidth="1"/>
    <col min="12552" max="12552" width="21.28515625" bestFit="1" customWidth="1"/>
    <col min="12553" max="12553" width="11.7109375" bestFit="1" customWidth="1"/>
    <col min="12804" max="12804" width="53.85546875" customWidth="1"/>
    <col min="12805" max="12805" width="7" customWidth="1"/>
    <col min="12806" max="12806" width="14.85546875" customWidth="1"/>
    <col min="12807" max="12807" width="17.42578125" customWidth="1"/>
    <col min="12808" max="12808" width="21.28515625" bestFit="1" customWidth="1"/>
    <col min="12809" max="12809" width="11.7109375" bestFit="1" customWidth="1"/>
    <col min="13060" max="13060" width="53.85546875" customWidth="1"/>
    <col min="13061" max="13061" width="7" customWidth="1"/>
    <col min="13062" max="13062" width="14.85546875" customWidth="1"/>
    <col min="13063" max="13063" width="17.42578125" customWidth="1"/>
    <col min="13064" max="13064" width="21.28515625" bestFit="1" customWidth="1"/>
    <col min="13065" max="13065" width="11.7109375" bestFit="1" customWidth="1"/>
    <col min="13316" max="13316" width="53.85546875" customWidth="1"/>
    <col min="13317" max="13317" width="7" customWidth="1"/>
    <col min="13318" max="13318" width="14.85546875" customWidth="1"/>
    <col min="13319" max="13319" width="17.42578125" customWidth="1"/>
    <col min="13320" max="13320" width="21.28515625" bestFit="1" customWidth="1"/>
    <col min="13321" max="13321" width="11.7109375" bestFit="1" customWidth="1"/>
    <col min="13572" max="13572" width="53.85546875" customWidth="1"/>
    <col min="13573" max="13573" width="7" customWidth="1"/>
    <col min="13574" max="13574" width="14.85546875" customWidth="1"/>
    <col min="13575" max="13575" width="17.42578125" customWidth="1"/>
    <col min="13576" max="13576" width="21.28515625" bestFit="1" customWidth="1"/>
    <col min="13577" max="13577" width="11.7109375" bestFit="1" customWidth="1"/>
    <col min="13828" max="13828" width="53.85546875" customWidth="1"/>
    <col min="13829" max="13829" width="7" customWidth="1"/>
    <col min="13830" max="13830" width="14.85546875" customWidth="1"/>
    <col min="13831" max="13831" width="17.42578125" customWidth="1"/>
    <col min="13832" max="13832" width="21.28515625" bestFit="1" customWidth="1"/>
    <col min="13833" max="13833" width="11.7109375" bestFit="1" customWidth="1"/>
    <col min="14084" max="14084" width="53.85546875" customWidth="1"/>
    <col min="14085" max="14085" width="7" customWidth="1"/>
    <col min="14086" max="14086" width="14.85546875" customWidth="1"/>
    <col min="14087" max="14087" width="17.42578125" customWidth="1"/>
    <col min="14088" max="14088" width="21.28515625" bestFit="1" customWidth="1"/>
    <col min="14089" max="14089" width="11.7109375" bestFit="1" customWidth="1"/>
    <col min="14340" max="14340" width="53.85546875" customWidth="1"/>
    <col min="14341" max="14341" width="7" customWidth="1"/>
    <col min="14342" max="14342" width="14.85546875" customWidth="1"/>
    <col min="14343" max="14343" width="17.42578125" customWidth="1"/>
    <col min="14344" max="14344" width="21.28515625" bestFit="1" customWidth="1"/>
    <col min="14345" max="14345" width="11.7109375" bestFit="1" customWidth="1"/>
    <col min="14596" max="14596" width="53.85546875" customWidth="1"/>
    <col min="14597" max="14597" width="7" customWidth="1"/>
    <col min="14598" max="14598" width="14.85546875" customWidth="1"/>
    <col min="14599" max="14599" width="17.42578125" customWidth="1"/>
    <col min="14600" max="14600" width="21.28515625" bestFit="1" customWidth="1"/>
    <col min="14601" max="14601" width="11.7109375" bestFit="1" customWidth="1"/>
    <col min="14852" max="14852" width="53.85546875" customWidth="1"/>
    <col min="14853" max="14853" width="7" customWidth="1"/>
    <col min="14854" max="14854" width="14.85546875" customWidth="1"/>
    <col min="14855" max="14855" width="17.42578125" customWidth="1"/>
    <col min="14856" max="14856" width="21.28515625" bestFit="1" customWidth="1"/>
    <col min="14857" max="14857" width="11.7109375" bestFit="1" customWidth="1"/>
    <col min="15108" max="15108" width="53.85546875" customWidth="1"/>
    <col min="15109" max="15109" width="7" customWidth="1"/>
    <col min="15110" max="15110" width="14.85546875" customWidth="1"/>
    <col min="15111" max="15111" width="17.42578125" customWidth="1"/>
    <col min="15112" max="15112" width="21.28515625" bestFit="1" customWidth="1"/>
    <col min="15113" max="15113" width="11.7109375" bestFit="1" customWidth="1"/>
    <col min="15364" max="15364" width="53.85546875" customWidth="1"/>
    <col min="15365" max="15365" width="7" customWidth="1"/>
    <col min="15366" max="15366" width="14.85546875" customWidth="1"/>
    <col min="15367" max="15367" width="17.42578125" customWidth="1"/>
    <col min="15368" max="15368" width="21.28515625" bestFit="1" customWidth="1"/>
    <col min="15369" max="15369" width="11.7109375" bestFit="1" customWidth="1"/>
    <col min="15620" max="15620" width="53.85546875" customWidth="1"/>
    <col min="15621" max="15621" width="7" customWidth="1"/>
    <col min="15622" max="15622" width="14.85546875" customWidth="1"/>
    <col min="15623" max="15623" width="17.42578125" customWidth="1"/>
    <col min="15624" max="15624" width="21.28515625" bestFit="1" customWidth="1"/>
    <col min="15625" max="15625" width="11.7109375" bestFit="1" customWidth="1"/>
    <col min="15876" max="15876" width="53.85546875" customWidth="1"/>
    <col min="15877" max="15877" width="7" customWidth="1"/>
    <col min="15878" max="15878" width="14.85546875" customWidth="1"/>
    <col min="15879" max="15879" width="17.42578125" customWidth="1"/>
    <col min="15880" max="15880" width="21.28515625" bestFit="1" customWidth="1"/>
    <col min="15881" max="15881" width="11.7109375" bestFit="1" customWidth="1"/>
    <col min="16132" max="16132" width="53.85546875" customWidth="1"/>
    <col min="16133" max="16133" width="7" customWidth="1"/>
    <col min="16134" max="16134" width="14.85546875" customWidth="1"/>
    <col min="16135" max="16135" width="17.42578125" customWidth="1"/>
    <col min="16136" max="16136" width="21.28515625" bestFit="1" customWidth="1"/>
    <col min="16137" max="16137" width="11.7109375" bestFit="1" customWidth="1"/>
  </cols>
  <sheetData>
    <row r="1" spans="1:63" s="612" customFormat="1">
      <c r="A1" s="595"/>
      <c r="B1" s="596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  <c r="P1" s="595"/>
      <c r="Q1" s="595"/>
      <c r="R1" s="595"/>
      <c r="S1" s="595"/>
      <c r="T1" s="595"/>
      <c r="U1" s="595"/>
      <c r="V1" s="595"/>
      <c r="W1" s="595"/>
      <c r="X1" s="595"/>
      <c r="Y1" s="595"/>
      <c r="Z1" s="595"/>
      <c r="AA1" s="595"/>
      <c r="AB1" s="595"/>
      <c r="AC1" s="595"/>
      <c r="AD1" s="595"/>
      <c r="AE1" s="595"/>
      <c r="AF1" s="595"/>
      <c r="AG1" s="595"/>
      <c r="AH1" s="595"/>
      <c r="AI1" s="595"/>
      <c r="AJ1" s="595"/>
      <c r="AK1" s="595"/>
      <c r="AL1" s="595"/>
      <c r="AM1" s="595"/>
      <c r="AN1" s="595"/>
      <c r="AO1" s="595"/>
      <c r="AP1" s="595"/>
      <c r="AQ1" s="595"/>
      <c r="AR1" s="595"/>
      <c r="AS1" s="595"/>
      <c r="AT1" s="595"/>
      <c r="AU1" s="595"/>
      <c r="AV1" s="595"/>
      <c r="AW1" s="595"/>
      <c r="AX1" s="595"/>
      <c r="AY1" s="595"/>
      <c r="AZ1" s="595"/>
      <c r="BA1" s="595"/>
      <c r="BB1" s="595"/>
      <c r="BC1" s="595"/>
      <c r="BD1" s="595"/>
      <c r="BE1" s="595"/>
      <c r="BF1" s="595"/>
      <c r="BG1" s="595"/>
      <c r="BH1" s="595"/>
      <c r="BI1" s="595"/>
      <c r="BJ1" s="595"/>
      <c r="BK1" s="595"/>
    </row>
    <row r="2" spans="1:63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598"/>
      <c r="AI2" s="598"/>
      <c r="AJ2" s="598"/>
      <c r="AK2" s="598"/>
      <c r="AL2" s="598"/>
      <c r="AM2" s="598"/>
      <c r="AN2" s="598"/>
      <c r="AO2" s="598"/>
      <c r="AP2" s="598"/>
      <c r="AQ2" s="598"/>
      <c r="AR2" s="598"/>
      <c r="AS2" s="598"/>
      <c r="AT2" s="598"/>
      <c r="AU2" s="242"/>
      <c r="AV2" s="242"/>
      <c r="AW2" s="242"/>
      <c r="AX2" s="242"/>
      <c r="AY2" s="242"/>
      <c r="AZ2" s="242"/>
      <c r="BA2" s="242"/>
      <c r="BB2" s="242"/>
      <c r="BC2" s="242"/>
      <c r="BD2" s="242"/>
      <c r="BE2" s="242"/>
      <c r="BF2" s="242"/>
      <c r="BG2" s="242"/>
      <c r="BH2" s="242"/>
      <c r="BI2" s="242"/>
      <c r="BJ2" s="242"/>
      <c r="BK2" s="242"/>
    </row>
    <row r="3" spans="1:63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</row>
    <row r="4" spans="1:63">
      <c r="A4" s="595"/>
      <c r="B4" s="598"/>
      <c r="C4" s="599"/>
      <c r="D4" s="361" t="s">
        <v>666</v>
      </c>
      <c r="E4" s="362">
        <v>0</v>
      </c>
      <c r="F4" s="363">
        <v>0</v>
      </c>
      <c r="G4" s="362">
        <v>0</v>
      </c>
      <c r="H4" s="363">
        <v>0</v>
      </c>
      <c r="I4" s="283"/>
      <c r="J4" s="283"/>
      <c r="K4" s="283"/>
      <c r="L4" s="283"/>
      <c r="M4" s="283"/>
      <c r="N4" s="283"/>
      <c r="O4" s="283"/>
      <c r="P4" s="283"/>
      <c r="Q4" s="283"/>
      <c r="R4" s="283"/>
      <c r="S4" s="283"/>
      <c r="T4" s="283"/>
      <c r="U4" s="283"/>
      <c r="V4" s="283"/>
      <c r="W4" s="283"/>
      <c r="X4" s="283"/>
      <c r="Y4" s="283"/>
      <c r="Z4" s="283"/>
      <c r="AA4" s="283"/>
      <c r="AB4" s="283"/>
      <c r="AC4" s="283"/>
      <c r="AD4" s="283"/>
      <c r="AE4" s="283"/>
      <c r="AF4" s="283"/>
      <c r="AG4" s="283"/>
      <c r="AH4" s="283"/>
      <c r="AI4" s="283"/>
      <c r="AJ4" s="283"/>
      <c r="AK4" s="283"/>
      <c r="AL4" s="283"/>
      <c r="AM4" s="283"/>
      <c r="AN4" s="283"/>
      <c r="AO4" s="283"/>
      <c r="AP4" s="283"/>
      <c r="AQ4" s="283"/>
      <c r="AR4" s="283"/>
      <c r="AS4" s="283"/>
      <c r="AT4" s="283"/>
      <c r="AU4" s="283"/>
      <c r="AV4" s="283"/>
      <c r="AW4" s="283"/>
      <c r="AX4" s="283"/>
      <c r="AY4" s="283"/>
      <c r="AZ4" s="283"/>
      <c r="BA4" s="283"/>
      <c r="BB4" s="283"/>
      <c r="BC4" s="283"/>
      <c r="BD4" s="283"/>
      <c r="BE4" s="283"/>
      <c r="BF4" s="283"/>
      <c r="BG4" s="283"/>
    </row>
    <row r="5" spans="1:63" s="620" customFormat="1">
      <c r="A5" s="609"/>
      <c r="B5" s="610"/>
      <c r="C5" s="611"/>
      <c r="D5" s="1069" t="s">
        <v>4</v>
      </c>
      <c r="E5" s="1069" t="s">
        <v>621</v>
      </c>
      <c r="F5" s="1070" t="s">
        <v>667</v>
      </c>
      <c r="G5" s="777" t="s">
        <v>668</v>
      </c>
      <c r="H5" s="1071" t="s">
        <v>669</v>
      </c>
      <c r="I5" s="619"/>
      <c r="J5" s="619"/>
      <c r="K5" s="619"/>
      <c r="L5" s="619"/>
      <c r="M5" s="619"/>
      <c r="N5" s="619"/>
      <c r="O5" s="619"/>
    </row>
    <row r="6" spans="1:63">
      <c r="A6" s="595"/>
      <c r="B6" s="598"/>
      <c r="C6" s="599"/>
      <c r="D6" s="542" t="s">
        <v>670</v>
      </c>
      <c r="E6" s="543" t="s">
        <v>416</v>
      </c>
      <c r="F6" s="1072">
        <v>1500</v>
      </c>
      <c r="G6" s="1073">
        <v>0.3</v>
      </c>
      <c r="H6" s="1072">
        <f>F6*G6</f>
        <v>450</v>
      </c>
      <c r="I6" s="364"/>
      <c r="J6" s="365"/>
      <c r="K6" s="283"/>
      <c r="L6" s="283"/>
      <c r="M6" s="283"/>
      <c r="N6" s="283"/>
      <c r="O6" s="283"/>
    </row>
    <row r="7" spans="1:63">
      <c r="A7" s="595"/>
      <c r="B7" s="598"/>
      <c r="C7" s="599"/>
      <c r="D7" s="542" t="s">
        <v>671</v>
      </c>
      <c r="E7" s="543" t="s">
        <v>416</v>
      </c>
      <c r="F7" s="1072">
        <v>0</v>
      </c>
      <c r="G7" s="1073">
        <v>0.3</v>
      </c>
      <c r="H7" s="1072">
        <f>F7*G7</f>
        <v>0</v>
      </c>
      <c r="I7" s="364"/>
      <c r="J7" s="365">
        <v>364000</v>
      </c>
      <c r="K7" s="364">
        <f>F7/J7</f>
        <v>0</v>
      </c>
      <c r="L7" s="283"/>
      <c r="M7" s="283"/>
      <c r="N7" s="283"/>
      <c r="O7" s="283"/>
    </row>
    <row r="8" spans="1:63">
      <c r="A8" s="595"/>
      <c r="B8" s="598"/>
      <c r="C8" s="599"/>
      <c r="D8" s="542" t="s">
        <v>672</v>
      </c>
      <c r="E8" s="543" t="s">
        <v>416</v>
      </c>
      <c r="F8" s="1072">
        <f>F7*2</f>
        <v>0</v>
      </c>
      <c r="G8" s="1073">
        <v>0.3</v>
      </c>
      <c r="H8" s="1072">
        <f>F8*G8</f>
        <v>0</v>
      </c>
      <c r="I8" s="364"/>
      <c r="J8" s="365"/>
      <c r="K8" s="364">
        <f>F8/J7</f>
        <v>0</v>
      </c>
      <c r="L8" s="283"/>
      <c r="M8" s="283"/>
      <c r="N8" s="283"/>
      <c r="O8" s="283"/>
    </row>
    <row r="9" spans="1:63" s="620" customFormat="1">
      <c r="A9" s="609"/>
      <c r="B9" s="610"/>
      <c r="C9" s="611"/>
      <c r="D9" s="1882" t="s">
        <v>38</v>
      </c>
      <c r="E9" s="1882"/>
      <c r="F9" s="1074">
        <f>SUM(F6:F8)</f>
        <v>1500</v>
      </c>
      <c r="G9" s="1075"/>
      <c r="H9" s="1074">
        <f>SUM(H6:H8)</f>
        <v>450</v>
      </c>
      <c r="I9" s="619"/>
      <c r="J9" s="619"/>
      <c r="K9" s="619"/>
      <c r="L9" s="619"/>
      <c r="M9" s="619"/>
      <c r="N9" s="619"/>
      <c r="O9" s="619"/>
    </row>
    <row r="10" spans="1:63">
      <c r="A10" s="595"/>
      <c r="B10" s="598"/>
      <c r="C10" s="599"/>
      <c r="D10" s="362"/>
      <c r="E10" s="366"/>
      <c r="F10" s="363"/>
      <c r="G10" s="362"/>
      <c r="H10" s="363"/>
      <c r="I10" s="283"/>
      <c r="J10" s="283"/>
      <c r="K10" s="283"/>
      <c r="L10" s="283"/>
      <c r="M10" s="283"/>
      <c r="N10" s="283"/>
      <c r="O10" s="283"/>
    </row>
    <row r="11" spans="1:63">
      <c r="A11" s="595"/>
      <c r="B11" s="598"/>
      <c r="C11" s="599"/>
      <c r="D11" s="361" t="s">
        <v>673</v>
      </c>
      <c r="E11" s="366">
        <v>0</v>
      </c>
      <c r="F11" s="363">
        <v>0</v>
      </c>
      <c r="G11" s="362">
        <v>0</v>
      </c>
      <c r="H11" s="363">
        <v>0</v>
      </c>
      <c r="I11" s="283"/>
      <c r="J11" s="283"/>
      <c r="K11" s="283"/>
      <c r="L11" s="283"/>
      <c r="M11" s="283"/>
      <c r="N11" s="283"/>
      <c r="O11" s="283"/>
    </row>
    <row r="12" spans="1:63" s="620" customFormat="1">
      <c r="A12" s="609"/>
      <c r="B12" s="610"/>
      <c r="C12" s="611"/>
      <c r="D12" s="1069" t="s">
        <v>4</v>
      </c>
      <c r="E12" s="1069" t="s">
        <v>621</v>
      </c>
      <c r="F12" s="1070" t="s">
        <v>667</v>
      </c>
      <c r="G12" s="777" t="s">
        <v>638</v>
      </c>
      <c r="H12" s="1071" t="s">
        <v>639</v>
      </c>
      <c r="I12" s="619"/>
      <c r="J12" s="619"/>
      <c r="K12" s="619"/>
      <c r="L12" s="619"/>
      <c r="M12" s="619"/>
      <c r="N12" s="619"/>
      <c r="O12" s="619"/>
    </row>
    <row r="13" spans="1:63">
      <c r="A13" s="595"/>
      <c r="B13" s="598"/>
      <c r="C13" s="599"/>
      <c r="D13" s="542" t="s">
        <v>674</v>
      </c>
      <c r="E13" s="543" t="s">
        <v>416</v>
      </c>
      <c r="F13" s="1072">
        <f>F6</f>
        <v>1500</v>
      </c>
      <c r="G13" s="1073">
        <v>0.3</v>
      </c>
      <c r="H13" s="1072">
        <f>F13*G13</f>
        <v>450</v>
      </c>
      <c r="I13" s="283"/>
      <c r="J13" s="283"/>
      <c r="K13" s="283"/>
      <c r="L13" s="283"/>
      <c r="M13" s="283"/>
      <c r="N13" s="283"/>
      <c r="O13" s="283"/>
    </row>
    <row r="14" spans="1:63">
      <c r="A14" s="595"/>
      <c r="B14" s="598"/>
      <c r="C14" s="599"/>
      <c r="D14" s="542" t="s">
        <v>671</v>
      </c>
      <c r="E14" s="543" t="s">
        <v>416</v>
      </c>
      <c r="F14" s="1072">
        <f>F7</f>
        <v>0</v>
      </c>
      <c r="G14" s="1073">
        <v>0.3</v>
      </c>
      <c r="H14" s="1072">
        <f>F14*G14</f>
        <v>0</v>
      </c>
      <c r="I14" s="283"/>
      <c r="J14" s="283"/>
      <c r="K14" s="283"/>
      <c r="L14" s="283"/>
      <c r="M14" s="283"/>
      <c r="N14" s="283"/>
      <c r="O14" s="283"/>
    </row>
    <row r="15" spans="1:63">
      <c r="A15" s="595"/>
      <c r="B15" s="598"/>
      <c r="C15" s="599"/>
      <c r="D15" s="542" t="s">
        <v>672</v>
      </c>
      <c r="E15" s="543" t="s">
        <v>416</v>
      </c>
      <c r="F15" s="1072">
        <f>F8</f>
        <v>0</v>
      </c>
      <c r="G15" s="1073">
        <v>0.3</v>
      </c>
      <c r="H15" s="1072">
        <f>F15*G15</f>
        <v>0</v>
      </c>
      <c r="I15" s="283"/>
      <c r="J15" s="283"/>
      <c r="K15" s="283"/>
      <c r="L15" s="283"/>
      <c r="M15" s="283"/>
      <c r="N15" s="283"/>
      <c r="O15" s="283"/>
    </row>
    <row r="16" spans="1:63" s="620" customFormat="1">
      <c r="A16" s="609"/>
      <c r="B16" s="610"/>
      <c r="C16" s="611"/>
      <c r="D16" s="1882" t="s">
        <v>38</v>
      </c>
      <c r="E16" s="1882"/>
      <c r="F16" s="1074">
        <f>SUM(F13:F15)</f>
        <v>1500</v>
      </c>
      <c r="G16" s="1075"/>
      <c r="H16" s="1074">
        <f>SUM(H13:H15)</f>
        <v>450</v>
      </c>
      <c r="I16" s="619"/>
      <c r="J16" s="619"/>
      <c r="K16" s="619"/>
      <c r="L16" s="619"/>
      <c r="M16" s="619"/>
      <c r="N16" s="619"/>
      <c r="O16" s="619"/>
    </row>
    <row r="17" spans="1:15">
      <c r="A17" s="595"/>
      <c r="B17" s="598"/>
      <c r="C17" s="599"/>
      <c r="D17" s="362">
        <v>0</v>
      </c>
      <c r="E17" s="366">
        <v>0</v>
      </c>
      <c r="F17" s="363">
        <v>0</v>
      </c>
      <c r="G17" s="362">
        <v>0</v>
      </c>
      <c r="H17" s="363">
        <v>0</v>
      </c>
      <c r="I17" s="283"/>
      <c r="J17" s="283"/>
      <c r="K17" s="283"/>
      <c r="L17" s="283"/>
      <c r="M17" s="283"/>
      <c r="N17" s="283"/>
      <c r="O17" s="283"/>
    </row>
    <row r="18" spans="1:15">
      <c r="A18" s="595"/>
      <c r="B18" s="598"/>
      <c r="C18" s="599"/>
      <c r="D18" s="361" t="s">
        <v>675</v>
      </c>
      <c r="E18" s="367">
        <v>0</v>
      </c>
      <c r="F18" s="363">
        <v>0</v>
      </c>
      <c r="G18" s="362">
        <v>0</v>
      </c>
      <c r="H18" s="363">
        <v>0</v>
      </c>
      <c r="I18" s="283"/>
      <c r="J18" s="283"/>
      <c r="K18" s="283"/>
      <c r="L18" s="283"/>
      <c r="M18" s="283"/>
      <c r="N18" s="283"/>
      <c r="O18" s="283"/>
    </row>
    <row r="19" spans="1:15" s="620" customFormat="1">
      <c r="A19" s="609"/>
      <c r="B19" s="610"/>
      <c r="C19" s="611"/>
      <c r="D19" s="1076" t="s">
        <v>4</v>
      </c>
      <c r="E19" s="1076" t="s">
        <v>621</v>
      </c>
      <c r="F19" s="1077" t="s">
        <v>667</v>
      </c>
      <c r="G19" s="1078" t="s">
        <v>638</v>
      </c>
      <c r="H19" s="1079" t="s">
        <v>639</v>
      </c>
      <c r="I19" s="619"/>
      <c r="J19" s="619"/>
      <c r="K19" s="619"/>
      <c r="L19" s="619"/>
      <c r="M19" s="619"/>
      <c r="N19" s="619"/>
      <c r="O19" s="619"/>
    </row>
    <row r="20" spans="1:15">
      <c r="A20" s="595"/>
      <c r="B20" s="598"/>
      <c r="C20" s="599"/>
      <c r="D20" s="542" t="s">
        <v>676</v>
      </c>
      <c r="E20" s="543" t="s">
        <v>384</v>
      </c>
      <c r="F20" s="1072">
        <f>52*4</f>
        <v>208</v>
      </c>
      <c r="G20" s="1073">
        <v>0.3</v>
      </c>
      <c r="H20" s="1072">
        <f>F20*G20</f>
        <v>62.4</v>
      </c>
      <c r="I20" s="283"/>
      <c r="J20" s="283">
        <v>1.396797153024911</v>
      </c>
      <c r="K20" s="283">
        <v>364</v>
      </c>
      <c r="L20" s="283">
        <f>J20*K20</f>
        <v>508.43416370106763</v>
      </c>
      <c r="M20" s="283"/>
      <c r="N20" s="283"/>
      <c r="O20" s="283"/>
    </row>
    <row r="21" spans="1:15" s="620" customFormat="1">
      <c r="A21" s="609"/>
      <c r="B21" s="610"/>
      <c r="C21" s="611"/>
      <c r="D21" s="1882" t="s">
        <v>38</v>
      </c>
      <c r="E21" s="1882"/>
      <c r="F21" s="1080">
        <f>SUM(F20)</f>
        <v>208</v>
      </c>
      <c r="G21" s="1075"/>
      <c r="H21" s="1080">
        <f>SUM(H20)</f>
        <v>62.4</v>
      </c>
      <c r="I21" s="619"/>
      <c r="J21" s="619"/>
      <c r="K21" s="619"/>
      <c r="L21" s="619"/>
      <c r="M21" s="619"/>
      <c r="N21" s="619"/>
      <c r="O21" s="619"/>
    </row>
    <row r="22" spans="1:15">
      <c r="A22" s="595"/>
      <c r="B22" s="598"/>
      <c r="C22" s="599"/>
      <c r="D22" s="362">
        <v>0</v>
      </c>
      <c r="E22" s="366">
        <v>0</v>
      </c>
      <c r="F22" s="363">
        <v>0</v>
      </c>
      <c r="G22" s="362">
        <v>0</v>
      </c>
      <c r="H22" s="363">
        <v>0</v>
      </c>
      <c r="I22" s="283"/>
      <c r="J22" s="283"/>
      <c r="K22" s="283"/>
      <c r="L22" s="283"/>
      <c r="M22" s="283"/>
      <c r="N22" s="283"/>
      <c r="O22" s="283"/>
    </row>
    <row r="23" spans="1:15">
      <c r="A23" s="595"/>
      <c r="B23" s="598"/>
      <c r="C23" s="599"/>
      <c r="D23" s="361" t="s">
        <v>677</v>
      </c>
      <c r="E23" s="367">
        <v>0</v>
      </c>
      <c r="F23" s="363">
        <v>0</v>
      </c>
      <c r="G23" s="362">
        <v>0</v>
      </c>
      <c r="H23" s="363">
        <v>0</v>
      </c>
      <c r="I23" s="283"/>
      <c r="J23" s="283"/>
      <c r="K23" s="283"/>
      <c r="L23" s="283"/>
      <c r="M23" s="283"/>
      <c r="N23" s="283"/>
      <c r="O23" s="283"/>
    </row>
    <row r="24" spans="1:15" s="620" customFormat="1">
      <c r="A24" s="609"/>
      <c r="B24" s="610"/>
      <c r="C24" s="611"/>
      <c r="D24" s="1069" t="s">
        <v>4</v>
      </c>
      <c r="E24" s="1069" t="s">
        <v>621</v>
      </c>
      <c r="F24" s="1070" t="s">
        <v>667</v>
      </c>
      <c r="G24" s="777" t="s">
        <v>678</v>
      </c>
      <c r="H24" s="1071" t="s">
        <v>679</v>
      </c>
      <c r="I24" s="619"/>
      <c r="J24" s="619"/>
      <c r="K24" s="619"/>
      <c r="L24" s="619"/>
      <c r="M24" s="619"/>
      <c r="N24" s="619"/>
      <c r="O24" s="619"/>
    </row>
    <row r="25" spans="1:15">
      <c r="A25" s="595"/>
      <c r="B25" s="598"/>
      <c r="C25" s="599"/>
      <c r="D25" s="542" t="s">
        <v>676</v>
      </c>
      <c r="E25" s="543" t="s">
        <v>384</v>
      </c>
      <c r="F25" s="1072">
        <f>F20</f>
        <v>208</v>
      </c>
      <c r="G25" s="1073">
        <v>0.3</v>
      </c>
      <c r="H25" s="1072">
        <f>F25*G25</f>
        <v>62.4</v>
      </c>
      <c r="I25" s="283"/>
      <c r="J25" s="283">
        <v>1.9555160142348755</v>
      </c>
      <c r="K25" s="283">
        <v>364</v>
      </c>
      <c r="L25" s="283">
        <f>J25*K25</f>
        <v>711.80782918149464</v>
      </c>
      <c r="M25" s="283"/>
      <c r="N25" s="283"/>
      <c r="O25" s="283"/>
    </row>
    <row r="26" spans="1:15" s="620" customFormat="1">
      <c r="A26" s="609"/>
      <c r="B26" s="610"/>
      <c r="C26" s="611"/>
      <c r="D26" s="1882" t="s">
        <v>38</v>
      </c>
      <c r="E26" s="1882"/>
      <c r="F26" s="1080">
        <f>SUM(F25)</f>
        <v>208</v>
      </c>
      <c r="G26" s="1075"/>
      <c r="H26" s="1080">
        <f>SUM(H25)</f>
        <v>62.4</v>
      </c>
      <c r="I26" s="619"/>
      <c r="J26" s="619"/>
      <c r="K26" s="619"/>
      <c r="L26" s="619"/>
      <c r="M26" s="619"/>
      <c r="N26" s="619"/>
      <c r="O26" s="619"/>
    </row>
    <row r="27" spans="1:15">
      <c r="A27" s="595"/>
      <c r="B27" s="598"/>
      <c r="C27" s="599"/>
      <c r="D27" s="362">
        <v>0</v>
      </c>
      <c r="E27" s="366">
        <v>0</v>
      </c>
      <c r="F27" s="363">
        <v>0</v>
      </c>
      <c r="G27" s="362">
        <v>0</v>
      </c>
      <c r="H27" s="363">
        <v>0</v>
      </c>
      <c r="I27" s="283"/>
      <c r="J27" s="283"/>
      <c r="K27" s="283"/>
      <c r="L27" s="283"/>
      <c r="M27" s="283"/>
      <c r="N27" s="283"/>
      <c r="O27" s="283"/>
    </row>
    <row r="28" spans="1:15">
      <c r="A28" s="595"/>
      <c r="B28" s="598"/>
      <c r="C28" s="599"/>
      <c r="D28" s="361" t="s">
        <v>680</v>
      </c>
      <c r="E28" s="367">
        <v>0</v>
      </c>
      <c r="F28" s="363">
        <v>0</v>
      </c>
      <c r="G28" s="362">
        <v>0</v>
      </c>
      <c r="H28" s="363">
        <v>0</v>
      </c>
      <c r="I28" s="283"/>
      <c r="J28" s="283"/>
      <c r="K28" s="283"/>
      <c r="L28" s="283"/>
      <c r="M28" s="283"/>
      <c r="N28" s="283"/>
      <c r="O28" s="283"/>
    </row>
    <row r="29" spans="1:15" s="620" customFormat="1">
      <c r="A29" s="609"/>
      <c r="B29" s="610"/>
      <c r="C29" s="611"/>
      <c r="D29" s="1069" t="s">
        <v>4</v>
      </c>
      <c r="E29" s="1069" t="s">
        <v>621</v>
      </c>
      <c r="F29" s="1070" t="s">
        <v>667</v>
      </c>
      <c r="G29" s="777" t="s">
        <v>678</v>
      </c>
      <c r="H29" s="1071" t="s">
        <v>679</v>
      </c>
      <c r="I29" s="619"/>
      <c r="J29" s="619"/>
      <c r="K29" s="619"/>
      <c r="L29" s="619"/>
      <c r="M29" s="619"/>
      <c r="N29" s="619"/>
      <c r="O29" s="619"/>
    </row>
    <row r="30" spans="1:15">
      <c r="A30" s="595"/>
      <c r="B30" s="598"/>
      <c r="C30" s="599"/>
      <c r="D30" s="542" t="s">
        <v>676</v>
      </c>
      <c r="E30" s="543" t="s">
        <v>384</v>
      </c>
      <c r="F30" s="1072">
        <f>F25*2</f>
        <v>416</v>
      </c>
      <c r="G30" s="1073">
        <v>0.3</v>
      </c>
      <c r="H30" s="1072">
        <f>F30*G30</f>
        <v>124.8</v>
      </c>
      <c r="I30" s="283"/>
      <c r="J30" s="283">
        <v>2.7935943060498221</v>
      </c>
      <c r="K30" s="283">
        <v>364</v>
      </c>
      <c r="L30" s="283">
        <f>J30*K30</f>
        <v>1016.8683274021353</v>
      </c>
      <c r="M30" s="283"/>
      <c r="N30" s="283"/>
      <c r="O30" s="283"/>
    </row>
    <row r="31" spans="1:15" s="620" customFormat="1">
      <c r="A31" s="609"/>
      <c r="B31" s="610"/>
      <c r="C31" s="611"/>
      <c r="D31" s="1882" t="s">
        <v>38</v>
      </c>
      <c r="E31" s="1882"/>
      <c r="F31" s="1080">
        <f>SUM(F30)</f>
        <v>416</v>
      </c>
      <c r="G31" s="1075"/>
      <c r="H31" s="1080">
        <f>SUM(H30)</f>
        <v>124.8</v>
      </c>
      <c r="I31" s="619"/>
      <c r="J31" s="619"/>
      <c r="K31" s="619"/>
      <c r="L31" s="619"/>
      <c r="M31" s="619"/>
      <c r="N31" s="619"/>
      <c r="O31" s="619"/>
    </row>
    <row r="32" spans="1:15">
      <c r="A32" s="595"/>
      <c r="B32" s="598"/>
      <c r="C32" s="599"/>
      <c r="D32" s="361"/>
      <c r="E32" s="366">
        <v>0</v>
      </c>
      <c r="F32" s="363">
        <v>0</v>
      </c>
      <c r="G32" s="362">
        <v>0</v>
      </c>
      <c r="H32" s="363">
        <v>0</v>
      </c>
      <c r="I32" s="283"/>
      <c r="J32" s="283"/>
      <c r="K32" s="283"/>
      <c r="L32" s="283"/>
      <c r="M32" s="283"/>
      <c r="N32" s="283"/>
      <c r="O32" s="283"/>
    </row>
    <row r="33" spans="1:15">
      <c r="A33" s="595"/>
      <c r="B33" s="598"/>
      <c r="C33" s="599"/>
      <c r="D33" s="361" t="s">
        <v>681</v>
      </c>
      <c r="E33" s="367">
        <v>0</v>
      </c>
      <c r="F33" s="363">
        <v>0</v>
      </c>
      <c r="G33" s="362">
        <v>0</v>
      </c>
      <c r="H33" s="363">
        <v>0</v>
      </c>
      <c r="I33" s="283"/>
      <c r="J33" s="283"/>
      <c r="K33" s="283"/>
      <c r="L33" s="283"/>
      <c r="M33" s="283"/>
      <c r="N33" s="283"/>
      <c r="O33" s="283"/>
    </row>
    <row r="34" spans="1:15">
      <c r="A34" s="595"/>
      <c r="B34" s="598"/>
      <c r="C34" s="599"/>
      <c r="D34" s="361" t="s">
        <v>682</v>
      </c>
      <c r="E34" s="367">
        <v>0</v>
      </c>
      <c r="F34" s="363">
        <v>0</v>
      </c>
      <c r="G34" s="362">
        <v>0</v>
      </c>
      <c r="H34" s="363">
        <v>0</v>
      </c>
      <c r="I34" s="283"/>
      <c r="J34" s="283"/>
      <c r="K34" s="283"/>
      <c r="L34" s="283"/>
      <c r="M34" s="283"/>
      <c r="N34" s="283"/>
      <c r="O34" s="283"/>
    </row>
    <row r="35" spans="1:15" s="620" customFormat="1">
      <c r="A35" s="609"/>
      <c r="B35" s="610"/>
      <c r="C35" s="611"/>
      <c r="D35" s="1069" t="s">
        <v>4</v>
      </c>
      <c r="E35" s="1069" t="s">
        <v>621</v>
      </c>
      <c r="F35" s="1070" t="s">
        <v>667</v>
      </c>
      <c r="G35" s="777" t="s">
        <v>668</v>
      </c>
      <c r="H35" s="1071" t="s">
        <v>669</v>
      </c>
      <c r="I35" s="619"/>
      <c r="J35" s="619"/>
      <c r="K35" s="619"/>
      <c r="L35" s="619"/>
      <c r="M35" s="619"/>
      <c r="N35" s="619"/>
      <c r="O35" s="619"/>
    </row>
    <row r="36" spans="1:15">
      <c r="A36" s="595"/>
      <c r="B36" s="598"/>
      <c r="C36" s="599"/>
      <c r="D36" s="542" t="s">
        <v>683</v>
      </c>
      <c r="E36" s="543" t="s">
        <v>416</v>
      </c>
      <c r="F36" s="1072">
        <f>F30</f>
        <v>416</v>
      </c>
      <c r="G36" s="1073">
        <v>0.3</v>
      </c>
      <c r="H36" s="1072">
        <f>F36*G36</f>
        <v>124.8</v>
      </c>
      <c r="I36" s="283"/>
      <c r="J36" s="283"/>
      <c r="K36" s="283"/>
      <c r="L36" s="283"/>
      <c r="M36" s="283"/>
      <c r="N36" s="283"/>
      <c r="O36" s="283"/>
    </row>
    <row r="37" spans="1:15">
      <c r="A37" s="595"/>
      <c r="B37" s="598"/>
      <c r="C37" s="599"/>
      <c r="D37" s="542" t="s">
        <v>684</v>
      </c>
      <c r="E37" s="543" t="s">
        <v>416</v>
      </c>
      <c r="F37" s="1072">
        <v>0</v>
      </c>
      <c r="G37" s="1081">
        <v>0</v>
      </c>
      <c r="H37" s="1072">
        <f>F37*G37</f>
        <v>0</v>
      </c>
      <c r="I37" s="283"/>
      <c r="J37" s="283"/>
      <c r="K37" s="283"/>
      <c r="L37" s="283"/>
      <c r="M37" s="283"/>
      <c r="N37" s="283"/>
      <c r="O37" s="283"/>
    </row>
    <row r="38" spans="1:15">
      <c r="A38" s="595"/>
      <c r="B38" s="598"/>
      <c r="C38" s="599"/>
      <c r="D38" s="542" t="s">
        <v>685</v>
      </c>
      <c r="E38" s="543" t="s">
        <v>416</v>
      </c>
      <c r="F38" s="1072">
        <v>52</v>
      </c>
      <c r="G38" s="1073">
        <v>0.3</v>
      </c>
      <c r="H38" s="1072">
        <f>F38*G38</f>
        <v>15.6</v>
      </c>
      <c r="I38" s="283"/>
      <c r="J38" s="283"/>
      <c r="K38" s="283"/>
      <c r="L38" s="283"/>
      <c r="M38" s="283"/>
      <c r="N38" s="283"/>
      <c r="O38" s="283"/>
    </row>
    <row r="39" spans="1:15">
      <c r="A39" s="595"/>
      <c r="B39" s="598"/>
      <c r="C39" s="599"/>
      <c r="D39" s="1883" t="s">
        <v>38</v>
      </c>
      <c r="E39" s="1883"/>
      <c r="F39" s="1082">
        <f>SUM(F36:F38)</f>
        <v>468</v>
      </c>
      <c r="G39" s="1083"/>
      <c r="H39" s="1082">
        <f>SUM(H36:H38)</f>
        <v>140.4</v>
      </c>
      <c r="I39" s="283"/>
      <c r="J39" s="283"/>
      <c r="K39" s="283"/>
      <c r="L39" s="283"/>
      <c r="M39" s="283"/>
      <c r="N39" s="283"/>
      <c r="O39" s="283"/>
    </row>
    <row r="40" spans="1:15">
      <c r="A40" s="595"/>
      <c r="B40" s="598"/>
      <c r="C40" s="599"/>
      <c r="D40" s="362">
        <v>0</v>
      </c>
      <c r="E40" s="362">
        <v>0</v>
      </c>
      <c r="F40" s="363">
        <v>0</v>
      </c>
      <c r="G40" s="362">
        <v>0</v>
      </c>
      <c r="H40" s="363">
        <v>0</v>
      </c>
      <c r="I40" s="283"/>
      <c r="J40" s="283"/>
      <c r="K40" s="283"/>
      <c r="L40" s="283"/>
      <c r="M40" s="283"/>
      <c r="N40" s="283"/>
      <c r="O40" s="283"/>
    </row>
    <row r="41" spans="1:15">
      <c r="A41" s="595"/>
      <c r="B41" s="598"/>
      <c r="C41" s="599"/>
      <c r="D41" s="361" t="s">
        <v>686</v>
      </c>
      <c r="E41" s="367">
        <v>0</v>
      </c>
      <c r="F41" s="363">
        <v>0</v>
      </c>
      <c r="G41" s="362">
        <v>0</v>
      </c>
      <c r="H41" s="363">
        <v>0</v>
      </c>
      <c r="I41" s="283"/>
      <c r="J41" s="283"/>
      <c r="K41" s="283"/>
      <c r="L41" s="283"/>
      <c r="M41" s="283"/>
      <c r="N41" s="283"/>
      <c r="O41" s="283"/>
    </row>
    <row r="42" spans="1:15" s="620" customFormat="1">
      <c r="A42" s="609"/>
      <c r="B42" s="610"/>
      <c r="C42" s="611"/>
      <c r="D42" s="1069" t="s">
        <v>4</v>
      </c>
      <c r="E42" s="1069" t="s">
        <v>621</v>
      </c>
      <c r="F42" s="1070" t="s">
        <v>667</v>
      </c>
      <c r="G42" s="777" t="s">
        <v>638</v>
      </c>
      <c r="H42" s="1071" t="s">
        <v>639</v>
      </c>
      <c r="I42" s="619"/>
      <c r="J42" s="619"/>
      <c r="K42" s="619"/>
      <c r="L42" s="619"/>
      <c r="M42" s="619"/>
      <c r="N42" s="619"/>
      <c r="O42" s="619"/>
    </row>
    <row r="43" spans="1:15">
      <c r="A43" s="595"/>
      <c r="B43" s="598"/>
      <c r="C43" s="599"/>
      <c r="D43" s="542" t="s">
        <v>683</v>
      </c>
      <c r="E43" s="543" t="s">
        <v>416</v>
      </c>
      <c r="F43" s="1072">
        <f>F36</f>
        <v>416</v>
      </c>
      <c r="G43" s="1073">
        <v>0.3</v>
      </c>
      <c r="H43" s="1072">
        <f>F43*G43</f>
        <v>124.8</v>
      </c>
      <c r="I43" s="283"/>
      <c r="J43" s="283"/>
      <c r="K43" s="283"/>
      <c r="L43" s="283"/>
      <c r="M43" s="283"/>
      <c r="N43" s="283"/>
      <c r="O43" s="283"/>
    </row>
    <row r="44" spans="1:15">
      <c r="A44" s="595"/>
      <c r="B44" s="598"/>
      <c r="C44" s="599"/>
      <c r="D44" s="542" t="s">
        <v>684</v>
      </c>
      <c r="E44" s="543" t="s">
        <v>416</v>
      </c>
      <c r="F44" s="1072">
        <v>0</v>
      </c>
      <c r="G44" s="1081">
        <v>0</v>
      </c>
      <c r="H44" s="1072">
        <f>F44*G44</f>
        <v>0</v>
      </c>
      <c r="I44" s="283"/>
      <c r="J44" s="283"/>
      <c r="K44" s="283"/>
      <c r="L44" s="283"/>
      <c r="M44" s="283"/>
      <c r="N44" s="283"/>
      <c r="O44" s="283"/>
    </row>
    <row r="45" spans="1:15">
      <c r="A45" s="595"/>
      <c r="B45" s="598"/>
      <c r="C45" s="599"/>
      <c r="D45" s="542" t="s">
        <v>685</v>
      </c>
      <c r="E45" s="543" t="s">
        <v>416</v>
      </c>
      <c r="F45" s="1072">
        <v>52</v>
      </c>
      <c r="G45" s="1073">
        <v>0.3</v>
      </c>
      <c r="H45" s="1072">
        <f>F45*G45</f>
        <v>15.6</v>
      </c>
      <c r="I45" s="283"/>
      <c r="J45" s="283"/>
      <c r="K45" s="283"/>
      <c r="L45" s="283"/>
      <c r="M45" s="283"/>
      <c r="N45" s="283"/>
      <c r="O45" s="283"/>
    </row>
    <row r="46" spans="1:15" s="620" customFormat="1">
      <c r="A46" s="609"/>
      <c r="B46" s="610"/>
      <c r="C46" s="611"/>
      <c r="D46" s="1882" t="s">
        <v>38</v>
      </c>
      <c r="E46" s="1882"/>
      <c r="F46" s="1074">
        <f>SUM(F43:F45)</f>
        <v>468</v>
      </c>
      <c r="G46" s="1075"/>
      <c r="H46" s="1074">
        <f>SUM(H43:H45)</f>
        <v>140.4</v>
      </c>
      <c r="I46" s="619"/>
      <c r="J46" s="619"/>
      <c r="K46" s="619"/>
      <c r="L46" s="619"/>
      <c r="M46" s="619"/>
      <c r="N46" s="619"/>
      <c r="O46" s="619"/>
    </row>
    <row r="47" spans="1:15">
      <c r="A47" s="595"/>
      <c r="B47" s="598"/>
      <c r="C47" s="599"/>
      <c r="D47" s="361"/>
      <c r="E47" s="367">
        <v>0</v>
      </c>
      <c r="F47" s="363">
        <v>0</v>
      </c>
      <c r="G47" s="362">
        <v>0</v>
      </c>
      <c r="H47" s="363">
        <v>0</v>
      </c>
      <c r="I47" s="283"/>
      <c r="J47" s="283"/>
      <c r="K47" s="283"/>
      <c r="L47" s="283"/>
      <c r="M47" s="283"/>
      <c r="N47" s="283"/>
      <c r="O47" s="283"/>
    </row>
    <row r="48" spans="1:15">
      <c r="A48" s="595"/>
      <c r="B48" s="598"/>
      <c r="C48" s="599"/>
      <c r="D48" s="361" t="s">
        <v>687</v>
      </c>
      <c r="E48" s="367">
        <v>0</v>
      </c>
      <c r="F48" s="363">
        <v>0</v>
      </c>
      <c r="G48" s="362">
        <v>0</v>
      </c>
      <c r="H48" s="363">
        <v>0</v>
      </c>
      <c r="I48" s="283"/>
      <c r="J48" s="283"/>
      <c r="K48" s="283"/>
      <c r="L48" s="283"/>
      <c r="M48" s="283"/>
      <c r="N48" s="283"/>
      <c r="O48" s="283"/>
    </row>
    <row r="49" spans="1:15">
      <c r="A49" s="595"/>
      <c r="B49" s="598"/>
      <c r="C49" s="599"/>
      <c r="D49" s="361" t="s">
        <v>688</v>
      </c>
      <c r="E49" s="367">
        <v>0</v>
      </c>
      <c r="F49" s="363">
        <v>0</v>
      </c>
      <c r="G49" s="362">
        <v>0</v>
      </c>
      <c r="H49" s="363">
        <v>0</v>
      </c>
      <c r="I49" s="283"/>
      <c r="J49" s="283"/>
      <c r="K49" s="283"/>
      <c r="L49" s="283"/>
      <c r="M49" s="283"/>
      <c r="N49" s="283"/>
      <c r="O49" s="283"/>
    </row>
    <row r="50" spans="1:15" s="620" customFormat="1">
      <c r="A50" s="609"/>
      <c r="B50" s="610"/>
      <c r="C50" s="611"/>
      <c r="D50" s="1069" t="s">
        <v>4</v>
      </c>
      <c r="E50" s="1069" t="s">
        <v>621</v>
      </c>
      <c r="F50" s="1070" t="s">
        <v>667</v>
      </c>
      <c r="G50" s="777" t="s">
        <v>668</v>
      </c>
      <c r="H50" s="1071" t="s">
        <v>669</v>
      </c>
      <c r="I50" s="619"/>
      <c r="J50" s="619"/>
      <c r="K50" s="619"/>
      <c r="L50" s="619"/>
      <c r="M50" s="619"/>
      <c r="N50" s="619"/>
      <c r="O50" s="619"/>
    </row>
    <row r="51" spans="1:15">
      <c r="A51" s="595"/>
      <c r="B51" s="598"/>
      <c r="C51" s="599"/>
      <c r="D51" s="542" t="s">
        <v>689</v>
      </c>
      <c r="E51" s="543" t="s">
        <v>416</v>
      </c>
      <c r="F51" s="1072">
        <v>0</v>
      </c>
      <c r="G51" s="1073">
        <v>1</v>
      </c>
      <c r="H51" s="1072">
        <f>F51*G51</f>
        <v>0</v>
      </c>
      <c r="I51" s="364"/>
      <c r="J51" s="365"/>
      <c r="K51" s="283"/>
      <c r="L51" s="283"/>
      <c r="M51" s="283"/>
      <c r="N51" s="283"/>
      <c r="O51" s="283"/>
    </row>
    <row r="52" spans="1:15">
      <c r="A52" s="595"/>
      <c r="B52" s="598"/>
      <c r="C52" s="599"/>
      <c r="D52" s="1882" t="s">
        <v>38</v>
      </c>
      <c r="E52" s="1882"/>
      <c r="F52" s="1082">
        <f>SUM(F51)</f>
        <v>0</v>
      </c>
      <c r="G52" s="1083"/>
      <c r="H52" s="1082">
        <f>SUM(H51)</f>
        <v>0</v>
      </c>
      <c r="I52" s="283"/>
      <c r="J52" s="283"/>
      <c r="K52" s="283"/>
      <c r="L52" s="283"/>
      <c r="M52" s="283"/>
      <c r="N52" s="283"/>
      <c r="O52" s="283"/>
    </row>
    <row r="53" spans="1:15">
      <c r="A53" s="595"/>
      <c r="B53" s="598"/>
      <c r="C53" s="599"/>
      <c r="D53" s="362">
        <v>0</v>
      </c>
      <c r="E53" s="366">
        <v>0</v>
      </c>
      <c r="F53" s="363">
        <v>0</v>
      </c>
      <c r="G53" s="362">
        <v>0</v>
      </c>
      <c r="H53" s="363">
        <v>0</v>
      </c>
      <c r="I53" s="283"/>
      <c r="J53" s="283"/>
      <c r="K53" s="283"/>
      <c r="L53" s="283"/>
      <c r="M53" s="283"/>
      <c r="N53" s="283"/>
      <c r="O53" s="283"/>
    </row>
    <row r="54" spans="1:15">
      <c r="A54" s="595"/>
      <c r="B54" s="598"/>
      <c r="C54" s="599"/>
      <c r="D54" s="361" t="s">
        <v>690</v>
      </c>
      <c r="E54" s="367">
        <v>0</v>
      </c>
      <c r="F54" s="363">
        <v>0</v>
      </c>
      <c r="G54" s="362">
        <v>0</v>
      </c>
      <c r="H54" s="363">
        <v>0</v>
      </c>
      <c r="I54" s="283"/>
      <c r="J54" s="283"/>
      <c r="K54" s="283"/>
      <c r="L54" s="283"/>
      <c r="M54" s="283"/>
      <c r="N54" s="283"/>
      <c r="O54" s="283"/>
    </row>
    <row r="55" spans="1:15" s="620" customFormat="1">
      <c r="A55" s="609"/>
      <c r="B55" s="610"/>
      <c r="C55" s="611"/>
      <c r="D55" s="1069" t="s">
        <v>4</v>
      </c>
      <c r="E55" s="1069" t="s">
        <v>621</v>
      </c>
      <c r="F55" s="1070" t="s">
        <v>667</v>
      </c>
      <c r="G55" s="777" t="s">
        <v>638</v>
      </c>
      <c r="H55" s="1071" t="s">
        <v>639</v>
      </c>
      <c r="I55" s="619"/>
      <c r="J55" s="619"/>
      <c r="K55" s="619"/>
      <c r="L55" s="619"/>
      <c r="M55" s="619"/>
      <c r="N55" s="619"/>
      <c r="O55" s="619"/>
    </row>
    <row r="56" spans="1:15">
      <c r="A56" s="595"/>
      <c r="B56" s="598"/>
      <c r="C56" s="599"/>
      <c r="D56" s="542" t="s">
        <v>689</v>
      </c>
      <c r="E56" s="543" t="s">
        <v>416</v>
      </c>
      <c r="F56" s="1072">
        <v>0</v>
      </c>
      <c r="G56" s="1073">
        <v>0.3</v>
      </c>
      <c r="H56" s="1072">
        <f>F56*G56</f>
        <v>0</v>
      </c>
      <c r="I56" s="283"/>
      <c r="J56" s="283"/>
      <c r="K56" s="283"/>
      <c r="L56" s="283"/>
      <c r="M56" s="283"/>
      <c r="N56" s="283"/>
      <c r="O56" s="283"/>
    </row>
    <row r="57" spans="1:15">
      <c r="A57" s="595"/>
      <c r="B57" s="598"/>
      <c r="C57" s="599"/>
      <c r="D57" s="1882" t="s">
        <v>38</v>
      </c>
      <c r="E57" s="1882"/>
      <c r="F57" s="1082">
        <f>SUM(F56)</f>
        <v>0</v>
      </c>
      <c r="G57" s="1083"/>
      <c r="H57" s="1082">
        <f>SUM(H56)</f>
        <v>0</v>
      </c>
      <c r="I57" s="283"/>
      <c r="J57" s="283"/>
      <c r="K57" s="283"/>
      <c r="L57" s="283"/>
      <c r="M57" s="283"/>
      <c r="N57" s="283"/>
      <c r="O57" s="283"/>
    </row>
    <row r="58" spans="1:15">
      <c r="A58" s="595"/>
      <c r="B58" s="598"/>
      <c r="C58" s="599"/>
      <c r="D58" s="361">
        <v>0</v>
      </c>
      <c r="E58" s="367">
        <v>0</v>
      </c>
      <c r="F58" s="363">
        <v>0</v>
      </c>
      <c r="G58" s="362">
        <v>0</v>
      </c>
      <c r="H58" s="363">
        <v>0</v>
      </c>
      <c r="I58" s="283"/>
      <c r="J58" s="283"/>
      <c r="K58" s="283"/>
      <c r="L58" s="283"/>
      <c r="M58" s="283"/>
      <c r="N58" s="283"/>
      <c r="O58" s="283"/>
    </row>
    <row r="59" spans="1:15">
      <c r="A59" s="595"/>
      <c r="B59" s="598"/>
      <c r="C59" s="599"/>
      <c r="D59" s="361" t="s">
        <v>691</v>
      </c>
      <c r="E59" s="367">
        <v>0</v>
      </c>
      <c r="F59" s="363">
        <v>0</v>
      </c>
      <c r="G59" s="362">
        <v>0</v>
      </c>
      <c r="H59" s="363">
        <v>0</v>
      </c>
      <c r="I59" s="283"/>
      <c r="J59" s="283"/>
      <c r="K59" s="283"/>
      <c r="L59" s="283"/>
      <c r="M59" s="283"/>
      <c r="N59" s="283"/>
      <c r="O59" s="283"/>
    </row>
    <row r="60" spans="1:15" s="620" customFormat="1">
      <c r="A60" s="609"/>
      <c r="B60" s="610"/>
      <c r="C60" s="611"/>
      <c r="D60" s="1069" t="s">
        <v>4</v>
      </c>
      <c r="E60" s="1069" t="s">
        <v>621</v>
      </c>
      <c r="F60" s="1070" t="s">
        <v>667</v>
      </c>
      <c r="G60" s="777" t="s">
        <v>382</v>
      </c>
      <c r="H60" s="1071" t="s">
        <v>692</v>
      </c>
      <c r="I60" s="619"/>
      <c r="J60" s="619"/>
      <c r="K60" s="619"/>
      <c r="L60" s="619"/>
      <c r="M60" s="619"/>
      <c r="N60" s="619"/>
      <c r="O60" s="619"/>
    </row>
    <row r="61" spans="1:15">
      <c r="A61" s="595"/>
      <c r="B61" s="598"/>
      <c r="C61" s="599"/>
      <c r="D61" s="542" t="s">
        <v>693</v>
      </c>
      <c r="E61" s="543" t="s">
        <v>416</v>
      </c>
      <c r="F61" s="1072">
        <f>SUM(F9,F39,F52)</f>
        <v>1968</v>
      </c>
      <c r="G61" s="1073">
        <v>1</v>
      </c>
      <c r="H61" s="1072">
        <f>F61*G61</f>
        <v>1968</v>
      </c>
      <c r="I61" s="283"/>
      <c r="J61" s="283"/>
      <c r="K61" s="283"/>
      <c r="L61" s="283"/>
      <c r="M61" s="283"/>
      <c r="N61" s="283"/>
      <c r="O61" s="283"/>
    </row>
    <row r="62" spans="1:15" s="620" customFormat="1">
      <c r="A62" s="609"/>
      <c r="B62" s="610"/>
      <c r="C62" s="611"/>
      <c r="D62" s="1882" t="s">
        <v>38</v>
      </c>
      <c r="E62" s="1882"/>
      <c r="F62" s="1074">
        <f>SUM(F61)</f>
        <v>1968</v>
      </c>
      <c r="G62" s="1075"/>
      <c r="H62" s="1074">
        <f>SUM(H61)</f>
        <v>1968</v>
      </c>
      <c r="I62" s="619"/>
      <c r="J62" s="619"/>
      <c r="K62" s="619"/>
      <c r="L62" s="619"/>
      <c r="M62" s="619"/>
      <c r="N62" s="619"/>
      <c r="O62" s="619"/>
    </row>
    <row r="63" spans="1:15">
      <c r="A63" s="595"/>
      <c r="B63" s="598"/>
      <c r="C63" s="599"/>
      <c r="D63" s="362"/>
      <c r="E63" s="366"/>
      <c r="F63" s="363"/>
      <c r="G63" s="362"/>
      <c r="H63" s="363"/>
      <c r="I63" s="283"/>
      <c r="J63" s="283"/>
      <c r="K63" s="283"/>
      <c r="L63" s="283"/>
      <c r="M63" s="283"/>
      <c r="N63" s="283"/>
      <c r="O63" s="283"/>
    </row>
    <row r="64" spans="1:15">
      <c r="A64" s="595"/>
      <c r="B64" s="598"/>
      <c r="C64" s="599"/>
      <c r="D64" s="361" t="s">
        <v>694</v>
      </c>
      <c r="E64" s="366">
        <v>0</v>
      </c>
      <c r="F64" s="363">
        <v>0</v>
      </c>
      <c r="G64" s="362">
        <v>0</v>
      </c>
      <c r="H64" s="363">
        <v>0</v>
      </c>
      <c r="I64" s="283"/>
      <c r="J64" s="283"/>
      <c r="K64" s="283"/>
      <c r="L64" s="283"/>
      <c r="M64" s="283"/>
      <c r="N64" s="283"/>
      <c r="O64" s="283"/>
    </row>
    <row r="65" spans="1:53">
      <c r="A65" s="595"/>
      <c r="B65" s="598"/>
      <c r="C65" s="599"/>
      <c r="D65" s="1084" t="s">
        <v>695</v>
      </c>
      <c r="E65" s="1078"/>
      <c r="F65" s="1084"/>
      <c r="G65" s="1085"/>
      <c r="H65" s="1074">
        <f>SUM(F6,F7)</f>
        <v>1500</v>
      </c>
      <c r="I65" s="283"/>
      <c r="J65" s="283"/>
      <c r="K65" s="283"/>
      <c r="L65" s="283"/>
      <c r="M65" s="283"/>
      <c r="N65" s="283"/>
      <c r="O65" s="283"/>
    </row>
    <row r="66" spans="1:53">
      <c r="A66" s="595"/>
      <c r="B66" s="598"/>
      <c r="C66" s="599"/>
      <c r="D66" s="1084" t="s">
        <v>696</v>
      </c>
      <c r="E66" s="1078"/>
      <c r="F66" s="1084"/>
      <c r="G66" s="1085"/>
      <c r="H66" s="1074">
        <f>SUM(F8)</f>
        <v>0</v>
      </c>
      <c r="I66" s="283"/>
      <c r="J66" s="283"/>
      <c r="K66" s="283"/>
      <c r="L66" s="283"/>
      <c r="M66" s="283"/>
      <c r="N66" s="283"/>
      <c r="O66" s="283"/>
    </row>
    <row r="67" spans="1:53">
      <c r="A67" s="595"/>
      <c r="B67" s="598"/>
      <c r="C67" s="599"/>
      <c r="D67" s="1084" t="s">
        <v>697</v>
      </c>
      <c r="E67" s="1078"/>
      <c r="F67" s="1084"/>
      <c r="G67" s="1085"/>
      <c r="H67" s="1074">
        <f>SUM(F39)</f>
        <v>468</v>
      </c>
      <c r="I67" s="283"/>
      <c r="J67" s="283"/>
      <c r="K67" s="283"/>
      <c r="L67" s="283"/>
      <c r="M67" s="283"/>
      <c r="N67" s="283"/>
      <c r="O67" s="283"/>
    </row>
    <row r="68" spans="1:53">
      <c r="A68" s="595"/>
      <c r="B68" s="598"/>
      <c r="C68" s="599"/>
      <c r="D68" s="1084" t="s">
        <v>698</v>
      </c>
      <c r="E68" s="1078"/>
      <c r="F68" s="1084"/>
      <c r="G68" s="1085"/>
      <c r="H68" s="1074">
        <f>SUM(F16,K44,F57)</f>
        <v>1500</v>
      </c>
      <c r="I68" s="283"/>
      <c r="J68" s="283"/>
      <c r="K68" s="283"/>
      <c r="L68" s="283"/>
      <c r="M68" s="283"/>
      <c r="N68" s="283"/>
      <c r="O68" s="283"/>
    </row>
    <row r="69" spans="1:53">
      <c r="A69" s="595"/>
      <c r="B69" s="598"/>
      <c r="C69" s="599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283"/>
      <c r="W69" s="283"/>
      <c r="X69" s="283"/>
      <c r="Y69" s="283"/>
      <c r="Z69" s="283"/>
      <c r="AA69" s="283"/>
      <c r="AB69" s="283"/>
      <c r="AC69" s="283"/>
      <c r="AD69" s="283"/>
      <c r="AE69" s="283"/>
      <c r="AF69" s="283"/>
      <c r="AG69" s="283"/>
      <c r="AH69" s="283"/>
      <c r="AI69" s="283"/>
      <c r="AJ69" s="283"/>
      <c r="AK69" s="283"/>
      <c r="AL69" s="283"/>
      <c r="AM69" s="283"/>
      <c r="AN69" s="283"/>
      <c r="AO69" s="283"/>
      <c r="AP69" s="283"/>
      <c r="AQ69" s="283"/>
      <c r="AR69" s="283"/>
      <c r="AS69" s="283"/>
      <c r="AT69" s="283"/>
      <c r="AU69" s="283"/>
      <c r="AV69" s="283"/>
      <c r="AW69" s="283"/>
      <c r="AX69" s="283"/>
      <c r="AY69" s="283"/>
      <c r="AZ69" s="283"/>
      <c r="BA69" s="283"/>
    </row>
    <row r="70" spans="1:53">
      <c r="A70" s="595"/>
      <c r="B70" s="598"/>
      <c r="C70" s="599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283"/>
      <c r="W70" s="283"/>
      <c r="X70" s="283"/>
      <c r="Y70" s="283"/>
      <c r="Z70" s="283"/>
      <c r="AA70" s="283"/>
      <c r="AB70" s="283"/>
      <c r="AC70" s="283"/>
      <c r="AD70" s="283"/>
      <c r="AE70" s="283"/>
      <c r="AF70" s="283"/>
      <c r="AG70" s="283"/>
      <c r="AH70" s="283"/>
      <c r="AI70" s="283"/>
      <c r="AJ70" s="283"/>
      <c r="AK70" s="283"/>
      <c r="AL70" s="283"/>
      <c r="AM70" s="283"/>
      <c r="AN70" s="283"/>
      <c r="AO70" s="283"/>
      <c r="AP70" s="283"/>
      <c r="AQ70" s="283"/>
      <c r="AR70" s="283"/>
      <c r="AS70" s="283"/>
      <c r="AT70" s="283"/>
      <c r="AU70" s="283"/>
      <c r="AV70" s="283"/>
      <c r="AW70" s="283"/>
      <c r="AX70" s="283"/>
      <c r="AY70" s="283"/>
      <c r="AZ70" s="283"/>
      <c r="BA70" s="283"/>
    </row>
    <row r="71" spans="1:53">
      <c r="A71" s="595"/>
      <c r="B71" s="598"/>
      <c r="C71" s="599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283"/>
      <c r="W71" s="283"/>
      <c r="X71" s="283"/>
      <c r="Y71" s="283"/>
      <c r="Z71" s="283"/>
      <c r="AA71" s="283"/>
      <c r="AB71" s="283"/>
      <c r="AC71" s="283"/>
      <c r="AD71" s="283"/>
      <c r="AE71" s="283"/>
      <c r="AF71" s="283"/>
      <c r="AG71" s="283"/>
      <c r="AH71" s="283"/>
      <c r="AI71" s="283"/>
      <c r="AJ71" s="283"/>
      <c r="AK71" s="283"/>
      <c r="AL71" s="283"/>
      <c r="AM71" s="283"/>
      <c r="AN71" s="283"/>
      <c r="AO71" s="283"/>
      <c r="AP71" s="283"/>
      <c r="AQ71" s="283"/>
      <c r="AR71" s="283"/>
      <c r="AS71" s="283"/>
      <c r="AT71" s="283"/>
      <c r="AU71" s="283"/>
      <c r="AV71" s="283"/>
      <c r="AW71" s="283"/>
      <c r="AX71" s="283"/>
      <c r="AY71" s="283"/>
      <c r="AZ71" s="283"/>
      <c r="BA71" s="283"/>
    </row>
    <row r="72" spans="1:53">
      <c r="A72" s="595"/>
      <c r="B72" s="598"/>
      <c r="C72" s="599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283"/>
      <c r="W72" s="283"/>
      <c r="X72" s="283"/>
      <c r="Y72" s="283"/>
      <c r="Z72" s="283"/>
      <c r="AA72" s="283"/>
      <c r="AB72" s="283"/>
      <c r="AC72" s="283"/>
      <c r="AD72" s="283"/>
      <c r="AE72" s="283"/>
      <c r="AF72" s="283"/>
      <c r="AG72" s="283"/>
      <c r="AH72" s="283"/>
      <c r="AI72" s="283"/>
      <c r="AJ72" s="283"/>
      <c r="AK72" s="283"/>
      <c r="AL72" s="283"/>
      <c r="AM72" s="283"/>
      <c r="AN72" s="283"/>
      <c r="AO72" s="283"/>
      <c r="AP72" s="283"/>
      <c r="AQ72" s="283"/>
      <c r="AR72" s="283"/>
      <c r="AS72" s="283"/>
      <c r="AT72" s="283"/>
      <c r="AU72" s="283"/>
      <c r="AV72" s="283"/>
      <c r="AW72" s="283"/>
      <c r="AX72" s="283"/>
      <c r="AY72" s="283"/>
      <c r="AZ72" s="283"/>
      <c r="BA72" s="283"/>
    </row>
    <row r="73" spans="1:53">
      <c r="A73" s="595"/>
      <c r="B73" s="598"/>
      <c r="C73" s="599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3"/>
      <c r="AD73" s="283"/>
      <c r="AE73" s="283"/>
      <c r="AF73" s="283"/>
      <c r="AG73" s="283"/>
      <c r="AH73" s="283"/>
      <c r="AI73" s="283"/>
      <c r="AJ73" s="283"/>
      <c r="AK73" s="283"/>
      <c r="AL73" s="283"/>
      <c r="AM73" s="283"/>
      <c r="AN73" s="283"/>
      <c r="AO73" s="283"/>
      <c r="AP73" s="283"/>
      <c r="AQ73" s="283"/>
      <c r="AR73" s="283"/>
      <c r="AS73" s="283"/>
      <c r="AT73" s="283"/>
      <c r="AU73" s="283"/>
      <c r="AV73" s="283"/>
      <c r="AW73" s="283"/>
      <c r="AX73" s="283"/>
      <c r="AY73" s="283"/>
      <c r="AZ73" s="283"/>
      <c r="BA73" s="283"/>
    </row>
    <row r="74" spans="1:53">
      <c r="A74" s="595"/>
      <c r="B74" s="598"/>
      <c r="C74" s="599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283"/>
      <c r="W74" s="283"/>
      <c r="X74" s="283"/>
      <c r="Y74" s="283"/>
      <c r="Z74" s="283"/>
      <c r="AA74" s="283"/>
      <c r="AB74" s="283"/>
      <c r="AC74" s="283"/>
      <c r="AD74" s="283"/>
      <c r="AE74" s="283"/>
      <c r="AF74" s="283"/>
      <c r="AG74" s="283"/>
      <c r="AH74" s="283"/>
      <c r="AI74" s="283"/>
      <c r="AJ74" s="283"/>
      <c r="AK74" s="283"/>
      <c r="AL74" s="283"/>
      <c r="AM74" s="283"/>
      <c r="AN74" s="283"/>
      <c r="AO74" s="283"/>
      <c r="AP74" s="283"/>
      <c r="AQ74" s="283"/>
      <c r="AR74" s="283"/>
      <c r="AS74" s="283"/>
      <c r="AT74" s="283"/>
      <c r="AU74" s="283"/>
      <c r="AV74" s="283"/>
      <c r="AW74" s="283"/>
      <c r="AX74" s="283"/>
      <c r="AY74" s="283"/>
      <c r="AZ74" s="283"/>
      <c r="BA74" s="283"/>
    </row>
    <row r="75" spans="1:53">
      <c r="A75" s="595"/>
      <c r="B75" s="598"/>
      <c r="C75" s="599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3"/>
      <c r="Z75" s="283"/>
      <c r="AA75" s="283"/>
      <c r="AB75" s="283"/>
      <c r="AC75" s="283"/>
      <c r="AD75" s="283"/>
      <c r="AE75" s="283"/>
      <c r="AF75" s="283"/>
      <c r="AG75" s="283"/>
      <c r="AH75" s="283"/>
      <c r="AI75" s="283"/>
      <c r="AJ75" s="283"/>
      <c r="AK75" s="283"/>
      <c r="AL75" s="283"/>
      <c r="AM75" s="283"/>
      <c r="AN75" s="283"/>
      <c r="AO75" s="283"/>
      <c r="AP75" s="283"/>
      <c r="AQ75" s="283"/>
      <c r="AR75" s="283"/>
      <c r="AS75" s="283"/>
      <c r="AT75" s="283"/>
      <c r="AU75" s="283"/>
      <c r="AV75" s="283"/>
      <c r="AW75" s="283"/>
      <c r="AX75" s="283"/>
      <c r="AY75" s="283"/>
      <c r="AZ75" s="283"/>
      <c r="BA75" s="283"/>
    </row>
    <row r="76" spans="1:53">
      <c r="A76" s="595"/>
      <c r="B76" s="598"/>
      <c r="C76" s="599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283"/>
      <c r="W76" s="283"/>
      <c r="X76" s="283"/>
      <c r="Y76" s="283"/>
      <c r="Z76" s="283"/>
      <c r="AA76" s="283"/>
      <c r="AB76" s="283"/>
      <c r="AC76" s="283"/>
      <c r="AD76" s="283"/>
      <c r="AE76" s="283"/>
      <c r="AF76" s="283"/>
      <c r="AG76" s="283"/>
      <c r="AH76" s="283"/>
      <c r="AI76" s="283"/>
      <c r="AJ76" s="283"/>
      <c r="AK76" s="283"/>
      <c r="AL76" s="283"/>
      <c r="AM76" s="283"/>
      <c r="AN76" s="283"/>
      <c r="AO76" s="283"/>
      <c r="AP76" s="283"/>
      <c r="AQ76" s="283"/>
      <c r="AR76" s="283"/>
      <c r="AS76" s="283"/>
      <c r="AT76" s="283"/>
      <c r="AU76" s="283"/>
      <c r="AV76" s="283"/>
      <c r="AW76" s="283"/>
      <c r="AX76" s="283"/>
      <c r="AY76" s="283"/>
      <c r="AZ76" s="283"/>
      <c r="BA76" s="283"/>
    </row>
    <row r="77" spans="1:53">
      <c r="A77" s="595"/>
      <c r="B77" s="598"/>
      <c r="C77" s="599"/>
      <c r="D77" s="283"/>
      <c r="E77" s="283"/>
      <c r="F77" s="283"/>
      <c r="G77" s="283"/>
      <c r="H77" s="283"/>
      <c r="I77" s="283"/>
      <c r="J77" s="283"/>
      <c r="K77" s="283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283"/>
      <c r="W77" s="283"/>
      <c r="X77" s="283"/>
      <c r="Y77" s="283"/>
      <c r="Z77" s="283"/>
      <c r="AA77" s="283"/>
      <c r="AB77" s="283"/>
      <c r="AC77" s="283"/>
      <c r="AD77" s="283"/>
      <c r="AE77" s="283"/>
      <c r="AF77" s="283"/>
      <c r="AG77" s="283"/>
      <c r="AH77" s="283"/>
      <c r="AI77" s="283"/>
      <c r="AJ77" s="283"/>
      <c r="AK77" s="283"/>
      <c r="AL77" s="283"/>
      <c r="AM77" s="283"/>
      <c r="AN77" s="283"/>
      <c r="AO77" s="283"/>
      <c r="AP77" s="283"/>
      <c r="AQ77" s="283"/>
      <c r="AR77" s="283"/>
      <c r="AS77" s="283"/>
      <c r="AT77" s="283"/>
      <c r="AU77" s="283"/>
      <c r="AV77" s="283"/>
      <c r="AW77" s="283"/>
      <c r="AX77" s="283"/>
      <c r="AY77" s="283"/>
      <c r="AZ77" s="283"/>
      <c r="BA77" s="283"/>
    </row>
    <row r="78" spans="1:53">
      <c r="A78" s="595"/>
      <c r="B78" s="598"/>
      <c r="C78" s="599"/>
      <c r="D78" s="283"/>
      <c r="E78" s="283"/>
      <c r="F78" s="283"/>
      <c r="G78" s="283"/>
      <c r="H78" s="283"/>
      <c r="I78" s="283"/>
      <c r="J78" s="283"/>
      <c r="K78" s="283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283"/>
      <c r="W78" s="283"/>
      <c r="X78" s="283"/>
      <c r="Y78" s="283"/>
      <c r="Z78" s="283"/>
      <c r="AA78" s="283"/>
      <c r="AB78" s="283"/>
      <c r="AC78" s="283"/>
      <c r="AD78" s="283"/>
      <c r="AE78" s="283"/>
      <c r="AF78" s="283"/>
      <c r="AG78" s="283"/>
      <c r="AH78" s="283"/>
      <c r="AI78" s="283"/>
      <c r="AJ78" s="283"/>
      <c r="AK78" s="283"/>
      <c r="AL78" s="283"/>
      <c r="AM78" s="283"/>
      <c r="AN78" s="283"/>
      <c r="AO78" s="283"/>
      <c r="AP78" s="283"/>
      <c r="AQ78" s="283"/>
      <c r="AR78" s="283"/>
      <c r="AS78" s="283"/>
      <c r="AT78" s="283"/>
      <c r="AU78" s="283"/>
      <c r="AV78" s="283"/>
      <c r="AW78" s="283"/>
      <c r="AX78" s="283"/>
      <c r="AY78" s="283"/>
      <c r="AZ78" s="283"/>
      <c r="BA78" s="283"/>
    </row>
    <row r="79" spans="1:53">
      <c r="A79" s="595"/>
      <c r="B79" s="598"/>
      <c r="C79" s="599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3"/>
      <c r="Z79" s="283"/>
      <c r="AA79" s="283"/>
      <c r="AB79" s="283"/>
      <c r="AC79" s="283"/>
      <c r="AD79" s="283"/>
      <c r="AE79" s="283"/>
      <c r="AF79" s="283"/>
      <c r="AG79" s="283"/>
      <c r="AH79" s="283"/>
      <c r="AI79" s="283"/>
      <c r="AJ79" s="283"/>
      <c r="AK79" s="283"/>
      <c r="AL79" s="283"/>
      <c r="AM79" s="283"/>
      <c r="AN79" s="283"/>
      <c r="AO79" s="283"/>
      <c r="AP79" s="283"/>
      <c r="AQ79" s="283"/>
      <c r="AR79" s="283"/>
      <c r="AS79" s="283"/>
      <c r="AT79" s="283"/>
      <c r="AU79" s="283"/>
      <c r="AV79" s="283"/>
      <c r="AW79" s="283"/>
      <c r="AX79" s="283"/>
      <c r="AY79" s="283"/>
      <c r="AZ79" s="283"/>
      <c r="BA79" s="283"/>
    </row>
    <row r="80" spans="1:53">
      <c r="A80" s="595"/>
      <c r="B80" s="598"/>
      <c r="C80" s="599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3"/>
      <c r="Z80" s="283"/>
      <c r="AA80" s="283"/>
      <c r="AB80" s="283"/>
      <c r="AC80" s="283"/>
      <c r="AD80" s="283"/>
      <c r="AE80" s="283"/>
      <c r="AF80" s="283"/>
      <c r="AG80" s="283"/>
      <c r="AH80" s="283"/>
      <c r="AI80" s="283"/>
      <c r="AJ80" s="283"/>
      <c r="AK80" s="283"/>
      <c r="AL80" s="283"/>
      <c r="AM80" s="283"/>
      <c r="AN80" s="283"/>
      <c r="AO80" s="283"/>
      <c r="AP80" s="283"/>
      <c r="AQ80" s="283"/>
      <c r="AR80" s="283"/>
      <c r="AS80" s="283"/>
      <c r="AT80" s="283"/>
      <c r="AU80" s="283"/>
      <c r="AV80" s="283"/>
      <c r="AW80" s="283"/>
      <c r="AX80" s="283"/>
      <c r="AY80" s="283"/>
      <c r="AZ80" s="283"/>
      <c r="BA80" s="283"/>
    </row>
    <row r="81" spans="1:53">
      <c r="A81" s="595"/>
      <c r="B81" s="598"/>
      <c r="C81" s="599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3"/>
      <c r="Z81" s="283"/>
      <c r="AA81" s="283"/>
      <c r="AB81" s="283"/>
      <c r="AC81" s="283"/>
      <c r="AD81" s="283"/>
      <c r="AE81" s="283"/>
      <c r="AF81" s="283"/>
      <c r="AG81" s="283"/>
      <c r="AH81" s="283"/>
      <c r="AI81" s="283"/>
      <c r="AJ81" s="283"/>
      <c r="AK81" s="283"/>
      <c r="AL81" s="283"/>
      <c r="AM81" s="283"/>
      <c r="AN81" s="283"/>
      <c r="AO81" s="283"/>
      <c r="AP81" s="283"/>
      <c r="AQ81" s="283"/>
      <c r="AR81" s="283"/>
      <c r="AS81" s="283"/>
      <c r="AT81" s="283"/>
      <c r="AU81" s="283"/>
      <c r="AV81" s="283"/>
      <c r="AW81" s="283"/>
      <c r="AX81" s="283"/>
      <c r="AY81" s="283"/>
      <c r="AZ81" s="283"/>
      <c r="BA81" s="283"/>
    </row>
    <row r="82" spans="1:53">
      <c r="A82" s="595"/>
      <c r="B82" s="598"/>
      <c r="C82" s="599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3"/>
      <c r="Z82" s="283"/>
      <c r="AA82" s="283"/>
      <c r="AB82" s="283"/>
      <c r="AC82" s="283"/>
      <c r="AD82" s="283"/>
      <c r="AE82" s="283"/>
      <c r="AF82" s="283"/>
      <c r="AG82" s="283"/>
      <c r="AH82" s="283"/>
      <c r="AI82" s="283"/>
      <c r="AJ82" s="283"/>
      <c r="AK82" s="283"/>
      <c r="AL82" s="283"/>
      <c r="AM82" s="283"/>
      <c r="AN82" s="283"/>
      <c r="AO82" s="283"/>
      <c r="AP82" s="283"/>
      <c r="AQ82" s="283"/>
      <c r="AR82" s="283"/>
      <c r="AS82" s="283"/>
      <c r="AT82" s="283"/>
      <c r="AU82" s="283"/>
      <c r="AV82" s="283"/>
      <c r="AW82" s="283"/>
      <c r="AX82" s="283"/>
      <c r="AY82" s="283"/>
      <c r="AZ82" s="283"/>
      <c r="BA82" s="283"/>
    </row>
    <row r="83" spans="1:53">
      <c r="A83" s="595"/>
      <c r="B83" s="598"/>
      <c r="C83" s="599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3"/>
      <c r="Z83" s="283"/>
      <c r="AA83" s="283"/>
      <c r="AB83" s="283"/>
      <c r="AC83" s="283"/>
      <c r="AD83" s="283"/>
      <c r="AE83" s="283"/>
      <c r="AF83" s="283"/>
      <c r="AG83" s="283"/>
      <c r="AH83" s="283"/>
      <c r="AI83" s="283"/>
      <c r="AJ83" s="283"/>
      <c r="AK83" s="283"/>
      <c r="AL83" s="283"/>
      <c r="AM83" s="283"/>
      <c r="AN83" s="283"/>
      <c r="AO83" s="283"/>
      <c r="AP83" s="283"/>
      <c r="AQ83" s="283"/>
      <c r="AR83" s="283"/>
      <c r="AS83" s="283"/>
      <c r="AT83" s="283"/>
      <c r="AU83" s="283"/>
      <c r="AV83" s="283"/>
      <c r="AW83" s="283"/>
      <c r="AX83" s="283"/>
      <c r="AY83" s="283"/>
      <c r="AZ83" s="283"/>
      <c r="BA83" s="283"/>
    </row>
    <row r="84" spans="1:53">
      <c r="A84" s="595"/>
      <c r="B84" s="598"/>
      <c r="C84" s="599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3"/>
      <c r="Z84" s="283"/>
      <c r="AA84" s="283"/>
      <c r="AB84" s="283"/>
      <c r="AC84" s="283"/>
      <c r="AD84" s="283"/>
      <c r="AE84" s="283"/>
      <c r="AF84" s="283"/>
      <c r="AG84" s="283"/>
      <c r="AH84" s="283"/>
      <c r="AI84" s="283"/>
      <c r="AJ84" s="283"/>
      <c r="AK84" s="283"/>
      <c r="AL84" s="283"/>
      <c r="AM84" s="283"/>
      <c r="AN84" s="283"/>
      <c r="AO84" s="283"/>
      <c r="AP84" s="283"/>
      <c r="AQ84" s="283"/>
      <c r="AR84" s="283"/>
      <c r="AS84" s="283"/>
      <c r="AT84" s="283"/>
      <c r="AU84" s="283"/>
      <c r="AV84" s="283"/>
      <c r="AW84" s="283"/>
      <c r="AX84" s="283"/>
      <c r="AY84" s="283"/>
      <c r="AZ84" s="283"/>
      <c r="BA84" s="283"/>
    </row>
    <row r="85" spans="1:53">
      <c r="A85" s="595"/>
      <c r="B85" s="598"/>
      <c r="C85" s="599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3"/>
      <c r="Z85" s="283"/>
      <c r="AA85" s="283"/>
      <c r="AB85" s="283"/>
      <c r="AC85" s="283"/>
      <c r="AD85" s="283"/>
      <c r="AE85" s="283"/>
      <c r="AF85" s="283"/>
      <c r="AG85" s="283"/>
      <c r="AH85" s="283"/>
      <c r="AI85" s="283"/>
      <c r="AJ85" s="283"/>
      <c r="AK85" s="283"/>
      <c r="AL85" s="283"/>
      <c r="AM85" s="283"/>
      <c r="AN85" s="283"/>
      <c r="AO85" s="283"/>
      <c r="AP85" s="283"/>
      <c r="AQ85" s="283"/>
      <c r="AR85" s="283"/>
      <c r="AS85" s="283"/>
      <c r="AT85" s="283"/>
      <c r="AU85" s="283"/>
      <c r="AV85" s="283"/>
      <c r="AW85" s="283"/>
      <c r="AX85" s="283"/>
      <c r="AY85" s="283"/>
      <c r="AZ85" s="283"/>
      <c r="BA85" s="283"/>
    </row>
    <row r="86" spans="1:53">
      <c r="A86" s="595"/>
      <c r="B86" s="598"/>
      <c r="C86" s="599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3"/>
      <c r="Z86" s="283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3"/>
      <c r="AL86" s="283"/>
      <c r="AM86" s="283"/>
      <c r="AN86" s="283"/>
      <c r="AO86" s="283"/>
      <c r="AP86" s="283"/>
      <c r="AQ86" s="283"/>
      <c r="AR86" s="283"/>
      <c r="AS86" s="283"/>
      <c r="AT86" s="283"/>
      <c r="AU86" s="283"/>
      <c r="AV86" s="283"/>
      <c r="AW86" s="283"/>
      <c r="AX86" s="283"/>
      <c r="AY86" s="283"/>
      <c r="AZ86" s="283"/>
      <c r="BA86" s="283"/>
    </row>
    <row r="87" spans="1:53">
      <c r="A87" s="595"/>
      <c r="B87" s="598"/>
      <c r="C87" s="599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283"/>
      <c r="X87" s="283"/>
      <c r="Y87" s="283"/>
      <c r="Z87" s="283"/>
      <c r="AA87" s="283"/>
      <c r="AB87" s="283"/>
      <c r="AC87" s="283"/>
      <c r="AD87" s="283"/>
      <c r="AE87" s="283"/>
      <c r="AF87" s="283"/>
      <c r="AG87" s="283"/>
      <c r="AH87" s="283"/>
      <c r="AI87" s="283"/>
      <c r="AJ87" s="283"/>
      <c r="AK87" s="283"/>
      <c r="AL87" s="283"/>
      <c r="AM87" s="283"/>
      <c r="AN87" s="283"/>
      <c r="AO87" s="283"/>
      <c r="AP87" s="283"/>
      <c r="AQ87" s="283"/>
      <c r="AR87" s="283"/>
      <c r="AS87" s="283"/>
      <c r="AT87" s="283"/>
      <c r="AU87" s="283"/>
      <c r="AV87" s="283"/>
      <c r="AW87" s="283"/>
      <c r="AX87" s="283"/>
      <c r="AY87" s="283"/>
      <c r="AZ87" s="283"/>
      <c r="BA87" s="283"/>
    </row>
    <row r="88" spans="1:53">
      <c r="A88" s="595"/>
      <c r="B88" s="598"/>
      <c r="C88" s="599"/>
      <c r="D88" s="283"/>
      <c r="E88" s="283"/>
      <c r="F88" s="283"/>
      <c r="G88" s="283"/>
      <c r="H88" s="283"/>
      <c r="I88" s="283"/>
      <c r="J88" s="283"/>
      <c r="K88" s="283"/>
      <c r="L88" s="283"/>
      <c r="M88" s="283"/>
      <c r="N88" s="283"/>
      <c r="O88" s="283"/>
      <c r="P88" s="283"/>
      <c r="Q88" s="283"/>
      <c r="R88" s="283"/>
      <c r="S88" s="283"/>
      <c r="T88" s="283"/>
      <c r="U88" s="283"/>
      <c r="V88" s="283"/>
      <c r="W88" s="283"/>
      <c r="X88" s="283"/>
      <c r="Y88" s="283"/>
      <c r="Z88" s="283"/>
      <c r="AA88" s="283"/>
      <c r="AB88" s="283"/>
      <c r="AC88" s="283"/>
      <c r="AD88" s="283"/>
      <c r="AE88" s="283"/>
      <c r="AF88" s="283"/>
      <c r="AG88" s="283"/>
      <c r="AH88" s="283"/>
      <c r="AI88" s="283"/>
      <c r="AJ88" s="283"/>
      <c r="AK88" s="283"/>
      <c r="AL88" s="283"/>
      <c r="AM88" s="283"/>
      <c r="AN88" s="283"/>
      <c r="AO88" s="283"/>
      <c r="AP88" s="283"/>
      <c r="AQ88" s="283"/>
      <c r="AR88" s="283"/>
      <c r="AS88" s="283"/>
      <c r="AT88" s="283"/>
      <c r="AU88" s="283"/>
      <c r="AV88" s="283"/>
      <c r="AW88" s="283"/>
      <c r="AX88" s="283"/>
      <c r="AY88" s="283"/>
      <c r="AZ88" s="283"/>
      <c r="BA88" s="283"/>
    </row>
    <row r="89" spans="1:53">
      <c r="A89" s="595"/>
      <c r="B89" s="598"/>
      <c r="C89" s="599"/>
      <c r="D89" s="283"/>
      <c r="E89" s="283"/>
      <c r="F89" s="283"/>
      <c r="G89" s="283"/>
      <c r="H89" s="283"/>
      <c r="I89" s="283"/>
      <c r="J89" s="283"/>
      <c r="K89" s="283"/>
      <c r="L89" s="283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3"/>
      <c r="Z89" s="283"/>
      <c r="AA89" s="283"/>
      <c r="AB89" s="283"/>
      <c r="AC89" s="283"/>
      <c r="AD89" s="283"/>
      <c r="AE89" s="283"/>
      <c r="AF89" s="283"/>
      <c r="AG89" s="283"/>
      <c r="AH89" s="283"/>
      <c r="AI89" s="283"/>
      <c r="AJ89" s="283"/>
      <c r="AK89" s="283"/>
      <c r="AL89" s="283"/>
      <c r="AM89" s="283"/>
      <c r="AN89" s="283"/>
      <c r="AO89" s="283"/>
      <c r="AP89" s="283"/>
      <c r="AQ89" s="283"/>
      <c r="AR89" s="283"/>
      <c r="AS89" s="283"/>
      <c r="AT89" s="283"/>
      <c r="AU89" s="283"/>
      <c r="AV89" s="283"/>
      <c r="AW89" s="283"/>
      <c r="AX89" s="283"/>
      <c r="AY89" s="283"/>
      <c r="AZ89" s="283"/>
      <c r="BA89" s="283"/>
    </row>
    <row r="90" spans="1:53">
      <c r="A90" s="595"/>
      <c r="B90" s="598"/>
      <c r="C90" s="599"/>
      <c r="D90" s="283"/>
      <c r="E90" s="283"/>
      <c r="F90" s="283"/>
      <c r="G90" s="283"/>
      <c r="H90" s="283"/>
      <c r="I90" s="283"/>
      <c r="J90" s="283"/>
      <c r="K90" s="283"/>
      <c r="L90" s="283"/>
      <c r="M90" s="283"/>
      <c r="N90" s="283"/>
      <c r="O90" s="283"/>
      <c r="P90" s="283"/>
      <c r="Q90" s="283"/>
      <c r="R90" s="283"/>
      <c r="S90" s="283"/>
      <c r="T90" s="283"/>
      <c r="U90" s="283"/>
      <c r="V90" s="283"/>
      <c r="W90" s="283"/>
      <c r="X90" s="283"/>
      <c r="Y90" s="283"/>
      <c r="Z90" s="283"/>
      <c r="AA90" s="283"/>
      <c r="AB90" s="283"/>
      <c r="AC90" s="283"/>
      <c r="AD90" s="283"/>
      <c r="AE90" s="283"/>
      <c r="AF90" s="283"/>
      <c r="AG90" s="283"/>
      <c r="AH90" s="283"/>
      <c r="AI90" s="283"/>
      <c r="AJ90" s="283"/>
      <c r="AK90" s="283"/>
      <c r="AL90" s="283"/>
      <c r="AM90" s="283"/>
      <c r="AN90" s="283"/>
      <c r="AO90" s="283"/>
      <c r="AP90" s="283"/>
      <c r="AQ90" s="283"/>
      <c r="AR90" s="283"/>
      <c r="AS90" s="283"/>
      <c r="AT90" s="283"/>
      <c r="AU90" s="283"/>
      <c r="AV90" s="283"/>
      <c r="AW90" s="283"/>
      <c r="AX90" s="283"/>
      <c r="AY90" s="283"/>
      <c r="AZ90" s="283"/>
      <c r="BA90" s="283"/>
    </row>
    <row r="91" spans="1:53">
      <c r="A91" s="595"/>
      <c r="B91" s="598"/>
      <c r="C91" s="599"/>
      <c r="D91" s="283"/>
      <c r="E91" s="283"/>
      <c r="F91" s="283"/>
      <c r="G91" s="283"/>
      <c r="H91" s="283"/>
      <c r="I91" s="283"/>
      <c r="J91" s="283"/>
      <c r="K91" s="283"/>
      <c r="L91" s="283"/>
      <c r="M91" s="283"/>
      <c r="N91" s="283"/>
      <c r="O91" s="283"/>
      <c r="P91" s="283"/>
      <c r="Q91" s="283"/>
      <c r="R91" s="283"/>
      <c r="S91" s="283"/>
      <c r="T91" s="283"/>
      <c r="U91" s="283"/>
      <c r="V91" s="283"/>
      <c r="W91" s="283"/>
      <c r="X91" s="283"/>
      <c r="Y91" s="283"/>
      <c r="Z91" s="283"/>
      <c r="AA91" s="283"/>
      <c r="AB91" s="283"/>
      <c r="AC91" s="283"/>
      <c r="AD91" s="283"/>
      <c r="AE91" s="283"/>
      <c r="AF91" s="283"/>
      <c r="AG91" s="283"/>
      <c r="AH91" s="283"/>
      <c r="AI91" s="283"/>
      <c r="AJ91" s="283"/>
      <c r="AK91" s="283"/>
      <c r="AL91" s="283"/>
      <c r="AM91" s="283"/>
      <c r="AN91" s="283"/>
      <c r="AO91" s="283"/>
      <c r="AP91" s="283"/>
      <c r="AQ91" s="283"/>
      <c r="AR91" s="283"/>
      <c r="AS91" s="283"/>
      <c r="AT91" s="283"/>
      <c r="AU91" s="283"/>
      <c r="AV91" s="283"/>
      <c r="AW91" s="283"/>
      <c r="AX91" s="283"/>
      <c r="AY91" s="283"/>
      <c r="AZ91" s="283"/>
      <c r="BA91" s="283"/>
    </row>
    <row r="92" spans="1:53">
      <c r="A92" s="595"/>
      <c r="B92" s="598"/>
      <c r="C92" s="599"/>
      <c r="D92" s="283"/>
      <c r="E92" s="283"/>
      <c r="F92" s="283"/>
      <c r="G92" s="283"/>
      <c r="H92" s="283"/>
      <c r="I92" s="283"/>
      <c r="J92" s="283"/>
      <c r="K92" s="283"/>
      <c r="L92" s="283"/>
      <c r="M92" s="283"/>
      <c r="N92" s="283"/>
      <c r="O92" s="283"/>
      <c r="P92" s="283"/>
      <c r="Q92" s="283"/>
      <c r="R92" s="283"/>
      <c r="S92" s="283"/>
      <c r="T92" s="283"/>
      <c r="U92" s="283"/>
      <c r="V92" s="283"/>
      <c r="W92" s="283"/>
      <c r="X92" s="283"/>
      <c r="Y92" s="283"/>
      <c r="Z92" s="283"/>
      <c r="AA92" s="283"/>
      <c r="AB92" s="283"/>
      <c r="AC92" s="283"/>
      <c r="AD92" s="283"/>
      <c r="AE92" s="283"/>
      <c r="AF92" s="283"/>
      <c r="AG92" s="283"/>
      <c r="AH92" s="283"/>
      <c r="AI92" s="283"/>
      <c r="AJ92" s="283"/>
      <c r="AK92" s="283"/>
      <c r="AL92" s="283"/>
      <c r="AM92" s="283"/>
      <c r="AN92" s="283"/>
      <c r="AO92" s="283"/>
      <c r="AP92" s="283"/>
      <c r="AQ92" s="283"/>
      <c r="AR92" s="283"/>
      <c r="AS92" s="283"/>
      <c r="AT92" s="283"/>
      <c r="AU92" s="283"/>
      <c r="AV92" s="283"/>
      <c r="AW92" s="283"/>
      <c r="AX92" s="283"/>
      <c r="AY92" s="283"/>
      <c r="AZ92" s="283"/>
      <c r="BA92" s="283"/>
    </row>
    <row r="93" spans="1:53">
      <c r="A93" s="595"/>
      <c r="B93" s="598"/>
      <c r="C93" s="599"/>
      <c r="D93" s="283"/>
      <c r="E93" s="283"/>
      <c r="F93" s="283"/>
      <c r="G93" s="283"/>
      <c r="H93" s="283"/>
      <c r="I93" s="283"/>
      <c r="J93" s="283"/>
      <c r="K93" s="283"/>
      <c r="L93" s="283"/>
      <c r="M93" s="283"/>
      <c r="N93" s="283"/>
      <c r="O93" s="283"/>
      <c r="P93" s="283"/>
      <c r="Q93" s="283"/>
      <c r="R93" s="283"/>
      <c r="S93" s="283"/>
      <c r="T93" s="283"/>
      <c r="U93" s="283"/>
      <c r="V93" s="283"/>
      <c r="W93" s="283"/>
      <c r="X93" s="283"/>
      <c r="Y93" s="283"/>
      <c r="Z93" s="283"/>
      <c r="AA93" s="283"/>
      <c r="AB93" s="283"/>
      <c r="AC93" s="283"/>
      <c r="AD93" s="283"/>
      <c r="AE93" s="283"/>
      <c r="AF93" s="283"/>
      <c r="AG93" s="283"/>
      <c r="AH93" s="283"/>
      <c r="AI93" s="283"/>
      <c r="AJ93" s="283"/>
      <c r="AK93" s="283"/>
      <c r="AL93" s="283"/>
      <c r="AM93" s="283"/>
      <c r="AN93" s="283"/>
      <c r="AO93" s="283"/>
      <c r="AP93" s="283"/>
      <c r="AQ93" s="283"/>
      <c r="AR93" s="283"/>
      <c r="AS93" s="283"/>
      <c r="AT93" s="283"/>
      <c r="AU93" s="283"/>
      <c r="AV93" s="283"/>
      <c r="AW93" s="283"/>
      <c r="AX93" s="283"/>
      <c r="AY93" s="283"/>
      <c r="AZ93" s="283"/>
      <c r="BA93" s="283"/>
    </row>
    <row r="94" spans="1:53">
      <c r="A94" s="595"/>
      <c r="B94" s="598"/>
      <c r="C94" s="599"/>
      <c r="D94" s="283"/>
      <c r="E94" s="283"/>
      <c r="F94" s="283"/>
      <c r="G94" s="283"/>
      <c r="H94" s="283"/>
      <c r="I94" s="283"/>
      <c r="J94" s="283"/>
      <c r="K94" s="283"/>
      <c r="L94" s="283"/>
      <c r="M94" s="283"/>
      <c r="N94" s="283"/>
      <c r="O94" s="283"/>
      <c r="P94" s="283"/>
      <c r="Q94" s="283"/>
      <c r="R94" s="283"/>
      <c r="S94" s="283"/>
      <c r="T94" s="283"/>
      <c r="U94" s="283"/>
      <c r="V94" s="283"/>
      <c r="W94" s="283"/>
      <c r="X94" s="283"/>
      <c r="Y94" s="283"/>
      <c r="Z94" s="283"/>
      <c r="AA94" s="283"/>
      <c r="AB94" s="283"/>
      <c r="AC94" s="283"/>
      <c r="AD94" s="283"/>
      <c r="AE94" s="283"/>
      <c r="AF94" s="283"/>
      <c r="AG94" s="283"/>
      <c r="AH94" s="283"/>
      <c r="AI94" s="283"/>
      <c r="AJ94" s="283"/>
      <c r="AK94" s="283"/>
      <c r="AL94" s="283"/>
      <c r="AM94" s="283"/>
      <c r="AN94" s="283"/>
      <c r="AO94" s="283"/>
      <c r="AP94" s="283"/>
      <c r="AQ94" s="283"/>
      <c r="AR94" s="283"/>
      <c r="AS94" s="283"/>
      <c r="AT94" s="283"/>
      <c r="AU94" s="283"/>
      <c r="AV94" s="283"/>
      <c r="AW94" s="283"/>
      <c r="AX94" s="283"/>
      <c r="AY94" s="283"/>
      <c r="AZ94" s="283"/>
      <c r="BA94" s="283"/>
    </row>
    <row r="95" spans="1:53">
      <c r="A95" s="595"/>
      <c r="B95" s="598"/>
      <c r="C95" s="599"/>
      <c r="D95" s="283"/>
      <c r="E95" s="283"/>
      <c r="F95" s="283"/>
      <c r="G95" s="283"/>
      <c r="H95" s="283"/>
      <c r="I95" s="283"/>
      <c r="J95" s="283"/>
      <c r="K95" s="283"/>
      <c r="L95" s="283"/>
      <c r="M95" s="283"/>
      <c r="N95" s="283"/>
      <c r="O95" s="283"/>
      <c r="P95" s="283"/>
      <c r="Q95" s="283"/>
      <c r="R95" s="283"/>
      <c r="S95" s="283"/>
      <c r="T95" s="283"/>
      <c r="U95" s="283"/>
      <c r="V95" s="283"/>
      <c r="W95" s="283"/>
      <c r="X95" s="283"/>
      <c r="Y95" s="283"/>
      <c r="Z95" s="283"/>
      <c r="AA95" s="283"/>
      <c r="AB95" s="283"/>
      <c r="AC95" s="283"/>
      <c r="AD95" s="283"/>
      <c r="AE95" s="283"/>
      <c r="AF95" s="283"/>
      <c r="AG95" s="283"/>
      <c r="AH95" s="283"/>
      <c r="AI95" s="283"/>
      <c r="AJ95" s="283"/>
      <c r="AK95" s="283"/>
      <c r="AL95" s="283"/>
      <c r="AM95" s="283"/>
      <c r="AN95" s="283"/>
      <c r="AO95" s="283"/>
      <c r="AP95" s="283"/>
      <c r="AQ95" s="283"/>
      <c r="AR95" s="283"/>
      <c r="AS95" s="283"/>
      <c r="AT95" s="283"/>
      <c r="AU95" s="283"/>
      <c r="AV95" s="283"/>
      <c r="AW95" s="283"/>
      <c r="AX95" s="283"/>
      <c r="AY95" s="283"/>
      <c r="AZ95" s="283"/>
      <c r="BA95" s="283"/>
    </row>
    <row r="96" spans="1:53">
      <c r="A96" s="595"/>
      <c r="B96" s="598"/>
      <c r="C96" s="599"/>
      <c r="D96" s="283"/>
      <c r="E96" s="283"/>
      <c r="F96" s="283"/>
      <c r="G96" s="283"/>
      <c r="H96" s="283"/>
      <c r="I96" s="283"/>
      <c r="J96" s="283"/>
      <c r="K96" s="283"/>
      <c r="L96" s="283"/>
      <c r="M96" s="283"/>
      <c r="N96" s="283"/>
      <c r="O96" s="283"/>
      <c r="P96" s="283"/>
      <c r="Q96" s="283"/>
      <c r="R96" s="283"/>
      <c r="S96" s="283"/>
      <c r="T96" s="283"/>
      <c r="U96" s="283"/>
      <c r="V96" s="283"/>
      <c r="W96" s="283"/>
      <c r="X96" s="283"/>
      <c r="Y96" s="283"/>
      <c r="Z96" s="283"/>
      <c r="AA96" s="283"/>
      <c r="AB96" s="283"/>
      <c r="AC96" s="283"/>
      <c r="AD96" s="283"/>
      <c r="AE96" s="283"/>
      <c r="AF96" s="283"/>
      <c r="AG96" s="283"/>
      <c r="AH96" s="283"/>
      <c r="AI96" s="283"/>
      <c r="AJ96" s="283"/>
      <c r="AK96" s="283"/>
      <c r="AL96" s="283"/>
      <c r="AM96" s="283"/>
      <c r="AN96" s="283"/>
      <c r="AO96" s="283"/>
      <c r="AP96" s="283"/>
      <c r="AQ96" s="283"/>
      <c r="AR96" s="283"/>
      <c r="AS96" s="283"/>
      <c r="AT96" s="283"/>
      <c r="AU96" s="283"/>
      <c r="AV96" s="283"/>
      <c r="AW96" s="283"/>
      <c r="AX96" s="283"/>
      <c r="AY96" s="283"/>
      <c r="AZ96" s="283"/>
      <c r="BA96" s="283"/>
    </row>
    <row r="97" spans="1:53">
      <c r="A97" s="595"/>
      <c r="B97" s="598"/>
      <c r="C97" s="599"/>
      <c r="D97" s="283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283"/>
      <c r="S97" s="283"/>
      <c r="T97" s="283"/>
      <c r="U97" s="283"/>
      <c r="V97" s="283"/>
      <c r="W97" s="283"/>
      <c r="X97" s="283"/>
      <c r="Y97" s="283"/>
      <c r="Z97" s="283"/>
      <c r="AA97" s="283"/>
      <c r="AB97" s="283"/>
      <c r="AC97" s="283"/>
      <c r="AD97" s="283"/>
      <c r="AE97" s="283"/>
      <c r="AF97" s="283"/>
      <c r="AG97" s="283"/>
      <c r="AH97" s="283"/>
      <c r="AI97" s="283"/>
      <c r="AJ97" s="283"/>
      <c r="AK97" s="283"/>
      <c r="AL97" s="283"/>
      <c r="AM97" s="283"/>
      <c r="AN97" s="283"/>
      <c r="AO97" s="283"/>
      <c r="AP97" s="283"/>
      <c r="AQ97" s="283"/>
      <c r="AR97" s="283"/>
      <c r="AS97" s="283"/>
      <c r="AT97" s="283"/>
      <c r="AU97" s="283"/>
      <c r="AV97" s="283"/>
      <c r="AW97" s="283"/>
      <c r="AX97" s="283"/>
      <c r="AY97" s="283"/>
      <c r="AZ97" s="283"/>
      <c r="BA97" s="283"/>
    </row>
    <row r="98" spans="1:53">
      <c r="A98" s="595"/>
      <c r="B98" s="598"/>
      <c r="C98" s="599"/>
      <c r="D98" s="283"/>
      <c r="E98" s="283"/>
      <c r="F98" s="283"/>
      <c r="G98" s="283"/>
      <c r="H98" s="283"/>
      <c r="I98" s="283"/>
      <c r="J98" s="283"/>
      <c r="K98" s="283"/>
      <c r="L98" s="283"/>
      <c r="M98" s="283"/>
      <c r="N98" s="283"/>
      <c r="O98" s="283"/>
      <c r="P98" s="283"/>
      <c r="Q98" s="283"/>
      <c r="R98" s="283"/>
      <c r="S98" s="283"/>
      <c r="T98" s="283"/>
      <c r="U98" s="283"/>
      <c r="V98" s="283"/>
      <c r="W98" s="283"/>
      <c r="X98" s="283"/>
      <c r="Y98" s="283"/>
      <c r="Z98" s="283"/>
      <c r="AA98" s="283"/>
      <c r="AB98" s="283"/>
      <c r="AC98" s="283"/>
      <c r="AD98" s="283"/>
      <c r="AE98" s="283"/>
      <c r="AF98" s="283"/>
      <c r="AG98" s="283"/>
      <c r="AH98" s="283"/>
      <c r="AI98" s="283"/>
      <c r="AJ98" s="283"/>
      <c r="AK98" s="283"/>
      <c r="AL98" s="283"/>
      <c r="AM98" s="283"/>
      <c r="AN98" s="283"/>
      <c r="AO98" s="283"/>
      <c r="AP98" s="283"/>
      <c r="AQ98" s="283"/>
      <c r="AR98" s="283"/>
      <c r="AS98" s="283"/>
      <c r="AT98" s="283"/>
      <c r="AU98" s="283"/>
      <c r="AV98" s="283"/>
      <c r="AW98" s="283"/>
      <c r="AX98" s="283"/>
      <c r="AY98" s="283"/>
      <c r="AZ98" s="283"/>
      <c r="BA98" s="283"/>
    </row>
    <row r="99" spans="1:53">
      <c r="A99" s="595"/>
      <c r="B99" s="598"/>
      <c r="C99" s="599"/>
      <c r="D99" s="283"/>
      <c r="E99" s="283"/>
      <c r="F99" s="283"/>
      <c r="G99" s="283"/>
      <c r="H99" s="283"/>
      <c r="I99" s="283"/>
      <c r="J99" s="283"/>
      <c r="K99" s="283"/>
      <c r="L99" s="283"/>
      <c r="M99" s="283"/>
      <c r="N99" s="283"/>
      <c r="O99" s="283"/>
      <c r="P99" s="283"/>
      <c r="Q99" s="283"/>
      <c r="R99" s="283"/>
      <c r="S99" s="283"/>
      <c r="T99" s="283"/>
      <c r="U99" s="283"/>
      <c r="V99" s="283"/>
      <c r="W99" s="283"/>
      <c r="X99" s="283"/>
      <c r="Y99" s="283"/>
      <c r="Z99" s="283"/>
      <c r="AA99" s="283"/>
      <c r="AB99" s="283"/>
      <c r="AC99" s="283"/>
      <c r="AD99" s="283"/>
      <c r="AE99" s="283"/>
      <c r="AF99" s="283"/>
      <c r="AG99" s="283"/>
      <c r="AH99" s="283"/>
      <c r="AI99" s="283"/>
      <c r="AJ99" s="283"/>
      <c r="AK99" s="283"/>
      <c r="AL99" s="283"/>
      <c r="AM99" s="283"/>
      <c r="AN99" s="283"/>
      <c r="AO99" s="283"/>
      <c r="AP99" s="283"/>
      <c r="AQ99" s="283"/>
      <c r="AR99" s="283"/>
      <c r="AS99" s="283"/>
      <c r="AT99" s="283"/>
      <c r="AU99" s="283"/>
      <c r="AV99" s="283"/>
      <c r="AW99" s="283"/>
      <c r="AX99" s="283"/>
      <c r="AY99" s="283"/>
      <c r="AZ99" s="283"/>
      <c r="BA99" s="283"/>
    </row>
    <row r="100" spans="1:53">
      <c r="A100" s="595"/>
      <c r="B100" s="598"/>
      <c r="C100" s="599"/>
      <c r="D100" s="283"/>
      <c r="E100" s="283"/>
      <c r="F100" s="283"/>
      <c r="G100" s="283"/>
      <c r="H100" s="283"/>
      <c r="I100" s="283"/>
      <c r="J100" s="283"/>
      <c r="K100" s="283"/>
      <c r="L100" s="283"/>
      <c r="M100" s="283"/>
      <c r="N100" s="283"/>
      <c r="O100" s="283"/>
      <c r="P100" s="283"/>
      <c r="Q100" s="283"/>
      <c r="R100" s="283"/>
      <c r="S100" s="283"/>
      <c r="T100" s="283"/>
      <c r="U100" s="283"/>
      <c r="V100" s="283"/>
      <c r="W100" s="283"/>
      <c r="X100" s="283"/>
      <c r="Y100" s="283"/>
      <c r="Z100" s="283"/>
      <c r="AA100" s="283"/>
      <c r="AB100" s="283"/>
      <c r="AC100" s="283"/>
      <c r="AD100" s="283"/>
      <c r="AE100" s="283"/>
      <c r="AF100" s="283"/>
      <c r="AG100" s="283"/>
      <c r="AH100" s="283"/>
      <c r="AI100" s="283"/>
      <c r="AJ100" s="283"/>
      <c r="AK100" s="283"/>
      <c r="AL100" s="283"/>
      <c r="AM100" s="283"/>
      <c r="AN100" s="283"/>
      <c r="AO100" s="283"/>
      <c r="AP100" s="283"/>
      <c r="AQ100" s="283"/>
      <c r="AR100" s="283"/>
      <c r="AS100" s="283"/>
      <c r="AT100" s="283"/>
      <c r="AU100" s="283"/>
      <c r="AV100" s="283"/>
      <c r="AW100" s="283"/>
      <c r="AX100" s="283"/>
      <c r="AY100" s="283"/>
      <c r="AZ100" s="283"/>
      <c r="BA100" s="283"/>
    </row>
    <row r="101" spans="1:53">
      <c r="A101" s="595"/>
      <c r="B101" s="598"/>
      <c r="C101" s="599"/>
      <c r="D101" s="283"/>
      <c r="E101" s="283"/>
      <c r="F101" s="283"/>
      <c r="G101" s="283"/>
      <c r="H101" s="283"/>
      <c r="I101" s="283"/>
      <c r="J101" s="283"/>
      <c r="K101" s="283"/>
      <c r="L101" s="283"/>
      <c r="M101" s="283"/>
      <c r="N101" s="283"/>
      <c r="O101" s="283"/>
      <c r="P101" s="283"/>
      <c r="Q101" s="283"/>
      <c r="R101" s="283"/>
      <c r="S101" s="283"/>
      <c r="T101" s="283"/>
      <c r="U101" s="283"/>
      <c r="V101" s="283"/>
      <c r="W101" s="283"/>
      <c r="X101" s="283"/>
      <c r="Y101" s="283"/>
      <c r="Z101" s="283"/>
      <c r="AA101" s="283"/>
      <c r="AB101" s="283"/>
      <c r="AC101" s="283"/>
      <c r="AD101" s="283"/>
      <c r="AE101" s="283"/>
      <c r="AF101" s="283"/>
      <c r="AG101" s="283"/>
      <c r="AH101" s="283"/>
      <c r="AI101" s="283"/>
      <c r="AJ101" s="283"/>
      <c r="AK101" s="283"/>
      <c r="AL101" s="283"/>
      <c r="AM101" s="283"/>
      <c r="AN101" s="283"/>
      <c r="AO101" s="283"/>
      <c r="AP101" s="283"/>
      <c r="AQ101" s="283"/>
      <c r="AR101" s="283"/>
      <c r="AS101" s="283"/>
      <c r="AT101" s="283"/>
      <c r="AU101" s="283"/>
      <c r="AV101" s="283"/>
      <c r="AW101" s="283"/>
      <c r="AX101" s="283"/>
      <c r="AY101" s="283"/>
      <c r="AZ101" s="283"/>
      <c r="BA101" s="283"/>
    </row>
    <row r="102" spans="1:53">
      <c r="A102" s="595"/>
      <c r="B102" s="598"/>
      <c r="C102" s="599"/>
      <c r="D102" s="283"/>
      <c r="E102" s="283"/>
      <c r="F102" s="283"/>
      <c r="G102" s="283"/>
      <c r="H102" s="283"/>
      <c r="I102" s="283"/>
      <c r="J102" s="283"/>
      <c r="K102" s="283"/>
      <c r="L102" s="283"/>
      <c r="M102" s="283"/>
      <c r="N102" s="283"/>
      <c r="O102" s="283"/>
      <c r="P102" s="283"/>
      <c r="Q102" s="283"/>
      <c r="R102" s="283"/>
      <c r="S102" s="283"/>
      <c r="T102" s="283"/>
      <c r="U102" s="283"/>
      <c r="V102" s="283"/>
      <c r="W102" s="283"/>
      <c r="X102" s="283"/>
      <c r="Y102" s="283"/>
      <c r="Z102" s="283"/>
      <c r="AA102" s="283"/>
      <c r="AB102" s="283"/>
      <c r="AC102" s="283"/>
      <c r="AD102" s="283"/>
      <c r="AE102" s="283"/>
      <c r="AF102" s="283"/>
      <c r="AG102" s="283"/>
      <c r="AH102" s="283"/>
      <c r="AI102" s="283"/>
      <c r="AJ102" s="283"/>
      <c r="AK102" s="283"/>
      <c r="AL102" s="283"/>
      <c r="AM102" s="283"/>
      <c r="AN102" s="283"/>
      <c r="AO102" s="283"/>
      <c r="AP102" s="283"/>
      <c r="AQ102" s="283"/>
      <c r="AR102" s="283"/>
      <c r="AS102" s="283"/>
      <c r="AT102" s="283"/>
      <c r="AU102" s="283"/>
      <c r="AV102" s="283"/>
      <c r="AW102" s="283"/>
      <c r="AX102" s="283"/>
      <c r="AY102" s="283"/>
      <c r="AZ102" s="283"/>
      <c r="BA102" s="283"/>
    </row>
    <row r="103" spans="1:53">
      <c r="A103" s="595"/>
      <c r="B103" s="598"/>
      <c r="C103" s="599"/>
      <c r="D103" s="283"/>
      <c r="E103" s="283"/>
      <c r="F103" s="283"/>
      <c r="G103" s="283"/>
      <c r="H103" s="283"/>
      <c r="I103" s="283"/>
      <c r="J103" s="283"/>
      <c r="K103" s="283"/>
      <c r="L103" s="283"/>
      <c r="M103" s="283"/>
      <c r="N103" s="283"/>
      <c r="O103" s="283"/>
      <c r="P103" s="283"/>
      <c r="Q103" s="283"/>
      <c r="R103" s="283"/>
      <c r="S103" s="283"/>
      <c r="T103" s="283"/>
      <c r="U103" s="283"/>
      <c r="V103" s="283"/>
      <c r="W103" s="283"/>
      <c r="X103" s="283"/>
      <c r="Y103" s="283"/>
      <c r="Z103" s="283"/>
      <c r="AA103" s="283"/>
      <c r="AB103" s="283"/>
      <c r="AC103" s="283"/>
      <c r="AD103" s="283"/>
      <c r="AE103" s="283"/>
      <c r="AF103" s="283"/>
      <c r="AG103" s="283"/>
      <c r="AH103" s="283"/>
      <c r="AI103" s="283"/>
      <c r="AJ103" s="283"/>
      <c r="AK103" s="283"/>
      <c r="AL103" s="283"/>
      <c r="AM103" s="283"/>
      <c r="AN103" s="283"/>
      <c r="AO103" s="283"/>
      <c r="AP103" s="283"/>
      <c r="AQ103" s="283"/>
      <c r="AR103" s="283"/>
      <c r="AS103" s="283"/>
      <c r="AT103" s="283"/>
      <c r="AU103" s="283"/>
      <c r="AV103" s="283"/>
      <c r="AW103" s="283"/>
      <c r="AX103" s="283"/>
      <c r="AY103" s="283"/>
      <c r="AZ103" s="283"/>
      <c r="BA103" s="283"/>
    </row>
    <row r="104" spans="1:53">
      <c r="A104" s="595"/>
      <c r="B104" s="598"/>
      <c r="C104" s="599"/>
      <c r="D104" s="283"/>
      <c r="E104" s="283"/>
      <c r="F104" s="283"/>
      <c r="G104" s="283"/>
      <c r="H104" s="283"/>
      <c r="I104" s="283"/>
      <c r="J104" s="283"/>
      <c r="K104" s="283"/>
      <c r="L104" s="283"/>
      <c r="M104" s="283"/>
      <c r="N104" s="283"/>
      <c r="O104" s="283"/>
      <c r="P104" s="283"/>
      <c r="Q104" s="283"/>
      <c r="R104" s="283"/>
      <c r="S104" s="283"/>
      <c r="T104" s="283"/>
      <c r="U104" s="283"/>
      <c r="V104" s="283"/>
      <c r="W104" s="283"/>
      <c r="X104" s="283"/>
      <c r="Y104" s="283"/>
      <c r="Z104" s="283"/>
      <c r="AA104" s="283"/>
      <c r="AB104" s="283"/>
      <c r="AC104" s="283"/>
      <c r="AD104" s="283"/>
      <c r="AE104" s="283"/>
      <c r="AF104" s="283"/>
      <c r="AG104" s="283"/>
      <c r="AH104" s="283"/>
      <c r="AI104" s="283"/>
      <c r="AJ104" s="283"/>
      <c r="AK104" s="283"/>
      <c r="AL104" s="283"/>
      <c r="AM104" s="283"/>
      <c r="AN104" s="283"/>
      <c r="AO104" s="283"/>
      <c r="AP104" s="283"/>
      <c r="AQ104" s="283"/>
      <c r="AR104" s="283"/>
      <c r="AS104" s="283"/>
      <c r="AT104" s="283"/>
      <c r="AU104" s="283"/>
      <c r="AV104" s="283"/>
      <c r="AW104" s="283"/>
      <c r="AX104" s="283"/>
      <c r="AY104" s="283"/>
      <c r="AZ104" s="283"/>
      <c r="BA104" s="283"/>
    </row>
    <row r="105" spans="1:53">
      <c r="A105" s="595"/>
      <c r="B105" s="598"/>
      <c r="C105" s="599"/>
      <c r="D105" s="283"/>
      <c r="E105" s="283"/>
      <c r="F105" s="283"/>
      <c r="G105" s="283"/>
      <c r="H105" s="283"/>
      <c r="I105" s="283"/>
      <c r="J105" s="283"/>
      <c r="K105" s="283"/>
      <c r="L105" s="283"/>
      <c r="M105" s="283"/>
      <c r="N105" s="283"/>
      <c r="O105" s="283"/>
      <c r="P105" s="283"/>
      <c r="Q105" s="283"/>
      <c r="R105" s="283"/>
      <c r="S105" s="283"/>
      <c r="T105" s="283"/>
      <c r="U105" s="283"/>
      <c r="V105" s="283"/>
      <c r="W105" s="283"/>
      <c r="X105" s="283"/>
      <c r="Y105" s="283"/>
      <c r="Z105" s="283"/>
      <c r="AA105" s="283"/>
      <c r="AB105" s="283"/>
      <c r="AC105" s="283"/>
      <c r="AD105" s="283"/>
      <c r="AE105" s="283"/>
      <c r="AF105" s="283"/>
      <c r="AG105" s="283"/>
      <c r="AH105" s="283"/>
      <c r="AI105" s="283"/>
      <c r="AJ105" s="283"/>
      <c r="AK105" s="283"/>
      <c r="AL105" s="283"/>
      <c r="AM105" s="283"/>
      <c r="AN105" s="283"/>
      <c r="AO105" s="283"/>
      <c r="AP105" s="283"/>
      <c r="AQ105" s="283"/>
      <c r="AR105" s="283"/>
      <c r="AS105" s="283"/>
      <c r="AT105" s="283"/>
      <c r="AU105" s="283"/>
      <c r="AV105" s="283"/>
      <c r="AW105" s="283"/>
      <c r="AX105" s="283"/>
      <c r="AY105" s="283"/>
      <c r="AZ105" s="283"/>
      <c r="BA105" s="283"/>
    </row>
    <row r="106" spans="1:53">
      <c r="A106" s="595"/>
      <c r="B106" s="598"/>
      <c r="C106" s="599"/>
      <c r="D106" s="283"/>
      <c r="E106" s="283"/>
      <c r="F106" s="283"/>
      <c r="G106" s="283"/>
      <c r="H106" s="283"/>
      <c r="I106" s="283"/>
      <c r="J106" s="283"/>
      <c r="K106" s="283"/>
      <c r="L106" s="283"/>
      <c r="M106" s="283"/>
      <c r="N106" s="283"/>
      <c r="O106" s="283"/>
      <c r="P106" s="283"/>
      <c r="Q106" s="283"/>
      <c r="R106" s="283"/>
      <c r="S106" s="283"/>
      <c r="T106" s="283"/>
      <c r="U106" s="283"/>
      <c r="V106" s="283"/>
      <c r="W106" s="283"/>
      <c r="X106" s="283"/>
      <c r="Y106" s="283"/>
      <c r="Z106" s="283"/>
      <c r="AA106" s="283"/>
      <c r="AB106" s="283"/>
      <c r="AC106" s="283"/>
      <c r="AD106" s="283"/>
      <c r="AE106" s="283"/>
      <c r="AF106" s="283"/>
      <c r="AG106" s="283"/>
      <c r="AH106" s="283"/>
      <c r="AI106" s="283"/>
      <c r="AJ106" s="283"/>
      <c r="AK106" s="283"/>
      <c r="AL106" s="283"/>
      <c r="AM106" s="283"/>
      <c r="AN106" s="283"/>
      <c r="AO106" s="283"/>
      <c r="AP106" s="283"/>
      <c r="AQ106" s="283"/>
      <c r="AR106" s="283"/>
      <c r="AS106" s="283"/>
      <c r="AT106" s="283"/>
      <c r="AU106" s="283"/>
      <c r="AV106" s="283"/>
      <c r="AW106" s="283"/>
      <c r="AX106" s="283"/>
      <c r="AY106" s="283"/>
      <c r="AZ106" s="283"/>
      <c r="BA106" s="283"/>
    </row>
    <row r="107" spans="1:53">
      <c r="A107" s="595"/>
      <c r="B107" s="598"/>
      <c r="C107" s="599"/>
      <c r="D107" s="283"/>
      <c r="E107" s="283"/>
      <c r="F107" s="283"/>
      <c r="G107" s="283"/>
      <c r="H107" s="283"/>
      <c r="I107" s="283"/>
      <c r="J107" s="283"/>
      <c r="K107" s="283"/>
      <c r="L107" s="283"/>
      <c r="M107" s="283"/>
      <c r="N107" s="283"/>
      <c r="O107" s="283"/>
      <c r="P107" s="283"/>
      <c r="Q107" s="283"/>
      <c r="R107" s="283"/>
      <c r="S107" s="283"/>
      <c r="T107" s="283"/>
      <c r="U107" s="283"/>
      <c r="V107" s="283"/>
      <c r="W107" s="283"/>
      <c r="X107" s="283"/>
      <c r="Y107" s="283"/>
      <c r="Z107" s="283"/>
      <c r="AA107" s="283"/>
      <c r="AB107" s="283"/>
      <c r="AC107" s="283"/>
      <c r="AD107" s="283"/>
      <c r="AE107" s="283"/>
      <c r="AF107" s="283"/>
      <c r="AG107" s="283"/>
      <c r="AH107" s="283"/>
      <c r="AI107" s="283"/>
      <c r="AJ107" s="283"/>
      <c r="AK107" s="283"/>
      <c r="AL107" s="283"/>
      <c r="AM107" s="283"/>
      <c r="AN107" s="283"/>
      <c r="AO107" s="283"/>
      <c r="AP107" s="283"/>
      <c r="AQ107" s="283"/>
      <c r="AR107" s="283"/>
      <c r="AS107" s="283"/>
      <c r="AT107" s="283"/>
      <c r="AU107" s="283"/>
      <c r="AV107" s="283"/>
      <c r="AW107" s="283"/>
      <c r="AX107" s="283"/>
      <c r="AY107" s="283"/>
      <c r="AZ107" s="283"/>
      <c r="BA107" s="283"/>
    </row>
    <row r="108" spans="1:53">
      <c r="A108" s="595"/>
      <c r="B108" s="598"/>
      <c r="C108" s="599"/>
      <c r="D108" s="283"/>
      <c r="E108" s="283"/>
      <c r="F108" s="283"/>
      <c r="G108" s="283"/>
      <c r="H108" s="283"/>
      <c r="I108" s="283"/>
      <c r="J108" s="283"/>
      <c r="K108" s="283"/>
      <c r="L108" s="283"/>
      <c r="M108" s="283"/>
      <c r="N108" s="283"/>
      <c r="O108" s="283"/>
      <c r="P108" s="283"/>
      <c r="Q108" s="283"/>
      <c r="R108" s="283"/>
      <c r="S108" s="283"/>
      <c r="T108" s="283"/>
      <c r="U108" s="283"/>
      <c r="V108" s="283"/>
      <c r="W108" s="283"/>
      <c r="X108" s="283"/>
      <c r="Y108" s="283"/>
      <c r="Z108" s="283"/>
      <c r="AA108" s="283"/>
      <c r="AB108" s="283"/>
      <c r="AC108" s="283"/>
      <c r="AD108" s="283"/>
      <c r="AE108" s="283"/>
      <c r="AF108" s="283"/>
      <c r="AG108" s="283"/>
      <c r="AH108" s="283"/>
      <c r="AI108" s="283"/>
      <c r="AJ108" s="283"/>
      <c r="AK108" s="283"/>
      <c r="AL108" s="283"/>
      <c r="AM108" s="283"/>
      <c r="AN108" s="283"/>
      <c r="AO108" s="283"/>
      <c r="AP108" s="283"/>
      <c r="AQ108" s="283"/>
      <c r="AR108" s="283"/>
      <c r="AS108" s="283"/>
      <c r="AT108" s="283"/>
      <c r="AU108" s="283"/>
      <c r="AV108" s="283"/>
      <c r="AW108" s="283"/>
      <c r="AX108" s="283"/>
      <c r="AY108" s="283"/>
      <c r="AZ108" s="283"/>
      <c r="BA108" s="283"/>
    </row>
    <row r="109" spans="1:53">
      <c r="A109" s="595"/>
      <c r="B109" s="598"/>
      <c r="C109" s="599"/>
      <c r="D109" s="283"/>
      <c r="E109" s="283"/>
      <c r="F109" s="283"/>
      <c r="G109" s="283"/>
      <c r="H109" s="283"/>
      <c r="I109" s="283"/>
      <c r="J109" s="283"/>
      <c r="K109" s="283"/>
      <c r="L109" s="283"/>
      <c r="M109" s="283"/>
      <c r="N109" s="283"/>
      <c r="O109" s="283"/>
      <c r="P109" s="283"/>
      <c r="Q109" s="283"/>
      <c r="R109" s="283"/>
      <c r="S109" s="283"/>
      <c r="T109" s="283"/>
      <c r="U109" s="283"/>
      <c r="V109" s="283"/>
      <c r="W109" s="283"/>
      <c r="X109" s="283"/>
      <c r="Y109" s="283"/>
      <c r="Z109" s="283"/>
      <c r="AA109" s="283"/>
      <c r="AB109" s="283"/>
      <c r="AC109" s="283"/>
      <c r="AD109" s="283"/>
      <c r="AE109" s="283"/>
      <c r="AF109" s="283"/>
      <c r="AG109" s="283"/>
      <c r="AH109" s="283"/>
      <c r="AI109" s="283"/>
      <c r="AJ109" s="283"/>
      <c r="AK109" s="283"/>
      <c r="AL109" s="283"/>
      <c r="AM109" s="283"/>
      <c r="AN109" s="283"/>
      <c r="AO109" s="283"/>
      <c r="AP109" s="283"/>
      <c r="AQ109" s="283"/>
      <c r="AR109" s="283"/>
      <c r="AS109" s="283"/>
      <c r="AT109" s="283"/>
      <c r="AU109" s="283"/>
      <c r="AV109" s="283"/>
      <c r="AW109" s="283"/>
      <c r="AX109" s="283"/>
      <c r="AY109" s="283"/>
      <c r="AZ109" s="283"/>
      <c r="BA109" s="283"/>
    </row>
    <row r="110" spans="1:53">
      <c r="A110" s="595"/>
      <c r="B110" s="598"/>
      <c r="C110" s="599"/>
      <c r="D110" s="283"/>
      <c r="E110" s="283"/>
      <c r="F110" s="283"/>
      <c r="G110" s="283"/>
      <c r="H110" s="283"/>
      <c r="I110" s="283"/>
      <c r="J110" s="283"/>
      <c r="K110" s="283"/>
      <c r="L110" s="283"/>
      <c r="M110" s="283"/>
      <c r="N110" s="283"/>
      <c r="O110" s="283"/>
      <c r="P110" s="283"/>
      <c r="Q110" s="283"/>
      <c r="R110" s="283"/>
      <c r="S110" s="283"/>
      <c r="T110" s="283"/>
      <c r="U110" s="283"/>
      <c r="V110" s="283"/>
      <c r="W110" s="283"/>
      <c r="X110" s="283"/>
      <c r="Y110" s="283"/>
      <c r="Z110" s="283"/>
      <c r="AA110" s="283"/>
      <c r="AB110" s="283"/>
      <c r="AC110" s="283"/>
      <c r="AD110" s="283"/>
      <c r="AE110" s="283"/>
      <c r="AF110" s="283"/>
      <c r="AG110" s="283"/>
      <c r="AH110" s="283"/>
      <c r="AI110" s="283"/>
      <c r="AJ110" s="283"/>
      <c r="AK110" s="283"/>
      <c r="AL110" s="283"/>
      <c r="AM110" s="283"/>
      <c r="AN110" s="283"/>
      <c r="AO110" s="283"/>
      <c r="AP110" s="283"/>
      <c r="AQ110" s="283"/>
      <c r="AR110" s="283"/>
      <c r="AS110" s="283"/>
      <c r="AT110" s="283"/>
      <c r="AU110" s="283"/>
      <c r="AV110" s="283"/>
      <c r="AW110" s="283"/>
      <c r="AX110" s="283"/>
      <c r="AY110" s="283"/>
      <c r="AZ110" s="283"/>
      <c r="BA110" s="283"/>
    </row>
    <row r="111" spans="1:53">
      <c r="A111" s="595"/>
      <c r="B111" s="598"/>
      <c r="C111" s="599"/>
      <c r="D111" s="283"/>
      <c r="E111" s="283"/>
      <c r="F111" s="283"/>
      <c r="G111" s="283"/>
      <c r="H111" s="283"/>
      <c r="I111" s="283"/>
      <c r="J111" s="283"/>
      <c r="K111" s="283"/>
      <c r="L111" s="283"/>
      <c r="M111" s="283"/>
      <c r="N111" s="283"/>
      <c r="O111" s="283"/>
      <c r="P111" s="283"/>
      <c r="Q111" s="283"/>
      <c r="R111" s="283"/>
      <c r="S111" s="283"/>
      <c r="T111" s="283"/>
      <c r="U111" s="283"/>
      <c r="V111" s="283"/>
      <c r="W111" s="283"/>
      <c r="X111" s="283"/>
      <c r="Y111" s="283"/>
      <c r="Z111" s="283"/>
      <c r="AA111" s="283"/>
      <c r="AB111" s="283"/>
      <c r="AC111" s="283"/>
      <c r="AD111" s="283"/>
      <c r="AE111" s="283"/>
      <c r="AF111" s="283"/>
      <c r="AG111" s="283"/>
      <c r="AH111" s="283"/>
      <c r="AI111" s="283"/>
      <c r="AJ111" s="283"/>
      <c r="AK111" s="283"/>
      <c r="AL111" s="283"/>
      <c r="AM111" s="283"/>
      <c r="AN111" s="283"/>
      <c r="AO111" s="283"/>
      <c r="AP111" s="283"/>
      <c r="AQ111" s="283"/>
      <c r="AR111" s="283"/>
      <c r="AS111" s="283"/>
      <c r="AT111" s="283"/>
      <c r="AU111" s="283"/>
      <c r="AV111" s="283"/>
      <c r="AW111" s="283"/>
      <c r="AX111" s="283"/>
      <c r="AY111" s="283"/>
      <c r="AZ111" s="283"/>
      <c r="BA111" s="283"/>
    </row>
    <row r="112" spans="1:53">
      <c r="A112" s="595"/>
      <c r="B112" s="598"/>
      <c r="C112" s="599"/>
      <c r="D112" s="283"/>
      <c r="E112" s="283"/>
      <c r="F112" s="283"/>
      <c r="G112" s="283"/>
      <c r="H112" s="283"/>
      <c r="I112" s="283"/>
      <c r="J112" s="283"/>
      <c r="K112" s="283"/>
      <c r="L112" s="283"/>
      <c r="M112" s="283"/>
      <c r="N112" s="283"/>
      <c r="O112" s="283"/>
      <c r="P112" s="283"/>
      <c r="Q112" s="283"/>
      <c r="R112" s="283"/>
      <c r="S112" s="283"/>
      <c r="T112" s="283"/>
      <c r="U112" s="283"/>
      <c r="V112" s="283"/>
      <c r="W112" s="283"/>
      <c r="X112" s="283"/>
      <c r="Y112" s="283"/>
      <c r="Z112" s="283"/>
      <c r="AA112" s="283"/>
      <c r="AB112" s="283"/>
      <c r="AC112" s="283"/>
      <c r="AD112" s="283"/>
      <c r="AE112" s="283"/>
      <c r="AF112" s="283"/>
      <c r="AG112" s="283"/>
      <c r="AH112" s="283"/>
      <c r="AI112" s="283"/>
      <c r="AJ112" s="283"/>
      <c r="AK112" s="283"/>
      <c r="AL112" s="283"/>
      <c r="AM112" s="283"/>
      <c r="AN112" s="283"/>
      <c r="AO112" s="283"/>
      <c r="AP112" s="283"/>
      <c r="AQ112" s="283"/>
      <c r="AR112" s="283"/>
      <c r="AS112" s="283"/>
      <c r="AT112" s="283"/>
      <c r="AU112" s="283"/>
      <c r="AV112" s="283"/>
      <c r="AW112" s="283"/>
      <c r="AX112" s="283"/>
      <c r="AY112" s="283"/>
      <c r="AZ112" s="283"/>
      <c r="BA112" s="283"/>
    </row>
    <row r="113" spans="1:53">
      <c r="A113" s="595"/>
      <c r="B113" s="598"/>
      <c r="C113" s="599"/>
      <c r="D113" s="283"/>
      <c r="E113" s="283"/>
      <c r="F113" s="283"/>
      <c r="G113" s="283"/>
      <c r="H113" s="283"/>
      <c r="I113" s="283"/>
      <c r="J113" s="283"/>
      <c r="K113" s="283"/>
      <c r="L113" s="283"/>
      <c r="M113" s="283"/>
      <c r="N113" s="283"/>
      <c r="O113" s="283"/>
      <c r="P113" s="283"/>
      <c r="Q113" s="283"/>
      <c r="R113" s="283"/>
      <c r="S113" s="283"/>
      <c r="T113" s="283"/>
      <c r="U113" s="283"/>
      <c r="V113" s="283"/>
      <c r="W113" s="283"/>
      <c r="X113" s="283"/>
      <c r="Y113" s="283"/>
      <c r="Z113" s="283"/>
      <c r="AA113" s="283"/>
      <c r="AB113" s="283"/>
      <c r="AC113" s="283"/>
      <c r="AD113" s="283"/>
      <c r="AE113" s="283"/>
      <c r="AF113" s="283"/>
      <c r="AG113" s="283"/>
      <c r="AH113" s="283"/>
      <c r="AI113" s="283"/>
      <c r="AJ113" s="283"/>
      <c r="AK113" s="283"/>
      <c r="AL113" s="283"/>
      <c r="AM113" s="283"/>
      <c r="AN113" s="283"/>
      <c r="AO113" s="283"/>
      <c r="AP113" s="283"/>
      <c r="AQ113" s="283"/>
      <c r="AR113" s="283"/>
      <c r="AS113" s="283"/>
      <c r="AT113" s="283"/>
      <c r="AU113" s="283"/>
      <c r="AV113" s="283"/>
      <c r="AW113" s="283"/>
      <c r="AX113" s="283"/>
      <c r="AY113" s="283"/>
      <c r="AZ113" s="283"/>
      <c r="BA113" s="283"/>
    </row>
    <row r="114" spans="1:53">
      <c r="A114" s="595"/>
      <c r="B114" s="598"/>
      <c r="C114" s="599"/>
      <c r="D114" s="283"/>
      <c r="E114" s="283"/>
      <c r="F114" s="283"/>
      <c r="G114" s="283"/>
      <c r="H114" s="283"/>
      <c r="I114" s="283"/>
      <c r="J114" s="283"/>
      <c r="K114" s="283"/>
      <c r="L114" s="283"/>
      <c r="M114" s="283"/>
      <c r="N114" s="283"/>
      <c r="O114" s="283"/>
      <c r="P114" s="283"/>
      <c r="Q114" s="283"/>
      <c r="R114" s="283"/>
      <c r="S114" s="283"/>
      <c r="T114" s="283"/>
      <c r="U114" s="283"/>
      <c r="V114" s="283"/>
      <c r="W114" s="283"/>
      <c r="X114" s="283"/>
      <c r="Y114" s="283"/>
      <c r="Z114" s="283"/>
      <c r="AA114" s="283"/>
      <c r="AB114" s="283"/>
      <c r="AC114" s="283"/>
      <c r="AD114" s="283"/>
      <c r="AE114" s="283"/>
      <c r="AF114" s="283"/>
      <c r="AG114" s="283"/>
      <c r="AH114" s="283"/>
      <c r="AI114" s="283"/>
      <c r="AJ114" s="283"/>
      <c r="AK114" s="283"/>
      <c r="AL114" s="283"/>
      <c r="AM114" s="283"/>
      <c r="AN114" s="283"/>
      <c r="AO114" s="283"/>
      <c r="AP114" s="283"/>
      <c r="AQ114" s="283"/>
      <c r="AR114" s="283"/>
      <c r="AS114" s="283"/>
      <c r="AT114" s="283"/>
      <c r="AU114" s="283"/>
      <c r="AV114" s="283"/>
      <c r="AW114" s="283"/>
      <c r="AX114" s="283"/>
      <c r="AY114" s="283"/>
      <c r="AZ114" s="283"/>
      <c r="BA114" s="283"/>
    </row>
    <row r="115" spans="1:53">
      <c r="A115" s="595"/>
      <c r="B115" s="598"/>
      <c r="C115" s="599"/>
      <c r="D115" s="283"/>
      <c r="E115" s="283"/>
      <c r="F115" s="283"/>
      <c r="G115" s="283"/>
      <c r="H115" s="283"/>
      <c r="I115" s="283"/>
      <c r="J115" s="283"/>
      <c r="K115" s="283"/>
      <c r="L115" s="283"/>
      <c r="M115" s="283"/>
      <c r="N115" s="283"/>
      <c r="O115" s="283"/>
      <c r="P115" s="283"/>
      <c r="Q115" s="283"/>
      <c r="R115" s="283"/>
      <c r="S115" s="283"/>
      <c r="T115" s="283"/>
      <c r="U115" s="283"/>
      <c r="V115" s="283"/>
      <c r="W115" s="283"/>
      <c r="X115" s="283"/>
      <c r="Y115" s="283"/>
      <c r="Z115" s="283"/>
      <c r="AA115" s="283"/>
      <c r="AB115" s="283"/>
      <c r="AC115" s="283"/>
      <c r="AD115" s="283"/>
      <c r="AE115" s="283"/>
      <c r="AF115" s="283"/>
      <c r="AG115" s="283"/>
      <c r="AH115" s="283"/>
      <c r="AI115" s="283"/>
      <c r="AJ115" s="283"/>
      <c r="AK115" s="283"/>
      <c r="AL115" s="283"/>
      <c r="AM115" s="283"/>
      <c r="AN115" s="283"/>
      <c r="AO115" s="283"/>
      <c r="AP115" s="283"/>
      <c r="AQ115" s="283"/>
      <c r="AR115" s="283"/>
      <c r="AS115" s="283"/>
      <c r="AT115" s="283"/>
      <c r="AU115" s="283"/>
      <c r="AV115" s="283"/>
      <c r="AW115" s="283"/>
      <c r="AX115" s="283"/>
      <c r="AY115" s="283"/>
      <c r="AZ115" s="283"/>
      <c r="BA115" s="283"/>
    </row>
    <row r="116" spans="1:53">
      <c r="A116" s="595"/>
      <c r="B116" s="598"/>
      <c r="C116" s="599"/>
      <c r="D116" s="283"/>
      <c r="E116" s="283"/>
      <c r="F116" s="283"/>
      <c r="G116" s="283"/>
      <c r="H116" s="283"/>
      <c r="I116" s="283"/>
      <c r="J116" s="283"/>
      <c r="K116" s="283"/>
      <c r="L116" s="283"/>
      <c r="M116" s="283"/>
      <c r="N116" s="283"/>
      <c r="O116" s="283"/>
      <c r="P116" s="283"/>
      <c r="Q116" s="283"/>
      <c r="R116" s="283"/>
      <c r="S116" s="283"/>
      <c r="T116" s="283"/>
      <c r="U116" s="283"/>
      <c r="V116" s="283"/>
      <c r="W116" s="283"/>
      <c r="X116" s="283"/>
      <c r="Y116" s="283"/>
      <c r="Z116" s="283"/>
      <c r="AA116" s="283"/>
      <c r="AB116" s="283"/>
      <c r="AC116" s="283"/>
      <c r="AD116" s="283"/>
      <c r="AE116" s="283"/>
      <c r="AF116" s="283"/>
      <c r="AG116" s="283"/>
      <c r="AH116" s="283"/>
      <c r="AI116" s="283"/>
      <c r="AJ116" s="283"/>
      <c r="AK116" s="283"/>
      <c r="AL116" s="283"/>
      <c r="AM116" s="283"/>
      <c r="AN116" s="283"/>
      <c r="AO116" s="283"/>
      <c r="AP116" s="283"/>
      <c r="AQ116" s="283"/>
      <c r="AR116" s="283"/>
      <c r="AS116" s="283"/>
      <c r="AT116" s="283"/>
      <c r="AU116" s="283"/>
      <c r="AV116" s="283"/>
      <c r="AW116" s="283"/>
      <c r="AX116" s="283"/>
      <c r="AY116" s="283"/>
      <c r="AZ116" s="283"/>
      <c r="BA116" s="283"/>
    </row>
    <row r="117" spans="1:53">
      <c r="A117" s="595"/>
      <c r="B117" s="598"/>
      <c r="C117" s="599"/>
      <c r="D117" s="283"/>
      <c r="E117" s="283"/>
      <c r="F117" s="283"/>
      <c r="G117" s="283"/>
      <c r="H117" s="283"/>
      <c r="I117" s="283"/>
      <c r="J117" s="283"/>
      <c r="K117" s="283"/>
      <c r="L117" s="283"/>
      <c r="M117" s="283"/>
      <c r="N117" s="283"/>
      <c r="O117" s="283"/>
      <c r="P117" s="283"/>
      <c r="Q117" s="283"/>
      <c r="R117" s="283"/>
      <c r="S117" s="283"/>
      <c r="T117" s="283"/>
      <c r="U117" s="283"/>
      <c r="V117" s="283"/>
      <c r="W117" s="283"/>
      <c r="X117" s="283"/>
      <c r="Y117" s="283"/>
      <c r="Z117" s="283"/>
      <c r="AA117" s="283"/>
      <c r="AB117" s="283"/>
      <c r="AC117" s="283"/>
      <c r="AD117" s="283"/>
      <c r="AE117" s="283"/>
      <c r="AF117" s="283"/>
      <c r="AG117" s="283"/>
      <c r="AH117" s="283"/>
      <c r="AI117" s="283"/>
      <c r="AJ117" s="283"/>
      <c r="AK117" s="283"/>
      <c r="AL117" s="283"/>
      <c r="AM117" s="283"/>
      <c r="AN117" s="283"/>
      <c r="AO117" s="283"/>
      <c r="AP117" s="283"/>
      <c r="AQ117" s="283"/>
      <c r="AR117" s="283"/>
      <c r="AS117" s="283"/>
      <c r="AT117" s="283"/>
      <c r="AU117" s="283"/>
      <c r="AV117" s="283"/>
      <c r="AW117" s="283"/>
      <c r="AX117" s="283"/>
      <c r="AY117" s="283"/>
      <c r="AZ117" s="283"/>
      <c r="BA117" s="283"/>
    </row>
    <row r="118" spans="1:53">
      <c r="A118" s="595"/>
      <c r="B118" s="598"/>
      <c r="C118" s="599"/>
      <c r="D118" s="283"/>
      <c r="E118" s="283"/>
      <c r="F118" s="283"/>
      <c r="G118" s="283"/>
      <c r="H118" s="283"/>
      <c r="I118" s="283"/>
      <c r="J118" s="283"/>
      <c r="K118" s="283"/>
      <c r="L118" s="283"/>
      <c r="M118" s="283"/>
      <c r="N118" s="283"/>
      <c r="O118" s="283"/>
      <c r="P118" s="283"/>
      <c r="Q118" s="283"/>
      <c r="R118" s="283"/>
      <c r="S118" s="283"/>
      <c r="T118" s="283"/>
      <c r="U118" s="283"/>
      <c r="V118" s="283"/>
      <c r="W118" s="283"/>
      <c r="X118" s="283"/>
      <c r="Y118" s="283"/>
      <c r="Z118" s="283"/>
      <c r="AA118" s="283"/>
      <c r="AB118" s="283"/>
      <c r="AC118" s="283"/>
      <c r="AD118" s="283"/>
      <c r="AE118" s="283"/>
      <c r="AF118" s="283"/>
      <c r="AG118" s="283"/>
      <c r="AH118" s="283"/>
      <c r="AI118" s="283"/>
      <c r="AJ118" s="283"/>
      <c r="AK118" s="283"/>
      <c r="AL118" s="283"/>
      <c r="AM118" s="283"/>
      <c r="AN118" s="283"/>
      <c r="AO118" s="283"/>
      <c r="AP118" s="283"/>
      <c r="AQ118" s="283"/>
      <c r="AR118" s="283"/>
      <c r="AS118" s="283"/>
      <c r="AT118" s="283"/>
      <c r="AU118" s="283"/>
      <c r="AV118" s="283"/>
      <c r="AW118" s="283"/>
      <c r="AX118" s="283"/>
      <c r="AY118" s="283"/>
      <c r="AZ118" s="283"/>
      <c r="BA118" s="283"/>
    </row>
    <row r="119" spans="1:53">
      <c r="A119" s="595"/>
      <c r="B119" s="598"/>
      <c r="C119" s="599"/>
      <c r="D119" s="283"/>
      <c r="E119" s="283"/>
      <c r="F119" s="283"/>
      <c r="G119" s="283"/>
      <c r="H119" s="283"/>
      <c r="I119" s="283"/>
      <c r="J119" s="283"/>
      <c r="K119" s="283"/>
      <c r="L119" s="283"/>
      <c r="M119" s="283"/>
      <c r="N119" s="283"/>
      <c r="O119" s="283"/>
      <c r="P119" s="283"/>
      <c r="Q119" s="283"/>
      <c r="R119" s="283"/>
      <c r="S119" s="283"/>
      <c r="T119" s="283"/>
      <c r="U119" s="283"/>
      <c r="V119" s="283"/>
      <c r="W119" s="283"/>
      <c r="X119" s="283"/>
      <c r="Y119" s="283"/>
      <c r="Z119" s="283"/>
      <c r="AA119" s="283"/>
      <c r="AB119" s="283"/>
      <c r="AC119" s="283"/>
      <c r="AD119" s="283"/>
      <c r="AE119" s="283"/>
      <c r="AF119" s="283"/>
      <c r="AG119" s="283"/>
      <c r="AH119" s="283"/>
      <c r="AI119" s="283"/>
      <c r="AJ119" s="283"/>
      <c r="AK119" s="283"/>
      <c r="AL119" s="283"/>
      <c r="AM119" s="283"/>
      <c r="AN119" s="283"/>
      <c r="AO119" s="283"/>
      <c r="AP119" s="283"/>
      <c r="AQ119" s="283"/>
      <c r="AR119" s="283"/>
      <c r="AS119" s="283"/>
      <c r="AT119" s="283"/>
      <c r="AU119" s="283"/>
      <c r="AV119" s="283"/>
      <c r="AW119" s="283"/>
      <c r="AX119" s="283"/>
      <c r="AY119" s="283"/>
      <c r="AZ119" s="283"/>
      <c r="BA119" s="283"/>
    </row>
    <row r="120" spans="1:53">
      <c r="A120" s="595"/>
      <c r="B120" s="598"/>
      <c r="C120" s="599"/>
      <c r="D120" s="283"/>
      <c r="E120" s="283"/>
      <c r="F120" s="283"/>
      <c r="G120" s="283"/>
      <c r="H120" s="283"/>
      <c r="I120" s="283"/>
      <c r="J120" s="283"/>
      <c r="K120" s="283"/>
      <c r="L120" s="283"/>
      <c r="M120" s="283"/>
      <c r="N120" s="283"/>
      <c r="O120" s="283"/>
      <c r="P120" s="283"/>
      <c r="Q120" s="283"/>
      <c r="R120" s="283"/>
      <c r="S120" s="283"/>
      <c r="T120" s="283"/>
      <c r="U120" s="283"/>
      <c r="V120" s="283"/>
      <c r="W120" s="283"/>
      <c r="X120" s="283"/>
      <c r="Y120" s="283"/>
      <c r="Z120" s="283"/>
      <c r="AA120" s="283"/>
      <c r="AB120" s="283"/>
      <c r="AC120" s="283"/>
      <c r="AD120" s="283"/>
      <c r="AE120" s="283"/>
      <c r="AF120" s="283"/>
      <c r="AG120" s="283"/>
      <c r="AH120" s="283"/>
      <c r="AI120" s="283"/>
      <c r="AJ120" s="283"/>
      <c r="AK120" s="283"/>
      <c r="AL120" s="283"/>
      <c r="AM120" s="283"/>
      <c r="AN120" s="283"/>
      <c r="AO120" s="283"/>
      <c r="AP120" s="283"/>
      <c r="AQ120" s="283"/>
      <c r="AR120" s="283"/>
      <c r="AS120" s="283"/>
      <c r="AT120" s="283"/>
      <c r="AU120" s="283"/>
      <c r="AV120" s="283"/>
      <c r="AW120" s="283"/>
      <c r="AX120" s="283"/>
      <c r="AY120" s="283"/>
      <c r="AZ120" s="283"/>
      <c r="BA120" s="283"/>
    </row>
    <row r="121" spans="1:53">
      <c r="A121" s="595"/>
      <c r="B121" s="598"/>
      <c r="C121" s="599"/>
      <c r="D121" s="283"/>
      <c r="E121" s="283"/>
      <c r="F121" s="283"/>
      <c r="G121" s="283"/>
      <c r="H121" s="283"/>
      <c r="I121" s="283"/>
      <c r="J121" s="283"/>
      <c r="K121" s="283"/>
      <c r="L121" s="283"/>
      <c r="M121" s="283"/>
      <c r="N121" s="283"/>
      <c r="O121" s="283"/>
      <c r="P121" s="283"/>
      <c r="Q121" s="283"/>
      <c r="R121" s="283"/>
      <c r="S121" s="283"/>
      <c r="T121" s="283"/>
      <c r="U121" s="283"/>
      <c r="V121" s="283"/>
      <c r="W121" s="283"/>
      <c r="X121" s="283"/>
      <c r="Y121" s="283"/>
      <c r="Z121" s="283"/>
      <c r="AA121" s="283"/>
      <c r="AB121" s="283"/>
      <c r="AC121" s="283"/>
      <c r="AD121" s="283"/>
      <c r="AE121" s="283"/>
      <c r="AF121" s="283"/>
      <c r="AG121" s="283"/>
      <c r="AH121" s="283"/>
      <c r="AI121" s="283"/>
      <c r="AJ121" s="283"/>
      <c r="AK121" s="283"/>
      <c r="AL121" s="283"/>
      <c r="AM121" s="283"/>
      <c r="AN121" s="283"/>
      <c r="AO121" s="283"/>
      <c r="AP121" s="283"/>
      <c r="AQ121" s="283"/>
      <c r="AR121" s="283"/>
      <c r="AS121" s="283"/>
      <c r="AT121" s="283"/>
      <c r="AU121" s="283"/>
      <c r="AV121" s="283"/>
      <c r="AW121" s="283"/>
      <c r="AX121" s="283"/>
      <c r="AY121" s="283"/>
      <c r="AZ121" s="283"/>
      <c r="BA121" s="283"/>
    </row>
    <row r="122" spans="1:53">
      <c r="A122" s="595"/>
      <c r="B122" s="598"/>
      <c r="C122" s="599"/>
      <c r="D122" s="283"/>
      <c r="E122" s="283"/>
      <c r="F122" s="283"/>
      <c r="G122" s="283"/>
      <c r="H122" s="283"/>
      <c r="I122" s="283"/>
      <c r="J122" s="283"/>
      <c r="K122" s="283"/>
      <c r="L122" s="283"/>
      <c r="M122" s="283"/>
      <c r="N122" s="283"/>
      <c r="O122" s="283"/>
      <c r="P122" s="283"/>
      <c r="Q122" s="283"/>
      <c r="R122" s="283"/>
      <c r="S122" s="283"/>
      <c r="T122" s="283"/>
      <c r="U122" s="283"/>
      <c r="V122" s="283"/>
      <c r="W122" s="283"/>
      <c r="X122" s="283"/>
      <c r="Y122" s="283"/>
      <c r="Z122" s="283"/>
      <c r="AA122" s="283"/>
      <c r="AB122" s="283"/>
      <c r="AC122" s="283"/>
      <c r="AD122" s="283"/>
      <c r="AE122" s="283"/>
      <c r="AF122" s="283"/>
      <c r="AG122" s="283"/>
      <c r="AH122" s="283"/>
      <c r="AI122" s="283"/>
      <c r="AJ122" s="283"/>
      <c r="AK122" s="283"/>
      <c r="AL122" s="283"/>
      <c r="AM122" s="283"/>
      <c r="AN122" s="283"/>
      <c r="AO122" s="283"/>
      <c r="AP122" s="283"/>
      <c r="AQ122" s="283"/>
      <c r="AR122" s="283"/>
      <c r="AS122" s="283"/>
      <c r="AT122" s="283"/>
      <c r="AU122" s="283"/>
      <c r="AV122" s="283"/>
      <c r="AW122" s="283"/>
      <c r="AX122" s="283"/>
      <c r="AY122" s="283"/>
      <c r="AZ122" s="283"/>
      <c r="BA122" s="283"/>
    </row>
    <row r="123" spans="1:53">
      <c r="A123" s="595"/>
      <c r="B123" s="598"/>
      <c r="C123" s="599"/>
      <c r="D123" s="283"/>
      <c r="E123" s="283"/>
      <c r="F123" s="283"/>
      <c r="G123" s="283"/>
      <c r="H123" s="283"/>
      <c r="I123" s="283"/>
      <c r="J123" s="283"/>
      <c r="K123" s="283"/>
      <c r="L123" s="283"/>
      <c r="M123" s="283"/>
      <c r="N123" s="283"/>
      <c r="O123" s="283"/>
      <c r="P123" s="283"/>
      <c r="Q123" s="283"/>
      <c r="R123" s="283"/>
      <c r="S123" s="283"/>
      <c r="T123" s="283"/>
      <c r="U123" s="283"/>
      <c r="V123" s="283"/>
      <c r="W123" s="283"/>
      <c r="X123" s="283"/>
      <c r="Y123" s="283"/>
      <c r="Z123" s="283"/>
      <c r="AA123" s="283"/>
      <c r="AB123" s="283"/>
      <c r="AC123" s="283"/>
      <c r="AD123" s="283"/>
      <c r="AE123" s="283"/>
      <c r="AF123" s="283"/>
      <c r="AG123" s="283"/>
      <c r="AH123" s="283"/>
      <c r="AI123" s="283"/>
      <c r="AJ123" s="283"/>
      <c r="AK123" s="283"/>
      <c r="AL123" s="283"/>
      <c r="AM123" s="283"/>
      <c r="AN123" s="283"/>
      <c r="AO123" s="283"/>
      <c r="AP123" s="283"/>
      <c r="AQ123" s="283"/>
      <c r="AR123" s="283"/>
      <c r="AS123" s="283"/>
      <c r="AT123" s="283"/>
      <c r="AU123" s="283"/>
      <c r="AV123" s="283"/>
      <c r="AW123" s="283"/>
      <c r="AX123" s="283"/>
      <c r="AY123" s="283"/>
      <c r="AZ123" s="283"/>
      <c r="BA123" s="283"/>
    </row>
    <row r="124" spans="1:53">
      <c r="A124" s="595"/>
      <c r="B124" s="598"/>
      <c r="C124" s="599"/>
      <c r="D124" s="283"/>
      <c r="E124" s="283"/>
      <c r="F124" s="283"/>
      <c r="G124" s="283"/>
      <c r="H124" s="283"/>
      <c r="I124" s="283"/>
      <c r="J124" s="283"/>
      <c r="K124" s="283"/>
      <c r="L124" s="283"/>
      <c r="M124" s="283"/>
      <c r="N124" s="283"/>
      <c r="O124" s="283"/>
      <c r="P124" s="283"/>
      <c r="Q124" s="283"/>
      <c r="R124" s="283"/>
      <c r="S124" s="283"/>
      <c r="T124" s="283"/>
      <c r="U124" s="283"/>
      <c r="V124" s="283"/>
      <c r="W124" s="283"/>
      <c r="X124" s="283"/>
      <c r="Y124" s="283"/>
      <c r="Z124" s="283"/>
      <c r="AA124" s="283"/>
      <c r="AB124" s="283"/>
      <c r="AC124" s="283"/>
      <c r="AD124" s="283"/>
      <c r="AE124" s="283"/>
      <c r="AF124" s="283"/>
      <c r="AG124" s="283"/>
      <c r="AH124" s="283"/>
      <c r="AI124" s="283"/>
      <c r="AJ124" s="283"/>
      <c r="AK124" s="283"/>
      <c r="AL124" s="283"/>
      <c r="AM124" s="283"/>
      <c r="AN124" s="283"/>
      <c r="AO124" s="283"/>
      <c r="AP124" s="283"/>
      <c r="AQ124" s="283"/>
      <c r="AR124" s="283"/>
      <c r="AS124" s="283"/>
      <c r="AT124" s="283"/>
      <c r="AU124" s="283"/>
      <c r="AV124" s="283"/>
      <c r="AW124" s="283"/>
      <c r="AX124" s="283"/>
      <c r="AY124" s="283"/>
      <c r="AZ124" s="283"/>
      <c r="BA124" s="283"/>
    </row>
    <row r="125" spans="1:53">
      <c r="A125" s="595"/>
      <c r="B125" s="598"/>
      <c r="C125" s="599"/>
      <c r="D125" s="283"/>
      <c r="E125" s="283"/>
      <c r="F125" s="283"/>
      <c r="G125" s="283"/>
      <c r="H125" s="283"/>
      <c r="I125" s="283"/>
      <c r="J125" s="283"/>
      <c r="K125" s="283"/>
      <c r="L125" s="283"/>
      <c r="M125" s="283"/>
      <c r="N125" s="283"/>
      <c r="O125" s="283"/>
      <c r="P125" s="283"/>
      <c r="Q125" s="283"/>
      <c r="R125" s="283"/>
      <c r="S125" s="283"/>
      <c r="T125" s="283"/>
      <c r="U125" s="283"/>
      <c r="V125" s="283"/>
      <c r="W125" s="283"/>
      <c r="X125" s="283"/>
      <c r="Y125" s="283"/>
      <c r="Z125" s="283"/>
      <c r="AA125" s="283"/>
      <c r="AB125" s="283"/>
      <c r="AC125" s="283"/>
      <c r="AD125" s="283"/>
      <c r="AE125" s="283"/>
      <c r="AF125" s="283"/>
      <c r="AG125" s="283"/>
      <c r="AH125" s="283"/>
      <c r="AI125" s="283"/>
      <c r="AJ125" s="283"/>
      <c r="AK125" s="283"/>
      <c r="AL125" s="283"/>
      <c r="AM125" s="283"/>
      <c r="AN125" s="283"/>
      <c r="AO125" s="283"/>
      <c r="AP125" s="283"/>
      <c r="AQ125" s="283"/>
      <c r="AR125" s="283"/>
      <c r="AS125" s="283"/>
      <c r="AT125" s="283"/>
      <c r="AU125" s="283"/>
      <c r="AV125" s="283"/>
      <c r="AW125" s="283"/>
      <c r="AX125" s="283"/>
      <c r="AY125" s="283"/>
      <c r="AZ125" s="283"/>
      <c r="BA125" s="283"/>
    </row>
    <row r="126" spans="1:53">
      <c r="A126" s="595"/>
      <c r="B126" s="598"/>
      <c r="C126" s="599"/>
      <c r="D126" s="283"/>
      <c r="E126" s="283"/>
      <c r="F126" s="283"/>
      <c r="G126" s="283"/>
      <c r="H126" s="283"/>
      <c r="I126" s="283"/>
      <c r="J126" s="283"/>
      <c r="K126" s="283"/>
      <c r="L126" s="283"/>
      <c r="M126" s="283"/>
      <c r="N126" s="283"/>
      <c r="O126" s="283"/>
      <c r="P126" s="283"/>
      <c r="Q126" s="283"/>
      <c r="R126" s="283"/>
      <c r="S126" s="283"/>
      <c r="T126" s="283"/>
      <c r="U126" s="283"/>
      <c r="V126" s="283"/>
      <c r="W126" s="283"/>
      <c r="X126" s="283"/>
      <c r="Y126" s="283"/>
      <c r="Z126" s="283"/>
      <c r="AA126" s="283"/>
      <c r="AB126" s="283"/>
      <c r="AC126" s="283"/>
      <c r="AD126" s="283"/>
      <c r="AE126" s="283"/>
      <c r="AF126" s="283"/>
      <c r="AG126" s="283"/>
      <c r="AH126" s="283"/>
      <c r="AI126" s="283"/>
      <c r="AJ126" s="283"/>
      <c r="AK126" s="283"/>
      <c r="AL126" s="283"/>
      <c r="AM126" s="283"/>
      <c r="AN126" s="283"/>
      <c r="AO126" s="283"/>
      <c r="AP126" s="283"/>
      <c r="AQ126" s="283"/>
      <c r="AR126" s="283"/>
      <c r="AS126" s="283"/>
      <c r="AT126" s="283"/>
      <c r="AU126" s="283"/>
      <c r="AV126" s="283"/>
      <c r="AW126" s="283"/>
      <c r="AX126" s="283"/>
      <c r="AY126" s="283"/>
      <c r="AZ126" s="283"/>
      <c r="BA126" s="283"/>
    </row>
    <row r="127" spans="1:53">
      <c r="A127" s="595"/>
      <c r="B127" s="598"/>
      <c r="C127" s="243"/>
      <c r="D127" s="283"/>
      <c r="E127" s="283"/>
      <c r="F127" s="283"/>
      <c r="G127" s="283"/>
      <c r="H127" s="283"/>
      <c r="I127" s="283"/>
      <c r="J127" s="283"/>
      <c r="K127" s="283"/>
      <c r="L127" s="283"/>
      <c r="M127" s="283"/>
      <c r="N127" s="283"/>
      <c r="O127" s="283"/>
      <c r="P127" s="283"/>
      <c r="Q127" s="283"/>
      <c r="R127" s="283"/>
      <c r="S127" s="283"/>
      <c r="T127" s="283"/>
      <c r="U127" s="283"/>
      <c r="V127" s="283"/>
      <c r="W127" s="283"/>
      <c r="X127" s="283"/>
      <c r="Y127" s="283"/>
      <c r="Z127" s="283"/>
      <c r="AA127" s="283"/>
      <c r="AB127" s="283"/>
      <c r="AC127" s="283"/>
      <c r="AD127" s="283"/>
      <c r="AE127" s="283"/>
      <c r="AF127" s="283"/>
      <c r="AG127" s="283"/>
      <c r="AH127" s="283"/>
      <c r="AI127" s="283"/>
      <c r="AJ127" s="283"/>
      <c r="AK127" s="283"/>
      <c r="AL127" s="283"/>
      <c r="AM127" s="283"/>
      <c r="AN127" s="283"/>
      <c r="AO127" s="283"/>
      <c r="AP127" s="283"/>
      <c r="AQ127" s="283"/>
      <c r="AR127" s="283"/>
      <c r="AS127" s="283"/>
      <c r="AT127" s="283"/>
      <c r="AU127" s="283"/>
      <c r="AV127" s="283"/>
      <c r="AW127" s="283"/>
      <c r="AX127" s="283"/>
      <c r="AY127" s="283"/>
      <c r="AZ127" s="283"/>
      <c r="BA127" s="283"/>
    </row>
    <row r="128" spans="1:53">
      <c r="A128" s="595"/>
      <c r="B128" s="598"/>
      <c r="C128" s="243"/>
      <c r="D128" s="283"/>
      <c r="E128" s="283"/>
      <c r="F128" s="283"/>
      <c r="G128" s="283"/>
      <c r="H128" s="283"/>
      <c r="I128" s="283"/>
      <c r="J128" s="283"/>
      <c r="K128" s="283"/>
      <c r="L128" s="283"/>
      <c r="M128" s="283"/>
      <c r="N128" s="283"/>
      <c r="O128" s="283"/>
      <c r="P128" s="283"/>
      <c r="Q128" s="283"/>
      <c r="R128" s="283"/>
      <c r="S128" s="283"/>
      <c r="T128" s="283"/>
      <c r="U128" s="283"/>
      <c r="V128" s="283"/>
      <c r="W128" s="283"/>
      <c r="X128" s="283"/>
      <c r="Y128" s="283"/>
      <c r="Z128" s="283"/>
      <c r="AA128" s="283"/>
      <c r="AB128" s="283"/>
      <c r="AC128" s="283"/>
      <c r="AD128" s="283"/>
      <c r="AE128" s="283"/>
      <c r="AF128" s="283"/>
      <c r="AG128" s="283"/>
      <c r="AH128" s="283"/>
      <c r="AI128" s="283"/>
      <c r="AJ128" s="283"/>
      <c r="AK128" s="283"/>
      <c r="AL128" s="283"/>
      <c r="AM128" s="283"/>
      <c r="AN128" s="283"/>
      <c r="AO128" s="283"/>
      <c r="AP128" s="283"/>
      <c r="AQ128" s="283"/>
      <c r="AR128" s="283"/>
      <c r="AS128" s="283"/>
      <c r="AT128" s="283"/>
      <c r="AU128" s="283"/>
      <c r="AV128" s="283"/>
      <c r="AW128" s="283"/>
      <c r="AX128" s="283"/>
      <c r="AY128" s="283"/>
      <c r="AZ128" s="283"/>
      <c r="BA128" s="283"/>
    </row>
    <row r="129" spans="1:53">
      <c r="A129" s="595"/>
      <c r="B129" s="598"/>
      <c r="C129" s="243"/>
      <c r="D129" s="283"/>
      <c r="E129" s="283"/>
      <c r="F129" s="283"/>
      <c r="G129" s="283"/>
      <c r="H129" s="283"/>
      <c r="I129" s="283"/>
      <c r="J129" s="283"/>
      <c r="K129" s="283"/>
      <c r="L129" s="283"/>
      <c r="M129" s="283"/>
      <c r="N129" s="283"/>
      <c r="O129" s="283"/>
      <c r="P129" s="283"/>
      <c r="Q129" s="283"/>
      <c r="R129" s="283"/>
      <c r="S129" s="283"/>
      <c r="T129" s="283"/>
      <c r="U129" s="283"/>
      <c r="V129" s="283"/>
      <c r="W129" s="283"/>
      <c r="X129" s="283"/>
      <c r="Y129" s="283"/>
      <c r="Z129" s="283"/>
      <c r="AA129" s="283"/>
      <c r="AB129" s="283"/>
      <c r="AC129" s="283"/>
      <c r="AD129" s="283"/>
      <c r="AE129" s="283"/>
      <c r="AF129" s="283"/>
      <c r="AG129" s="283"/>
      <c r="AH129" s="283"/>
      <c r="AI129" s="283"/>
      <c r="AJ129" s="283"/>
      <c r="AK129" s="283"/>
      <c r="AL129" s="283"/>
      <c r="AM129" s="283"/>
      <c r="AN129" s="283"/>
      <c r="AO129" s="283"/>
      <c r="AP129" s="283"/>
      <c r="AQ129" s="283"/>
      <c r="AR129" s="283"/>
      <c r="AS129" s="283"/>
      <c r="AT129" s="283"/>
      <c r="AU129" s="283"/>
      <c r="AV129" s="283"/>
      <c r="AW129" s="283"/>
      <c r="AX129" s="283"/>
      <c r="AY129" s="283"/>
      <c r="AZ129" s="283"/>
      <c r="BA129" s="283"/>
    </row>
    <row r="130" spans="1:53">
      <c r="A130" s="595"/>
      <c r="B130" s="598"/>
      <c r="C130" s="243"/>
      <c r="D130" s="283"/>
      <c r="E130" s="283"/>
      <c r="F130" s="283"/>
      <c r="G130" s="283"/>
      <c r="H130" s="283"/>
      <c r="I130" s="283"/>
      <c r="J130" s="283"/>
      <c r="K130" s="283"/>
      <c r="L130" s="283"/>
      <c r="M130" s="283"/>
      <c r="N130" s="283"/>
      <c r="O130" s="283"/>
      <c r="P130" s="283"/>
      <c r="Q130" s="283"/>
      <c r="R130" s="283"/>
      <c r="S130" s="283"/>
      <c r="T130" s="283"/>
      <c r="U130" s="283"/>
      <c r="V130" s="283"/>
      <c r="W130" s="283"/>
      <c r="X130" s="283"/>
      <c r="Y130" s="283"/>
      <c r="Z130" s="283"/>
      <c r="AA130" s="283"/>
      <c r="AB130" s="283"/>
      <c r="AC130" s="283"/>
      <c r="AD130" s="283"/>
      <c r="AE130" s="283"/>
      <c r="AF130" s="283"/>
      <c r="AG130" s="283"/>
      <c r="AH130" s="283"/>
      <c r="AI130" s="283"/>
      <c r="AJ130" s="283"/>
      <c r="AK130" s="283"/>
      <c r="AL130" s="283"/>
      <c r="AM130" s="283"/>
      <c r="AN130" s="283"/>
      <c r="AO130" s="283"/>
      <c r="AP130" s="283"/>
      <c r="AQ130" s="283"/>
      <c r="AR130" s="283"/>
      <c r="AS130" s="283"/>
      <c r="AT130" s="283"/>
      <c r="AU130" s="283"/>
      <c r="AV130" s="283"/>
      <c r="AW130" s="283"/>
      <c r="AX130" s="283"/>
      <c r="AY130" s="283"/>
      <c r="AZ130" s="283"/>
      <c r="BA130" s="283"/>
    </row>
    <row r="131" spans="1:53">
      <c r="A131" s="595"/>
      <c r="B131" s="598"/>
      <c r="C131" s="243"/>
      <c r="D131" s="283"/>
      <c r="E131" s="283"/>
      <c r="F131" s="283"/>
      <c r="G131" s="283"/>
      <c r="H131" s="283"/>
      <c r="I131" s="283"/>
      <c r="J131" s="283"/>
      <c r="K131" s="283"/>
      <c r="L131" s="283"/>
      <c r="M131" s="283"/>
      <c r="N131" s="283"/>
      <c r="O131" s="283"/>
      <c r="P131" s="283"/>
      <c r="Q131" s="283"/>
      <c r="R131" s="283"/>
      <c r="S131" s="283"/>
      <c r="T131" s="283"/>
      <c r="U131" s="283"/>
      <c r="V131" s="283"/>
      <c r="W131" s="283"/>
      <c r="X131" s="283"/>
      <c r="Y131" s="283"/>
      <c r="Z131" s="283"/>
      <c r="AA131" s="283"/>
      <c r="AB131" s="283"/>
      <c r="AC131" s="283"/>
      <c r="AD131" s="283"/>
      <c r="AE131" s="283"/>
      <c r="AF131" s="283"/>
      <c r="AG131" s="283"/>
      <c r="AH131" s="283"/>
      <c r="AI131" s="283"/>
      <c r="AJ131" s="283"/>
      <c r="AK131" s="283"/>
      <c r="AL131" s="283"/>
      <c r="AM131" s="283"/>
      <c r="AN131" s="283"/>
      <c r="AO131" s="283"/>
      <c r="AP131" s="283"/>
      <c r="AQ131" s="283"/>
      <c r="AR131" s="283"/>
      <c r="AS131" s="283"/>
      <c r="AT131" s="283"/>
      <c r="AU131" s="283"/>
      <c r="AV131" s="283"/>
      <c r="AW131" s="283"/>
      <c r="AX131" s="283"/>
      <c r="AY131" s="283"/>
      <c r="AZ131" s="283"/>
      <c r="BA131" s="283"/>
    </row>
    <row r="132" spans="1:53">
      <c r="A132" s="595"/>
      <c r="B132" s="598"/>
      <c r="C132" s="243"/>
      <c r="D132" s="283"/>
      <c r="E132" s="283"/>
      <c r="F132" s="283"/>
      <c r="G132" s="283"/>
      <c r="H132" s="283"/>
      <c r="I132" s="283"/>
      <c r="J132" s="283"/>
      <c r="K132" s="283"/>
      <c r="L132" s="283"/>
      <c r="M132" s="283"/>
      <c r="N132" s="283"/>
      <c r="O132" s="283"/>
      <c r="P132" s="283"/>
      <c r="Q132" s="283"/>
      <c r="R132" s="283"/>
      <c r="S132" s="283"/>
      <c r="T132" s="283"/>
      <c r="U132" s="283"/>
      <c r="V132" s="283"/>
      <c r="W132" s="283"/>
      <c r="X132" s="283"/>
      <c r="Y132" s="283"/>
      <c r="Z132" s="283"/>
      <c r="AA132" s="283"/>
      <c r="AB132" s="283"/>
      <c r="AC132" s="283"/>
      <c r="AD132" s="283"/>
      <c r="AE132" s="283"/>
      <c r="AF132" s="283"/>
      <c r="AG132" s="283"/>
      <c r="AH132" s="283"/>
      <c r="AI132" s="283"/>
      <c r="AJ132" s="283"/>
      <c r="AK132" s="283"/>
      <c r="AL132" s="283"/>
      <c r="AM132" s="283"/>
      <c r="AN132" s="283"/>
      <c r="AO132" s="283"/>
      <c r="AP132" s="283"/>
      <c r="AQ132" s="283"/>
      <c r="AR132" s="283"/>
      <c r="AS132" s="283"/>
      <c r="AT132" s="283"/>
      <c r="AU132" s="283"/>
      <c r="AV132" s="283"/>
      <c r="AW132" s="283"/>
      <c r="AX132" s="283"/>
      <c r="AY132" s="283"/>
      <c r="AZ132" s="283"/>
      <c r="BA132" s="283"/>
    </row>
    <row r="133" spans="1:53">
      <c r="A133" s="595"/>
      <c r="B133" s="598"/>
      <c r="C133" s="243"/>
      <c r="D133" s="283"/>
      <c r="E133" s="283"/>
      <c r="F133" s="283"/>
      <c r="G133" s="283"/>
      <c r="H133" s="283"/>
      <c r="I133" s="283"/>
      <c r="J133" s="283"/>
      <c r="K133" s="283"/>
      <c r="L133" s="283"/>
      <c r="M133" s="283"/>
      <c r="N133" s="283"/>
      <c r="O133" s="283"/>
      <c r="P133" s="283"/>
      <c r="Q133" s="283"/>
      <c r="R133" s="283"/>
      <c r="S133" s="283"/>
      <c r="T133" s="283"/>
      <c r="U133" s="283"/>
      <c r="V133" s="283"/>
      <c r="W133" s="283"/>
      <c r="X133" s="283"/>
      <c r="Y133" s="283"/>
      <c r="Z133" s="283"/>
      <c r="AA133" s="283"/>
      <c r="AB133" s="283"/>
      <c r="AC133" s="283"/>
      <c r="AD133" s="283"/>
      <c r="AE133" s="283"/>
      <c r="AF133" s="283"/>
      <c r="AG133" s="283"/>
      <c r="AH133" s="283"/>
      <c r="AI133" s="283"/>
      <c r="AJ133" s="283"/>
      <c r="AK133" s="283"/>
      <c r="AL133" s="283"/>
      <c r="AM133" s="283"/>
      <c r="AN133" s="283"/>
      <c r="AO133" s="283"/>
      <c r="AP133" s="283"/>
      <c r="AQ133" s="283"/>
      <c r="AR133" s="283"/>
      <c r="AS133" s="283"/>
      <c r="AT133" s="283"/>
      <c r="AU133" s="283"/>
      <c r="AV133" s="283"/>
      <c r="AW133" s="283"/>
      <c r="AX133" s="283"/>
      <c r="AY133" s="283"/>
      <c r="AZ133" s="283"/>
      <c r="BA133" s="283"/>
    </row>
    <row r="134" spans="1:53">
      <c r="A134" s="595"/>
      <c r="B134" s="598"/>
      <c r="C134" s="243"/>
      <c r="D134" s="283"/>
      <c r="E134" s="283"/>
      <c r="F134" s="283"/>
      <c r="G134" s="283"/>
      <c r="H134" s="283"/>
      <c r="I134" s="283"/>
      <c r="J134" s="283"/>
      <c r="K134" s="283"/>
      <c r="L134" s="283"/>
      <c r="M134" s="283"/>
      <c r="N134" s="283"/>
      <c r="O134" s="283"/>
      <c r="P134" s="283"/>
      <c r="Q134" s="283"/>
      <c r="R134" s="283"/>
      <c r="S134" s="283"/>
      <c r="T134" s="283"/>
      <c r="U134" s="283"/>
      <c r="V134" s="283"/>
      <c r="W134" s="283"/>
      <c r="X134" s="283"/>
      <c r="Y134" s="283"/>
      <c r="Z134" s="283"/>
      <c r="AA134" s="283"/>
      <c r="AB134" s="283"/>
      <c r="AC134" s="283"/>
      <c r="AD134" s="283"/>
      <c r="AE134" s="283"/>
      <c r="AF134" s="283"/>
      <c r="AG134" s="283"/>
      <c r="AH134" s="283"/>
      <c r="AI134" s="283"/>
      <c r="AJ134" s="283"/>
      <c r="AK134" s="283"/>
      <c r="AL134" s="283"/>
      <c r="AM134" s="283"/>
      <c r="AN134" s="283"/>
      <c r="AO134" s="283"/>
      <c r="AP134" s="283"/>
      <c r="AQ134" s="283"/>
      <c r="AR134" s="283"/>
      <c r="AS134" s="283"/>
      <c r="AT134" s="283"/>
      <c r="AU134" s="283"/>
      <c r="AV134" s="283"/>
      <c r="AW134" s="283"/>
      <c r="AX134" s="283"/>
      <c r="AY134" s="283"/>
      <c r="AZ134" s="283"/>
      <c r="BA134" s="283"/>
    </row>
    <row r="135" spans="1:53">
      <c r="A135" s="595"/>
      <c r="B135" s="598"/>
      <c r="C135" s="243"/>
      <c r="D135" s="283"/>
      <c r="E135" s="283"/>
      <c r="F135" s="283"/>
      <c r="G135" s="283"/>
      <c r="H135" s="283"/>
      <c r="I135" s="283"/>
      <c r="J135" s="283"/>
      <c r="K135" s="283"/>
      <c r="L135" s="283"/>
      <c r="M135" s="283"/>
      <c r="N135" s="283"/>
      <c r="O135" s="283"/>
      <c r="P135" s="283"/>
      <c r="Q135" s="283"/>
      <c r="R135" s="283"/>
      <c r="S135" s="283"/>
      <c r="T135" s="283"/>
      <c r="U135" s="283"/>
      <c r="V135" s="283"/>
      <c r="W135" s="283"/>
      <c r="X135" s="283"/>
      <c r="Y135" s="283"/>
      <c r="Z135" s="283"/>
      <c r="AA135" s="283"/>
      <c r="AB135" s="283"/>
      <c r="AC135" s="283"/>
      <c r="AD135" s="283"/>
      <c r="AE135" s="283"/>
      <c r="AF135" s="283"/>
      <c r="AG135" s="283"/>
      <c r="AH135" s="283"/>
      <c r="AI135" s="283"/>
      <c r="AJ135" s="283"/>
      <c r="AK135" s="283"/>
      <c r="AL135" s="283"/>
      <c r="AM135" s="283"/>
      <c r="AN135" s="283"/>
      <c r="AO135" s="283"/>
      <c r="AP135" s="283"/>
      <c r="AQ135" s="283"/>
      <c r="AR135" s="283"/>
      <c r="AS135" s="283"/>
      <c r="AT135" s="283"/>
      <c r="AU135" s="283"/>
      <c r="AV135" s="283"/>
      <c r="AW135" s="283"/>
      <c r="AX135" s="283"/>
      <c r="AY135" s="283"/>
      <c r="AZ135" s="283"/>
      <c r="BA135" s="283"/>
    </row>
    <row r="136" spans="1:53">
      <c r="A136" s="595"/>
      <c r="B136" s="598"/>
      <c r="C136" s="243"/>
      <c r="D136" s="283"/>
      <c r="E136" s="283"/>
      <c r="F136" s="283"/>
      <c r="G136" s="283"/>
      <c r="H136" s="283"/>
      <c r="I136" s="283"/>
      <c r="J136" s="283"/>
      <c r="K136" s="283"/>
      <c r="L136" s="283"/>
      <c r="M136" s="283"/>
      <c r="N136" s="283"/>
      <c r="O136" s="283"/>
      <c r="P136" s="283"/>
      <c r="Q136" s="283"/>
      <c r="R136" s="283"/>
      <c r="S136" s="283"/>
      <c r="T136" s="283"/>
      <c r="U136" s="283"/>
      <c r="V136" s="283"/>
      <c r="W136" s="283"/>
      <c r="X136" s="283"/>
      <c r="Y136" s="283"/>
      <c r="Z136" s="283"/>
      <c r="AA136" s="283"/>
      <c r="AB136" s="283"/>
      <c r="AC136" s="283"/>
      <c r="AD136" s="283"/>
      <c r="AE136" s="283"/>
      <c r="AF136" s="283"/>
      <c r="AG136" s="283"/>
      <c r="AH136" s="283"/>
      <c r="AI136" s="283"/>
      <c r="AJ136" s="283"/>
      <c r="AK136" s="283"/>
      <c r="AL136" s="283"/>
      <c r="AM136" s="283"/>
      <c r="AN136" s="283"/>
      <c r="AO136" s="283"/>
      <c r="AP136" s="283"/>
      <c r="AQ136" s="283"/>
      <c r="AR136" s="283"/>
      <c r="AS136" s="283"/>
      <c r="AT136" s="283"/>
      <c r="AU136" s="283"/>
      <c r="AV136" s="283"/>
      <c r="AW136" s="283"/>
      <c r="AX136" s="283"/>
      <c r="AY136" s="283"/>
      <c r="AZ136" s="283"/>
      <c r="BA136" s="283"/>
    </row>
    <row r="137" spans="1:53">
      <c r="A137" s="595"/>
      <c r="B137" s="598"/>
      <c r="C137" s="243"/>
      <c r="D137" s="283"/>
      <c r="E137" s="283"/>
      <c r="F137" s="283"/>
      <c r="G137" s="283"/>
      <c r="H137" s="283"/>
      <c r="I137" s="283"/>
      <c r="J137" s="283"/>
      <c r="K137" s="283"/>
      <c r="L137" s="283"/>
      <c r="M137" s="283"/>
      <c r="N137" s="283"/>
      <c r="O137" s="283"/>
      <c r="P137" s="283"/>
      <c r="Q137" s="283"/>
      <c r="R137" s="283"/>
      <c r="S137" s="283"/>
      <c r="T137" s="283"/>
      <c r="U137" s="283"/>
      <c r="V137" s="283"/>
      <c r="W137" s="283"/>
      <c r="X137" s="283"/>
      <c r="Y137" s="283"/>
      <c r="Z137" s="283"/>
      <c r="AA137" s="283"/>
      <c r="AB137" s="283"/>
      <c r="AC137" s="283"/>
      <c r="AD137" s="283"/>
      <c r="AE137" s="283"/>
      <c r="AF137" s="283"/>
      <c r="AG137" s="283"/>
      <c r="AH137" s="283"/>
      <c r="AI137" s="283"/>
      <c r="AJ137" s="283"/>
      <c r="AK137" s="283"/>
      <c r="AL137" s="283"/>
      <c r="AM137" s="283"/>
      <c r="AN137" s="283"/>
      <c r="AO137" s="283"/>
      <c r="AP137" s="283"/>
      <c r="AQ137" s="283"/>
      <c r="AR137" s="283"/>
      <c r="AS137" s="283"/>
      <c r="AT137" s="283"/>
      <c r="AU137" s="283"/>
      <c r="AV137" s="283"/>
      <c r="AW137" s="283"/>
      <c r="AX137" s="283"/>
      <c r="AY137" s="283"/>
      <c r="AZ137" s="283"/>
      <c r="BA137" s="283"/>
    </row>
    <row r="138" spans="1:53">
      <c r="A138" s="595"/>
      <c r="B138" s="598"/>
      <c r="C138" s="243"/>
      <c r="I138" s="283"/>
      <c r="J138" s="283"/>
      <c r="K138" s="283"/>
      <c r="L138" s="283"/>
      <c r="M138" s="283"/>
      <c r="N138" s="283"/>
      <c r="O138" s="283"/>
    </row>
    <row r="139" spans="1:53">
      <c r="A139" s="595"/>
      <c r="B139" s="598"/>
      <c r="C139" s="243"/>
      <c r="I139" s="283"/>
      <c r="J139" s="283"/>
      <c r="K139" s="283"/>
      <c r="L139" s="283"/>
      <c r="M139" s="283"/>
      <c r="N139" s="283"/>
      <c r="O139" s="283"/>
    </row>
    <row r="140" spans="1:53">
      <c r="A140" s="595"/>
      <c r="B140" s="598"/>
      <c r="C140" s="243"/>
      <c r="I140" s="283"/>
      <c r="J140" s="283"/>
      <c r="K140" s="283"/>
      <c r="L140" s="283"/>
      <c r="M140" s="283"/>
      <c r="N140" s="283"/>
      <c r="O140" s="283"/>
    </row>
    <row r="141" spans="1:53">
      <c r="A141" s="595"/>
      <c r="B141" s="598"/>
      <c r="C141" s="243"/>
      <c r="I141" s="283"/>
      <c r="J141" s="283"/>
      <c r="K141" s="283"/>
      <c r="L141" s="283"/>
      <c r="M141" s="283"/>
      <c r="N141" s="283"/>
      <c r="O141" s="283"/>
    </row>
    <row r="142" spans="1:53">
      <c r="A142" s="595"/>
      <c r="B142" s="598"/>
      <c r="C142" s="243"/>
      <c r="I142" s="283"/>
      <c r="J142" s="283"/>
      <c r="K142" s="283"/>
      <c r="L142" s="283"/>
      <c r="M142" s="283"/>
      <c r="N142" s="283"/>
      <c r="O142" s="283"/>
    </row>
    <row r="143" spans="1:53">
      <c r="A143" s="595"/>
      <c r="B143" s="598"/>
      <c r="C143" s="243"/>
      <c r="I143" s="283"/>
      <c r="J143" s="283"/>
      <c r="K143" s="283"/>
      <c r="L143" s="283"/>
      <c r="M143" s="283"/>
      <c r="N143" s="283"/>
      <c r="O143" s="283"/>
    </row>
    <row r="144" spans="1:53">
      <c r="A144" s="595"/>
      <c r="B144" s="598"/>
      <c r="C144" s="243"/>
      <c r="I144" s="283"/>
      <c r="J144" s="283"/>
      <c r="K144" s="283"/>
      <c r="L144" s="283"/>
      <c r="M144" s="283"/>
      <c r="N144" s="283"/>
      <c r="O144" s="283"/>
    </row>
    <row r="145" spans="1:15">
      <c r="A145" s="595"/>
      <c r="B145" s="598"/>
      <c r="C145" s="243"/>
      <c r="I145" s="283"/>
      <c r="J145" s="283"/>
      <c r="K145" s="283"/>
      <c r="L145" s="283"/>
      <c r="M145" s="283"/>
      <c r="N145" s="283"/>
      <c r="O145" s="283"/>
    </row>
    <row r="146" spans="1:15">
      <c r="A146" s="595"/>
      <c r="B146" s="598"/>
      <c r="C146" s="243"/>
      <c r="I146" s="283"/>
      <c r="J146" s="283"/>
      <c r="K146" s="283"/>
      <c r="L146" s="283"/>
      <c r="M146" s="283"/>
      <c r="N146" s="283"/>
      <c r="O146" s="283"/>
    </row>
    <row r="147" spans="1:15">
      <c r="A147" s="595"/>
      <c r="B147" s="598"/>
      <c r="C147" s="243"/>
      <c r="I147" s="283"/>
      <c r="J147" s="283"/>
      <c r="K147" s="283"/>
      <c r="L147" s="283"/>
      <c r="M147" s="283"/>
      <c r="N147" s="283"/>
      <c r="O147" s="283"/>
    </row>
    <row r="148" spans="1:15">
      <c r="A148" s="595"/>
      <c r="B148" s="598"/>
      <c r="C148" s="243"/>
      <c r="I148" s="283"/>
      <c r="J148" s="283"/>
      <c r="K148" s="283"/>
      <c r="L148" s="283"/>
      <c r="M148" s="283"/>
      <c r="N148" s="283"/>
      <c r="O148" s="283"/>
    </row>
    <row r="149" spans="1:15">
      <c r="A149" s="595"/>
      <c r="B149" s="598"/>
      <c r="C149" s="243"/>
      <c r="I149" s="283"/>
      <c r="J149" s="283"/>
      <c r="K149" s="283"/>
      <c r="L149" s="283"/>
      <c r="M149" s="283"/>
      <c r="N149" s="283"/>
      <c r="O149" s="283"/>
    </row>
    <row r="150" spans="1:15">
      <c r="A150" s="595"/>
      <c r="B150" s="598"/>
      <c r="C150" s="243"/>
      <c r="I150" s="283"/>
      <c r="J150" s="283"/>
      <c r="K150" s="283"/>
      <c r="L150" s="283"/>
      <c r="M150" s="283"/>
      <c r="N150" s="283"/>
      <c r="O150" s="283"/>
    </row>
    <row r="151" spans="1:15">
      <c r="A151" s="595"/>
      <c r="B151" s="598"/>
      <c r="C151" s="243"/>
      <c r="I151" s="283"/>
      <c r="J151" s="283"/>
      <c r="K151" s="283"/>
      <c r="L151" s="283"/>
      <c r="M151" s="283"/>
      <c r="N151" s="283"/>
      <c r="O151" s="283"/>
    </row>
    <row r="152" spans="1:15">
      <c r="A152" s="595"/>
      <c r="B152" s="598"/>
      <c r="C152" s="243"/>
      <c r="I152" s="283"/>
      <c r="J152" s="283"/>
      <c r="K152" s="283"/>
      <c r="L152" s="283"/>
      <c r="M152" s="283"/>
      <c r="N152" s="283"/>
      <c r="O152" s="283"/>
    </row>
    <row r="153" spans="1:15">
      <c r="A153" s="595"/>
      <c r="B153" s="598"/>
      <c r="C153" s="243"/>
      <c r="I153" s="283"/>
      <c r="J153" s="283"/>
      <c r="K153" s="283"/>
      <c r="L153" s="283"/>
      <c r="M153" s="283"/>
      <c r="N153" s="283"/>
      <c r="O153" s="283"/>
    </row>
    <row r="154" spans="1:15">
      <c r="A154" s="595"/>
      <c r="B154" s="598"/>
      <c r="C154" s="243"/>
      <c r="I154" s="283"/>
      <c r="J154" s="283"/>
      <c r="K154" s="283"/>
      <c r="L154" s="283"/>
      <c r="M154" s="283"/>
      <c r="N154" s="283"/>
      <c r="O154" s="283"/>
    </row>
    <row r="155" spans="1:15">
      <c r="A155" s="595"/>
      <c r="B155" s="598"/>
      <c r="C155" s="243"/>
      <c r="I155" s="283"/>
      <c r="J155" s="283"/>
      <c r="K155" s="283"/>
      <c r="L155" s="283"/>
      <c r="M155" s="283"/>
      <c r="N155" s="283"/>
      <c r="O155" s="283"/>
    </row>
    <row r="156" spans="1:15">
      <c r="A156" s="595"/>
      <c r="B156" s="598"/>
      <c r="C156" s="243"/>
      <c r="I156" s="283"/>
      <c r="J156" s="283"/>
      <c r="K156" s="283"/>
      <c r="L156" s="283"/>
      <c r="M156" s="283"/>
      <c r="N156" s="283"/>
      <c r="O156" s="283"/>
    </row>
    <row r="157" spans="1:15">
      <c r="A157" s="595"/>
      <c r="B157" s="598"/>
      <c r="C157" s="243"/>
      <c r="I157" s="283"/>
      <c r="J157" s="283"/>
      <c r="K157" s="283"/>
      <c r="L157" s="283"/>
      <c r="M157" s="283"/>
      <c r="N157" s="283"/>
      <c r="O157" s="283"/>
    </row>
    <row r="158" spans="1:15">
      <c r="A158" s="595"/>
      <c r="B158" s="598"/>
      <c r="C158" s="243"/>
      <c r="I158" s="283"/>
      <c r="J158" s="283"/>
      <c r="K158" s="283"/>
      <c r="L158" s="283"/>
      <c r="M158" s="283"/>
      <c r="N158" s="283"/>
      <c r="O158" s="283"/>
    </row>
    <row r="159" spans="1:15">
      <c r="A159" s="595"/>
      <c r="B159" s="598"/>
      <c r="C159" s="243"/>
      <c r="I159" s="283"/>
      <c r="J159" s="283"/>
      <c r="K159" s="283"/>
      <c r="L159" s="283"/>
      <c r="M159" s="283"/>
      <c r="N159" s="283"/>
      <c r="O159" s="283"/>
    </row>
    <row r="160" spans="1:15">
      <c r="A160" s="595"/>
      <c r="B160" s="598"/>
      <c r="C160" s="243"/>
      <c r="I160" s="283"/>
      <c r="J160" s="283"/>
      <c r="K160" s="283"/>
      <c r="L160" s="283"/>
      <c r="M160" s="283"/>
      <c r="N160" s="283"/>
      <c r="O160" s="283"/>
    </row>
    <row r="161" spans="1:15">
      <c r="A161" s="595"/>
      <c r="B161" s="598"/>
      <c r="C161" s="243"/>
      <c r="I161" s="283"/>
      <c r="J161" s="283"/>
      <c r="K161" s="283"/>
      <c r="L161" s="283"/>
      <c r="M161" s="283"/>
      <c r="N161" s="283"/>
      <c r="O161" s="283"/>
    </row>
    <row r="162" spans="1:15">
      <c r="A162" s="595"/>
      <c r="B162" s="598"/>
      <c r="C162" s="243"/>
      <c r="I162" s="283"/>
      <c r="J162" s="283"/>
      <c r="K162" s="283"/>
      <c r="L162" s="283"/>
      <c r="M162" s="283"/>
      <c r="N162" s="283"/>
      <c r="O162" s="283"/>
    </row>
    <row r="163" spans="1:15">
      <c r="A163" s="595"/>
      <c r="B163" s="598"/>
      <c r="C163" s="243"/>
      <c r="I163" s="283"/>
      <c r="J163" s="283"/>
      <c r="K163" s="283"/>
      <c r="L163" s="283"/>
      <c r="M163" s="283"/>
      <c r="N163" s="283"/>
      <c r="O163" s="283"/>
    </row>
    <row r="164" spans="1:15">
      <c r="A164" s="595"/>
      <c r="B164" s="598"/>
      <c r="C164" s="243"/>
      <c r="I164" s="283"/>
      <c r="J164" s="283"/>
      <c r="K164" s="283"/>
      <c r="L164" s="283"/>
      <c r="M164" s="283"/>
      <c r="N164" s="283"/>
      <c r="O164" s="283"/>
    </row>
    <row r="165" spans="1:15">
      <c r="A165" s="595"/>
      <c r="B165" s="598"/>
      <c r="C165" s="243"/>
      <c r="I165" s="283"/>
      <c r="J165" s="283"/>
      <c r="K165" s="283"/>
      <c r="L165" s="283"/>
      <c r="M165" s="283"/>
      <c r="N165" s="283"/>
      <c r="O165" s="283"/>
    </row>
    <row r="166" spans="1:15">
      <c r="A166" s="595"/>
      <c r="B166" s="598"/>
      <c r="C166" s="243"/>
      <c r="I166" s="283"/>
      <c r="J166" s="283"/>
      <c r="K166" s="283"/>
      <c r="L166" s="283"/>
      <c r="M166" s="283"/>
      <c r="N166" s="283"/>
      <c r="O166" s="283"/>
    </row>
    <row r="167" spans="1:15">
      <c r="A167" s="595"/>
      <c r="B167" s="598"/>
      <c r="C167" s="243"/>
      <c r="I167" s="283"/>
      <c r="J167" s="283"/>
      <c r="K167" s="283"/>
      <c r="L167" s="283"/>
      <c r="M167" s="283"/>
      <c r="N167" s="283"/>
      <c r="O167" s="283"/>
    </row>
    <row r="168" spans="1:15">
      <c r="A168" s="595"/>
      <c r="B168" s="598"/>
      <c r="C168" s="243"/>
      <c r="I168" s="283"/>
      <c r="J168" s="283"/>
      <c r="K168" s="283"/>
      <c r="L168" s="283"/>
      <c r="M168" s="283"/>
      <c r="N168" s="283"/>
      <c r="O168" s="283"/>
    </row>
    <row r="169" spans="1:15">
      <c r="A169" s="595"/>
      <c r="B169" s="598"/>
      <c r="C169" s="243"/>
      <c r="I169" s="283"/>
      <c r="J169" s="283"/>
      <c r="K169" s="283"/>
      <c r="L169" s="283"/>
      <c r="M169" s="283"/>
      <c r="N169" s="283"/>
      <c r="O169" s="283"/>
    </row>
    <row r="170" spans="1:15">
      <c r="A170" s="595"/>
      <c r="B170" s="598"/>
      <c r="C170" s="243"/>
      <c r="I170" s="283"/>
      <c r="J170" s="283"/>
      <c r="K170" s="283"/>
      <c r="L170" s="283"/>
      <c r="M170" s="283"/>
      <c r="N170" s="283"/>
      <c r="O170" s="283"/>
    </row>
    <row r="171" spans="1:15">
      <c r="A171" s="595"/>
      <c r="B171" s="598"/>
      <c r="C171" s="243"/>
      <c r="I171" s="283"/>
      <c r="J171" s="283"/>
      <c r="K171" s="283"/>
      <c r="L171" s="283"/>
      <c r="M171" s="283"/>
      <c r="N171" s="283"/>
      <c r="O171" s="283"/>
    </row>
    <row r="172" spans="1:15">
      <c r="A172" s="595"/>
      <c r="B172" s="598"/>
      <c r="C172" s="243"/>
      <c r="I172" s="283"/>
      <c r="J172" s="283"/>
      <c r="K172" s="283"/>
      <c r="L172" s="283"/>
      <c r="M172" s="283"/>
      <c r="N172" s="283"/>
      <c r="O172" s="283"/>
    </row>
    <row r="173" spans="1:15">
      <c r="A173" s="595"/>
      <c r="B173" s="598"/>
      <c r="C173" s="243"/>
      <c r="I173" s="283"/>
      <c r="J173" s="283"/>
      <c r="K173" s="283"/>
      <c r="L173" s="283"/>
      <c r="M173" s="283"/>
      <c r="N173" s="283"/>
      <c r="O173" s="283"/>
    </row>
    <row r="174" spans="1:15">
      <c r="A174" s="595"/>
      <c r="B174" s="598"/>
      <c r="C174" s="243"/>
      <c r="I174" s="283"/>
      <c r="J174" s="283"/>
      <c r="K174" s="283"/>
      <c r="L174" s="283"/>
      <c r="M174" s="283"/>
      <c r="N174" s="283"/>
      <c r="O174" s="283"/>
    </row>
    <row r="175" spans="1:15">
      <c r="A175" s="595"/>
      <c r="B175" s="598"/>
      <c r="C175" s="243"/>
      <c r="I175" s="283"/>
      <c r="J175" s="283"/>
      <c r="K175" s="283"/>
      <c r="L175" s="283"/>
      <c r="M175" s="283"/>
      <c r="N175" s="283"/>
      <c r="O175" s="283"/>
    </row>
    <row r="176" spans="1:15">
      <c r="A176" s="595"/>
      <c r="B176" s="598"/>
      <c r="C176" s="243"/>
      <c r="I176" s="283"/>
      <c r="J176" s="283"/>
      <c r="K176" s="283"/>
      <c r="L176" s="283"/>
      <c r="M176" s="283"/>
      <c r="N176" s="283"/>
      <c r="O176" s="283"/>
    </row>
    <row r="177" spans="1:15">
      <c r="A177" s="595"/>
      <c r="B177" s="598"/>
      <c r="C177" s="243"/>
      <c r="I177" s="283"/>
      <c r="J177" s="283"/>
      <c r="K177" s="283"/>
      <c r="L177" s="283"/>
      <c r="M177" s="283"/>
      <c r="N177" s="283"/>
      <c r="O177" s="283"/>
    </row>
    <row r="178" spans="1:15">
      <c r="A178" s="595"/>
      <c r="B178" s="598"/>
      <c r="C178" s="243"/>
      <c r="I178" s="283"/>
      <c r="J178" s="283"/>
      <c r="K178" s="283"/>
      <c r="L178" s="283"/>
      <c r="M178" s="283"/>
      <c r="N178" s="283"/>
      <c r="O178" s="283"/>
    </row>
    <row r="179" spans="1:15">
      <c r="A179" s="595"/>
      <c r="B179" s="598"/>
      <c r="C179" s="243"/>
      <c r="I179" s="283"/>
      <c r="J179" s="283"/>
      <c r="K179" s="283"/>
      <c r="L179" s="283"/>
      <c r="M179" s="283"/>
      <c r="N179" s="283"/>
      <c r="O179" s="283"/>
    </row>
    <row r="180" spans="1:15">
      <c r="A180" s="595"/>
      <c r="B180" s="598"/>
      <c r="C180" s="243"/>
      <c r="I180" s="283"/>
      <c r="J180" s="283"/>
      <c r="K180" s="283"/>
      <c r="L180" s="283"/>
      <c r="M180" s="283"/>
      <c r="N180" s="283"/>
      <c r="O180" s="283"/>
    </row>
    <row r="181" spans="1:15">
      <c r="A181" s="595"/>
      <c r="B181" s="598"/>
      <c r="C181" s="243"/>
      <c r="I181" s="283"/>
      <c r="J181" s="283"/>
      <c r="K181" s="283"/>
      <c r="L181" s="283"/>
      <c r="M181" s="283"/>
      <c r="N181" s="283"/>
      <c r="O181" s="283"/>
    </row>
    <row r="182" spans="1:15">
      <c r="A182" s="595"/>
      <c r="B182" s="598"/>
      <c r="C182" s="243"/>
      <c r="I182" s="283"/>
      <c r="J182" s="283"/>
      <c r="K182" s="283"/>
      <c r="L182" s="283"/>
      <c r="M182" s="283"/>
      <c r="N182" s="283"/>
      <c r="O182" s="283"/>
    </row>
    <row r="183" spans="1:15">
      <c r="A183" s="595"/>
      <c r="B183" s="242"/>
      <c r="C183" s="243"/>
      <c r="I183" s="283"/>
      <c r="J183" s="283"/>
      <c r="K183" s="283"/>
      <c r="L183" s="283"/>
      <c r="M183" s="283"/>
      <c r="N183" s="283"/>
      <c r="O183" s="283"/>
    </row>
    <row r="184" spans="1:15">
      <c r="A184" s="595"/>
      <c r="B184" s="242"/>
      <c r="C184" s="243"/>
      <c r="I184" s="283"/>
      <c r="J184" s="283"/>
      <c r="K184" s="283"/>
      <c r="L184" s="283"/>
      <c r="M184" s="283"/>
      <c r="N184" s="283"/>
      <c r="O184" s="283"/>
    </row>
    <row r="185" spans="1:15">
      <c r="A185" s="595"/>
      <c r="B185" s="242"/>
      <c r="C185" s="243"/>
      <c r="I185" s="283"/>
      <c r="J185" s="283"/>
      <c r="K185" s="283"/>
      <c r="L185" s="283"/>
      <c r="M185" s="283"/>
      <c r="N185" s="283"/>
      <c r="O185" s="283"/>
    </row>
    <row r="186" spans="1:15">
      <c r="A186" s="595"/>
      <c r="B186" s="242"/>
      <c r="C186" s="243"/>
    </row>
    <row r="187" spans="1:15">
      <c r="A187" s="595"/>
      <c r="B187" s="242"/>
      <c r="C187" s="243"/>
    </row>
    <row r="188" spans="1:15">
      <c r="A188" s="595"/>
      <c r="B188" s="242"/>
      <c r="C188" s="243"/>
    </row>
    <row r="189" spans="1:15">
      <c r="A189" s="595"/>
      <c r="B189" s="242"/>
      <c r="C189" s="243"/>
    </row>
  </sheetData>
  <mergeCells count="10">
    <mergeCell ref="D46:E46"/>
    <mergeCell ref="D52:E52"/>
    <mergeCell ref="D57:E57"/>
    <mergeCell ref="D62:E62"/>
    <mergeCell ref="D9:E9"/>
    <mergeCell ref="D16:E16"/>
    <mergeCell ref="D21:E21"/>
    <mergeCell ref="D26:E26"/>
    <mergeCell ref="D31:E31"/>
    <mergeCell ref="D39:E39"/>
  </mergeCells>
  <printOptions horizontalCentered="1"/>
  <pageMargins left="0.98425196850393704" right="0.78740157480314965" top="0.98425196850393704" bottom="0.98425196850393704" header="0.51181102362204722" footer="0.51181102362204722"/>
  <pageSetup paperSize="9" scale="54" fitToHeight="12" orientation="portrait" r:id="rId1"/>
  <headerFooter alignWithMargins="0"/>
  <rowBreaks count="1" manualBreakCount="1">
    <brk id="68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Plan13">
    <tabColor theme="9" tint="-0.499984740745262"/>
  </sheetPr>
  <dimension ref="A1:BJ69"/>
  <sheetViews>
    <sheetView showGridLines="0" zoomScaleNormal="100" zoomScaleSheetLayoutView="100" workbookViewId="0">
      <selection activeCell="D4" sqref="D4:J5"/>
    </sheetView>
  </sheetViews>
  <sheetFormatPr defaultRowHeight="12.75"/>
  <cols>
    <col min="1" max="1" width="2.7109375" style="612" customWidth="1"/>
    <col min="2" max="3" width="2.7109375" customWidth="1"/>
    <col min="4" max="4" width="12.5703125" customWidth="1"/>
    <col min="5" max="5" width="16.7109375" customWidth="1"/>
    <col min="6" max="6" width="17.140625" style="355" customWidth="1"/>
    <col min="7" max="7" width="15.85546875" bestFit="1" customWidth="1"/>
    <col min="8" max="8" width="13" bestFit="1" customWidth="1"/>
    <col min="9" max="9" width="17.5703125" bestFit="1" customWidth="1"/>
    <col min="10" max="10" width="14.7109375" bestFit="1" customWidth="1"/>
    <col min="260" max="260" width="12.5703125" customWidth="1"/>
    <col min="261" max="261" width="16.7109375" customWidth="1"/>
    <col min="262" max="262" width="17.140625" customWidth="1"/>
    <col min="263" max="263" width="15.85546875" bestFit="1" customWidth="1"/>
    <col min="264" max="264" width="13" bestFit="1" customWidth="1"/>
    <col min="265" max="265" width="17.5703125" bestFit="1" customWidth="1"/>
    <col min="266" max="266" width="14.7109375" bestFit="1" customWidth="1"/>
    <col min="516" max="516" width="12.5703125" customWidth="1"/>
    <col min="517" max="517" width="16.7109375" customWidth="1"/>
    <col min="518" max="518" width="17.140625" customWidth="1"/>
    <col min="519" max="519" width="15.85546875" bestFit="1" customWidth="1"/>
    <col min="520" max="520" width="13" bestFit="1" customWidth="1"/>
    <col min="521" max="521" width="17.5703125" bestFit="1" customWidth="1"/>
    <col min="522" max="522" width="14.7109375" bestFit="1" customWidth="1"/>
    <col min="772" max="772" width="12.5703125" customWidth="1"/>
    <col min="773" max="773" width="16.7109375" customWidth="1"/>
    <col min="774" max="774" width="17.140625" customWidth="1"/>
    <col min="775" max="775" width="15.85546875" bestFit="1" customWidth="1"/>
    <col min="776" max="776" width="13" bestFit="1" customWidth="1"/>
    <col min="777" max="777" width="17.5703125" bestFit="1" customWidth="1"/>
    <col min="778" max="778" width="14.7109375" bestFit="1" customWidth="1"/>
    <col min="1028" max="1028" width="12.5703125" customWidth="1"/>
    <col min="1029" max="1029" width="16.7109375" customWidth="1"/>
    <col min="1030" max="1030" width="17.140625" customWidth="1"/>
    <col min="1031" max="1031" width="15.85546875" bestFit="1" customWidth="1"/>
    <col min="1032" max="1032" width="13" bestFit="1" customWidth="1"/>
    <col min="1033" max="1033" width="17.5703125" bestFit="1" customWidth="1"/>
    <col min="1034" max="1034" width="14.7109375" bestFit="1" customWidth="1"/>
    <col min="1284" max="1284" width="12.5703125" customWidth="1"/>
    <col min="1285" max="1285" width="16.7109375" customWidth="1"/>
    <col min="1286" max="1286" width="17.140625" customWidth="1"/>
    <col min="1287" max="1287" width="15.85546875" bestFit="1" customWidth="1"/>
    <col min="1288" max="1288" width="13" bestFit="1" customWidth="1"/>
    <col min="1289" max="1289" width="17.5703125" bestFit="1" customWidth="1"/>
    <col min="1290" max="1290" width="14.7109375" bestFit="1" customWidth="1"/>
    <col min="1540" max="1540" width="12.5703125" customWidth="1"/>
    <col min="1541" max="1541" width="16.7109375" customWidth="1"/>
    <col min="1542" max="1542" width="17.140625" customWidth="1"/>
    <col min="1543" max="1543" width="15.85546875" bestFit="1" customWidth="1"/>
    <col min="1544" max="1544" width="13" bestFit="1" customWidth="1"/>
    <col min="1545" max="1545" width="17.5703125" bestFit="1" customWidth="1"/>
    <col min="1546" max="1546" width="14.7109375" bestFit="1" customWidth="1"/>
    <col min="1796" max="1796" width="12.5703125" customWidth="1"/>
    <col min="1797" max="1797" width="16.7109375" customWidth="1"/>
    <col min="1798" max="1798" width="17.140625" customWidth="1"/>
    <col min="1799" max="1799" width="15.85546875" bestFit="1" customWidth="1"/>
    <col min="1800" max="1800" width="13" bestFit="1" customWidth="1"/>
    <col min="1801" max="1801" width="17.5703125" bestFit="1" customWidth="1"/>
    <col min="1802" max="1802" width="14.7109375" bestFit="1" customWidth="1"/>
    <col min="2052" max="2052" width="12.5703125" customWidth="1"/>
    <col min="2053" max="2053" width="16.7109375" customWidth="1"/>
    <col min="2054" max="2054" width="17.140625" customWidth="1"/>
    <col min="2055" max="2055" width="15.85546875" bestFit="1" customWidth="1"/>
    <col min="2056" max="2056" width="13" bestFit="1" customWidth="1"/>
    <col min="2057" max="2057" width="17.5703125" bestFit="1" customWidth="1"/>
    <col min="2058" max="2058" width="14.7109375" bestFit="1" customWidth="1"/>
    <col min="2308" max="2308" width="12.5703125" customWidth="1"/>
    <col min="2309" max="2309" width="16.7109375" customWidth="1"/>
    <col min="2310" max="2310" width="17.140625" customWidth="1"/>
    <col min="2311" max="2311" width="15.85546875" bestFit="1" customWidth="1"/>
    <col min="2312" max="2312" width="13" bestFit="1" customWidth="1"/>
    <col min="2313" max="2313" width="17.5703125" bestFit="1" customWidth="1"/>
    <col min="2314" max="2314" width="14.7109375" bestFit="1" customWidth="1"/>
    <col min="2564" max="2564" width="12.5703125" customWidth="1"/>
    <col min="2565" max="2565" width="16.7109375" customWidth="1"/>
    <col min="2566" max="2566" width="17.140625" customWidth="1"/>
    <col min="2567" max="2567" width="15.85546875" bestFit="1" customWidth="1"/>
    <col min="2568" max="2568" width="13" bestFit="1" customWidth="1"/>
    <col min="2569" max="2569" width="17.5703125" bestFit="1" customWidth="1"/>
    <col min="2570" max="2570" width="14.7109375" bestFit="1" customWidth="1"/>
    <col min="2820" max="2820" width="12.5703125" customWidth="1"/>
    <col min="2821" max="2821" width="16.7109375" customWidth="1"/>
    <col min="2822" max="2822" width="17.140625" customWidth="1"/>
    <col min="2823" max="2823" width="15.85546875" bestFit="1" customWidth="1"/>
    <col min="2824" max="2824" width="13" bestFit="1" customWidth="1"/>
    <col min="2825" max="2825" width="17.5703125" bestFit="1" customWidth="1"/>
    <col min="2826" max="2826" width="14.7109375" bestFit="1" customWidth="1"/>
    <col min="3076" max="3076" width="12.5703125" customWidth="1"/>
    <col min="3077" max="3077" width="16.7109375" customWidth="1"/>
    <col min="3078" max="3078" width="17.140625" customWidth="1"/>
    <col min="3079" max="3079" width="15.85546875" bestFit="1" customWidth="1"/>
    <col min="3080" max="3080" width="13" bestFit="1" customWidth="1"/>
    <col min="3081" max="3081" width="17.5703125" bestFit="1" customWidth="1"/>
    <col min="3082" max="3082" width="14.7109375" bestFit="1" customWidth="1"/>
    <col min="3332" max="3332" width="12.5703125" customWidth="1"/>
    <col min="3333" max="3333" width="16.7109375" customWidth="1"/>
    <col min="3334" max="3334" width="17.140625" customWidth="1"/>
    <col min="3335" max="3335" width="15.85546875" bestFit="1" customWidth="1"/>
    <col min="3336" max="3336" width="13" bestFit="1" customWidth="1"/>
    <col min="3337" max="3337" width="17.5703125" bestFit="1" customWidth="1"/>
    <col min="3338" max="3338" width="14.7109375" bestFit="1" customWidth="1"/>
    <col min="3588" max="3588" width="12.5703125" customWidth="1"/>
    <col min="3589" max="3589" width="16.7109375" customWidth="1"/>
    <col min="3590" max="3590" width="17.140625" customWidth="1"/>
    <col min="3591" max="3591" width="15.85546875" bestFit="1" customWidth="1"/>
    <col min="3592" max="3592" width="13" bestFit="1" customWidth="1"/>
    <col min="3593" max="3593" width="17.5703125" bestFit="1" customWidth="1"/>
    <col min="3594" max="3594" width="14.7109375" bestFit="1" customWidth="1"/>
    <col min="3844" max="3844" width="12.5703125" customWidth="1"/>
    <col min="3845" max="3845" width="16.7109375" customWidth="1"/>
    <col min="3846" max="3846" width="17.140625" customWidth="1"/>
    <col min="3847" max="3847" width="15.85546875" bestFit="1" customWidth="1"/>
    <col min="3848" max="3848" width="13" bestFit="1" customWidth="1"/>
    <col min="3849" max="3849" width="17.5703125" bestFit="1" customWidth="1"/>
    <col min="3850" max="3850" width="14.7109375" bestFit="1" customWidth="1"/>
    <col min="4100" max="4100" width="12.5703125" customWidth="1"/>
    <col min="4101" max="4101" width="16.7109375" customWidth="1"/>
    <col min="4102" max="4102" width="17.140625" customWidth="1"/>
    <col min="4103" max="4103" width="15.85546875" bestFit="1" customWidth="1"/>
    <col min="4104" max="4104" width="13" bestFit="1" customWidth="1"/>
    <col min="4105" max="4105" width="17.5703125" bestFit="1" customWidth="1"/>
    <col min="4106" max="4106" width="14.7109375" bestFit="1" customWidth="1"/>
    <col min="4356" max="4356" width="12.5703125" customWidth="1"/>
    <col min="4357" max="4357" width="16.7109375" customWidth="1"/>
    <col min="4358" max="4358" width="17.140625" customWidth="1"/>
    <col min="4359" max="4359" width="15.85546875" bestFit="1" customWidth="1"/>
    <col min="4360" max="4360" width="13" bestFit="1" customWidth="1"/>
    <col min="4361" max="4361" width="17.5703125" bestFit="1" customWidth="1"/>
    <col min="4362" max="4362" width="14.7109375" bestFit="1" customWidth="1"/>
    <col min="4612" max="4612" width="12.5703125" customWidth="1"/>
    <col min="4613" max="4613" width="16.7109375" customWidth="1"/>
    <col min="4614" max="4614" width="17.140625" customWidth="1"/>
    <col min="4615" max="4615" width="15.85546875" bestFit="1" customWidth="1"/>
    <col min="4616" max="4616" width="13" bestFit="1" customWidth="1"/>
    <col min="4617" max="4617" width="17.5703125" bestFit="1" customWidth="1"/>
    <col min="4618" max="4618" width="14.7109375" bestFit="1" customWidth="1"/>
    <col min="4868" max="4868" width="12.5703125" customWidth="1"/>
    <col min="4869" max="4869" width="16.7109375" customWidth="1"/>
    <col min="4870" max="4870" width="17.140625" customWidth="1"/>
    <col min="4871" max="4871" width="15.85546875" bestFit="1" customWidth="1"/>
    <col min="4872" max="4872" width="13" bestFit="1" customWidth="1"/>
    <col min="4873" max="4873" width="17.5703125" bestFit="1" customWidth="1"/>
    <col min="4874" max="4874" width="14.7109375" bestFit="1" customWidth="1"/>
    <col min="5124" max="5124" width="12.5703125" customWidth="1"/>
    <col min="5125" max="5125" width="16.7109375" customWidth="1"/>
    <col min="5126" max="5126" width="17.140625" customWidth="1"/>
    <col min="5127" max="5127" width="15.85546875" bestFit="1" customWidth="1"/>
    <col min="5128" max="5128" width="13" bestFit="1" customWidth="1"/>
    <col min="5129" max="5129" width="17.5703125" bestFit="1" customWidth="1"/>
    <col min="5130" max="5130" width="14.7109375" bestFit="1" customWidth="1"/>
    <col min="5380" max="5380" width="12.5703125" customWidth="1"/>
    <col min="5381" max="5381" width="16.7109375" customWidth="1"/>
    <col min="5382" max="5382" width="17.140625" customWidth="1"/>
    <col min="5383" max="5383" width="15.85546875" bestFit="1" customWidth="1"/>
    <col min="5384" max="5384" width="13" bestFit="1" customWidth="1"/>
    <col min="5385" max="5385" width="17.5703125" bestFit="1" customWidth="1"/>
    <col min="5386" max="5386" width="14.7109375" bestFit="1" customWidth="1"/>
    <col min="5636" max="5636" width="12.5703125" customWidth="1"/>
    <col min="5637" max="5637" width="16.7109375" customWidth="1"/>
    <col min="5638" max="5638" width="17.140625" customWidth="1"/>
    <col min="5639" max="5639" width="15.85546875" bestFit="1" customWidth="1"/>
    <col min="5640" max="5640" width="13" bestFit="1" customWidth="1"/>
    <col min="5641" max="5641" width="17.5703125" bestFit="1" customWidth="1"/>
    <col min="5642" max="5642" width="14.7109375" bestFit="1" customWidth="1"/>
    <col min="5892" max="5892" width="12.5703125" customWidth="1"/>
    <col min="5893" max="5893" width="16.7109375" customWidth="1"/>
    <col min="5894" max="5894" width="17.140625" customWidth="1"/>
    <col min="5895" max="5895" width="15.85546875" bestFit="1" customWidth="1"/>
    <col min="5896" max="5896" width="13" bestFit="1" customWidth="1"/>
    <col min="5897" max="5897" width="17.5703125" bestFit="1" customWidth="1"/>
    <col min="5898" max="5898" width="14.7109375" bestFit="1" customWidth="1"/>
    <col min="6148" max="6148" width="12.5703125" customWidth="1"/>
    <col min="6149" max="6149" width="16.7109375" customWidth="1"/>
    <col min="6150" max="6150" width="17.140625" customWidth="1"/>
    <col min="6151" max="6151" width="15.85546875" bestFit="1" customWidth="1"/>
    <col min="6152" max="6152" width="13" bestFit="1" customWidth="1"/>
    <col min="6153" max="6153" width="17.5703125" bestFit="1" customWidth="1"/>
    <col min="6154" max="6154" width="14.7109375" bestFit="1" customWidth="1"/>
    <col min="6404" max="6404" width="12.5703125" customWidth="1"/>
    <col min="6405" max="6405" width="16.7109375" customWidth="1"/>
    <col min="6406" max="6406" width="17.140625" customWidth="1"/>
    <col min="6407" max="6407" width="15.85546875" bestFit="1" customWidth="1"/>
    <col min="6408" max="6408" width="13" bestFit="1" customWidth="1"/>
    <col min="6409" max="6409" width="17.5703125" bestFit="1" customWidth="1"/>
    <col min="6410" max="6410" width="14.7109375" bestFit="1" customWidth="1"/>
    <col min="6660" max="6660" width="12.5703125" customWidth="1"/>
    <col min="6661" max="6661" width="16.7109375" customWidth="1"/>
    <col min="6662" max="6662" width="17.140625" customWidth="1"/>
    <col min="6663" max="6663" width="15.85546875" bestFit="1" customWidth="1"/>
    <col min="6664" max="6664" width="13" bestFit="1" customWidth="1"/>
    <col min="6665" max="6665" width="17.5703125" bestFit="1" customWidth="1"/>
    <col min="6666" max="6666" width="14.7109375" bestFit="1" customWidth="1"/>
    <col min="6916" max="6916" width="12.5703125" customWidth="1"/>
    <col min="6917" max="6917" width="16.7109375" customWidth="1"/>
    <col min="6918" max="6918" width="17.140625" customWidth="1"/>
    <col min="6919" max="6919" width="15.85546875" bestFit="1" customWidth="1"/>
    <col min="6920" max="6920" width="13" bestFit="1" customWidth="1"/>
    <col min="6921" max="6921" width="17.5703125" bestFit="1" customWidth="1"/>
    <col min="6922" max="6922" width="14.7109375" bestFit="1" customWidth="1"/>
    <col min="7172" max="7172" width="12.5703125" customWidth="1"/>
    <col min="7173" max="7173" width="16.7109375" customWidth="1"/>
    <col min="7174" max="7174" width="17.140625" customWidth="1"/>
    <col min="7175" max="7175" width="15.85546875" bestFit="1" customWidth="1"/>
    <col min="7176" max="7176" width="13" bestFit="1" customWidth="1"/>
    <col min="7177" max="7177" width="17.5703125" bestFit="1" customWidth="1"/>
    <col min="7178" max="7178" width="14.7109375" bestFit="1" customWidth="1"/>
    <col min="7428" max="7428" width="12.5703125" customWidth="1"/>
    <col min="7429" max="7429" width="16.7109375" customWidth="1"/>
    <col min="7430" max="7430" width="17.140625" customWidth="1"/>
    <col min="7431" max="7431" width="15.85546875" bestFit="1" customWidth="1"/>
    <col min="7432" max="7432" width="13" bestFit="1" customWidth="1"/>
    <col min="7433" max="7433" width="17.5703125" bestFit="1" customWidth="1"/>
    <col min="7434" max="7434" width="14.7109375" bestFit="1" customWidth="1"/>
    <col min="7684" max="7684" width="12.5703125" customWidth="1"/>
    <col min="7685" max="7685" width="16.7109375" customWidth="1"/>
    <col min="7686" max="7686" width="17.140625" customWidth="1"/>
    <col min="7687" max="7687" width="15.85546875" bestFit="1" customWidth="1"/>
    <col min="7688" max="7688" width="13" bestFit="1" customWidth="1"/>
    <col min="7689" max="7689" width="17.5703125" bestFit="1" customWidth="1"/>
    <col min="7690" max="7690" width="14.7109375" bestFit="1" customWidth="1"/>
    <col min="7940" max="7940" width="12.5703125" customWidth="1"/>
    <col min="7941" max="7941" width="16.7109375" customWidth="1"/>
    <col min="7942" max="7942" width="17.140625" customWidth="1"/>
    <col min="7943" max="7943" width="15.85546875" bestFit="1" customWidth="1"/>
    <col min="7944" max="7944" width="13" bestFit="1" customWidth="1"/>
    <col min="7945" max="7945" width="17.5703125" bestFit="1" customWidth="1"/>
    <col min="7946" max="7946" width="14.7109375" bestFit="1" customWidth="1"/>
    <col min="8196" max="8196" width="12.5703125" customWidth="1"/>
    <col min="8197" max="8197" width="16.7109375" customWidth="1"/>
    <col min="8198" max="8198" width="17.140625" customWidth="1"/>
    <col min="8199" max="8199" width="15.85546875" bestFit="1" customWidth="1"/>
    <col min="8200" max="8200" width="13" bestFit="1" customWidth="1"/>
    <col min="8201" max="8201" width="17.5703125" bestFit="1" customWidth="1"/>
    <col min="8202" max="8202" width="14.7109375" bestFit="1" customWidth="1"/>
    <col min="8452" max="8452" width="12.5703125" customWidth="1"/>
    <col min="8453" max="8453" width="16.7109375" customWidth="1"/>
    <col min="8454" max="8454" width="17.140625" customWidth="1"/>
    <col min="8455" max="8455" width="15.85546875" bestFit="1" customWidth="1"/>
    <col min="8456" max="8456" width="13" bestFit="1" customWidth="1"/>
    <col min="8457" max="8457" width="17.5703125" bestFit="1" customWidth="1"/>
    <col min="8458" max="8458" width="14.7109375" bestFit="1" customWidth="1"/>
    <col min="8708" max="8708" width="12.5703125" customWidth="1"/>
    <col min="8709" max="8709" width="16.7109375" customWidth="1"/>
    <col min="8710" max="8710" width="17.140625" customWidth="1"/>
    <col min="8711" max="8711" width="15.85546875" bestFit="1" customWidth="1"/>
    <col min="8712" max="8712" width="13" bestFit="1" customWidth="1"/>
    <col min="8713" max="8713" width="17.5703125" bestFit="1" customWidth="1"/>
    <col min="8714" max="8714" width="14.7109375" bestFit="1" customWidth="1"/>
    <col min="8964" max="8964" width="12.5703125" customWidth="1"/>
    <col min="8965" max="8965" width="16.7109375" customWidth="1"/>
    <col min="8966" max="8966" width="17.140625" customWidth="1"/>
    <col min="8967" max="8967" width="15.85546875" bestFit="1" customWidth="1"/>
    <col min="8968" max="8968" width="13" bestFit="1" customWidth="1"/>
    <col min="8969" max="8969" width="17.5703125" bestFit="1" customWidth="1"/>
    <col min="8970" max="8970" width="14.7109375" bestFit="1" customWidth="1"/>
    <col min="9220" max="9220" width="12.5703125" customWidth="1"/>
    <col min="9221" max="9221" width="16.7109375" customWidth="1"/>
    <col min="9222" max="9222" width="17.140625" customWidth="1"/>
    <col min="9223" max="9223" width="15.85546875" bestFit="1" customWidth="1"/>
    <col min="9224" max="9224" width="13" bestFit="1" customWidth="1"/>
    <col min="9225" max="9225" width="17.5703125" bestFit="1" customWidth="1"/>
    <col min="9226" max="9226" width="14.7109375" bestFit="1" customWidth="1"/>
    <col min="9476" max="9476" width="12.5703125" customWidth="1"/>
    <col min="9477" max="9477" width="16.7109375" customWidth="1"/>
    <col min="9478" max="9478" width="17.140625" customWidth="1"/>
    <col min="9479" max="9479" width="15.85546875" bestFit="1" customWidth="1"/>
    <col min="9480" max="9480" width="13" bestFit="1" customWidth="1"/>
    <col min="9481" max="9481" width="17.5703125" bestFit="1" customWidth="1"/>
    <col min="9482" max="9482" width="14.7109375" bestFit="1" customWidth="1"/>
    <col min="9732" max="9732" width="12.5703125" customWidth="1"/>
    <col min="9733" max="9733" width="16.7109375" customWidth="1"/>
    <col min="9734" max="9734" width="17.140625" customWidth="1"/>
    <col min="9735" max="9735" width="15.85546875" bestFit="1" customWidth="1"/>
    <col min="9736" max="9736" width="13" bestFit="1" customWidth="1"/>
    <col min="9737" max="9737" width="17.5703125" bestFit="1" customWidth="1"/>
    <col min="9738" max="9738" width="14.7109375" bestFit="1" customWidth="1"/>
    <col min="9988" max="9988" width="12.5703125" customWidth="1"/>
    <col min="9989" max="9989" width="16.7109375" customWidth="1"/>
    <col min="9990" max="9990" width="17.140625" customWidth="1"/>
    <col min="9991" max="9991" width="15.85546875" bestFit="1" customWidth="1"/>
    <col min="9992" max="9992" width="13" bestFit="1" customWidth="1"/>
    <col min="9993" max="9993" width="17.5703125" bestFit="1" customWidth="1"/>
    <col min="9994" max="9994" width="14.7109375" bestFit="1" customWidth="1"/>
    <col min="10244" max="10244" width="12.5703125" customWidth="1"/>
    <col min="10245" max="10245" width="16.7109375" customWidth="1"/>
    <col min="10246" max="10246" width="17.140625" customWidth="1"/>
    <col min="10247" max="10247" width="15.85546875" bestFit="1" customWidth="1"/>
    <col min="10248" max="10248" width="13" bestFit="1" customWidth="1"/>
    <col min="10249" max="10249" width="17.5703125" bestFit="1" customWidth="1"/>
    <col min="10250" max="10250" width="14.7109375" bestFit="1" customWidth="1"/>
    <col min="10500" max="10500" width="12.5703125" customWidth="1"/>
    <col min="10501" max="10501" width="16.7109375" customWidth="1"/>
    <col min="10502" max="10502" width="17.140625" customWidth="1"/>
    <col min="10503" max="10503" width="15.85546875" bestFit="1" customWidth="1"/>
    <col min="10504" max="10504" width="13" bestFit="1" customWidth="1"/>
    <col min="10505" max="10505" width="17.5703125" bestFit="1" customWidth="1"/>
    <col min="10506" max="10506" width="14.7109375" bestFit="1" customWidth="1"/>
    <col min="10756" max="10756" width="12.5703125" customWidth="1"/>
    <col min="10757" max="10757" width="16.7109375" customWidth="1"/>
    <col min="10758" max="10758" width="17.140625" customWidth="1"/>
    <col min="10759" max="10759" width="15.85546875" bestFit="1" customWidth="1"/>
    <col min="10760" max="10760" width="13" bestFit="1" customWidth="1"/>
    <col min="10761" max="10761" width="17.5703125" bestFit="1" customWidth="1"/>
    <col min="10762" max="10762" width="14.7109375" bestFit="1" customWidth="1"/>
    <col min="11012" max="11012" width="12.5703125" customWidth="1"/>
    <col min="11013" max="11013" width="16.7109375" customWidth="1"/>
    <col min="11014" max="11014" width="17.140625" customWidth="1"/>
    <col min="11015" max="11015" width="15.85546875" bestFit="1" customWidth="1"/>
    <col min="11016" max="11016" width="13" bestFit="1" customWidth="1"/>
    <col min="11017" max="11017" width="17.5703125" bestFit="1" customWidth="1"/>
    <col min="11018" max="11018" width="14.7109375" bestFit="1" customWidth="1"/>
    <col min="11268" max="11268" width="12.5703125" customWidth="1"/>
    <col min="11269" max="11269" width="16.7109375" customWidth="1"/>
    <col min="11270" max="11270" width="17.140625" customWidth="1"/>
    <col min="11271" max="11271" width="15.85546875" bestFit="1" customWidth="1"/>
    <col min="11272" max="11272" width="13" bestFit="1" customWidth="1"/>
    <col min="11273" max="11273" width="17.5703125" bestFit="1" customWidth="1"/>
    <col min="11274" max="11274" width="14.7109375" bestFit="1" customWidth="1"/>
    <col min="11524" max="11524" width="12.5703125" customWidth="1"/>
    <col min="11525" max="11525" width="16.7109375" customWidth="1"/>
    <col min="11526" max="11526" width="17.140625" customWidth="1"/>
    <col min="11527" max="11527" width="15.85546875" bestFit="1" customWidth="1"/>
    <col min="11528" max="11528" width="13" bestFit="1" customWidth="1"/>
    <col min="11529" max="11529" width="17.5703125" bestFit="1" customWidth="1"/>
    <col min="11530" max="11530" width="14.7109375" bestFit="1" customWidth="1"/>
    <col min="11780" max="11780" width="12.5703125" customWidth="1"/>
    <col min="11781" max="11781" width="16.7109375" customWidth="1"/>
    <col min="11782" max="11782" width="17.140625" customWidth="1"/>
    <col min="11783" max="11783" width="15.85546875" bestFit="1" customWidth="1"/>
    <col min="11784" max="11784" width="13" bestFit="1" customWidth="1"/>
    <col min="11785" max="11785" width="17.5703125" bestFit="1" customWidth="1"/>
    <col min="11786" max="11786" width="14.7109375" bestFit="1" customWidth="1"/>
    <col min="12036" max="12036" width="12.5703125" customWidth="1"/>
    <col min="12037" max="12037" width="16.7109375" customWidth="1"/>
    <col min="12038" max="12038" width="17.140625" customWidth="1"/>
    <col min="12039" max="12039" width="15.85546875" bestFit="1" customWidth="1"/>
    <col min="12040" max="12040" width="13" bestFit="1" customWidth="1"/>
    <col min="12041" max="12041" width="17.5703125" bestFit="1" customWidth="1"/>
    <col min="12042" max="12042" width="14.7109375" bestFit="1" customWidth="1"/>
    <col min="12292" max="12292" width="12.5703125" customWidth="1"/>
    <col min="12293" max="12293" width="16.7109375" customWidth="1"/>
    <col min="12294" max="12294" width="17.140625" customWidth="1"/>
    <col min="12295" max="12295" width="15.85546875" bestFit="1" customWidth="1"/>
    <col min="12296" max="12296" width="13" bestFit="1" customWidth="1"/>
    <col min="12297" max="12297" width="17.5703125" bestFit="1" customWidth="1"/>
    <col min="12298" max="12298" width="14.7109375" bestFit="1" customWidth="1"/>
    <col min="12548" max="12548" width="12.5703125" customWidth="1"/>
    <col min="12549" max="12549" width="16.7109375" customWidth="1"/>
    <col min="12550" max="12550" width="17.140625" customWidth="1"/>
    <col min="12551" max="12551" width="15.85546875" bestFit="1" customWidth="1"/>
    <col min="12552" max="12552" width="13" bestFit="1" customWidth="1"/>
    <col min="12553" max="12553" width="17.5703125" bestFit="1" customWidth="1"/>
    <col min="12554" max="12554" width="14.7109375" bestFit="1" customWidth="1"/>
    <col min="12804" max="12804" width="12.5703125" customWidth="1"/>
    <col min="12805" max="12805" width="16.7109375" customWidth="1"/>
    <col min="12806" max="12806" width="17.140625" customWidth="1"/>
    <col min="12807" max="12807" width="15.85546875" bestFit="1" customWidth="1"/>
    <col min="12808" max="12808" width="13" bestFit="1" customWidth="1"/>
    <col min="12809" max="12809" width="17.5703125" bestFit="1" customWidth="1"/>
    <col min="12810" max="12810" width="14.7109375" bestFit="1" customWidth="1"/>
    <col min="13060" max="13060" width="12.5703125" customWidth="1"/>
    <col min="13061" max="13061" width="16.7109375" customWidth="1"/>
    <col min="13062" max="13062" width="17.140625" customWidth="1"/>
    <col min="13063" max="13063" width="15.85546875" bestFit="1" customWidth="1"/>
    <col min="13064" max="13064" width="13" bestFit="1" customWidth="1"/>
    <col min="13065" max="13065" width="17.5703125" bestFit="1" customWidth="1"/>
    <col min="13066" max="13066" width="14.7109375" bestFit="1" customWidth="1"/>
    <col min="13316" max="13316" width="12.5703125" customWidth="1"/>
    <col min="13317" max="13317" width="16.7109375" customWidth="1"/>
    <col min="13318" max="13318" width="17.140625" customWidth="1"/>
    <col min="13319" max="13319" width="15.85546875" bestFit="1" customWidth="1"/>
    <col min="13320" max="13320" width="13" bestFit="1" customWidth="1"/>
    <col min="13321" max="13321" width="17.5703125" bestFit="1" customWidth="1"/>
    <col min="13322" max="13322" width="14.7109375" bestFit="1" customWidth="1"/>
    <col min="13572" max="13572" width="12.5703125" customWidth="1"/>
    <col min="13573" max="13573" width="16.7109375" customWidth="1"/>
    <col min="13574" max="13574" width="17.140625" customWidth="1"/>
    <col min="13575" max="13575" width="15.85546875" bestFit="1" customWidth="1"/>
    <col min="13576" max="13576" width="13" bestFit="1" customWidth="1"/>
    <col min="13577" max="13577" width="17.5703125" bestFit="1" customWidth="1"/>
    <col min="13578" max="13578" width="14.7109375" bestFit="1" customWidth="1"/>
    <col min="13828" max="13828" width="12.5703125" customWidth="1"/>
    <col min="13829" max="13829" width="16.7109375" customWidth="1"/>
    <col min="13830" max="13830" width="17.140625" customWidth="1"/>
    <col min="13831" max="13831" width="15.85546875" bestFit="1" customWidth="1"/>
    <col min="13832" max="13832" width="13" bestFit="1" customWidth="1"/>
    <col min="13833" max="13833" width="17.5703125" bestFit="1" customWidth="1"/>
    <col min="13834" max="13834" width="14.7109375" bestFit="1" customWidth="1"/>
    <col min="14084" max="14084" width="12.5703125" customWidth="1"/>
    <col min="14085" max="14085" width="16.7109375" customWidth="1"/>
    <col min="14086" max="14086" width="17.140625" customWidth="1"/>
    <col min="14087" max="14087" width="15.85546875" bestFit="1" customWidth="1"/>
    <col min="14088" max="14088" width="13" bestFit="1" customWidth="1"/>
    <col min="14089" max="14089" width="17.5703125" bestFit="1" customWidth="1"/>
    <col min="14090" max="14090" width="14.7109375" bestFit="1" customWidth="1"/>
    <col min="14340" max="14340" width="12.5703125" customWidth="1"/>
    <col min="14341" max="14341" width="16.7109375" customWidth="1"/>
    <col min="14342" max="14342" width="17.140625" customWidth="1"/>
    <col min="14343" max="14343" width="15.85546875" bestFit="1" customWidth="1"/>
    <col min="14344" max="14344" width="13" bestFit="1" customWidth="1"/>
    <col min="14345" max="14345" width="17.5703125" bestFit="1" customWidth="1"/>
    <col min="14346" max="14346" width="14.7109375" bestFit="1" customWidth="1"/>
    <col min="14596" max="14596" width="12.5703125" customWidth="1"/>
    <col min="14597" max="14597" width="16.7109375" customWidth="1"/>
    <col min="14598" max="14598" width="17.140625" customWidth="1"/>
    <col min="14599" max="14599" width="15.85546875" bestFit="1" customWidth="1"/>
    <col min="14600" max="14600" width="13" bestFit="1" customWidth="1"/>
    <col min="14601" max="14601" width="17.5703125" bestFit="1" customWidth="1"/>
    <col min="14602" max="14602" width="14.7109375" bestFit="1" customWidth="1"/>
    <col min="14852" max="14852" width="12.5703125" customWidth="1"/>
    <col min="14853" max="14853" width="16.7109375" customWidth="1"/>
    <col min="14854" max="14854" width="17.140625" customWidth="1"/>
    <col min="14855" max="14855" width="15.85546875" bestFit="1" customWidth="1"/>
    <col min="14856" max="14856" width="13" bestFit="1" customWidth="1"/>
    <col min="14857" max="14857" width="17.5703125" bestFit="1" customWidth="1"/>
    <col min="14858" max="14858" width="14.7109375" bestFit="1" customWidth="1"/>
    <col min="15108" max="15108" width="12.5703125" customWidth="1"/>
    <col min="15109" max="15109" width="16.7109375" customWidth="1"/>
    <col min="15110" max="15110" width="17.140625" customWidth="1"/>
    <col min="15111" max="15111" width="15.85546875" bestFit="1" customWidth="1"/>
    <col min="15112" max="15112" width="13" bestFit="1" customWidth="1"/>
    <col min="15113" max="15113" width="17.5703125" bestFit="1" customWidth="1"/>
    <col min="15114" max="15114" width="14.7109375" bestFit="1" customWidth="1"/>
    <col min="15364" max="15364" width="12.5703125" customWidth="1"/>
    <col min="15365" max="15365" width="16.7109375" customWidth="1"/>
    <col min="15366" max="15366" width="17.140625" customWidth="1"/>
    <col min="15367" max="15367" width="15.85546875" bestFit="1" customWidth="1"/>
    <col min="15368" max="15368" width="13" bestFit="1" customWidth="1"/>
    <col min="15369" max="15369" width="17.5703125" bestFit="1" customWidth="1"/>
    <col min="15370" max="15370" width="14.7109375" bestFit="1" customWidth="1"/>
    <col min="15620" max="15620" width="12.5703125" customWidth="1"/>
    <col min="15621" max="15621" width="16.7109375" customWidth="1"/>
    <col min="15622" max="15622" width="17.140625" customWidth="1"/>
    <col min="15623" max="15623" width="15.85546875" bestFit="1" customWidth="1"/>
    <col min="15624" max="15624" width="13" bestFit="1" customWidth="1"/>
    <col min="15625" max="15625" width="17.5703125" bestFit="1" customWidth="1"/>
    <col min="15626" max="15626" width="14.7109375" bestFit="1" customWidth="1"/>
    <col min="15876" max="15876" width="12.5703125" customWidth="1"/>
    <col min="15877" max="15877" width="16.7109375" customWidth="1"/>
    <col min="15878" max="15878" width="17.140625" customWidth="1"/>
    <col min="15879" max="15879" width="15.85546875" bestFit="1" customWidth="1"/>
    <col min="15880" max="15880" width="13" bestFit="1" customWidth="1"/>
    <col min="15881" max="15881" width="17.5703125" bestFit="1" customWidth="1"/>
    <col min="15882" max="15882" width="14.7109375" bestFit="1" customWidth="1"/>
    <col min="16132" max="16132" width="12.5703125" customWidth="1"/>
    <col min="16133" max="16133" width="16.7109375" customWidth="1"/>
    <col min="16134" max="16134" width="17.140625" customWidth="1"/>
    <col min="16135" max="16135" width="15.85546875" bestFit="1" customWidth="1"/>
    <col min="16136" max="16136" width="13" bestFit="1" customWidth="1"/>
    <col min="16137" max="16137" width="17.5703125" bestFit="1" customWidth="1"/>
    <col min="16138" max="16138" width="14.7109375" bestFit="1" customWidth="1"/>
  </cols>
  <sheetData>
    <row r="1" spans="1:62" s="612" customFormat="1" ht="12.75" customHeight="1">
      <c r="A1" s="595"/>
      <c r="B1" s="596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  <c r="P1" s="595"/>
      <c r="Q1" s="595"/>
      <c r="R1" s="595"/>
      <c r="S1" s="595"/>
      <c r="T1" s="595"/>
      <c r="U1" s="595"/>
      <c r="V1" s="595"/>
      <c r="W1" s="595"/>
      <c r="X1" s="595"/>
      <c r="Y1" s="595"/>
      <c r="Z1" s="595"/>
      <c r="AA1" s="595"/>
      <c r="AB1" s="595"/>
      <c r="AC1" s="595"/>
      <c r="AD1" s="595"/>
      <c r="AE1" s="595"/>
      <c r="AF1" s="595"/>
      <c r="AG1" s="595"/>
      <c r="AH1" s="595"/>
      <c r="AI1" s="595"/>
      <c r="AJ1" s="595"/>
      <c r="AK1" s="595"/>
      <c r="AL1" s="595"/>
      <c r="AM1" s="595"/>
      <c r="AN1" s="595"/>
      <c r="AO1" s="595"/>
      <c r="AP1" s="595"/>
      <c r="AQ1" s="595"/>
      <c r="AR1" s="595"/>
      <c r="AS1" s="595"/>
      <c r="AT1" s="595"/>
      <c r="AU1" s="595"/>
      <c r="AV1" s="595"/>
      <c r="AW1" s="595"/>
      <c r="AX1" s="595"/>
      <c r="AY1" s="595"/>
      <c r="AZ1" s="595"/>
      <c r="BA1" s="595"/>
      <c r="BB1" s="595"/>
      <c r="BC1" s="595"/>
      <c r="BD1" s="595"/>
      <c r="BE1" s="595"/>
      <c r="BF1" s="595"/>
      <c r="BG1" s="595"/>
      <c r="BH1" s="595"/>
      <c r="BI1" s="595"/>
      <c r="BJ1" s="595"/>
    </row>
    <row r="2" spans="1:62" ht="12.75" customHeight="1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242"/>
      <c r="AD2" s="242"/>
      <c r="AE2" s="242"/>
      <c r="AF2" s="242"/>
      <c r="AG2" s="242"/>
      <c r="AH2" s="242"/>
      <c r="AI2" s="242"/>
      <c r="AJ2" s="242"/>
      <c r="AK2" s="242"/>
      <c r="AL2" s="242"/>
      <c r="AM2" s="242"/>
      <c r="AN2" s="242"/>
      <c r="AO2" s="242"/>
      <c r="AP2" s="242"/>
      <c r="AQ2" s="242"/>
      <c r="AR2" s="242"/>
      <c r="AS2" s="242"/>
      <c r="AT2" s="242"/>
      <c r="AU2" s="242"/>
      <c r="AV2" s="242"/>
      <c r="AW2" s="242"/>
      <c r="AX2" s="242"/>
      <c r="AY2" s="242"/>
      <c r="AZ2" s="242"/>
      <c r="BA2" s="242"/>
      <c r="BB2" s="242"/>
      <c r="BC2" s="242"/>
      <c r="BD2" s="242"/>
      <c r="BE2" s="242"/>
      <c r="BF2" s="242"/>
      <c r="BG2" s="242"/>
      <c r="BH2" s="242"/>
      <c r="BI2" s="242"/>
      <c r="BJ2" s="242"/>
    </row>
    <row r="3" spans="1:62" ht="12.75" customHeight="1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</row>
    <row r="4" spans="1:62" ht="12.75" customHeight="1">
      <c r="A4" s="595"/>
      <c r="B4" s="598"/>
      <c r="C4" s="599"/>
      <c r="D4" s="1884" t="s">
        <v>699</v>
      </c>
      <c r="E4" s="1884"/>
      <c r="F4" s="1884"/>
      <c r="G4" s="1884"/>
      <c r="H4" s="1884"/>
      <c r="I4" s="1884"/>
      <c r="J4" s="1884"/>
      <c r="K4" s="283"/>
      <c r="L4" s="283"/>
      <c r="M4" s="283"/>
      <c r="N4" s="283"/>
      <c r="O4" s="283"/>
      <c r="P4" s="283"/>
      <c r="Q4" s="283"/>
      <c r="R4" s="283"/>
      <c r="S4" s="283"/>
      <c r="T4" s="283"/>
      <c r="U4" s="283"/>
      <c r="V4" s="283"/>
      <c r="W4" s="283"/>
      <c r="X4" s="283"/>
      <c r="Y4" s="283"/>
      <c r="Z4" s="283"/>
      <c r="AA4" s="283"/>
      <c r="AB4" s="283"/>
      <c r="AC4" s="283"/>
      <c r="AD4" s="283"/>
      <c r="AE4" s="283"/>
      <c r="AF4" s="283"/>
      <c r="AG4" s="283"/>
      <c r="AH4" s="283"/>
      <c r="AI4" s="283"/>
      <c r="AJ4" s="283"/>
      <c r="AK4" s="283"/>
      <c r="AL4" s="283"/>
      <c r="AM4" s="283"/>
      <c r="AN4" s="283"/>
      <c r="AO4" s="283"/>
      <c r="AP4" s="283"/>
      <c r="AQ4" s="283"/>
      <c r="AR4" s="283"/>
      <c r="AS4" s="283"/>
      <c r="AT4" s="283"/>
      <c r="AU4" s="283"/>
      <c r="AV4" s="283"/>
      <c r="AW4" s="283"/>
      <c r="AX4" s="283"/>
      <c r="AY4" s="283"/>
      <c r="AZ4" s="283"/>
      <c r="BA4" s="283"/>
      <c r="BB4" s="283"/>
      <c r="BC4" s="283"/>
      <c r="BD4" s="283"/>
      <c r="BE4" s="283"/>
      <c r="BF4" s="283"/>
      <c r="BG4" s="283"/>
      <c r="BH4" s="283"/>
      <c r="BI4" s="283"/>
      <c r="BJ4" s="283"/>
    </row>
    <row r="5" spans="1:62" ht="12.75" customHeight="1">
      <c r="A5" s="595"/>
      <c r="B5" s="598"/>
      <c r="C5" s="599"/>
      <c r="D5" s="777" t="s">
        <v>700</v>
      </c>
      <c r="E5" s="777" t="s">
        <v>701</v>
      </c>
      <c r="F5" s="777" t="s">
        <v>702</v>
      </c>
      <c r="G5" s="777" t="s">
        <v>703</v>
      </c>
      <c r="H5" s="777" t="s">
        <v>704</v>
      </c>
      <c r="I5" s="777" t="s">
        <v>705</v>
      </c>
      <c r="J5" s="777" t="s">
        <v>706</v>
      </c>
      <c r="K5" s="283"/>
      <c r="L5" s="283"/>
      <c r="M5" s="283"/>
      <c r="N5" s="283"/>
      <c r="O5" s="283"/>
      <c r="P5" s="283"/>
      <c r="Q5" s="283"/>
      <c r="R5" s="283"/>
      <c r="S5" s="283"/>
      <c r="T5" s="283"/>
      <c r="U5" s="283"/>
      <c r="V5" s="283"/>
      <c r="W5" s="283"/>
      <c r="X5" s="283"/>
      <c r="Y5" s="283"/>
      <c r="Z5" s="283"/>
      <c r="AA5" s="283"/>
      <c r="AB5" s="283"/>
      <c r="AC5" s="283"/>
      <c r="AD5" s="283"/>
      <c r="AE5" s="283"/>
      <c r="AF5" s="283"/>
      <c r="AG5" s="283"/>
      <c r="AH5" s="283"/>
      <c r="AI5" s="283"/>
      <c r="AJ5" s="283"/>
      <c r="AK5" s="283"/>
      <c r="AL5" s="283"/>
      <c r="AM5" s="283"/>
      <c r="AN5" s="283"/>
      <c r="AO5" s="283"/>
      <c r="AP5" s="283"/>
      <c r="AQ5" s="283"/>
      <c r="AR5" s="283"/>
      <c r="AS5" s="283"/>
      <c r="AT5" s="283"/>
      <c r="AU5" s="283"/>
      <c r="AV5" s="283"/>
      <c r="AW5" s="283"/>
      <c r="AX5" s="283"/>
      <c r="AY5" s="283"/>
      <c r="AZ5" s="283"/>
      <c r="BA5" s="283"/>
      <c r="BB5" s="283"/>
      <c r="BC5" s="283"/>
      <c r="BD5" s="283"/>
      <c r="BE5" s="283"/>
      <c r="BF5" s="283"/>
      <c r="BG5" s="283"/>
      <c r="BH5" s="283"/>
      <c r="BI5" s="283"/>
      <c r="BJ5" s="283"/>
    </row>
    <row r="6" spans="1:62" ht="12.75" customHeight="1">
      <c r="A6" s="595"/>
      <c r="B6" s="598"/>
      <c r="C6" s="599"/>
      <c r="D6" s="429"/>
      <c r="E6" s="1086"/>
      <c r="F6" s="1086"/>
      <c r="G6" s="429">
        <v>5</v>
      </c>
      <c r="H6" s="429">
        <v>2</v>
      </c>
      <c r="I6" s="429">
        <v>5</v>
      </c>
      <c r="J6" s="1087">
        <f>I6*H6*G6</f>
        <v>50</v>
      </c>
      <c r="K6" s="283"/>
      <c r="L6" s="283"/>
      <c r="M6" s="283"/>
      <c r="N6" s="283"/>
      <c r="O6" s="283"/>
      <c r="P6" s="283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3"/>
      <c r="AJ6" s="283"/>
      <c r="AK6" s="283"/>
      <c r="AL6" s="283"/>
      <c r="AM6" s="283"/>
      <c r="AN6" s="283"/>
      <c r="AO6" s="283"/>
      <c r="AP6" s="283"/>
      <c r="AQ6" s="283"/>
      <c r="AR6" s="283"/>
      <c r="AS6" s="283"/>
      <c r="AT6" s="283"/>
      <c r="AU6" s="283"/>
      <c r="AV6" s="283"/>
      <c r="AW6" s="283"/>
      <c r="AX6" s="283"/>
      <c r="AY6" s="283"/>
      <c r="AZ6" s="283"/>
      <c r="BA6" s="283"/>
      <c r="BB6" s="283"/>
      <c r="BC6" s="283"/>
      <c r="BD6" s="283"/>
      <c r="BE6" s="283"/>
      <c r="BF6" s="283"/>
      <c r="BG6" s="283"/>
      <c r="BH6" s="283"/>
      <c r="BI6" s="283"/>
      <c r="BJ6" s="283"/>
    </row>
    <row r="7" spans="1:62" ht="12.75" customHeight="1">
      <c r="A7" s="595"/>
      <c r="B7" s="598"/>
      <c r="C7" s="599"/>
      <c r="D7" s="429"/>
      <c r="E7" s="1086"/>
      <c r="F7" s="1086"/>
      <c r="G7" s="429"/>
      <c r="H7" s="429"/>
      <c r="I7" s="429"/>
      <c r="J7" s="1087"/>
      <c r="K7" s="283"/>
      <c r="L7" s="283"/>
      <c r="M7" s="283"/>
      <c r="N7" s="283"/>
      <c r="O7" s="283"/>
      <c r="P7" s="283"/>
      <c r="Q7" s="283"/>
      <c r="R7" s="283"/>
      <c r="S7" s="283"/>
      <c r="T7" s="283"/>
      <c r="U7" s="283"/>
      <c r="V7" s="283"/>
      <c r="W7" s="283"/>
      <c r="X7" s="283"/>
      <c r="Y7" s="283"/>
      <c r="Z7" s="283"/>
      <c r="AA7" s="283"/>
      <c r="AB7" s="283"/>
      <c r="AC7" s="283"/>
      <c r="AD7" s="283"/>
      <c r="AE7" s="283"/>
      <c r="AF7" s="283"/>
      <c r="AG7" s="283"/>
      <c r="AH7" s="283"/>
      <c r="AI7" s="283"/>
      <c r="AJ7" s="283"/>
      <c r="AK7" s="283"/>
      <c r="AL7" s="283"/>
      <c r="AM7" s="283"/>
      <c r="AN7" s="283"/>
      <c r="AO7" s="283"/>
      <c r="AP7" s="283"/>
      <c r="AQ7" s="283"/>
      <c r="AR7" s="283"/>
      <c r="AS7" s="283"/>
      <c r="AT7" s="283"/>
      <c r="AU7" s="283"/>
      <c r="AV7" s="283"/>
      <c r="AW7" s="283"/>
      <c r="AX7" s="283"/>
      <c r="AY7" s="283"/>
      <c r="AZ7" s="283"/>
      <c r="BA7" s="283"/>
      <c r="BB7" s="283"/>
      <c r="BC7" s="283"/>
      <c r="BD7" s="283"/>
      <c r="BE7" s="283"/>
      <c r="BF7" s="283"/>
      <c r="BG7" s="283"/>
      <c r="BH7" s="283"/>
      <c r="BI7" s="283"/>
      <c r="BJ7" s="283"/>
    </row>
    <row r="8" spans="1:62" ht="12.75" customHeight="1">
      <c r="A8" s="595"/>
      <c r="B8" s="598"/>
      <c r="C8" s="599"/>
      <c r="D8" s="1885" t="s">
        <v>249</v>
      </c>
      <c r="E8" s="1885"/>
      <c r="F8" s="1885"/>
      <c r="G8" s="1885"/>
      <c r="H8" s="1885"/>
      <c r="I8" s="1885"/>
      <c r="J8" s="1088">
        <f>SUM(J6:J7)</f>
        <v>50</v>
      </c>
      <c r="K8" s="283"/>
      <c r="L8" s="283"/>
      <c r="M8" s="283"/>
      <c r="N8" s="283"/>
      <c r="O8" s="283"/>
      <c r="P8" s="283"/>
      <c r="Q8" s="283"/>
      <c r="R8" s="283"/>
      <c r="S8" s="283"/>
      <c r="T8" s="283"/>
      <c r="U8" s="283"/>
      <c r="V8" s="283"/>
      <c r="W8" s="283"/>
      <c r="X8" s="283"/>
      <c r="Y8" s="283"/>
      <c r="Z8" s="283"/>
      <c r="AA8" s="283"/>
      <c r="AB8" s="283"/>
      <c r="AC8" s="283"/>
      <c r="AD8" s="283"/>
      <c r="AE8" s="283"/>
      <c r="AF8" s="283"/>
      <c r="AG8" s="283"/>
      <c r="AH8" s="283"/>
      <c r="AI8" s="283"/>
      <c r="AJ8" s="283"/>
      <c r="AK8" s="283"/>
      <c r="AL8" s="283"/>
      <c r="AM8" s="283"/>
      <c r="AN8" s="283"/>
      <c r="AO8" s="283"/>
      <c r="AP8" s="283"/>
      <c r="AQ8" s="283"/>
      <c r="AR8" s="283"/>
      <c r="AS8" s="283"/>
      <c r="AT8" s="283"/>
      <c r="AU8" s="283"/>
      <c r="AV8" s="283"/>
      <c r="AW8" s="283"/>
      <c r="AX8" s="283"/>
      <c r="AY8" s="283"/>
      <c r="AZ8" s="283"/>
      <c r="BA8" s="283"/>
      <c r="BB8" s="283"/>
      <c r="BC8" s="283"/>
      <c r="BD8" s="283"/>
      <c r="BE8" s="283"/>
      <c r="BF8" s="283"/>
      <c r="BG8" s="283"/>
      <c r="BH8" s="283"/>
      <c r="BI8" s="283"/>
      <c r="BJ8" s="283"/>
    </row>
    <row r="9" spans="1:62" ht="12.75" customHeight="1">
      <c r="A9" s="595"/>
      <c r="B9" s="598"/>
      <c r="C9" s="599"/>
      <c r="D9" s="1884" t="s">
        <v>707</v>
      </c>
      <c r="E9" s="1884"/>
      <c r="F9" s="1884"/>
      <c r="G9" s="1884"/>
      <c r="H9" s="1884"/>
      <c r="I9" s="1884"/>
      <c r="J9" s="1884"/>
      <c r="K9" s="283"/>
      <c r="L9" s="283"/>
      <c r="M9" s="283"/>
      <c r="N9" s="283"/>
      <c r="O9" s="283"/>
      <c r="P9" s="283"/>
      <c r="Q9" s="283"/>
      <c r="R9" s="283"/>
      <c r="S9" s="283"/>
      <c r="T9" s="283"/>
      <c r="U9" s="283"/>
      <c r="V9" s="283"/>
      <c r="W9" s="283"/>
      <c r="X9" s="283"/>
      <c r="Y9" s="283"/>
      <c r="Z9" s="283"/>
      <c r="AA9" s="283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3"/>
      <c r="AN9" s="283"/>
      <c r="AO9" s="283"/>
      <c r="AP9" s="283"/>
      <c r="AQ9" s="283"/>
      <c r="AR9" s="283"/>
      <c r="AS9" s="283"/>
      <c r="AT9" s="283"/>
      <c r="AU9" s="283"/>
      <c r="AV9" s="283"/>
      <c r="AW9" s="283"/>
      <c r="AX9" s="283"/>
      <c r="AY9" s="283"/>
      <c r="AZ9" s="283"/>
      <c r="BA9" s="283"/>
      <c r="BB9" s="283"/>
      <c r="BC9" s="283"/>
      <c r="BD9" s="283"/>
      <c r="BE9" s="283"/>
      <c r="BF9" s="283"/>
      <c r="BG9" s="283"/>
      <c r="BH9" s="283"/>
      <c r="BI9" s="283"/>
      <c r="BJ9" s="283"/>
    </row>
    <row r="10" spans="1:62" ht="12.75" customHeight="1">
      <c r="A10" s="595"/>
      <c r="B10" s="598"/>
      <c r="C10" s="599"/>
      <c r="D10" s="777" t="s">
        <v>700</v>
      </c>
      <c r="E10" s="777" t="s">
        <v>701</v>
      </c>
      <c r="F10" s="777" t="s">
        <v>702</v>
      </c>
      <c r="G10" s="777" t="s">
        <v>703</v>
      </c>
      <c r="H10" s="777" t="s">
        <v>704</v>
      </c>
      <c r="I10" s="777" t="s">
        <v>705</v>
      </c>
      <c r="J10" s="777" t="s">
        <v>706</v>
      </c>
      <c r="K10" s="283"/>
      <c r="L10" s="283"/>
      <c r="M10" s="283"/>
      <c r="N10" s="283"/>
      <c r="O10" s="283"/>
      <c r="P10" s="283"/>
      <c r="Q10" s="283"/>
      <c r="R10" s="283"/>
      <c r="S10" s="283"/>
      <c r="T10" s="283"/>
      <c r="U10" s="283"/>
      <c r="V10" s="283"/>
      <c r="W10" s="283"/>
      <c r="X10" s="283"/>
      <c r="Y10" s="283"/>
      <c r="Z10" s="283"/>
      <c r="AA10" s="283"/>
      <c r="AB10" s="283"/>
      <c r="AC10" s="283"/>
      <c r="AD10" s="283"/>
      <c r="AE10" s="283"/>
      <c r="AF10" s="283"/>
      <c r="AG10" s="283"/>
      <c r="AH10" s="283"/>
      <c r="AI10" s="283"/>
      <c r="AJ10" s="283"/>
      <c r="AK10" s="283"/>
      <c r="AL10" s="283"/>
      <c r="AM10" s="283"/>
      <c r="AN10" s="283"/>
      <c r="AO10" s="283"/>
      <c r="AP10" s="283"/>
      <c r="AQ10" s="283"/>
      <c r="AR10" s="283"/>
      <c r="AS10" s="283"/>
      <c r="AT10" s="283"/>
      <c r="AU10" s="283"/>
      <c r="AV10" s="283"/>
      <c r="AW10" s="283"/>
      <c r="AX10" s="283"/>
      <c r="AY10" s="283"/>
      <c r="AZ10" s="283"/>
      <c r="BA10" s="283"/>
      <c r="BB10" s="283"/>
      <c r="BC10" s="283"/>
      <c r="BD10" s="283"/>
      <c r="BE10" s="283"/>
      <c r="BF10" s="283"/>
      <c r="BG10" s="283"/>
      <c r="BH10" s="283"/>
      <c r="BI10" s="283"/>
      <c r="BJ10" s="283"/>
    </row>
    <row r="11" spans="1:62" ht="12.75" customHeight="1">
      <c r="A11" s="595"/>
      <c r="B11" s="598"/>
      <c r="C11" s="599"/>
      <c r="D11" s="429"/>
      <c r="E11" s="1086"/>
      <c r="F11" s="1086"/>
      <c r="G11" s="429">
        <v>5</v>
      </c>
      <c r="H11" s="429">
        <v>5</v>
      </c>
      <c r="I11" s="429">
        <v>10</v>
      </c>
      <c r="J11" s="1087">
        <f>I11*H11*G11</f>
        <v>250</v>
      </c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  <c r="AB11" s="283"/>
      <c r="AC11" s="283"/>
      <c r="AD11" s="283"/>
      <c r="AE11" s="283"/>
      <c r="AF11" s="283"/>
      <c r="AG11" s="283"/>
      <c r="AH11" s="283"/>
      <c r="AI11" s="283"/>
      <c r="AJ11" s="283"/>
      <c r="AK11" s="283"/>
      <c r="AL11" s="283"/>
      <c r="AM11" s="283"/>
      <c r="AN11" s="283"/>
      <c r="AO11" s="283"/>
      <c r="AP11" s="283"/>
      <c r="AQ11" s="283"/>
      <c r="AR11" s="283"/>
      <c r="AS11" s="283"/>
      <c r="AT11" s="283"/>
      <c r="AU11" s="283"/>
      <c r="AV11" s="283"/>
      <c r="AW11" s="283"/>
      <c r="AX11" s="283"/>
      <c r="AY11" s="283"/>
      <c r="AZ11" s="283"/>
      <c r="BA11" s="283"/>
      <c r="BB11" s="283"/>
      <c r="BC11" s="283"/>
      <c r="BD11" s="283"/>
      <c r="BE11" s="283"/>
      <c r="BF11" s="283"/>
      <c r="BG11" s="283"/>
      <c r="BH11" s="283"/>
      <c r="BI11" s="283"/>
      <c r="BJ11" s="283"/>
    </row>
    <row r="12" spans="1:62" ht="12.75" customHeight="1">
      <c r="A12" s="595"/>
      <c r="B12" s="598"/>
      <c r="C12" s="599"/>
      <c r="D12" s="429"/>
      <c r="E12" s="1086"/>
      <c r="F12" s="1086"/>
      <c r="G12" s="429"/>
      <c r="H12" s="429"/>
      <c r="I12" s="429"/>
      <c r="J12" s="1087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  <c r="AB12" s="283"/>
      <c r="AC12" s="283"/>
      <c r="AD12" s="283"/>
      <c r="AE12" s="283"/>
      <c r="AF12" s="283"/>
      <c r="AG12" s="283"/>
      <c r="AH12" s="283"/>
      <c r="AI12" s="283"/>
      <c r="AJ12" s="283"/>
      <c r="AK12" s="283"/>
      <c r="AL12" s="283"/>
      <c r="AM12" s="283"/>
      <c r="AN12" s="283"/>
      <c r="AO12" s="283"/>
      <c r="AP12" s="283"/>
      <c r="AQ12" s="283"/>
      <c r="AR12" s="283"/>
      <c r="AS12" s="283"/>
      <c r="AT12" s="283"/>
      <c r="AU12" s="283"/>
      <c r="AV12" s="283"/>
      <c r="AW12" s="283"/>
      <c r="AX12" s="283"/>
      <c r="AY12" s="283"/>
      <c r="AZ12" s="283"/>
      <c r="BA12" s="283"/>
      <c r="BB12" s="283"/>
      <c r="BC12" s="283"/>
      <c r="BD12" s="283"/>
      <c r="BE12" s="283"/>
      <c r="BF12" s="283"/>
      <c r="BG12" s="283"/>
      <c r="BH12" s="283"/>
      <c r="BI12" s="283"/>
      <c r="BJ12" s="283"/>
    </row>
    <row r="13" spans="1:62" ht="12.75" customHeight="1">
      <c r="A13" s="595"/>
      <c r="B13" s="598"/>
      <c r="C13" s="599"/>
      <c r="D13" s="1885" t="s">
        <v>249</v>
      </c>
      <c r="E13" s="1885"/>
      <c r="F13" s="1885"/>
      <c r="G13" s="1885"/>
      <c r="H13" s="1885"/>
      <c r="I13" s="1885"/>
      <c r="J13" s="1088">
        <f>SUM(J11:J12)</f>
        <v>250</v>
      </c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  <c r="AB13" s="283"/>
      <c r="AC13" s="283"/>
      <c r="AD13" s="283"/>
      <c r="AE13" s="283"/>
      <c r="AF13" s="283"/>
      <c r="AG13" s="283"/>
      <c r="AH13" s="283"/>
      <c r="AI13" s="283"/>
      <c r="AJ13" s="283"/>
      <c r="AK13" s="283"/>
      <c r="AL13" s="283"/>
      <c r="AM13" s="283"/>
      <c r="AN13" s="283"/>
      <c r="AO13" s="283"/>
      <c r="AP13" s="283"/>
      <c r="AQ13" s="283"/>
      <c r="AR13" s="283"/>
      <c r="AS13" s="283"/>
      <c r="AT13" s="283"/>
      <c r="AU13" s="283"/>
      <c r="AV13" s="283"/>
      <c r="AW13" s="283"/>
      <c r="AX13" s="283"/>
      <c r="AY13" s="283"/>
      <c r="AZ13" s="283"/>
      <c r="BA13" s="283"/>
      <c r="BB13" s="283"/>
      <c r="BC13" s="283"/>
      <c r="BD13" s="283"/>
      <c r="BE13" s="283"/>
      <c r="BF13" s="283"/>
      <c r="BG13" s="283"/>
      <c r="BH13" s="283"/>
      <c r="BI13" s="283"/>
      <c r="BJ13" s="283"/>
    </row>
    <row r="14" spans="1:62" ht="12.75" customHeight="1">
      <c r="A14" s="595"/>
      <c r="B14" s="598"/>
      <c r="C14" s="599"/>
      <c r="D14" s="1884" t="s">
        <v>708</v>
      </c>
      <c r="E14" s="1884"/>
      <c r="F14" s="1884"/>
      <c r="G14" s="1884"/>
      <c r="H14" s="1884"/>
      <c r="I14" s="1884"/>
      <c r="J14" s="1884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  <c r="AB14" s="283"/>
      <c r="AC14" s="283"/>
      <c r="AD14" s="283"/>
      <c r="AE14" s="283"/>
      <c r="AF14" s="283"/>
      <c r="AG14" s="283"/>
      <c r="AH14" s="283"/>
      <c r="AI14" s="283"/>
      <c r="AJ14" s="283"/>
      <c r="AK14" s="283"/>
      <c r="AL14" s="283"/>
      <c r="AM14" s="283"/>
      <c r="AN14" s="283"/>
      <c r="AO14" s="283"/>
      <c r="AP14" s="283"/>
      <c r="AQ14" s="283"/>
      <c r="AR14" s="283"/>
      <c r="AS14" s="283"/>
      <c r="AT14" s="283"/>
      <c r="AU14" s="283"/>
      <c r="AV14" s="283"/>
      <c r="AW14" s="283"/>
      <c r="AX14" s="283"/>
      <c r="AY14" s="283"/>
      <c r="AZ14" s="283"/>
      <c r="BA14" s="283"/>
      <c r="BB14" s="283"/>
      <c r="BC14" s="283"/>
      <c r="BD14" s="283"/>
      <c r="BE14" s="283"/>
      <c r="BF14" s="283"/>
      <c r="BG14" s="283"/>
      <c r="BH14" s="283"/>
      <c r="BI14" s="283"/>
      <c r="BJ14" s="283"/>
    </row>
    <row r="15" spans="1:62" ht="12.75" customHeight="1">
      <c r="A15" s="595"/>
      <c r="B15" s="598"/>
      <c r="C15" s="599"/>
      <c r="D15" s="777" t="s">
        <v>700</v>
      </c>
      <c r="E15" s="777" t="s">
        <v>701</v>
      </c>
      <c r="F15" s="777" t="s">
        <v>702</v>
      </c>
      <c r="G15" s="777" t="s">
        <v>703</v>
      </c>
      <c r="H15" s="777" t="s">
        <v>704</v>
      </c>
      <c r="I15" s="777" t="s">
        <v>705</v>
      </c>
      <c r="J15" s="777" t="s">
        <v>706</v>
      </c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  <c r="AB15" s="283"/>
      <c r="AC15" s="283"/>
      <c r="AD15" s="283"/>
      <c r="AE15" s="283"/>
      <c r="AF15" s="283"/>
      <c r="AG15" s="283"/>
      <c r="AH15" s="283"/>
      <c r="AI15" s="283"/>
      <c r="AJ15" s="283"/>
      <c r="AK15" s="283"/>
      <c r="AL15" s="283"/>
      <c r="AM15" s="283"/>
      <c r="AN15" s="283"/>
      <c r="AO15" s="283"/>
      <c r="AP15" s="283"/>
      <c r="AQ15" s="283"/>
      <c r="AR15" s="283"/>
      <c r="AS15" s="283"/>
      <c r="AT15" s="283"/>
      <c r="AU15" s="283"/>
      <c r="AV15" s="283"/>
      <c r="AW15" s="283"/>
      <c r="AX15" s="283"/>
      <c r="AY15" s="283"/>
      <c r="AZ15" s="283"/>
      <c r="BA15" s="283"/>
      <c r="BB15" s="283"/>
      <c r="BC15" s="283"/>
      <c r="BD15" s="283"/>
      <c r="BE15" s="283"/>
      <c r="BF15" s="283"/>
      <c r="BG15" s="283"/>
      <c r="BH15" s="283"/>
      <c r="BI15" s="283"/>
      <c r="BJ15" s="283"/>
    </row>
    <row r="16" spans="1:62" ht="12.75" customHeight="1">
      <c r="A16" s="595"/>
      <c r="B16" s="598"/>
      <c r="C16" s="599"/>
      <c r="D16" s="429"/>
      <c r="E16" s="1086"/>
      <c r="F16" s="1086"/>
      <c r="G16" s="429">
        <v>0</v>
      </c>
      <c r="H16" s="429">
        <v>5</v>
      </c>
      <c r="I16" s="429">
        <v>10</v>
      </c>
      <c r="J16" s="1087">
        <f>I16*H16*G16</f>
        <v>0</v>
      </c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  <c r="AB16" s="283"/>
      <c r="AC16" s="283"/>
      <c r="AD16" s="283"/>
      <c r="AE16" s="283"/>
      <c r="AF16" s="283"/>
      <c r="AG16" s="283"/>
      <c r="AH16" s="283"/>
      <c r="AI16" s="283"/>
      <c r="AJ16" s="283"/>
      <c r="AK16" s="283"/>
      <c r="AL16" s="283"/>
      <c r="AM16" s="283"/>
      <c r="AN16" s="283"/>
      <c r="AO16" s="283"/>
      <c r="AP16" s="283"/>
      <c r="AQ16" s="283"/>
      <c r="AR16" s="283"/>
      <c r="AS16" s="283"/>
      <c r="AT16" s="283"/>
      <c r="AU16" s="283"/>
      <c r="AV16" s="283"/>
      <c r="AW16" s="283"/>
      <c r="AX16" s="283"/>
      <c r="AY16" s="283"/>
      <c r="AZ16" s="283"/>
      <c r="BA16" s="283"/>
      <c r="BB16" s="283"/>
      <c r="BC16" s="283"/>
      <c r="BD16" s="283"/>
      <c r="BE16" s="283"/>
      <c r="BF16" s="283"/>
      <c r="BG16" s="283"/>
      <c r="BH16" s="283"/>
      <c r="BI16" s="283"/>
      <c r="BJ16" s="283"/>
    </row>
    <row r="17" spans="1:62" ht="12.75" customHeight="1">
      <c r="A17" s="595"/>
      <c r="B17" s="598"/>
      <c r="C17" s="599"/>
      <c r="D17" s="429"/>
      <c r="E17" s="1086"/>
      <c r="F17" s="1086"/>
      <c r="G17" s="429"/>
      <c r="H17" s="429"/>
      <c r="I17" s="429"/>
      <c r="J17" s="1087"/>
      <c r="K17" s="283"/>
      <c r="L17" s="283"/>
      <c r="M17" s="283"/>
      <c r="N17" s="283"/>
      <c r="O17" s="283"/>
      <c r="P17" s="283"/>
      <c r="Q17" s="283"/>
      <c r="R17" s="283"/>
      <c r="S17" s="283"/>
      <c r="T17" s="283"/>
      <c r="U17" s="283"/>
      <c r="V17" s="283"/>
      <c r="W17" s="283"/>
      <c r="X17" s="283"/>
      <c r="Y17" s="283"/>
      <c r="Z17" s="283"/>
      <c r="AA17" s="283"/>
      <c r="AB17" s="283"/>
      <c r="AC17" s="283"/>
      <c r="AD17" s="283"/>
      <c r="AE17" s="283"/>
      <c r="AF17" s="283"/>
      <c r="AG17" s="283"/>
      <c r="AH17" s="283"/>
      <c r="AI17" s="283"/>
      <c r="AJ17" s="283"/>
      <c r="AK17" s="283"/>
      <c r="AL17" s="283"/>
      <c r="AM17" s="283"/>
      <c r="AN17" s="283"/>
      <c r="AO17" s="283"/>
      <c r="AP17" s="283"/>
      <c r="AQ17" s="283"/>
      <c r="AR17" s="283"/>
      <c r="AS17" s="283"/>
      <c r="AT17" s="283"/>
      <c r="AU17" s="283"/>
      <c r="AV17" s="283"/>
      <c r="AW17" s="283"/>
      <c r="AX17" s="283"/>
      <c r="AY17" s="283"/>
      <c r="AZ17" s="283"/>
      <c r="BA17" s="283"/>
      <c r="BB17" s="283"/>
      <c r="BC17" s="283"/>
      <c r="BD17" s="283"/>
      <c r="BE17" s="283"/>
      <c r="BF17" s="283"/>
      <c r="BG17" s="283"/>
      <c r="BH17" s="283"/>
      <c r="BI17" s="283"/>
      <c r="BJ17" s="283"/>
    </row>
    <row r="18" spans="1:62" ht="12.75" customHeight="1">
      <c r="A18" s="595"/>
      <c r="B18" s="598"/>
      <c r="C18" s="599"/>
      <c r="D18" s="1885" t="s">
        <v>249</v>
      </c>
      <c r="E18" s="1885"/>
      <c r="F18" s="1885"/>
      <c r="G18" s="1885"/>
      <c r="H18" s="1885"/>
      <c r="I18" s="1885"/>
      <c r="J18" s="1088">
        <f>SUM(J16:J17)</f>
        <v>0</v>
      </c>
      <c r="K18" s="283"/>
      <c r="L18" s="283"/>
      <c r="M18" s="283"/>
      <c r="N18" s="283"/>
      <c r="O18" s="283"/>
      <c r="P18" s="283"/>
      <c r="Q18" s="283"/>
      <c r="R18" s="283"/>
      <c r="S18" s="283"/>
      <c r="T18" s="283"/>
      <c r="U18" s="283"/>
      <c r="V18" s="283"/>
      <c r="W18" s="283"/>
      <c r="X18" s="283"/>
      <c r="Y18" s="283"/>
      <c r="Z18" s="283"/>
      <c r="AA18" s="283"/>
      <c r="AB18" s="283"/>
      <c r="AC18" s="283"/>
      <c r="AD18" s="283"/>
      <c r="AE18" s="283"/>
      <c r="AF18" s="283"/>
      <c r="AG18" s="283"/>
      <c r="AH18" s="283"/>
      <c r="AI18" s="283"/>
      <c r="AJ18" s="283"/>
      <c r="AK18" s="283"/>
      <c r="AL18" s="283"/>
      <c r="AM18" s="283"/>
      <c r="AN18" s="283"/>
      <c r="AO18" s="283"/>
      <c r="AP18" s="283"/>
      <c r="AQ18" s="283"/>
      <c r="AR18" s="283"/>
      <c r="AS18" s="283"/>
      <c r="AT18" s="283"/>
      <c r="AU18" s="283"/>
      <c r="AV18" s="283"/>
      <c r="AW18" s="283"/>
      <c r="AX18" s="283"/>
      <c r="AY18" s="283"/>
      <c r="AZ18" s="283"/>
      <c r="BA18" s="283"/>
      <c r="BB18" s="283"/>
      <c r="BC18" s="283"/>
      <c r="BD18" s="283"/>
      <c r="BE18" s="283"/>
      <c r="BF18" s="283"/>
      <c r="BG18" s="283"/>
      <c r="BH18" s="283"/>
      <c r="BI18" s="283"/>
      <c r="BJ18" s="283"/>
    </row>
    <row r="19" spans="1:62" ht="12.75" customHeight="1">
      <c r="A19" s="595"/>
      <c r="B19" s="598"/>
      <c r="C19" s="599"/>
      <c r="F19" s="368"/>
      <c r="G19" s="283"/>
      <c r="H19" s="283"/>
      <c r="I19" s="283"/>
      <c r="J19" s="283"/>
      <c r="K19" s="283"/>
      <c r="L19" s="283"/>
      <c r="M19" s="283"/>
      <c r="N19" s="283"/>
      <c r="O19" s="283"/>
      <c r="P19" s="283"/>
      <c r="Q19" s="283"/>
      <c r="R19" s="283"/>
      <c r="S19" s="283"/>
      <c r="T19" s="283"/>
      <c r="U19" s="283"/>
      <c r="V19" s="283"/>
      <c r="W19" s="283"/>
      <c r="X19" s="283"/>
      <c r="Y19" s="283"/>
      <c r="Z19" s="283"/>
      <c r="AA19" s="283"/>
      <c r="AB19" s="283"/>
      <c r="AC19" s="283"/>
      <c r="AD19" s="283"/>
      <c r="AE19" s="283"/>
      <c r="AF19" s="283"/>
      <c r="AG19" s="283"/>
      <c r="AH19" s="283"/>
      <c r="AI19" s="283"/>
      <c r="AJ19" s="283"/>
      <c r="AK19" s="283"/>
      <c r="AL19" s="283"/>
      <c r="AM19" s="283"/>
      <c r="AN19" s="283"/>
      <c r="AO19" s="283"/>
      <c r="AP19" s="283"/>
      <c r="AQ19" s="283"/>
      <c r="AR19" s="283"/>
      <c r="AS19" s="283"/>
      <c r="AT19" s="283"/>
      <c r="AU19" s="283"/>
      <c r="AV19" s="283"/>
      <c r="AW19" s="283"/>
      <c r="AX19" s="283"/>
      <c r="AY19" s="283"/>
      <c r="AZ19" s="283"/>
      <c r="BA19" s="283"/>
      <c r="BB19" s="283"/>
      <c r="BC19" s="283"/>
      <c r="BD19" s="283"/>
      <c r="BE19" s="283"/>
      <c r="BF19" s="283"/>
      <c r="BG19" s="283"/>
      <c r="BH19" s="283"/>
      <c r="BI19" s="283"/>
      <c r="BJ19" s="283"/>
    </row>
    <row r="20" spans="1:62" ht="12.75" customHeight="1">
      <c r="A20" s="595"/>
      <c r="B20" s="598"/>
      <c r="C20" s="599"/>
      <c r="F20" s="368"/>
      <c r="G20" s="283"/>
      <c r="H20" s="283"/>
      <c r="I20" s="283"/>
      <c r="J20" s="283"/>
      <c r="K20" s="283"/>
      <c r="L20" s="283"/>
      <c r="M20" s="283"/>
      <c r="N20" s="283"/>
      <c r="O20" s="283"/>
      <c r="P20" s="283"/>
      <c r="Q20" s="283"/>
      <c r="R20" s="283"/>
      <c r="S20" s="283"/>
      <c r="T20" s="283"/>
      <c r="U20" s="283"/>
      <c r="V20" s="283"/>
      <c r="W20" s="283"/>
      <c r="X20" s="283"/>
      <c r="Y20" s="283"/>
      <c r="Z20" s="283"/>
      <c r="AA20" s="283"/>
      <c r="AB20" s="283"/>
      <c r="AC20" s="283"/>
      <c r="AD20" s="283"/>
      <c r="AE20" s="283"/>
      <c r="AF20" s="283"/>
      <c r="AG20" s="283"/>
      <c r="AH20" s="283"/>
      <c r="AI20" s="283"/>
      <c r="AJ20" s="283"/>
      <c r="AK20" s="283"/>
      <c r="AL20" s="283"/>
      <c r="AM20" s="283"/>
      <c r="AN20" s="283"/>
      <c r="AO20" s="283"/>
      <c r="AP20" s="283"/>
      <c r="AQ20" s="283"/>
      <c r="AR20" s="283"/>
      <c r="AS20" s="283"/>
      <c r="AT20" s="283"/>
      <c r="AU20" s="283"/>
      <c r="AV20" s="283"/>
      <c r="AW20" s="283"/>
      <c r="AX20" s="283"/>
      <c r="AY20" s="283"/>
      <c r="AZ20" s="283"/>
      <c r="BA20" s="283"/>
      <c r="BB20" s="283"/>
      <c r="BC20" s="283"/>
      <c r="BD20" s="283"/>
      <c r="BE20" s="283"/>
      <c r="BF20" s="283"/>
      <c r="BG20" s="283"/>
      <c r="BH20" s="283"/>
      <c r="BI20" s="283"/>
      <c r="BJ20" s="283"/>
    </row>
    <row r="21" spans="1:62" ht="12.75" customHeight="1">
      <c r="A21" s="595"/>
      <c r="B21" s="598"/>
      <c r="C21" s="599"/>
      <c r="F21" s="368"/>
      <c r="G21" s="283"/>
      <c r="H21" s="283"/>
      <c r="I21" s="283"/>
      <c r="J21" s="283"/>
      <c r="K21" s="283"/>
      <c r="L21" s="283"/>
      <c r="M21" s="283"/>
      <c r="N21" s="283"/>
      <c r="O21" s="283"/>
      <c r="P21" s="283"/>
      <c r="Q21" s="283"/>
      <c r="R21" s="283"/>
      <c r="S21" s="283"/>
      <c r="T21" s="283"/>
      <c r="U21" s="283"/>
      <c r="V21" s="283"/>
      <c r="W21" s="283"/>
      <c r="X21" s="283"/>
      <c r="Y21" s="283"/>
      <c r="Z21" s="283"/>
      <c r="AA21" s="283"/>
      <c r="AB21" s="283"/>
      <c r="AC21" s="283"/>
      <c r="AD21" s="283"/>
      <c r="AE21" s="283"/>
      <c r="AF21" s="283"/>
      <c r="AG21" s="283"/>
      <c r="AH21" s="283"/>
      <c r="AI21" s="283"/>
      <c r="AJ21" s="283"/>
      <c r="AK21" s="283"/>
      <c r="AL21" s="283"/>
      <c r="AM21" s="283"/>
      <c r="AN21" s="283"/>
      <c r="AO21" s="283"/>
      <c r="AP21" s="283"/>
      <c r="AQ21" s="283"/>
      <c r="AR21" s="283"/>
      <c r="AS21" s="283"/>
      <c r="AT21" s="283"/>
      <c r="AU21" s="283"/>
      <c r="AV21" s="283"/>
      <c r="AW21" s="283"/>
      <c r="AX21" s="283"/>
      <c r="AY21" s="283"/>
      <c r="AZ21" s="283"/>
      <c r="BA21" s="283"/>
      <c r="BB21" s="283"/>
      <c r="BC21" s="283"/>
      <c r="BD21" s="283"/>
      <c r="BE21" s="283"/>
      <c r="BF21" s="283"/>
      <c r="BG21" s="283"/>
      <c r="BH21" s="283"/>
      <c r="BI21" s="283"/>
      <c r="BJ21" s="283"/>
    </row>
    <row r="22" spans="1:62" ht="12.75" customHeight="1">
      <c r="A22" s="595"/>
      <c r="B22" s="598"/>
      <c r="C22" s="599"/>
      <c r="F22" s="368"/>
      <c r="G22" s="283"/>
      <c r="H22" s="283"/>
      <c r="I22" s="283"/>
      <c r="J22" s="283"/>
      <c r="K22" s="283"/>
      <c r="L22" s="283"/>
      <c r="M22" s="283"/>
      <c r="N22" s="283"/>
      <c r="O22" s="283"/>
      <c r="P22" s="283"/>
      <c r="Q22" s="283"/>
      <c r="R22" s="283"/>
      <c r="S22" s="283"/>
      <c r="T22" s="283"/>
      <c r="U22" s="283"/>
      <c r="V22" s="283"/>
      <c r="W22" s="283"/>
      <c r="X22" s="283"/>
      <c r="Y22" s="283"/>
      <c r="Z22" s="283"/>
      <c r="AA22" s="283"/>
      <c r="AB22" s="283"/>
      <c r="AC22" s="283"/>
      <c r="AD22" s="283"/>
      <c r="AE22" s="283"/>
      <c r="AF22" s="283"/>
      <c r="AG22" s="283"/>
      <c r="AH22" s="283"/>
      <c r="AI22" s="283"/>
      <c r="AJ22" s="283"/>
      <c r="AK22" s="283"/>
      <c r="AL22" s="283"/>
      <c r="AM22" s="283"/>
      <c r="AN22" s="283"/>
      <c r="AO22" s="283"/>
      <c r="AP22" s="283"/>
      <c r="AQ22" s="283"/>
      <c r="AR22" s="283"/>
      <c r="AS22" s="283"/>
      <c r="AT22" s="283"/>
      <c r="AU22" s="283"/>
      <c r="AV22" s="283"/>
      <c r="AW22" s="283"/>
      <c r="AX22" s="283"/>
      <c r="AY22" s="283"/>
      <c r="AZ22" s="283"/>
      <c r="BA22" s="283"/>
      <c r="BB22" s="283"/>
      <c r="BC22" s="283"/>
      <c r="BD22" s="283"/>
      <c r="BE22" s="283"/>
      <c r="BF22" s="283"/>
      <c r="BG22" s="283"/>
      <c r="BH22" s="283"/>
      <c r="BI22" s="283"/>
      <c r="BJ22" s="283"/>
    </row>
    <row r="23" spans="1:62" ht="12.75" customHeight="1">
      <c r="A23" s="595"/>
      <c r="B23" s="598"/>
      <c r="C23" s="599"/>
      <c r="F23" s="368"/>
      <c r="G23" s="283"/>
      <c r="H23" s="283"/>
      <c r="I23" s="283"/>
      <c r="J23" s="283"/>
      <c r="K23" s="283"/>
      <c r="L23" s="283"/>
      <c r="M23" s="283"/>
      <c r="N23" s="283"/>
      <c r="O23" s="283"/>
      <c r="P23" s="283"/>
      <c r="Q23" s="283"/>
      <c r="R23" s="283"/>
      <c r="S23" s="283"/>
      <c r="T23" s="283"/>
      <c r="U23" s="283"/>
      <c r="V23" s="283"/>
      <c r="W23" s="283"/>
      <c r="X23" s="283"/>
      <c r="Y23" s="283"/>
      <c r="Z23" s="283"/>
      <c r="AA23" s="283"/>
      <c r="AB23" s="283"/>
      <c r="AC23" s="283"/>
      <c r="AD23" s="283"/>
      <c r="AE23" s="283"/>
      <c r="AF23" s="283"/>
      <c r="AG23" s="283"/>
      <c r="AH23" s="283"/>
      <c r="AI23" s="283"/>
      <c r="AJ23" s="283"/>
      <c r="AK23" s="283"/>
      <c r="AL23" s="283"/>
      <c r="AM23" s="283"/>
      <c r="AN23" s="283"/>
      <c r="AO23" s="283"/>
      <c r="AP23" s="283"/>
      <c r="AQ23" s="283"/>
      <c r="AR23" s="283"/>
      <c r="AS23" s="283"/>
      <c r="AT23" s="283"/>
      <c r="AU23" s="283"/>
      <c r="AV23" s="283"/>
      <c r="AW23" s="283"/>
      <c r="AX23" s="283"/>
      <c r="AY23" s="283"/>
      <c r="AZ23" s="283"/>
      <c r="BA23" s="283"/>
      <c r="BB23" s="283"/>
      <c r="BC23" s="283"/>
      <c r="BD23" s="283"/>
      <c r="BE23" s="283"/>
      <c r="BF23" s="283"/>
      <c r="BG23" s="283"/>
      <c r="BH23" s="283"/>
      <c r="BI23" s="283"/>
      <c r="BJ23" s="283"/>
    </row>
    <row r="24" spans="1:62" ht="12.75" customHeight="1">
      <c r="A24" s="595"/>
      <c r="B24" s="598"/>
      <c r="C24" s="599"/>
      <c r="F24" s="368"/>
      <c r="G24" s="283"/>
      <c r="H24" s="283"/>
      <c r="I24" s="283"/>
      <c r="J24" s="283"/>
      <c r="K24" s="283"/>
      <c r="L24" s="283"/>
      <c r="M24" s="283"/>
      <c r="N24" s="283"/>
      <c r="O24" s="283"/>
      <c r="P24" s="283"/>
      <c r="Q24" s="283"/>
      <c r="R24" s="283"/>
      <c r="S24" s="283"/>
      <c r="T24" s="283"/>
      <c r="U24" s="283"/>
      <c r="V24" s="283"/>
      <c r="W24" s="283"/>
      <c r="X24" s="283"/>
      <c r="Y24" s="283"/>
      <c r="Z24" s="283"/>
      <c r="AA24" s="283"/>
      <c r="AB24" s="283"/>
      <c r="AC24" s="283"/>
      <c r="AD24" s="283"/>
      <c r="AE24" s="283"/>
      <c r="AF24" s="283"/>
      <c r="AG24" s="283"/>
      <c r="AH24" s="283"/>
      <c r="AI24" s="283"/>
      <c r="AJ24" s="283"/>
      <c r="AK24" s="283"/>
      <c r="AL24" s="283"/>
      <c r="AM24" s="283"/>
      <c r="AN24" s="283"/>
      <c r="AO24" s="283"/>
      <c r="AP24" s="283"/>
      <c r="AQ24" s="283"/>
      <c r="AR24" s="283"/>
      <c r="AS24" s="283"/>
      <c r="AT24" s="283"/>
      <c r="AU24" s="283"/>
      <c r="AV24" s="283"/>
      <c r="AW24" s="283"/>
      <c r="AX24" s="283"/>
      <c r="AY24" s="283"/>
      <c r="AZ24" s="283"/>
      <c r="BA24" s="283"/>
      <c r="BB24" s="283"/>
      <c r="BC24" s="283"/>
      <c r="BD24" s="283"/>
      <c r="BE24" s="283"/>
      <c r="BF24" s="283"/>
      <c r="BG24" s="283"/>
      <c r="BH24" s="283"/>
      <c r="BI24" s="283"/>
      <c r="BJ24" s="283"/>
    </row>
    <row r="25" spans="1:62" ht="12.75" customHeight="1">
      <c r="A25" s="595"/>
      <c r="B25" s="598"/>
      <c r="C25" s="599"/>
      <c r="F25" s="368"/>
      <c r="G25" s="283"/>
      <c r="H25" s="283"/>
      <c r="I25" s="283"/>
      <c r="J25" s="283"/>
      <c r="K25" s="283"/>
      <c r="L25" s="283"/>
      <c r="M25" s="283"/>
      <c r="N25" s="283"/>
      <c r="O25" s="283"/>
      <c r="P25" s="283"/>
      <c r="Q25" s="283"/>
      <c r="R25" s="283"/>
      <c r="S25" s="283"/>
      <c r="T25" s="283"/>
      <c r="U25" s="283"/>
      <c r="V25" s="283"/>
      <c r="W25" s="283"/>
      <c r="X25" s="283"/>
      <c r="Y25" s="283"/>
      <c r="Z25" s="283"/>
      <c r="AA25" s="283"/>
      <c r="AB25" s="283"/>
      <c r="AC25" s="283"/>
      <c r="AD25" s="283"/>
      <c r="AE25" s="283"/>
      <c r="AF25" s="283"/>
      <c r="AG25" s="283"/>
      <c r="AH25" s="283"/>
      <c r="AI25" s="283"/>
      <c r="AJ25" s="283"/>
      <c r="AK25" s="283"/>
      <c r="AL25" s="283"/>
      <c r="AM25" s="283"/>
      <c r="AN25" s="283"/>
      <c r="AO25" s="283"/>
      <c r="AP25" s="283"/>
      <c r="AQ25" s="283"/>
      <c r="AR25" s="283"/>
      <c r="AS25" s="283"/>
      <c r="AT25" s="283"/>
      <c r="AU25" s="283"/>
      <c r="AV25" s="283"/>
      <c r="AW25" s="283"/>
      <c r="AX25" s="283"/>
      <c r="AY25" s="283"/>
      <c r="AZ25" s="283"/>
      <c r="BA25" s="283"/>
      <c r="BB25" s="283"/>
      <c r="BC25" s="283"/>
      <c r="BD25" s="283"/>
      <c r="BE25" s="283"/>
      <c r="BF25" s="283"/>
      <c r="BG25" s="283"/>
      <c r="BH25" s="283"/>
      <c r="BI25" s="283"/>
      <c r="BJ25" s="283"/>
    </row>
    <row r="26" spans="1:62" ht="12.75" customHeight="1">
      <c r="A26" s="595"/>
      <c r="B26" s="598"/>
      <c r="C26" s="599"/>
      <c r="F26" s="368"/>
      <c r="G26" s="283"/>
      <c r="H26" s="283"/>
      <c r="I26" s="283"/>
      <c r="J26" s="283"/>
      <c r="K26" s="283"/>
      <c r="L26" s="283"/>
      <c r="M26" s="283"/>
      <c r="N26" s="283"/>
      <c r="O26" s="283"/>
      <c r="P26" s="283"/>
      <c r="Q26" s="283"/>
      <c r="R26" s="283"/>
      <c r="S26" s="283"/>
      <c r="T26" s="283"/>
      <c r="U26" s="283"/>
      <c r="V26" s="283"/>
      <c r="W26" s="283"/>
      <c r="X26" s="283"/>
      <c r="Y26" s="283"/>
      <c r="Z26" s="283"/>
      <c r="AA26" s="283"/>
      <c r="AB26" s="283"/>
      <c r="AC26" s="283"/>
      <c r="AD26" s="283"/>
      <c r="AE26" s="283"/>
      <c r="AF26" s="283"/>
      <c r="AG26" s="283"/>
      <c r="AH26" s="283"/>
      <c r="AI26" s="283"/>
      <c r="AJ26" s="283"/>
      <c r="AK26" s="283"/>
      <c r="AL26" s="283"/>
      <c r="AM26" s="283"/>
      <c r="AN26" s="283"/>
      <c r="AO26" s="283"/>
      <c r="AP26" s="283"/>
      <c r="AQ26" s="283"/>
      <c r="AR26" s="283"/>
      <c r="AS26" s="283"/>
      <c r="AT26" s="283"/>
      <c r="AU26" s="283"/>
      <c r="AV26" s="283"/>
      <c r="AW26" s="283"/>
      <c r="AX26" s="283"/>
      <c r="AY26" s="283"/>
      <c r="AZ26" s="283"/>
      <c r="BA26" s="283"/>
      <c r="BB26" s="283"/>
      <c r="BC26" s="283"/>
      <c r="BD26" s="283"/>
      <c r="BE26" s="283"/>
      <c r="BF26" s="283"/>
      <c r="BG26" s="283"/>
      <c r="BH26" s="283"/>
      <c r="BI26" s="283"/>
      <c r="BJ26" s="283"/>
    </row>
    <row r="27" spans="1:62" ht="12.75" customHeight="1">
      <c r="A27" s="595"/>
      <c r="B27" s="598"/>
      <c r="C27" s="599"/>
      <c r="F27" s="368"/>
      <c r="G27" s="283"/>
      <c r="H27" s="283"/>
      <c r="I27" s="283"/>
      <c r="J27" s="283"/>
      <c r="K27" s="283"/>
      <c r="L27" s="283"/>
      <c r="M27" s="283"/>
      <c r="N27" s="283"/>
      <c r="O27" s="283"/>
      <c r="P27" s="283"/>
      <c r="Q27" s="283"/>
      <c r="R27" s="283"/>
      <c r="S27" s="283"/>
      <c r="T27" s="283"/>
      <c r="U27" s="283"/>
      <c r="V27" s="283"/>
      <c r="W27" s="283"/>
      <c r="X27" s="283"/>
      <c r="Y27" s="283"/>
      <c r="Z27" s="283"/>
      <c r="AA27" s="283"/>
      <c r="AB27" s="283"/>
      <c r="AC27" s="283"/>
      <c r="AD27" s="283"/>
      <c r="AE27" s="283"/>
      <c r="AF27" s="283"/>
      <c r="AG27" s="283"/>
      <c r="AH27" s="283"/>
      <c r="AI27" s="283"/>
      <c r="AJ27" s="283"/>
      <c r="AK27" s="283"/>
      <c r="AL27" s="283"/>
      <c r="AM27" s="283"/>
      <c r="AN27" s="283"/>
      <c r="AO27" s="283"/>
      <c r="AP27" s="283"/>
      <c r="AQ27" s="283"/>
      <c r="AR27" s="283"/>
      <c r="AS27" s="283"/>
      <c r="AT27" s="283"/>
      <c r="AU27" s="283"/>
      <c r="AV27" s="283"/>
      <c r="AW27" s="283"/>
      <c r="AX27" s="283"/>
      <c r="AY27" s="283"/>
      <c r="AZ27" s="283"/>
      <c r="BA27" s="283"/>
      <c r="BB27" s="283"/>
      <c r="BC27" s="283"/>
      <c r="BD27" s="283"/>
      <c r="BE27" s="283"/>
      <c r="BF27" s="283"/>
      <c r="BG27" s="283"/>
      <c r="BH27" s="283"/>
      <c r="BI27" s="283"/>
      <c r="BJ27" s="283"/>
    </row>
    <row r="28" spans="1:62" ht="12.75" customHeight="1">
      <c r="A28" s="595"/>
      <c r="B28" s="598"/>
      <c r="C28" s="599"/>
      <c r="F28" s="368"/>
      <c r="G28" s="283"/>
      <c r="H28" s="283"/>
      <c r="I28" s="283"/>
      <c r="J28" s="283"/>
      <c r="K28" s="283"/>
      <c r="L28" s="283"/>
      <c r="M28" s="283"/>
      <c r="N28" s="283"/>
      <c r="O28" s="283"/>
      <c r="P28" s="283"/>
      <c r="Q28" s="283"/>
      <c r="R28" s="283"/>
      <c r="S28" s="283"/>
      <c r="T28" s="283"/>
      <c r="U28" s="283"/>
      <c r="V28" s="283"/>
      <c r="W28" s="283"/>
      <c r="X28" s="283"/>
      <c r="Y28" s="283"/>
      <c r="Z28" s="283"/>
      <c r="AA28" s="283"/>
      <c r="AB28" s="283"/>
      <c r="AC28" s="283"/>
      <c r="AD28" s="283"/>
      <c r="AE28" s="283"/>
      <c r="AF28" s="283"/>
      <c r="AG28" s="283"/>
      <c r="AH28" s="283"/>
      <c r="AI28" s="283"/>
      <c r="AJ28" s="283"/>
      <c r="AK28" s="283"/>
      <c r="AL28" s="283"/>
      <c r="AM28" s="283"/>
      <c r="AN28" s="283"/>
      <c r="AO28" s="283"/>
      <c r="AP28" s="283"/>
      <c r="AQ28" s="283"/>
      <c r="AR28" s="283"/>
      <c r="AS28" s="283"/>
      <c r="AT28" s="283"/>
      <c r="AU28" s="283"/>
      <c r="AV28" s="283"/>
      <c r="AW28" s="283"/>
      <c r="AX28" s="283"/>
      <c r="AY28" s="283"/>
      <c r="AZ28" s="283"/>
      <c r="BA28" s="283"/>
      <c r="BB28" s="283"/>
      <c r="BC28" s="283"/>
      <c r="BD28" s="283"/>
      <c r="BE28" s="283"/>
      <c r="BF28" s="283"/>
      <c r="BG28" s="283"/>
      <c r="BH28" s="283"/>
      <c r="BI28" s="283"/>
      <c r="BJ28" s="283"/>
    </row>
    <row r="29" spans="1:62" ht="12.75" customHeight="1">
      <c r="A29" s="595"/>
      <c r="B29" s="598"/>
      <c r="C29" s="599"/>
      <c r="F29" s="368"/>
      <c r="G29" s="283"/>
      <c r="H29" s="283"/>
      <c r="I29" s="283"/>
      <c r="J29" s="283"/>
      <c r="K29" s="283"/>
      <c r="L29" s="283"/>
      <c r="M29" s="283"/>
      <c r="N29" s="283"/>
      <c r="O29" s="283"/>
      <c r="P29" s="283"/>
      <c r="Q29" s="283"/>
      <c r="R29" s="283"/>
      <c r="S29" s="283"/>
      <c r="T29" s="283"/>
      <c r="U29" s="283"/>
      <c r="V29" s="283"/>
      <c r="W29" s="283"/>
      <c r="X29" s="283"/>
      <c r="Y29" s="283"/>
      <c r="Z29" s="283"/>
      <c r="AA29" s="283"/>
      <c r="AB29" s="283"/>
      <c r="AC29" s="283"/>
      <c r="AD29" s="283"/>
      <c r="AE29" s="283"/>
      <c r="AF29" s="283"/>
      <c r="AG29" s="283"/>
      <c r="AH29" s="283"/>
      <c r="AI29" s="283"/>
      <c r="AJ29" s="283"/>
      <c r="AK29" s="283"/>
      <c r="AL29" s="283"/>
      <c r="AM29" s="283"/>
      <c r="AN29" s="283"/>
      <c r="AO29" s="283"/>
      <c r="AP29" s="283"/>
      <c r="AQ29" s="283"/>
      <c r="AR29" s="283"/>
      <c r="AS29" s="283"/>
      <c r="AT29" s="283"/>
      <c r="AU29" s="283"/>
      <c r="AV29" s="283"/>
      <c r="AW29" s="283"/>
      <c r="AX29" s="283"/>
      <c r="AY29" s="283"/>
      <c r="AZ29" s="283"/>
      <c r="BA29" s="283"/>
      <c r="BB29" s="283"/>
      <c r="BC29" s="283"/>
      <c r="BD29" s="283"/>
      <c r="BE29" s="283"/>
      <c r="BF29" s="283"/>
      <c r="BG29" s="283"/>
      <c r="BH29" s="283"/>
      <c r="BI29" s="283"/>
      <c r="BJ29" s="283"/>
    </row>
    <row r="30" spans="1:62" ht="12.75" customHeight="1">
      <c r="A30" s="595"/>
      <c r="B30" s="598"/>
      <c r="C30" s="599"/>
      <c r="F30" s="368"/>
      <c r="G30" s="283"/>
      <c r="H30" s="283"/>
      <c r="I30" s="283"/>
      <c r="J30" s="283"/>
      <c r="K30" s="283"/>
      <c r="L30" s="283"/>
      <c r="M30" s="283"/>
      <c r="N30" s="283"/>
      <c r="O30" s="283"/>
      <c r="P30" s="283"/>
      <c r="Q30" s="283"/>
      <c r="R30" s="283"/>
      <c r="S30" s="283"/>
      <c r="T30" s="283"/>
      <c r="U30" s="283"/>
      <c r="V30" s="283"/>
      <c r="W30" s="283"/>
      <c r="X30" s="283"/>
      <c r="Y30" s="283"/>
      <c r="Z30" s="283"/>
      <c r="AA30" s="283"/>
      <c r="AB30" s="283"/>
      <c r="AC30" s="283"/>
      <c r="AD30" s="283"/>
      <c r="AE30" s="283"/>
      <c r="AF30" s="283"/>
      <c r="AG30" s="283"/>
      <c r="AH30" s="283"/>
      <c r="AI30" s="283"/>
      <c r="AJ30" s="283"/>
      <c r="AK30" s="283"/>
      <c r="AL30" s="283"/>
      <c r="AM30" s="283"/>
      <c r="AN30" s="283"/>
      <c r="AO30" s="283"/>
      <c r="AP30" s="283"/>
      <c r="AQ30" s="283"/>
      <c r="AR30" s="283"/>
      <c r="AS30" s="283"/>
      <c r="AT30" s="283"/>
      <c r="AU30" s="283"/>
      <c r="AV30" s="283"/>
      <c r="AW30" s="283"/>
      <c r="AX30" s="283"/>
      <c r="AY30" s="283"/>
      <c r="AZ30" s="283"/>
      <c r="BA30" s="283"/>
      <c r="BB30" s="283"/>
      <c r="BC30" s="283"/>
      <c r="BD30" s="283"/>
      <c r="BE30" s="283"/>
      <c r="BF30" s="283"/>
      <c r="BG30" s="283"/>
      <c r="BH30" s="283"/>
      <c r="BI30" s="283"/>
      <c r="BJ30" s="283"/>
    </row>
    <row r="31" spans="1:62" ht="12.75" customHeight="1">
      <c r="A31" s="595"/>
      <c r="B31" s="598"/>
      <c r="C31" s="599"/>
      <c r="F31" s="368"/>
      <c r="G31" s="283"/>
      <c r="H31" s="283"/>
      <c r="I31" s="283"/>
      <c r="J31" s="283"/>
      <c r="K31" s="283"/>
      <c r="L31" s="283"/>
      <c r="M31" s="283"/>
      <c r="N31" s="283"/>
      <c r="O31" s="283"/>
      <c r="P31" s="283"/>
      <c r="Q31" s="283"/>
      <c r="R31" s="283"/>
      <c r="S31" s="283"/>
      <c r="T31" s="283"/>
      <c r="U31" s="283"/>
      <c r="V31" s="283"/>
      <c r="W31" s="283"/>
      <c r="X31" s="283"/>
      <c r="Y31" s="283"/>
      <c r="Z31" s="283"/>
      <c r="AA31" s="283"/>
      <c r="AB31" s="283"/>
      <c r="AC31" s="283"/>
      <c r="AD31" s="283"/>
      <c r="AE31" s="283"/>
      <c r="AF31" s="283"/>
      <c r="AG31" s="283"/>
      <c r="AH31" s="283"/>
      <c r="AI31" s="283"/>
      <c r="AJ31" s="283"/>
      <c r="AK31" s="283"/>
      <c r="AL31" s="283"/>
      <c r="AM31" s="283"/>
      <c r="AN31" s="283"/>
      <c r="AO31" s="283"/>
      <c r="AP31" s="283"/>
      <c r="AQ31" s="283"/>
      <c r="AR31" s="283"/>
      <c r="AS31" s="283"/>
      <c r="AT31" s="283"/>
      <c r="AU31" s="283"/>
      <c r="AV31" s="283"/>
      <c r="AW31" s="283"/>
      <c r="AX31" s="283"/>
      <c r="AY31" s="283"/>
      <c r="AZ31" s="283"/>
      <c r="BA31" s="283"/>
      <c r="BB31" s="283"/>
      <c r="BC31" s="283"/>
      <c r="BD31" s="283"/>
      <c r="BE31" s="283"/>
      <c r="BF31" s="283"/>
      <c r="BG31" s="283"/>
      <c r="BH31" s="283"/>
      <c r="BI31" s="283"/>
      <c r="BJ31" s="283"/>
    </row>
    <row r="32" spans="1:62" ht="12.75" customHeight="1">
      <c r="A32" s="595"/>
      <c r="B32" s="598"/>
      <c r="C32" s="599"/>
      <c r="F32" s="368"/>
      <c r="G32" s="283"/>
      <c r="H32" s="283"/>
      <c r="I32" s="283"/>
      <c r="J32" s="283"/>
      <c r="K32" s="283"/>
      <c r="L32" s="283"/>
      <c r="M32" s="283"/>
      <c r="N32" s="283"/>
      <c r="O32" s="283"/>
      <c r="P32" s="283"/>
      <c r="Q32" s="283"/>
      <c r="R32" s="283"/>
      <c r="S32" s="283"/>
      <c r="T32" s="283"/>
      <c r="U32" s="283"/>
      <c r="V32" s="283"/>
      <c r="W32" s="283"/>
      <c r="X32" s="283"/>
      <c r="Y32" s="283"/>
      <c r="Z32" s="283"/>
      <c r="AA32" s="283"/>
      <c r="AB32" s="283"/>
      <c r="AC32" s="283"/>
      <c r="AD32" s="283"/>
      <c r="AE32" s="283"/>
      <c r="AF32" s="283"/>
      <c r="AG32" s="283"/>
      <c r="AH32" s="283"/>
      <c r="AI32" s="283"/>
      <c r="AJ32" s="283"/>
      <c r="AK32" s="283"/>
      <c r="AL32" s="283"/>
      <c r="AM32" s="283"/>
      <c r="AN32" s="283"/>
      <c r="AO32" s="283"/>
      <c r="AP32" s="283"/>
      <c r="AQ32" s="283"/>
      <c r="AR32" s="283"/>
      <c r="AS32" s="283"/>
      <c r="AT32" s="283"/>
      <c r="AU32" s="283"/>
      <c r="AV32" s="283"/>
      <c r="AW32" s="283"/>
      <c r="AX32" s="283"/>
      <c r="AY32" s="283"/>
      <c r="AZ32" s="283"/>
      <c r="BA32" s="283"/>
      <c r="BB32" s="283"/>
      <c r="BC32" s="283"/>
      <c r="BD32" s="283"/>
      <c r="BE32" s="283"/>
      <c r="BF32" s="283"/>
      <c r="BG32" s="283"/>
      <c r="BH32" s="283"/>
      <c r="BI32" s="283"/>
      <c r="BJ32" s="283"/>
    </row>
    <row r="33" spans="1:62" ht="12.75" customHeight="1">
      <c r="A33" s="595"/>
      <c r="B33" s="598"/>
      <c r="C33" s="599"/>
      <c r="F33" s="368"/>
      <c r="G33" s="283"/>
      <c r="H33" s="283"/>
      <c r="I33" s="283"/>
      <c r="J33" s="283"/>
      <c r="K33" s="283"/>
      <c r="L33" s="283"/>
      <c r="M33" s="283"/>
      <c r="N33" s="283"/>
      <c r="O33" s="283"/>
      <c r="P33" s="283"/>
      <c r="Q33" s="283"/>
      <c r="R33" s="283"/>
      <c r="S33" s="283"/>
      <c r="T33" s="283"/>
      <c r="U33" s="283"/>
      <c r="V33" s="283"/>
      <c r="W33" s="283"/>
      <c r="X33" s="283"/>
      <c r="Y33" s="283"/>
      <c r="Z33" s="283"/>
      <c r="AA33" s="283"/>
      <c r="AB33" s="283"/>
      <c r="AC33" s="283"/>
      <c r="AD33" s="283"/>
      <c r="AE33" s="283"/>
      <c r="AF33" s="283"/>
      <c r="AG33" s="283"/>
      <c r="AH33" s="283"/>
      <c r="AI33" s="283"/>
      <c r="AJ33" s="283"/>
      <c r="AK33" s="283"/>
      <c r="AL33" s="283"/>
      <c r="AM33" s="283"/>
      <c r="AN33" s="283"/>
      <c r="AO33" s="283"/>
      <c r="AP33" s="283"/>
      <c r="AQ33" s="283"/>
      <c r="AR33" s="283"/>
      <c r="AS33" s="283"/>
      <c r="AT33" s="283"/>
      <c r="AU33" s="283"/>
      <c r="AV33" s="283"/>
      <c r="AW33" s="283"/>
      <c r="AX33" s="283"/>
      <c r="AY33" s="283"/>
      <c r="AZ33" s="283"/>
      <c r="BA33" s="283"/>
      <c r="BB33" s="283"/>
      <c r="BC33" s="283"/>
      <c r="BD33" s="283"/>
      <c r="BE33" s="283"/>
      <c r="BF33" s="283"/>
      <c r="BG33" s="283"/>
      <c r="BH33" s="283"/>
      <c r="BI33" s="283"/>
      <c r="BJ33" s="283"/>
    </row>
    <row r="34" spans="1:62" ht="12.75" customHeight="1">
      <c r="A34" s="595"/>
      <c r="B34" s="598"/>
      <c r="C34" s="599"/>
      <c r="F34" s="368"/>
      <c r="G34" s="283"/>
      <c r="H34" s="283"/>
      <c r="I34" s="283"/>
      <c r="J34" s="283"/>
      <c r="K34" s="283"/>
      <c r="L34" s="283"/>
      <c r="M34" s="283"/>
      <c r="N34" s="283"/>
      <c r="O34" s="283"/>
      <c r="P34" s="283"/>
      <c r="Q34" s="283"/>
      <c r="R34" s="283"/>
      <c r="S34" s="283"/>
      <c r="T34" s="283"/>
      <c r="U34" s="283"/>
      <c r="V34" s="283"/>
      <c r="W34" s="283"/>
      <c r="X34" s="283"/>
      <c r="Y34" s="283"/>
      <c r="Z34" s="283"/>
      <c r="AA34" s="283"/>
      <c r="AB34" s="283"/>
      <c r="AC34" s="283"/>
      <c r="AD34" s="283"/>
      <c r="AE34" s="283"/>
      <c r="AF34" s="283"/>
      <c r="AG34" s="283"/>
      <c r="AH34" s="283"/>
      <c r="AI34" s="283"/>
      <c r="AJ34" s="283"/>
      <c r="AK34" s="283"/>
      <c r="AL34" s="283"/>
      <c r="AM34" s="283"/>
      <c r="AN34" s="283"/>
      <c r="AO34" s="283"/>
      <c r="AP34" s="283"/>
      <c r="AQ34" s="283"/>
      <c r="AR34" s="283"/>
      <c r="AS34" s="283"/>
      <c r="AT34" s="283"/>
      <c r="AU34" s="283"/>
      <c r="AV34" s="283"/>
      <c r="AW34" s="283"/>
      <c r="AX34" s="283"/>
      <c r="AY34" s="283"/>
      <c r="AZ34" s="283"/>
      <c r="BA34" s="283"/>
      <c r="BB34" s="283"/>
      <c r="BC34" s="283"/>
      <c r="BD34" s="283"/>
      <c r="BE34" s="283"/>
      <c r="BF34" s="283"/>
      <c r="BG34" s="283"/>
      <c r="BH34" s="283"/>
      <c r="BI34" s="283"/>
      <c r="BJ34" s="283"/>
    </row>
    <row r="35" spans="1:62" ht="12.75" customHeight="1">
      <c r="A35" s="595"/>
      <c r="B35" s="598"/>
      <c r="C35" s="599"/>
      <c r="F35" s="368"/>
      <c r="G35" s="283"/>
      <c r="H35" s="283"/>
      <c r="I35" s="283"/>
      <c r="J35" s="283"/>
      <c r="K35" s="283"/>
      <c r="L35" s="283"/>
      <c r="M35" s="283"/>
      <c r="N35" s="283"/>
      <c r="O35" s="283"/>
      <c r="P35" s="283"/>
      <c r="Q35" s="283"/>
      <c r="R35" s="283"/>
      <c r="S35" s="283"/>
      <c r="T35" s="283"/>
      <c r="U35" s="283"/>
      <c r="V35" s="283"/>
      <c r="W35" s="283"/>
      <c r="X35" s="283"/>
      <c r="Y35" s="283"/>
      <c r="Z35" s="283"/>
      <c r="AA35" s="283"/>
      <c r="AB35" s="283"/>
      <c r="AC35" s="283"/>
      <c r="AD35" s="283"/>
      <c r="AE35" s="283"/>
      <c r="AF35" s="283"/>
      <c r="AG35" s="283"/>
      <c r="AH35" s="283"/>
      <c r="AI35" s="283"/>
      <c r="AJ35" s="283"/>
      <c r="AK35" s="283"/>
      <c r="AL35" s="283"/>
      <c r="AM35" s="283"/>
      <c r="AN35" s="283"/>
      <c r="AO35" s="283"/>
      <c r="AP35" s="283"/>
      <c r="AQ35" s="283"/>
      <c r="AR35" s="283"/>
      <c r="AS35" s="283"/>
      <c r="AT35" s="283"/>
      <c r="AU35" s="283"/>
      <c r="AV35" s="283"/>
      <c r="AW35" s="283"/>
      <c r="AX35" s="283"/>
      <c r="AY35" s="283"/>
      <c r="AZ35" s="283"/>
      <c r="BA35" s="283"/>
      <c r="BB35" s="283"/>
      <c r="BC35" s="283"/>
      <c r="BD35" s="283"/>
      <c r="BE35" s="283"/>
      <c r="BF35" s="283"/>
      <c r="BG35" s="283"/>
      <c r="BH35" s="283"/>
      <c r="BI35" s="283"/>
      <c r="BJ35" s="283"/>
    </row>
    <row r="36" spans="1:62" ht="12.75" customHeight="1">
      <c r="A36" s="595"/>
      <c r="B36" s="598"/>
      <c r="C36" s="599"/>
      <c r="F36" s="368"/>
      <c r="G36" s="283"/>
      <c r="H36" s="283"/>
      <c r="I36" s="283"/>
      <c r="J36" s="283"/>
      <c r="K36" s="283"/>
      <c r="L36" s="283"/>
      <c r="M36" s="283"/>
      <c r="N36" s="283"/>
      <c r="O36" s="283"/>
      <c r="P36" s="283"/>
      <c r="Q36" s="283"/>
      <c r="R36" s="283"/>
      <c r="S36" s="283"/>
      <c r="T36" s="283"/>
      <c r="U36" s="283"/>
      <c r="V36" s="283"/>
      <c r="W36" s="283"/>
      <c r="X36" s="283"/>
      <c r="Y36" s="283"/>
      <c r="Z36" s="283"/>
      <c r="AA36" s="283"/>
      <c r="AB36" s="283"/>
      <c r="AC36" s="283"/>
      <c r="AD36" s="283"/>
      <c r="AE36" s="283"/>
      <c r="AF36" s="283"/>
      <c r="AG36" s="283"/>
      <c r="AH36" s="283"/>
      <c r="AI36" s="283"/>
      <c r="AJ36" s="283"/>
      <c r="AK36" s="283"/>
      <c r="AL36" s="283"/>
      <c r="AM36" s="283"/>
      <c r="AN36" s="283"/>
      <c r="AO36" s="283"/>
      <c r="AP36" s="283"/>
      <c r="AQ36" s="283"/>
      <c r="AR36" s="283"/>
      <c r="AS36" s="283"/>
      <c r="AT36" s="283"/>
      <c r="AU36" s="283"/>
      <c r="AV36" s="283"/>
      <c r="AW36" s="283"/>
      <c r="AX36" s="283"/>
      <c r="AY36" s="283"/>
      <c r="AZ36" s="283"/>
      <c r="BA36" s="283"/>
      <c r="BB36" s="283"/>
      <c r="BC36" s="283"/>
      <c r="BD36" s="283"/>
      <c r="BE36" s="283"/>
      <c r="BF36" s="283"/>
      <c r="BG36" s="283"/>
      <c r="BH36" s="283"/>
      <c r="BI36" s="283"/>
      <c r="BJ36" s="283"/>
    </row>
    <row r="37" spans="1:62" ht="12.75" customHeight="1">
      <c r="A37" s="595"/>
      <c r="B37" s="598"/>
      <c r="C37" s="599"/>
      <c r="F37" s="368"/>
      <c r="G37" s="283"/>
      <c r="H37" s="283"/>
      <c r="I37" s="283"/>
      <c r="J37" s="283"/>
      <c r="K37" s="283"/>
      <c r="L37" s="283"/>
      <c r="M37" s="283"/>
      <c r="N37" s="283"/>
      <c r="O37" s="283"/>
      <c r="P37" s="283"/>
      <c r="Q37" s="283"/>
      <c r="R37" s="283"/>
      <c r="S37" s="283"/>
      <c r="T37" s="283"/>
      <c r="U37" s="283"/>
      <c r="V37" s="283"/>
      <c r="W37" s="283"/>
      <c r="X37" s="283"/>
      <c r="Y37" s="283"/>
      <c r="Z37" s="283"/>
      <c r="AA37" s="283"/>
      <c r="AB37" s="283"/>
      <c r="AC37" s="283"/>
      <c r="AD37" s="283"/>
      <c r="AE37" s="283"/>
      <c r="AF37" s="283"/>
      <c r="AG37" s="283"/>
      <c r="AH37" s="283"/>
      <c r="AI37" s="283"/>
      <c r="AJ37" s="283"/>
      <c r="AK37" s="283"/>
      <c r="AL37" s="283"/>
      <c r="AM37" s="283"/>
      <c r="AN37" s="283"/>
      <c r="AO37" s="283"/>
      <c r="AP37" s="283"/>
      <c r="AQ37" s="283"/>
      <c r="AR37" s="283"/>
      <c r="AS37" s="283"/>
      <c r="AT37" s="283"/>
      <c r="AU37" s="283"/>
      <c r="AV37" s="283"/>
      <c r="AW37" s="283"/>
      <c r="AX37" s="283"/>
      <c r="AY37" s="283"/>
      <c r="AZ37" s="283"/>
      <c r="BA37" s="283"/>
      <c r="BB37" s="283"/>
      <c r="BC37" s="283"/>
      <c r="BD37" s="283"/>
      <c r="BE37" s="283"/>
      <c r="BF37" s="283"/>
      <c r="BG37" s="283"/>
      <c r="BH37" s="283"/>
      <c r="BI37" s="283"/>
      <c r="BJ37" s="283"/>
    </row>
    <row r="38" spans="1:62" ht="12.75" customHeight="1">
      <c r="A38" s="595"/>
      <c r="B38" s="598"/>
      <c r="C38" s="599"/>
      <c r="F38" s="368"/>
      <c r="G38" s="283"/>
      <c r="H38" s="283"/>
      <c r="I38" s="283"/>
      <c r="J38" s="283"/>
      <c r="K38" s="283"/>
      <c r="L38" s="283"/>
      <c r="M38" s="283"/>
      <c r="N38" s="283"/>
      <c r="O38" s="283"/>
      <c r="P38" s="283"/>
      <c r="Q38" s="283"/>
      <c r="R38" s="283"/>
      <c r="S38" s="283"/>
      <c r="T38" s="283"/>
      <c r="U38" s="283"/>
      <c r="V38" s="283"/>
      <c r="W38" s="283"/>
      <c r="X38" s="283"/>
      <c r="Y38" s="283"/>
      <c r="Z38" s="283"/>
      <c r="AA38" s="283"/>
      <c r="AB38" s="283"/>
      <c r="AC38" s="283"/>
      <c r="AD38" s="283"/>
      <c r="AE38" s="283"/>
      <c r="AF38" s="283"/>
      <c r="AG38" s="283"/>
      <c r="AH38" s="283"/>
      <c r="AI38" s="283"/>
      <c r="AJ38" s="283"/>
      <c r="AK38" s="283"/>
      <c r="AL38" s="283"/>
      <c r="AM38" s="283"/>
      <c r="AN38" s="283"/>
      <c r="AO38" s="283"/>
      <c r="AP38" s="283"/>
      <c r="AQ38" s="283"/>
      <c r="AR38" s="283"/>
      <c r="AS38" s="283"/>
      <c r="AT38" s="283"/>
      <c r="AU38" s="283"/>
      <c r="AV38" s="283"/>
      <c r="AW38" s="283"/>
      <c r="AX38" s="283"/>
      <c r="AY38" s="283"/>
      <c r="AZ38" s="283"/>
      <c r="BA38" s="283"/>
      <c r="BB38" s="283"/>
      <c r="BC38" s="283"/>
      <c r="BD38" s="283"/>
      <c r="BE38" s="283"/>
      <c r="BF38" s="283"/>
      <c r="BG38" s="283"/>
      <c r="BH38" s="283"/>
      <c r="BI38" s="283"/>
      <c r="BJ38" s="283"/>
    </row>
    <row r="39" spans="1:62" ht="12.75" customHeight="1">
      <c r="A39" s="595"/>
      <c r="B39" s="598"/>
      <c r="C39" s="599"/>
      <c r="F39" s="368"/>
      <c r="G39" s="283"/>
      <c r="H39" s="283"/>
      <c r="I39" s="283"/>
      <c r="J39" s="283"/>
      <c r="K39" s="283"/>
      <c r="L39" s="283"/>
      <c r="M39" s="283"/>
      <c r="N39" s="283"/>
      <c r="O39" s="283"/>
      <c r="P39" s="283"/>
      <c r="Q39" s="283"/>
      <c r="R39" s="283"/>
      <c r="S39" s="283"/>
      <c r="T39" s="283"/>
      <c r="U39" s="283"/>
      <c r="V39" s="283"/>
      <c r="W39" s="283"/>
      <c r="X39" s="283"/>
      <c r="Y39" s="283"/>
      <c r="Z39" s="283"/>
      <c r="AA39" s="283"/>
      <c r="AB39" s="283"/>
      <c r="AC39" s="283"/>
      <c r="AD39" s="283"/>
      <c r="AE39" s="283"/>
      <c r="AF39" s="283"/>
      <c r="AG39" s="283"/>
      <c r="AH39" s="283"/>
      <c r="AI39" s="283"/>
      <c r="AJ39" s="283"/>
      <c r="AK39" s="283"/>
      <c r="AL39" s="283"/>
      <c r="AM39" s="283"/>
      <c r="AN39" s="283"/>
      <c r="AO39" s="283"/>
      <c r="AP39" s="283"/>
      <c r="AQ39" s="283"/>
      <c r="AR39" s="283"/>
      <c r="AS39" s="283"/>
      <c r="AT39" s="283"/>
      <c r="AU39" s="283"/>
      <c r="AV39" s="283"/>
      <c r="AW39" s="283"/>
      <c r="AX39" s="283"/>
      <c r="AY39" s="283"/>
      <c r="AZ39" s="283"/>
      <c r="BA39" s="283"/>
      <c r="BB39" s="283"/>
      <c r="BC39" s="283"/>
      <c r="BD39" s="283"/>
      <c r="BE39" s="283"/>
      <c r="BF39" s="283"/>
      <c r="BG39" s="283"/>
      <c r="BH39" s="283"/>
      <c r="BI39" s="283"/>
      <c r="BJ39" s="283"/>
    </row>
    <row r="40" spans="1:62" ht="12.75" customHeight="1">
      <c r="A40" s="595"/>
      <c r="B40" s="598"/>
      <c r="C40" s="599"/>
      <c r="F40" s="368"/>
      <c r="G40" s="283"/>
      <c r="H40" s="283"/>
      <c r="I40" s="283"/>
      <c r="J40" s="283"/>
      <c r="K40" s="283"/>
      <c r="L40" s="283"/>
      <c r="M40" s="283"/>
      <c r="N40" s="283"/>
      <c r="O40" s="283"/>
      <c r="P40" s="283"/>
      <c r="Q40" s="283"/>
      <c r="R40" s="283"/>
      <c r="S40" s="283"/>
      <c r="T40" s="283"/>
      <c r="U40" s="283"/>
      <c r="V40" s="283"/>
      <c r="W40" s="283"/>
      <c r="X40" s="283"/>
      <c r="Y40" s="283"/>
      <c r="Z40" s="283"/>
      <c r="AA40" s="283"/>
      <c r="AB40" s="283"/>
      <c r="AC40" s="283"/>
      <c r="AD40" s="283"/>
      <c r="AE40" s="283"/>
      <c r="AF40" s="283"/>
      <c r="AG40" s="283"/>
      <c r="AH40" s="283"/>
      <c r="AI40" s="283"/>
      <c r="AJ40" s="283"/>
      <c r="AK40" s="283"/>
      <c r="AL40" s="283"/>
      <c r="AM40" s="283"/>
      <c r="AN40" s="283"/>
      <c r="AO40" s="283"/>
      <c r="AP40" s="283"/>
      <c r="AQ40" s="283"/>
      <c r="AR40" s="283"/>
      <c r="AS40" s="283"/>
      <c r="AT40" s="283"/>
      <c r="AU40" s="283"/>
      <c r="AV40" s="283"/>
      <c r="AW40" s="283"/>
      <c r="AX40" s="283"/>
      <c r="AY40" s="283"/>
      <c r="AZ40" s="283"/>
      <c r="BA40" s="283"/>
      <c r="BB40" s="283"/>
      <c r="BC40" s="283"/>
      <c r="BD40" s="283"/>
      <c r="BE40" s="283"/>
      <c r="BF40" s="283"/>
      <c r="BG40" s="283"/>
      <c r="BH40" s="283"/>
      <c r="BI40" s="283"/>
      <c r="BJ40" s="283"/>
    </row>
    <row r="41" spans="1:62" ht="12.75" customHeight="1">
      <c r="A41" s="595"/>
      <c r="B41" s="598"/>
      <c r="C41" s="599"/>
      <c r="F41" s="368"/>
      <c r="G41" s="283"/>
      <c r="H41" s="283"/>
      <c r="I41" s="283"/>
      <c r="J41" s="283"/>
      <c r="K41" s="283"/>
      <c r="L41" s="283"/>
      <c r="M41" s="283"/>
      <c r="N41" s="283"/>
      <c r="O41" s="283"/>
      <c r="P41" s="283"/>
      <c r="Q41" s="283"/>
      <c r="R41" s="283"/>
      <c r="S41" s="283"/>
      <c r="T41" s="283"/>
      <c r="U41" s="283"/>
      <c r="V41" s="283"/>
      <c r="W41" s="283"/>
      <c r="X41" s="283"/>
      <c r="Y41" s="283"/>
      <c r="Z41" s="283"/>
      <c r="AA41" s="283"/>
      <c r="AB41" s="283"/>
      <c r="AC41" s="283"/>
      <c r="AD41" s="283"/>
      <c r="AE41" s="283"/>
      <c r="AF41" s="283"/>
      <c r="AG41" s="283"/>
      <c r="AH41" s="283"/>
      <c r="AI41" s="283"/>
      <c r="AJ41" s="283"/>
      <c r="AK41" s="283"/>
      <c r="AL41" s="283"/>
      <c r="AM41" s="283"/>
      <c r="AN41" s="283"/>
      <c r="AO41" s="283"/>
      <c r="AP41" s="283"/>
      <c r="AQ41" s="283"/>
      <c r="AR41" s="283"/>
      <c r="AS41" s="283"/>
      <c r="AT41" s="283"/>
      <c r="AU41" s="283"/>
      <c r="AV41" s="283"/>
      <c r="AW41" s="283"/>
      <c r="AX41" s="283"/>
      <c r="AY41" s="283"/>
      <c r="AZ41" s="283"/>
      <c r="BA41" s="283"/>
      <c r="BB41" s="283"/>
      <c r="BC41" s="283"/>
      <c r="BD41" s="283"/>
      <c r="BE41" s="283"/>
      <c r="BF41" s="283"/>
      <c r="BG41" s="283"/>
      <c r="BH41" s="283"/>
      <c r="BI41" s="283"/>
      <c r="BJ41" s="283"/>
    </row>
    <row r="42" spans="1:62" ht="12.75" customHeight="1">
      <c r="A42" s="595"/>
      <c r="B42" s="598"/>
      <c r="C42" s="599"/>
      <c r="F42" s="368"/>
      <c r="G42" s="283"/>
      <c r="H42" s="283"/>
      <c r="I42" s="283"/>
      <c r="J42" s="283"/>
      <c r="K42" s="283"/>
      <c r="L42" s="283"/>
      <c r="M42" s="283"/>
      <c r="N42" s="283"/>
      <c r="O42" s="283"/>
      <c r="P42" s="283"/>
      <c r="Q42" s="283"/>
      <c r="R42" s="283"/>
      <c r="S42" s="283"/>
      <c r="T42" s="283"/>
      <c r="U42" s="283"/>
      <c r="V42" s="283"/>
      <c r="W42" s="283"/>
      <c r="X42" s="283"/>
      <c r="Y42" s="283"/>
      <c r="Z42" s="283"/>
      <c r="AA42" s="283"/>
      <c r="AB42" s="283"/>
      <c r="AC42" s="283"/>
      <c r="AD42" s="283"/>
      <c r="AE42" s="283"/>
      <c r="AF42" s="283"/>
      <c r="AG42" s="283"/>
      <c r="AH42" s="283"/>
      <c r="AI42" s="283"/>
      <c r="AJ42" s="283"/>
      <c r="AK42" s="283"/>
      <c r="AL42" s="283"/>
      <c r="AM42" s="283"/>
      <c r="AN42" s="283"/>
      <c r="AO42" s="283"/>
      <c r="AP42" s="283"/>
      <c r="AQ42" s="283"/>
      <c r="AR42" s="283"/>
      <c r="AS42" s="283"/>
      <c r="AT42" s="283"/>
      <c r="AU42" s="283"/>
      <c r="AV42" s="283"/>
      <c r="AW42" s="283"/>
      <c r="AX42" s="283"/>
      <c r="AY42" s="283"/>
      <c r="AZ42" s="283"/>
      <c r="BA42" s="283"/>
      <c r="BB42" s="283"/>
      <c r="BC42" s="283"/>
      <c r="BD42" s="283"/>
      <c r="BE42" s="283"/>
      <c r="BF42" s="283"/>
      <c r="BG42" s="283"/>
      <c r="BH42" s="283"/>
      <c r="BI42" s="283"/>
      <c r="BJ42" s="283"/>
    </row>
    <row r="43" spans="1:62" ht="12.75" customHeight="1">
      <c r="A43" s="595"/>
      <c r="B43" s="598"/>
      <c r="C43" s="599"/>
      <c r="F43" s="368"/>
      <c r="G43" s="283"/>
      <c r="H43" s="283"/>
      <c r="I43" s="283"/>
      <c r="J43" s="283"/>
      <c r="K43" s="283"/>
      <c r="L43" s="283"/>
      <c r="M43" s="283"/>
      <c r="N43" s="283"/>
      <c r="O43" s="283"/>
      <c r="P43" s="283"/>
      <c r="Q43" s="283"/>
      <c r="R43" s="283"/>
      <c r="S43" s="283"/>
      <c r="T43" s="283"/>
      <c r="U43" s="283"/>
      <c r="V43" s="283"/>
      <c r="W43" s="283"/>
      <c r="X43" s="283"/>
      <c r="Y43" s="283"/>
      <c r="Z43" s="283"/>
      <c r="AA43" s="283"/>
      <c r="AB43" s="283"/>
      <c r="AC43" s="283"/>
      <c r="AD43" s="283"/>
      <c r="AE43" s="283"/>
      <c r="AF43" s="283"/>
      <c r="AG43" s="283"/>
      <c r="AH43" s="283"/>
      <c r="AI43" s="283"/>
      <c r="AJ43" s="283"/>
      <c r="AK43" s="283"/>
      <c r="AL43" s="283"/>
      <c r="AM43" s="283"/>
      <c r="AN43" s="283"/>
      <c r="AO43" s="283"/>
      <c r="AP43" s="283"/>
      <c r="AQ43" s="283"/>
      <c r="AR43" s="283"/>
      <c r="AS43" s="283"/>
      <c r="AT43" s="283"/>
      <c r="AU43" s="283"/>
      <c r="AV43" s="283"/>
      <c r="AW43" s="283"/>
      <c r="AX43" s="283"/>
      <c r="AY43" s="283"/>
      <c r="AZ43" s="283"/>
      <c r="BA43" s="283"/>
      <c r="BB43" s="283"/>
      <c r="BC43" s="283"/>
      <c r="BD43" s="283"/>
      <c r="BE43" s="283"/>
      <c r="BF43" s="283"/>
      <c r="BG43" s="283"/>
      <c r="BH43" s="283"/>
      <c r="BI43" s="283"/>
      <c r="BJ43" s="283"/>
    </row>
    <row r="44" spans="1:62" ht="12.75" customHeight="1">
      <c r="A44" s="595"/>
      <c r="B44" s="598"/>
      <c r="C44" s="599"/>
      <c r="F44" s="368"/>
      <c r="G44" s="283"/>
      <c r="H44" s="283"/>
      <c r="I44" s="283"/>
      <c r="J44" s="283"/>
      <c r="K44" s="283"/>
      <c r="L44" s="283"/>
      <c r="M44" s="283"/>
      <c r="N44" s="283"/>
      <c r="O44" s="283"/>
      <c r="P44" s="283"/>
      <c r="Q44" s="283"/>
      <c r="R44" s="283"/>
      <c r="S44" s="283"/>
      <c r="T44" s="283"/>
      <c r="U44" s="283"/>
      <c r="V44" s="283"/>
      <c r="W44" s="283"/>
      <c r="X44" s="283"/>
      <c r="Y44" s="283"/>
      <c r="Z44" s="283"/>
      <c r="AA44" s="283"/>
      <c r="AB44" s="283"/>
      <c r="AC44" s="283"/>
      <c r="AD44" s="283"/>
      <c r="AE44" s="283"/>
      <c r="AF44" s="283"/>
      <c r="AG44" s="283"/>
      <c r="AH44" s="283"/>
      <c r="AI44" s="283"/>
      <c r="AJ44" s="283"/>
      <c r="AK44" s="283"/>
      <c r="AL44" s="283"/>
      <c r="AM44" s="283"/>
      <c r="AN44" s="283"/>
      <c r="AO44" s="283"/>
      <c r="AP44" s="283"/>
      <c r="AQ44" s="283"/>
      <c r="AR44" s="283"/>
      <c r="AS44" s="283"/>
      <c r="AT44" s="283"/>
      <c r="AU44" s="283"/>
      <c r="AV44" s="283"/>
      <c r="AW44" s="283"/>
      <c r="AX44" s="283"/>
      <c r="AY44" s="283"/>
      <c r="AZ44" s="283"/>
      <c r="BA44" s="283"/>
      <c r="BB44" s="283"/>
      <c r="BC44" s="283"/>
      <c r="BD44" s="283"/>
      <c r="BE44" s="283"/>
      <c r="BF44" s="283"/>
      <c r="BG44" s="283"/>
      <c r="BH44" s="283"/>
      <c r="BI44" s="283"/>
      <c r="BJ44" s="283"/>
    </row>
    <row r="45" spans="1:62" ht="12.75" customHeight="1">
      <c r="A45" s="595"/>
      <c r="B45" s="598"/>
      <c r="C45" s="599"/>
      <c r="F45" s="368"/>
      <c r="G45" s="283"/>
      <c r="H45" s="283"/>
      <c r="I45" s="283"/>
      <c r="J45" s="283"/>
      <c r="K45" s="283"/>
      <c r="L45" s="283"/>
      <c r="M45" s="283"/>
      <c r="N45" s="283"/>
      <c r="O45" s="283"/>
      <c r="P45" s="283"/>
      <c r="Q45" s="283"/>
      <c r="R45" s="283"/>
      <c r="S45" s="283"/>
      <c r="T45" s="283"/>
      <c r="U45" s="283"/>
      <c r="V45" s="283"/>
      <c r="W45" s="283"/>
      <c r="X45" s="283"/>
      <c r="Y45" s="283"/>
      <c r="Z45" s="283"/>
      <c r="AA45" s="283"/>
      <c r="AB45" s="283"/>
      <c r="AC45" s="283"/>
      <c r="AD45" s="283"/>
      <c r="AE45" s="283"/>
      <c r="AF45" s="283"/>
      <c r="AG45" s="283"/>
      <c r="AH45" s="283"/>
      <c r="AI45" s="283"/>
      <c r="AJ45" s="283"/>
      <c r="AK45" s="283"/>
      <c r="AL45" s="283"/>
      <c r="AM45" s="283"/>
      <c r="AN45" s="283"/>
      <c r="AO45" s="283"/>
      <c r="AP45" s="283"/>
      <c r="AQ45" s="283"/>
      <c r="AR45" s="283"/>
      <c r="AS45" s="283"/>
      <c r="AT45" s="283"/>
      <c r="AU45" s="283"/>
      <c r="AV45" s="283"/>
      <c r="AW45" s="283"/>
      <c r="AX45" s="283"/>
      <c r="AY45" s="283"/>
      <c r="AZ45" s="283"/>
      <c r="BA45" s="283"/>
      <c r="BB45" s="283"/>
      <c r="BC45" s="283"/>
      <c r="BD45" s="283"/>
      <c r="BE45" s="283"/>
      <c r="BF45" s="283"/>
      <c r="BG45" s="283"/>
      <c r="BH45" s="283"/>
      <c r="BI45" s="283"/>
      <c r="BJ45" s="283"/>
    </row>
    <row r="46" spans="1:62" ht="12.75" customHeight="1">
      <c r="A46" s="595"/>
      <c r="B46" s="598"/>
      <c r="C46" s="599"/>
      <c r="F46" s="368"/>
      <c r="G46" s="283"/>
      <c r="H46" s="283"/>
      <c r="I46" s="283"/>
      <c r="J46" s="283"/>
      <c r="K46" s="283"/>
      <c r="L46" s="283"/>
      <c r="M46" s="283"/>
      <c r="N46" s="283"/>
      <c r="O46" s="283"/>
      <c r="P46" s="283"/>
      <c r="Q46" s="283"/>
      <c r="R46" s="283"/>
      <c r="S46" s="283"/>
      <c r="T46" s="283"/>
      <c r="U46" s="283"/>
      <c r="V46" s="283"/>
      <c r="W46" s="283"/>
      <c r="X46" s="283"/>
      <c r="Y46" s="283"/>
      <c r="Z46" s="283"/>
      <c r="AA46" s="283"/>
      <c r="AB46" s="283"/>
      <c r="AC46" s="283"/>
      <c r="AD46" s="283"/>
      <c r="AE46" s="283"/>
      <c r="AF46" s="283"/>
      <c r="AG46" s="283"/>
      <c r="AH46" s="283"/>
      <c r="AI46" s="283"/>
      <c r="AJ46" s="283"/>
      <c r="AK46" s="283"/>
      <c r="AL46" s="283"/>
      <c r="AM46" s="283"/>
      <c r="AN46" s="283"/>
      <c r="AO46" s="283"/>
      <c r="AP46" s="283"/>
      <c r="AQ46" s="283"/>
      <c r="AR46" s="283"/>
      <c r="AS46" s="283"/>
      <c r="AT46" s="283"/>
      <c r="AU46" s="283"/>
      <c r="AV46" s="283"/>
      <c r="AW46" s="283"/>
      <c r="AX46" s="283"/>
      <c r="AY46" s="283"/>
      <c r="AZ46" s="283"/>
      <c r="BA46" s="283"/>
      <c r="BB46" s="283"/>
      <c r="BC46" s="283"/>
      <c r="BD46" s="283"/>
      <c r="BE46" s="283"/>
      <c r="BF46" s="283"/>
      <c r="BG46" s="283"/>
      <c r="BH46" s="283"/>
      <c r="BI46" s="283"/>
      <c r="BJ46" s="283"/>
    </row>
    <row r="47" spans="1:62" ht="12.75" customHeight="1">
      <c r="A47" s="595"/>
      <c r="B47" s="598"/>
      <c r="C47" s="599"/>
      <c r="F47" s="368"/>
      <c r="G47" s="283"/>
      <c r="H47" s="283"/>
      <c r="I47" s="283"/>
      <c r="J47" s="283"/>
      <c r="K47" s="283"/>
      <c r="L47" s="283"/>
      <c r="M47" s="283"/>
      <c r="N47" s="283"/>
      <c r="O47" s="283"/>
      <c r="P47" s="283"/>
      <c r="Q47" s="283"/>
      <c r="R47" s="283"/>
      <c r="S47" s="283"/>
      <c r="T47" s="283"/>
      <c r="U47" s="283"/>
      <c r="V47" s="283"/>
      <c r="W47" s="283"/>
      <c r="X47" s="283"/>
      <c r="Y47" s="283"/>
      <c r="Z47" s="283"/>
      <c r="AA47" s="283"/>
      <c r="AB47" s="283"/>
      <c r="AC47" s="283"/>
      <c r="AD47" s="283"/>
      <c r="AE47" s="283"/>
      <c r="AF47" s="283"/>
      <c r="AG47" s="283"/>
      <c r="AH47" s="283"/>
      <c r="AI47" s="283"/>
      <c r="AJ47" s="283"/>
      <c r="AK47" s="283"/>
      <c r="AL47" s="283"/>
      <c r="AM47" s="283"/>
      <c r="AN47" s="283"/>
      <c r="AO47" s="283"/>
      <c r="AP47" s="283"/>
      <c r="AQ47" s="283"/>
      <c r="AR47" s="283"/>
      <c r="AS47" s="283"/>
      <c r="AT47" s="283"/>
      <c r="AU47" s="283"/>
      <c r="AV47" s="283"/>
      <c r="AW47" s="283"/>
      <c r="AX47" s="283"/>
      <c r="AY47" s="283"/>
      <c r="AZ47" s="283"/>
      <c r="BA47" s="283"/>
      <c r="BB47" s="283"/>
      <c r="BC47" s="283"/>
      <c r="BD47" s="283"/>
      <c r="BE47" s="283"/>
      <c r="BF47" s="283"/>
      <c r="BG47" s="283"/>
      <c r="BH47" s="283"/>
      <c r="BI47" s="283"/>
      <c r="BJ47" s="283"/>
    </row>
    <row r="48" spans="1:62" ht="12.75" customHeight="1">
      <c r="A48" s="595"/>
      <c r="B48" s="598"/>
      <c r="C48" s="599"/>
      <c r="F48" s="368"/>
      <c r="G48" s="283"/>
      <c r="H48" s="283"/>
      <c r="I48" s="283"/>
      <c r="J48" s="283"/>
      <c r="K48" s="283"/>
      <c r="L48" s="283"/>
      <c r="M48" s="283"/>
      <c r="N48" s="283"/>
      <c r="O48" s="283"/>
      <c r="P48" s="283"/>
      <c r="Q48" s="283"/>
      <c r="R48" s="283"/>
      <c r="S48" s="283"/>
      <c r="T48" s="283"/>
      <c r="U48" s="283"/>
      <c r="V48" s="283"/>
      <c r="W48" s="283"/>
      <c r="X48" s="283"/>
      <c r="Y48" s="283"/>
      <c r="Z48" s="283"/>
      <c r="AA48" s="283"/>
      <c r="AB48" s="283"/>
      <c r="AC48" s="283"/>
      <c r="AD48" s="283"/>
      <c r="AE48" s="283"/>
      <c r="AF48" s="283"/>
      <c r="AG48" s="283"/>
      <c r="AH48" s="283"/>
      <c r="AI48" s="283"/>
      <c r="AJ48" s="283"/>
      <c r="AK48" s="283"/>
      <c r="AL48" s="283"/>
      <c r="AM48" s="283"/>
      <c r="AN48" s="283"/>
      <c r="AO48" s="283"/>
      <c r="AP48" s="283"/>
      <c r="AQ48" s="283"/>
      <c r="AR48" s="283"/>
      <c r="AS48" s="283"/>
      <c r="AT48" s="283"/>
      <c r="AU48" s="283"/>
      <c r="AV48" s="283"/>
      <c r="AW48" s="283"/>
      <c r="AX48" s="283"/>
      <c r="AY48" s="283"/>
      <c r="AZ48" s="283"/>
      <c r="BA48" s="283"/>
      <c r="BB48" s="283"/>
      <c r="BC48" s="283"/>
      <c r="BD48" s="283"/>
      <c r="BE48" s="283"/>
      <c r="BF48" s="283"/>
      <c r="BG48" s="283"/>
      <c r="BH48" s="283"/>
      <c r="BI48" s="283"/>
      <c r="BJ48" s="283"/>
    </row>
    <row r="49" spans="1:62" ht="12.75" customHeight="1">
      <c r="A49" s="595"/>
      <c r="B49" s="598"/>
      <c r="C49" s="599"/>
      <c r="F49" s="368"/>
      <c r="G49" s="283"/>
      <c r="H49" s="283"/>
      <c r="I49" s="283"/>
      <c r="J49" s="283"/>
      <c r="K49" s="283"/>
      <c r="L49" s="283"/>
      <c r="M49" s="283"/>
      <c r="N49" s="283"/>
      <c r="O49" s="283"/>
      <c r="P49" s="283"/>
      <c r="Q49" s="283"/>
      <c r="R49" s="283"/>
      <c r="S49" s="283"/>
      <c r="T49" s="283"/>
      <c r="U49" s="283"/>
      <c r="V49" s="283"/>
      <c r="W49" s="283"/>
      <c r="X49" s="283"/>
      <c r="Y49" s="283"/>
      <c r="Z49" s="283"/>
      <c r="AA49" s="283"/>
      <c r="AB49" s="283"/>
      <c r="AC49" s="283"/>
      <c r="AD49" s="283"/>
      <c r="AE49" s="283"/>
      <c r="AF49" s="283"/>
      <c r="AG49" s="283"/>
      <c r="AH49" s="283"/>
      <c r="AI49" s="283"/>
      <c r="AJ49" s="283"/>
      <c r="AK49" s="283"/>
      <c r="AL49" s="283"/>
      <c r="AM49" s="283"/>
      <c r="AN49" s="283"/>
      <c r="AO49" s="283"/>
      <c r="AP49" s="283"/>
      <c r="AQ49" s="283"/>
      <c r="AR49" s="283"/>
      <c r="AS49" s="283"/>
      <c r="AT49" s="283"/>
      <c r="AU49" s="283"/>
      <c r="AV49" s="283"/>
      <c r="AW49" s="283"/>
      <c r="AX49" s="283"/>
      <c r="AY49" s="283"/>
      <c r="AZ49" s="283"/>
      <c r="BA49" s="283"/>
      <c r="BB49" s="283"/>
      <c r="BC49" s="283"/>
      <c r="BD49" s="283"/>
      <c r="BE49" s="283"/>
      <c r="BF49" s="283"/>
      <c r="BG49" s="283"/>
      <c r="BH49" s="283"/>
      <c r="BI49" s="283"/>
      <c r="BJ49" s="283"/>
    </row>
    <row r="50" spans="1:62" ht="12.75" customHeight="1">
      <c r="A50" s="595"/>
      <c r="B50" s="598"/>
      <c r="C50" s="599"/>
      <c r="F50" s="368"/>
      <c r="G50" s="283"/>
      <c r="H50" s="283"/>
      <c r="I50" s="283"/>
      <c r="J50" s="283"/>
      <c r="K50" s="283"/>
      <c r="L50" s="283"/>
      <c r="M50" s="283"/>
      <c r="N50" s="283"/>
      <c r="O50" s="283"/>
      <c r="P50" s="283"/>
      <c r="Q50" s="283"/>
      <c r="R50" s="283"/>
      <c r="S50" s="283"/>
      <c r="T50" s="283"/>
      <c r="U50" s="283"/>
      <c r="V50" s="283"/>
      <c r="W50" s="283"/>
      <c r="X50" s="283"/>
      <c r="Y50" s="283"/>
      <c r="Z50" s="283"/>
      <c r="AA50" s="283"/>
      <c r="AB50" s="283"/>
      <c r="AC50" s="283"/>
      <c r="AD50" s="283"/>
      <c r="AE50" s="283"/>
      <c r="AF50" s="283"/>
      <c r="AG50" s="283"/>
      <c r="AH50" s="283"/>
      <c r="AI50" s="283"/>
      <c r="AJ50" s="283"/>
      <c r="AK50" s="283"/>
      <c r="AL50" s="283"/>
      <c r="AM50" s="283"/>
      <c r="AN50" s="283"/>
      <c r="AO50" s="283"/>
      <c r="AP50" s="283"/>
      <c r="AQ50" s="283"/>
      <c r="AR50" s="283"/>
      <c r="AS50" s="283"/>
      <c r="AT50" s="283"/>
      <c r="AU50" s="283"/>
      <c r="AV50" s="283"/>
      <c r="AW50" s="283"/>
      <c r="AX50" s="283"/>
      <c r="AY50" s="283"/>
      <c r="AZ50" s="283"/>
      <c r="BA50" s="283"/>
      <c r="BB50" s="283"/>
      <c r="BC50" s="283"/>
      <c r="BD50" s="283"/>
      <c r="BE50" s="283"/>
      <c r="BF50" s="283"/>
      <c r="BG50" s="283"/>
      <c r="BH50" s="283"/>
      <c r="BI50" s="283"/>
      <c r="BJ50" s="283"/>
    </row>
    <row r="51" spans="1:62" ht="12.75" customHeight="1">
      <c r="A51" s="595"/>
      <c r="B51" s="598"/>
      <c r="C51" s="599"/>
      <c r="F51" s="368"/>
      <c r="G51" s="283"/>
      <c r="H51" s="283"/>
      <c r="I51" s="283"/>
      <c r="J51" s="283"/>
      <c r="K51" s="283"/>
      <c r="L51" s="283"/>
      <c r="M51" s="283"/>
      <c r="N51" s="283"/>
      <c r="O51" s="283"/>
      <c r="P51" s="283"/>
      <c r="Q51" s="283"/>
      <c r="R51" s="283"/>
      <c r="S51" s="283"/>
      <c r="T51" s="283"/>
      <c r="U51" s="283"/>
      <c r="V51" s="283"/>
      <c r="W51" s="283"/>
      <c r="X51" s="283"/>
      <c r="Y51" s="283"/>
      <c r="Z51" s="283"/>
      <c r="AA51" s="283"/>
      <c r="AB51" s="283"/>
      <c r="AC51" s="283"/>
      <c r="AD51" s="283"/>
      <c r="AE51" s="283"/>
      <c r="AF51" s="283"/>
      <c r="AG51" s="283"/>
      <c r="AH51" s="283"/>
      <c r="AI51" s="283"/>
      <c r="AJ51" s="283"/>
      <c r="AK51" s="283"/>
      <c r="AL51" s="283"/>
      <c r="AM51" s="283"/>
      <c r="AN51" s="283"/>
      <c r="AO51" s="283"/>
      <c r="AP51" s="283"/>
      <c r="AQ51" s="283"/>
      <c r="AR51" s="283"/>
      <c r="AS51" s="283"/>
      <c r="AT51" s="283"/>
      <c r="AU51" s="283"/>
      <c r="AV51" s="283"/>
      <c r="AW51" s="283"/>
      <c r="AX51" s="283"/>
      <c r="AY51" s="283"/>
      <c r="AZ51" s="283"/>
      <c r="BA51" s="283"/>
      <c r="BB51" s="283"/>
      <c r="BC51" s="283"/>
      <c r="BD51" s="283"/>
      <c r="BE51" s="283"/>
      <c r="BF51" s="283"/>
      <c r="BG51" s="283"/>
      <c r="BH51" s="283"/>
      <c r="BI51" s="283"/>
      <c r="BJ51" s="283"/>
    </row>
    <row r="52" spans="1:62" ht="12.75" customHeight="1">
      <c r="A52" s="595"/>
      <c r="B52" s="598"/>
      <c r="C52" s="599"/>
      <c r="F52" s="368"/>
      <c r="G52" s="283"/>
      <c r="H52" s="283"/>
      <c r="I52" s="283"/>
      <c r="J52" s="283"/>
      <c r="K52" s="283"/>
      <c r="L52" s="283"/>
      <c r="M52" s="283"/>
      <c r="N52" s="283"/>
      <c r="O52" s="283"/>
      <c r="P52" s="283"/>
      <c r="Q52" s="283"/>
      <c r="R52" s="283"/>
      <c r="S52" s="283"/>
      <c r="T52" s="283"/>
      <c r="U52" s="283"/>
      <c r="V52" s="283"/>
      <c r="W52" s="283"/>
      <c r="X52" s="283"/>
      <c r="Y52" s="283"/>
      <c r="Z52" s="283"/>
      <c r="AA52" s="283"/>
      <c r="AB52" s="283"/>
      <c r="AC52" s="283"/>
      <c r="AD52" s="283"/>
      <c r="AE52" s="283"/>
      <c r="AF52" s="283"/>
      <c r="AG52" s="283"/>
      <c r="AH52" s="283"/>
      <c r="AI52" s="283"/>
      <c r="AJ52" s="283"/>
      <c r="AK52" s="283"/>
      <c r="AL52" s="283"/>
      <c r="AM52" s="283"/>
      <c r="AN52" s="283"/>
      <c r="AO52" s="283"/>
      <c r="AP52" s="283"/>
      <c r="AQ52" s="283"/>
      <c r="AR52" s="283"/>
      <c r="AS52" s="283"/>
      <c r="AT52" s="283"/>
      <c r="AU52" s="283"/>
      <c r="AV52" s="283"/>
      <c r="AW52" s="283"/>
      <c r="AX52" s="283"/>
      <c r="AY52" s="283"/>
      <c r="AZ52" s="283"/>
      <c r="BA52" s="283"/>
      <c r="BB52" s="283"/>
      <c r="BC52" s="283"/>
      <c r="BD52" s="283"/>
      <c r="BE52" s="283"/>
      <c r="BF52" s="283"/>
      <c r="BG52" s="283"/>
      <c r="BH52" s="283"/>
      <c r="BI52" s="283"/>
      <c r="BJ52" s="283"/>
    </row>
    <row r="53" spans="1:62" ht="12.75" customHeight="1">
      <c r="A53" s="595"/>
      <c r="B53" s="598"/>
      <c r="C53" s="599"/>
      <c r="F53" s="368"/>
      <c r="G53" s="283"/>
      <c r="H53" s="283"/>
      <c r="I53" s="283"/>
      <c r="J53" s="283"/>
      <c r="K53" s="283"/>
      <c r="L53" s="283"/>
      <c r="M53" s="283"/>
      <c r="N53" s="283"/>
      <c r="O53" s="283"/>
      <c r="P53" s="283"/>
      <c r="Q53" s="283"/>
      <c r="R53" s="283"/>
      <c r="S53" s="283"/>
      <c r="T53" s="283"/>
      <c r="U53" s="283"/>
      <c r="V53" s="283"/>
      <c r="W53" s="283"/>
      <c r="X53" s="283"/>
      <c r="Y53" s="283"/>
      <c r="Z53" s="283"/>
      <c r="AA53" s="283"/>
      <c r="AB53" s="283"/>
      <c r="AC53" s="283"/>
      <c r="AD53" s="283"/>
      <c r="AE53" s="283"/>
      <c r="AF53" s="283"/>
      <c r="AG53" s="283"/>
      <c r="AH53" s="283"/>
      <c r="AI53" s="283"/>
      <c r="AJ53" s="283"/>
      <c r="AK53" s="283"/>
      <c r="AL53" s="283"/>
      <c r="AM53" s="283"/>
      <c r="AN53" s="283"/>
      <c r="AO53" s="283"/>
      <c r="AP53" s="283"/>
      <c r="AQ53" s="283"/>
      <c r="AR53" s="283"/>
      <c r="AS53" s="283"/>
      <c r="AT53" s="283"/>
      <c r="AU53" s="283"/>
      <c r="AV53" s="283"/>
      <c r="AW53" s="283"/>
      <c r="AX53" s="283"/>
      <c r="AY53" s="283"/>
      <c r="AZ53" s="283"/>
      <c r="BA53" s="283"/>
      <c r="BB53" s="283"/>
      <c r="BC53" s="283"/>
      <c r="BD53" s="283"/>
      <c r="BE53" s="283"/>
      <c r="BF53" s="283"/>
      <c r="BG53" s="283"/>
      <c r="BH53" s="283"/>
      <c r="BI53" s="283"/>
      <c r="BJ53" s="283"/>
    </row>
    <row r="54" spans="1:62" ht="12.75" customHeight="1">
      <c r="A54" s="595"/>
      <c r="B54" s="598"/>
      <c r="C54" s="599"/>
      <c r="F54" s="368"/>
      <c r="G54" s="283"/>
      <c r="H54" s="283"/>
      <c r="I54" s="283"/>
      <c r="J54" s="283"/>
      <c r="K54" s="283"/>
      <c r="L54" s="283"/>
      <c r="M54" s="283"/>
      <c r="N54" s="283"/>
      <c r="O54" s="283"/>
      <c r="P54" s="283"/>
      <c r="Q54" s="283"/>
      <c r="R54" s="283"/>
      <c r="S54" s="283"/>
      <c r="T54" s="283"/>
      <c r="U54" s="283"/>
      <c r="V54" s="283"/>
      <c r="W54" s="283"/>
      <c r="X54" s="283"/>
      <c r="Y54" s="283"/>
      <c r="Z54" s="283"/>
      <c r="AA54" s="283"/>
      <c r="AB54" s="283"/>
      <c r="AC54" s="283"/>
      <c r="AD54" s="283"/>
      <c r="AE54" s="283"/>
      <c r="AF54" s="283"/>
      <c r="AG54" s="283"/>
      <c r="AH54" s="283"/>
      <c r="AI54" s="283"/>
      <c r="AJ54" s="283"/>
      <c r="AK54" s="283"/>
      <c r="AL54" s="283"/>
      <c r="AM54" s="283"/>
      <c r="AN54" s="283"/>
      <c r="AO54" s="283"/>
      <c r="AP54" s="283"/>
      <c r="AQ54" s="283"/>
      <c r="AR54" s="283"/>
      <c r="AS54" s="283"/>
      <c r="AT54" s="283"/>
      <c r="AU54" s="283"/>
      <c r="AV54" s="283"/>
      <c r="AW54" s="283"/>
      <c r="AX54" s="283"/>
      <c r="AY54" s="283"/>
      <c r="AZ54" s="283"/>
      <c r="BA54" s="283"/>
      <c r="BB54" s="283"/>
      <c r="BC54" s="283"/>
      <c r="BD54" s="283"/>
      <c r="BE54" s="283"/>
      <c r="BF54" s="283"/>
      <c r="BG54" s="283"/>
      <c r="BH54" s="283"/>
      <c r="BI54" s="283"/>
      <c r="BJ54" s="283"/>
    </row>
    <row r="55" spans="1:62" ht="12.75" customHeight="1">
      <c r="A55" s="595"/>
      <c r="B55" s="598"/>
      <c r="C55" s="599"/>
      <c r="F55" s="368"/>
      <c r="G55" s="283"/>
      <c r="H55" s="283"/>
      <c r="I55" s="283"/>
      <c r="J55" s="283"/>
      <c r="K55" s="283"/>
      <c r="L55" s="283"/>
      <c r="M55" s="283"/>
      <c r="N55" s="283"/>
      <c r="O55" s="283"/>
      <c r="P55" s="283"/>
      <c r="Q55" s="283"/>
      <c r="R55" s="283"/>
      <c r="S55" s="283"/>
      <c r="T55" s="283"/>
      <c r="U55" s="283"/>
      <c r="V55" s="283"/>
      <c r="W55" s="283"/>
      <c r="X55" s="283"/>
      <c r="Y55" s="283"/>
      <c r="Z55" s="283"/>
      <c r="AA55" s="283"/>
      <c r="AB55" s="283"/>
      <c r="AC55" s="283"/>
      <c r="AD55" s="283"/>
      <c r="AE55" s="283"/>
      <c r="AF55" s="283"/>
      <c r="AG55" s="283"/>
      <c r="AH55" s="283"/>
      <c r="AI55" s="283"/>
      <c r="AJ55" s="283"/>
      <c r="AK55" s="283"/>
      <c r="AL55" s="283"/>
      <c r="AM55" s="283"/>
      <c r="AN55" s="283"/>
      <c r="AO55" s="283"/>
      <c r="AP55" s="283"/>
      <c r="AQ55" s="283"/>
      <c r="AR55" s="283"/>
      <c r="AS55" s="283"/>
      <c r="AT55" s="283"/>
      <c r="AU55" s="283"/>
      <c r="AV55" s="283"/>
      <c r="AW55" s="283"/>
      <c r="AX55" s="283"/>
      <c r="AY55" s="283"/>
      <c r="AZ55" s="283"/>
      <c r="BA55" s="283"/>
      <c r="BB55" s="283"/>
      <c r="BC55" s="283"/>
      <c r="BD55" s="283"/>
      <c r="BE55" s="283"/>
      <c r="BF55" s="283"/>
      <c r="BG55" s="283"/>
      <c r="BH55" s="283"/>
      <c r="BI55" s="283"/>
      <c r="BJ55" s="283"/>
    </row>
    <row r="56" spans="1:62" ht="12.75" customHeight="1">
      <c r="A56" s="595"/>
      <c r="B56" s="598"/>
      <c r="C56" s="599"/>
      <c r="F56" s="368"/>
      <c r="G56" s="283"/>
      <c r="H56" s="283"/>
      <c r="I56" s="283"/>
      <c r="J56" s="283"/>
      <c r="K56" s="283"/>
      <c r="L56" s="283"/>
      <c r="M56" s="283"/>
      <c r="N56" s="283"/>
      <c r="O56" s="283"/>
      <c r="P56" s="283"/>
      <c r="Q56" s="283"/>
      <c r="R56" s="283"/>
      <c r="S56" s="283"/>
      <c r="T56" s="283"/>
      <c r="U56" s="283"/>
      <c r="V56" s="283"/>
      <c r="W56" s="283"/>
      <c r="X56" s="283"/>
      <c r="Y56" s="283"/>
      <c r="Z56" s="283"/>
      <c r="AA56" s="283"/>
      <c r="AB56" s="283"/>
      <c r="AC56" s="283"/>
      <c r="AD56" s="283"/>
      <c r="AE56" s="283"/>
      <c r="AF56" s="283"/>
      <c r="AG56" s="283"/>
      <c r="AH56" s="283"/>
      <c r="AI56" s="283"/>
      <c r="AJ56" s="283"/>
      <c r="AK56" s="283"/>
      <c r="AL56" s="283"/>
      <c r="AM56" s="283"/>
      <c r="AN56" s="283"/>
      <c r="AO56" s="283"/>
      <c r="AP56" s="283"/>
      <c r="AQ56" s="283"/>
      <c r="AR56" s="283"/>
      <c r="AS56" s="283"/>
      <c r="AT56" s="283"/>
      <c r="AU56" s="283"/>
      <c r="AV56" s="283"/>
      <c r="AW56" s="283"/>
      <c r="AX56" s="283"/>
      <c r="AY56" s="283"/>
      <c r="AZ56" s="283"/>
      <c r="BA56" s="283"/>
      <c r="BB56" s="283"/>
      <c r="BC56" s="283"/>
      <c r="BD56" s="283"/>
      <c r="BE56" s="283"/>
      <c r="BF56" s="283"/>
      <c r="BG56" s="283"/>
      <c r="BH56" s="283"/>
      <c r="BI56" s="283"/>
      <c r="BJ56" s="283"/>
    </row>
    <row r="57" spans="1:62" ht="12.75" customHeight="1">
      <c r="A57" s="595"/>
      <c r="B57" s="598"/>
      <c r="C57" s="599"/>
      <c r="F57" s="368"/>
      <c r="G57" s="283"/>
      <c r="H57" s="283"/>
      <c r="I57" s="283"/>
      <c r="J57" s="283"/>
      <c r="K57" s="283"/>
      <c r="L57" s="283"/>
      <c r="M57" s="283"/>
      <c r="N57" s="283"/>
      <c r="O57" s="283"/>
      <c r="P57" s="283"/>
      <c r="Q57" s="283"/>
      <c r="R57" s="283"/>
      <c r="S57" s="283"/>
      <c r="T57" s="283"/>
      <c r="U57" s="283"/>
      <c r="V57" s="283"/>
      <c r="W57" s="283"/>
      <c r="X57" s="283"/>
      <c r="Y57" s="283"/>
      <c r="Z57" s="283"/>
      <c r="AA57" s="283"/>
      <c r="AB57" s="283"/>
      <c r="AC57" s="283"/>
      <c r="AD57" s="283"/>
      <c r="AE57" s="283"/>
      <c r="AF57" s="283"/>
      <c r="AG57" s="283"/>
      <c r="AH57" s="283"/>
      <c r="AI57" s="283"/>
      <c r="AJ57" s="283"/>
      <c r="AK57" s="283"/>
      <c r="AL57" s="283"/>
      <c r="AM57" s="283"/>
      <c r="AN57" s="283"/>
      <c r="AO57" s="283"/>
      <c r="AP57" s="283"/>
      <c r="AQ57" s="283"/>
      <c r="AR57" s="283"/>
      <c r="AS57" s="283"/>
      <c r="AT57" s="283"/>
      <c r="AU57" s="283"/>
      <c r="AV57" s="283"/>
      <c r="AW57" s="283"/>
      <c r="AX57" s="283"/>
      <c r="AY57" s="283"/>
      <c r="AZ57" s="283"/>
      <c r="BA57" s="283"/>
      <c r="BB57" s="283"/>
      <c r="BC57" s="283"/>
      <c r="BD57" s="283"/>
      <c r="BE57" s="283"/>
      <c r="BF57" s="283"/>
      <c r="BG57" s="283"/>
      <c r="BH57" s="283"/>
      <c r="BI57" s="283"/>
      <c r="BJ57" s="283"/>
    </row>
    <row r="58" spans="1:62">
      <c r="A58" s="595"/>
      <c r="B58" s="598"/>
      <c r="C58" s="599"/>
      <c r="F58" s="368"/>
      <c r="G58" s="283"/>
      <c r="H58" s="283"/>
      <c r="I58" s="283"/>
      <c r="J58" s="283"/>
      <c r="K58" s="283"/>
      <c r="L58" s="283"/>
      <c r="M58" s="283"/>
      <c r="N58" s="283"/>
      <c r="O58" s="283"/>
      <c r="P58" s="283"/>
      <c r="Q58" s="283"/>
      <c r="R58" s="283"/>
      <c r="S58" s="283"/>
      <c r="T58" s="283"/>
      <c r="U58" s="283"/>
      <c r="V58" s="283"/>
      <c r="W58" s="283"/>
      <c r="X58" s="283"/>
      <c r="Y58" s="283"/>
      <c r="Z58" s="283"/>
      <c r="AA58" s="283"/>
      <c r="AB58" s="283"/>
      <c r="AC58" s="283"/>
      <c r="AD58" s="283"/>
      <c r="AE58" s="283"/>
      <c r="AF58" s="283"/>
      <c r="AG58" s="283"/>
      <c r="AH58" s="283"/>
      <c r="AI58" s="283"/>
      <c r="AJ58" s="283"/>
      <c r="AK58" s="283"/>
      <c r="AL58" s="283"/>
      <c r="AM58" s="283"/>
      <c r="AN58" s="283"/>
      <c r="AO58" s="283"/>
      <c r="AP58" s="283"/>
      <c r="AQ58" s="283"/>
      <c r="AR58" s="283"/>
      <c r="AS58" s="283"/>
      <c r="AT58" s="283"/>
      <c r="AU58" s="283"/>
      <c r="AV58" s="283"/>
      <c r="AW58" s="283"/>
      <c r="AX58" s="283"/>
      <c r="AY58" s="283"/>
      <c r="AZ58" s="283"/>
      <c r="BA58" s="283"/>
      <c r="BB58" s="283"/>
      <c r="BC58" s="283"/>
      <c r="BD58" s="283"/>
      <c r="BE58" s="283"/>
      <c r="BF58" s="283"/>
      <c r="BG58" s="283"/>
      <c r="BH58" s="283"/>
      <c r="BI58" s="283"/>
      <c r="BJ58" s="283"/>
    </row>
    <row r="59" spans="1:62">
      <c r="A59" s="595"/>
      <c r="B59" s="598"/>
      <c r="C59" s="599"/>
      <c r="F59" s="368"/>
      <c r="G59" s="283"/>
      <c r="H59" s="283"/>
      <c r="I59" s="283"/>
      <c r="J59" s="283"/>
      <c r="K59" s="283"/>
      <c r="L59" s="283"/>
      <c r="M59" s="283"/>
      <c r="N59" s="283"/>
      <c r="O59" s="283"/>
      <c r="P59" s="283"/>
      <c r="Q59" s="283"/>
      <c r="R59" s="283"/>
      <c r="S59" s="283"/>
      <c r="T59" s="283"/>
      <c r="U59" s="283"/>
      <c r="V59" s="283"/>
      <c r="W59" s="283"/>
      <c r="X59" s="283"/>
      <c r="Y59" s="283"/>
      <c r="Z59" s="283"/>
      <c r="AA59" s="283"/>
      <c r="AB59" s="283"/>
      <c r="AC59" s="283"/>
      <c r="AD59" s="283"/>
      <c r="AE59" s="283"/>
      <c r="AF59" s="283"/>
      <c r="AG59" s="283"/>
      <c r="AH59" s="283"/>
      <c r="AI59" s="283"/>
      <c r="AJ59" s="283"/>
      <c r="AK59" s="283"/>
      <c r="AL59" s="283"/>
      <c r="AM59" s="283"/>
      <c r="AN59" s="283"/>
      <c r="AO59" s="283"/>
      <c r="AP59" s="283"/>
      <c r="AQ59" s="283"/>
      <c r="AR59" s="283"/>
      <c r="AS59" s="283"/>
      <c r="AT59" s="283"/>
      <c r="AU59" s="283"/>
      <c r="AV59" s="283"/>
      <c r="AW59" s="283"/>
      <c r="AX59" s="283"/>
      <c r="AY59" s="283"/>
      <c r="AZ59" s="283"/>
      <c r="BA59" s="283"/>
      <c r="BB59" s="283"/>
      <c r="BC59" s="283"/>
      <c r="BD59" s="283"/>
      <c r="BE59" s="283"/>
      <c r="BF59" s="283"/>
      <c r="BG59" s="283"/>
      <c r="BH59" s="283"/>
      <c r="BI59" s="283"/>
      <c r="BJ59" s="283"/>
    </row>
    <row r="60" spans="1:62">
      <c r="A60" s="595"/>
      <c r="B60" s="598"/>
      <c r="C60" s="599"/>
      <c r="F60" s="368"/>
      <c r="G60" s="283"/>
      <c r="H60" s="283"/>
      <c r="I60" s="283"/>
      <c r="J60" s="283"/>
      <c r="K60" s="283"/>
      <c r="L60" s="283"/>
      <c r="M60" s="283"/>
      <c r="N60" s="283"/>
      <c r="O60" s="283"/>
      <c r="P60" s="283"/>
      <c r="Q60" s="283"/>
      <c r="R60" s="283"/>
      <c r="S60" s="283"/>
      <c r="T60" s="283"/>
      <c r="U60" s="283"/>
      <c r="V60" s="283"/>
      <c r="W60" s="283"/>
      <c r="X60" s="283"/>
      <c r="Y60" s="283"/>
      <c r="Z60" s="283"/>
      <c r="AA60" s="283"/>
      <c r="AB60" s="283"/>
      <c r="AC60" s="283"/>
      <c r="AD60" s="283"/>
      <c r="AE60" s="283"/>
      <c r="AF60" s="283"/>
      <c r="AG60" s="283"/>
      <c r="AH60" s="283"/>
      <c r="AI60" s="283"/>
      <c r="AJ60" s="283"/>
      <c r="AK60" s="283"/>
      <c r="AL60" s="283"/>
      <c r="AM60" s="283"/>
      <c r="AN60" s="283"/>
      <c r="AO60" s="283"/>
      <c r="AP60" s="283"/>
      <c r="AQ60" s="283"/>
      <c r="AR60" s="283"/>
      <c r="AS60" s="283"/>
      <c r="AT60" s="283"/>
      <c r="AU60" s="283"/>
      <c r="AV60" s="283"/>
      <c r="AW60" s="283"/>
      <c r="AX60" s="283"/>
      <c r="AY60" s="283"/>
      <c r="AZ60" s="283"/>
      <c r="BA60" s="283"/>
      <c r="BB60" s="283"/>
      <c r="BC60" s="283"/>
      <c r="BD60" s="283"/>
      <c r="BE60" s="283"/>
      <c r="BF60" s="283"/>
      <c r="BG60" s="283"/>
      <c r="BH60" s="283"/>
      <c r="BI60" s="283"/>
      <c r="BJ60" s="283"/>
    </row>
    <row r="61" spans="1:62">
      <c r="A61" s="595"/>
      <c r="B61" s="598"/>
      <c r="C61" s="599"/>
      <c r="F61" s="368"/>
      <c r="G61" s="283"/>
      <c r="H61" s="283"/>
      <c r="I61" s="283"/>
      <c r="J61" s="283"/>
      <c r="K61" s="283"/>
      <c r="L61" s="283"/>
      <c r="M61" s="283"/>
      <c r="N61" s="283"/>
      <c r="O61" s="283"/>
      <c r="P61" s="283"/>
      <c r="Q61" s="283"/>
      <c r="R61" s="283"/>
      <c r="S61" s="283"/>
      <c r="T61" s="283"/>
      <c r="U61" s="283"/>
      <c r="V61" s="283"/>
      <c r="W61" s="283"/>
      <c r="X61" s="283"/>
      <c r="Y61" s="283"/>
      <c r="Z61" s="283"/>
      <c r="AA61" s="283"/>
      <c r="AB61" s="283"/>
      <c r="AC61" s="283"/>
      <c r="AD61" s="283"/>
      <c r="AE61" s="283"/>
      <c r="AF61" s="283"/>
      <c r="AG61" s="283"/>
      <c r="AH61" s="283"/>
      <c r="AI61" s="283"/>
      <c r="AJ61" s="283"/>
      <c r="AK61" s="283"/>
      <c r="AL61" s="283"/>
      <c r="AM61" s="283"/>
      <c r="AN61" s="283"/>
      <c r="AO61" s="283"/>
      <c r="AP61" s="283"/>
      <c r="AQ61" s="283"/>
      <c r="AR61" s="283"/>
      <c r="AS61" s="283"/>
      <c r="AT61" s="283"/>
      <c r="AU61" s="283"/>
      <c r="AV61" s="283"/>
      <c r="AW61" s="283"/>
      <c r="AX61" s="283"/>
      <c r="AY61" s="283"/>
      <c r="AZ61" s="283"/>
      <c r="BA61" s="283"/>
      <c r="BB61" s="283"/>
      <c r="BC61" s="283"/>
      <c r="BD61" s="283"/>
      <c r="BE61" s="283"/>
      <c r="BF61" s="283"/>
      <c r="BG61" s="283"/>
      <c r="BH61" s="283"/>
      <c r="BI61" s="283"/>
      <c r="BJ61" s="283"/>
    </row>
    <row r="62" spans="1:62">
      <c r="A62" s="595"/>
      <c r="B62" s="598"/>
      <c r="C62" s="599"/>
      <c r="F62" s="368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283"/>
      <c r="W62" s="283"/>
      <c r="X62" s="283"/>
      <c r="Y62" s="283"/>
      <c r="Z62" s="283"/>
      <c r="AA62" s="283"/>
      <c r="AB62" s="283"/>
      <c r="AC62" s="283"/>
      <c r="AD62" s="283"/>
      <c r="AE62" s="283"/>
      <c r="AF62" s="283"/>
      <c r="AG62" s="283"/>
      <c r="AH62" s="283"/>
      <c r="AI62" s="283"/>
      <c r="AJ62" s="283"/>
      <c r="AK62" s="283"/>
      <c r="AL62" s="283"/>
      <c r="AM62" s="283"/>
      <c r="AN62" s="283"/>
      <c r="AO62" s="283"/>
      <c r="AP62" s="283"/>
      <c r="AQ62" s="283"/>
      <c r="AR62" s="283"/>
      <c r="AS62" s="283"/>
      <c r="AT62" s="283"/>
      <c r="AU62" s="283"/>
      <c r="AV62" s="283"/>
      <c r="AW62" s="283"/>
      <c r="AX62" s="283"/>
      <c r="AY62" s="283"/>
      <c r="AZ62" s="283"/>
      <c r="BA62" s="283"/>
      <c r="BB62" s="283"/>
      <c r="BC62" s="283"/>
      <c r="BD62" s="283"/>
      <c r="BE62" s="283"/>
      <c r="BF62" s="283"/>
      <c r="BG62" s="283"/>
      <c r="BH62" s="283"/>
      <c r="BI62" s="283"/>
      <c r="BJ62" s="283"/>
    </row>
    <row r="63" spans="1:62">
      <c r="A63" s="595"/>
      <c r="B63" s="598"/>
      <c r="C63" s="599"/>
      <c r="F63" s="368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283"/>
      <c r="W63" s="283"/>
      <c r="X63" s="283"/>
      <c r="Y63" s="283"/>
      <c r="Z63" s="283"/>
      <c r="AA63" s="283"/>
      <c r="AB63" s="283"/>
      <c r="AC63" s="283"/>
      <c r="AD63" s="283"/>
      <c r="AE63" s="283"/>
      <c r="AF63" s="283"/>
      <c r="AG63" s="283"/>
      <c r="AH63" s="283"/>
      <c r="AI63" s="283"/>
      <c r="AJ63" s="283"/>
      <c r="AK63" s="283"/>
      <c r="AL63" s="283"/>
      <c r="AM63" s="283"/>
      <c r="AN63" s="283"/>
      <c r="AO63" s="283"/>
      <c r="AP63" s="283"/>
      <c r="AQ63" s="283"/>
      <c r="AR63" s="283"/>
      <c r="AS63" s="283"/>
      <c r="AT63" s="283"/>
      <c r="AU63" s="283"/>
      <c r="AV63" s="283"/>
      <c r="AW63" s="283"/>
      <c r="AX63" s="283"/>
      <c r="AY63" s="283"/>
      <c r="AZ63" s="283"/>
      <c r="BA63" s="283"/>
      <c r="BB63" s="283"/>
      <c r="BC63" s="283"/>
      <c r="BD63" s="283"/>
      <c r="BE63" s="283"/>
      <c r="BF63" s="283"/>
      <c r="BG63" s="283"/>
      <c r="BH63" s="283"/>
      <c r="BI63" s="283"/>
      <c r="BJ63" s="283"/>
    </row>
    <row r="64" spans="1:62">
      <c r="A64" s="595"/>
      <c r="B64" s="598"/>
      <c r="C64" s="599"/>
      <c r="F64" s="368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283"/>
      <c r="W64" s="283"/>
      <c r="X64" s="283"/>
      <c r="Y64" s="283"/>
      <c r="Z64" s="283"/>
      <c r="AA64" s="283"/>
      <c r="AB64" s="283"/>
      <c r="AC64" s="283"/>
      <c r="AD64" s="283"/>
      <c r="AE64" s="283"/>
      <c r="AF64" s="283"/>
      <c r="AG64" s="283"/>
      <c r="AH64" s="283"/>
      <c r="AI64" s="283"/>
      <c r="AJ64" s="283"/>
      <c r="AK64" s="283"/>
      <c r="AL64" s="283"/>
      <c r="AM64" s="283"/>
      <c r="AN64" s="283"/>
      <c r="AO64" s="283"/>
      <c r="AP64" s="283"/>
      <c r="AQ64" s="283"/>
      <c r="AR64" s="283"/>
      <c r="AS64" s="283"/>
      <c r="AT64" s="283"/>
      <c r="AU64" s="283"/>
      <c r="AV64" s="283"/>
      <c r="AW64" s="283"/>
      <c r="AX64" s="283"/>
      <c r="AY64" s="283"/>
      <c r="AZ64" s="283"/>
      <c r="BA64" s="283"/>
      <c r="BB64" s="283"/>
      <c r="BC64" s="283"/>
      <c r="BD64" s="283"/>
      <c r="BE64" s="283"/>
      <c r="BF64" s="283"/>
      <c r="BG64" s="283"/>
      <c r="BH64" s="283"/>
      <c r="BI64" s="283"/>
      <c r="BJ64" s="283"/>
    </row>
    <row r="65" spans="1:62">
      <c r="A65" s="595"/>
      <c r="B65" s="598"/>
      <c r="C65" s="599"/>
      <c r="F65" s="368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283"/>
      <c r="W65" s="283"/>
      <c r="X65" s="283"/>
      <c r="Y65" s="283"/>
      <c r="Z65" s="283"/>
      <c r="AA65" s="283"/>
      <c r="AB65" s="283"/>
      <c r="AC65" s="283"/>
      <c r="AD65" s="283"/>
      <c r="AE65" s="283"/>
      <c r="AF65" s="283"/>
      <c r="AG65" s="283"/>
      <c r="AH65" s="283"/>
      <c r="AI65" s="283"/>
      <c r="AJ65" s="283"/>
      <c r="AK65" s="283"/>
      <c r="AL65" s="283"/>
      <c r="AM65" s="283"/>
      <c r="AN65" s="283"/>
      <c r="AO65" s="283"/>
      <c r="AP65" s="283"/>
      <c r="AQ65" s="283"/>
      <c r="AR65" s="283"/>
      <c r="AS65" s="283"/>
      <c r="AT65" s="283"/>
      <c r="AU65" s="283"/>
      <c r="AV65" s="283"/>
      <c r="AW65" s="283"/>
      <c r="AX65" s="283"/>
      <c r="AY65" s="283"/>
      <c r="AZ65" s="283"/>
      <c r="BA65" s="283"/>
      <c r="BB65" s="283"/>
      <c r="BC65" s="283"/>
      <c r="BD65" s="283"/>
      <c r="BE65" s="283"/>
      <c r="BF65" s="283"/>
      <c r="BG65" s="283"/>
      <c r="BH65" s="283"/>
      <c r="BI65" s="283"/>
      <c r="BJ65" s="283"/>
    </row>
    <row r="66" spans="1:62">
      <c r="A66" s="595"/>
      <c r="B66" s="598"/>
      <c r="C66" s="599"/>
      <c r="F66" s="368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283"/>
      <c r="W66" s="283"/>
      <c r="X66" s="283"/>
      <c r="Y66" s="283"/>
      <c r="Z66" s="283"/>
      <c r="AA66" s="283"/>
      <c r="AB66" s="283"/>
      <c r="AC66" s="283"/>
      <c r="AD66" s="283"/>
      <c r="AE66" s="283"/>
      <c r="AF66" s="283"/>
      <c r="AG66" s="283"/>
      <c r="AH66" s="283"/>
      <c r="AI66" s="283"/>
      <c r="AJ66" s="283"/>
      <c r="AK66" s="283"/>
      <c r="AL66" s="283"/>
      <c r="AM66" s="283"/>
      <c r="AN66" s="283"/>
      <c r="AO66" s="283"/>
      <c r="AP66" s="283"/>
      <c r="AQ66" s="283"/>
      <c r="AR66" s="283"/>
      <c r="AS66" s="283"/>
      <c r="AT66" s="283"/>
      <c r="AU66" s="283"/>
      <c r="AV66" s="283"/>
      <c r="AW66" s="283"/>
      <c r="AX66" s="283"/>
      <c r="AY66" s="283"/>
      <c r="AZ66" s="283"/>
      <c r="BA66" s="283"/>
      <c r="BB66" s="283"/>
      <c r="BC66" s="283"/>
      <c r="BD66" s="283"/>
      <c r="BE66" s="283"/>
      <c r="BF66" s="283"/>
      <c r="BG66" s="283"/>
      <c r="BH66" s="283"/>
      <c r="BI66" s="283"/>
      <c r="BJ66" s="283"/>
    </row>
    <row r="67" spans="1:62">
      <c r="F67" s="368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283"/>
      <c r="W67" s="283"/>
      <c r="X67" s="283"/>
      <c r="Y67" s="283"/>
      <c r="Z67" s="283"/>
      <c r="AA67" s="283"/>
      <c r="AB67" s="283"/>
      <c r="AC67" s="283"/>
      <c r="AD67" s="283"/>
      <c r="AE67" s="283"/>
      <c r="AF67" s="283"/>
      <c r="AG67" s="283"/>
      <c r="AH67" s="283"/>
      <c r="AI67" s="283"/>
      <c r="AJ67" s="283"/>
      <c r="AK67" s="283"/>
      <c r="AL67" s="283"/>
      <c r="AM67" s="283"/>
      <c r="AN67" s="283"/>
      <c r="AO67" s="283"/>
      <c r="AP67" s="283"/>
      <c r="AQ67" s="283"/>
      <c r="AR67" s="283"/>
      <c r="AS67" s="283"/>
      <c r="AT67" s="283"/>
      <c r="AU67" s="283"/>
      <c r="AV67" s="283"/>
      <c r="AW67" s="283"/>
      <c r="AX67" s="283"/>
      <c r="AY67" s="283"/>
      <c r="AZ67" s="283"/>
      <c r="BA67" s="283"/>
      <c r="BB67" s="283"/>
      <c r="BC67" s="283"/>
      <c r="BD67" s="283"/>
      <c r="BE67" s="283"/>
      <c r="BF67" s="283"/>
      <c r="BG67" s="283"/>
      <c r="BH67" s="283"/>
      <c r="BI67" s="283"/>
      <c r="BJ67" s="283"/>
    </row>
    <row r="68" spans="1:62">
      <c r="F68" s="368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283"/>
      <c r="W68" s="283"/>
      <c r="X68" s="283"/>
      <c r="Y68" s="283"/>
      <c r="Z68" s="283"/>
      <c r="AA68" s="283"/>
      <c r="AB68" s="283"/>
      <c r="AC68" s="283"/>
      <c r="AD68" s="283"/>
      <c r="AE68" s="283"/>
      <c r="AF68" s="283"/>
      <c r="AG68" s="283"/>
      <c r="AH68" s="283"/>
      <c r="AI68" s="283"/>
      <c r="AJ68" s="283"/>
      <c r="AK68" s="283"/>
      <c r="AL68" s="283"/>
      <c r="AM68" s="283"/>
      <c r="AN68" s="283"/>
      <c r="AO68" s="283"/>
      <c r="AP68" s="283"/>
      <c r="AQ68" s="283"/>
      <c r="AR68" s="283"/>
      <c r="AS68" s="283"/>
      <c r="AT68" s="283"/>
      <c r="AU68" s="283"/>
      <c r="AV68" s="283"/>
      <c r="AW68" s="283"/>
      <c r="AX68" s="283"/>
      <c r="AY68" s="283"/>
      <c r="AZ68" s="283"/>
      <c r="BA68" s="283"/>
      <c r="BB68" s="283"/>
      <c r="BC68" s="283"/>
      <c r="BD68" s="283"/>
      <c r="BE68" s="283"/>
      <c r="BF68" s="283"/>
      <c r="BG68" s="283"/>
      <c r="BH68" s="283"/>
      <c r="BI68" s="283"/>
      <c r="BJ68" s="283"/>
    </row>
    <row r="69" spans="1:62">
      <c r="F69" s="368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</row>
  </sheetData>
  <mergeCells count="6">
    <mergeCell ref="D14:J14"/>
    <mergeCell ref="D18:I18"/>
    <mergeCell ref="D9:J9"/>
    <mergeCell ref="D13:I13"/>
    <mergeCell ref="D4:J4"/>
    <mergeCell ref="D8:I8"/>
  </mergeCells>
  <printOptions horizontalCentered="1"/>
  <pageMargins left="0.98425196850393704" right="0.78740157480314965" top="0.98425196850393704" bottom="0.98425196850393704" header="0.51181102362204722" footer="0.51181102362204722"/>
  <pageSetup paperSize="9" scale="29" orientation="portrait" r:id="rId1"/>
  <headerFooter alignWithMargins="0"/>
  <colBreaks count="1" manualBreakCount="1">
    <brk id="29" max="36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Plan14">
    <tabColor theme="9" tint="-0.499984740745262"/>
  </sheetPr>
  <dimension ref="A1:BT250"/>
  <sheetViews>
    <sheetView showZeros="0" zoomScaleNormal="100" zoomScaleSheetLayoutView="100" workbookViewId="0">
      <selection activeCell="D18" sqref="D18"/>
    </sheetView>
  </sheetViews>
  <sheetFormatPr defaultRowHeight="12.75"/>
  <cols>
    <col min="1" max="1" width="2.85546875" style="612" customWidth="1"/>
    <col min="2" max="3" width="2.85546875" customWidth="1"/>
    <col min="4" max="4" width="46.85546875" customWidth="1"/>
    <col min="5" max="5" width="18" bestFit="1" customWidth="1"/>
    <col min="259" max="259" width="46.85546875" customWidth="1"/>
    <col min="260" max="260" width="20.140625" customWidth="1"/>
    <col min="261" max="261" width="18" bestFit="1" customWidth="1"/>
    <col min="515" max="515" width="46.85546875" customWidth="1"/>
    <col min="516" max="516" width="20.140625" customWidth="1"/>
    <col min="517" max="517" width="18" bestFit="1" customWidth="1"/>
    <col min="771" max="771" width="46.85546875" customWidth="1"/>
    <col min="772" max="772" width="20.140625" customWidth="1"/>
    <col min="773" max="773" width="18" bestFit="1" customWidth="1"/>
    <col min="1027" max="1027" width="46.85546875" customWidth="1"/>
    <col min="1028" max="1028" width="20.140625" customWidth="1"/>
    <col min="1029" max="1029" width="18" bestFit="1" customWidth="1"/>
    <col min="1283" max="1283" width="46.85546875" customWidth="1"/>
    <col min="1284" max="1284" width="20.140625" customWidth="1"/>
    <col min="1285" max="1285" width="18" bestFit="1" customWidth="1"/>
    <col min="1539" max="1539" width="46.85546875" customWidth="1"/>
    <col min="1540" max="1540" width="20.140625" customWidth="1"/>
    <col min="1541" max="1541" width="18" bestFit="1" customWidth="1"/>
    <col min="1795" max="1795" width="46.85546875" customWidth="1"/>
    <col min="1796" max="1796" width="20.140625" customWidth="1"/>
    <col min="1797" max="1797" width="18" bestFit="1" customWidth="1"/>
    <col min="2051" max="2051" width="46.85546875" customWidth="1"/>
    <col min="2052" max="2052" width="20.140625" customWidth="1"/>
    <col min="2053" max="2053" width="18" bestFit="1" customWidth="1"/>
    <col min="2307" max="2307" width="46.85546875" customWidth="1"/>
    <col min="2308" max="2308" width="20.140625" customWidth="1"/>
    <col min="2309" max="2309" width="18" bestFit="1" customWidth="1"/>
    <col min="2563" max="2563" width="46.85546875" customWidth="1"/>
    <col min="2564" max="2564" width="20.140625" customWidth="1"/>
    <col min="2565" max="2565" width="18" bestFit="1" customWidth="1"/>
    <col min="2819" max="2819" width="46.85546875" customWidth="1"/>
    <col min="2820" max="2820" width="20.140625" customWidth="1"/>
    <col min="2821" max="2821" width="18" bestFit="1" customWidth="1"/>
    <col min="3075" max="3075" width="46.85546875" customWidth="1"/>
    <col min="3076" max="3076" width="20.140625" customWidth="1"/>
    <col min="3077" max="3077" width="18" bestFit="1" customWidth="1"/>
    <col min="3331" max="3331" width="46.85546875" customWidth="1"/>
    <col min="3332" max="3332" width="20.140625" customWidth="1"/>
    <col min="3333" max="3333" width="18" bestFit="1" customWidth="1"/>
    <col min="3587" max="3587" width="46.85546875" customWidth="1"/>
    <col min="3588" max="3588" width="20.140625" customWidth="1"/>
    <col min="3589" max="3589" width="18" bestFit="1" customWidth="1"/>
    <col min="3843" max="3843" width="46.85546875" customWidth="1"/>
    <col min="3844" max="3844" width="20.140625" customWidth="1"/>
    <col min="3845" max="3845" width="18" bestFit="1" customWidth="1"/>
    <col min="4099" max="4099" width="46.85546875" customWidth="1"/>
    <col min="4100" max="4100" width="20.140625" customWidth="1"/>
    <col min="4101" max="4101" width="18" bestFit="1" customWidth="1"/>
    <col min="4355" max="4355" width="46.85546875" customWidth="1"/>
    <col min="4356" max="4356" width="20.140625" customWidth="1"/>
    <col min="4357" max="4357" width="18" bestFit="1" customWidth="1"/>
    <col min="4611" max="4611" width="46.85546875" customWidth="1"/>
    <col min="4612" max="4612" width="20.140625" customWidth="1"/>
    <col min="4613" max="4613" width="18" bestFit="1" customWidth="1"/>
    <col min="4867" max="4867" width="46.85546875" customWidth="1"/>
    <col min="4868" max="4868" width="20.140625" customWidth="1"/>
    <col min="4869" max="4869" width="18" bestFit="1" customWidth="1"/>
    <col min="5123" max="5123" width="46.85546875" customWidth="1"/>
    <col min="5124" max="5124" width="20.140625" customWidth="1"/>
    <col min="5125" max="5125" width="18" bestFit="1" customWidth="1"/>
    <col min="5379" max="5379" width="46.85546875" customWidth="1"/>
    <col min="5380" max="5380" width="20.140625" customWidth="1"/>
    <col min="5381" max="5381" width="18" bestFit="1" customWidth="1"/>
    <col min="5635" max="5635" width="46.85546875" customWidth="1"/>
    <col min="5636" max="5636" width="20.140625" customWidth="1"/>
    <col min="5637" max="5637" width="18" bestFit="1" customWidth="1"/>
    <col min="5891" max="5891" width="46.85546875" customWidth="1"/>
    <col min="5892" max="5892" width="20.140625" customWidth="1"/>
    <col min="5893" max="5893" width="18" bestFit="1" customWidth="1"/>
    <col min="6147" max="6147" width="46.85546875" customWidth="1"/>
    <col min="6148" max="6148" width="20.140625" customWidth="1"/>
    <col min="6149" max="6149" width="18" bestFit="1" customWidth="1"/>
    <col min="6403" max="6403" width="46.85546875" customWidth="1"/>
    <col min="6404" max="6404" width="20.140625" customWidth="1"/>
    <col min="6405" max="6405" width="18" bestFit="1" customWidth="1"/>
    <col min="6659" max="6659" width="46.85546875" customWidth="1"/>
    <col min="6660" max="6660" width="20.140625" customWidth="1"/>
    <col min="6661" max="6661" width="18" bestFit="1" customWidth="1"/>
    <col min="6915" max="6915" width="46.85546875" customWidth="1"/>
    <col min="6916" max="6916" width="20.140625" customWidth="1"/>
    <col min="6917" max="6917" width="18" bestFit="1" customWidth="1"/>
    <col min="7171" max="7171" width="46.85546875" customWidth="1"/>
    <col min="7172" max="7172" width="20.140625" customWidth="1"/>
    <col min="7173" max="7173" width="18" bestFit="1" customWidth="1"/>
    <col min="7427" max="7427" width="46.85546875" customWidth="1"/>
    <col min="7428" max="7428" width="20.140625" customWidth="1"/>
    <col min="7429" max="7429" width="18" bestFit="1" customWidth="1"/>
    <col min="7683" max="7683" width="46.85546875" customWidth="1"/>
    <col min="7684" max="7684" width="20.140625" customWidth="1"/>
    <col min="7685" max="7685" width="18" bestFit="1" customWidth="1"/>
    <col min="7939" max="7939" width="46.85546875" customWidth="1"/>
    <col min="7940" max="7940" width="20.140625" customWidth="1"/>
    <col min="7941" max="7941" width="18" bestFit="1" customWidth="1"/>
    <col min="8195" max="8195" width="46.85546875" customWidth="1"/>
    <col min="8196" max="8196" width="20.140625" customWidth="1"/>
    <col min="8197" max="8197" width="18" bestFit="1" customWidth="1"/>
    <col min="8451" max="8451" width="46.85546875" customWidth="1"/>
    <col min="8452" max="8452" width="20.140625" customWidth="1"/>
    <col min="8453" max="8453" width="18" bestFit="1" customWidth="1"/>
    <col min="8707" max="8707" width="46.85546875" customWidth="1"/>
    <col min="8708" max="8708" width="20.140625" customWidth="1"/>
    <col min="8709" max="8709" width="18" bestFit="1" customWidth="1"/>
    <col min="8963" max="8963" width="46.85546875" customWidth="1"/>
    <col min="8964" max="8964" width="20.140625" customWidth="1"/>
    <col min="8965" max="8965" width="18" bestFit="1" customWidth="1"/>
    <col min="9219" max="9219" width="46.85546875" customWidth="1"/>
    <col min="9220" max="9220" width="20.140625" customWidth="1"/>
    <col min="9221" max="9221" width="18" bestFit="1" customWidth="1"/>
    <col min="9475" max="9475" width="46.85546875" customWidth="1"/>
    <col min="9476" max="9476" width="20.140625" customWidth="1"/>
    <col min="9477" max="9477" width="18" bestFit="1" customWidth="1"/>
    <col min="9731" max="9731" width="46.85546875" customWidth="1"/>
    <col min="9732" max="9732" width="20.140625" customWidth="1"/>
    <col min="9733" max="9733" width="18" bestFit="1" customWidth="1"/>
    <col min="9987" max="9987" width="46.85546875" customWidth="1"/>
    <col min="9988" max="9988" width="20.140625" customWidth="1"/>
    <col min="9989" max="9989" width="18" bestFit="1" customWidth="1"/>
    <col min="10243" max="10243" width="46.85546875" customWidth="1"/>
    <col min="10244" max="10244" width="20.140625" customWidth="1"/>
    <col min="10245" max="10245" width="18" bestFit="1" customWidth="1"/>
    <col min="10499" max="10499" width="46.85546875" customWidth="1"/>
    <col min="10500" max="10500" width="20.140625" customWidth="1"/>
    <col min="10501" max="10501" width="18" bestFit="1" customWidth="1"/>
    <col min="10755" max="10755" width="46.85546875" customWidth="1"/>
    <col min="10756" max="10756" width="20.140625" customWidth="1"/>
    <col min="10757" max="10757" width="18" bestFit="1" customWidth="1"/>
    <col min="11011" max="11011" width="46.85546875" customWidth="1"/>
    <col min="11012" max="11012" width="20.140625" customWidth="1"/>
    <col min="11013" max="11013" width="18" bestFit="1" customWidth="1"/>
    <col min="11267" max="11267" width="46.85546875" customWidth="1"/>
    <col min="11268" max="11268" width="20.140625" customWidth="1"/>
    <col min="11269" max="11269" width="18" bestFit="1" customWidth="1"/>
    <col min="11523" max="11523" width="46.85546875" customWidth="1"/>
    <col min="11524" max="11524" width="20.140625" customWidth="1"/>
    <col min="11525" max="11525" width="18" bestFit="1" customWidth="1"/>
    <col min="11779" max="11779" width="46.85546875" customWidth="1"/>
    <col min="11780" max="11780" width="20.140625" customWidth="1"/>
    <col min="11781" max="11781" width="18" bestFit="1" customWidth="1"/>
    <col min="12035" max="12035" width="46.85546875" customWidth="1"/>
    <col min="12036" max="12036" width="20.140625" customWidth="1"/>
    <col min="12037" max="12037" width="18" bestFit="1" customWidth="1"/>
    <col min="12291" max="12291" width="46.85546875" customWidth="1"/>
    <col min="12292" max="12292" width="20.140625" customWidth="1"/>
    <col min="12293" max="12293" width="18" bestFit="1" customWidth="1"/>
    <col min="12547" max="12547" width="46.85546875" customWidth="1"/>
    <col min="12548" max="12548" width="20.140625" customWidth="1"/>
    <col min="12549" max="12549" width="18" bestFit="1" customWidth="1"/>
    <col min="12803" max="12803" width="46.85546875" customWidth="1"/>
    <col min="12804" max="12804" width="20.140625" customWidth="1"/>
    <col min="12805" max="12805" width="18" bestFit="1" customWidth="1"/>
    <col min="13059" max="13059" width="46.85546875" customWidth="1"/>
    <col min="13060" max="13060" width="20.140625" customWidth="1"/>
    <col min="13061" max="13061" width="18" bestFit="1" customWidth="1"/>
    <col min="13315" max="13315" width="46.85546875" customWidth="1"/>
    <col min="13316" max="13316" width="20.140625" customWidth="1"/>
    <col min="13317" max="13317" width="18" bestFit="1" customWidth="1"/>
    <col min="13571" max="13571" width="46.85546875" customWidth="1"/>
    <col min="13572" max="13572" width="20.140625" customWidth="1"/>
    <col min="13573" max="13573" width="18" bestFit="1" customWidth="1"/>
    <col min="13827" max="13827" width="46.85546875" customWidth="1"/>
    <col min="13828" max="13828" width="20.140625" customWidth="1"/>
    <col min="13829" max="13829" width="18" bestFit="1" customWidth="1"/>
    <col min="14083" max="14083" width="46.85546875" customWidth="1"/>
    <col min="14084" max="14084" width="20.140625" customWidth="1"/>
    <col min="14085" max="14085" width="18" bestFit="1" customWidth="1"/>
    <col min="14339" max="14339" width="46.85546875" customWidth="1"/>
    <col min="14340" max="14340" width="20.140625" customWidth="1"/>
    <col min="14341" max="14341" width="18" bestFit="1" customWidth="1"/>
    <col min="14595" max="14595" width="46.85546875" customWidth="1"/>
    <col min="14596" max="14596" width="20.140625" customWidth="1"/>
    <col min="14597" max="14597" width="18" bestFit="1" customWidth="1"/>
    <col min="14851" max="14851" width="46.85546875" customWidth="1"/>
    <col min="14852" max="14852" width="20.140625" customWidth="1"/>
    <col min="14853" max="14853" width="18" bestFit="1" customWidth="1"/>
    <col min="15107" max="15107" width="46.85546875" customWidth="1"/>
    <col min="15108" max="15108" width="20.140625" customWidth="1"/>
    <col min="15109" max="15109" width="18" bestFit="1" customWidth="1"/>
    <col min="15363" max="15363" width="46.85546875" customWidth="1"/>
    <col min="15364" max="15364" width="20.140625" customWidth="1"/>
    <col min="15365" max="15365" width="18" bestFit="1" customWidth="1"/>
    <col min="15619" max="15619" width="46.85546875" customWidth="1"/>
    <col min="15620" max="15620" width="20.140625" customWidth="1"/>
    <col min="15621" max="15621" width="18" bestFit="1" customWidth="1"/>
    <col min="15875" max="15875" width="46.85546875" customWidth="1"/>
    <col min="15876" max="15876" width="20.140625" customWidth="1"/>
    <col min="15877" max="15877" width="18" bestFit="1" customWidth="1"/>
    <col min="16131" max="16131" width="46.85546875" customWidth="1"/>
    <col min="16132" max="16132" width="20.140625" customWidth="1"/>
    <col min="16133" max="16133" width="18" bestFit="1" customWidth="1"/>
  </cols>
  <sheetData>
    <row r="1" spans="1:72" s="612" customFormat="1">
      <c r="A1" s="595"/>
      <c r="B1" s="596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  <c r="P1" s="595"/>
      <c r="Q1" s="595"/>
      <c r="R1" s="595"/>
      <c r="S1" s="595"/>
      <c r="T1" s="595"/>
      <c r="U1" s="595"/>
      <c r="V1" s="595"/>
      <c r="W1" s="595"/>
      <c r="X1" s="595"/>
      <c r="Y1" s="595"/>
      <c r="Z1" s="595"/>
      <c r="AA1" s="595"/>
      <c r="AB1" s="595"/>
      <c r="AC1" s="595"/>
      <c r="AD1" s="595"/>
      <c r="AE1" s="595"/>
      <c r="AF1" s="595"/>
      <c r="AG1" s="595"/>
      <c r="AH1" s="595"/>
      <c r="AI1" s="595"/>
      <c r="AJ1" s="595"/>
      <c r="AK1" s="595"/>
      <c r="AL1" s="595"/>
      <c r="AM1" s="595"/>
      <c r="AN1" s="595"/>
      <c r="AO1" s="595"/>
      <c r="AP1" s="595"/>
      <c r="AQ1" s="595"/>
      <c r="AR1" s="595"/>
      <c r="AS1" s="595"/>
      <c r="AT1" s="595"/>
      <c r="AU1" s="595"/>
      <c r="AV1" s="595"/>
      <c r="AW1" s="595"/>
      <c r="AX1" s="595"/>
      <c r="AY1" s="595"/>
      <c r="AZ1" s="595"/>
      <c r="BA1" s="595"/>
      <c r="BB1" s="595"/>
      <c r="BC1" s="595"/>
      <c r="BD1" s="595"/>
      <c r="BE1" s="595"/>
      <c r="BF1" s="595"/>
      <c r="BG1" s="595"/>
      <c r="BH1" s="595"/>
      <c r="BI1" s="595"/>
      <c r="BJ1" s="595"/>
      <c r="BK1" s="595"/>
      <c r="BL1" s="595"/>
      <c r="BM1" s="595"/>
      <c r="BN1" s="595"/>
      <c r="BO1" s="595"/>
      <c r="BP1" s="595"/>
      <c r="BQ1" s="595"/>
      <c r="BR1" s="595"/>
      <c r="BS1" s="595"/>
      <c r="BT1" s="595"/>
    </row>
    <row r="2" spans="1:72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242"/>
      <c r="AF2" s="242"/>
      <c r="AG2" s="242"/>
      <c r="AH2" s="242"/>
      <c r="AI2" s="242"/>
      <c r="AJ2" s="242"/>
      <c r="AK2" s="242"/>
      <c r="AL2" s="242"/>
      <c r="AM2" s="242"/>
      <c r="AN2" s="242"/>
      <c r="AO2" s="242"/>
      <c r="AP2" s="242"/>
      <c r="AQ2" s="242"/>
      <c r="AR2" s="242"/>
      <c r="AS2" s="242"/>
      <c r="AT2" s="242"/>
      <c r="AU2" s="242"/>
      <c r="AV2" s="242"/>
      <c r="AW2" s="242"/>
      <c r="AX2" s="242"/>
      <c r="AY2" s="242"/>
      <c r="AZ2" s="242"/>
      <c r="BA2" s="242"/>
      <c r="BB2" s="242"/>
      <c r="BC2" s="242"/>
      <c r="BD2" s="242"/>
      <c r="BE2" s="242"/>
      <c r="BF2" s="242"/>
      <c r="BG2" s="242"/>
      <c r="BH2" s="242"/>
      <c r="BI2" s="242"/>
      <c r="BJ2" s="242"/>
      <c r="BK2" s="242"/>
      <c r="BL2" s="242"/>
      <c r="BM2" s="242"/>
      <c r="BN2" s="242"/>
      <c r="BO2" s="242"/>
      <c r="BP2" s="242"/>
      <c r="BQ2" s="242"/>
      <c r="BR2" s="242"/>
      <c r="BS2" s="242"/>
      <c r="BT2" s="242"/>
    </row>
    <row r="3" spans="1:72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599"/>
      <c r="AI3" s="599"/>
      <c r="AJ3" s="599"/>
      <c r="AK3" s="599"/>
      <c r="AL3" s="599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</row>
    <row r="4" spans="1:72">
      <c r="A4" s="595"/>
      <c r="B4" s="598"/>
      <c r="C4" s="599"/>
      <c r="D4" s="1886" t="s">
        <v>709</v>
      </c>
      <c r="E4" s="1886"/>
      <c r="F4" s="308"/>
      <c r="G4" s="308"/>
      <c r="H4" s="308"/>
      <c r="I4" s="308"/>
      <c r="J4" s="308"/>
      <c r="K4" s="308"/>
      <c r="L4" s="308"/>
      <c r="M4" s="308"/>
      <c r="N4" s="308"/>
      <c r="O4" s="308"/>
      <c r="P4" s="308"/>
      <c r="Q4" s="308"/>
      <c r="R4" s="308"/>
      <c r="S4" s="308"/>
      <c r="T4" s="308"/>
      <c r="U4" s="308"/>
      <c r="V4" s="308"/>
      <c r="W4" s="308"/>
      <c r="X4" s="308"/>
      <c r="Y4" s="308"/>
      <c r="Z4" s="308"/>
      <c r="AA4" s="308"/>
      <c r="AB4" s="308"/>
      <c r="AC4" s="308"/>
      <c r="AD4" s="308"/>
      <c r="AE4" s="308"/>
      <c r="AF4" s="308"/>
      <c r="AG4" s="308"/>
      <c r="AH4" s="308"/>
      <c r="AI4" s="308"/>
      <c r="AJ4" s="308"/>
      <c r="AK4" s="308"/>
      <c r="AL4" s="308"/>
      <c r="AM4" s="308"/>
      <c r="AN4" s="308"/>
      <c r="AO4" s="308"/>
      <c r="AP4" s="308"/>
      <c r="AQ4" s="308"/>
      <c r="AR4" s="308"/>
      <c r="AS4" s="308"/>
      <c r="AT4" s="308"/>
      <c r="AU4" s="308"/>
      <c r="AV4" s="308"/>
      <c r="AW4" s="308"/>
      <c r="AX4" s="308"/>
      <c r="AY4" s="243"/>
      <c r="AZ4" s="243"/>
      <c r="BA4" s="243"/>
      <c r="BB4" s="243"/>
      <c r="BC4" s="243"/>
      <c r="BD4" s="243"/>
      <c r="BE4" s="243"/>
      <c r="BF4" s="243"/>
      <c r="BG4" s="243"/>
      <c r="BH4" s="243"/>
      <c r="BI4" s="243"/>
      <c r="BJ4" s="243"/>
      <c r="BK4" s="243"/>
      <c r="BL4" s="243"/>
      <c r="BM4" s="243"/>
      <c r="BN4" s="243"/>
      <c r="BO4" s="243"/>
      <c r="BP4" s="243"/>
      <c r="BQ4" s="243"/>
      <c r="BR4" s="243"/>
      <c r="BS4" s="243"/>
      <c r="BT4" s="243"/>
    </row>
    <row r="5" spans="1:72">
      <c r="A5" s="595"/>
      <c r="B5" s="598"/>
      <c r="C5" s="599"/>
      <c r="D5" s="1089" t="s">
        <v>710</v>
      </c>
      <c r="E5" s="1090">
        <v>1</v>
      </c>
      <c r="F5" s="283"/>
      <c r="G5" s="283"/>
      <c r="H5" s="283"/>
      <c r="I5" s="283"/>
      <c r="J5" s="283"/>
      <c r="K5" s="283"/>
      <c r="L5" s="283"/>
      <c r="M5" s="283"/>
      <c r="N5" s="283"/>
      <c r="O5" s="283"/>
      <c r="P5" s="283"/>
      <c r="Q5" s="283"/>
      <c r="R5" s="283"/>
      <c r="S5" s="283"/>
      <c r="T5" s="283"/>
      <c r="U5" s="283"/>
      <c r="V5" s="283"/>
      <c r="W5" s="283"/>
      <c r="X5" s="283"/>
      <c r="Y5" s="283"/>
      <c r="Z5" s="283"/>
      <c r="AA5" s="283"/>
      <c r="AB5" s="283"/>
      <c r="AC5" s="283"/>
      <c r="AD5" s="283"/>
      <c r="AE5" s="283"/>
      <c r="AF5" s="283"/>
      <c r="AG5" s="283"/>
      <c r="AH5" s="283"/>
      <c r="AI5" s="283"/>
      <c r="AJ5" s="283"/>
      <c r="AK5" s="283"/>
      <c r="AL5" s="283"/>
      <c r="AM5" s="283"/>
      <c r="AN5" s="283"/>
      <c r="AO5" s="283"/>
      <c r="AP5" s="283"/>
      <c r="AQ5" s="283"/>
      <c r="AR5" s="283"/>
      <c r="AS5" s="283"/>
      <c r="AT5" s="283"/>
      <c r="AU5" s="283"/>
      <c r="AV5" s="283"/>
      <c r="AW5" s="283"/>
      <c r="AX5" s="283"/>
    </row>
    <row r="6" spans="1:72">
      <c r="A6" s="595"/>
      <c r="B6" s="598"/>
      <c r="C6" s="599"/>
      <c r="D6" s="1089" t="s">
        <v>711</v>
      </c>
      <c r="E6" s="1091">
        <f>10*E5</f>
        <v>10</v>
      </c>
      <c r="F6" s="283"/>
      <c r="G6" s="283"/>
      <c r="H6" s="283"/>
      <c r="I6" s="283"/>
      <c r="J6" s="283"/>
      <c r="K6" s="283"/>
      <c r="L6" s="283"/>
      <c r="M6" s="283"/>
      <c r="N6" s="283"/>
      <c r="O6" s="283"/>
      <c r="P6" s="283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3"/>
      <c r="AJ6" s="283"/>
      <c r="AK6" s="283"/>
      <c r="AL6" s="283"/>
      <c r="AM6" s="283"/>
      <c r="AN6" s="283"/>
      <c r="AO6" s="283"/>
      <c r="AP6" s="283"/>
      <c r="AQ6" s="283"/>
      <c r="AR6" s="283"/>
      <c r="AS6" s="283"/>
      <c r="AT6" s="283"/>
    </row>
    <row r="7" spans="1:72" ht="15">
      <c r="A7" s="595"/>
      <c r="B7" s="598"/>
      <c r="C7" s="599"/>
      <c r="D7" s="369"/>
      <c r="E7" s="370"/>
      <c r="F7" s="283"/>
      <c r="G7" s="283"/>
      <c r="H7" s="283"/>
      <c r="I7" s="283"/>
      <c r="J7" s="283"/>
      <c r="K7" s="283"/>
      <c r="L7" s="283"/>
      <c r="M7" s="283"/>
      <c r="N7" s="283"/>
      <c r="O7" s="283"/>
      <c r="P7" s="283"/>
      <c r="Q7" s="283"/>
      <c r="R7" s="283"/>
      <c r="S7" s="283"/>
      <c r="T7" s="283"/>
      <c r="U7" s="283"/>
      <c r="V7" s="283"/>
      <c r="W7" s="283"/>
      <c r="X7" s="283"/>
      <c r="Y7" s="283"/>
      <c r="Z7" s="283"/>
      <c r="AA7" s="283"/>
      <c r="AB7" s="283"/>
      <c r="AC7" s="283"/>
      <c r="AD7" s="283"/>
      <c r="AE7" s="283"/>
      <c r="AF7" s="283"/>
      <c r="AG7" s="283"/>
      <c r="AH7" s="283"/>
      <c r="AI7" s="283"/>
      <c r="AJ7" s="283"/>
      <c r="AK7" s="283"/>
      <c r="AL7" s="283"/>
      <c r="AM7" s="283"/>
      <c r="AN7" s="283"/>
      <c r="AO7" s="283"/>
      <c r="AP7" s="283"/>
      <c r="AQ7" s="283"/>
      <c r="AR7" s="283"/>
      <c r="AS7" s="283"/>
      <c r="AT7" s="283"/>
    </row>
    <row r="8" spans="1:72">
      <c r="A8" s="595"/>
      <c r="B8" s="598"/>
      <c r="C8" s="599"/>
      <c r="D8" s="283"/>
      <c r="E8" s="283"/>
      <c r="F8" s="283"/>
      <c r="G8" s="283"/>
      <c r="H8" s="283"/>
      <c r="I8" s="283"/>
      <c r="J8" s="283"/>
      <c r="K8" s="283"/>
      <c r="L8" s="283"/>
      <c r="M8" s="283"/>
      <c r="N8" s="283"/>
      <c r="O8" s="283"/>
      <c r="P8" s="283"/>
      <c r="Q8" s="283"/>
      <c r="R8" s="283"/>
      <c r="S8" s="283"/>
      <c r="T8" s="283"/>
      <c r="U8" s="283"/>
      <c r="V8" s="283"/>
      <c r="W8" s="283"/>
      <c r="X8" s="283"/>
      <c r="Y8" s="283"/>
      <c r="Z8" s="283"/>
      <c r="AA8" s="283"/>
      <c r="AB8" s="283"/>
      <c r="AC8" s="283"/>
      <c r="AD8" s="283"/>
      <c r="AE8" s="283"/>
      <c r="AF8" s="283"/>
      <c r="AG8" s="283"/>
      <c r="AH8" s="283"/>
      <c r="AI8" s="283"/>
      <c r="AJ8" s="283"/>
      <c r="AK8" s="283"/>
      <c r="AL8" s="283"/>
      <c r="AM8" s="283"/>
      <c r="AN8" s="283"/>
      <c r="AO8" s="283"/>
      <c r="AP8" s="283"/>
      <c r="AQ8" s="283"/>
      <c r="AR8" s="283"/>
      <c r="AS8" s="283"/>
      <c r="AT8" s="283"/>
    </row>
    <row r="9" spans="1:72">
      <c r="A9" s="595"/>
      <c r="B9" s="598"/>
      <c r="C9" s="599"/>
      <c r="D9" s="283"/>
      <c r="E9" s="283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283"/>
      <c r="S9" s="283"/>
      <c r="T9" s="283"/>
      <c r="U9" s="283"/>
      <c r="V9" s="283"/>
      <c r="W9" s="283"/>
      <c r="X9" s="283"/>
      <c r="Y9" s="283"/>
      <c r="Z9" s="283"/>
      <c r="AA9" s="283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3"/>
      <c r="AN9" s="283"/>
      <c r="AO9" s="283"/>
      <c r="AP9" s="283"/>
      <c r="AQ9" s="283"/>
      <c r="AR9" s="283"/>
      <c r="AS9" s="283"/>
      <c r="AT9" s="283"/>
    </row>
    <row r="10" spans="1:72">
      <c r="A10" s="595"/>
      <c r="B10" s="598"/>
      <c r="C10" s="599"/>
      <c r="D10" s="283"/>
      <c r="E10" s="283"/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283"/>
      <c r="S10" s="283"/>
      <c r="T10" s="283"/>
      <c r="U10" s="283"/>
      <c r="V10" s="283"/>
      <c r="W10" s="283"/>
      <c r="X10" s="283"/>
      <c r="Y10" s="283"/>
      <c r="Z10" s="283"/>
      <c r="AA10" s="283"/>
      <c r="AB10" s="283"/>
      <c r="AC10" s="283"/>
      <c r="AD10" s="283"/>
      <c r="AE10" s="283"/>
      <c r="AF10" s="283"/>
      <c r="AG10" s="283"/>
      <c r="AH10" s="283"/>
      <c r="AI10" s="283"/>
      <c r="AJ10" s="283"/>
      <c r="AK10" s="283"/>
      <c r="AL10" s="283"/>
      <c r="AM10" s="283"/>
      <c r="AN10" s="283"/>
      <c r="AO10" s="283"/>
      <c r="AP10" s="283"/>
      <c r="AQ10" s="283"/>
      <c r="AR10" s="283"/>
      <c r="AS10" s="283"/>
      <c r="AT10" s="283"/>
    </row>
    <row r="11" spans="1:72">
      <c r="A11" s="595"/>
      <c r="B11" s="598"/>
      <c r="C11" s="599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  <c r="AB11" s="283"/>
      <c r="AC11" s="283"/>
      <c r="AD11" s="283"/>
      <c r="AE11" s="283"/>
      <c r="AF11" s="283"/>
      <c r="AG11" s="283"/>
      <c r="AH11" s="283"/>
      <c r="AI11" s="283"/>
      <c r="AJ11" s="283"/>
      <c r="AK11" s="283"/>
      <c r="AL11" s="283"/>
      <c r="AM11" s="283"/>
      <c r="AN11" s="283"/>
      <c r="AO11" s="283"/>
      <c r="AP11" s="283"/>
      <c r="AQ11" s="283"/>
      <c r="AR11" s="283"/>
      <c r="AS11" s="283"/>
      <c r="AT11" s="283"/>
    </row>
    <row r="12" spans="1:72">
      <c r="A12" s="595"/>
      <c r="B12" s="598"/>
      <c r="C12" s="599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  <c r="AB12" s="283"/>
      <c r="AC12" s="283"/>
      <c r="AD12" s="283"/>
      <c r="AE12" s="283"/>
      <c r="AF12" s="283"/>
      <c r="AG12" s="283"/>
      <c r="AH12" s="283"/>
      <c r="AI12" s="283"/>
      <c r="AJ12" s="283"/>
      <c r="AK12" s="283"/>
      <c r="AL12" s="283"/>
      <c r="AM12" s="283"/>
      <c r="AN12" s="283"/>
      <c r="AO12" s="283"/>
      <c r="AP12" s="283"/>
      <c r="AQ12" s="283"/>
      <c r="AR12" s="283"/>
      <c r="AS12" s="283"/>
      <c r="AT12" s="283"/>
    </row>
    <row r="13" spans="1:72">
      <c r="A13" s="595"/>
      <c r="B13" s="598"/>
      <c r="C13" s="599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  <c r="AB13" s="283"/>
      <c r="AC13" s="283"/>
      <c r="AD13" s="283"/>
      <c r="AE13" s="283"/>
      <c r="AF13" s="283"/>
      <c r="AG13" s="283"/>
      <c r="AH13" s="283"/>
      <c r="AI13" s="283"/>
      <c r="AJ13" s="283"/>
      <c r="AK13" s="283"/>
      <c r="AL13" s="283"/>
      <c r="AM13" s="283"/>
      <c r="AN13" s="283"/>
      <c r="AO13" s="283"/>
      <c r="AP13" s="283"/>
      <c r="AQ13" s="283"/>
      <c r="AR13" s="283"/>
      <c r="AS13" s="283"/>
      <c r="AT13" s="283"/>
    </row>
    <row r="14" spans="1:72">
      <c r="A14" s="595"/>
      <c r="B14" s="598"/>
      <c r="C14" s="599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  <c r="AB14" s="283"/>
      <c r="AC14" s="283"/>
      <c r="AD14" s="283"/>
      <c r="AE14" s="283"/>
      <c r="AF14" s="283"/>
      <c r="AG14" s="283"/>
      <c r="AH14" s="283"/>
      <c r="AI14" s="283"/>
      <c r="AJ14" s="283"/>
      <c r="AK14" s="283"/>
      <c r="AL14" s="283"/>
      <c r="AM14" s="283"/>
      <c r="AN14" s="283"/>
      <c r="AO14" s="283"/>
      <c r="AP14" s="283"/>
      <c r="AQ14" s="283"/>
      <c r="AR14" s="283"/>
      <c r="AS14" s="283"/>
      <c r="AT14" s="283"/>
    </row>
    <row r="15" spans="1:72">
      <c r="A15" s="595"/>
      <c r="B15" s="598"/>
      <c r="C15" s="599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  <c r="AB15" s="283"/>
      <c r="AC15" s="283"/>
      <c r="AD15" s="283"/>
      <c r="AE15" s="283"/>
      <c r="AF15" s="283"/>
      <c r="AG15" s="283"/>
      <c r="AH15" s="283"/>
      <c r="AI15" s="283"/>
      <c r="AJ15" s="283"/>
      <c r="AK15" s="283"/>
      <c r="AL15" s="283"/>
      <c r="AM15" s="283"/>
      <c r="AN15" s="283"/>
      <c r="AO15" s="283"/>
      <c r="AP15" s="283"/>
      <c r="AQ15" s="283"/>
      <c r="AR15" s="283"/>
      <c r="AS15" s="283"/>
      <c r="AT15" s="283"/>
    </row>
    <row r="16" spans="1:72">
      <c r="A16" s="595"/>
      <c r="B16" s="598"/>
      <c r="C16" s="599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  <c r="AB16" s="283"/>
      <c r="AC16" s="283"/>
      <c r="AD16" s="283"/>
      <c r="AE16" s="283"/>
      <c r="AF16" s="283"/>
      <c r="AG16" s="283"/>
      <c r="AH16" s="283"/>
      <c r="AI16" s="283"/>
      <c r="AJ16" s="283"/>
      <c r="AK16" s="283"/>
      <c r="AL16" s="283"/>
      <c r="AM16" s="283"/>
      <c r="AN16" s="283"/>
      <c r="AO16" s="283"/>
      <c r="AP16" s="283"/>
      <c r="AQ16" s="283"/>
      <c r="AR16" s="283"/>
      <c r="AS16" s="283"/>
      <c r="AT16" s="283"/>
    </row>
    <row r="17" spans="1:46">
      <c r="A17" s="595"/>
      <c r="B17" s="598"/>
      <c r="C17" s="599"/>
      <c r="D17" s="283"/>
      <c r="E17" s="283"/>
      <c r="F17" s="283"/>
      <c r="G17" s="283"/>
      <c r="H17" s="283"/>
      <c r="I17" s="283"/>
      <c r="J17" s="283"/>
      <c r="K17" s="283"/>
      <c r="L17" s="283"/>
      <c r="M17" s="283"/>
      <c r="N17" s="283"/>
      <c r="O17" s="283"/>
      <c r="P17" s="283"/>
      <c r="Q17" s="283"/>
      <c r="R17" s="283"/>
      <c r="S17" s="283"/>
      <c r="T17" s="283"/>
      <c r="U17" s="283"/>
      <c r="V17" s="283"/>
      <c r="W17" s="283"/>
      <c r="X17" s="283"/>
      <c r="Y17" s="283"/>
      <c r="Z17" s="283"/>
      <c r="AA17" s="283"/>
      <c r="AB17" s="283"/>
      <c r="AC17" s="283"/>
      <c r="AD17" s="283"/>
      <c r="AE17" s="283"/>
      <c r="AF17" s="283"/>
      <c r="AG17" s="283"/>
      <c r="AH17" s="283"/>
      <c r="AI17" s="283"/>
      <c r="AJ17" s="283"/>
      <c r="AK17" s="283"/>
      <c r="AL17" s="283"/>
      <c r="AM17" s="283"/>
      <c r="AN17" s="283"/>
      <c r="AO17" s="283"/>
      <c r="AP17" s="283"/>
      <c r="AQ17" s="283"/>
      <c r="AR17" s="283"/>
      <c r="AS17" s="283"/>
      <c r="AT17" s="283"/>
    </row>
    <row r="18" spans="1:46">
      <c r="A18" s="595"/>
      <c r="B18" s="598"/>
      <c r="C18" s="599"/>
      <c r="D18" s="283"/>
      <c r="E18" s="283"/>
      <c r="F18" s="283"/>
      <c r="G18" s="283"/>
      <c r="H18" s="283"/>
      <c r="I18" s="283"/>
      <c r="J18" s="283"/>
      <c r="K18" s="283"/>
      <c r="L18" s="283"/>
      <c r="M18" s="283"/>
      <c r="N18" s="283"/>
      <c r="O18" s="283"/>
      <c r="P18" s="283"/>
      <c r="Q18" s="283"/>
      <c r="R18" s="283"/>
      <c r="S18" s="283"/>
      <c r="T18" s="283"/>
      <c r="U18" s="283"/>
      <c r="V18" s="283"/>
      <c r="W18" s="283"/>
      <c r="X18" s="283"/>
      <c r="Y18" s="283"/>
      <c r="Z18" s="283"/>
      <c r="AA18" s="283"/>
      <c r="AB18" s="283"/>
      <c r="AC18" s="283"/>
      <c r="AD18" s="283"/>
      <c r="AE18" s="283"/>
      <c r="AF18" s="283"/>
      <c r="AG18" s="283"/>
      <c r="AH18" s="283"/>
      <c r="AI18" s="283"/>
      <c r="AJ18" s="283"/>
      <c r="AK18" s="283"/>
      <c r="AL18" s="283"/>
      <c r="AM18" s="283"/>
      <c r="AN18" s="283"/>
      <c r="AO18" s="283"/>
      <c r="AP18" s="283"/>
      <c r="AQ18" s="283"/>
      <c r="AR18" s="283"/>
      <c r="AS18" s="283"/>
      <c r="AT18" s="283"/>
    </row>
    <row r="19" spans="1:46">
      <c r="A19" s="595"/>
      <c r="B19" s="598"/>
      <c r="C19" s="599"/>
      <c r="D19" s="283"/>
      <c r="E19" s="283"/>
      <c r="F19" s="283"/>
      <c r="G19" s="283"/>
      <c r="H19" s="283"/>
      <c r="I19" s="283"/>
      <c r="J19" s="283"/>
      <c r="K19" s="283"/>
      <c r="L19" s="283"/>
      <c r="M19" s="283"/>
      <c r="N19" s="283"/>
      <c r="O19" s="283"/>
      <c r="P19" s="283"/>
      <c r="Q19" s="283"/>
      <c r="R19" s="283"/>
      <c r="S19" s="283"/>
      <c r="T19" s="283"/>
      <c r="U19" s="283"/>
      <c r="V19" s="283"/>
      <c r="W19" s="283"/>
      <c r="X19" s="283"/>
      <c r="Y19" s="283"/>
      <c r="Z19" s="283"/>
      <c r="AA19" s="283"/>
      <c r="AB19" s="283"/>
      <c r="AC19" s="283"/>
      <c r="AD19" s="283"/>
      <c r="AE19" s="283"/>
      <c r="AF19" s="283"/>
      <c r="AG19" s="283"/>
      <c r="AH19" s="283"/>
      <c r="AI19" s="283"/>
      <c r="AJ19" s="283"/>
      <c r="AK19" s="283"/>
      <c r="AL19" s="283"/>
      <c r="AM19" s="283"/>
      <c r="AN19" s="283"/>
      <c r="AO19" s="283"/>
      <c r="AP19" s="283"/>
      <c r="AQ19" s="283"/>
      <c r="AR19" s="283"/>
      <c r="AS19" s="283"/>
      <c r="AT19" s="283"/>
    </row>
    <row r="20" spans="1:46">
      <c r="A20" s="595"/>
      <c r="B20" s="598"/>
      <c r="C20" s="599"/>
      <c r="D20" s="283"/>
      <c r="E20" s="283"/>
      <c r="F20" s="283"/>
      <c r="G20" s="283"/>
      <c r="H20" s="283"/>
      <c r="I20" s="283"/>
      <c r="J20" s="283"/>
      <c r="K20" s="283"/>
      <c r="L20" s="283"/>
      <c r="M20" s="283"/>
      <c r="N20" s="283"/>
      <c r="O20" s="283"/>
      <c r="P20" s="283"/>
      <c r="Q20" s="283"/>
      <c r="R20" s="283"/>
      <c r="S20" s="283"/>
      <c r="T20" s="283"/>
      <c r="U20" s="283"/>
      <c r="V20" s="283"/>
      <c r="W20" s="283"/>
      <c r="X20" s="283"/>
      <c r="Y20" s="283"/>
      <c r="Z20" s="283"/>
      <c r="AA20" s="283"/>
      <c r="AB20" s="283"/>
      <c r="AC20" s="283"/>
      <c r="AD20" s="283"/>
      <c r="AE20" s="283"/>
      <c r="AF20" s="283"/>
      <c r="AG20" s="283"/>
      <c r="AH20" s="283"/>
      <c r="AI20" s="283"/>
      <c r="AJ20" s="283"/>
      <c r="AK20" s="283"/>
      <c r="AL20" s="283"/>
      <c r="AM20" s="283"/>
      <c r="AN20" s="283"/>
      <c r="AO20" s="283"/>
      <c r="AP20" s="283"/>
      <c r="AQ20" s="283"/>
      <c r="AR20" s="283"/>
      <c r="AS20" s="283"/>
      <c r="AT20" s="283"/>
    </row>
    <row r="21" spans="1:46">
      <c r="A21" s="595"/>
      <c r="B21" s="598"/>
      <c r="C21" s="599"/>
      <c r="D21" s="283"/>
      <c r="E21" s="283"/>
      <c r="F21" s="283"/>
      <c r="G21" s="283"/>
      <c r="H21" s="283"/>
      <c r="I21" s="283"/>
      <c r="J21" s="283"/>
      <c r="K21" s="283"/>
      <c r="L21" s="283"/>
      <c r="M21" s="283"/>
      <c r="N21" s="283"/>
      <c r="O21" s="283"/>
      <c r="P21" s="283"/>
      <c r="Q21" s="283"/>
      <c r="R21" s="283"/>
      <c r="S21" s="283"/>
      <c r="T21" s="283"/>
      <c r="U21" s="283"/>
      <c r="V21" s="283"/>
      <c r="W21" s="283"/>
      <c r="X21" s="283"/>
      <c r="Y21" s="283"/>
      <c r="Z21" s="283"/>
      <c r="AA21" s="283"/>
      <c r="AB21" s="283"/>
      <c r="AC21" s="283"/>
      <c r="AD21" s="283"/>
      <c r="AE21" s="283"/>
      <c r="AF21" s="283"/>
      <c r="AG21" s="283"/>
      <c r="AH21" s="283"/>
      <c r="AI21" s="283"/>
      <c r="AJ21" s="283"/>
      <c r="AK21" s="283"/>
      <c r="AL21" s="283"/>
      <c r="AM21" s="283"/>
      <c r="AN21" s="283"/>
      <c r="AO21" s="283"/>
      <c r="AP21" s="283"/>
      <c r="AQ21" s="283"/>
      <c r="AR21" s="283"/>
      <c r="AS21" s="283"/>
      <c r="AT21" s="283"/>
    </row>
    <row r="22" spans="1:46">
      <c r="A22" s="595"/>
      <c r="B22" s="598"/>
      <c r="C22" s="599"/>
      <c r="D22" s="283"/>
      <c r="E22" s="283"/>
      <c r="F22" s="283"/>
      <c r="G22" s="283"/>
      <c r="H22" s="283"/>
      <c r="I22" s="283"/>
      <c r="J22" s="283"/>
      <c r="K22" s="283"/>
      <c r="L22" s="283"/>
      <c r="M22" s="283"/>
      <c r="N22" s="283"/>
      <c r="O22" s="283"/>
      <c r="P22" s="283"/>
      <c r="Q22" s="283"/>
      <c r="R22" s="283"/>
      <c r="S22" s="283"/>
      <c r="T22" s="283"/>
      <c r="U22" s="283"/>
      <c r="V22" s="283"/>
      <c r="W22" s="283"/>
      <c r="X22" s="283"/>
      <c r="Y22" s="283"/>
      <c r="Z22" s="283"/>
      <c r="AA22" s="283"/>
      <c r="AB22" s="283"/>
      <c r="AC22" s="283"/>
      <c r="AD22" s="283"/>
      <c r="AE22" s="283"/>
      <c r="AF22" s="283"/>
      <c r="AG22" s="283"/>
      <c r="AH22" s="283"/>
      <c r="AI22" s="283"/>
      <c r="AJ22" s="283"/>
      <c r="AK22" s="283"/>
      <c r="AL22" s="283"/>
      <c r="AM22" s="283"/>
      <c r="AN22" s="283"/>
      <c r="AO22" s="283"/>
      <c r="AP22" s="283"/>
      <c r="AQ22" s="283"/>
      <c r="AR22" s="283"/>
      <c r="AS22" s="283"/>
      <c r="AT22" s="283"/>
    </row>
    <row r="23" spans="1:46">
      <c r="A23" s="595"/>
      <c r="B23" s="598"/>
      <c r="C23" s="599"/>
      <c r="D23" s="283"/>
      <c r="E23" s="283"/>
      <c r="F23" s="283"/>
      <c r="G23" s="283"/>
      <c r="H23" s="283"/>
      <c r="I23" s="283"/>
      <c r="J23" s="283"/>
      <c r="K23" s="283"/>
      <c r="L23" s="283"/>
      <c r="M23" s="283"/>
      <c r="N23" s="283"/>
      <c r="O23" s="283"/>
      <c r="P23" s="283"/>
      <c r="Q23" s="283"/>
      <c r="R23" s="283"/>
      <c r="S23" s="283"/>
      <c r="T23" s="283"/>
      <c r="U23" s="283"/>
      <c r="V23" s="283"/>
      <c r="W23" s="283"/>
      <c r="X23" s="283"/>
      <c r="Y23" s="283"/>
      <c r="Z23" s="283"/>
      <c r="AA23" s="283"/>
      <c r="AB23" s="283"/>
      <c r="AC23" s="283"/>
      <c r="AD23" s="283"/>
      <c r="AE23" s="283"/>
      <c r="AF23" s="283"/>
      <c r="AG23" s="283"/>
      <c r="AH23" s="283"/>
      <c r="AI23" s="283"/>
      <c r="AJ23" s="283"/>
      <c r="AK23" s="283"/>
      <c r="AL23" s="283"/>
      <c r="AM23" s="283"/>
      <c r="AN23" s="283"/>
      <c r="AO23" s="283"/>
      <c r="AP23" s="283"/>
      <c r="AQ23" s="283"/>
      <c r="AR23" s="283"/>
      <c r="AS23" s="283"/>
      <c r="AT23" s="283"/>
    </row>
    <row r="24" spans="1:46">
      <c r="A24" s="595"/>
      <c r="B24" s="598"/>
      <c r="C24" s="599"/>
      <c r="D24" s="283"/>
      <c r="E24" s="283"/>
      <c r="F24" s="283"/>
      <c r="G24" s="283"/>
      <c r="H24" s="283"/>
      <c r="I24" s="283"/>
      <c r="J24" s="283"/>
      <c r="K24" s="283"/>
      <c r="L24" s="283"/>
      <c r="M24" s="283"/>
      <c r="N24" s="283"/>
      <c r="O24" s="283"/>
      <c r="P24" s="283"/>
      <c r="Q24" s="283"/>
      <c r="R24" s="283"/>
      <c r="S24" s="283"/>
      <c r="T24" s="283"/>
      <c r="U24" s="283"/>
      <c r="V24" s="283"/>
      <c r="W24" s="283"/>
      <c r="X24" s="283"/>
      <c r="Y24" s="283"/>
      <c r="Z24" s="283"/>
      <c r="AA24" s="283"/>
      <c r="AB24" s="283"/>
      <c r="AC24" s="283"/>
      <c r="AD24" s="283"/>
      <c r="AE24" s="283"/>
      <c r="AF24" s="283"/>
      <c r="AG24" s="283"/>
      <c r="AH24" s="283"/>
      <c r="AI24" s="283"/>
      <c r="AJ24" s="283"/>
      <c r="AK24" s="283"/>
      <c r="AL24" s="283"/>
      <c r="AM24" s="283"/>
      <c r="AN24" s="283"/>
      <c r="AO24" s="283"/>
      <c r="AP24" s="283"/>
      <c r="AQ24" s="283"/>
      <c r="AR24" s="283"/>
      <c r="AS24" s="283"/>
      <c r="AT24" s="283"/>
    </row>
    <row r="25" spans="1:46">
      <c r="A25" s="595"/>
      <c r="B25" s="598"/>
      <c r="C25" s="599"/>
      <c r="D25" s="283"/>
      <c r="E25" s="283"/>
      <c r="F25" s="283"/>
      <c r="G25" s="283"/>
      <c r="H25" s="283"/>
      <c r="I25" s="283"/>
      <c r="J25" s="283"/>
      <c r="K25" s="283"/>
      <c r="L25" s="283"/>
      <c r="M25" s="283"/>
      <c r="N25" s="283"/>
      <c r="O25" s="283"/>
      <c r="P25" s="283"/>
      <c r="Q25" s="283"/>
      <c r="R25" s="283"/>
      <c r="S25" s="283"/>
      <c r="T25" s="283"/>
      <c r="U25" s="283"/>
      <c r="V25" s="283"/>
      <c r="W25" s="283"/>
      <c r="X25" s="283"/>
      <c r="Y25" s="283"/>
      <c r="Z25" s="283"/>
      <c r="AA25" s="283"/>
      <c r="AB25" s="283"/>
      <c r="AC25" s="283"/>
      <c r="AD25" s="283"/>
      <c r="AE25" s="283"/>
      <c r="AF25" s="283"/>
      <c r="AG25" s="283"/>
      <c r="AH25" s="283"/>
      <c r="AI25" s="283"/>
      <c r="AJ25" s="283"/>
      <c r="AK25" s="283"/>
      <c r="AL25" s="283"/>
      <c r="AM25" s="283"/>
      <c r="AN25" s="283"/>
      <c r="AO25" s="283"/>
      <c r="AP25" s="283"/>
      <c r="AQ25" s="283"/>
      <c r="AR25" s="283"/>
      <c r="AS25" s="283"/>
      <c r="AT25" s="283"/>
    </row>
    <row r="26" spans="1:46">
      <c r="A26" s="595"/>
      <c r="B26" s="598"/>
      <c r="C26" s="599"/>
      <c r="D26" s="283"/>
      <c r="E26" s="283"/>
      <c r="F26" s="283"/>
      <c r="G26" s="283"/>
      <c r="H26" s="283"/>
      <c r="I26" s="283"/>
      <c r="J26" s="283"/>
      <c r="K26" s="283"/>
      <c r="L26" s="283"/>
      <c r="M26" s="283"/>
      <c r="N26" s="283"/>
      <c r="O26" s="283"/>
      <c r="P26" s="283"/>
      <c r="Q26" s="283"/>
      <c r="R26" s="283"/>
      <c r="S26" s="283"/>
      <c r="T26" s="283"/>
      <c r="U26" s="283"/>
      <c r="V26" s="283"/>
      <c r="W26" s="283"/>
      <c r="X26" s="283"/>
      <c r="Y26" s="283"/>
      <c r="Z26" s="283"/>
      <c r="AA26" s="283"/>
      <c r="AB26" s="283"/>
      <c r="AC26" s="283"/>
      <c r="AD26" s="283"/>
      <c r="AE26" s="283"/>
      <c r="AF26" s="283"/>
      <c r="AG26" s="283"/>
      <c r="AH26" s="283"/>
      <c r="AI26" s="283"/>
      <c r="AJ26" s="283"/>
      <c r="AK26" s="283"/>
      <c r="AL26" s="283"/>
      <c r="AM26" s="283"/>
      <c r="AN26" s="283"/>
      <c r="AO26" s="283"/>
      <c r="AP26" s="283"/>
      <c r="AQ26" s="283"/>
      <c r="AR26" s="283"/>
      <c r="AS26" s="283"/>
      <c r="AT26" s="283"/>
    </row>
    <row r="27" spans="1:46">
      <c r="A27" s="595"/>
      <c r="B27" s="598"/>
      <c r="C27" s="599"/>
      <c r="D27" s="283"/>
      <c r="E27" s="283"/>
      <c r="F27" s="283"/>
      <c r="G27" s="283"/>
      <c r="H27" s="283"/>
      <c r="I27" s="283"/>
      <c r="J27" s="283"/>
      <c r="K27" s="283"/>
      <c r="L27" s="283"/>
      <c r="M27" s="283"/>
      <c r="N27" s="283"/>
      <c r="O27" s="283"/>
      <c r="P27" s="283"/>
      <c r="Q27" s="283"/>
      <c r="R27" s="283"/>
      <c r="S27" s="283"/>
      <c r="T27" s="283"/>
      <c r="U27" s="283"/>
      <c r="V27" s="283"/>
      <c r="W27" s="283"/>
      <c r="X27" s="283"/>
      <c r="Y27" s="283"/>
      <c r="Z27" s="283"/>
      <c r="AA27" s="283"/>
      <c r="AB27" s="283"/>
      <c r="AC27" s="283"/>
      <c r="AD27" s="283"/>
      <c r="AE27" s="283"/>
      <c r="AF27" s="283"/>
      <c r="AG27" s="283"/>
      <c r="AH27" s="283"/>
      <c r="AI27" s="283"/>
      <c r="AJ27" s="283"/>
      <c r="AK27" s="283"/>
      <c r="AL27" s="283"/>
      <c r="AM27" s="283"/>
      <c r="AN27" s="283"/>
      <c r="AO27" s="283"/>
      <c r="AP27" s="283"/>
      <c r="AQ27" s="283"/>
      <c r="AR27" s="283"/>
      <c r="AS27" s="283"/>
      <c r="AT27" s="283"/>
    </row>
    <row r="28" spans="1:46">
      <c r="A28" s="595"/>
      <c r="B28" s="598"/>
      <c r="C28" s="599"/>
      <c r="D28" s="283"/>
      <c r="E28" s="283"/>
      <c r="F28" s="283"/>
      <c r="G28" s="283"/>
      <c r="H28" s="283"/>
      <c r="I28" s="283"/>
      <c r="J28" s="283"/>
      <c r="K28" s="283"/>
      <c r="L28" s="283"/>
      <c r="M28" s="283"/>
      <c r="N28" s="283"/>
      <c r="O28" s="283"/>
      <c r="P28" s="283"/>
      <c r="Q28" s="283"/>
      <c r="R28" s="283"/>
      <c r="S28" s="283"/>
      <c r="T28" s="283"/>
      <c r="U28" s="283"/>
      <c r="V28" s="283"/>
      <c r="W28" s="283"/>
      <c r="X28" s="283"/>
      <c r="Y28" s="283"/>
      <c r="Z28" s="283"/>
      <c r="AA28" s="283"/>
      <c r="AB28" s="283"/>
      <c r="AC28" s="283"/>
      <c r="AD28" s="283"/>
      <c r="AE28" s="283"/>
      <c r="AF28" s="283"/>
      <c r="AG28" s="283"/>
      <c r="AH28" s="283"/>
      <c r="AI28" s="283"/>
      <c r="AJ28" s="283"/>
      <c r="AK28" s="283"/>
      <c r="AL28" s="283"/>
      <c r="AM28" s="283"/>
      <c r="AN28" s="283"/>
      <c r="AO28" s="283"/>
      <c r="AP28" s="283"/>
      <c r="AQ28" s="283"/>
      <c r="AR28" s="283"/>
      <c r="AS28" s="283"/>
      <c r="AT28" s="283"/>
    </row>
    <row r="29" spans="1:46">
      <c r="A29" s="595"/>
      <c r="B29" s="598"/>
      <c r="C29" s="599"/>
      <c r="D29" s="283"/>
      <c r="E29" s="283"/>
      <c r="F29" s="283"/>
      <c r="G29" s="283"/>
      <c r="H29" s="283"/>
      <c r="I29" s="283"/>
      <c r="J29" s="283"/>
      <c r="K29" s="283"/>
      <c r="L29" s="283"/>
      <c r="M29" s="283"/>
      <c r="N29" s="283"/>
      <c r="O29" s="283"/>
      <c r="P29" s="283"/>
      <c r="Q29" s="283"/>
      <c r="R29" s="283"/>
      <c r="S29" s="283"/>
      <c r="T29" s="283"/>
      <c r="U29" s="283"/>
      <c r="V29" s="283"/>
      <c r="W29" s="283"/>
      <c r="X29" s="283"/>
      <c r="Y29" s="283"/>
      <c r="Z29" s="283"/>
      <c r="AA29" s="283"/>
      <c r="AB29" s="283"/>
      <c r="AC29" s="283"/>
      <c r="AD29" s="283"/>
      <c r="AE29" s="283"/>
      <c r="AF29" s="283"/>
      <c r="AG29" s="283"/>
      <c r="AH29" s="283"/>
      <c r="AI29" s="283"/>
      <c r="AJ29" s="283"/>
      <c r="AK29" s="283"/>
      <c r="AL29" s="283"/>
      <c r="AM29" s="283"/>
      <c r="AN29" s="283"/>
      <c r="AO29" s="283"/>
      <c r="AP29" s="283"/>
      <c r="AQ29" s="283"/>
      <c r="AR29" s="283"/>
      <c r="AS29" s="283"/>
      <c r="AT29" s="283"/>
    </row>
    <row r="30" spans="1:46">
      <c r="A30" s="595"/>
      <c r="B30" s="598"/>
      <c r="C30" s="599"/>
      <c r="D30" s="283"/>
      <c r="E30" s="283"/>
      <c r="F30" s="283"/>
      <c r="G30" s="283"/>
      <c r="H30" s="283"/>
      <c r="I30" s="283"/>
      <c r="J30" s="283"/>
      <c r="K30" s="283"/>
      <c r="L30" s="283"/>
      <c r="M30" s="283"/>
      <c r="N30" s="283"/>
      <c r="O30" s="283"/>
      <c r="P30" s="283"/>
      <c r="Q30" s="283"/>
      <c r="R30" s="283"/>
      <c r="S30" s="283"/>
      <c r="T30" s="283"/>
      <c r="U30" s="283"/>
      <c r="V30" s="283"/>
      <c r="W30" s="283"/>
      <c r="X30" s="283"/>
      <c r="Y30" s="283"/>
      <c r="Z30" s="283"/>
      <c r="AA30" s="283"/>
      <c r="AB30" s="283"/>
      <c r="AC30" s="283"/>
      <c r="AD30" s="283"/>
      <c r="AE30" s="283"/>
      <c r="AF30" s="283"/>
      <c r="AG30" s="283"/>
      <c r="AH30" s="283"/>
      <c r="AI30" s="283"/>
      <c r="AJ30" s="283"/>
      <c r="AK30" s="283"/>
      <c r="AL30" s="283"/>
      <c r="AM30" s="283"/>
      <c r="AN30" s="283"/>
      <c r="AO30" s="283"/>
      <c r="AP30" s="283"/>
      <c r="AQ30" s="283"/>
      <c r="AR30" s="283"/>
      <c r="AS30" s="283"/>
      <c r="AT30" s="283"/>
    </row>
    <row r="31" spans="1:46">
      <c r="A31" s="595"/>
      <c r="B31" s="598"/>
      <c r="C31" s="599"/>
      <c r="D31" s="283"/>
      <c r="E31" s="283"/>
      <c r="F31" s="283"/>
      <c r="G31" s="283"/>
      <c r="H31" s="283"/>
      <c r="I31" s="283"/>
      <c r="J31" s="283"/>
      <c r="K31" s="283"/>
      <c r="L31" s="283"/>
      <c r="M31" s="283"/>
      <c r="N31" s="283"/>
      <c r="O31" s="283"/>
      <c r="P31" s="283"/>
      <c r="Q31" s="283"/>
      <c r="R31" s="283"/>
      <c r="S31" s="283"/>
      <c r="T31" s="283"/>
      <c r="U31" s="283"/>
      <c r="V31" s="283"/>
      <c r="W31" s="283"/>
      <c r="X31" s="283"/>
      <c r="Y31" s="283"/>
      <c r="Z31" s="283"/>
      <c r="AA31" s="283"/>
      <c r="AB31" s="283"/>
      <c r="AC31" s="283"/>
      <c r="AD31" s="283"/>
      <c r="AE31" s="283"/>
      <c r="AF31" s="283"/>
      <c r="AG31" s="283"/>
      <c r="AH31" s="283"/>
      <c r="AI31" s="283"/>
      <c r="AJ31" s="283"/>
      <c r="AK31" s="283"/>
      <c r="AL31" s="283"/>
      <c r="AM31" s="283"/>
      <c r="AN31" s="283"/>
      <c r="AO31" s="283"/>
      <c r="AP31" s="283"/>
      <c r="AQ31" s="283"/>
      <c r="AR31" s="283"/>
      <c r="AS31" s="283"/>
      <c r="AT31" s="283"/>
    </row>
    <row r="32" spans="1:46">
      <c r="A32" s="595"/>
      <c r="B32" s="598"/>
      <c r="C32" s="599"/>
      <c r="D32" s="283"/>
      <c r="E32" s="283"/>
      <c r="F32" s="283"/>
      <c r="G32" s="283"/>
      <c r="H32" s="283"/>
      <c r="I32" s="283"/>
      <c r="J32" s="283"/>
      <c r="K32" s="283"/>
      <c r="L32" s="283"/>
      <c r="M32" s="283"/>
      <c r="N32" s="283"/>
      <c r="O32" s="283"/>
      <c r="P32" s="283"/>
      <c r="Q32" s="283"/>
      <c r="R32" s="283"/>
      <c r="S32" s="283"/>
      <c r="T32" s="283"/>
      <c r="U32" s="283"/>
      <c r="V32" s="283"/>
      <c r="W32" s="283"/>
      <c r="X32" s="283"/>
      <c r="Y32" s="283"/>
      <c r="Z32" s="283"/>
      <c r="AA32" s="283"/>
      <c r="AB32" s="283"/>
      <c r="AC32" s="283"/>
      <c r="AD32" s="283"/>
      <c r="AE32" s="283"/>
      <c r="AF32" s="283"/>
      <c r="AG32" s="283"/>
      <c r="AH32" s="283"/>
      <c r="AI32" s="283"/>
      <c r="AJ32" s="283"/>
      <c r="AK32" s="283"/>
      <c r="AL32" s="283"/>
      <c r="AM32" s="283"/>
      <c r="AN32" s="283"/>
      <c r="AO32" s="283"/>
      <c r="AP32" s="283"/>
      <c r="AQ32" s="283"/>
      <c r="AR32" s="283"/>
      <c r="AS32" s="283"/>
      <c r="AT32" s="283"/>
    </row>
    <row r="33" spans="1:46">
      <c r="A33" s="595"/>
      <c r="B33" s="598"/>
      <c r="C33" s="599"/>
      <c r="D33" s="283"/>
      <c r="E33" s="283"/>
      <c r="F33" s="283"/>
      <c r="G33" s="283"/>
      <c r="H33" s="283"/>
      <c r="I33" s="283"/>
      <c r="J33" s="283"/>
      <c r="K33" s="283"/>
      <c r="L33" s="283"/>
      <c r="M33" s="283"/>
      <c r="N33" s="283"/>
      <c r="O33" s="283"/>
      <c r="P33" s="283"/>
      <c r="Q33" s="283"/>
      <c r="R33" s="283"/>
      <c r="S33" s="283"/>
      <c r="T33" s="283"/>
      <c r="U33" s="283"/>
      <c r="V33" s="283"/>
      <c r="W33" s="283"/>
      <c r="X33" s="283"/>
      <c r="Y33" s="283"/>
      <c r="Z33" s="283"/>
      <c r="AA33" s="283"/>
      <c r="AB33" s="283"/>
      <c r="AC33" s="283"/>
      <c r="AD33" s="283"/>
      <c r="AE33" s="283"/>
      <c r="AF33" s="283"/>
      <c r="AG33" s="283"/>
      <c r="AH33" s="283"/>
      <c r="AI33" s="283"/>
      <c r="AJ33" s="283"/>
      <c r="AK33" s="283"/>
      <c r="AL33" s="283"/>
      <c r="AM33" s="283"/>
      <c r="AN33" s="283"/>
      <c r="AO33" s="283"/>
      <c r="AP33" s="283"/>
      <c r="AQ33" s="283"/>
      <c r="AR33" s="283"/>
      <c r="AS33" s="283"/>
      <c r="AT33" s="283"/>
    </row>
    <row r="34" spans="1:46">
      <c r="A34" s="595"/>
      <c r="B34" s="598"/>
      <c r="C34" s="599"/>
      <c r="D34" s="283"/>
      <c r="E34" s="283"/>
      <c r="F34" s="283"/>
      <c r="G34" s="283"/>
      <c r="H34" s="283"/>
      <c r="I34" s="283"/>
      <c r="J34" s="283"/>
      <c r="K34" s="283"/>
      <c r="L34" s="283"/>
      <c r="M34" s="283"/>
      <c r="N34" s="283"/>
      <c r="O34" s="283"/>
      <c r="P34" s="283"/>
      <c r="Q34" s="283"/>
      <c r="R34" s="283"/>
      <c r="S34" s="283"/>
      <c r="T34" s="283"/>
      <c r="U34" s="283"/>
      <c r="V34" s="283"/>
      <c r="W34" s="283"/>
      <c r="X34" s="283"/>
      <c r="Y34" s="283"/>
      <c r="Z34" s="283"/>
      <c r="AA34" s="283"/>
      <c r="AB34" s="283"/>
      <c r="AC34" s="283"/>
      <c r="AD34" s="283"/>
      <c r="AE34" s="283"/>
      <c r="AF34" s="283"/>
      <c r="AG34" s="283"/>
      <c r="AH34" s="283"/>
      <c r="AI34" s="283"/>
      <c r="AJ34" s="283"/>
      <c r="AK34" s="283"/>
      <c r="AL34" s="283"/>
      <c r="AM34" s="283"/>
      <c r="AN34" s="283"/>
      <c r="AO34" s="283"/>
      <c r="AP34" s="283"/>
      <c r="AQ34" s="283"/>
      <c r="AR34" s="283"/>
      <c r="AS34" s="283"/>
      <c r="AT34" s="283"/>
    </row>
    <row r="35" spans="1:46">
      <c r="A35" s="595"/>
      <c r="B35" s="598"/>
      <c r="C35" s="599"/>
      <c r="D35" s="283"/>
      <c r="E35" s="283"/>
      <c r="F35" s="283"/>
      <c r="G35" s="283"/>
      <c r="H35" s="283"/>
      <c r="I35" s="283"/>
      <c r="J35" s="283"/>
      <c r="K35" s="283"/>
      <c r="L35" s="283"/>
      <c r="M35" s="283"/>
      <c r="N35" s="283"/>
      <c r="O35" s="283"/>
      <c r="P35" s="283"/>
      <c r="Q35" s="283"/>
      <c r="R35" s="283"/>
      <c r="S35" s="283"/>
      <c r="T35" s="283"/>
      <c r="U35" s="283"/>
      <c r="V35" s="283"/>
      <c r="W35" s="283"/>
      <c r="X35" s="283"/>
      <c r="Y35" s="283"/>
      <c r="Z35" s="283"/>
      <c r="AA35" s="283"/>
      <c r="AB35" s="283"/>
      <c r="AC35" s="283"/>
      <c r="AD35" s="283"/>
      <c r="AE35" s="283"/>
      <c r="AF35" s="283"/>
      <c r="AG35" s="283"/>
      <c r="AH35" s="283"/>
      <c r="AI35" s="283"/>
      <c r="AJ35" s="283"/>
      <c r="AK35" s="283"/>
      <c r="AL35" s="283"/>
      <c r="AM35" s="283"/>
      <c r="AN35" s="283"/>
      <c r="AO35" s="283"/>
      <c r="AP35" s="283"/>
      <c r="AQ35" s="283"/>
      <c r="AR35" s="283"/>
      <c r="AS35" s="283"/>
      <c r="AT35" s="283"/>
    </row>
    <row r="36" spans="1:46">
      <c r="A36" s="595"/>
      <c r="B36" s="598"/>
      <c r="C36" s="599"/>
      <c r="D36" s="283"/>
      <c r="E36" s="283"/>
      <c r="F36" s="283"/>
      <c r="G36" s="283"/>
      <c r="H36" s="283"/>
      <c r="I36" s="283"/>
      <c r="J36" s="283"/>
      <c r="K36" s="283"/>
      <c r="L36" s="283"/>
      <c r="M36" s="283"/>
      <c r="N36" s="283"/>
      <c r="O36" s="283"/>
      <c r="P36" s="283"/>
      <c r="Q36" s="283"/>
      <c r="R36" s="283"/>
      <c r="S36" s="283"/>
      <c r="T36" s="283"/>
      <c r="U36" s="283"/>
      <c r="V36" s="283"/>
      <c r="W36" s="283"/>
      <c r="X36" s="283"/>
      <c r="Y36" s="283"/>
      <c r="Z36" s="283"/>
      <c r="AA36" s="283"/>
      <c r="AB36" s="283"/>
      <c r="AC36" s="283"/>
      <c r="AD36" s="283"/>
      <c r="AE36" s="283"/>
      <c r="AF36" s="283"/>
      <c r="AG36" s="283"/>
      <c r="AH36" s="283"/>
      <c r="AI36" s="283"/>
      <c r="AJ36" s="283"/>
      <c r="AK36" s="283"/>
      <c r="AL36" s="283"/>
      <c r="AM36" s="283"/>
      <c r="AN36" s="283"/>
      <c r="AO36" s="283"/>
      <c r="AP36" s="283"/>
      <c r="AQ36" s="283"/>
      <c r="AR36" s="283"/>
      <c r="AS36" s="283"/>
      <c r="AT36" s="283"/>
    </row>
    <row r="37" spans="1:46">
      <c r="A37" s="595"/>
      <c r="B37" s="598"/>
      <c r="C37" s="599"/>
      <c r="D37" s="283"/>
      <c r="E37" s="283"/>
      <c r="F37" s="283"/>
      <c r="G37" s="283"/>
      <c r="H37" s="283"/>
      <c r="I37" s="283"/>
      <c r="J37" s="283"/>
      <c r="K37" s="283"/>
      <c r="L37" s="283"/>
      <c r="M37" s="283"/>
      <c r="N37" s="283"/>
      <c r="O37" s="283"/>
      <c r="P37" s="283"/>
      <c r="Q37" s="283"/>
      <c r="R37" s="283"/>
      <c r="S37" s="283"/>
      <c r="T37" s="283"/>
      <c r="U37" s="283"/>
      <c r="V37" s="283"/>
      <c r="W37" s="283"/>
      <c r="X37" s="283"/>
      <c r="Y37" s="283"/>
      <c r="Z37" s="283"/>
      <c r="AA37" s="283"/>
      <c r="AB37" s="283"/>
      <c r="AC37" s="283"/>
      <c r="AD37" s="283"/>
      <c r="AE37" s="283"/>
      <c r="AF37" s="283"/>
      <c r="AG37" s="283"/>
      <c r="AH37" s="283"/>
      <c r="AI37" s="283"/>
      <c r="AJ37" s="283"/>
      <c r="AK37" s="283"/>
      <c r="AL37" s="283"/>
      <c r="AM37" s="283"/>
      <c r="AN37" s="283"/>
      <c r="AO37" s="283"/>
      <c r="AP37" s="283"/>
      <c r="AQ37" s="283"/>
      <c r="AR37" s="283"/>
      <c r="AS37" s="283"/>
      <c r="AT37" s="283"/>
    </row>
    <row r="38" spans="1:46">
      <c r="A38" s="595"/>
      <c r="B38" s="598"/>
      <c r="C38" s="599"/>
      <c r="D38" s="283"/>
      <c r="E38" s="283"/>
      <c r="F38" s="283"/>
      <c r="G38" s="283"/>
      <c r="H38" s="283"/>
      <c r="I38" s="283"/>
      <c r="J38" s="283"/>
      <c r="K38" s="283"/>
      <c r="L38" s="283"/>
      <c r="M38" s="283"/>
      <c r="N38" s="283"/>
      <c r="O38" s="283"/>
      <c r="P38" s="283"/>
      <c r="Q38" s="283"/>
      <c r="R38" s="283"/>
      <c r="S38" s="283"/>
      <c r="T38" s="283"/>
      <c r="U38" s="283"/>
      <c r="V38" s="283"/>
      <c r="W38" s="283"/>
      <c r="X38" s="283"/>
      <c r="Y38" s="283"/>
      <c r="Z38" s="283"/>
      <c r="AA38" s="283"/>
      <c r="AB38" s="283"/>
      <c r="AC38" s="283"/>
      <c r="AD38" s="283"/>
      <c r="AE38" s="283"/>
      <c r="AF38" s="283"/>
      <c r="AG38" s="283"/>
      <c r="AH38" s="283"/>
      <c r="AI38" s="283"/>
      <c r="AJ38" s="283"/>
      <c r="AK38" s="283"/>
      <c r="AL38" s="283"/>
      <c r="AM38" s="283"/>
      <c r="AN38" s="283"/>
      <c r="AO38" s="283"/>
      <c r="AP38" s="283"/>
      <c r="AQ38" s="283"/>
      <c r="AR38" s="283"/>
      <c r="AS38" s="283"/>
      <c r="AT38" s="283"/>
    </row>
    <row r="39" spans="1:46">
      <c r="A39" s="595"/>
      <c r="B39" s="598"/>
      <c r="C39" s="599"/>
      <c r="D39" s="283"/>
      <c r="E39" s="283"/>
      <c r="F39" s="283"/>
      <c r="G39" s="283"/>
      <c r="H39" s="283"/>
      <c r="I39" s="283"/>
      <c r="J39" s="283"/>
      <c r="K39" s="283"/>
      <c r="L39" s="283"/>
      <c r="M39" s="283"/>
      <c r="N39" s="283"/>
      <c r="O39" s="283"/>
      <c r="P39" s="283"/>
      <c r="Q39" s="283"/>
      <c r="R39" s="283"/>
      <c r="S39" s="283"/>
      <c r="T39" s="283"/>
      <c r="U39" s="283"/>
      <c r="V39" s="283"/>
      <c r="W39" s="283"/>
      <c r="X39" s="283"/>
      <c r="Y39" s="283"/>
      <c r="Z39" s="283"/>
      <c r="AA39" s="283"/>
      <c r="AB39" s="283"/>
      <c r="AC39" s="283"/>
      <c r="AD39" s="283"/>
      <c r="AE39" s="283"/>
      <c r="AF39" s="283"/>
      <c r="AG39" s="283"/>
      <c r="AH39" s="283"/>
      <c r="AI39" s="283"/>
      <c r="AJ39" s="283"/>
      <c r="AK39" s="283"/>
      <c r="AL39" s="283"/>
      <c r="AM39" s="283"/>
      <c r="AN39" s="283"/>
      <c r="AO39" s="283"/>
      <c r="AP39" s="283"/>
      <c r="AQ39" s="283"/>
      <c r="AR39" s="283"/>
      <c r="AS39" s="283"/>
      <c r="AT39" s="283"/>
    </row>
    <row r="40" spans="1:46">
      <c r="A40" s="595"/>
      <c r="B40" s="598"/>
      <c r="C40" s="599"/>
      <c r="D40" s="283"/>
      <c r="E40" s="283"/>
      <c r="F40" s="283"/>
      <c r="G40" s="283"/>
      <c r="H40" s="283"/>
      <c r="I40" s="283"/>
      <c r="J40" s="283"/>
      <c r="K40" s="283"/>
      <c r="L40" s="283"/>
      <c r="M40" s="283"/>
      <c r="N40" s="283"/>
      <c r="O40" s="283"/>
      <c r="P40" s="283"/>
      <c r="Q40" s="283"/>
      <c r="R40" s="283"/>
      <c r="S40" s="283"/>
      <c r="T40" s="283"/>
      <c r="U40" s="283"/>
      <c r="V40" s="283"/>
      <c r="W40" s="283"/>
      <c r="X40" s="283"/>
      <c r="Y40" s="283"/>
      <c r="Z40" s="283"/>
      <c r="AA40" s="283"/>
      <c r="AB40" s="283"/>
      <c r="AC40" s="283"/>
      <c r="AD40" s="283"/>
      <c r="AE40" s="283"/>
      <c r="AF40" s="283"/>
      <c r="AG40" s="283"/>
      <c r="AH40" s="283"/>
      <c r="AI40" s="283"/>
      <c r="AJ40" s="283"/>
      <c r="AK40" s="283"/>
      <c r="AL40" s="283"/>
      <c r="AM40" s="283"/>
      <c r="AN40" s="283"/>
      <c r="AO40" s="283"/>
      <c r="AP40" s="283"/>
      <c r="AQ40" s="283"/>
      <c r="AR40" s="283"/>
      <c r="AS40" s="283"/>
      <c r="AT40" s="283"/>
    </row>
    <row r="41" spans="1:46">
      <c r="A41" s="595"/>
      <c r="B41" s="598"/>
      <c r="C41" s="599"/>
      <c r="D41" s="283"/>
      <c r="E41" s="283"/>
      <c r="F41" s="283"/>
      <c r="G41" s="283"/>
      <c r="H41" s="283"/>
      <c r="I41" s="283"/>
      <c r="J41" s="283"/>
      <c r="K41" s="283"/>
      <c r="L41" s="283"/>
      <c r="M41" s="283"/>
      <c r="N41" s="283"/>
      <c r="O41" s="283"/>
      <c r="P41" s="283"/>
      <c r="Q41" s="283"/>
      <c r="R41" s="283"/>
      <c r="S41" s="283"/>
      <c r="T41" s="283"/>
      <c r="U41" s="283"/>
      <c r="V41" s="283"/>
      <c r="W41" s="283"/>
      <c r="X41" s="283"/>
      <c r="Y41" s="283"/>
      <c r="Z41" s="283"/>
      <c r="AA41" s="283"/>
      <c r="AB41" s="283"/>
      <c r="AC41" s="283"/>
      <c r="AD41" s="283"/>
      <c r="AE41" s="283"/>
      <c r="AF41" s="283"/>
      <c r="AG41" s="283"/>
      <c r="AH41" s="283"/>
      <c r="AI41" s="283"/>
      <c r="AJ41" s="283"/>
      <c r="AK41" s="283"/>
      <c r="AL41" s="283"/>
      <c r="AM41" s="283"/>
      <c r="AN41" s="283"/>
      <c r="AO41" s="283"/>
      <c r="AP41" s="283"/>
      <c r="AQ41" s="283"/>
      <c r="AR41" s="283"/>
      <c r="AS41" s="283"/>
      <c r="AT41" s="283"/>
    </row>
    <row r="42" spans="1:46">
      <c r="A42" s="595"/>
      <c r="B42" s="598"/>
      <c r="C42" s="599"/>
      <c r="D42" s="283"/>
      <c r="E42" s="283"/>
      <c r="F42" s="283"/>
      <c r="G42" s="283"/>
      <c r="H42" s="283"/>
      <c r="I42" s="283"/>
      <c r="J42" s="283"/>
      <c r="K42" s="283"/>
      <c r="L42" s="283"/>
      <c r="M42" s="283"/>
      <c r="N42" s="283"/>
      <c r="O42" s="283"/>
      <c r="P42" s="283"/>
      <c r="Q42" s="283"/>
      <c r="R42" s="283"/>
      <c r="S42" s="283"/>
      <c r="T42" s="283"/>
      <c r="U42" s="283"/>
      <c r="V42" s="283"/>
      <c r="W42" s="283"/>
      <c r="X42" s="283"/>
      <c r="Y42" s="283"/>
      <c r="Z42" s="283"/>
      <c r="AA42" s="283"/>
      <c r="AB42" s="283"/>
      <c r="AC42" s="283"/>
      <c r="AD42" s="283"/>
      <c r="AE42" s="283"/>
      <c r="AF42" s="283"/>
      <c r="AG42" s="283"/>
      <c r="AH42" s="283"/>
      <c r="AI42" s="283"/>
      <c r="AJ42" s="283"/>
      <c r="AK42" s="283"/>
      <c r="AL42" s="283"/>
      <c r="AM42" s="283"/>
      <c r="AN42" s="283"/>
      <c r="AO42" s="283"/>
      <c r="AP42" s="283"/>
      <c r="AQ42" s="283"/>
      <c r="AR42" s="283"/>
      <c r="AS42" s="283"/>
      <c r="AT42" s="283"/>
    </row>
    <row r="43" spans="1:46">
      <c r="A43" s="595"/>
      <c r="B43" s="598"/>
      <c r="C43" s="599"/>
      <c r="D43" s="283"/>
      <c r="E43" s="283"/>
      <c r="F43" s="283"/>
      <c r="G43" s="283"/>
      <c r="H43" s="283"/>
      <c r="I43" s="283"/>
      <c r="J43" s="283"/>
      <c r="K43" s="283"/>
      <c r="L43" s="283"/>
      <c r="M43" s="283"/>
      <c r="N43" s="283"/>
      <c r="O43" s="283"/>
      <c r="P43" s="283"/>
      <c r="Q43" s="283"/>
      <c r="R43" s="283"/>
      <c r="S43" s="283"/>
      <c r="T43" s="283"/>
      <c r="U43" s="283"/>
      <c r="V43" s="283"/>
      <c r="W43" s="283"/>
      <c r="X43" s="283"/>
      <c r="Y43" s="283"/>
      <c r="Z43" s="283"/>
      <c r="AA43" s="283"/>
      <c r="AB43" s="283"/>
      <c r="AC43" s="283"/>
      <c r="AD43" s="283"/>
      <c r="AE43" s="283"/>
      <c r="AF43" s="283"/>
      <c r="AG43" s="283"/>
      <c r="AH43" s="283"/>
      <c r="AI43" s="283"/>
      <c r="AJ43" s="283"/>
      <c r="AK43" s="283"/>
      <c r="AL43" s="283"/>
      <c r="AM43" s="283"/>
      <c r="AN43" s="283"/>
      <c r="AO43" s="283"/>
      <c r="AP43" s="283"/>
      <c r="AQ43" s="283"/>
      <c r="AR43" s="283"/>
      <c r="AS43" s="283"/>
      <c r="AT43" s="283"/>
    </row>
    <row r="44" spans="1:46">
      <c r="A44" s="595"/>
      <c r="B44" s="598"/>
      <c r="C44" s="599"/>
      <c r="D44" s="283"/>
      <c r="E44" s="283"/>
      <c r="F44" s="283"/>
      <c r="G44" s="283"/>
      <c r="H44" s="283"/>
      <c r="I44" s="283"/>
      <c r="J44" s="283"/>
      <c r="K44" s="283"/>
      <c r="L44" s="283"/>
      <c r="M44" s="283"/>
      <c r="N44" s="283"/>
      <c r="O44" s="283"/>
      <c r="P44" s="283"/>
      <c r="Q44" s="283"/>
      <c r="R44" s="283"/>
      <c r="S44" s="283"/>
      <c r="T44" s="283"/>
      <c r="U44" s="283"/>
      <c r="V44" s="283"/>
      <c r="W44" s="283"/>
      <c r="X44" s="283"/>
      <c r="Y44" s="283"/>
      <c r="Z44" s="283"/>
      <c r="AA44" s="283"/>
      <c r="AB44" s="283"/>
      <c r="AC44" s="283"/>
      <c r="AD44" s="283"/>
      <c r="AE44" s="283"/>
      <c r="AF44" s="283"/>
      <c r="AG44" s="283"/>
      <c r="AH44" s="283"/>
      <c r="AI44" s="283"/>
      <c r="AJ44" s="283"/>
      <c r="AK44" s="283"/>
      <c r="AL44" s="283"/>
      <c r="AM44" s="283"/>
      <c r="AN44" s="283"/>
      <c r="AO44" s="283"/>
      <c r="AP44" s="283"/>
      <c r="AQ44" s="283"/>
      <c r="AR44" s="283"/>
      <c r="AS44" s="283"/>
      <c r="AT44" s="283"/>
    </row>
    <row r="45" spans="1:46">
      <c r="A45" s="595"/>
      <c r="B45" s="598"/>
      <c r="C45" s="599"/>
      <c r="D45" s="283"/>
      <c r="E45" s="283"/>
      <c r="F45" s="283"/>
      <c r="G45" s="283"/>
      <c r="H45" s="283"/>
      <c r="I45" s="283"/>
      <c r="J45" s="283"/>
      <c r="K45" s="283"/>
      <c r="L45" s="283"/>
      <c r="M45" s="283"/>
      <c r="N45" s="283"/>
      <c r="O45" s="283"/>
      <c r="P45" s="283"/>
      <c r="Q45" s="283"/>
      <c r="R45" s="283"/>
      <c r="S45" s="283"/>
      <c r="T45" s="283"/>
      <c r="U45" s="283"/>
      <c r="V45" s="283"/>
      <c r="W45" s="283"/>
      <c r="X45" s="283"/>
      <c r="Y45" s="283"/>
      <c r="Z45" s="283"/>
      <c r="AA45" s="283"/>
      <c r="AB45" s="283"/>
      <c r="AC45" s="283"/>
      <c r="AD45" s="283"/>
      <c r="AE45" s="283"/>
      <c r="AF45" s="283"/>
      <c r="AG45" s="283"/>
      <c r="AH45" s="283"/>
      <c r="AI45" s="283"/>
      <c r="AJ45" s="283"/>
      <c r="AK45" s="283"/>
      <c r="AL45" s="283"/>
      <c r="AM45" s="283"/>
      <c r="AN45" s="283"/>
      <c r="AO45" s="283"/>
      <c r="AP45" s="283"/>
      <c r="AQ45" s="283"/>
      <c r="AR45" s="283"/>
      <c r="AS45" s="283"/>
      <c r="AT45" s="283"/>
    </row>
    <row r="46" spans="1:46">
      <c r="A46" s="595"/>
      <c r="B46" s="598"/>
      <c r="C46" s="599"/>
      <c r="D46" s="283"/>
      <c r="E46" s="283"/>
      <c r="F46" s="283"/>
      <c r="G46" s="283"/>
      <c r="H46" s="283"/>
      <c r="I46" s="283"/>
      <c r="J46" s="283"/>
      <c r="K46" s="283"/>
      <c r="L46" s="283"/>
      <c r="M46" s="283"/>
      <c r="N46" s="283"/>
      <c r="O46" s="283"/>
      <c r="P46" s="283"/>
      <c r="Q46" s="283"/>
      <c r="R46" s="283"/>
      <c r="S46" s="283"/>
      <c r="T46" s="283"/>
      <c r="U46" s="283"/>
      <c r="V46" s="283"/>
      <c r="W46" s="283"/>
      <c r="X46" s="283"/>
      <c r="Y46" s="283"/>
      <c r="Z46" s="283"/>
      <c r="AA46" s="283"/>
      <c r="AB46" s="283"/>
      <c r="AC46" s="283"/>
      <c r="AD46" s="283"/>
      <c r="AE46" s="283"/>
      <c r="AF46" s="283"/>
      <c r="AG46" s="283"/>
      <c r="AH46" s="283"/>
      <c r="AI46" s="283"/>
      <c r="AJ46" s="283"/>
      <c r="AK46" s="283"/>
      <c r="AL46" s="283"/>
      <c r="AM46" s="283"/>
      <c r="AN46" s="283"/>
      <c r="AO46" s="283"/>
      <c r="AP46" s="283"/>
      <c r="AQ46" s="283"/>
      <c r="AR46" s="283"/>
      <c r="AS46" s="283"/>
      <c r="AT46" s="283"/>
    </row>
    <row r="47" spans="1:46">
      <c r="A47" s="595"/>
      <c r="B47" s="598"/>
      <c r="C47" s="599"/>
      <c r="D47" s="283"/>
      <c r="E47" s="283"/>
      <c r="F47" s="283"/>
      <c r="G47" s="283"/>
      <c r="H47" s="283"/>
      <c r="I47" s="283"/>
      <c r="J47" s="283"/>
      <c r="K47" s="283"/>
      <c r="L47" s="283"/>
      <c r="M47" s="283"/>
      <c r="N47" s="283"/>
      <c r="O47" s="283"/>
      <c r="P47" s="283"/>
      <c r="Q47" s="283"/>
      <c r="R47" s="283"/>
      <c r="S47" s="283"/>
      <c r="T47" s="283"/>
      <c r="U47" s="283"/>
      <c r="V47" s="283"/>
      <c r="W47" s="283"/>
      <c r="X47" s="283"/>
      <c r="Y47" s="283"/>
      <c r="Z47" s="283"/>
      <c r="AA47" s="283"/>
      <c r="AB47" s="283"/>
      <c r="AC47" s="283"/>
      <c r="AD47" s="283"/>
      <c r="AE47" s="283"/>
      <c r="AF47" s="283"/>
      <c r="AG47" s="283"/>
      <c r="AH47" s="283"/>
      <c r="AI47" s="283"/>
      <c r="AJ47" s="283"/>
      <c r="AK47" s="283"/>
      <c r="AL47" s="283"/>
      <c r="AM47" s="283"/>
      <c r="AN47" s="283"/>
      <c r="AO47" s="283"/>
      <c r="AP47" s="283"/>
      <c r="AQ47" s="283"/>
      <c r="AR47" s="283"/>
      <c r="AS47" s="283"/>
      <c r="AT47" s="283"/>
    </row>
    <row r="48" spans="1:46">
      <c r="A48" s="595"/>
      <c r="B48" s="598"/>
      <c r="C48" s="599"/>
      <c r="D48" s="283"/>
      <c r="E48" s="283"/>
      <c r="F48" s="283"/>
      <c r="G48" s="283"/>
      <c r="H48" s="283"/>
      <c r="I48" s="283"/>
      <c r="J48" s="283"/>
      <c r="K48" s="283"/>
      <c r="L48" s="283"/>
      <c r="M48" s="283"/>
      <c r="N48" s="283"/>
      <c r="O48" s="283"/>
      <c r="P48" s="283"/>
      <c r="Q48" s="283"/>
      <c r="R48" s="283"/>
      <c r="S48" s="283"/>
      <c r="T48" s="283"/>
      <c r="U48" s="283"/>
      <c r="V48" s="283"/>
      <c r="W48" s="283"/>
      <c r="X48" s="283"/>
      <c r="Y48" s="283"/>
      <c r="Z48" s="283"/>
      <c r="AA48" s="283"/>
      <c r="AB48" s="283"/>
      <c r="AC48" s="283"/>
      <c r="AD48" s="283"/>
      <c r="AE48" s="283"/>
      <c r="AF48" s="283"/>
      <c r="AG48" s="283"/>
      <c r="AH48" s="283"/>
      <c r="AI48" s="283"/>
      <c r="AJ48" s="283"/>
      <c r="AK48" s="283"/>
      <c r="AL48" s="283"/>
      <c r="AM48" s="283"/>
      <c r="AN48" s="283"/>
      <c r="AO48" s="283"/>
      <c r="AP48" s="283"/>
      <c r="AQ48" s="283"/>
      <c r="AR48" s="283"/>
      <c r="AS48" s="283"/>
      <c r="AT48" s="283"/>
    </row>
    <row r="49" spans="1:46">
      <c r="A49" s="595"/>
      <c r="B49" s="598"/>
      <c r="C49" s="599"/>
      <c r="D49" s="283"/>
      <c r="E49" s="283"/>
      <c r="F49" s="283"/>
      <c r="G49" s="283"/>
      <c r="H49" s="283"/>
      <c r="I49" s="283"/>
      <c r="J49" s="283"/>
      <c r="K49" s="283"/>
      <c r="L49" s="283"/>
      <c r="M49" s="283"/>
      <c r="N49" s="283"/>
      <c r="O49" s="283"/>
      <c r="P49" s="283"/>
      <c r="Q49" s="283"/>
      <c r="R49" s="283"/>
      <c r="S49" s="283"/>
      <c r="T49" s="283"/>
      <c r="U49" s="283"/>
      <c r="V49" s="283"/>
      <c r="W49" s="283"/>
      <c r="X49" s="283"/>
      <c r="Y49" s="283"/>
      <c r="Z49" s="283"/>
      <c r="AA49" s="283"/>
      <c r="AB49" s="283"/>
      <c r="AC49" s="283"/>
      <c r="AD49" s="283"/>
      <c r="AE49" s="283"/>
      <c r="AF49" s="283"/>
      <c r="AG49" s="283"/>
      <c r="AH49" s="283"/>
      <c r="AI49" s="283"/>
      <c r="AJ49" s="283"/>
      <c r="AK49" s="283"/>
      <c r="AL49" s="283"/>
      <c r="AM49" s="283"/>
      <c r="AN49" s="283"/>
      <c r="AO49" s="283"/>
      <c r="AP49" s="283"/>
      <c r="AQ49" s="283"/>
      <c r="AR49" s="283"/>
      <c r="AS49" s="283"/>
      <c r="AT49" s="283"/>
    </row>
    <row r="50" spans="1:46">
      <c r="A50" s="595"/>
      <c r="B50" s="598"/>
      <c r="C50" s="599"/>
      <c r="D50" s="283"/>
      <c r="E50" s="283"/>
      <c r="F50" s="283"/>
      <c r="G50" s="283"/>
      <c r="H50" s="283"/>
      <c r="I50" s="283"/>
      <c r="J50" s="283"/>
      <c r="K50" s="283"/>
      <c r="L50" s="283"/>
      <c r="M50" s="283"/>
      <c r="N50" s="283"/>
      <c r="O50" s="283"/>
      <c r="P50" s="283"/>
      <c r="Q50" s="283"/>
      <c r="R50" s="283"/>
      <c r="S50" s="283"/>
      <c r="T50" s="283"/>
      <c r="U50" s="283"/>
      <c r="V50" s="283"/>
      <c r="W50" s="283"/>
      <c r="X50" s="283"/>
      <c r="Y50" s="283"/>
      <c r="Z50" s="283"/>
      <c r="AA50" s="283"/>
      <c r="AB50" s="283"/>
      <c r="AC50" s="283"/>
      <c r="AD50" s="283"/>
      <c r="AE50" s="283"/>
      <c r="AF50" s="283"/>
      <c r="AG50" s="283"/>
      <c r="AH50" s="283"/>
      <c r="AI50" s="283"/>
      <c r="AJ50" s="283"/>
      <c r="AK50" s="283"/>
      <c r="AL50" s="283"/>
      <c r="AM50" s="283"/>
      <c r="AN50" s="283"/>
      <c r="AO50" s="283"/>
      <c r="AP50" s="283"/>
      <c r="AQ50" s="283"/>
      <c r="AR50" s="283"/>
      <c r="AS50" s="283"/>
      <c r="AT50" s="283"/>
    </row>
    <row r="51" spans="1:46">
      <c r="A51" s="595"/>
      <c r="B51" s="598"/>
      <c r="C51" s="599"/>
      <c r="D51" s="283"/>
      <c r="E51" s="283"/>
      <c r="F51" s="283"/>
      <c r="G51" s="283"/>
      <c r="H51" s="283"/>
      <c r="I51" s="283"/>
      <c r="J51" s="283"/>
      <c r="K51" s="283"/>
      <c r="L51" s="283"/>
      <c r="M51" s="283"/>
      <c r="N51" s="283"/>
      <c r="O51" s="283"/>
      <c r="P51" s="283"/>
      <c r="Q51" s="283"/>
      <c r="R51" s="283"/>
      <c r="S51" s="283"/>
      <c r="T51" s="283"/>
      <c r="U51" s="283"/>
      <c r="V51" s="283"/>
      <c r="W51" s="283"/>
      <c r="X51" s="283"/>
      <c r="Y51" s="283"/>
      <c r="Z51" s="283"/>
      <c r="AA51" s="283"/>
      <c r="AB51" s="283"/>
      <c r="AC51" s="283"/>
      <c r="AD51" s="283"/>
      <c r="AE51" s="283"/>
      <c r="AF51" s="283"/>
      <c r="AG51" s="283"/>
      <c r="AH51" s="283"/>
      <c r="AI51" s="283"/>
      <c r="AJ51" s="283"/>
      <c r="AK51" s="283"/>
      <c r="AL51" s="283"/>
      <c r="AM51" s="283"/>
      <c r="AN51" s="283"/>
      <c r="AO51" s="283"/>
      <c r="AP51" s="283"/>
      <c r="AQ51" s="283"/>
      <c r="AR51" s="283"/>
      <c r="AS51" s="283"/>
      <c r="AT51" s="283"/>
    </row>
    <row r="52" spans="1:46">
      <c r="A52" s="595"/>
      <c r="B52" s="598"/>
      <c r="C52" s="599"/>
      <c r="D52" s="283"/>
      <c r="E52" s="283"/>
      <c r="F52" s="283"/>
      <c r="G52" s="283"/>
      <c r="H52" s="283"/>
      <c r="I52" s="283"/>
      <c r="J52" s="283"/>
      <c r="K52" s="283"/>
      <c r="L52" s="283"/>
      <c r="M52" s="283"/>
      <c r="N52" s="283"/>
      <c r="O52" s="283"/>
      <c r="P52" s="283"/>
      <c r="Q52" s="283"/>
      <c r="R52" s="283"/>
      <c r="S52" s="283"/>
      <c r="T52" s="283"/>
      <c r="U52" s="283"/>
      <c r="V52" s="283"/>
      <c r="W52" s="283"/>
      <c r="X52" s="283"/>
      <c r="Y52" s="283"/>
      <c r="Z52" s="283"/>
      <c r="AA52" s="283"/>
      <c r="AB52" s="283"/>
      <c r="AC52" s="283"/>
      <c r="AD52" s="283"/>
      <c r="AE52" s="283"/>
      <c r="AF52" s="283"/>
      <c r="AG52" s="283"/>
      <c r="AH52" s="283"/>
      <c r="AI52" s="283"/>
      <c r="AJ52" s="283"/>
      <c r="AK52" s="283"/>
      <c r="AL52" s="283"/>
      <c r="AM52" s="283"/>
      <c r="AN52" s="283"/>
      <c r="AO52" s="283"/>
      <c r="AP52" s="283"/>
      <c r="AQ52" s="283"/>
      <c r="AR52" s="283"/>
      <c r="AS52" s="283"/>
      <c r="AT52" s="283"/>
    </row>
    <row r="53" spans="1:46">
      <c r="A53" s="595"/>
      <c r="B53" s="598"/>
      <c r="C53" s="599"/>
      <c r="D53" s="283"/>
      <c r="E53" s="283"/>
      <c r="F53" s="283"/>
      <c r="G53" s="283"/>
      <c r="H53" s="283"/>
      <c r="I53" s="283"/>
      <c r="J53" s="283"/>
      <c r="K53" s="283"/>
      <c r="L53" s="283"/>
      <c r="M53" s="283"/>
      <c r="N53" s="283"/>
      <c r="O53" s="283"/>
      <c r="P53" s="283"/>
      <c r="Q53" s="283"/>
      <c r="R53" s="283"/>
      <c r="S53" s="283"/>
      <c r="T53" s="283"/>
      <c r="U53" s="283"/>
      <c r="V53" s="283"/>
      <c r="W53" s="283"/>
      <c r="X53" s="283"/>
      <c r="Y53" s="283"/>
      <c r="Z53" s="283"/>
      <c r="AA53" s="283"/>
      <c r="AB53" s="283"/>
      <c r="AC53" s="283"/>
      <c r="AD53" s="283"/>
      <c r="AE53" s="283"/>
      <c r="AF53" s="283"/>
      <c r="AG53" s="283"/>
      <c r="AH53" s="283"/>
      <c r="AI53" s="283"/>
      <c r="AJ53" s="283"/>
      <c r="AK53" s="283"/>
      <c r="AL53" s="283"/>
      <c r="AM53" s="283"/>
      <c r="AN53" s="283"/>
      <c r="AO53" s="283"/>
      <c r="AP53" s="283"/>
      <c r="AQ53" s="283"/>
      <c r="AR53" s="283"/>
      <c r="AS53" s="283"/>
      <c r="AT53" s="283"/>
    </row>
    <row r="54" spans="1:46">
      <c r="A54" s="595"/>
      <c r="B54" s="598"/>
      <c r="C54" s="599"/>
      <c r="D54" s="283"/>
      <c r="E54" s="283"/>
      <c r="F54" s="283"/>
      <c r="G54" s="283"/>
      <c r="H54" s="283"/>
      <c r="I54" s="283"/>
      <c r="J54" s="283"/>
      <c r="K54" s="283"/>
      <c r="L54" s="283"/>
      <c r="M54" s="283"/>
      <c r="N54" s="283"/>
      <c r="O54" s="283"/>
      <c r="P54" s="283"/>
      <c r="Q54" s="283"/>
      <c r="R54" s="283"/>
      <c r="S54" s="283"/>
      <c r="T54" s="283"/>
      <c r="U54" s="283"/>
      <c r="V54" s="283"/>
      <c r="W54" s="283"/>
      <c r="X54" s="283"/>
      <c r="Y54" s="283"/>
      <c r="Z54" s="283"/>
      <c r="AA54" s="283"/>
      <c r="AB54" s="283"/>
      <c r="AC54" s="283"/>
      <c r="AD54" s="283"/>
      <c r="AE54" s="283"/>
      <c r="AF54" s="283"/>
      <c r="AG54" s="283"/>
      <c r="AH54" s="283"/>
      <c r="AI54" s="283"/>
      <c r="AJ54" s="283"/>
      <c r="AK54" s="283"/>
      <c r="AL54" s="283"/>
      <c r="AM54" s="283"/>
      <c r="AN54" s="283"/>
      <c r="AO54" s="283"/>
      <c r="AP54" s="283"/>
      <c r="AQ54" s="283"/>
      <c r="AR54" s="283"/>
      <c r="AS54" s="283"/>
      <c r="AT54" s="283"/>
    </row>
    <row r="55" spans="1:46">
      <c r="A55" s="595"/>
      <c r="B55" s="598"/>
      <c r="C55" s="599"/>
      <c r="D55" s="283"/>
      <c r="E55" s="283"/>
      <c r="F55" s="283"/>
      <c r="G55" s="283"/>
      <c r="H55" s="283"/>
      <c r="I55" s="283"/>
      <c r="J55" s="283"/>
      <c r="K55" s="283"/>
      <c r="L55" s="283"/>
      <c r="M55" s="283"/>
      <c r="N55" s="283"/>
      <c r="O55" s="283"/>
      <c r="P55" s="283"/>
      <c r="Q55" s="283"/>
      <c r="R55" s="283"/>
      <c r="S55" s="283"/>
      <c r="T55" s="283"/>
      <c r="U55" s="283"/>
      <c r="V55" s="283"/>
      <c r="W55" s="283"/>
      <c r="X55" s="283"/>
      <c r="Y55" s="283"/>
      <c r="Z55" s="283"/>
      <c r="AA55" s="283"/>
      <c r="AB55" s="283"/>
      <c r="AC55" s="283"/>
      <c r="AD55" s="283"/>
      <c r="AE55" s="283"/>
      <c r="AF55" s="283"/>
      <c r="AG55" s="283"/>
      <c r="AH55" s="283"/>
      <c r="AI55" s="283"/>
      <c r="AJ55" s="283"/>
      <c r="AK55" s="283"/>
      <c r="AL55" s="283"/>
      <c r="AM55" s="283"/>
      <c r="AN55" s="283"/>
      <c r="AO55" s="283"/>
      <c r="AP55" s="283"/>
      <c r="AQ55" s="283"/>
      <c r="AR55" s="283"/>
      <c r="AS55" s="283"/>
      <c r="AT55" s="283"/>
    </row>
    <row r="56" spans="1:46">
      <c r="A56" s="595"/>
      <c r="B56" s="598"/>
      <c r="C56" s="599"/>
      <c r="D56" s="283"/>
      <c r="E56" s="283"/>
      <c r="F56" s="283"/>
      <c r="G56" s="283"/>
      <c r="H56" s="283"/>
      <c r="I56" s="283"/>
      <c r="J56" s="283"/>
      <c r="K56" s="283"/>
      <c r="L56" s="283"/>
      <c r="M56" s="283"/>
      <c r="N56" s="283"/>
      <c r="O56" s="283"/>
      <c r="P56" s="283"/>
      <c r="Q56" s="283"/>
      <c r="R56" s="283"/>
      <c r="S56" s="283"/>
      <c r="T56" s="283"/>
      <c r="U56" s="283"/>
      <c r="V56" s="283"/>
      <c r="W56" s="283"/>
      <c r="X56" s="283"/>
      <c r="Y56" s="283"/>
      <c r="Z56" s="283"/>
      <c r="AA56" s="283"/>
      <c r="AB56" s="283"/>
      <c r="AC56" s="283"/>
      <c r="AD56" s="283"/>
      <c r="AE56" s="283"/>
      <c r="AF56" s="283"/>
      <c r="AG56" s="283"/>
      <c r="AH56" s="283"/>
      <c r="AI56" s="283"/>
      <c r="AJ56" s="283"/>
      <c r="AK56" s="283"/>
      <c r="AL56" s="283"/>
      <c r="AM56" s="283"/>
      <c r="AN56" s="283"/>
      <c r="AO56" s="283"/>
      <c r="AP56" s="283"/>
      <c r="AQ56" s="283"/>
      <c r="AR56" s="283"/>
      <c r="AS56" s="283"/>
      <c r="AT56" s="283"/>
    </row>
    <row r="57" spans="1:46">
      <c r="A57" s="595"/>
      <c r="B57" s="598"/>
      <c r="C57" s="599"/>
      <c r="D57" s="283"/>
      <c r="E57" s="283"/>
      <c r="F57" s="283"/>
      <c r="G57" s="283"/>
      <c r="H57" s="283"/>
      <c r="I57" s="283"/>
      <c r="J57" s="283"/>
      <c r="K57" s="283"/>
      <c r="L57" s="283"/>
      <c r="M57" s="283"/>
      <c r="N57" s="283"/>
      <c r="O57" s="283"/>
      <c r="P57" s="283"/>
      <c r="Q57" s="283"/>
      <c r="R57" s="283"/>
      <c r="S57" s="283"/>
      <c r="T57" s="283"/>
      <c r="U57" s="283"/>
      <c r="V57" s="283"/>
      <c r="W57" s="283"/>
      <c r="X57" s="283"/>
      <c r="Y57" s="283"/>
      <c r="Z57" s="283"/>
      <c r="AA57" s="283"/>
      <c r="AB57" s="283"/>
      <c r="AC57" s="283"/>
      <c r="AD57" s="283"/>
      <c r="AE57" s="283"/>
      <c r="AF57" s="283"/>
      <c r="AG57" s="283"/>
      <c r="AH57" s="283"/>
      <c r="AI57" s="283"/>
      <c r="AJ57" s="283"/>
      <c r="AK57" s="283"/>
      <c r="AL57" s="283"/>
      <c r="AM57" s="283"/>
      <c r="AN57" s="283"/>
      <c r="AO57" s="283"/>
      <c r="AP57" s="283"/>
      <c r="AQ57" s="283"/>
      <c r="AR57" s="283"/>
      <c r="AS57" s="283"/>
      <c r="AT57" s="283"/>
    </row>
    <row r="58" spans="1:46">
      <c r="A58" s="595"/>
      <c r="B58" s="598"/>
      <c r="C58" s="599"/>
      <c r="D58" s="283"/>
      <c r="E58" s="283"/>
      <c r="F58" s="283"/>
      <c r="G58" s="283"/>
      <c r="H58" s="283"/>
      <c r="I58" s="283"/>
      <c r="J58" s="283"/>
      <c r="K58" s="283"/>
      <c r="L58" s="283"/>
      <c r="M58" s="283"/>
      <c r="N58" s="283"/>
      <c r="O58" s="283"/>
      <c r="P58" s="283"/>
      <c r="Q58" s="283"/>
      <c r="R58" s="283"/>
      <c r="S58" s="283"/>
      <c r="T58" s="283"/>
      <c r="U58" s="283"/>
      <c r="V58" s="283"/>
      <c r="W58" s="283"/>
      <c r="X58" s="283"/>
      <c r="Y58" s="283"/>
      <c r="Z58" s="283"/>
      <c r="AA58" s="283"/>
      <c r="AB58" s="283"/>
      <c r="AC58" s="283"/>
      <c r="AD58" s="283"/>
      <c r="AE58" s="283"/>
      <c r="AF58" s="283"/>
      <c r="AG58" s="283"/>
      <c r="AH58" s="283"/>
      <c r="AI58" s="283"/>
      <c r="AJ58" s="283"/>
      <c r="AK58" s="283"/>
      <c r="AL58" s="283"/>
      <c r="AM58" s="283"/>
      <c r="AN58" s="283"/>
      <c r="AO58" s="283"/>
      <c r="AP58" s="283"/>
      <c r="AQ58" s="283"/>
      <c r="AR58" s="283"/>
      <c r="AS58" s="283"/>
      <c r="AT58" s="283"/>
    </row>
    <row r="59" spans="1:46">
      <c r="A59" s="595"/>
      <c r="B59" s="598"/>
      <c r="C59" s="599"/>
      <c r="D59" s="283"/>
      <c r="E59" s="283"/>
      <c r="F59" s="283"/>
      <c r="G59" s="283"/>
      <c r="H59" s="283"/>
      <c r="I59" s="283"/>
      <c r="J59" s="283"/>
      <c r="K59" s="283"/>
      <c r="L59" s="283"/>
      <c r="M59" s="283"/>
      <c r="N59" s="283"/>
      <c r="O59" s="283"/>
      <c r="P59" s="283"/>
      <c r="Q59" s="283"/>
      <c r="R59" s="283"/>
      <c r="S59" s="283"/>
      <c r="T59" s="283"/>
      <c r="U59" s="283"/>
      <c r="V59" s="283"/>
      <c r="W59" s="283"/>
      <c r="X59" s="283"/>
      <c r="Y59" s="283"/>
      <c r="Z59" s="283"/>
      <c r="AA59" s="283"/>
      <c r="AB59" s="283"/>
      <c r="AC59" s="283"/>
      <c r="AD59" s="283"/>
      <c r="AE59" s="283"/>
      <c r="AF59" s="283"/>
      <c r="AG59" s="283"/>
      <c r="AH59" s="283"/>
      <c r="AI59" s="283"/>
      <c r="AJ59" s="283"/>
      <c r="AK59" s="283"/>
      <c r="AL59" s="283"/>
      <c r="AM59" s="283"/>
      <c r="AN59" s="283"/>
      <c r="AO59" s="283"/>
      <c r="AP59" s="283"/>
      <c r="AQ59" s="283"/>
      <c r="AR59" s="283"/>
      <c r="AS59" s="283"/>
      <c r="AT59" s="283"/>
    </row>
    <row r="60" spans="1:46">
      <c r="A60" s="595"/>
      <c r="B60" s="598"/>
      <c r="C60" s="599"/>
      <c r="D60" s="283"/>
      <c r="E60" s="283"/>
      <c r="F60" s="283"/>
      <c r="G60" s="283"/>
      <c r="H60" s="283"/>
      <c r="I60" s="283"/>
      <c r="J60" s="283"/>
      <c r="K60" s="283"/>
      <c r="L60" s="283"/>
      <c r="M60" s="283"/>
      <c r="N60" s="283"/>
      <c r="O60" s="283"/>
      <c r="P60" s="283"/>
      <c r="Q60" s="283"/>
      <c r="R60" s="283"/>
      <c r="S60" s="283"/>
      <c r="T60" s="283"/>
      <c r="U60" s="283"/>
      <c r="V60" s="283"/>
      <c r="W60" s="283"/>
      <c r="X60" s="283"/>
      <c r="Y60" s="283"/>
      <c r="Z60" s="283"/>
      <c r="AA60" s="283"/>
      <c r="AB60" s="283"/>
      <c r="AC60" s="283"/>
      <c r="AD60" s="283"/>
      <c r="AE60" s="283"/>
      <c r="AF60" s="283"/>
      <c r="AG60" s="283"/>
      <c r="AH60" s="283"/>
      <c r="AI60" s="283"/>
      <c r="AJ60" s="283"/>
      <c r="AK60" s="283"/>
      <c r="AL60" s="283"/>
      <c r="AM60" s="283"/>
      <c r="AN60" s="283"/>
      <c r="AO60" s="283"/>
      <c r="AP60" s="283"/>
      <c r="AQ60" s="283"/>
      <c r="AR60" s="283"/>
      <c r="AS60" s="283"/>
      <c r="AT60" s="283"/>
    </row>
    <row r="61" spans="1:46">
      <c r="A61" s="595"/>
      <c r="B61" s="598"/>
      <c r="C61" s="599"/>
      <c r="D61" s="283"/>
      <c r="E61" s="283"/>
      <c r="F61" s="283"/>
      <c r="G61" s="283"/>
      <c r="H61" s="283"/>
      <c r="I61" s="283"/>
      <c r="J61" s="283"/>
      <c r="K61" s="283"/>
      <c r="L61" s="283"/>
      <c r="M61" s="283"/>
      <c r="N61" s="283"/>
      <c r="O61" s="283"/>
      <c r="P61" s="283"/>
      <c r="Q61" s="283"/>
      <c r="R61" s="283"/>
      <c r="S61" s="283"/>
      <c r="T61" s="283"/>
      <c r="U61" s="283"/>
      <c r="V61" s="283"/>
      <c r="W61" s="283"/>
      <c r="X61" s="283"/>
      <c r="Y61" s="283"/>
      <c r="Z61" s="283"/>
      <c r="AA61" s="283"/>
      <c r="AB61" s="283"/>
      <c r="AC61" s="283"/>
      <c r="AD61" s="283"/>
      <c r="AE61" s="283"/>
      <c r="AF61" s="283"/>
      <c r="AG61" s="283"/>
      <c r="AH61" s="283"/>
      <c r="AI61" s="283"/>
      <c r="AJ61" s="283"/>
      <c r="AK61" s="283"/>
      <c r="AL61" s="283"/>
      <c r="AM61" s="283"/>
      <c r="AN61" s="283"/>
      <c r="AO61" s="283"/>
      <c r="AP61" s="283"/>
      <c r="AQ61" s="283"/>
      <c r="AR61" s="283"/>
      <c r="AS61" s="283"/>
      <c r="AT61" s="283"/>
    </row>
    <row r="62" spans="1:46">
      <c r="A62" s="595"/>
      <c r="B62" s="598"/>
      <c r="C62" s="599"/>
      <c r="D62" s="283"/>
      <c r="E62" s="283"/>
      <c r="F62" s="283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283"/>
      <c r="W62" s="283"/>
      <c r="X62" s="283"/>
      <c r="Y62" s="283"/>
      <c r="Z62" s="283"/>
      <c r="AA62" s="283"/>
      <c r="AB62" s="283"/>
      <c r="AC62" s="283"/>
      <c r="AD62" s="283"/>
      <c r="AE62" s="283"/>
      <c r="AF62" s="283"/>
      <c r="AG62" s="283"/>
      <c r="AH62" s="283"/>
      <c r="AI62" s="283"/>
      <c r="AJ62" s="283"/>
      <c r="AK62" s="283"/>
      <c r="AL62" s="283"/>
      <c r="AM62" s="283"/>
      <c r="AN62" s="283"/>
      <c r="AO62" s="283"/>
      <c r="AP62" s="283"/>
      <c r="AQ62" s="283"/>
      <c r="AR62" s="283"/>
      <c r="AS62" s="283"/>
      <c r="AT62" s="283"/>
    </row>
    <row r="63" spans="1:46">
      <c r="A63" s="595"/>
      <c r="B63" s="598"/>
      <c r="C63" s="599"/>
      <c r="D63" s="283"/>
      <c r="E63" s="283"/>
      <c r="F63" s="283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283"/>
      <c r="W63" s="283"/>
      <c r="X63" s="283"/>
      <c r="Y63" s="283"/>
      <c r="Z63" s="283"/>
      <c r="AA63" s="283"/>
      <c r="AB63" s="283"/>
      <c r="AC63" s="283"/>
      <c r="AD63" s="283"/>
      <c r="AE63" s="283"/>
      <c r="AF63" s="283"/>
      <c r="AG63" s="283"/>
      <c r="AH63" s="283"/>
      <c r="AI63" s="283"/>
      <c r="AJ63" s="283"/>
      <c r="AK63" s="283"/>
      <c r="AL63" s="283"/>
      <c r="AM63" s="283"/>
      <c r="AN63" s="283"/>
      <c r="AO63" s="283"/>
      <c r="AP63" s="283"/>
      <c r="AQ63" s="283"/>
      <c r="AR63" s="283"/>
      <c r="AS63" s="283"/>
      <c r="AT63" s="283"/>
    </row>
    <row r="64" spans="1:46">
      <c r="A64" s="595"/>
      <c r="B64" s="598"/>
      <c r="C64" s="599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283"/>
      <c r="W64" s="283"/>
      <c r="X64" s="283"/>
      <c r="Y64" s="283"/>
      <c r="Z64" s="283"/>
      <c r="AA64" s="283"/>
      <c r="AB64" s="283"/>
      <c r="AC64" s="283"/>
      <c r="AD64" s="283"/>
      <c r="AE64" s="283"/>
      <c r="AF64" s="283"/>
      <c r="AG64" s="283"/>
      <c r="AH64" s="283"/>
      <c r="AI64" s="283"/>
      <c r="AJ64" s="283"/>
      <c r="AK64" s="283"/>
      <c r="AL64" s="283"/>
      <c r="AM64" s="283"/>
      <c r="AN64" s="283"/>
      <c r="AO64" s="283"/>
      <c r="AP64" s="283"/>
      <c r="AQ64" s="283"/>
      <c r="AR64" s="283"/>
      <c r="AS64" s="283"/>
      <c r="AT64" s="283"/>
    </row>
    <row r="65" spans="1:46">
      <c r="A65" s="595"/>
      <c r="B65" s="598"/>
      <c r="C65" s="599"/>
      <c r="D65" s="283"/>
      <c r="E65" s="283"/>
      <c r="F65" s="283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283"/>
      <c r="W65" s="283"/>
      <c r="X65" s="283"/>
      <c r="Y65" s="283"/>
      <c r="Z65" s="283"/>
      <c r="AA65" s="283"/>
      <c r="AB65" s="283"/>
      <c r="AC65" s="283"/>
      <c r="AD65" s="283"/>
      <c r="AE65" s="283"/>
      <c r="AF65" s="283"/>
      <c r="AG65" s="283"/>
      <c r="AH65" s="283"/>
      <c r="AI65" s="283"/>
      <c r="AJ65" s="283"/>
      <c r="AK65" s="283"/>
      <c r="AL65" s="283"/>
      <c r="AM65" s="283"/>
      <c r="AN65" s="283"/>
      <c r="AO65" s="283"/>
      <c r="AP65" s="283"/>
      <c r="AQ65" s="283"/>
      <c r="AR65" s="283"/>
      <c r="AS65" s="283"/>
      <c r="AT65" s="283"/>
    </row>
    <row r="66" spans="1:46">
      <c r="A66" s="595"/>
      <c r="B66" s="598"/>
      <c r="C66" s="599"/>
      <c r="D66" s="283"/>
      <c r="E66" s="283"/>
      <c r="F66" s="283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283"/>
      <c r="W66" s="283"/>
      <c r="X66" s="283"/>
      <c r="Y66" s="283"/>
      <c r="Z66" s="283"/>
      <c r="AA66" s="283"/>
      <c r="AB66" s="283"/>
      <c r="AC66" s="283"/>
      <c r="AD66" s="283"/>
      <c r="AE66" s="283"/>
      <c r="AF66" s="283"/>
      <c r="AG66" s="283"/>
      <c r="AH66" s="283"/>
      <c r="AI66" s="283"/>
      <c r="AJ66" s="283"/>
      <c r="AK66" s="283"/>
      <c r="AL66" s="283"/>
      <c r="AM66" s="283"/>
      <c r="AN66" s="283"/>
      <c r="AO66" s="283"/>
      <c r="AP66" s="283"/>
      <c r="AQ66" s="283"/>
      <c r="AR66" s="283"/>
      <c r="AS66" s="283"/>
      <c r="AT66" s="283"/>
    </row>
    <row r="67" spans="1:46">
      <c r="A67" s="595"/>
      <c r="B67" s="598"/>
      <c r="C67" s="243"/>
      <c r="D67" s="283"/>
      <c r="E67" s="283"/>
      <c r="F67" s="283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283"/>
      <c r="W67" s="283"/>
      <c r="X67" s="283"/>
      <c r="Y67" s="283"/>
      <c r="Z67" s="283"/>
      <c r="AA67" s="283"/>
      <c r="AB67" s="283"/>
      <c r="AC67" s="283"/>
      <c r="AD67" s="283"/>
      <c r="AE67" s="283"/>
      <c r="AF67" s="283"/>
      <c r="AG67" s="283"/>
      <c r="AH67" s="283"/>
      <c r="AI67" s="283"/>
      <c r="AJ67" s="283"/>
      <c r="AK67" s="283"/>
      <c r="AL67" s="283"/>
      <c r="AM67" s="283"/>
      <c r="AN67" s="283"/>
      <c r="AO67" s="283"/>
      <c r="AP67" s="283"/>
      <c r="AQ67" s="283"/>
      <c r="AR67" s="283"/>
      <c r="AS67" s="283"/>
      <c r="AT67" s="283"/>
    </row>
    <row r="68" spans="1:46">
      <c r="A68" s="595"/>
      <c r="B68" s="598"/>
      <c r="C68" s="243"/>
      <c r="D68" s="283"/>
      <c r="E68" s="283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283"/>
      <c r="W68" s="283"/>
      <c r="X68" s="283"/>
      <c r="Y68" s="283"/>
      <c r="Z68" s="283"/>
      <c r="AA68" s="283"/>
      <c r="AB68" s="283"/>
      <c r="AC68" s="283"/>
      <c r="AD68" s="283"/>
      <c r="AE68" s="283"/>
      <c r="AF68" s="283"/>
      <c r="AG68" s="283"/>
      <c r="AH68" s="283"/>
      <c r="AI68" s="283"/>
      <c r="AJ68" s="283"/>
      <c r="AK68" s="283"/>
      <c r="AL68" s="283"/>
      <c r="AM68" s="283"/>
      <c r="AN68" s="283"/>
      <c r="AO68" s="283"/>
      <c r="AP68" s="283"/>
      <c r="AQ68" s="283"/>
      <c r="AR68" s="283"/>
      <c r="AS68" s="283"/>
      <c r="AT68" s="283"/>
    </row>
    <row r="69" spans="1:46">
      <c r="A69" s="595"/>
      <c r="B69" s="598"/>
      <c r="C69" s="243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283"/>
      <c r="W69" s="283"/>
      <c r="X69" s="283"/>
      <c r="Y69" s="283"/>
      <c r="Z69" s="283"/>
      <c r="AA69" s="283"/>
      <c r="AB69" s="283"/>
      <c r="AC69" s="283"/>
      <c r="AD69" s="283"/>
      <c r="AE69" s="283"/>
      <c r="AF69" s="283"/>
      <c r="AG69" s="283"/>
      <c r="AH69" s="283"/>
      <c r="AI69" s="283"/>
      <c r="AJ69" s="283"/>
      <c r="AK69" s="283"/>
      <c r="AL69" s="283"/>
      <c r="AM69" s="283"/>
      <c r="AN69" s="283"/>
      <c r="AO69" s="283"/>
      <c r="AP69" s="283"/>
      <c r="AQ69" s="283"/>
      <c r="AR69" s="283"/>
      <c r="AS69" s="283"/>
      <c r="AT69" s="283"/>
    </row>
    <row r="70" spans="1:46">
      <c r="A70" s="595"/>
      <c r="B70" s="598"/>
      <c r="C70" s="243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283"/>
      <c r="W70" s="283"/>
      <c r="X70" s="283"/>
      <c r="Y70" s="283"/>
      <c r="Z70" s="283"/>
      <c r="AA70" s="283"/>
      <c r="AB70" s="283"/>
      <c r="AC70" s="283"/>
      <c r="AD70" s="283"/>
      <c r="AE70" s="283"/>
      <c r="AF70" s="283"/>
      <c r="AG70" s="283"/>
      <c r="AH70" s="283"/>
      <c r="AI70" s="283"/>
      <c r="AJ70" s="283"/>
      <c r="AK70" s="283"/>
      <c r="AL70" s="283"/>
      <c r="AM70" s="283"/>
      <c r="AN70" s="283"/>
      <c r="AO70" s="283"/>
      <c r="AP70" s="283"/>
      <c r="AQ70" s="283"/>
      <c r="AR70" s="283"/>
      <c r="AS70" s="283"/>
      <c r="AT70" s="283"/>
    </row>
    <row r="71" spans="1:46">
      <c r="A71" s="595"/>
      <c r="B71" s="242"/>
      <c r="C71" s="243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283"/>
      <c r="W71" s="283"/>
      <c r="X71" s="283"/>
      <c r="Y71" s="283"/>
      <c r="Z71" s="283"/>
      <c r="AA71" s="283"/>
      <c r="AB71" s="283"/>
      <c r="AC71" s="283"/>
      <c r="AD71" s="283"/>
      <c r="AE71" s="283"/>
      <c r="AF71" s="283"/>
      <c r="AG71" s="283"/>
      <c r="AH71" s="283"/>
      <c r="AI71" s="283"/>
      <c r="AJ71" s="283"/>
      <c r="AK71" s="283"/>
      <c r="AL71" s="283"/>
      <c r="AM71" s="283"/>
      <c r="AN71" s="283"/>
      <c r="AO71" s="283"/>
      <c r="AP71" s="283"/>
      <c r="AQ71" s="283"/>
      <c r="AR71" s="283"/>
      <c r="AS71" s="283"/>
      <c r="AT71" s="283"/>
    </row>
    <row r="72" spans="1:46">
      <c r="A72" s="595"/>
      <c r="B72" s="242"/>
      <c r="C72" s="243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283"/>
      <c r="W72" s="283"/>
      <c r="X72" s="283"/>
      <c r="Y72" s="283"/>
      <c r="Z72" s="283"/>
      <c r="AA72" s="283"/>
      <c r="AB72" s="283"/>
      <c r="AC72" s="283"/>
      <c r="AD72" s="283"/>
      <c r="AE72" s="283"/>
      <c r="AF72" s="283"/>
      <c r="AG72" s="283"/>
      <c r="AH72" s="283"/>
      <c r="AI72" s="283"/>
      <c r="AJ72" s="283"/>
      <c r="AK72" s="283"/>
      <c r="AL72" s="283"/>
      <c r="AM72" s="283"/>
      <c r="AN72" s="283"/>
      <c r="AO72" s="283"/>
      <c r="AP72" s="283"/>
      <c r="AQ72" s="283"/>
      <c r="AR72" s="283"/>
      <c r="AS72" s="283"/>
      <c r="AT72" s="283"/>
    </row>
    <row r="73" spans="1:46">
      <c r="A73" s="595"/>
      <c r="B73" s="242"/>
      <c r="C73" s="243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3"/>
      <c r="AD73" s="283"/>
      <c r="AE73" s="283"/>
      <c r="AF73" s="283"/>
      <c r="AG73" s="283"/>
      <c r="AH73" s="283"/>
      <c r="AI73" s="283"/>
      <c r="AJ73" s="283"/>
      <c r="AK73" s="283"/>
      <c r="AL73" s="283"/>
      <c r="AM73" s="283"/>
      <c r="AN73" s="283"/>
      <c r="AO73" s="283"/>
      <c r="AP73" s="283"/>
      <c r="AQ73" s="283"/>
      <c r="AR73" s="283"/>
      <c r="AS73" s="283"/>
      <c r="AT73" s="283"/>
    </row>
    <row r="74" spans="1:46">
      <c r="A74" s="595"/>
      <c r="B74" s="242"/>
      <c r="C74" s="243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283"/>
      <c r="W74" s="283"/>
      <c r="X74" s="283"/>
      <c r="Y74" s="283"/>
      <c r="Z74" s="283"/>
      <c r="AA74" s="283"/>
      <c r="AB74" s="283"/>
      <c r="AC74" s="283"/>
      <c r="AD74" s="283"/>
      <c r="AE74" s="283"/>
      <c r="AF74" s="283"/>
      <c r="AG74" s="283"/>
      <c r="AH74" s="283"/>
      <c r="AI74" s="283"/>
      <c r="AJ74" s="283"/>
      <c r="AK74" s="283"/>
      <c r="AL74" s="283"/>
      <c r="AM74" s="283"/>
      <c r="AN74" s="283"/>
      <c r="AO74" s="283"/>
      <c r="AP74" s="283"/>
      <c r="AQ74" s="283"/>
      <c r="AR74" s="283"/>
      <c r="AS74" s="283"/>
      <c r="AT74" s="283"/>
    </row>
    <row r="75" spans="1:46">
      <c r="A75" s="595"/>
      <c r="B75" s="242"/>
      <c r="C75" s="243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3"/>
      <c r="Z75" s="283"/>
      <c r="AA75" s="283"/>
      <c r="AB75" s="283"/>
      <c r="AC75" s="283"/>
      <c r="AD75" s="283"/>
      <c r="AE75" s="283"/>
      <c r="AF75" s="283"/>
      <c r="AG75" s="283"/>
      <c r="AH75" s="283"/>
      <c r="AI75" s="283"/>
      <c r="AJ75" s="283"/>
      <c r="AK75" s="283"/>
      <c r="AL75" s="283"/>
      <c r="AM75" s="283"/>
      <c r="AN75" s="283"/>
      <c r="AO75" s="283"/>
      <c r="AP75" s="283"/>
      <c r="AQ75" s="283"/>
      <c r="AR75" s="283"/>
      <c r="AS75" s="283"/>
      <c r="AT75" s="283"/>
    </row>
    <row r="76" spans="1:46">
      <c r="A76" s="595"/>
      <c r="B76" s="242"/>
      <c r="C76" s="243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283"/>
      <c r="W76" s="283"/>
      <c r="X76" s="283"/>
      <c r="Y76" s="283"/>
      <c r="Z76" s="283"/>
      <c r="AA76" s="283"/>
      <c r="AB76" s="283"/>
      <c r="AC76" s="283"/>
      <c r="AD76" s="283"/>
      <c r="AE76" s="283"/>
      <c r="AF76" s="283"/>
      <c r="AG76" s="283"/>
      <c r="AH76" s="283"/>
      <c r="AI76" s="283"/>
      <c r="AJ76" s="283"/>
      <c r="AK76" s="283"/>
      <c r="AL76" s="283"/>
      <c r="AM76" s="283"/>
      <c r="AN76" s="283"/>
      <c r="AO76" s="283"/>
      <c r="AP76" s="283"/>
      <c r="AQ76" s="283"/>
      <c r="AR76" s="283"/>
      <c r="AS76" s="283"/>
      <c r="AT76" s="283"/>
    </row>
    <row r="77" spans="1:46">
      <c r="A77" s="595"/>
      <c r="B77" s="242"/>
      <c r="C77" s="243"/>
      <c r="D77" s="283"/>
      <c r="E77" s="283"/>
      <c r="F77" s="283"/>
      <c r="G77" s="283"/>
      <c r="H77" s="283"/>
      <c r="I77" s="283"/>
      <c r="J77" s="283"/>
      <c r="K77" s="283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283"/>
      <c r="W77" s="283"/>
      <c r="X77" s="283"/>
      <c r="Y77" s="283"/>
      <c r="Z77" s="283"/>
      <c r="AA77" s="283"/>
      <c r="AB77" s="283"/>
      <c r="AC77" s="283"/>
      <c r="AD77" s="283"/>
      <c r="AE77" s="283"/>
      <c r="AF77" s="283"/>
      <c r="AG77" s="283"/>
      <c r="AH77" s="283"/>
      <c r="AI77" s="283"/>
      <c r="AJ77" s="283"/>
      <c r="AK77" s="283"/>
      <c r="AL77" s="283"/>
      <c r="AM77" s="283"/>
      <c r="AN77" s="283"/>
      <c r="AO77" s="283"/>
      <c r="AP77" s="283"/>
      <c r="AQ77" s="283"/>
      <c r="AR77" s="283"/>
      <c r="AS77" s="283"/>
      <c r="AT77" s="283"/>
    </row>
    <row r="78" spans="1:46">
      <c r="A78" s="595"/>
      <c r="B78" s="242"/>
      <c r="C78" s="243"/>
      <c r="D78" s="283"/>
      <c r="E78" s="283"/>
      <c r="F78" s="283"/>
      <c r="G78" s="283"/>
      <c r="H78" s="283"/>
      <c r="I78" s="283"/>
      <c r="J78" s="283"/>
      <c r="K78" s="283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283"/>
      <c r="W78" s="283"/>
      <c r="X78" s="283"/>
      <c r="Y78" s="283"/>
      <c r="Z78" s="283"/>
      <c r="AA78" s="283"/>
      <c r="AB78" s="283"/>
      <c r="AC78" s="283"/>
      <c r="AD78" s="283"/>
      <c r="AE78" s="283"/>
      <c r="AF78" s="283"/>
      <c r="AG78" s="283"/>
      <c r="AH78" s="283"/>
      <c r="AI78" s="283"/>
      <c r="AJ78" s="283"/>
      <c r="AK78" s="283"/>
      <c r="AL78" s="283"/>
      <c r="AM78" s="283"/>
      <c r="AN78" s="283"/>
      <c r="AO78" s="283"/>
      <c r="AP78" s="283"/>
      <c r="AQ78" s="283"/>
      <c r="AR78" s="283"/>
      <c r="AS78" s="283"/>
      <c r="AT78" s="283"/>
    </row>
    <row r="79" spans="1:46">
      <c r="A79" s="595"/>
      <c r="B79" s="242"/>
      <c r="C79" s="243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3"/>
      <c r="Z79" s="283"/>
      <c r="AA79" s="283"/>
      <c r="AB79" s="283"/>
      <c r="AC79" s="283"/>
      <c r="AD79" s="283"/>
      <c r="AE79" s="283"/>
      <c r="AF79" s="283"/>
      <c r="AG79" s="283"/>
      <c r="AH79" s="283"/>
      <c r="AI79" s="283"/>
      <c r="AJ79" s="283"/>
      <c r="AK79" s="283"/>
      <c r="AL79" s="283"/>
      <c r="AM79" s="283"/>
      <c r="AN79" s="283"/>
      <c r="AO79" s="283"/>
      <c r="AP79" s="283"/>
      <c r="AQ79" s="283"/>
      <c r="AR79" s="283"/>
      <c r="AS79" s="283"/>
      <c r="AT79" s="283"/>
    </row>
    <row r="80" spans="1:46">
      <c r="A80" s="595"/>
      <c r="B80" s="242"/>
      <c r="C80" s="243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3"/>
      <c r="Z80" s="283"/>
      <c r="AA80" s="283"/>
      <c r="AB80" s="283"/>
      <c r="AC80" s="283"/>
      <c r="AD80" s="283"/>
      <c r="AE80" s="283"/>
      <c r="AF80" s="283"/>
      <c r="AG80" s="283"/>
      <c r="AH80" s="283"/>
      <c r="AI80" s="283"/>
      <c r="AJ80" s="283"/>
      <c r="AK80" s="283"/>
      <c r="AL80" s="283"/>
      <c r="AM80" s="283"/>
      <c r="AN80" s="283"/>
      <c r="AO80" s="283"/>
      <c r="AP80" s="283"/>
      <c r="AQ80" s="283"/>
      <c r="AR80" s="283"/>
      <c r="AS80" s="283"/>
      <c r="AT80" s="283"/>
    </row>
    <row r="81" spans="1:46">
      <c r="A81" s="595"/>
      <c r="B81" s="242"/>
      <c r="C81" s="243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3"/>
      <c r="Z81" s="283"/>
      <c r="AA81" s="283"/>
      <c r="AB81" s="283"/>
      <c r="AC81" s="283"/>
      <c r="AD81" s="283"/>
      <c r="AE81" s="283"/>
      <c r="AF81" s="283"/>
      <c r="AG81" s="283"/>
      <c r="AH81" s="283"/>
      <c r="AI81" s="283"/>
      <c r="AJ81" s="283"/>
      <c r="AK81" s="283"/>
      <c r="AL81" s="283"/>
      <c r="AM81" s="283"/>
      <c r="AN81" s="283"/>
      <c r="AO81" s="283"/>
      <c r="AP81" s="283"/>
      <c r="AQ81" s="283"/>
      <c r="AR81" s="283"/>
      <c r="AS81" s="283"/>
      <c r="AT81" s="283"/>
    </row>
    <row r="82" spans="1:46">
      <c r="A82" s="595"/>
      <c r="B82" s="242"/>
      <c r="C82" s="243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3"/>
      <c r="Z82" s="283"/>
      <c r="AA82" s="283"/>
      <c r="AB82" s="283"/>
      <c r="AC82" s="283"/>
      <c r="AD82" s="283"/>
      <c r="AE82" s="283"/>
      <c r="AF82" s="283"/>
      <c r="AG82" s="283"/>
      <c r="AH82" s="283"/>
      <c r="AI82" s="283"/>
      <c r="AJ82" s="283"/>
      <c r="AK82" s="283"/>
      <c r="AL82" s="283"/>
      <c r="AM82" s="283"/>
      <c r="AN82" s="283"/>
      <c r="AO82" s="283"/>
      <c r="AP82" s="283"/>
      <c r="AQ82" s="283"/>
      <c r="AR82" s="283"/>
      <c r="AS82" s="283"/>
      <c r="AT82" s="283"/>
    </row>
    <row r="83" spans="1:46">
      <c r="A83" s="595"/>
      <c r="B83" s="242"/>
      <c r="C83" s="243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3"/>
      <c r="Z83" s="283"/>
      <c r="AA83" s="283"/>
      <c r="AB83" s="283"/>
      <c r="AC83" s="283"/>
      <c r="AD83" s="283"/>
      <c r="AE83" s="283"/>
      <c r="AF83" s="283"/>
      <c r="AG83" s="283"/>
      <c r="AH83" s="283"/>
      <c r="AI83" s="283"/>
      <c r="AJ83" s="283"/>
      <c r="AK83" s="283"/>
      <c r="AL83" s="283"/>
      <c r="AM83" s="283"/>
      <c r="AN83" s="283"/>
      <c r="AO83" s="283"/>
      <c r="AP83" s="283"/>
      <c r="AQ83" s="283"/>
      <c r="AR83" s="283"/>
      <c r="AS83" s="283"/>
      <c r="AT83" s="283"/>
    </row>
    <row r="84" spans="1:46">
      <c r="A84" s="595"/>
      <c r="B84" s="242"/>
      <c r="C84" s="243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3"/>
      <c r="Z84" s="283"/>
      <c r="AA84" s="283"/>
      <c r="AB84" s="283"/>
      <c r="AC84" s="283"/>
      <c r="AD84" s="283"/>
      <c r="AE84" s="283"/>
      <c r="AF84" s="283"/>
      <c r="AG84" s="283"/>
      <c r="AH84" s="283"/>
      <c r="AI84" s="283"/>
      <c r="AJ84" s="283"/>
      <c r="AK84" s="283"/>
      <c r="AL84" s="283"/>
      <c r="AM84" s="283"/>
      <c r="AN84" s="283"/>
      <c r="AO84" s="283"/>
      <c r="AP84" s="283"/>
      <c r="AQ84" s="283"/>
      <c r="AR84" s="283"/>
      <c r="AS84" s="283"/>
      <c r="AT84" s="283"/>
    </row>
    <row r="85" spans="1:46">
      <c r="A85" s="595"/>
      <c r="B85" s="242"/>
      <c r="C85" s="243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3"/>
      <c r="Z85" s="283"/>
      <c r="AA85" s="283"/>
      <c r="AB85" s="283"/>
      <c r="AC85" s="283"/>
      <c r="AD85" s="283"/>
      <c r="AE85" s="283"/>
      <c r="AF85" s="283"/>
      <c r="AG85" s="283"/>
      <c r="AH85" s="283"/>
      <c r="AI85" s="283"/>
      <c r="AJ85" s="283"/>
      <c r="AK85" s="283"/>
      <c r="AL85" s="283"/>
      <c r="AM85" s="283"/>
      <c r="AN85" s="283"/>
      <c r="AO85" s="283"/>
      <c r="AP85" s="283"/>
      <c r="AQ85" s="283"/>
      <c r="AR85" s="283"/>
      <c r="AS85" s="283"/>
      <c r="AT85" s="283"/>
    </row>
    <row r="86" spans="1:46">
      <c r="A86" s="595"/>
      <c r="B86" s="242"/>
      <c r="C86" s="243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3"/>
      <c r="Z86" s="283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3"/>
      <c r="AL86" s="283"/>
      <c r="AM86" s="283"/>
      <c r="AN86" s="283"/>
      <c r="AO86" s="283"/>
      <c r="AP86" s="283"/>
      <c r="AQ86" s="283"/>
      <c r="AR86" s="283"/>
      <c r="AS86" s="283"/>
      <c r="AT86" s="283"/>
    </row>
    <row r="87" spans="1:46">
      <c r="A87" s="595"/>
      <c r="B87" s="242"/>
      <c r="C87" s="243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283"/>
      <c r="X87" s="283"/>
      <c r="Y87" s="283"/>
      <c r="Z87" s="283"/>
      <c r="AA87" s="283"/>
      <c r="AB87" s="283"/>
      <c r="AC87" s="283"/>
      <c r="AD87" s="283"/>
      <c r="AE87" s="283"/>
      <c r="AF87" s="283"/>
      <c r="AG87" s="283"/>
      <c r="AH87" s="283"/>
      <c r="AI87" s="283"/>
      <c r="AJ87" s="283"/>
      <c r="AK87" s="283"/>
      <c r="AL87" s="283"/>
      <c r="AM87" s="283"/>
      <c r="AN87" s="283"/>
      <c r="AO87" s="283"/>
      <c r="AP87" s="283"/>
      <c r="AQ87" s="283"/>
      <c r="AR87" s="283"/>
      <c r="AS87" s="283"/>
      <c r="AT87" s="283"/>
    </row>
    <row r="88" spans="1:46">
      <c r="A88" s="595"/>
      <c r="B88" s="242"/>
      <c r="C88" s="243"/>
      <c r="D88" s="283"/>
      <c r="E88" s="283"/>
      <c r="F88" s="283"/>
      <c r="G88" s="283"/>
      <c r="H88" s="283"/>
      <c r="I88" s="283"/>
      <c r="J88" s="283"/>
      <c r="K88" s="283"/>
      <c r="L88" s="283"/>
      <c r="M88" s="283"/>
      <c r="N88" s="283"/>
      <c r="O88" s="283"/>
      <c r="P88" s="283"/>
      <c r="Q88" s="283"/>
      <c r="R88" s="283"/>
      <c r="S88" s="283"/>
      <c r="T88" s="283"/>
      <c r="U88" s="283"/>
      <c r="V88" s="283"/>
      <c r="W88" s="283"/>
      <c r="X88" s="283"/>
      <c r="Y88" s="283"/>
      <c r="Z88" s="283"/>
      <c r="AA88" s="283"/>
      <c r="AB88" s="283"/>
      <c r="AC88" s="283"/>
      <c r="AD88" s="283"/>
      <c r="AE88" s="283"/>
      <c r="AF88" s="283"/>
      <c r="AG88" s="283"/>
      <c r="AH88" s="283"/>
      <c r="AI88" s="283"/>
      <c r="AJ88" s="283"/>
      <c r="AK88" s="283"/>
      <c r="AL88" s="283"/>
      <c r="AM88" s="283"/>
      <c r="AN88" s="283"/>
      <c r="AO88" s="283"/>
      <c r="AP88" s="283"/>
      <c r="AQ88" s="283"/>
      <c r="AR88" s="283"/>
      <c r="AS88" s="283"/>
      <c r="AT88" s="283"/>
    </row>
    <row r="89" spans="1:46">
      <c r="A89" s="595"/>
      <c r="B89" s="242"/>
      <c r="C89" s="243"/>
      <c r="D89" s="283"/>
      <c r="E89" s="283"/>
      <c r="F89" s="283"/>
      <c r="G89" s="283"/>
      <c r="H89" s="283"/>
      <c r="I89" s="283"/>
      <c r="J89" s="283"/>
      <c r="K89" s="283"/>
      <c r="L89" s="283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3"/>
      <c r="Z89" s="283"/>
      <c r="AA89" s="283"/>
      <c r="AB89" s="283"/>
      <c r="AC89" s="283"/>
      <c r="AD89" s="283"/>
      <c r="AE89" s="283"/>
      <c r="AF89" s="283"/>
      <c r="AG89" s="283"/>
      <c r="AH89" s="283"/>
      <c r="AI89" s="283"/>
      <c r="AJ89" s="283"/>
      <c r="AK89" s="283"/>
      <c r="AL89" s="283"/>
      <c r="AM89" s="283"/>
      <c r="AN89" s="283"/>
      <c r="AO89" s="283"/>
      <c r="AP89" s="283"/>
      <c r="AQ89" s="283"/>
      <c r="AR89" s="283"/>
      <c r="AS89" s="283"/>
      <c r="AT89" s="283"/>
    </row>
    <row r="90" spans="1:46">
      <c r="A90" s="595"/>
      <c r="B90" s="242"/>
      <c r="C90" s="243"/>
      <c r="D90" s="283"/>
      <c r="E90" s="283"/>
      <c r="F90" s="283"/>
      <c r="G90" s="283"/>
      <c r="H90" s="283"/>
      <c r="I90" s="283"/>
      <c r="J90" s="283"/>
      <c r="K90" s="283"/>
      <c r="L90" s="283"/>
      <c r="M90" s="283"/>
      <c r="N90" s="283"/>
      <c r="O90" s="283"/>
      <c r="P90" s="283"/>
      <c r="Q90" s="283"/>
      <c r="R90" s="283"/>
      <c r="S90" s="283"/>
      <c r="T90" s="283"/>
      <c r="U90" s="283"/>
      <c r="V90" s="283"/>
      <c r="W90" s="283"/>
      <c r="X90" s="283"/>
      <c r="Y90" s="283"/>
      <c r="Z90" s="283"/>
      <c r="AA90" s="283"/>
      <c r="AB90" s="283"/>
      <c r="AC90" s="283"/>
      <c r="AD90" s="283"/>
      <c r="AE90" s="283"/>
      <c r="AF90" s="283"/>
      <c r="AG90" s="283"/>
      <c r="AH90" s="283"/>
      <c r="AI90" s="283"/>
      <c r="AJ90" s="283"/>
      <c r="AK90" s="283"/>
      <c r="AL90" s="283"/>
      <c r="AM90" s="283"/>
      <c r="AN90" s="283"/>
      <c r="AO90" s="283"/>
      <c r="AP90" s="283"/>
      <c r="AQ90" s="283"/>
      <c r="AR90" s="283"/>
      <c r="AS90" s="283"/>
      <c r="AT90" s="283"/>
    </row>
    <row r="91" spans="1:46">
      <c r="A91" s="595"/>
      <c r="B91" s="242"/>
      <c r="C91" s="243"/>
      <c r="D91" s="283"/>
      <c r="E91" s="283"/>
      <c r="F91" s="283"/>
      <c r="G91" s="283"/>
      <c r="H91" s="283"/>
      <c r="I91" s="283"/>
      <c r="J91" s="283"/>
      <c r="K91" s="283"/>
      <c r="L91" s="283"/>
      <c r="M91" s="283"/>
      <c r="N91" s="283"/>
      <c r="O91" s="283"/>
      <c r="P91" s="283"/>
      <c r="Q91" s="283"/>
      <c r="R91" s="283"/>
      <c r="S91" s="283"/>
      <c r="T91" s="283"/>
      <c r="U91" s="283"/>
      <c r="V91" s="283"/>
      <c r="W91" s="283"/>
      <c r="X91" s="283"/>
      <c r="Y91" s="283"/>
      <c r="Z91" s="283"/>
      <c r="AA91" s="283"/>
      <c r="AB91" s="283"/>
      <c r="AC91" s="283"/>
      <c r="AD91" s="283"/>
      <c r="AE91" s="283"/>
      <c r="AF91" s="283"/>
      <c r="AG91" s="283"/>
      <c r="AH91" s="283"/>
      <c r="AI91" s="283"/>
      <c r="AJ91" s="283"/>
      <c r="AK91" s="283"/>
      <c r="AL91" s="283"/>
      <c r="AM91" s="283"/>
      <c r="AN91" s="283"/>
      <c r="AO91" s="283"/>
      <c r="AP91" s="283"/>
      <c r="AQ91" s="283"/>
      <c r="AR91" s="283"/>
      <c r="AS91" s="283"/>
      <c r="AT91" s="283"/>
    </row>
    <row r="92" spans="1:46">
      <c r="A92" s="595"/>
      <c r="B92" s="242"/>
      <c r="C92" s="243"/>
      <c r="D92" s="283"/>
      <c r="E92" s="283"/>
      <c r="F92" s="283"/>
      <c r="G92" s="283"/>
      <c r="H92" s="283"/>
      <c r="I92" s="283"/>
      <c r="J92" s="283"/>
      <c r="K92" s="283"/>
      <c r="L92" s="283"/>
      <c r="M92" s="283"/>
      <c r="N92" s="283"/>
      <c r="O92" s="283"/>
      <c r="P92" s="283"/>
      <c r="Q92" s="283"/>
      <c r="R92" s="283"/>
      <c r="S92" s="283"/>
      <c r="T92" s="283"/>
      <c r="U92" s="283"/>
      <c r="V92" s="283"/>
      <c r="W92" s="283"/>
      <c r="X92" s="283"/>
      <c r="Y92" s="283"/>
      <c r="Z92" s="283"/>
      <c r="AA92" s="283"/>
      <c r="AB92" s="283"/>
      <c r="AC92" s="283"/>
      <c r="AD92" s="283"/>
      <c r="AE92" s="283"/>
      <c r="AF92" s="283"/>
      <c r="AG92" s="283"/>
      <c r="AH92" s="283"/>
      <c r="AI92" s="283"/>
      <c r="AJ92" s="283"/>
      <c r="AK92" s="283"/>
      <c r="AL92" s="283"/>
      <c r="AM92" s="283"/>
      <c r="AN92" s="283"/>
      <c r="AO92" s="283"/>
      <c r="AP92" s="283"/>
      <c r="AQ92" s="283"/>
      <c r="AR92" s="283"/>
      <c r="AS92" s="283"/>
      <c r="AT92" s="283"/>
    </row>
    <row r="93" spans="1:46">
      <c r="A93" s="595"/>
      <c r="B93" s="242"/>
      <c r="C93" s="243"/>
      <c r="D93" s="283"/>
      <c r="E93" s="283"/>
      <c r="F93" s="283"/>
      <c r="G93" s="283"/>
      <c r="H93" s="283"/>
      <c r="I93" s="283"/>
      <c r="J93" s="283"/>
      <c r="K93" s="283"/>
      <c r="L93" s="283"/>
      <c r="M93" s="283"/>
      <c r="N93" s="283"/>
      <c r="O93" s="283"/>
      <c r="P93" s="283"/>
      <c r="Q93" s="283"/>
      <c r="R93" s="283"/>
      <c r="S93" s="283"/>
      <c r="T93" s="283"/>
      <c r="U93" s="283"/>
      <c r="V93" s="283"/>
      <c r="W93" s="283"/>
      <c r="X93" s="283"/>
      <c r="Y93" s="283"/>
      <c r="Z93" s="283"/>
      <c r="AA93" s="283"/>
      <c r="AB93" s="283"/>
      <c r="AC93" s="283"/>
      <c r="AD93" s="283"/>
      <c r="AE93" s="283"/>
      <c r="AF93" s="283"/>
      <c r="AG93" s="283"/>
      <c r="AH93" s="283"/>
      <c r="AI93" s="283"/>
      <c r="AJ93" s="283"/>
      <c r="AK93" s="283"/>
      <c r="AL93" s="283"/>
      <c r="AM93" s="283"/>
      <c r="AN93" s="283"/>
      <c r="AO93" s="283"/>
      <c r="AP93" s="283"/>
      <c r="AQ93" s="283"/>
      <c r="AR93" s="283"/>
      <c r="AS93" s="283"/>
      <c r="AT93" s="283"/>
    </row>
    <row r="94" spans="1:46">
      <c r="A94" s="595"/>
      <c r="B94" s="242"/>
      <c r="C94" s="243"/>
      <c r="D94" s="283"/>
      <c r="E94" s="283"/>
      <c r="F94" s="283"/>
      <c r="G94" s="283"/>
      <c r="H94" s="283"/>
      <c r="I94" s="283"/>
      <c r="J94" s="283"/>
      <c r="K94" s="283"/>
      <c r="L94" s="283"/>
      <c r="M94" s="283"/>
      <c r="N94" s="283"/>
      <c r="O94" s="283"/>
      <c r="P94" s="283"/>
      <c r="Q94" s="283"/>
      <c r="R94" s="283"/>
      <c r="S94" s="283"/>
      <c r="T94" s="283"/>
      <c r="U94" s="283"/>
      <c r="V94" s="283"/>
      <c r="W94" s="283"/>
      <c r="X94" s="283"/>
      <c r="Y94" s="283"/>
      <c r="Z94" s="283"/>
      <c r="AA94" s="283"/>
      <c r="AB94" s="283"/>
      <c r="AC94" s="283"/>
      <c r="AD94" s="283"/>
      <c r="AE94" s="283"/>
      <c r="AF94" s="283"/>
      <c r="AG94" s="283"/>
      <c r="AH94" s="283"/>
      <c r="AI94" s="283"/>
      <c r="AJ94" s="283"/>
      <c r="AK94" s="283"/>
      <c r="AL94" s="283"/>
      <c r="AM94" s="283"/>
      <c r="AN94" s="283"/>
      <c r="AO94" s="283"/>
      <c r="AP94" s="283"/>
      <c r="AQ94" s="283"/>
      <c r="AR94" s="283"/>
      <c r="AS94" s="283"/>
      <c r="AT94" s="283"/>
    </row>
    <row r="95" spans="1:46">
      <c r="A95" s="595"/>
      <c r="B95" s="242"/>
      <c r="C95" s="243"/>
      <c r="D95" s="283"/>
      <c r="E95" s="283"/>
      <c r="F95" s="283"/>
      <c r="G95" s="283"/>
      <c r="H95" s="283"/>
      <c r="I95" s="283"/>
      <c r="J95" s="283"/>
      <c r="K95" s="283"/>
      <c r="L95" s="283"/>
      <c r="M95" s="283"/>
      <c r="N95" s="283"/>
      <c r="O95" s="283"/>
      <c r="P95" s="283"/>
      <c r="Q95" s="283"/>
      <c r="R95" s="283"/>
      <c r="S95" s="283"/>
      <c r="T95" s="283"/>
      <c r="U95" s="283"/>
      <c r="V95" s="283"/>
      <c r="W95" s="283"/>
      <c r="X95" s="283"/>
      <c r="Y95" s="283"/>
      <c r="Z95" s="283"/>
      <c r="AA95" s="283"/>
      <c r="AB95" s="283"/>
      <c r="AC95" s="283"/>
      <c r="AD95" s="283"/>
      <c r="AE95" s="283"/>
      <c r="AF95" s="283"/>
      <c r="AG95" s="283"/>
      <c r="AH95" s="283"/>
      <c r="AI95" s="283"/>
      <c r="AJ95" s="283"/>
      <c r="AK95" s="283"/>
      <c r="AL95" s="283"/>
      <c r="AM95" s="283"/>
      <c r="AN95" s="283"/>
      <c r="AO95" s="283"/>
      <c r="AP95" s="283"/>
      <c r="AQ95" s="283"/>
      <c r="AR95" s="283"/>
      <c r="AS95" s="283"/>
      <c r="AT95" s="283"/>
    </row>
    <row r="96" spans="1:46">
      <c r="A96" s="595"/>
      <c r="B96" s="242"/>
      <c r="C96" s="243"/>
      <c r="D96" s="283"/>
      <c r="E96" s="283"/>
      <c r="F96" s="283"/>
      <c r="G96" s="283"/>
      <c r="H96" s="283"/>
      <c r="I96" s="283"/>
      <c r="J96" s="283"/>
      <c r="K96" s="283"/>
      <c r="L96" s="283"/>
      <c r="M96" s="283"/>
      <c r="N96" s="283"/>
      <c r="O96" s="283"/>
      <c r="P96" s="283"/>
      <c r="Q96" s="283"/>
      <c r="R96" s="283"/>
      <c r="S96" s="283"/>
      <c r="T96" s="283"/>
      <c r="U96" s="283"/>
      <c r="V96" s="283"/>
      <c r="W96" s="283"/>
      <c r="X96" s="283"/>
      <c r="Y96" s="283"/>
      <c r="Z96" s="283"/>
      <c r="AA96" s="283"/>
      <c r="AB96" s="283"/>
      <c r="AC96" s="283"/>
      <c r="AD96" s="283"/>
      <c r="AE96" s="283"/>
      <c r="AF96" s="283"/>
      <c r="AG96" s="283"/>
      <c r="AH96" s="283"/>
      <c r="AI96" s="283"/>
      <c r="AJ96" s="283"/>
      <c r="AK96" s="283"/>
      <c r="AL96" s="283"/>
      <c r="AM96" s="283"/>
      <c r="AN96" s="283"/>
      <c r="AO96" s="283"/>
      <c r="AP96" s="283"/>
      <c r="AQ96" s="283"/>
      <c r="AR96" s="283"/>
      <c r="AS96" s="283"/>
      <c r="AT96" s="283"/>
    </row>
    <row r="97" spans="1:46">
      <c r="A97" s="595"/>
      <c r="B97" s="242"/>
      <c r="C97" s="243"/>
      <c r="D97" s="283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283"/>
      <c r="S97" s="283"/>
      <c r="T97" s="283"/>
      <c r="U97" s="283"/>
      <c r="V97" s="283"/>
      <c r="W97" s="283"/>
      <c r="X97" s="283"/>
      <c r="Y97" s="283"/>
      <c r="Z97" s="283"/>
      <c r="AA97" s="283"/>
      <c r="AB97" s="283"/>
      <c r="AC97" s="283"/>
      <c r="AD97" s="283"/>
      <c r="AE97" s="283"/>
      <c r="AF97" s="283"/>
      <c r="AG97" s="283"/>
      <c r="AH97" s="283"/>
      <c r="AI97" s="283"/>
      <c r="AJ97" s="283"/>
      <c r="AK97" s="283"/>
      <c r="AL97" s="283"/>
      <c r="AM97" s="283"/>
      <c r="AN97" s="283"/>
      <c r="AO97" s="283"/>
      <c r="AP97" s="283"/>
      <c r="AQ97" s="283"/>
      <c r="AR97" s="283"/>
      <c r="AS97" s="283"/>
      <c r="AT97" s="283"/>
    </row>
    <row r="98" spans="1:46">
      <c r="A98" s="595"/>
      <c r="B98" s="242"/>
      <c r="C98" s="243"/>
      <c r="D98" s="283"/>
      <c r="E98" s="283"/>
      <c r="F98" s="283"/>
      <c r="G98" s="283"/>
      <c r="H98" s="283"/>
      <c r="I98" s="283"/>
      <c r="J98" s="283"/>
      <c r="K98" s="283"/>
      <c r="L98" s="283"/>
      <c r="M98" s="283"/>
      <c r="N98" s="283"/>
      <c r="O98" s="283"/>
      <c r="P98" s="283"/>
      <c r="Q98" s="283"/>
      <c r="R98" s="283"/>
      <c r="S98" s="283"/>
      <c r="T98" s="283"/>
      <c r="U98" s="283"/>
      <c r="V98" s="283"/>
      <c r="W98" s="283"/>
      <c r="X98" s="283"/>
      <c r="Y98" s="283"/>
      <c r="Z98" s="283"/>
      <c r="AA98" s="283"/>
      <c r="AB98" s="283"/>
      <c r="AC98" s="283"/>
      <c r="AD98" s="283"/>
      <c r="AE98" s="283"/>
      <c r="AF98" s="283"/>
      <c r="AG98" s="283"/>
      <c r="AH98" s="283"/>
      <c r="AI98" s="283"/>
      <c r="AJ98" s="283"/>
      <c r="AK98" s="283"/>
      <c r="AL98" s="283"/>
      <c r="AM98" s="283"/>
      <c r="AN98" s="283"/>
      <c r="AO98" s="283"/>
      <c r="AP98" s="283"/>
      <c r="AQ98" s="283"/>
      <c r="AR98" s="283"/>
      <c r="AS98" s="283"/>
      <c r="AT98" s="283"/>
    </row>
    <row r="99" spans="1:46">
      <c r="A99" s="595"/>
      <c r="B99" s="242"/>
      <c r="C99" s="243"/>
      <c r="D99" s="283"/>
      <c r="E99" s="283"/>
      <c r="F99" s="283"/>
      <c r="G99" s="283"/>
      <c r="H99" s="283"/>
      <c r="I99" s="283"/>
      <c r="J99" s="283"/>
      <c r="K99" s="283"/>
      <c r="L99" s="283"/>
      <c r="M99" s="283"/>
      <c r="N99" s="283"/>
      <c r="O99" s="283"/>
      <c r="P99" s="283"/>
      <c r="Q99" s="283"/>
      <c r="R99" s="283"/>
      <c r="S99" s="283"/>
      <c r="T99" s="283"/>
      <c r="U99" s="283"/>
      <c r="V99" s="283"/>
      <c r="W99" s="283"/>
      <c r="X99" s="283"/>
      <c r="Y99" s="283"/>
      <c r="Z99" s="283"/>
      <c r="AA99" s="283"/>
      <c r="AB99" s="283"/>
      <c r="AC99" s="283"/>
      <c r="AD99" s="283"/>
      <c r="AE99" s="283"/>
      <c r="AF99" s="283"/>
      <c r="AG99" s="283"/>
      <c r="AH99" s="283"/>
      <c r="AI99" s="283"/>
      <c r="AJ99" s="283"/>
      <c r="AK99" s="283"/>
      <c r="AL99" s="283"/>
      <c r="AM99" s="283"/>
      <c r="AN99" s="283"/>
      <c r="AO99" s="283"/>
      <c r="AP99" s="283"/>
      <c r="AQ99" s="283"/>
      <c r="AR99" s="283"/>
      <c r="AS99" s="283"/>
      <c r="AT99" s="283"/>
    </row>
    <row r="100" spans="1:46">
      <c r="A100" s="595"/>
      <c r="B100" s="242"/>
      <c r="C100" s="243"/>
      <c r="D100" s="283"/>
      <c r="E100" s="283"/>
      <c r="F100" s="283"/>
      <c r="G100" s="283"/>
      <c r="H100" s="283"/>
      <c r="I100" s="283"/>
      <c r="J100" s="283"/>
      <c r="K100" s="283"/>
      <c r="L100" s="283"/>
      <c r="M100" s="283"/>
      <c r="N100" s="283"/>
      <c r="O100" s="283"/>
      <c r="P100" s="283"/>
      <c r="Q100" s="283"/>
      <c r="R100" s="283"/>
      <c r="S100" s="283"/>
      <c r="T100" s="283"/>
      <c r="U100" s="283"/>
      <c r="V100" s="283"/>
      <c r="W100" s="283"/>
      <c r="X100" s="283"/>
      <c r="Y100" s="283"/>
      <c r="Z100" s="283"/>
      <c r="AA100" s="283"/>
      <c r="AB100" s="283"/>
      <c r="AC100" s="283"/>
      <c r="AD100" s="283"/>
      <c r="AE100" s="283"/>
      <c r="AF100" s="283"/>
      <c r="AG100" s="283"/>
      <c r="AH100" s="283"/>
      <c r="AI100" s="283"/>
      <c r="AJ100" s="283"/>
      <c r="AK100" s="283"/>
      <c r="AL100" s="283"/>
      <c r="AM100" s="283"/>
      <c r="AN100" s="283"/>
      <c r="AO100" s="283"/>
      <c r="AP100" s="283"/>
      <c r="AQ100" s="283"/>
      <c r="AR100" s="283"/>
      <c r="AS100" s="283"/>
      <c r="AT100" s="283"/>
    </row>
    <row r="101" spans="1:46">
      <c r="A101" s="595"/>
      <c r="B101" s="242"/>
      <c r="C101" s="243"/>
      <c r="D101" s="283"/>
      <c r="E101" s="283"/>
      <c r="F101" s="283"/>
      <c r="G101" s="283"/>
      <c r="H101" s="283"/>
      <c r="I101" s="283"/>
      <c r="J101" s="283"/>
      <c r="K101" s="283"/>
      <c r="L101" s="283"/>
      <c r="M101" s="283"/>
      <c r="N101" s="283"/>
      <c r="O101" s="283"/>
      <c r="P101" s="283"/>
      <c r="Q101" s="283"/>
      <c r="R101" s="283"/>
      <c r="S101" s="283"/>
      <c r="T101" s="283"/>
      <c r="U101" s="283"/>
      <c r="V101" s="283"/>
      <c r="W101" s="283"/>
      <c r="X101" s="283"/>
      <c r="Y101" s="283"/>
      <c r="Z101" s="283"/>
      <c r="AA101" s="283"/>
      <c r="AB101" s="283"/>
      <c r="AC101" s="283"/>
      <c r="AD101" s="283"/>
      <c r="AE101" s="283"/>
      <c r="AF101" s="283"/>
      <c r="AG101" s="283"/>
      <c r="AH101" s="283"/>
      <c r="AI101" s="283"/>
      <c r="AJ101" s="283"/>
      <c r="AK101" s="283"/>
      <c r="AL101" s="283"/>
      <c r="AM101" s="283"/>
      <c r="AN101" s="283"/>
      <c r="AO101" s="283"/>
      <c r="AP101" s="283"/>
      <c r="AQ101" s="283"/>
      <c r="AR101" s="283"/>
      <c r="AS101" s="283"/>
      <c r="AT101" s="283"/>
    </row>
    <row r="102" spans="1:46">
      <c r="A102" s="595"/>
      <c r="B102" s="242"/>
      <c r="C102" s="243"/>
      <c r="D102" s="283"/>
      <c r="E102" s="283"/>
    </row>
    <row r="103" spans="1:46">
      <c r="A103" s="595"/>
      <c r="B103" s="242"/>
      <c r="C103" s="243"/>
      <c r="D103" s="283"/>
      <c r="E103" s="283"/>
    </row>
    <row r="104" spans="1:46">
      <c r="A104" s="595"/>
      <c r="B104" s="242"/>
      <c r="C104" s="243"/>
      <c r="D104" s="283"/>
      <c r="E104" s="283"/>
    </row>
    <row r="105" spans="1:46">
      <c r="A105" s="595"/>
      <c r="B105" s="242"/>
      <c r="C105" s="243"/>
      <c r="D105" s="283"/>
      <c r="E105" s="283"/>
    </row>
    <row r="106" spans="1:46">
      <c r="A106" s="595"/>
      <c r="B106" s="242"/>
      <c r="C106" s="243"/>
      <c r="D106" s="283"/>
      <c r="E106" s="283"/>
    </row>
    <row r="107" spans="1:46">
      <c r="A107" s="595"/>
      <c r="B107" s="242"/>
      <c r="C107" s="243"/>
      <c r="D107" s="283"/>
      <c r="E107" s="283"/>
    </row>
    <row r="108" spans="1:46">
      <c r="A108" s="595"/>
      <c r="B108" s="242"/>
      <c r="C108" s="243"/>
      <c r="D108" s="283"/>
      <c r="E108" s="283"/>
    </row>
    <row r="109" spans="1:46">
      <c r="A109" s="595"/>
      <c r="B109" s="242"/>
      <c r="C109" s="243"/>
      <c r="D109" s="283"/>
      <c r="E109" s="283"/>
    </row>
    <row r="110" spans="1:46">
      <c r="A110" s="595"/>
      <c r="B110" s="242"/>
      <c r="C110" s="243"/>
      <c r="D110" s="283"/>
      <c r="E110" s="283"/>
    </row>
    <row r="111" spans="1:46">
      <c r="A111" s="595"/>
      <c r="B111" s="242"/>
      <c r="C111" s="243"/>
      <c r="D111" s="283"/>
      <c r="E111" s="283"/>
    </row>
    <row r="112" spans="1:46">
      <c r="A112" s="595"/>
      <c r="B112" s="242"/>
      <c r="C112" s="243"/>
      <c r="D112" s="283"/>
      <c r="E112" s="283"/>
    </row>
    <row r="113" spans="1:5">
      <c r="A113" s="595"/>
      <c r="B113" s="242"/>
      <c r="C113" s="243"/>
      <c r="D113" s="283"/>
      <c r="E113" s="283"/>
    </row>
    <row r="114" spans="1:5">
      <c r="A114" s="595"/>
      <c r="B114" s="242"/>
      <c r="C114" s="243"/>
      <c r="D114" s="283"/>
      <c r="E114" s="283"/>
    </row>
    <row r="115" spans="1:5">
      <c r="A115" s="595"/>
      <c r="B115" s="242"/>
      <c r="C115" s="243"/>
      <c r="D115" s="283"/>
      <c r="E115" s="283"/>
    </row>
    <row r="116" spans="1:5">
      <c r="A116" s="595"/>
      <c r="B116" s="242"/>
      <c r="C116" s="243"/>
      <c r="D116" s="283"/>
      <c r="E116" s="283"/>
    </row>
    <row r="117" spans="1:5">
      <c r="A117" s="595"/>
      <c r="B117" s="242"/>
      <c r="C117" s="243"/>
      <c r="D117" s="283"/>
      <c r="E117" s="283"/>
    </row>
    <row r="118" spans="1:5">
      <c r="A118" s="595"/>
      <c r="B118" s="242"/>
      <c r="C118" s="243"/>
      <c r="D118" s="283"/>
      <c r="E118" s="283"/>
    </row>
    <row r="119" spans="1:5">
      <c r="A119" s="595"/>
      <c r="B119" s="242"/>
      <c r="C119" s="243"/>
      <c r="D119" s="283"/>
      <c r="E119" s="283"/>
    </row>
    <row r="120" spans="1:5">
      <c r="A120" s="595"/>
      <c r="B120" s="242"/>
      <c r="C120" s="243"/>
      <c r="D120" s="283"/>
      <c r="E120" s="283"/>
    </row>
    <row r="121" spans="1:5">
      <c r="A121" s="595"/>
      <c r="B121" s="242"/>
      <c r="C121" s="243"/>
      <c r="D121" s="283"/>
      <c r="E121" s="283"/>
    </row>
    <row r="122" spans="1:5">
      <c r="A122" s="595"/>
      <c r="B122" s="242"/>
      <c r="C122" s="243"/>
      <c r="D122" s="283"/>
      <c r="E122" s="283"/>
    </row>
    <row r="123" spans="1:5">
      <c r="A123" s="595"/>
      <c r="B123" s="242"/>
      <c r="C123" s="243"/>
      <c r="D123" s="283"/>
      <c r="E123" s="283"/>
    </row>
    <row r="124" spans="1:5">
      <c r="A124" s="595"/>
      <c r="B124" s="242"/>
      <c r="C124" s="243"/>
      <c r="D124" s="283"/>
      <c r="E124" s="283"/>
    </row>
    <row r="125" spans="1:5">
      <c r="A125" s="595"/>
      <c r="B125" s="242"/>
      <c r="C125" s="243"/>
      <c r="D125" s="283"/>
      <c r="E125" s="283"/>
    </row>
    <row r="126" spans="1:5">
      <c r="A126" s="595"/>
      <c r="B126" s="242"/>
      <c r="C126" s="243"/>
      <c r="D126" s="283"/>
      <c r="E126" s="283"/>
    </row>
    <row r="127" spans="1:5">
      <c r="A127" s="595"/>
      <c r="B127" s="242"/>
      <c r="C127" s="243"/>
      <c r="D127" s="283"/>
      <c r="E127" s="283"/>
    </row>
    <row r="128" spans="1:5">
      <c r="A128" s="595"/>
      <c r="B128" s="242"/>
      <c r="C128" s="243"/>
      <c r="D128" s="283"/>
      <c r="E128" s="283"/>
    </row>
    <row r="129" spans="1:5">
      <c r="A129" s="595"/>
      <c r="B129" s="242"/>
      <c r="C129" s="243"/>
      <c r="D129" s="283"/>
      <c r="E129" s="283"/>
    </row>
    <row r="130" spans="1:5">
      <c r="A130" s="595"/>
      <c r="B130" s="242"/>
      <c r="C130" s="243"/>
      <c r="D130" s="283"/>
      <c r="E130" s="283"/>
    </row>
    <row r="131" spans="1:5">
      <c r="A131" s="595"/>
      <c r="B131" s="242"/>
      <c r="C131" s="243"/>
      <c r="D131" s="283"/>
      <c r="E131" s="283"/>
    </row>
    <row r="132" spans="1:5">
      <c r="A132" s="595"/>
      <c r="B132" s="242"/>
      <c r="C132" s="243"/>
      <c r="D132" s="283"/>
      <c r="E132" s="283"/>
    </row>
    <row r="133" spans="1:5">
      <c r="A133" s="595"/>
      <c r="B133" s="242"/>
      <c r="C133" s="243"/>
      <c r="D133" s="283"/>
      <c r="E133" s="283"/>
    </row>
    <row r="134" spans="1:5">
      <c r="A134" s="595"/>
      <c r="B134" s="242"/>
      <c r="C134" s="243"/>
      <c r="D134" s="283"/>
      <c r="E134" s="283"/>
    </row>
    <row r="135" spans="1:5">
      <c r="A135" s="595"/>
      <c r="B135" s="242"/>
      <c r="C135" s="243"/>
      <c r="D135" s="283"/>
      <c r="E135" s="283"/>
    </row>
    <row r="136" spans="1:5">
      <c r="A136" s="595"/>
      <c r="B136" s="242"/>
      <c r="C136" s="243"/>
      <c r="D136" s="283"/>
      <c r="E136" s="283"/>
    </row>
    <row r="137" spans="1:5">
      <c r="A137" s="595"/>
      <c r="B137" s="242"/>
      <c r="C137" s="243"/>
      <c r="D137" s="283"/>
      <c r="E137" s="283"/>
    </row>
    <row r="138" spans="1:5">
      <c r="A138" s="595"/>
      <c r="B138" s="242"/>
      <c r="C138" s="243"/>
      <c r="D138" s="283"/>
      <c r="E138" s="283"/>
    </row>
    <row r="139" spans="1:5">
      <c r="A139" s="595"/>
      <c r="B139" s="242"/>
      <c r="C139" s="243"/>
      <c r="D139" s="283"/>
      <c r="E139" s="283"/>
    </row>
    <row r="140" spans="1:5">
      <c r="A140" s="595"/>
      <c r="B140" s="242"/>
      <c r="C140" s="243"/>
      <c r="D140" s="283"/>
      <c r="E140" s="283"/>
    </row>
    <row r="141" spans="1:5">
      <c r="A141" s="595"/>
      <c r="B141" s="242"/>
      <c r="C141" s="243"/>
      <c r="D141" s="283"/>
      <c r="E141" s="283"/>
    </row>
    <row r="142" spans="1:5">
      <c r="A142" s="595"/>
      <c r="B142" s="242"/>
      <c r="C142" s="243"/>
      <c r="D142" s="283"/>
      <c r="E142" s="283"/>
    </row>
    <row r="143" spans="1:5">
      <c r="A143" s="595"/>
      <c r="B143" s="242"/>
      <c r="C143" s="243"/>
      <c r="D143" s="283"/>
      <c r="E143" s="283"/>
    </row>
    <row r="144" spans="1:5">
      <c r="A144" s="595"/>
      <c r="B144" s="242"/>
      <c r="C144" s="243"/>
      <c r="D144" s="283"/>
      <c r="E144" s="283"/>
    </row>
    <row r="145" spans="1:5">
      <c r="A145" s="595"/>
      <c r="B145" s="242"/>
      <c r="C145" s="243"/>
      <c r="D145" s="283"/>
      <c r="E145" s="283"/>
    </row>
    <row r="146" spans="1:5">
      <c r="A146" s="595"/>
      <c r="B146" s="242"/>
      <c r="C146" s="243"/>
      <c r="D146" s="283"/>
      <c r="E146" s="283"/>
    </row>
    <row r="147" spans="1:5">
      <c r="A147" s="595"/>
      <c r="B147" s="242"/>
      <c r="C147" s="243"/>
      <c r="D147" s="283"/>
      <c r="E147" s="283"/>
    </row>
    <row r="148" spans="1:5">
      <c r="A148" s="595"/>
      <c r="B148" s="242"/>
      <c r="C148" s="243"/>
      <c r="D148" s="283"/>
      <c r="E148" s="283"/>
    </row>
    <row r="149" spans="1:5">
      <c r="A149" s="595"/>
      <c r="B149" s="242"/>
      <c r="C149" s="243"/>
      <c r="D149" s="283"/>
      <c r="E149" s="283"/>
    </row>
    <row r="150" spans="1:5">
      <c r="A150" s="595"/>
      <c r="B150" s="242"/>
      <c r="C150" s="243"/>
      <c r="D150" s="283"/>
      <c r="E150" s="283"/>
    </row>
    <row r="151" spans="1:5">
      <c r="A151" s="595"/>
      <c r="B151" s="242"/>
      <c r="C151" s="243"/>
      <c r="D151" s="283"/>
      <c r="E151" s="283"/>
    </row>
    <row r="152" spans="1:5">
      <c r="A152" s="595"/>
      <c r="B152" s="242"/>
      <c r="C152" s="243"/>
      <c r="D152" s="283"/>
      <c r="E152" s="283"/>
    </row>
    <row r="153" spans="1:5">
      <c r="A153" s="595"/>
      <c r="B153" s="242"/>
      <c r="C153" s="243"/>
      <c r="D153" s="283"/>
      <c r="E153" s="283"/>
    </row>
    <row r="154" spans="1:5">
      <c r="A154" s="595"/>
      <c r="B154" s="242"/>
      <c r="C154" s="243"/>
      <c r="D154" s="283"/>
      <c r="E154" s="283"/>
    </row>
    <row r="155" spans="1:5">
      <c r="A155" s="595"/>
      <c r="B155" s="242"/>
      <c r="C155" s="243"/>
      <c r="D155" s="283"/>
      <c r="E155" s="283"/>
    </row>
    <row r="156" spans="1:5">
      <c r="A156" s="595"/>
      <c r="B156" s="242"/>
      <c r="C156" s="243"/>
      <c r="D156" s="283"/>
      <c r="E156" s="283"/>
    </row>
    <row r="157" spans="1:5">
      <c r="A157" s="595"/>
      <c r="B157" s="242"/>
      <c r="C157" s="243"/>
      <c r="D157" s="283"/>
      <c r="E157" s="283"/>
    </row>
    <row r="158" spans="1:5">
      <c r="A158" s="595"/>
      <c r="B158" s="242"/>
      <c r="C158" s="243"/>
      <c r="D158" s="283"/>
      <c r="E158" s="283"/>
    </row>
    <row r="159" spans="1:5">
      <c r="A159" s="595"/>
      <c r="B159" s="242"/>
      <c r="C159" s="243"/>
      <c r="D159" s="283"/>
      <c r="E159" s="283"/>
    </row>
    <row r="160" spans="1:5">
      <c r="A160" s="595"/>
      <c r="B160" s="242"/>
      <c r="C160" s="243"/>
      <c r="D160" s="283"/>
      <c r="E160" s="283"/>
    </row>
    <row r="161" spans="1:5">
      <c r="A161" s="595"/>
      <c r="B161" s="242"/>
      <c r="C161" s="243"/>
      <c r="D161" s="283"/>
      <c r="E161" s="283"/>
    </row>
    <row r="162" spans="1:5">
      <c r="A162" s="595"/>
      <c r="B162" s="242"/>
      <c r="C162" s="243"/>
      <c r="D162" s="283"/>
      <c r="E162" s="283"/>
    </row>
    <row r="163" spans="1:5">
      <c r="A163" s="595"/>
      <c r="B163" s="242"/>
      <c r="C163" s="243"/>
      <c r="D163" s="283"/>
      <c r="E163" s="283"/>
    </row>
    <row r="164" spans="1:5">
      <c r="A164" s="595"/>
      <c r="B164" s="242"/>
      <c r="C164" s="243"/>
      <c r="D164" s="283"/>
      <c r="E164" s="283"/>
    </row>
    <row r="165" spans="1:5">
      <c r="A165" s="595"/>
      <c r="B165" s="242"/>
      <c r="C165" s="243"/>
      <c r="D165" s="283"/>
      <c r="E165" s="283"/>
    </row>
    <row r="166" spans="1:5">
      <c r="A166" s="595"/>
      <c r="B166" s="242"/>
      <c r="C166" s="243"/>
      <c r="D166" s="283"/>
      <c r="E166" s="283"/>
    </row>
    <row r="167" spans="1:5">
      <c r="A167" s="595"/>
      <c r="B167" s="242"/>
      <c r="C167" s="243"/>
      <c r="D167" s="283"/>
      <c r="E167" s="283"/>
    </row>
    <row r="168" spans="1:5">
      <c r="A168" s="595"/>
      <c r="B168" s="242"/>
      <c r="C168" s="243"/>
      <c r="D168" s="283"/>
      <c r="E168" s="283"/>
    </row>
    <row r="169" spans="1:5">
      <c r="A169" s="595"/>
      <c r="B169" s="242"/>
      <c r="C169" s="243"/>
      <c r="D169" s="283"/>
      <c r="E169" s="283"/>
    </row>
    <row r="170" spans="1:5">
      <c r="A170" s="595"/>
      <c r="B170" s="242"/>
      <c r="C170" s="243"/>
      <c r="D170" s="283"/>
      <c r="E170" s="283"/>
    </row>
    <row r="171" spans="1:5">
      <c r="A171" s="595"/>
      <c r="B171" s="242"/>
      <c r="C171" s="243"/>
      <c r="D171" s="283"/>
      <c r="E171" s="283"/>
    </row>
    <row r="172" spans="1:5">
      <c r="A172" s="595"/>
      <c r="B172" s="242"/>
      <c r="C172" s="243"/>
      <c r="D172" s="283"/>
      <c r="E172" s="283"/>
    </row>
    <row r="173" spans="1:5">
      <c r="A173" s="595"/>
      <c r="B173" s="242"/>
      <c r="C173" s="243"/>
      <c r="D173" s="283"/>
      <c r="E173" s="283"/>
    </row>
    <row r="174" spans="1:5">
      <c r="A174" s="595"/>
      <c r="B174" s="242"/>
      <c r="C174" s="243"/>
      <c r="D174" s="283"/>
      <c r="E174" s="283"/>
    </row>
    <row r="175" spans="1:5">
      <c r="A175" s="595"/>
      <c r="B175" s="242"/>
      <c r="C175" s="243"/>
      <c r="D175" s="283"/>
      <c r="E175" s="283"/>
    </row>
    <row r="176" spans="1:5">
      <c r="A176" s="595"/>
      <c r="B176" s="242"/>
      <c r="C176" s="243"/>
      <c r="D176" s="283"/>
      <c r="E176" s="283"/>
    </row>
    <row r="177" spans="1:5">
      <c r="A177" s="595"/>
      <c r="B177" s="242"/>
      <c r="C177" s="243"/>
      <c r="D177" s="283"/>
      <c r="E177" s="283"/>
    </row>
    <row r="178" spans="1:5">
      <c r="A178" s="595"/>
      <c r="B178" s="242"/>
      <c r="C178" s="243"/>
      <c r="D178" s="283"/>
      <c r="E178" s="283"/>
    </row>
    <row r="179" spans="1:5">
      <c r="A179" s="595"/>
      <c r="B179" s="242"/>
      <c r="C179" s="243"/>
      <c r="D179" s="283"/>
      <c r="E179" s="283"/>
    </row>
    <row r="180" spans="1:5">
      <c r="A180" s="595"/>
      <c r="B180" s="242"/>
      <c r="C180" s="243"/>
      <c r="D180" s="283"/>
      <c r="E180" s="283"/>
    </row>
    <row r="181" spans="1:5">
      <c r="A181" s="595"/>
      <c r="B181" s="242"/>
      <c r="C181" s="243"/>
      <c r="D181" s="283"/>
      <c r="E181" s="283"/>
    </row>
    <row r="182" spans="1:5">
      <c r="A182" s="595"/>
      <c r="B182" s="242"/>
      <c r="C182" s="243"/>
      <c r="D182" s="283"/>
      <c r="E182" s="283"/>
    </row>
    <row r="183" spans="1:5">
      <c r="A183" s="595"/>
      <c r="B183" s="242"/>
      <c r="C183" s="243"/>
      <c r="D183" s="283"/>
      <c r="E183" s="283"/>
    </row>
    <row r="184" spans="1:5">
      <c r="A184" s="595"/>
      <c r="B184" s="242"/>
      <c r="C184" s="243"/>
      <c r="D184" s="283"/>
      <c r="E184" s="283"/>
    </row>
    <row r="185" spans="1:5">
      <c r="A185" s="595"/>
      <c r="B185" s="242"/>
      <c r="C185" s="243"/>
      <c r="D185" s="283"/>
      <c r="E185" s="283"/>
    </row>
    <row r="186" spans="1:5">
      <c r="A186" s="595"/>
      <c r="B186" s="242"/>
      <c r="C186" s="243"/>
      <c r="D186" s="283"/>
      <c r="E186" s="283"/>
    </row>
    <row r="187" spans="1:5">
      <c r="A187" s="595"/>
      <c r="B187" s="242"/>
      <c r="C187" s="243"/>
      <c r="D187" s="283"/>
      <c r="E187" s="283"/>
    </row>
    <row r="188" spans="1:5">
      <c r="A188" s="595"/>
      <c r="B188" s="242"/>
      <c r="C188" s="243"/>
      <c r="D188" s="283"/>
      <c r="E188" s="283"/>
    </row>
    <row r="189" spans="1:5">
      <c r="A189" s="595"/>
      <c r="B189" s="242"/>
      <c r="C189" s="243"/>
      <c r="D189" s="283"/>
      <c r="E189" s="283"/>
    </row>
    <row r="190" spans="1:5">
      <c r="A190" s="595"/>
      <c r="B190" s="242"/>
      <c r="C190" s="243"/>
      <c r="D190" s="283"/>
      <c r="E190" s="283"/>
    </row>
    <row r="191" spans="1:5">
      <c r="A191" s="595"/>
      <c r="B191" s="242"/>
      <c r="C191" s="243"/>
      <c r="D191" s="283"/>
      <c r="E191" s="283"/>
    </row>
    <row r="192" spans="1:5">
      <c r="A192" s="595"/>
      <c r="B192" s="242"/>
      <c r="C192" s="243"/>
      <c r="D192" s="283"/>
      <c r="E192" s="283"/>
    </row>
    <row r="193" spans="1:5">
      <c r="A193" s="595"/>
      <c r="B193" s="242"/>
      <c r="C193" s="243"/>
      <c r="D193" s="283"/>
      <c r="E193" s="283"/>
    </row>
    <row r="194" spans="1:5">
      <c r="A194" s="595"/>
      <c r="B194" s="242"/>
      <c r="C194" s="243"/>
      <c r="D194" s="283"/>
      <c r="E194" s="283"/>
    </row>
    <row r="195" spans="1:5">
      <c r="A195" s="595"/>
      <c r="B195" s="242"/>
      <c r="C195" s="243"/>
      <c r="D195" s="283"/>
      <c r="E195" s="283"/>
    </row>
    <row r="196" spans="1:5">
      <c r="A196" s="595"/>
      <c r="B196" s="242"/>
      <c r="C196" s="243"/>
      <c r="D196" s="283"/>
      <c r="E196" s="283"/>
    </row>
    <row r="197" spans="1:5">
      <c r="A197" s="595"/>
      <c r="B197" s="242"/>
      <c r="C197" s="243"/>
      <c r="D197" s="283"/>
      <c r="E197" s="283"/>
    </row>
    <row r="198" spans="1:5">
      <c r="A198" s="595"/>
      <c r="B198" s="242"/>
      <c r="C198" s="243"/>
      <c r="D198" s="283"/>
      <c r="E198" s="283"/>
    </row>
    <row r="199" spans="1:5">
      <c r="A199" s="595"/>
      <c r="B199" s="242"/>
      <c r="C199" s="243"/>
      <c r="D199" s="283"/>
      <c r="E199" s="283"/>
    </row>
    <row r="200" spans="1:5">
      <c r="A200" s="595"/>
      <c r="B200" s="242"/>
      <c r="C200" s="243"/>
      <c r="D200" s="283"/>
      <c r="E200" s="283"/>
    </row>
    <row r="201" spans="1:5">
      <c r="A201" s="595"/>
      <c r="B201" s="242"/>
      <c r="C201" s="243"/>
      <c r="D201" s="283"/>
      <c r="E201" s="283"/>
    </row>
    <row r="202" spans="1:5">
      <c r="A202" s="595"/>
      <c r="B202" s="242"/>
      <c r="C202" s="243"/>
      <c r="D202" s="283"/>
      <c r="E202" s="283"/>
    </row>
    <row r="203" spans="1:5">
      <c r="A203" s="595"/>
      <c r="B203" s="242"/>
      <c r="C203" s="243"/>
      <c r="D203" s="283"/>
      <c r="E203" s="283"/>
    </row>
    <row r="204" spans="1:5">
      <c r="A204" s="595"/>
      <c r="B204" s="242"/>
      <c r="C204" s="243"/>
      <c r="D204" s="283"/>
      <c r="E204" s="283"/>
    </row>
    <row r="205" spans="1:5">
      <c r="A205" s="595"/>
      <c r="B205" s="242"/>
      <c r="C205" s="243"/>
      <c r="D205" s="283"/>
      <c r="E205" s="283"/>
    </row>
    <row r="206" spans="1:5">
      <c r="A206" s="595"/>
      <c r="B206" s="242"/>
      <c r="C206" s="243"/>
      <c r="D206" s="283"/>
      <c r="E206" s="283"/>
    </row>
    <row r="207" spans="1:5">
      <c r="A207" s="595"/>
      <c r="B207" s="242"/>
      <c r="C207" s="243"/>
      <c r="D207" s="283"/>
      <c r="E207" s="283"/>
    </row>
    <row r="208" spans="1:5">
      <c r="A208" s="595"/>
      <c r="B208" s="242"/>
      <c r="C208" s="243"/>
      <c r="D208" s="283"/>
      <c r="E208" s="283"/>
    </row>
    <row r="209" spans="1:5">
      <c r="A209" s="595"/>
      <c r="B209" s="242"/>
      <c r="C209" s="243"/>
      <c r="D209" s="283"/>
      <c r="E209" s="283"/>
    </row>
    <row r="210" spans="1:5">
      <c r="A210" s="595"/>
      <c r="B210" s="242"/>
      <c r="C210" s="243"/>
      <c r="D210" s="283"/>
      <c r="E210" s="283"/>
    </row>
    <row r="211" spans="1:5">
      <c r="A211" s="595"/>
      <c r="B211" s="242"/>
      <c r="C211" s="243"/>
      <c r="D211" s="283"/>
      <c r="E211" s="283"/>
    </row>
    <row r="212" spans="1:5">
      <c r="A212" s="595"/>
      <c r="B212" s="242"/>
      <c r="C212" s="243"/>
      <c r="D212" s="283"/>
      <c r="E212" s="283"/>
    </row>
    <row r="213" spans="1:5">
      <c r="A213" s="595"/>
      <c r="B213" s="242"/>
      <c r="C213" s="243"/>
      <c r="D213" s="283"/>
      <c r="E213" s="283"/>
    </row>
    <row r="214" spans="1:5">
      <c r="A214" s="595"/>
      <c r="B214" s="242"/>
      <c r="C214" s="243"/>
      <c r="D214" s="283"/>
      <c r="E214" s="283"/>
    </row>
    <row r="215" spans="1:5">
      <c r="A215" s="595"/>
      <c r="B215" s="242"/>
      <c r="C215" s="243"/>
      <c r="D215" s="283"/>
      <c r="E215" s="283"/>
    </row>
    <row r="216" spans="1:5">
      <c r="A216" s="595"/>
      <c r="B216" s="242"/>
      <c r="C216" s="243"/>
      <c r="D216" s="283"/>
      <c r="E216" s="283"/>
    </row>
    <row r="217" spans="1:5">
      <c r="A217" s="595"/>
      <c r="B217" s="242"/>
      <c r="C217" s="243"/>
      <c r="D217" s="283"/>
      <c r="E217" s="283"/>
    </row>
    <row r="218" spans="1:5">
      <c r="A218" s="595"/>
      <c r="B218" s="242"/>
      <c r="C218" s="243"/>
      <c r="D218" s="283"/>
      <c r="E218" s="283"/>
    </row>
    <row r="219" spans="1:5">
      <c r="A219" s="595"/>
      <c r="B219" s="242"/>
      <c r="C219" s="243"/>
      <c r="D219" s="283"/>
      <c r="E219" s="283"/>
    </row>
    <row r="220" spans="1:5">
      <c r="A220" s="595"/>
      <c r="B220" s="242"/>
      <c r="C220" s="243"/>
      <c r="D220" s="283"/>
      <c r="E220" s="283"/>
    </row>
    <row r="221" spans="1:5">
      <c r="A221" s="595"/>
      <c r="B221" s="242"/>
      <c r="C221" s="243"/>
      <c r="D221" s="283"/>
      <c r="E221" s="283"/>
    </row>
    <row r="222" spans="1:5">
      <c r="A222" s="595"/>
      <c r="B222" s="242"/>
      <c r="C222" s="243"/>
      <c r="D222" s="283"/>
      <c r="E222" s="283"/>
    </row>
    <row r="223" spans="1:5">
      <c r="A223" s="595"/>
      <c r="B223" s="242"/>
      <c r="C223" s="243"/>
      <c r="D223" s="283"/>
      <c r="E223" s="283"/>
    </row>
    <row r="224" spans="1:5">
      <c r="A224" s="595"/>
      <c r="B224" s="242"/>
      <c r="C224" s="243"/>
      <c r="D224" s="283"/>
      <c r="E224" s="283"/>
    </row>
    <row r="225" spans="1:5">
      <c r="A225" s="595"/>
      <c r="B225" s="242"/>
      <c r="C225" s="243"/>
      <c r="D225" s="283"/>
      <c r="E225" s="283"/>
    </row>
    <row r="226" spans="1:5">
      <c r="A226" s="595"/>
      <c r="B226" s="242"/>
      <c r="C226" s="243"/>
      <c r="D226" s="283"/>
      <c r="E226" s="283"/>
    </row>
    <row r="227" spans="1:5">
      <c r="A227" s="595"/>
      <c r="B227" s="242"/>
      <c r="C227" s="243"/>
      <c r="D227" s="283"/>
      <c r="E227" s="283"/>
    </row>
    <row r="228" spans="1:5">
      <c r="A228" s="595"/>
      <c r="B228" s="242"/>
      <c r="C228" s="243"/>
      <c r="D228" s="283"/>
      <c r="E228" s="283"/>
    </row>
    <row r="229" spans="1:5">
      <c r="A229" s="595"/>
      <c r="B229" s="242"/>
      <c r="C229" s="243"/>
      <c r="D229" s="283"/>
      <c r="E229" s="283"/>
    </row>
    <row r="230" spans="1:5">
      <c r="A230" s="595"/>
      <c r="B230" s="242"/>
      <c r="C230" s="243"/>
      <c r="D230" s="283"/>
      <c r="E230" s="283"/>
    </row>
    <row r="231" spans="1:5">
      <c r="A231" s="595"/>
      <c r="B231" s="242"/>
      <c r="C231" s="243"/>
      <c r="D231" s="283"/>
      <c r="E231" s="283"/>
    </row>
    <row r="232" spans="1:5">
      <c r="A232" s="595"/>
      <c r="B232" s="242"/>
      <c r="C232" s="243"/>
      <c r="D232" s="283"/>
      <c r="E232" s="283"/>
    </row>
    <row r="233" spans="1:5">
      <c r="A233" s="595"/>
      <c r="B233" s="242"/>
      <c r="C233" s="243"/>
      <c r="D233" s="283"/>
      <c r="E233" s="283"/>
    </row>
    <row r="234" spans="1:5">
      <c r="A234" s="595"/>
      <c r="B234" s="242"/>
      <c r="C234" s="243"/>
      <c r="D234" s="283"/>
      <c r="E234" s="283"/>
    </row>
    <row r="235" spans="1:5">
      <c r="A235" s="595"/>
      <c r="B235" s="242"/>
      <c r="C235" s="243"/>
      <c r="D235" s="283"/>
      <c r="E235" s="283"/>
    </row>
    <row r="236" spans="1:5">
      <c r="A236" s="595"/>
      <c r="B236" s="242"/>
      <c r="C236" s="243"/>
      <c r="D236" s="283"/>
      <c r="E236" s="283"/>
    </row>
    <row r="237" spans="1:5">
      <c r="A237" s="595"/>
      <c r="B237" s="242"/>
      <c r="C237" s="243"/>
      <c r="D237" s="283"/>
      <c r="E237" s="283"/>
    </row>
    <row r="238" spans="1:5">
      <c r="A238" s="595"/>
      <c r="B238" s="242"/>
      <c r="C238" s="243"/>
      <c r="D238" s="283"/>
      <c r="E238" s="283"/>
    </row>
    <row r="239" spans="1:5">
      <c r="A239" s="595"/>
      <c r="B239" s="242"/>
      <c r="C239" s="243"/>
      <c r="D239" s="283"/>
      <c r="E239" s="283"/>
    </row>
    <row r="240" spans="1:5">
      <c r="A240" s="595"/>
      <c r="B240" s="242"/>
      <c r="C240" s="243"/>
      <c r="D240" s="283"/>
      <c r="E240" s="283"/>
    </row>
    <row r="241" spans="1:5">
      <c r="A241" s="595"/>
      <c r="B241" s="242"/>
      <c r="C241" s="243"/>
      <c r="D241" s="283"/>
      <c r="E241" s="283"/>
    </row>
    <row r="242" spans="1:5">
      <c r="A242" s="595"/>
      <c r="B242" s="242"/>
      <c r="C242" s="243"/>
      <c r="D242" s="283"/>
      <c r="E242" s="283"/>
    </row>
    <row r="243" spans="1:5">
      <c r="A243" s="595"/>
      <c r="B243" s="242"/>
      <c r="C243" s="243"/>
      <c r="D243" s="283"/>
      <c r="E243" s="283"/>
    </row>
    <row r="244" spans="1:5">
      <c r="A244" s="595"/>
      <c r="B244" s="242"/>
      <c r="C244" s="243"/>
      <c r="D244" s="283"/>
      <c r="E244" s="283"/>
    </row>
    <row r="245" spans="1:5">
      <c r="A245" s="595"/>
      <c r="B245" s="242"/>
      <c r="C245" s="243"/>
    </row>
    <row r="246" spans="1:5">
      <c r="A246" s="595"/>
      <c r="B246" s="242"/>
      <c r="C246" s="243"/>
    </row>
    <row r="247" spans="1:5">
      <c r="A247" s="595"/>
      <c r="B247" s="242"/>
      <c r="C247" s="243"/>
    </row>
    <row r="248" spans="1:5">
      <c r="A248" s="595"/>
      <c r="B248" s="242"/>
      <c r="C248" s="243"/>
    </row>
    <row r="249" spans="1:5">
      <c r="A249" s="595"/>
      <c r="B249" s="242"/>
      <c r="C249" s="243"/>
    </row>
    <row r="250" spans="1:5">
      <c r="A250" s="595"/>
      <c r="B250" s="242"/>
      <c r="C250" s="243"/>
    </row>
  </sheetData>
  <mergeCells count="1">
    <mergeCell ref="D4:E4"/>
  </mergeCells>
  <printOptions horizontalCentered="1"/>
  <pageMargins left="0.98425196850393704" right="0.78740157480314965" top="0.98425196850393704" bottom="0.98425196850393704" header="0.51181102362204722" footer="0.51181102362204722"/>
  <pageSetup paperSize="9" scale="26" orientation="portrait" r:id="rId1"/>
  <headerFooter alignWithMargins="0"/>
  <colBreaks count="1" manualBreakCount="1">
    <brk id="31" max="38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Plan15">
    <tabColor theme="9" tint="-0.499984740745262"/>
    <pageSetUpPr fitToPage="1"/>
  </sheetPr>
  <dimension ref="A1:BF109"/>
  <sheetViews>
    <sheetView zoomScaleNormal="100" zoomScaleSheetLayoutView="100" workbookViewId="0">
      <selection activeCell="G6" sqref="G6"/>
    </sheetView>
  </sheetViews>
  <sheetFormatPr defaultRowHeight="12.75"/>
  <cols>
    <col min="1" max="1" width="2.85546875" style="616" customWidth="1"/>
    <col min="2" max="3" width="2.85546875" style="142" customWidth="1"/>
    <col min="4" max="5" width="7.140625" style="142" customWidth="1"/>
    <col min="6" max="6" width="13.5703125" style="142" customWidth="1"/>
    <col min="7" max="7" width="12.42578125" style="142" customWidth="1"/>
    <col min="8" max="8" width="11.5703125" style="142" customWidth="1"/>
    <col min="9" max="9" width="14" style="142" bestFit="1" customWidth="1"/>
    <col min="10" max="10" width="9.140625" style="142"/>
    <col min="11" max="11" width="11.85546875" style="142" customWidth="1"/>
    <col min="12" max="12" width="10.140625" style="142" customWidth="1"/>
    <col min="13" max="13" width="12.85546875" style="142" bestFit="1" customWidth="1"/>
    <col min="14" max="14" width="10.5703125" style="142" customWidth="1"/>
    <col min="15" max="15" width="35.140625" style="142" customWidth="1"/>
    <col min="16" max="259" width="9.140625" style="142"/>
    <col min="260" max="260" width="12.7109375" style="142" customWidth="1"/>
    <col min="261" max="262" width="9.140625" style="142"/>
    <col min="263" max="263" width="12.42578125" style="142" customWidth="1"/>
    <col min="264" max="264" width="9.140625" style="142"/>
    <col min="265" max="265" width="14" style="142" bestFit="1" customWidth="1"/>
    <col min="266" max="266" width="9.140625" style="142"/>
    <col min="267" max="267" width="13.7109375" style="142" customWidth="1"/>
    <col min="268" max="268" width="10.140625" style="142" customWidth="1"/>
    <col min="269" max="269" width="12.85546875" style="142" bestFit="1" customWidth="1"/>
    <col min="270" max="270" width="10.5703125" style="142" customWidth="1"/>
    <col min="271" max="271" width="35.140625" style="142" customWidth="1"/>
    <col min="272" max="515" width="9.140625" style="142"/>
    <col min="516" max="516" width="12.7109375" style="142" customWidth="1"/>
    <col min="517" max="518" width="9.140625" style="142"/>
    <col min="519" max="519" width="12.42578125" style="142" customWidth="1"/>
    <col min="520" max="520" width="9.140625" style="142"/>
    <col min="521" max="521" width="14" style="142" bestFit="1" customWidth="1"/>
    <col min="522" max="522" width="9.140625" style="142"/>
    <col min="523" max="523" width="13.7109375" style="142" customWidth="1"/>
    <col min="524" max="524" width="10.140625" style="142" customWidth="1"/>
    <col min="525" max="525" width="12.85546875" style="142" bestFit="1" customWidth="1"/>
    <col min="526" max="526" width="10.5703125" style="142" customWidth="1"/>
    <col min="527" max="527" width="35.140625" style="142" customWidth="1"/>
    <col min="528" max="771" width="9.140625" style="142"/>
    <col min="772" max="772" width="12.7109375" style="142" customWidth="1"/>
    <col min="773" max="774" width="9.140625" style="142"/>
    <col min="775" max="775" width="12.42578125" style="142" customWidth="1"/>
    <col min="776" max="776" width="9.140625" style="142"/>
    <col min="777" max="777" width="14" style="142" bestFit="1" customWidth="1"/>
    <col min="778" max="778" width="9.140625" style="142"/>
    <col min="779" max="779" width="13.7109375" style="142" customWidth="1"/>
    <col min="780" max="780" width="10.140625" style="142" customWidth="1"/>
    <col min="781" max="781" width="12.85546875" style="142" bestFit="1" customWidth="1"/>
    <col min="782" max="782" width="10.5703125" style="142" customWidth="1"/>
    <col min="783" max="783" width="35.140625" style="142" customWidth="1"/>
    <col min="784" max="1027" width="9.140625" style="142"/>
    <col min="1028" max="1028" width="12.7109375" style="142" customWidth="1"/>
    <col min="1029" max="1030" width="9.140625" style="142"/>
    <col min="1031" max="1031" width="12.42578125" style="142" customWidth="1"/>
    <col min="1032" max="1032" width="9.140625" style="142"/>
    <col min="1033" max="1033" width="14" style="142" bestFit="1" customWidth="1"/>
    <col min="1034" max="1034" width="9.140625" style="142"/>
    <col min="1035" max="1035" width="13.7109375" style="142" customWidth="1"/>
    <col min="1036" max="1036" width="10.140625" style="142" customWidth="1"/>
    <col min="1037" max="1037" width="12.85546875" style="142" bestFit="1" customWidth="1"/>
    <col min="1038" max="1038" width="10.5703125" style="142" customWidth="1"/>
    <col min="1039" max="1039" width="35.140625" style="142" customWidth="1"/>
    <col min="1040" max="1283" width="9.140625" style="142"/>
    <col min="1284" max="1284" width="12.7109375" style="142" customWidth="1"/>
    <col min="1285" max="1286" width="9.140625" style="142"/>
    <col min="1287" max="1287" width="12.42578125" style="142" customWidth="1"/>
    <col min="1288" max="1288" width="9.140625" style="142"/>
    <col min="1289" max="1289" width="14" style="142" bestFit="1" customWidth="1"/>
    <col min="1290" max="1290" width="9.140625" style="142"/>
    <col min="1291" max="1291" width="13.7109375" style="142" customWidth="1"/>
    <col min="1292" max="1292" width="10.140625" style="142" customWidth="1"/>
    <col min="1293" max="1293" width="12.85546875" style="142" bestFit="1" customWidth="1"/>
    <col min="1294" max="1294" width="10.5703125" style="142" customWidth="1"/>
    <col min="1295" max="1295" width="35.140625" style="142" customWidth="1"/>
    <col min="1296" max="1539" width="9.140625" style="142"/>
    <col min="1540" max="1540" width="12.7109375" style="142" customWidth="1"/>
    <col min="1541" max="1542" width="9.140625" style="142"/>
    <col min="1543" max="1543" width="12.42578125" style="142" customWidth="1"/>
    <col min="1544" max="1544" width="9.140625" style="142"/>
    <col min="1545" max="1545" width="14" style="142" bestFit="1" customWidth="1"/>
    <col min="1546" max="1546" width="9.140625" style="142"/>
    <col min="1547" max="1547" width="13.7109375" style="142" customWidth="1"/>
    <col min="1548" max="1548" width="10.140625" style="142" customWidth="1"/>
    <col min="1549" max="1549" width="12.85546875" style="142" bestFit="1" customWidth="1"/>
    <col min="1550" max="1550" width="10.5703125" style="142" customWidth="1"/>
    <col min="1551" max="1551" width="35.140625" style="142" customWidth="1"/>
    <col min="1552" max="1795" width="9.140625" style="142"/>
    <col min="1796" max="1796" width="12.7109375" style="142" customWidth="1"/>
    <col min="1797" max="1798" width="9.140625" style="142"/>
    <col min="1799" max="1799" width="12.42578125" style="142" customWidth="1"/>
    <col min="1800" max="1800" width="9.140625" style="142"/>
    <col min="1801" max="1801" width="14" style="142" bestFit="1" customWidth="1"/>
    <col min="1802" max="1802" width="9.140625" style="142"/>
    <col min="1803" max="1803" width="13.7109375" style="142" customWidth="1"/>
    <col min="1804" max="1804" width="10.140625" style="142" customWidth="1"/>
    <col min="1805" max="1805" width="12.85546875" style="142" bestFit="1" customWidth="1"/>
    <col min="1806" max="1806" width="10.5703125" style="142" customWidth="1"/>
    <col min="1807" max="1807" width="35.140625" style="142" customWidth="1"/>
    <col min="1808" max="2051" width="9.140625" style="142"/>
    <col min="2052" max="2052" width="12.7109375" style="142" customWidth="1"/>
    <col min="2053" max="2054" width="9.140625" style="142"/>
    <col min="2055" max="2055" width="12.42578125" style="142" customWidth="1"/>
    <col min="2056" max="2056" width="9.140625" style="142"/>
    <col min="2057" max="2057" width="14" style="142" bestFit="1" customWidth="1"/>
    <col min="2058" max="2058" width="9.140625" style="142"/>
    <col min="2059" max="2059" width="13.7109375" style="142" customWidth="1"/>
    <col min="2060" max="2060" width="10.140625" style="142" customWidth="1"/>
    <col min="2061" max="2061" width="12.85546875" style="142" bestFit="1" customWidth="1"/>
    <col min="2062" max="2062" width="10.5703125" style="142" customWidth="1"/>
    <col min="2063" max="2063" width="35.140625" style="142" customWidth="1"/>
    <col min="2064" max="2307" width="9.140625" style="142"/>
    <col min="2308" max="2308" width="12.7109375" style="142" customWidth="1"/>
    <col min="2309" max="2310" width="9.140625" style="142"/>
    <col min="2311" max="2311" width="12.42578125" style="142" customWidth="1"/>
    <col min="2312" max="2312" width="9.140625" style="142"/>
    <col min="2313" max="2313" width="14" style="142" bestFit="1" customWidth="1"/>
    <col min="2314" max="2314" width="9.140625" style="142"/>
    <col min="2315" max="2315" width="13.7109375" style="142" customWidth="1"/>
    <col min="2316" max="2316" width="10.140625" style="142" customWidth="1"/>
    <col min="2317" max="2317" width="12.85546875" style="142" bestFit="1" customWidth="1"/>
    <col min="2318" max="2318" width="10.5703125" style="142" customWidth="1"/>
    <col min="2319" max="2319" width="35.140625" style="142" customWidth="1"/>
    <col min="2320" max="2563" width="9.140625" style="142"/>
    <col min="2564" max="2564" width="12.7109375" style="142" customWidth="1"/>
    <col min="2565" max="2566" width="9.140625" style="142"/>
    <col min="2567" max="2567" width="12.42578125" style="142" customWidth="1"/>
    <col min="2568" max="2568" width="9.140625" style="142"/>
    <col min="2569" max="2569" width="14" style="142" bestFit="1" customWidth="1"/>
    <col min="2570" max="2570" width="9.140625" style="142"/>
    <col min="2571" max="2571" width="13.7109375" style="142" customWidth="1"/>
    <col min="2572" max="2572" width="10.140625" style="142" customWidth="1"/>
    <col min="2573" max="2573" width="12.85546875" style="142" bestFit="1" customWidth="1"/>
    <col min="2574" max="2574" width="10.5703125" style="142" customWidth="1"/>
    <col min="2575" max="2575" width="35.140625" style="142" customWidth="1"/>
    <col min="2576" max="2819" width="9.140625" style="142"/>
    <col min="2820" max="2820" width="12.7109375" style="142" customWidth="1"/>
    <col min="2821" max="2822" width="9.140625" style="142"/>
    <col min="2823" max="2823" width="12.42578125" style="142" customWidth="1"/>
    <col min="2824" max="2824" width="9.140625" style="142"/>
    <col min="2825" max="2825" width="14" style="142" bestFit="1" customWidth="1"/>
    <col min="2826" max="2826" width="9.140625" style="142"/>
    <col min="2827" max="2827" width="13.7109375" style="142" customWidth="1"/>
    <col min="2828" max="2828" width="10.140625" style="142" customWidth="1"/>
    <col min="2829" max="2829" width="12.85546875" style="142" bestFit="1" customWidth="1"/>
    <col min="2830" max="2830" width="10.5703125" style="142" customWidth="1"/>
    <col min="2831" max="2831" width="35.140625" style="142" customWidth="1"/>
    <col min="2832" max="3075" width="9.140625" style="142"/>
    <col min="3076" max="3076" width="12.7109375" style="142" customWidth="1"/>
    <col min="3077" max="3078" width="9.140625" style="142"/>
    <col min="3079" max="3079" width="12.42578125" style="142" customWidth="1"/>
    <col min="3080" max="3080" width="9.140625" style="142"/>
    <col min="3081" max="3081" width="14" style="142" bestFit="1" customWidth="1"/>
    <col min="3082" max="3082" width="9.140625" style="142"/>
    <col min="3083" max="3083" width="13.7109375" style="142" customWidth="1"/>
    <col min="3084" max="3084" width="10.140625" style="142" customWidth="1"/>
    <col min="3085" max="3085" width="12.85546875" style="142" bestFit="1" customWidth="1"/>
    <col min="3086" max="3086" width="10.5703125" style="142" customWidth="1"/>
    <col min="3087" max="3087" width="35.140625" style="142" customWidth="1"/>
    <col min="3088" max="3331" width="9.140625" style="142"/>
    <col min="3332" max="3332" width="12.7109375" style="142" customWidth="1"/>
    <col min="3333" max="3334" width="9.140625" style="142"/>
    <col min="3335" max="3335" width="12.42578125" style="142" customWidth="1"/>
    <col min="3336" max="3336" width="9.140625" style="142"/>
    <col min="3337" max="3337" width="14" style="142" bestFit="1" customWidth="1"/>
    <col min="3338" max="3338" width="9.140625" style="142"/>
    <col min="3339" max="3339" width="13.7109375" style="142" customWidth="1"/>
    <col min="3340" max="3340" width="10.140625" style="142" customWidth="1"/>
    <col min="3341" max="3341" width="12.85546875" style="142" bestFit="1" customWidth="1"/>
    <col min="3342" max="3342" width="10.5703125" style="142" customWidth="1"/>
    <col min="3343" max="3343" width="35.140625" style="142" customWidth="1"/>
    <col min="3344" max="3587" width="9.140625" style="142"/>
    <col min="3588" max="3588" width="12.7109375" style="142" customWidth="1"/>
    <col min="3589" max="3590" width="9.140625" style="142"/>
    <col min="3591" max="3591" width="12.42578125" style="142" customWidth="1"/>
    <col min="3592" max="3592" width="9.140625" style="142"/>
    <col min="3593" max="3593" width="14" style="142" bestFit="1" customWidth="1"/>
    <col min="3594" max="3594" width="9.140625" style="142"/>
    <col min="3595" max="3595" width="13.7109375" style="142" customWidth="1"/>
    <col min="3596" max="3596" width="10.140625" style="142" customWidth="1"/>
    <col min="3597" max="3597" width="12.85546875" style="142" bestFit="1" customWidth="1"/>
    <col min="3598" max="3598" width="10.5703125" style="142" customWidth="1"/>
    <col min="3599" max="3599" width="35.140625" style="142" customWidth="1"/>
    <col min="3600" max="3843" width="9.140625" style="142"/>
    <col min="3844" max="3844" width="12.7109375" style="142" customWidth="1"/>
    <col min="3845" max="3846" width="9.140625" style="142"/>
    <col min="3847" max="3847" width="12.42578125" style="142" customWidth="1"/>
    <col min="3848" max="3848" width="9.140625" style="142"/>
    <col min="3849" max="3849" width="14" style="142" bestFit="1" customWidth="1"/>
    <col min="3850" max="3850" width="9.140625" style="142"/>
    <col min="3851" max="3851" width="13.7109375" style="142" customWidth="1"/>
    <col min="3852" max="3852" width="10.140625" style="142" customWidth="1"/>
    <col min="3853" max="3853" width="12.85546875" style="142" bestFit="1" customWidth="1"/>
    <col min="3854" max="3854" width="10.5703125" style="142" customWidth="1"/>
    <col min="3855" max="3855" width="35.140625" style="142" customWidth="1"/>
    <col min="3856" max="4099" width="9.140625" style="142"/>
    <col min="4100" max="4100" width="12.7109375" style="142" customWidth="1"/>
    <col min="4101" max="4102" width="9.140625" style="142"/>
    <col min="4103" max="4103" width="12.42578125" style="142" customWidth="1"/>
    <col min="4104" max="4104" width="9.140625" style="142"/>
    <col min="4105" max="4105" width="14" style="142" bestFit="1" customWidth="1"/>
    <col min="4106" max="4106" width="9.140625" style="142"/>
    <col min="4107" max="4107" width="13.7109375" style="142" customWidth="1"/>
    <col min="4108" max="4108" width="10.140625" style="142" customWidth="1"/>
    <col min="4109" max="4109" width="12.85546875" style="142" bestFit="1" customWidth="1"/>
    <col min="4110" max="4110" width="10.5703125" style="142" customWidth="1"/>
    <col min="4111" max="4111" width="35.140625" style="142" customWidth="1"/>
    <col min="4112" max="4355" width="9.140625" style="142"/>
    <col min="4356" max="4356" width="12.7109375" style="142" customWidth="1"/>
    <col min="4357" max="4358" width="9.140625" style="142"/>
    <col min="4359" max="4359" width="12.42578125" style="142" customWidth="1"/>
    <col min="4360" max="4360" width="9.140625" style="142"/>
    <col min="4361" max="4361" width="14" style="142" bestFit="1" customWidth="1"/>
    <col min="4362" max="4362" width="9.140625" style="142"/>
    <col min="4363" max="4363" width="13.7109375" style="142" customWidth="1"/>
    <col min="4364" max="4364" width="10.140625" style="142" customWidth="1"/>
    <col min="4365" max="4365" width="12.85546875" style="142" bestFit="1" customWidth="1"/>
    <col min="4366" max="4366" width="10.5703125" style="142" customWidth="1"/>
    <col min="4367" max="4367" width="35.140625" style="142" customWidth="1"/>
    <col min="4368" max="4611" width="9.140625" style="142"/>
    <col min="4612" max="4612" width="12.7109375" style="142" customWidth="1"/>
    <col min="4613" max="4614" width="9.140625" style="142"/>
    <col min="4615" max="4615" width="12.42578125" style="142" customWidth="1"/>
    <col min="4616" max="4616" width="9.140625" style="142"/>
    <col min="4617" max="4617" width="14" style="142" bestFit="1" customWidth="1"/>
    <col min="4618" max="4618" width="9.140625" style="142"/>
    <col min="4619" max="4619" width="13.7109375" style="142" customWidth="1"/>
    <col min="4620" max="4620" width="10.140625" style="142" customWidth="1"/>
    <col min="4621" max="4621" width="12.85546875" style="142" bestFit="1" customWidth="1"/>
    <col min="4622" max="4622" width="10.5703125" style="142" customWidth="1"/>
    <col min="4623" max="4623" width="35.140625" style="142" customWidth="1"/>
    <col min="4624" max="4867" width="9.140625" style="142"/>
    <col min="4868" max="4868" width="12.7109375" style="142" customWidth="1"/>
    <col min="4869" max="4870" width="9.140625" style="142"/>
    <col min="4871" max="4871" width="12.42578125" style="142" customWidth="1"/>
    <col min="4872" max="4872" width="9.140625" style="142"/>
    <col min="4873" max="4873" width="14" style="142" bestFit="1" customWidth="1"/>
    <col min="4874" max="4874" width="9.140625" style="142"/>
    <col min="4875" max="4875" width="13.7109375" style="142" customWidth="1"/>
    <col min="4876" max="4876" width="10.140625" style="142" customWidth="1"/>
    <col min="4877" max="4877" width="12.85546875" style="142" bestFit="1" customWidth="1"/>
    <col min="4878" max="4878" width="10.5703125" style="142" customWidth="1"/>
    <col min="4879" max="4879" width="35.140625" style="142" customWidth="1"/>
    <col min="4880" max="5123" width="9.140625" style="142"/>
    <col min="5124" max="5124" width="12.7109375" style="142" customWidth="1"/>
    <col min="5125" max="5126" width="9.140625" style="142"/>
    <col min="5127" max="5127" width="12.42578125" style="142" customWidth="1"/>
    <col min="5128" max="5128" width="9.140625" style="142"/>
    <col min="5129" max="5129" width="14" style="142" bestFit="1" customWidth="1"/>
    <col min="5130" max="5130" width="9.140625" style="142"/>
    <col min="5131" max="5131" width="13.7109375" style="142" customWidth="1"/>
    <col min="5132" max="5132" width="10.140625" style="142" customWidth="1"/>
    <col min="5133" max="5133" width="12.85546875" style="142" bestFit="1" customWidth="1"/>
    <col min="5134" max="5134" width="10.5703125" style="142" customWidth="1"/>
    <col min="5135" max="5135" width="35.140625" style="142" customWidth="1"/>
    <col min="5136" max="5379" width="9.140625" style="142"/>
    <col min="5380" max="5380" width="12.7109375" style="142" customWidth="1"/>
    <col min="5381" max="5382" width="9.140625" style="142"/>
    <col min="5383" max="5383" width="12.42578125" style="142" customWidth="1"/>
    <col min="5384" max="5384" width="9.140625" style="142"/>
    <col min="5385" max="5385" width="14" style="142" bestFit="1" customWidth="1"/>
    <col min="5386" max="5386" width="9.140625" style="142"/>
    <col min="5387" max="5387" width="13.7109375" style="142" customWidth="1"/>
    <col min="5388" max="5388" width="10.140625" style="142" customWidth="1"/>
    <col min="5389" max="5389" width="12.85546875" style="142" bestFit="1" customWidth="1"/>
    <col min="5390" max="5390" width="10.5703125" style="142" customWidth="1"/>
    <col min="5391" max="5391" width="35.140625" style="142" customWidth="1"/>
    <col min="5392" max="5635" width="9.140625" style="142"/>
    <col min="5636" max="5636" width="12.7109375" style="142" customWidth="1"/>
    <col min="5637" max="5638" width="9.140625" style="142"/>
    <col min="5639" max="5639" width="12.42578125" style="142" customWidth="1"/>
    <col min="5640" max="5640" width="9.140625" style="142"/>
    <col min="5641" max="5641" width="14" style="142" bestFit="1" customWidth="1"/>
    <col min="5642" max="5642" width="9.140625" style="142"/>
    <col min="5643" max="5643" width="13.7109375" style="142" customWidth="1"/>
    <col min="5644" max="5644" width="10.140625" style="142" customWidth="1"/>
    <col min="5645" max="5645" width="12.85546875" style="142" bestFit="1" customWidth="1"/>
    <col min="5646" max="5646" width="10.5703125" style="142" customWidth="1"/>
    <col min="5647" max="5647" width="35.140625" style="142" customWidth="1"/>
    <col min="5648" max="5891" width="9.140625" style="142"/>
    <col min="5892" max="5892" width="12.7109375" style="142" customWidth="1"/>
    <col min="5893" max="5894" width="9.140625" style="142"/>
    <col min="5895" max="5895" width="12.42578125" style="142" customWidth="1"/>
    <col min="5896" max="5896" width="9.140625" style="142"/>
    <col min="5897" max="5897" width="14" style="142" bestFit="1" customWidth="1"/>
    <col min="5898" max="5898" width="9.140625" style="142"/>
    <col min="5899" max="5899" width="13.7109375" style="142" customWidth="1"/>
    <col min="5900" max="5900" width="10.140625" style="142" customWidth="1"/>
    <col min="5901" max="5901" width="12.85546875" style="142" bestFit="1" customWidth="1"/>
    <col min="5902" max="5902" width="10.5703125" style="142" customWidth="1"/>
    <col min="5903" max="5903" width="35.140625" style="142" customWidth="1"/>
    <col min="5904" max="6147" width="9.140625" style="142"/>
    <col min="6148" max="6148" width="12.7109375" style="142" customWidth="1"/>
    <col min="6149" max="6150" width="9.140625" style="142"/>
    <col min="6151" max="6151" width="12.42578125" style="142" customWidth="1"/>
    <col min="6152" max="6152" width="9.140625" style="142"/>
    <col min="6153" max="6153" width="14" style="142" bestFit="1" customWidth="1"/>
    <col min="6154" max="6154" width="9.140625" style="142"/>
    <col min="6155" max="6155" width="13.7109375" style="142" customWidth="1"/>
    <col min="6156" max="6156" width="10.140625" style="142" customWidth="1"/>
    <col min="6157" max="6157" width="12.85546875" style="142" bestFit="1" customWidth="1"/>
    <col min="6158" max="6158" width="10.5703125" style="142" customWidth="1"/>
    <col min="6159" max="6159" width="35.140625" style="142" customWidth="1"/>
    <col min="6160" max="6403" width="9.140625" style="142"/>
    <col min="6404" max="6404" width="12.7109375" style="142" customWidth="1"/>
    <col min="6405" max="6406" width="9.140625" style="142"/>
    <col min="6407" max="6407" width="12.42578125" style="142" customWidth="1"/>
    <col min="6408" max="6408" width="9.140625" style="142"/>
    <col min="6409" max="6409" width="14" style="142" bestFit="1" customWidth="1"/>
    <col min="6410" max="6410" width="9.140625" style="142"/>
    <col min="6411" max="6411" width="13.7109375" style="142" customWidth="1"/>
    <col min="6412" max="6412" width="10.140625" style="142" customWidth="1"/>
    <col min="6413" max="6413" width="12.85546875" style="142" bestFit="1" customWidth="1"/>
    <col min="6414" max="6414" width="10.5703125" style="142" customWidth="1"/>
    <col min="6415" max="6415" width="35.140625" style="142" customWidth="1"/>
    <col min="6416" max="6659" width="9.140625" style="142"/>
    <col min="6660" max="6660" width="12.7109375" style="142" customWidth="1"/>
    <col min="6661" max="6662" width="9.140625" style="142"/>
    <col min="6663" max="6663" width="12.42578125" style="142" customWidth="1"/>
    <col min="6664" max="6664" width="9.140625" style="142"/>
    <col min="6665" max="6665" width="14" style="142" bestFit="1" customWidth="1"/>
    <col min="6666" max="6666" width="9.140625" style="142"/>
    <col min="6667" max="6667" width="13.7109375" style="142" customWidth="1"/>
    <col min="6668" max="6668" width="10.140625" style="142" customWidth="1"/>
    <col min="6669" max="6669" width="12.85546875" style="142" bestFit="1" customWidth="1"/>
    <col min="6670" max="6670" width="10.5703125" style="142" customWidth="1"/>
    <col min="6671" max="6671" width="35.140625" style="142" customWidth="1"/>
    <col min="6672" max="6915" width="9.140625" style="142"/>
    <col min="6916" max="6916" width="12.7109375" style="142" customWidth="1"/>
    <col min="6917" max="6918" width="9.140625" style="142"/>
    <col min="6919" max="6919" width="12.42578125" style="142" customWidth="1"/>
    <col min="6920" max="6920" width="9.140625" style="142"/>
    <col min="6921" max="6921" width="14" style="142" bestFit="1" customWidth="1"/>
    <col min="6922" max="6922" width="9.140625" style="142"/>
    <col min="6923" max="6923" width="13.7109375" style="142" customWidth="1"/>
    <col min="6924" max="6924" width="10.140625" style="142" customWidth="1"/>
    <col min="6925" max="6925" width="12.85546875" style="142" bestFit="1" customWidth="1"/>
    <col min="6926" max="6926" width="10.5703125" style="142" customWidth="1"/>
    <col min="6927" max="6927" width="35.140625" style="142" customWidth="1"/>
    <col min="6928" max="7171" width="9.140625" style="142"/>
    <col min="7172" max="7172" width="12.7109375" style="142" customWidth="1"/>
    <col min="7173" max="7174" width="9.140625" style="142"/>
    <col min="7175" max="7175" width="12.42578125" style="142" customWidth="1"/>
    <col min="7176" max="7176" width="9.140625" style="142"/>
    <col min="7177" max="7177" width="14" style="142" bestFit="1" customWidth="1"/>
    <col min="7178" max="7178" width="9.140625" style="142"/>
    <col min="7179" max="7179" width="13.7109375" style="142" customWidth="1"/>
    <col min="7180" max="7180" width="10.140625" style="142" customWidth="1"/>
    <col min="7181" max="7181" width="12.85546875" style="142" bestFit="1" customWidth="1"/>
    <col min="7182" max="7182" width="10.5703125" style="142" customWidth="1"/>
    <col min="7183" max="7183" width="35.140625" style="142" customWidth="1"/>
    <col min="7184" max="7427" width="9.140625" style="142"/>
    <col min="7428" max="7428" width="12.7109375" style="142" customWidth="1"/>
    <col min="7429" max="7430" width="9.140625" style="142"/>
    <col min="7431" max="7431" width="12.42578125" style="142" customWidth="1"/>
    <col min="7432" max="7432" width="9.140625" style="142"/>
    <col min="7433" max="7433" width="14" style="142" bestFit="1" customWidth="1"/>
    <col min="7434" max="7434" width="9.140625" style="142"/>
    <col min="7435" max="7435" width="13.7109375" style="142" customWidth="1"/>
    <col min="7436" max="7436" width="10.140625" style="142" customWidth="1"/>
    <col min="7437" max="7437" width="12.85546875" style="142" bestFit="1" customWidth="1"/>
    <col min="7438" max="7438" width="10.5703125" style="142" customWidth="1"/>
    <col min="7439" max="7439" width="35.140625" style="142" customWidth="1"/>
    <col min="7440" max="7683" width="9.140625" style="142"/>
    <col min="7684" max="7684" width="12.7109375" style="142" customWidth="1"/>
    <col min="7685" max="7686" width="9.140625" style="142"/>
    <col min="7687" max="7687" width="12.42578125" style="142" customWidth="1"/>
    <col min="7688" max="7688" width="9.140625" style="142"/>
    <col min="7689" max="7689" width="14" style="142" bestFit="1" customWidth="1"/>
    <col min="7690" max="7690" width="9.140625" style="142"/>
    <col min="7691" max="7691" width="13.7109375" style="142" customWidth="1"/>
    <col min="7692" max="7692" width="10.140625" style="142" customWidth="1"/>
    <col min="7693" max="7693" width="12.85546875" style="142" bestFit="1" customWidth="1"/>
    <col min="7694" max="7694" width="10.5703125" style="142" customWidth="1"/>
    <col min="7695" max="7695" width="35.140625" style="142" customWidth="1"/>
    <col min="7696" max="7939" width="9.140625" style="142"/>
    <col min="7940" max="7940" width="12.7109375" style="142" customWidth="1"/>
    <col min="7941" max="7942" width="9.140625" style="142"/>
    <col min="7943" max="7943" width="12.42578125" style="142" customWidth="1"/>
    <col min="7944" max="7944" width="9.140625" style="142"/>
    <col min="7945" max="7945" width="14" style="142" bestFit="1" customWidth="1"/>
    <col min="7946" max="7946" width="9.140625" style="142"/>
    <col min="7947" max="7947" width="13.7109375" style="142" customWidth="1"/>
    <col min="7948" max="7948" width="10.140625" style="142" customWidth="1"/>
    <col min="7949" max="7949" width="12.85546875" style="142" bestFit="1" customWidth="1"/>
    <col min="7950" max="7950" width="10.5703125" style="142" customWidth="1"/>
    <col min="7951" max="7951" width="35.140625" style="142" customWidth="1"/>
    <col min="7952" max="8195" width="9.140625" style="142"/>
    <col min="8196" max="8196" width="12.7109375" style="142" customWidth="1"/>
    <col min="8197" max="8198" width="9.140625" style="142"/>
    <col min="8199" max="8199" width="12.42578125" style="142" customWidth="1"/>
    <col min="8200" max="8200" width="9.140625" style="142"/>
    <col min="8201" max="8201" width="14" style="142" bestFit="1" customWidth="1"/>
    <col min="8202" max="8202" width="9.140625" style="142"/>
    <col min="8203" max="8203" width="13.7109375" style="142" customWidth="1"/>
    <col min="8204" max="8204" width="10.140625" style="142" customWidth="1"/>
    <col min="8205" max="8205" width="12.85546875" style="142" bestFit="1" customWidth="1"/>
    <col min="8206" max="8206" width="10.5703125" style="142" customWidth="1"/>
    <col min="8207" max="8207" width="35.140625" style="142" customWidth="1"/>
    <col min="8208" max="8451" width="9.140625" style="142"/>
    <col min="8452" max="8452" width="12.7109375" style="142" customWidth="1"/>
    <col min="8453" max="8454" width="9.140625" style="142"/>
    <col min="8455" max="8455" width="12.42578125" style="142" customWidth="1"/>
    <col min="8456" max="8456" width="9.140625" style="142"/>
    <col min="8457" max="8457" width="14" style="142" bestFit="1" customWidth="1"/>
    <col min="8458" max="8458" width="9.140625" style="142"/>
    <col min="8459" max="8459" width="13.7109375" style="142" customWidth="1"/>
    <col min="8460" max="8460" width="10.140625" style="142" customWidth="1"/>
    <col min="8461" max="8461" width="12.85546875" style="142" bestFit="1" customWidth="1"/>
    <col min="8462" max="8462" width="10.5703125" style="142" customWidth="1"/>
    <col min="8463" max="8463" width="35.140625" style="142" customWidth="1"/>
    <col min="8464" max="8707" width="9.140625" style="142"/>
    <col min="8708" max="8708" width="12.7109375" style="142" customWidth="1"/>
    <col min="8709" max="8710" width="9.140625" style="142"/>
    <col min="8711" max="8711" width="12.42578125" style="142" customWidth="1"/>
    <col min="8712" max="8712" width="9.140625" style="142"/>
    <col min="8713" max="8713" width="14" style="142" bestFit="1" customWidth="1"/>
    <col min="8714" max="8714" width="9.140625" style="142"/>
    <col min="8715" max="8715" width="13.7109375" style="142" customWidth="1"/>
    <col min="8716" max="8716" width="10.140625" style="142" customWidth="1"/>
    <col min="8717" max="8717" width="12.85546875" style="142" bestFit="1" customWidth="1"/>
    <col min="8718" max="8718" width="10.5703125" style="142" customWidth="1"/>
    <col min="8719" max="8719" width="35.140625" style="142" customWidth="1"/>
    <col min="8720" max="8963" width="9.140625" style="142"/>
    <col min="8964" max="8964" width="12.7109375" style="142" customWidth="1"/>
    <col min="8965" max="8966" width="9.140625" style="142"/>
    <col min="8967" max="8967" width="12.42578125" style="142" customWidth="1"/>
    <col min="8968" max="8968" width="9.140625" style="142"/>
    <col min="8969" max="8969" width="14" style="142" bestFit="1" customWidth="1"/>
    <col min="8970" max="8970" width="9.140625" style="142"/>
    <col min="8971" max="8971" width="13.7109375" style="142" customWidth="1"/>
    <col min="8972" max="8972" width="10.140625" style="142" customWidth="1"/>
    <col min="8973" max="8973" width="12.85546875" style="142" bestFit="1" customWidth="1"/>
    <col min="8974" max="8974" width="10.5703125" style="142" customWidth="1"/>
    <col min="8975" max="8975" width="35.140625" style="142" customWidth="1"/>
    <col min="8976" max="9219" width="9.140625" style="142"/>
    <col min="9220" max="9220" width="12.7109375" style="142" customWidth="1"/>
    <col min="9221" max="9222" width="9.140625" style="142"/>
    <col min="9223" max="9223" width="12.42578125" style="142" customWidth="1"/>
    <col min="9224" max="9224" width="9.140625" style="142"/>
    <col min="9225" max="9225" width="14" style="142" bestFit="1" customWidth="1"/>
    <col min="9226" max="9226" width="9.140625" style="142"/>
    <col min="9227" max="9227" width="13.7109375" style="142" customWidth="1"/>
    <col min="9228" max="9228" width="10.140625" style="142" customWidth="1"/>
    <col min="9229" max="9229" width="12.85546875" style="142" bestFit="1" customWidth="1"/>
    <col min="9230" max="9230" width="10.5703125" style="142" customWidth="1"/>
    <col min="9231" max="9231" width="35.140625" style="142" customWidth="1"/>
    <col min="9232" max="9475" width="9.140625" style="142"/>
    <col min="9476" max="9476" width="12.7109375" style="142" customWidth="1"/>
    <col min="9477" max="9478" width="9.140625" style="142"/>
    <col min="9479" max="9479" width="12.42578125" style="142" customWidth="1"/>
    <col min="9480" max="9480" width="9.140625" style="142"/>
    <col min="9481" max="9481" width="14" style="142" bestFit="1" customWidth="1"/>
    <col min="9482" max="9482" width="9.140625" style="142"/>
    <col min="9483" max="9483" width="13.7109375" style="142" customWidth="1"/>
    <col min="9484" max="9484" width="10.140625" style="142" customWidth="1"/>
    <col min="9485" max="9485" width="12.85546875" style="142" bestFit="1" customWidth="1"/>
    <col min="9486" max="9486" width="10.5703125" style="142" customWidth="1"/>
    <col min="9487" max="9487" width="35.140625" style="142" customWidth="1"/>
    <col min="9488" max="9731" width="9.140625" style="142"/>
    <col min="9732" max="9732" width="12.7109375" style="142" customWidth="1"/>
    <col min="9733" max="9734" width="9.140625" style="142"/>
    <col min="9735" max="9735" width="12.42578125" style="142" customWidth="1"/>
    <col min="9736" max="9736" width="9.140625" style="142"/>
    <col min="9737" max="9737" width="14" style="142" bestFit="1" customWidth="1"/>
    <col min="9738" max="9738" width="9.140625" style="142"/>
    <col min="9739" max="9739" width="13.7109375" style="142" customWidth="1"/>
    <col min="9740" max="9740" width="10.140625" style="142" customWidth="1"/>
    <col min="9741" max="9741" width="12.85546875" style="142" bestFit="1" customWidth="1"/>
    <col min="9742" max="9742" width="10.5703125" style="142" customWidth="1"/>
    <col min="9743" max="9743" width="35.140625" style="142" customWidth="1"/>
    <col min="9744" max="9987" width="9.140625" style="142"/>
    <col min="9988" max="9988" width="12.7109375" style="142" customWidth="1"/>
    <col min="9989" max="9990" width="9.140625" style="142"/>
    <col min="9991" max="9991" width="12.42578125" style="142" customWidth="1"/>
    <col min="9992" max="9992" width="9.140625" style="142"/>
    <col min="9993" max="9993" width="14" style="142" bestFit="1" customWidth="1"/>
    <col min="9994" max="9994" width="9.140625" style="142"/>
    <col min="9995" max="9995" width="13.7109375" style="142" customWidth="1"/>
    <col min="9996" max="9996" width="10.140625" style="142" customWidth="1"/>
    <col min="9997" max="9997" width="12.85546875" style="142" bestFit="1" customWidth="1"/>
    <col min="9998" max="9998" width="10.5703125" style="142" customWidth="1"/>
    <col min="9999" max="9999" width="35.140625" style="142" customWidth="1"/>
    <col min="10000" max="10243" width="9.140625" style="142"/>
    <col min="10244" max="10244" width="12.7109375" style="142" customWidth="1"/>
    <col min="10245" max="10246" width="9.140625" style="142"/>
    <col min="10247" max="10247" width="12.42578125" style="142" customWidth="1"/>
    <col min="10248" max="10248" width="9.140625" style="142"/>
    <col min="10249" max="10249" width="14" style="142" bestFit="1" customWidth="1"/>
    <col min="10250" max="10250" width="9.140625" style="142"/>
    <col min="10251" max="10251" width="13.7109375" style="142" customWidth="1"/>
    <col min="10252" max="10252" width="10.140625" style="142" customWidth="1"/>
    <col min="10253" max="10253" width="12.85546875" style="142" bestFit="1" customWidth="1"/>
    <col min="10254" max="10254" width="10.5703125" style="142" customWidth="1"/>
    <col min="10255" max="10255" width="35.140625" style="142" customWidth="1"/>
    <col min="10256" max="10499" width="9.140625" style="142"/>
    <col min="10500" max="10500" width="12.7109375" style="142" customWidth="1"/>
    <col min="10501" max="10502" width="9.140625" style="142"/>
    <col min="10503" max="10503" width="12.42578125" style="142" customWidth="1"/>
    <col min="10504" max="10504" width="9.140625" style="142"/>
    <col min="10505" max="10505" width="14" style="142" bestFit="1" customWidth="1"/>
    <col min="10506" max="10506" width="9.140625" style="142"/>
    <col min="10507" max="10507" width="13.7109375" style="142" customWidth="1"/>
    <col min="10508" max="10508" width="10.140625" style="142" customWidth="1"/>
    <col min="10509" max="10509" width="12.85546875" style="142" bestFit="1" customWidth="1"/>
    <col min="10510" max="10510" width="10.5703125" style="142" customWidth="1"/>
    <col min="10511" max="10511" width="35.140625" style="142" customWidth="1"/>
    <col min="10512" max="10755" width="9.140625" style="142"/>
    <col min="10756" max="10756" width="12.7109375" style="142" customWidth="1"/>
    <col min="10757" max="10758" width="9.140625" style="142"/>
    <col min="10759" max="10759" width="12.42578125" style="142" customWidth="1"/>
    <col min="10760" max="10760" width="9.140625" style="142"/>
    <col min="10761" max="10761" width="14" style="142" bestFit="1" customWidth="1"/>
    <col min="10762" max="10762" width="9.140625" style="142"/>
    <col min="10763" max="10763" width="13.7109375" style="142" customWidth="1"/>
    <col min="10764" max="10764" width="10.140625" style="142" customWidth="1"/>
    <col min="10765" max="10765" width="12.85546875" style="142" bestFit="1" customWidth="1"/>
    <col min="10766" max="10766" width="10.5703125" style="142" customWidth="1"/>
    <col min="10767" max="10767" width="35.140625" style="142" customWidth="1"/>
    <col min="10768" max="11011" width="9.140625" style="142"/>
    <col min="11012" max="11012" width="12.7109375" style="142" customWidth="1"/>
    <col min="11013" max="11014" width="9.140625" style="142"/>
    <col min="11015" max="11015" width="12.42578125" style="142" customWidth="1"/>
    <col min="11016" max="11016" width="9.140625" style="142"/>
    <col min="11017" max="11017" width="14" style="142" bestFit="1" customWidth="1"/>
    <col min="11018" max="11018" width="9.140625" style="142"/>
    <col min="11019" max="11019" width="13.7109375" style="142" customWidth="1"/>
    <col min="11020" max="11020" width="10.140625" style="142" customWidth="1"/>
    <col min="11021" max="11021" width="12.85546875" style="142" bestFit="1" customWidth="1"/>
    <col min="11022" max="11022" width="10.5703125" style="142" customWidth="1"/>
    <col min="11023" max="11023" width="35.140625" style="142" customWidth="1"/>
    <col min="11024" max="11267" width="9.140625" style="142"/>
    <col min="11268" max="11268" width="12.7109375" style="142" customWidth="1"/>
    <col min="11269" max="11270" width="9.140625" style="142"/>
    <col min="11271" max="11271" width="12.42578125" style="142" customWidth="1"/>
    <col min="11272" max="11272" width="9.140625" style="142"/>
    <col min="11273" max="11273" width="14" style="142" bestFit="1" customWidth="1"/>
    <col min="11274" max="11274" width="9.140625" style="142"/>
    <col min="11275" max="11275" width="13.7109375" style="142" customWidth="1"/>
    <col min="11276" max="11276" width="10.140625" style="142" customWidth="1"/>
    <col min="11277" max="11277" width="12.85546875" style="142" bestFit="1" customWidth="1"/>
    <col min="11278" max="11278" width="10.5703125" style="142" customWidth="1"/>
    <col min="11279" max="11279" width="35.140625" style="142" customWidth="1"/>
    <col min="11280" max="11523" width="9.140625" style="142"/>
    <col min="11524" max="11524" width="12.7109375" style="142" customWidth="1"/>
    <col min="11525" max="11526" width="9.140625" style="142"/>
    <col min="11527" max="11527" width="12.42578125" style="142" customWidth="1"/>
    <col min="11528" max="11528" width="9.140625" style="142"/>
    <col min="11529" max="11529" width="14" style="142" bestFit="1" customWidth="1"/>
    <col min="11530" max="11530" width="9.140625" style="142"/>
    <col min="11531" max="11531" width="13.7109375" style="142" customWidth="1"/>
    <col min="11532" max="11532" width="10.140625" style="142" customWidth="1"/>
    <col min="11533" max="11533" width="12.85546875" style="142" bestFit="1" customWidth="1"/>
    <col min="11534" max="11534" width="10.5703125" style="142" customWidth="1"/>
    <col min="11535" max="11535" width="35.140625" style="142" customWidth="1"/>
    <col min="11536" max="11779" width="9.140625" style="142"/>
    <col min="11780" max="11780" width="12.7109375" style="142" customWidth="1"/>
    <col min="11781" max="11782" width="9.140625" style="142"/>
    <col min="11783" max="11783" width="12.42578125" style="142" customWidth="1"/>
    <col min="11784" max="11784" width="9.140625" style="142"/>
    <col min="11785" max="11785" width="14" style="142" bestFit="1" customWidth="1"/>
    <col min="11786" max="11786" width="9.140625" style="142"/>
    <col min="11787" max="11787" width="13.7109375" style="142" customWidth="1"/>
    <col min="11788" max="11788" width="10.140625" style="142" customWidth="1"/>
    <col min="11789" max="11789" width="12.85546875" style="142" bestFit="1" customWidth="1"/>
    <col min="11790" max="11790" width="10.5703125" style="142" customWidth="1"/>
    <col min="11791" max="11791" width="35.140625" style="142" customWidth="1"/>
    <col min="11792" max="12035" width="9.140625" style="142"/>
    <col min="12036" max="12036" width="12.7109375" style="142" customWidth="1"/>
    <col min="12037" max="12038" width="9.140625" style="142"/>
    <col min="12039" max="12039" width="12.42578125" style="142" customWidth="1"/>
    <col min="12040" max="12040" width="9.140625" style="142"/>
    <col min="12041" max="12041" width="14" style="142" bestFit="1" customWidth="1"/>
    <col min="12042" max="12042" width="9.140625" style="142"/>
    <col min="12043" max="12043" width="13.7109375" style="142" customWidth="1"/>
    <col min="12044" max="12044" width="10.140625" style="142" customWidth="1"/>
    <col min="12045" max="12045" width="12.85546875" style="142" bestFit="1" customWidth="1"/>
    <col min="12046" max="12046" width="10.5703125" style="142" customWidth="1"/>
    <col min="12047" max="12047" width="35.140625" style="142" customWidth="1"/>
    <col min="12048" max="12291" width="9.140625" style="142"/>
    <col min="12292" max="12292" width="12.7109375" style="142" customWidth="1"/>
    <col min="12293" max="12294" width="9.140625" style="142"/>
    <col min="12295" max="12295" width="12.42578125" style="142" customWidth="1"/>
    <col min="12296" max="12296" width="9.140625" style="142"/>
    <col min="12297" max="12297" width="14" style="142" bestFit="1" customWidth="1"/>
    <col min="12298" max="12298" width="9.140625" style="142"/>
    <col min="12299" max="12299" width="13.7109375" style="142" customWidth="1"/>
    <col min="12300" max="12300" width="10.140625" style="142" customWidth="1"/>
    <col min="12301" max="12301" width="12.85546875" style="142" bestFit="1" customWidth="1"/>
    <col min="12302" max="12302" width="10.5703125" style="142" customWidth="1"/>
    <col min="12303" max="12303" width="35.140625" style="142" customWidth="1"/>
    <col min="12304" max="12547" width="9.140625" style="142"/>
    <col min="12548" max="12548" width="12.7109375" style="142" customWidth="1"/>
    <col min="12549" max="12550" width="9.140625" style="142"/>
    <col min="12551" max="12551" width="12.42578125" style="142" customWidth="1"/>
    <col min="12552" max="12552" width="9.140625" style="142"/>
    <col min="12553" max="12553" width="14" style="142" bestFit="1" customWidth="1"/>
    <col min="12554" max="12554" width="9.140625" style="142"/>
    <col min="12555" max="12555" width="13.7109375" style="142" customWidth="1"/>
    <col min="12556" max="12556" width="10.140625" style="142" customWidth="1"/>
    <col min="12557" max="12557" width="12.85546875" style="142" bestFit="1" customWidth="1"/>
    <col min="12558" max="12558" width="10.5703125" style="142" customWidth="1"/>
    <col min="12559" max="12559" width="35.140625" style="142" customWidth="1"/>
    <col min="12560" max="12803" width="9.140625" style="142"/>
    <col min="12804" max="12804" width="12.7109375" style="142" customWidth="1"/>
    <col min="12805" max="12806" width="9.140625" style="142"/>
    <col min="12807" max="12807" width="12.42578125" style="142" customWidth="1"/>
    <col min="12808" max="12808" width="9.140625" style="142"/>
    <col min="12809" max="12809" width="14" style="142" bestFit="1" customWidth="1"/>
    <col min="12810" max="12810" width="9.140625" style="142"/>
    <col min="12811" max="12811" width="13.7109375" style="142" customWidth="1"/>
    <col min="12812" max="12812" width="10.140625" style="142" customWidth="1"/>
    <col min="12813" max="12813" width="12.85546875" style="142" bestFit="1" customWidth="1"/>
    <col min="12814" max="12814" width="10.5703125" style="142" customWidth="1"/>
    <col min="12815" max="12815" width="35.140625" style="142" customWidth="1"/>
    <col min="12816" max="13059" width="9.140625" style="142"/>
    <col min="13060" max="13060" width="12.7109375" style="142" customWidth="1"/>
    <col min="13061" max="13062" width="9.140625" style="142"/>
    <col min="13063" max="13063" width="12.42578125" style="142" customWidth="1"/>
    <col min="13064" max="13064" width="9.140625" style="142"/>
    <col min="13065" max="13065" width="14" style="142" bestFit="1" customWidth="1"/>
    <col min="13066" max="13066" width="9.140625" style="142"/>
    <col min="13067" max="13067" width="13.7109375" style="142" customWidth="1"/>
    <col min="13068" max="13068" width="10.140625" style="142" customWidth="1"/>
    <col min="13069" max="13069" width="12.85546875" style="142" bestFit="1" customWidth="1"/>
    <col min="13070" max="13070" width="10.5703125" style="142" customWidth="1"/>
    <col min="13071" max="13071" width="35.140625" style="142" customWidth="1"/>
    <col min="13072" max="13315" width="9.140625" style="142"/>
    <col min="13316" max="13316" width="12.7109375" style="142" customWidth="1"/>
    <col min="13317" max="13318" width="9.140625" style="142"/>
    <col min="13319" max="13319" width="12.42578125" style="142" customWidth="1"/>
    <col min="13320" max="13320" width="9.140625" style="142"/>
    <col min="13321" max="13321" width="14" style="142" bestFit="1" customWidth="1"/>
    <col min="13322" max="13322" width="9.140625" style="142"/>
    <col min="13323" max="13323" width="13.7109375" style="142" customWidth="1"/>
    <col min="13324" max="13324" width="10.140625" style="142" customWidth="1"/>
    <col min="13325" max="13325" width="12.85546875" style="142" bestFit="1" customWidth="1"/>
    <col min="13326" max="13326" width="10.5703125" style="142" customWidth="1"/>
    <col min="13327" max="13327" width="35.140625" style="142" customWidth="1"/>
    <col min="13328" max="13571" width="9.140625" style="142"/>
    <col min="13572" max="13572" width="12.7109375" style="142" customWidth="1"/>
    <col min="13573" max="13574" width="9.140625" style="142"/>
    <col min="13575" max="13575" width="12.42578125" style="142" customWidth="1"/>
    <col min="13576" max="13576" width="9.140625" style="142"/>
    <col min="13577" max="13577" width="14" style="142" bestFit="1" customWidth="1"/>
    <col min="13578" max="13578" width="9.140625" style="142"/>
    <col min="13579" max="13579" width="13.7109375" style="142" customWidth="1"/>
    <col min="13580" max="13580" width="10.140625" style="142" customWidth="1"/>
    <col min="13581" max="13581" width="12.85546875" style="142" bestFit="1" customWidth="1"/>
    <col min="13582" max="13582" width="10.5703125" style="142" customWidth="1"/>
    <col min="13583" max="13583" width="35.140625" style="142" customWidth="1"/>
    <col min="13584" max="13827" width="9.140625" style="142"/>
    <col min="13828" max="13828" width="12.7109375" style="142" customWidth="1"/>
    <col min="13829" max="13830" width="9.140625" style="142"/>
    <col min="13831" max="13831" width="12.42578125" style="142" customWidth="1"/>
    <col min="13832" max="13832" width="9.140625" style="142"/>
    <col min="13833" max="13833" width="14" style="142" bestFit="1" customWidth="1"/>
    <col min="13834" max="13834" width="9.140625" style="142"/>
    <col min="13835" max="13835" width="13.7109375" style="142" customWidth="1"/>
    <col min="13836" max="13836" width="10.140625" style="142" customWidth="1"/>
    <col min="13837" max="13837" width="12.85546875" style="142" bestFit="1" customWidth="1"/>
    <col min="13838" max="13838" width="10.5703125" style="142" customWidth="1"/>
    <col min="13839" max="13839" width="35.140625" style="142" customWidth="1"/>
    <col min="13840" max="14083" width="9.140625" style="142"/>
    <col min="14084" max="14084" width="12.7109375" style="142" customWidth="1"/>
    <col min="14085" max="14086" width="9.140625" style="142"/>
    <col min="14087" max="14087" width="12.42578125" style="142" customWidth="1"/>
    <col min="14088" max="14088" width="9.140625" style="142"/>
    <col min="14089" max="14089" width="14" style="142" bestFit="1" customWidth="1"/>
    <col min="14090" max="14090" width="9.140625" style="142"/>
    <col min="14091" max="14091" width="13.7109375" style="142" customWidth="1"/>
    <col min="14092" max="14092" width="10.140625" style="142" customWidth="1"/>
    <col min="14093" max="14093" width="12.85546875" style="142" bestFit="1" customWidth="1"/>
    <col min="14094" max="14094" width="10.5703125" style="142" customWidth="1"/>
    <col min="14095" max="14095" width="35.140625" style="142" customWidth="1"/>
    <col min="14096" max="14339" width="9.140625" style="142"/>
    <col min="14340" max="14340" width="12.7109375" style="142" customWidth="1"/>
    <col min="14341" max="14342" width="9.140625" style="142"/>
    <col min="14343" max="14343" width="12.42578125" style="142" customWidth="1"/>
    <col min="14344" max="14344" width="9.140625" style="142"/>
    <col min="14345" max="14345" width="14" style="142" bestFit="1" customWidth="1"/>
    <col min="14346" max="14346" width="9.140625" style="142"/>
    <col min="14347" max="14347" width="13.7109375" style="142" customWidth="1"/>
    <col min="14348" max="14348" width="10.140625" style="142" customWidth="1"/>
    <col min="14349" max="14349" width="12.85546875" style="142" bestFit="1" customWidth="1"/>
    <col min="14350" max="14350" width="10.5703125" style="142" customWidth="1"/>
    <col min="14351" max="14351" width="35.140625" style="142" customWidth="1"/>
    <col min="14352" max="14595" width="9.140625" style="142"/>
    <col min="14596" max="14596" width="12.7109375" style="142" customWidth="1"/>
    <col min="14597" max="14598" width="9.140625" style="142"/>
    <col min="14599" max="14599" width="12.42578125" style="142" customWidth="1"/>
    <col min="14600" max="14600" width="9.140625" style="142"/>
    <col min="14601" max="14601" width="14" style="142" bestFit="1" customWidth="1"/>
    <col min="14602" max="14602" width="9.140625" style="142"/>
    <col min="14603" max="14603" width="13.7109375" style="142" customWidth="1"/>
    <col min="14604" max="14604" width="10.140625" style="142" customWidth="1"/>
    <col min="14605" max="14605" width="12.85546875" style="142" bestFit="1" customWidth="1"/>
    <col min="14606" max="14606" width="10.5703125" style="142" customWidth="1"/>
    <col min="14607" max="14607" width="35.140625" style="142" customWidth="1"/>
    <col min="14608" max="14851" width="9.140625" style="142"/>
    <col min="14852" max="14852" width="12.7109375" style="142" customWidth="1"/>
    <col min="14853" max="14854" width="9.140625" style="142"/>
    <col min="14855" max="14855" width="12.42578125" style="142" customWidth="1"/>
    <col min="14856" max="14856" width="9.140625" style="142"/>
    <col min="14857" max="14857" width="14" style="142" bestFit="1" customWidth="1"/>
    <col min="14858" max="14858" width="9.140625" style="142"/>
    <col min="14859" max="14859" width="13.7109375" style="142" customWidth="1"/>
    <col min="14860" max="14860" width="10.140625" style="142" customWidth="1"/>
    <col min="14861" max="14861" width="12.85546875" style="142" bestFit="1" customWidth="1"/>
    <col min="14862" max="14862" width="10.5703125" style="142" customWidth="1"/>
    <col min="14863" max="14863" width="35.140625" style="142" customWidth="1"/>
    <col min="14864" max="15107" width="9.140625" style="142"/>
    <col min="15108" max="15108" width="12.7109375" style="142" customWidth="1"/>
    <col min="15109" max="15110" width="9.140625" style="142"/>
    <col min="15111" max="15111" width="12.42578125" style="142" customWidth="1"/>
    <col min="15112" max="15112" width="9.140625" style="142"/>
    <col min="15113" max="15113" width="14" style="142" bestFit="1" customWidth="1"/>
    <col min="15114" max="15114" width="9.140625" style="142"/>
    <col min="15115" max="15115" width="13.7109375" style="142" customWidth="1"/>
    <col min="15116" max="15116" width="10.140625" style="142" customWidth="1"/>
    <col min="15117" max="15117" width="12.85546875" style="142" bestFit="1" customWidth="1"/>
    <col min="15118" max="15118" width="10.5703125" style="142" customWidth="1"/>
    <col min="15119" max="15119" width="35.140625" style="142" customWidth="1"/>
    <col min="15120" max="15363" width="9.140625" style="142"/>
    <col min="15364" max="15364" width="12.7109375" style="142" customWidth="1"/>
    <col min="15365" max="15366" width="9.140625" style="142"/>
    <col min="15367" max="15367" width="12.42578125" style="142" customWidth="1"/>
    <col min="15368" max="15368" width="9.140625" style="142"/>
    <col min="15369" max="15369" width="14" style="142" bestFit="1" customWidth="1"/>
    <col min="15370" max="15370" width="9.140625" style="142"/>
    <col min="15371" max="15371" width="13.7109375" style="142" customWidth="1"/>
    <col min="15372" max="15372" width="10.140625" style="142" customWidth="1"/>
    <col min="15373" max="15373" width="12.85546875" style="142" bestFit="1" customWidth="1"/>
    <col min="15374" max="15374" width="10.5703125" style="142" customWidth="1"/>
    <col min="15375" max="15375" width="35.140625" style="142" customWidth="1"/>
    <col min="15376" max="15619" width="9.140625" style="142"/>
    <col min="15620" max="15620" width="12.7109375" style="142" customWidth="1"/>
    <col min="15621" max="15622" width="9.140625" style="142"/>
    <col min="15623" max="15623" width="12.42578125" style="142" customWidth="1"/>
    <col min="15624" max="15624" width="9.140625" style="142"/>
    <col min="15625" max="15625" width="14" style="142" bestFit="1" customWidth="1"/>
    <col min="15626" max="15626" width="9.140625" style="142"/>
    <col min="15627" max="15627" width="13.7109375" style="142" customWidth="1"/>
    <col min="15628" max="15628" width="10.140625" style="142" customWidth="1"/>
    <col min="15629" max="15629" width="12.85546875" style="142" bestFit="1" customWidth="1"/>
    <col min="15630" max="15630" width="10.5703125" style="142" customWidth="1"/>
    <col min="15631" max="15631" width="35.140625" style="142" customWidth="1"/>
    <col min="15632" max="15875" width="9.140625" style="142"/>
    <col min="15876" max="15876" width="12.7109375" style="142" customWidth="1"/>
    <col min="15877" max="15878" width="9.140625" style="142"/>
    <col min="15879" max="15879" width="12.42578125" style="142" customWidth="1"/>
    <col min="15880" max="15880" width="9.140625" style="142"/>
    <col min="15881" max="15881" width="14" style="142" bestFit="1" customWidth="1"/>
    <col min="15882" max="15882" width="9.140625" style="142"/>
    <col min="15883" max="15883" width="13.7109375" style="142" customWidth="1"/>
    <col min="15884" max="15884" width="10.140625" style="142" customWidth="1"/>
    <col min="15885" max="15885" width="12.85546875" style="142" bestFit="1" customWidth="1"/>
    <col min="15886" max="15886" width="10.5703125" style="142" customWidth="1"/>
    <col min="15887" max="15887" width="35.140625" style="142" customWidth="1"/>
    <col min="15888" max="16131" width="9.140625" style="142"/>
    <col min="16132" max="16132" width="12.7109375" style="142" customWidth="1"/>
    <col min="16133" max="16134" width="9.140625" style="142"/>
    <col min="16135" max="16135" width="12.42578125" style="142" customWidth="1"/>
    <col min="16136" max="16136" width="9.140625" style="142"/>
    <col min="16137" max="16137" width="14" style="142" bestFit="1" customWidth="1"/>
    <col min="16138" max="16138" width="9.140625" style="142"/>
    <col min="16139" max="16139" width="13.7109375" style="142" customWidth="1"/>
    <col min="16140" max="16140" width="10.140625" style="142" customWidth="1"/>
    <col min="16141" max="16141" width="12.85546875" style="142" bestFit="1" customWidth="1"/>
    <col min="16142" max="16142" width="10.5703125" style="142" customWidth="1"/>
    <col min="16143" max="16143" width="35.140625" style="142" customWidth="1"/>
    <col min="16144" max="16384" width="9.140625" style="142"/>
  </cols>
  <sheetData>
    <row r="1" spans="1:58" s="616" customFormat="1" ht="12" customHeight="1">
      <c r="A1" s="595"/>
      <c r="B1" s="596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  <c r="P1" s="595"/>
      <c r="Q1" s="595"/>
      <c r="R1" s="595"/>
      <c r="S1" s="595"/>
      <c r="T1" s="595"/>
      <c r="U1" s="595"/>
      <c r="V1" s="595"/>
      <c r="W1" s="595"/>
      <c r="X1" s="595"/>
      <c r="Y1" s="595"/>
      <c r="Z1" s="595"/>
      <c r="AA1" s="595"/>
      <c r="AB1" s="595"/>
      <c r="AC1" s="595"/>
      <c r="AD1" s="595"/>
      <c r="AE1" s="595"/>
      <c r="AF1" s="595"/>
      <c r="AG1" s="595"/>
      <c r="AH1" s="595"/>
      <c r="AI1" s="595"/>
      <c r="AJ1" s="595"/>
      <c r="AK1" s="595"/>
      <c r="AL1" s="595"/>
      <c r="AM1" s="595"/>
      <c r="AN1" s="595"/>
      <c r="AO1" s="595"/>
      <c r="AP1" s="595"/>
      <c r="AQ1" s="595"/>
      <c r="AR1" s="595"/>
      <c r="AS1" s="595"/>
      <c r="AT1" s="595"/>
      <c r="AU1" s="595"/>
      <c r="AV1" s="595"/>
      <c r="AW1" s="595"/>
      <c r="AX1" s="595"/>
      <c r="AY1" s="595"/>
      <c r="AZ1" s="595"/>
      <c r="BA1" s="595"/>
      <c r="BB1" s="595"/>
      <c r="BC1" s="595"/>
      <c r="BD1" s="595"/>
      <c r="BE1" s="595"/>
      <c r="BF1" s="595"/>
    </row>
    <row r="2" spans="1:58" ht="12" customHeight="1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598"/>
      <c r="AI2" s="598"/>
      <c r="AJ2" s="598"/>
      <c r="AK2" s="598"/>
      <c r="AL2" s="598"/>
      <c r="AM2" s="598"/>
      <c r="AN2" s="242"/>
      <c r="AO2" s="242"/>
      <c r="AP2" s="242"/>
      <c r="AQ2" s="242"/>
      <c r="AR2" s="242"/>
      <c r="AS2" s="242"/>
      <c r="AT2" s="242"/>
      <c r="AU2" s="242"/>
      <c r="AV2" s="242"/>
      <c r="AW2" s="242"/>
      <c r="AX2" s="242"/>
      <c r="AY2" s="242"/>
      <c r="AZ2" s="242"/>
      <c r="BA2" s="242"/>
      <c r="BB2" s="242"/>
      <c r="BC2" s="242"/>
      <c r="BD2" s="242"/>
      <c r="BE2" s="242"/>
      <c r="BF2" s="242"/>
    </row>
    <row r="3" spans="1:58" ht="12" customHeight="1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599"/>
      <c r="AI3" s="599"/>
      <c r="AJ3" s="599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</row>
    <row r="4" spans="1:58" ht="12" customHeight="1">
      <c r="A4" s="595"/>
      <c r="B4" s="598"/>
      <c r="C4" s="599"/>
      <c r="D4" s="1884" t="s">
        <v>712</v>
      </c>
      <c r="E4" s="1884" t="s">
        <v>713</v>
      </c>
      <c r="F4" s="1891" t="s">
        <v>714</v>
      </c>
      <c r="G4" s="1884" t="s">
        <v>715</v>
      </c>
      <c r="H4" s="1884" t="s">
        <v>716</v>
      </c>
      <c r="I4" s="1884"/>
      <c r="J4" s="1884"/>
      <c r="K4" s="1884" t="s">
        <v>717</v>
      </c>
      <c r="L4" s="1884" t="s">
        <v>718</v>
      </c>
      <c r="M4" s="1884"/>
      <c r="N4" s="1884"/>
      <c r="O4" s="1884"/>
      <c r="P4" s="358"/>
      <c r="Q4" s="358"/>
      <c r="R4" s="358"/>
      <c r="S4" s="358"/>
      <c r="T4" s="358"/>
      <c r="U4" s="358"/>
      <c r="V4" s="358"/>
      <c r="W4" s="358"/>
      <c r="X4" s="358"/>
      <c r="Y4" s="358"/>
      <c r="Z4" s="358"/>
      <c r="AA4" s="358"/>
      <c r="AB4" s="358"/>
      <c r="AC4" s="358"/>
      <c r="AD4" s="358"/>
      <c r="AE4" s="358"/>
      <c r="AF4" s="358"/>
      <c r="AG4" s="358"/>
      <c r="AH4" s="358"/>
      <c r="AI4" s="358"/>
      <c r="AJ4" s="358"/>
      <c r="AK4" s="358"/>
      <c r="AL4" s="358"/>
      <c r="AM4" s="358"/>
      <c r="AN4" s="358"/>
      <c r="AO4" s="358"/>
      <c r="AP4" s="358"/>
      <c r="AQ4" s="358"/>
      <c r="AR4" s="358"/>
      <c r="AS4" s="358"/>
      <c r="AT4" s="358"/>
      <c r="AU4" s="358"/>
      <c r="AV4" s="358"/>
      <c r="AW4" s="358"/>
      <c r="AX4" s="358"/>
      <c r="AY4" s="358"/>
      <c r="AZ4" s="358"/>
      <c r="BA4" s="358"/>
      <c r="BB4" s="358"/>
    </row>
    <row r="5" spans="1:58" ht="12" customHeight="1">
      <c r="A5" s="595"/>
      <c r="B5" s="598"/>
      <c r="C5" s="599"/>
      <c r="D5" s="1884"/>
      <c r="E5" s="1884"/>
      <c r="F5" s="1891"/>
      <c r="G5" s="1884"/>
      <c r="H5" s="777" t="s">
        <v>719</v>
      </c>
      <c r="I5" s="777" t="s">
        <v>720</v>
      </c>
      <c r="J5" s="777" t="s">
        <v>721</v>
      </c>
      <c r="K5" s="1884"/>
      <c r="L5" s="1884"/>
      <c r="M5" s="1884"/>
      <c r="N5" s="1884"/>
      <c r="O5" s="1884"/>
      <c r="P5" s="358"/>
      <c r="Q5" s="358"/>
      <c r="R5" s="358"/>
      <c r="S5" s="358"/>
      <c r="T5" s="358"/>
      <c r="U5" s="358"/>
      <c r="V5" s="358"/>
      <c r="W5" s="358"/>
      <c r="X5" s="358"/>
      <c r="Y5" s="358"/>
      <c r="Z5" s="358"/>
      <c r="AA5" s="358"/>
      <c r="AB5" s="358"/>
      <c r="AC5" s="358"/>
      <c r="AD5" s="358"/>
      <c r="AE5" s="358"/>
      <c r="AF5" s="358"/>
      <c r="AG5" s="358"/>
      <c r="AH5" s="358"/>
      <c r="AI5" s="358"/>
      <c r="AJ5" s="358"/>
      <c r="AK5" s="358"/>
      <c r="AL5" s="358"/>
      <c r="AM5" s="358"/>
      <c r="AN5" s="358"/>
      <c r="AO5" s="358"/>
      <c r="AP5" s="358"/>
      <c r="AQ5" s="358"/>
      <c r="AR5" s="358"/>
      <c r="AS5" s="358"/>
      <c r="AT5" s="358"/>
      <c r="AU5" s="358"/>
      <c r="AV5" s="358"/>
      <c r="AW5" s="358"/>
      <c r="AX5" s="358"/>
      <c r="AY5" s="358"/>
      <c r="AZ5" s="358"/>
      <c r="BA5" s="358"/>
      <c r="BB5" s="358"/>
    </row>
    <row r="6" spans="1:58" ht="12" customHeight="1">
      <c r="A6" s="595"/>
      <c r="B6" s="598"/>
      <c r="C6" s="599"/>
      <c r="D6" s="1092"/>
      <c r="E6" s="1093"/>
      <c r="F6" s="1094">
        <v>0</v>
      </c>
      <c r="G6" s="1095">
        <v>0</v>
      </c>
      <c r="H6" s="1050"/>
      <c r="I6" s="544" t="s">
        <v>722</v>
      </c>
      <c r="J6" s="1050"/>
      <c r="K6" s="1096">
        <f t="shared" ref="K6:K8" si="0">F6*1000*G6</f>
        <v>0</v>
      </c>
      <c r="L6" s="1880" t="s">
        <v>723</v>
      </c>
      <c r="M6" s="1880"/>
      <c r="N6" s="1880"/>
      <c r="O6" s="1880"/>
      <c r="P6" s="358"/>
      <c r="Q6" s="358"/>
      <c r="R6" s="358"/>
      <c r="S6" s="358"/>
      <c r="T6" s="358"/>
      <c r="U6" s="358"/>
      <c r="V6" s="358"/>
      <c r="W6" s="358"/>
      <c r="X6" s="358"/>
      <c r="Y6" s="358"/>
      <c r="Z6" s="358"/>
      <c r="AA6" s="358"/>
      <c r="AB6" s="358"/>
      <c r="AC6" s="358"/>
      <c r="AD6" s="358"/>
      <c r="AE6" s="358"/>
      <c r="AF6" s="358"/>
      <c r="AG6" s="358"/>
      <c r="AH6" s="358"/>
      <c r="AI6" s="358"/>
      <c r="AJ6" s="358"/>
      <c r="AK6" s="358"/>
      <c r="AL6" s="358"/>
      <c r="AM6" s="358"/>
      <c r="AN6" s="358"/>
      <c r="AO6" s="358"/>
      <c r="AP6" s="358"/>
      <c r="AQ6" s="358"/>
      <c r="AR6" s="358"/>
      <c r="AS6" s="358"/>
      <c r="AT6" s="358"/>
      <c r="AU6" s="358"/>
      <c r="AV6" s="358"/>
      <c r="AW6" s="358"/>
      <c r="AX6" s="358"/>
      <c r="AY6" s="358"/>
      <c r="AZ6" s="358"/>
      <c r="BA6" s="358"/>
      <c r="BB6" s="358"/>
    </row>
    <row r="7" spans="1:58" ht="12" customHeight="1">
      <c r="A7" s="595"/>
      <c r="B7" s="598"/>
      <c r="C7" s="599"/>
      <c r="D7" s="1092"/>
      <c r="E7" s="1093"/>
      <c r="F7" s="1093">
        <v>0</v>
      </c>
      <c r="G7" s="1095">
        <v>0</v>
      </c>
      <c r="H7" s="544"/>
      <c r="I7" s="544" t="s">
        <v>722</v>
      </c>
      <c r="J7" s="1050"/>
      <c r="K7" s="1096">
        <f t="shared" si="0"/>
        <v>0</v>
      </c>
      <c r="L7" s="1880" t="s">
        <v>724</v>
      </c>
      <c r="M7" s="1880"/>
      <c r="N7" s="1880"/>
      <c r="O7" s="1880"/>
      <c r="P7" s="358"/>
      <c r="Q7" s="358"/>
      <c r="R7" s="358"/>
      <c r="S7" s="358"/>
      <c r="T7" s="358"/>
      <c r="U7" s="358"/>
      <c r="V7" s="358"/>
      <c r="W7" s="358"/>
      <c r="X7" s="358"/>
      <c r="Y7" s="358"/>
      <c r="Z7" s="358"/>
      <c r="AA7" s="358"/>
      <c r="AB7" s="358"/>
      <c r="AC7" s="358"/>
      <c r="AD7" s="358"/>
      <c r="AE7" s="358"/>
      <c r="AF7" s="358"/>
      <c r="AG7" s="358"/>
      <c r="AH7" s="358"/>
      <c r="AI7" s="358"/>
      <c r="AJ7" s="358"/>
      <c r="AK7" s="358"/>
      <c r="AL7" s="358"/>
      <c r="AM7" s="358"/>
      <c r="AN7" s="358"/>
      <c r="AO7" s="358"/>
      <c r="AP7" s="358"/>
      <c r="AQ7" s="358"/>
      <c r="AR7" s="358"/>
      <c r="AS7" s="358"/>
      <c r="AT7" s="358"/>
      <c r="AU7" s="358"/>
      <c r="AV7" s="358"/>
      <c r="AW7" s="358"/>
      <c r="AX7" s="358"/>
      <c r="AY7" s="358"/>
      <c r="AZ7" s="358"/>
      <c r="BA7" s="358"/>
      <c r="BB7" s="358"/>
    </row>
    <row r="8" spans="1:58" ht="12" customHeight="1">
      <c r="A8" s="595"/>
      <c r="B8" s="598"/>
      <c r="C8" s="599"/>
      <c r="D8" s="1092"/>
      <c r="E8" s="1093"/>
      <c r="F8" s="1093">
        <f t="shared" ref="F8" si="1">E8-D8</f>
        <v>0</v>
      </c>
      <c r="G8" s="1095">
        <v>0</v>
      </c>
      <c r="H8" s="544"/>
      <c r="I8" s="544" t="s">
        <v>722</v>
      </c>
      <c r="J8" s="1050"/>
      <c r="K8" s="1096">
        <f t="shared" si="0"/>
        <v>0</v>
      </c>
      <c r="L8" s="1880" t="s">
        <v>725</v>
      </c>
      <c r="M8" s="1880"/>
      <c r="N8" s="1880"/>
      <c r="O8" s="1880"/>
      <c r="P8" s="358"/>
      <c r="Q8" s="358"/>
      <c r="R8" s="358"/>
      <c r="S8" s="358"/>
      <c r="T8" s="358"/>
      <c r="U8" s="358"/>
      <c r="V8" s="358"/>
      <c r="W8" s="358"/>
      <c r="X8" s="358"/>
      <c r="Y8" s="358"/>
      <c r="Z8" s="358"/>
      <c r="AA8" s="358"/>
      <c r="AB8" s="358"/>
      <c r="AC8" s="358"/>
      <c r="AD8" s="358"/>
      <c r="AE8" s="358"/>
      <c r="AF8" s="358"/>
      <c r="AG8" s="358"/>
      <c r="AH8" s="358"/>
      <c r="AI8" s="358"/>
      <c r="AJ8" s="358"/>
      <c r="AK8" s="358"/>
      <c r="AL8" s="358"/>
      <c r="AM8" s="358"/>
      <c r="AN8" s="358"/>
      <c r="AO8" s="358"/>
      <c r="AP8" s="358"/>
      <c r="AQ8" s="358"/>
      <c r="AR8" s="358"/>
      <c r="AS8" s="358"/>
      <c r="AT8" s="358"/>
      <c r="AU8" s="358"/>
      <c r="AV8" s="358"/>
      <c r="AW8" s="358"/>
      <c r="AX8" s="358"/>
      <c r="AY8" s="358"/>
      <c r="AZ8" s="358"/>
      <c r="BA8" s="358"/>
      <c r="BB8" s="358"/>
    </row>
    <row r="9" spans="1:58" ht="12" customHeight="1">
      <c r="A9" s="595"/>
      <c r="B9" s="598"/>
      <c r="C9" s="599"/>
      <c r="D9" s="1893" t="s">
        <v>726</v>
      </c>
      <c r="E9" s="1894"/>
      <c r="F9" s="1894"/>
      <c r="G9" s="1894"/>
      <c r="H9" s="1894"/>
      <c r="I9" s="1894"/>
      <c r="J9" s="1895"/>
      <c r="K9" s="1097">
        <f>SUM(K6:K7)</f>
        <v>0</v>
      </c>
      <c r="L9" s="358"/>
      <c r="M9" s="358"/>
      <c r="N9" s="358"/>
      <c r="O9" s="358"/>
      <c r="P9" s="358"/>
      <c r="Q9" s="358"/>
      <c r="R9" s="358"/>
      <c r="S9" s="358"/>
      <c r="T9" s="358"/>
      <c r="U9" s="358"/>
      <c r="V9" s="358"/>
      <c r="W9" s="358"/>
      <c r="X9" s="358"/>
      <c r="Y9" s="358"/>
      <c r="Z9" s="358"/>
      <c r="AA9" s="358"/>
      <c r="AB9" s="358"/>
      <c r="AC9" s="358"/>
      <c r="AD9" s="358"/>
      <c r="AE9" s="358"/>
      <c r="AF9" s="358"/>
      <c r="AG9" s="358"/>
      <c r="AH9" s="358"/>
      <c r="AI9" s="358"/>
      <c r="AJ9" s="358"/>
      <c r="AK9" s="358"/>
      <c r="AL9" s="358"/>
      <c r="AM9" s="358"/>
      <c r="AN9" s="358"/>
      <c r="AO9" s="358"/>
      <c r="AP9" s="358"/>
      <c r="AQ9" s="358"/>
      <c r="AR9" s="358"/>
      <c r="AS9" s="358"/>
      <c r="AT9" s="358"/>
      <c r="AU9" s="358"/>
      <c r="AV9" s="358"/>
      <c r="AW9" s="358"/>
      <c r="AX9" s="358"/>
      <c r="AY9" s="358"/>
      <c r="AZ9" s="358"/>
      <c r="BA9" s="358"/>
      <c r="BB9" s="358"/>
    </row>
    <row r="10" spans="1:58" ht="12" customHeight="1">
      <c r="A10" s="595"/>
      <c r="B10" s="598"/>
      <c r="C10" s="599"/>
      <c r="D10" s="1893" t="s">
        <v>727</v>
      </c>
      <c r="E10" s="1894"/>
      <c r="F10" s="1894"/>
      <c r="G10" s="1894"/>
      <c r="H10" s="1894"/>
      <c r="I10" s="1894"/>
      <c r="J10" s="1895"/>
      <c r="K10" s="1098">
        <f>K8</f>
        <v>0</v>
      </c>
      <c r="L10" s="358"/>
      <c r="M10" s="358"/>
      <c r="N10" s="358"/>
      <c r="O10" s="358"/>
      <c r="P10" s="358"/>
      <c r="Q10" s="358"/>
      <c r="R10" s="358"/>
      <c r="S10" s="358"/>
      <c r="T10" s="358"/>
      <c r="U10" s="358"/>
      <c r="V10" s="358"/>
      <c r="W10" s="358"/>
      <c r="X10" s="358"/>
      <c r="Y10" s="358"/>
      <c r="Z10" s="358"/>
      <c r="AA10" s="358"/>
      <c r="AB10" s="358"/>
      <c r="AC10" s="358"/>
      <c r="AD10" s="358"/>
      <c r="AE10" s="358"/>
      <c r="AF10" s="358"/>
      <c r="AG10" s="358"/>
      <c r="AH10" s="358"/>
      <c r="AI10" s="358"/>
      <c r="AJ10" s="358"/>
      <c r="AK10" s="358"/>
      <c r="AL10" s="358"/>
      <c r="AM10" s="358"/>
      <c r="AN10" s="358"/>
      <c r="AO10" s="358"/>
      <c r="AP10" s="358"/>
      <c r="AQ10" s="358"/>
      <c r="AR10" s="358"/>
      <c r="AS10" s="358"/>
      <c r="AT10" s="358"/>
      <c r="AU10" s="358"/>
      <c r="AV10" s="358"/>
      <c r="AW10" s="358"/>
      <c r="AX10" s="358"/>
      <c r="AY10" s="358"/>
      <c r="AZ10" s="358"/>
      <c r="BA10" s="358"/>
      <c r="BB10" s="358"/>
    </row>
    <row r="11" spans="1:58" ht="12" customHeight="1">
      <c r="A11" s="595"/>
      <c r="B11" s="598"/>
      <c r="C11" s="599"/>
      <c r="D11" s="1896" t="s">
        <v>728</v>
      </c>
      <c r="E11" s="1897"/>
      <c r="F11" s="1897"/>
      <c r="G11" s="1897"/>
      <c r="H11" s="1897"/>
      <c r="I11" s="1897"/>
      <c r="J11" s="1898"/>
      <c r="K11" s="1098">
        <f>SUM(K9:K10)</f>
        <v>0</v>
      </c>
      <c r="L11" s="358"/>
      <c r="M11" s="358"/>
      <c r="N11" s="358"/>
      <c r="O11" s="358"/>
      <c r="P11" s="358"/>
      <c r="Q11" s="358"/>
      <c r="R11" s="358"/>
      <c r="S11" s="358"/>
      <c r="T11" s="358"/>
      <c r="U11" s="358"/>
      <c r="V11" s="358"/>
      <c r="W11" s="358"/>
      <c r="X11" s="358"/>
      <c r="Y11" s="358"/>
      <c r="Z11" s="358"/>
      <c r="AA11" s="358"/>
      <c r="AB11" s="358"/>
      <c r="AC11" s="358"/>
      <c r="AD11" s="358"/>
      <c r="AE11" s="358"/>
      <c r="AF11" s="358"/>
      <c r="AG11" s="358"/>
      <c r="AH11" s="358"/>
      <c r="AI11" s="358"/>
      <c r="AJ11" s="358"/>
      <c r="AK11" s="358"/>
      <c r="AL11" s="358"/>
      <c r="AM11" s="358"/>
      <c r="AN11" s="358"/>
      <c r="AO11" s="358"/>
      <c r="AP11" s="358"/>
      <c r="AQ11" s="358"/>
      <c r="AR11" s="358"/>
      <c r="AS11" s="358"/>
      <c r="AT11" s="358"/>
      <c r="AU11" s="358"/>
      <c r="AV11" s="358"/>
      <c r="AW11" s="358"/>
      <c r="AX11" s="358"/>
      <c r="AY11" s="358"/>
      <c r="AZ11" s="358"/>
      <c r="BA11" s="358"/>
      <c r="BB11" s="358"/>
    </row>
    <row r="12" spans="1:58" ht="12" customHeight="1">
      <c r="A12" s="595"/>
      <c r="B12" s="598"/>
      <c r="C12" s="599"/>
      <c r="D12" s="282"/>
      <c r="E12" s="282"/>
      <c r="F12" s="358"/>
      <c r="G12" s="358"/>
      <c r="H12" s="372"/>
      <c r="I12" s="358"/>
      <c r="J12" s="358"/>
      <c r="K12" s="358"/>
      <c r="L12" s="358"/>
      <c r="M12" s="371"/>
      <c r="N12" s="358"/>
      <c r="O12" s="358"/>
      <c r="P12" s="358"/>
      <c r="Q12" s="358"/>
      <c r="R12" s="358"/>
      <c r="S12" s="358"/>
      <c r="T12" s="358"/>
      <c r="U12" s="358"/>
      <c r="V12" s="358"/>
      <c r="W12" s="358"/>
      <c r="X12" s="358"/>
      <c r="Y12" s="358"/>
      <c r="Z12" s="358"/>
      <c r="AA12" s="358"/>
      <c r="AB12" s="358"/>
      <c r="AC12" s="358"/>
      <c r="AD12" s="358"/>
      <c r="AE12" s="358"/>
      <c r="AF12" s="358"/>
      <c r="AG12" s="358"/>
      <c r="AH12" s="358"/>
      <c r="AI12" s="358"/>
      <c r="AJ12" s="358"/>
      <c r="AK12" s="358"/>
      <c r="AL12" s="358"/>
      <c r="AM12" s="358"/>
      <c r="AN12" s="358"/>
      <c r="AO12" s="358"/>
      <c r="AP12" s="358"/>
      <c r="AQ12" s="358"/>
      <c r="AR12" s="358"/>
      <c r="AS12" s="358"/>
      <c r="AT12" s="358"/>
      <c r="AU12" s="358"/>
      <c r="AV12" s="358"/>
      <c r="AW12" s="358"/>
      <c r="AX12" s="358"/>
      <c r="AY12" s="358"/>
      <c r="AZ12" s="358"/>
      <c r="BA12" s="358"/>
      <c r="BB12" s="358"/>
    </row>
    <row r="13" spans="1:58" ht="12" customHeight="1">
      <c r="A13" s="595"/>
      <c r="B13" s="598"/>
      <c r="C13" s="599"/>
      <c r="D13" s="1884" t="s">
        <v>729</v>
      </c>
      <c r="E13" s="1884"/>
      <c r="F13" s="1884" t="s">
        <v>730</v>
      </c>
      <c r="G13" s="1884" t="s">
        <v>715</v>
      </c>
      <c r="H13" s="1891" t="s">
        <v>703</v>
      </c>
      <c r="I13" s="1891" t="s">
        <v>717</v>
      </c>
      <c r="J13" s="1884" t="s">
        <v>716</v>
      </c>
      <c r="K13" s="1884"/>
      <c r="L13" s="1884"/>
      <c r="M13" s="1884" t="s">
        <v>718</v>
      </c>
      <c r="N13" s="1884"/>
      <c r="O13" s="1884"/>
      <c r="P13" s="358"/>
      <c r="Q13" s="358"/>
      <c r="R13" s="358"/>
      <c r="S13" s="358"/>
      <c r="T13" s="358"/>
      <c r="U13" s="358"/>
      <c r="V13" s="358"/>
      <c r="W13" s="358"/>
      <c r="X13" s="358"/>
      <c r="Y13" s="358"/>
      <c r="Z13" s="358"/>
      <c r="AA13" s="358"/>
      <c r="AB13" s="358"/>
      <c r="AC13" s="358"/>
      <c r="AD13" s="358"/>
      <c r="AE13" s="358"/>
      <c r="AF13" s="358"/>
      <c r="AG13" s="358"/>
      <c r="AH13" s="358"/>
      <c r="AI13" s="358"/>
      <c r="AJ13" s="358"/>
      <c r="AK13" s="358"/>
      <c r="AL13" s="358"/>
      <c r="AM13" s="358"/>
      <c r="AN13" s="358"/>
      <c r="AO13" s="358"/>
      <c r="AP13" s="358"/>
      <c r="AQ13" s="358"/>
      <c r="AR13" s="358"/>
      <c r="AS13" s="358"/>
      <c r="AT13" s="358"/>
      <c r="AU13" s="358"/>
      <c r="AV13" s="358"/>
      <c r="AW13" s="358"/>
      <c r="AX13" s="358"/>
      <c r="AY13" s="358"/>
      <c r="AZ13" s="358"/>
      <c r="BA13" s="358"/>
      <c r="BB13" s="358"/>
    </row>
    <row r="14" spans="1:58" ht="12" customHeight="1">
      <c r="A14" s="595"/>
      <c r="B14" s="598"/>
      <c r="C14" s="599"/>
      <c r="D14" s="1884"/>
      <c r="E14" s="1884"/>
      <c r="F14" s="1884"/>
      <c r="G14" s="1884"/>
      <c r="H14" s="1891"/>
      <c r="I14" s="1891"/>
      <c r="J14" s="777" t="s">
        <v>719</v>
      </c>
      <c r="K14" s="777" t="s">
        <v>720</v>
      </c>
      <c r="L14" s="777" t="s">
        <v>721</v>
      </c>
      <c r="M14" s="1884"/>
      <c r="N14" s="1884"/>
      <c r="O14" s="1884"/>
      <c r="P14" s="358"/>
      <c r="Q14" s="358"/>
      <c r="R14" s="358"/>
      <c r="S14" s="358"/>
      <c r="T14" s="358"/>
      <c r="U14" s="358"/>
      <c r="V14" s="358"/>
      <c r="W14" s="358"/>
      <c r="X14" s="358"/>
      <c r="Y14" s="358"/>
      <c r="Z14" s="358"/>
      <c r="AA14" s="358"/>
      <c r="AB14" s="358"/>
      <c r="AC14" s="358"/>
      <c r="AD14" s="358"/>
      <c r="AE14" s="358"/>
      <c r="AF14" s="358"/>
      <c r="AG14" s="358"/>
      <c r="AH14" s="358"/>
      <c r="AI14" s="358"/>
      <c r="AJ14" s="358"/>
      <c r="AK14" s="358"/>
      <c r="AL14" s="358"/>
      <c r="AM14" s="358"/>
      <c r="AN14" s="358"/>
      <c r="AO14" s="358"/>
      <c r="AP14" s="358"/>
      <c r="AQ14" s="358"/>
      <c r="AR14" s="358"/>
      <c r="AS14" s="358"/>
      <c r="AT14" s="358"/>
      <c r="AU14" s="358"/>
      <c r="AV14" s="358"/>
      <c r="AW14" s="358"/>
      <c r="AX14" s="358"/>
      <c r="AY14" s="358"/>
      <c r="AZ14" s="358"/>
      <c r="BA14" s="358"/>
      <c r="BB14" s="358"/>
    </row>
    <row r="15" spans="1:58" ht="12" customHeight="1">
      <c r="A15" s="595"/>
      <c r="B15" s="598"/>
      <c r="C15" s="599"/>
      <c r="D15" s="1892">
        <v>52</v>
      </c>
      <c r="E15" s="1892"/>
      <c r="F15" s="1099">
        <v>0.3</v>
      </c>
      <c r="G15" s="1095">
        <v>20</v>
      </c>
      <c r="H15" s="1100">
        <f>D15*F15*1000</f>
        <v>15600</v>
      </c>
      <c r="I15" s="1101">
        <f>H15*G15</f>
        <v>312000</v>
      </c>
      <c r="J15" s="1050"/>
      <c r="K15" s="544" t="s">
        <v>722</v>
      </c>
      <c r="L15" s="544"/>
      <c r="M15" s="1890" t="s">
        <v>731</v>
      </c>
      <c r="N15" s="1890"/>
      <c r="O15" s="1890"/>
      <c r="P15" s="358"/>
      <c r="Q15" s="358"/>
      <c r="R15" s="358"/>
      <c r="S15" s="358"/>
      <c r="T15" s="358"/>
      <c r="U15" s="358"/>
      <c r="V15" s="358"/>
      <c r="W15" s="358"/>
      <c r="X15" s="358"/>
      <c r="Y15" s="358"/>
      <c r="Z15" s="358"/>
      <c r="AA15" s="358"/>
      <c r="AB15" s="358"/>
      <c r="AC15" s="358"/>
      <c r="AD15" s="358"/>
      <c r="AE15" s="358"/>
      <c r="AF15" s="358"/>
      <c r="AG15" s="358"/>
      <c r="AH15" s="358"/>
      <c r="AI15" s="358"/>
      <c r="AJ15" s="358"/>
      <c r="AK15" s="358"/>
      <c r="AL15" s="358"/>
      <c r="AM15" s="358"/>
      <c r="AN15" s="358"/>
      <c r="AO15" s="358"/>
      <c r="AP15" s="358"/>
      <c r="AQ15" s="358"/>
      <c r="AR15" s="358"/>
      <c r="AS15" s="358"/>
      <c r="AT15" s="358"/>
      <c r="AU15" s="358"/>
      <c r="AV15" s="358"/>
      <c r="AW15" s="358"/>
      <c r="AX15" s="358"/>
      <c r="AY15" s="358"/>
      <c r="AZ15" s="358"/>
      <c r="BA15" s="358"/>
      <c r="BB15" s="358"/>
    </row>
    <row r="16" spans="1:58" ht="12" customHeight="1">
      <c r="A16" s="595"/>
      <c r="B16" s="598"/>
      <c r="C16" s="599"/>
      <c r="D16" s="1892"/>
      <c r="E16" s="1892"/>
      <c r="F16" s="1099">
        <v>0.3</v>
      </c>
      <c r="G16" s="1095">
        <v>20</v>
      </c>
      <c r="H16" s="1100">
        <f>D15*F16*1000</f>
        <v>15600</v>
      </c>
      <c r="I16" s="1101">
        <f>H16*G16</f>
        <v>312000</v>
      </c>
      <c r="J16" s="1050"/>
      <c r="K16" s="544" t="s">
        <v>722</v>
      </c>
      <c r="L16" s="544"/>
      <c r="M16" s="1890" t="s">
        <v>723</v>
      </c>
      <c r="N16" s="1890"/>
      <c r="O16" s="1890"/>
      <c r="P16" s="358"/>
      <c r="Q16" s="358"/>
      <c r="R16" s="358"/>
      <c r="S16" s="358"/>
      <c r="T16" s="358"/>
      <c r="U16" s="358"/>
      <c r="V16" s="358"/>
      <c r="W16" s="358"/>
      <c r="X16" s="358"/>
      <c r="Y16" s="358"/>
      <c r="Z16" s="358"/>
      <c r="AA16" s="358"/>
      <c r="AB16" s="358"/>
      <c r="AC16" s="358"/>
      <c r="AD16" s="358"/>
      <c r="AE16" s="358"/>
      <c r="AF16" s="358"/>
      <c r="AG16" s="358"/>
      <c r="AH16" s="358"/>
      <c r="AI16" s="358"/>
      <c r="AJ16" s="358"/>
      <c r="AK16" s="358"/>
      <c r="AL16" s="358"/>
      <c r="AM16" s="358"/>
      <c r="AN16" s="358"/>
      <c r="AO16" s="358"/>
      <c r="AP16" s="358"/>
      <c r="AQ16" s="358"/>
      <c r="AR16" s="358"/>
      <c r="AS16" s="358"/>
      <c r="AT16" s="358"/>
      <c r="AU16" s="358"/>
      <c r="AV16" s="358"/>
      <c r="AW16" s="358"/>
      <c r="AX16" s="358"/>
      <c r="AY16" s="358"/>
      <c r="AZ16" s="358"/>
      <c r="BA16" s="358"/>
      <c r="BB16" s="358"/>
    </row>
    <row r="17" spans="1:54" ht="12" customHeight="1">
      <c r="A17" s="595"/>
      <c r="B17" s="598"/>
      <c r="C17" s="599"/>
      <c r="D17" s="1887" t="s">
        <v>732</v>
      </c>
      <c r="E17" s="1888"/>
      <c r="F17" s="1888"/>
      <c r="G17" s="1888"/>
      <c r="H17" s="1889"/>
      <c r="I17" s="1098">
        <f>SUM(I15:I16)</f>
        <v>624000</v>
      </c>
      <c r="J17" s="358"/>
      <c r="K17" s="358"/>
      <c r="L17" s="358"/>
      <c r="M17" s="358"/>
      <c r="N17" s="358"/>
      <c r="O17" s="358"/>
      <c r="P17" s="358"/>
      <c r="Q17" s="358"/>
      <c r="R17" s="358"/>
      <c r="S17" s="358"/>
      <c r="T17" s="358"/>
      <c r="U17" s="358"/>
      <c r="V17" s="358"/>
      <c r="W17" s="358"/>
      <c r="X17" s="358"/>
      <c r="Y17" s="358"/>
      <c r="Z17" s="358"/>
      <c r="AA17" s="358"/>
      <c r="AB17" s="358"/>
      <c r="AC17" s="358"/>
      <c r="AD17" s="358"/>
      <c r="AE17" s="358"/>
      <c r="AF17" s="358"/>
      <c r="AG17" s="358"/>
      <c r="AH17" s="358"/>
      <c r="AI17" s="358"/>
      <c r="AJ17" s="358"/>
      <c r="AK17" s="358"/>
      <c r="AL17" s="358"/>
      <c r="AM17" s="358"/>
      <c r="AN17" s="358"/>
      <c r="AO17" s="358"/>
      <c r="AP17" s="358"/>
      <c r="AQ17" s="358"/>
      <c r="AR17" s="358"/>
      <c r="AS17" s="358"/>
      <c r="AT17" s="358"/>
      <c r="AU17" s="358"/>
      <c r="AV17" s="358"/>
      <c r="AW17" s="358"/>
      <c r="AX17" s="358"/>
      <c r="AY17" s="358"/>
      <c r="AZ17" s="358"/>
      <c r="BA17" s="358"/>
      <c r="BB17" s="358"/>
    </row>
    <row r="18" spans="1:54" ht="12" customHeight="1">
      <c r="A18" s="595"/>
      <c r="B18" s="598"/>
      <c r="C18" s="599"/>
      <c r="D18" s="282"/>
      <c r="E18" s="282"/>
      <c r="F18" s="358"/>
      <c r="G18" s="358"/>
      <c r="H18" s="372"/>
      <c r="I18" s="358"/>
      <c r="J18" s="358"/>
      <c r="K18" s="358"/>
      <c r="L18" s="358"/>
      <c r="M18" s="358"/>
      <c r="N18" s="358"/>
      <c r="O18" s="358"/>
      <c r="P18" s="358"/>
      <c r="Q18" s="358"/>
      <c r="R18" s="358"/>
      <c r="S18" s="358"/>
      <c r="T18" s="358"/>
      <c r="U18" s="358"/>
      <c r="V18" s="358"/>
      <c r="W18" s="358"/>
      <c r="X18" s="358"/>
      <c r="Y18" s="358"/>
      <c r="Z18" s="358"/>
      <c r="AA18" s="358"/>
      <c r="AB18" s="358"/>
      <c r="AC18" s="358"/>
      <c r="AD18" s="358"/>
      <c r="AE18" s="358"/>
      <c r="AF18" s="358"/>
      <c r="AG18" s="358"/>
      <c r="AH18" s="358"/>
      <c r="AI18" s="358"/>
      <c r="AJ18" s="358"/>
      <c r="AK18" s="358"/>
      <c r="AL18" s="358"/>
      <c r="AM18" s="358"/>
      <c r="AN18" s="358"/>
      <c r="AO18" s="358"/>
      <c r="AP18" s="358"/>
      <c r="AQ18" s="358"/>
      <c r="AR18" s="358"/>
      <c r="AS18" s="358"/>
      <c r="AT18" s="358"/>
      <c r="AU18" s="358"/>
      <c r="AV18" s="358"/>
      <c r="AW18" s="358"/>
      <c r="AX18" s="358"/>
      <c r="AY18" s="358"/>
      <c r="AZ18" s="358"/>
      <c r="BA18" s="358"/>
      <c r="BB18" s="358"/>
    </row>
    <row r="19" spans="1:54" ht="12" customHeight="1">
      <c r="A19" s="595"/>
      <c r="B19" s="598"/>
      <c r="C19" s="599"/>
      <c r="D19" s="282"/>
      <c r="E19" s="282"/>
      <c r="F19" s="358"/>
      <c r="G19" s="358"/>
      <c r="H19" s="379"/>
      <c r="I19" s="358"/>
      <c r="J19" s="358"/>
      <c r="K19" s="358"/>
      <c r="L19" s="358"/>
      <c r="M19" s="358"/>
      <c r="N19" s="358"/>
      <c r="O19" s="358"/>
      <c r="P19" s="358"/>
      <c r="Q19" s="358"/>
      <c r="R19" s="358"/>
      <c r="S19" s="358"/>
      <c r="T19" s="358"/>
      <c r="U19" s="358"/>
      <c r="V19" s="358"/>
      <c r="W19" s="358"/>
      <c r="X19" s="358"/>
      <c r="Y19" s="358"/>
      <c r="Z19" s="358"/>
      <c r="AA19" s="358"/>
      <c r="AB19" s="358"/>
      <c r="AC19" s="358"/>
      <c r="AD19" s="358"/>
      <c r="AE19" s="358"/>
      <c r="AF19" s="358"/>
      <c r="AG19" s="358"/>
      <c r="AH19" s="358"/>
      <c r="AI19" s="358"/>
      <c r="AJ19" s="358"/>
      <c r="AK19" s="358"/>
      <c r="AL19" s="358"/>
      <c r="AM19" s="358"/>
      <c r="AN19" s="358"/>
      <c r="AO19" s="358"/>
      <c r="AP19" s="358"/>
      <c r="AQ19" s="358"/>
      <c r="AR19" s="358"/>
      <c r="AS19" s="358"/>
      <c r="AT19" s="358"/>
      <c r="AU19" s="358"/>
      <c r="AV19" s="358"/>
      <c r="AW19" s="358"/>
      <c r="AX19" s="358"/>
      <c r="AY19" s="358"/>
      <c r="AZ19" s="358"/>
      <c r="BA19" s="358"/>
      <c r="BB19" s="358"/>
    </row>
    <row r="20" spans="1:54" ht="12" customHeight="1">
      <c r="A20" s="595"/>
      <c r="B20" s="598"/>
      <c r="C20" s="599"/>
      <c r="D20" s="282"/>
      <c r="E20" s="282"/>
      <c r="F20" s="358"/>
      <c r="G20" s="358"/>
      <c r="H20" s="372"/>
      <c r="I20" s="358"/>
      <c r="J20" s="358"/>
      <c r="K20" s="358"/>
      <c r="L20" s="358"/>
      <c r="M20" s="358"/>
      <c r="N20" s="358"/>
      <c r="O20" s="358"/>
      <c r="P20" s="358"/>
      <c r="Q20" s="358"/>
      <c r="R20" s="358"/>
      <c r="S20" s="358"/>
      <c r="T20" s="358"/>
      <c r="U20" s="358"/>
      <c r="V20" s="358"/>
      <c r="W20" s="358"/>
      <c r="X20" s="358"/>
      <c r="Y20" s="358"/>
      <c r="Z20" s="358"/>
      <c r="AA20" s="358"/>
      <c r="AB20" s="358"/>
      <c r="AC20" s="358"/>
      <c r="AD20" s="358"/>
      <c r="AE20" s="358"/>
      <c r="AF20" s="358"/>
      <c r="AG20" s="358"/>
      <c r="AH20" s="358"/>
      <c r="AI20" s="358"/>
      <c r="AJ20" s="358"/>
      <c r="AK20" s="358"/>
      <c r="AL20" s="358"/>
      <c r="AM20" s="358"/>
      <c r="AN20" s="358"/>
      <c r="AO20" s="358"/>
      <c r="AP20" s="358"/>
      <c r="AQ20" s="358"/>
      <c r="AR20" s="358"/>
      <c r="AS20" s="358"/>
      <c r="AT20" s="358"/>
      <c r="AU20" s="358"/>
      <c r="AV20" s="358"/>
      <c r="AW20" s="358"/>
      <c r="AX20" s="358"/>
      <c r="AY20" s="358"/>
      <c r="AZ20" s="358"/>
      <c r="BA20" s="358"/>
      <c r="BB20" s="358"/>
    </row>
    <row r="21" spans="1:54" ht="12" customHeight="1">
      <c r="A21" s="595"/>
      <c r="B21" s="598"/>
      <c r="C21" s="599"/>
      <c r="D21" s="282"/>
      <c r="E21" s="282"/>
      <c r="F21" s="358"/>
      <c r="G21" s="358"/>
      <c r="H21" s="372"/>
      <c r="I21" s="358"/>
      <c r="J21" s="358"/>
      <c r="K21" s="358"/>
      <c r="L21" s="358"/>
      <c r="M21" s="358"/>
      <c r="N21" s="358"/>
      <c r="O21" s="358"/>
      <c r="P21" s="358"/>
      <c r="Q21" s="358"/>
      <c r="R21" s="358"/>
      <c r="S21" s="358"/>
      <c r="T21" s="358"/>
      <c r="U21" s="358"/>
      <c r="V21" s="358"/>
      <c r="W21" s="358"/>
      <c r="X21" s="358"/>
      <c r="Y21" s="358"/>
      <c r="Z21" s="358"/>
      <c r="AA21" s="358"/>
      <c r="AB21" s="358"/>
      <c r="AC21" s="358"/>
      <c r="AD21" s="358"/>
      <c r="AE21" s="358"/>
      <c r="AF21" s="358"/>
      <c r="AG21" s="358"/>
      <c r="AH21" s="358"/>
      <c r="AI21" s="358"/>
      <c r="AJ21" s="358"/>
      <c r="AK21" s="358"/>
      <c r="AL21" s="358"/>
      <c r="AM21" s="358"/>
      <c r="AN21" s="358"/>
      <c r="AO21" s="358"/>
      <c r="AP21" s="358"/>
      <c r="AQ21" s="358"/>
      <c r="AR21" s="358"/>
      <c r="AS21" s="358"/>
      <c r="AT21" s="358"/>
      <c r="AU21" s="358"/>
      <c r="AV21" s="358"/>
      <c r="AW21" s="358"/>
      <c r="AX21" s="358"/>
      <c r="AY21" s="358"/>
      <c r="AZ21" s="358"/>
      <c r="BA21" s="358"/>
      <c r="BB21" s="358"/>
    </row>
    <row r="22" spans="1:54" ht="12" customHeight="1">
      <c r="A22" s="595"/>
      <c r="B22" s="598"/>
      <c r="C22" s="599"/>
      <c r="D22" s="282"/>
      <c r="E22" s="282"/>
      <c r="F22" s="358"/>
      <c r="G22" s="358"/>
      <c r="H22" s="372"/>
      <c r="I22" s="358"/>
      <c r="J22" s="358"/>
      <c r="K22" s="358"/>
      <c r="L22" s="358"/>
      <c r="M22" s="358"/>
      <c r="N22" s="358"/>
      <c r="O22" s="358"/>
      <c r="P22" s="358"/>
      <c r="Q22" s="358"/>
      <c r="R22" s="358"/>
      <c r="S22" s="358"/>
      <c r="T22" s="358"/>
      <c r="U22" s="358"/>
      <c r="V22" s="358"/>
      <c r="W22" s="358"/>
      <c r="X22" s="358"/>
      <c r="Y22" s="358"/>
      <c r="Z22" s="358"/>
      <c r="AA22" s="358"/>
      <c r="AB22" s="358"/>
      <c r="AC22" s="358"/>
      <c r="AD22" s="358"/>
      <c r="AE22" s="358"/>
      <c r="AF22" s="358"/>
      <c r="AG22" s="358"/>
      <c r="AH22" s="358"/>
      <c r="AI22" s="358"/>
      <c r="AJ22" s="358"/>
      <c r="AK22" s="358"/>
      <c r="AL22" s="358"/>
      <c r="AM22" s="358"/>
      <c r="AN22" s="358"/>
      <c r="AO22" s="358"/>
      <c r="AP22" s="358"/>
      <c r="AQ22" s="358"/>
      <c r="AR22" s="358"/>
      <c r="AS22" s="358"/>
      <c r="AT22" s="358"/>
      <c r="AU22" s="358"/>
      <c r="AV22" s="358"/>
      <c r="AW22" s="358"/>
      <c r="AX22" s="358"/>
      <c r="AY22" s="358"/>
      <c r="AZ22" s="358"/>
      <c r="BA22" s="358"/>
      <c r="BB22" s="358"/>
    </row>
    <row r="23" spans="1:54" ht="12" customHeight="1">
      <c r="A23" s="595"/>
      <c r="B23" s="598"/>
      <c r="C23" s="599"/>
      <c r="D23" s="282"/>
      <c r="E23" s="282"/>
      <c r="F23" s="358"/>
      <c r="G23" s="358"/>
      <c r="H23" s="372"/>
      <c r="I23" s="358"/>
      <c r="J23" s="358"/>
      <c r="K23" s="358"/>
      <c r="L23" s="358"/>
      <c r="M23" s="358"/>
      <c r="N23" s="358"/>
      <c r="O23" s="358"/>
      <c r="P23" s="358"/>
      <c r="Q23" s="358"/>
      <c r="R23" s="358"/>
      <c r="S23" s="358"/>
      <c r="T23" s="358"/>
      <c r="U23" s="358"/>
      <c r="V23" s="358"/>
      <c r="W23" s="358"/>
      <c r="X23" s="358"/>
      <c r="Y23" s="358"/>
      <c r="Z23" s="358"/>
      <c r="AA23" s="358"/>
      <c r="AB23" s="358"/>
      <c r="AC23" s="358"/>
      <c r="AD23" s="358"/>
      <c r="AE23" s="358"/>
      <c r="AF23" s="358"/>
      <c r="AG23" s="358"/>
      <c r="AH23" s="358"/>
      <c r="AI23" s="358"/>
      <c r="AJ23" s="358"/>
      <c r="AK23" s="358"/>
      <c r="AL23" s="358"/>
      <c r="AM23" s="358"/>
      <c r="AN23" s="358"/>
      <c r="AO23" s="358"/>
      <c r="AP23" s="358"/>
      <c r="AQ23" s="358"/>
      <c r="AR23" s="358"/>
      <c r="AS23" s="358"/>
      <c r="AT23" s="358"/>
      <c r="AU23" s="358"/>
      <c r="AV23" s="358"/>
      <c r="AW23" s="358"/>
      <c r="AX23" s="358"/>
      <c r="AY23" s="358"/>
      <c r="AZ23" s="358"/>
      <c r="BA23" s="358"/>
      <c r="BB23" s="358"/>
    </row>
    <row r="24" spans="1:54" ht="12" customHeight="1">
      <c r="A24" s="595"/>
      <c r="B24" s="598"/>
      <c r="C24" s="599"/>
      <c r="D24" s="282"/>
      <c r="E24" s="282"/>
      <c r="F24" s="358"/>
      <c r="G24" s="358"/>
      <c r="H24" s="372"/>
      <c r="I24" s="358"/>
      <c r="J24" s="358"/>
      <c r="K24" s="358"/>
      <c r="L24" s="358"/>
      <c r="M24" s="358"/>
      <c r="N24" s="358"/>
      <c r="O24" s="358"/>
      <c r="P24" s="358"/>
      <c r="Q24" s="358"/>
      <c r="R24" s="358"/>
      <c r="S24" s="358"/>
      <c r="T24" s="358"/>
      <c r="U24" s="358"/>
      <c r="V24" s="358"/>
      <c r="W24" s="358"/>
      <c r="X24" s="358"/>
      <c r="Y24" s="358"/>
      <c r="Z24" s="358"/>
      <c r="AA24" s="358"/>
      <c r="AB24" s="358"/>
      <c r="AC24" s="358"/>
      <c r="AD24" s="358"/>
      <c r="AE24" s="358"/>
      <c r="AF24" s="358"/>
      <c r="AG24" s="358"/>
      <c r="AH24" s="358"/>
      <c r="AI24" s="358"/>
      <c r="AJ24" s="358"/>
      <c r="AK24" s="358"/>
      <c r="AL24" s="358"/>
      <c r="AM24" s="358"/>
      <c r="AN24" s="358"/>
      <c r="AO24" s="358"/>
      <c r="AP24" s="358"/>
      <c r="AQ24" s="358"/>
      <c r="AR24" s="358"/>
      <c r="AS24" s="358"/>
      <c r="AT24" s="358"/>
      <c r="AU24" s="358"/>
      <c r="AV24" s="358"/>
      <c r="AW24" s="358"/>
      <c r="AX24" s="358"/>
      <c r="AY24" s="358"/>
      <c r="AZ24" s="358"/>
      <c r="BA24" s="358"/>
      <c r="BB24" s="358"/>
    </row>
    <row r="25" spans="1:54" ht="12" customHeight="1">
      <c r="A25" s="595"/>
      <c r="B25" s="598"/>
      <c r="C25" s="599"/>
      <c r="D25" s="282"/>
      <c r="E25" s="282"/>
      <c r="F25" s="358"/>
      <c r="G25" s="358"/>
      <c r="H25" s="372"/>
      <c r="I25" s="358"/>
      <c r="J25" s="358"/>
      <c r="K25" s="358"/>
      <c r="L25" s="358"/>
      <c r="M25" s="358"/>
      <c r="N25" s="358"/>
      <c r="O25" s="358"/>
      <c r="P25" s="358"/>
      <c r="Q25" s="358"/>
      <c r="R25" s="358"/>
      <c r="S25" s="358"/>
      <c r="T25" s="358"/>
      <c r="U25" s="358"/>
      <c r="V25" s="358"/>
      <c r="W25" s="358"/>
      <c r="X25" s="358"/>
      <c r="Y25" s="358"/>
      <c r="Z25" s="358"/>
      <c r="AA25" s="358"/>
      <c r="AB25" s="358"/>
      <c r="AC25" s="358"/>
      <c r="AD25" s="358"/>
      <c r="AE25" s="358"/>
      <c r="AF25" s="358"/>
      <c r="AG25" s="358"/>
      <c r="AH25" s="358"/>
      <c r="AI25" s="358"/>
      <c r="AJ25" s="358"/>
      <c r="AK25" s="358"/>
      <c r="AL25" s="358"/>
      <c r="AM25" s="358"/>
      <c r="AN25" s="358"/>
      <c r="AO25" s="358"/>
      <c r="AP25" s="358"/>
      <c r="AQ25" s="358"/>
      <c r="AR25" s="358"/>
      <c r="AS25" s="358"/>
      <c r="AT25" s="358"/>
      <c r="AU25" s="358"/>
      <c r="AV25" s="358"/>
      <c r="AW25" s="358"/>
      <c r="AX25" s="358"/>
      <c r="AY25" s="358"/>
      <c r="AZ25" s="358"/>
      <c r="BA25" s="358"/>
      <c r="BB25" s="358"/>
    </row>
    <row r="26" spans="1:54" ht="12" customHeight="1">
      <c r="A26" s="595"/>
      <c r="B26" s="598"/>
      <c r="C26" s="599"/>
      <c r="D26" s="282"/>
      <c r="E26" s="282"/>
      <c r="F26" s="358"/>
      <c r="G26" s="358"/>
      <c r="H26" s="372"/>
      <c r="I26" s="358"/>
      <c r="J26" s="358"/>
      <c r="K26" s="358"/>
      <c r="L26" s="358"/>
      <c r="M26" s="358"/>
      <c r="N26" s="358"/>
      <c r="O26" s="358"/>
      <c r="P26" s="358"/>
      <c r="Q26" s="358"/>
      <c r="R26" s="358"/>
      <c r="S26" s="358"/>
      <c r="T26" s="358"/>
      <c r="U26" s="358"/>
      <c r="V26" s="358"/>
      <c r="W26" s="358"/>
      <c r="X26" s="358"/>
      <c r="Y26" s="358"/>
      <c r="Z26" s="358"/>
      <c r="AA26" s="358"/>
      <c r="AB26" s="358"/>
      <c r="AC26" s="358"/>
      <c r="AD26" s="358"/>
      <c r="AE26" s="358"/>
      <c r="AF26" s="358"/>
      <c r="AG26" s="358"/>
      <c r="AH26" s="358"/>
      <c r="AI26" s="358"/>
      <c r="AJ26" s="358"/>
      <c r="AK26" s="358"/>
      <c r="AL26" s="358"/>
      <c r="AM26" s="358"/>
      <c r="AN26" s="358"/>
      <c r="AO26" s="358"/>
      <c r="AP26" s="358"/>
      <c r="AQ26" s="358"/>
      <c r="AR26" s="358"/>
      <c r="AS26" s="358"/>
      <c r="AT26" s="358"/>
      <c r="AU26" s="358"/>
      <c r="AV26" s="358"/>
      <c r="AW26" s="358"/>
      <c r="AX26" s="358"/>
      <c r="AY26" s="358"/>
      <c r="AZ26" s="358"/>
      <c r="BA26" s="358"/>
      <c r="BB26" s="358"/>
    </row>
    <row r="27" spans="1:54" ht="12" customHeight="1">
      <c r="A27" s="595"/>
      <c r="B27" s="598"/>
      <c r="C27" s="599"/>
      <c r="D27" s="282"/>
      <c r="E27" s="282"/>
      <c r="F27" s="358"/>
      <c r="G27" s="358"/>
      <c r="H27" s="372"/>
      <c r="I27" s="358"/>
      <c r="J27" s="358"/>
      <c r="K27" s="358"/>
      <c r="L27" s="358"/>
      <c r="M27" s="358"/>
      <c r="N27" s="358"/>
      <c r="O27" s="358"/>
      <c r="P27" s="358"/>
      <c r="Q27" s="358"/>
      <c r="R27" s="358"/>
      <c r="S27" s="358"/>
      <c r="T27" s="358"/>
      <c r="U27" s="358"/>
      <c r="V27" s="358"/>
      <c r="W27" s="358"/>
      <c r="X27" s="358"/>
      <c r="Y27" s="358"/>
      <c r="Z27" s="358"/>
      <c r="AA27" s="358"/>
      <c r="AB27" s="358"/>
      <c r="AC27" s="358"/>
      <c r="AD27" s="358"/>
      <c r="AE27" s="358"/>
      <c r="AF27" s="358"/>
      <c r="AG27" s="358"/>
      <c r="AH27" s="358"/>
      <c r="AI27" s="358"/>
      <c r="AJ27" s="358"/>
      <c r="AK27" s="358"/>
      <c r="AL27" s="358"/>
      <c r="AM27" s="358"/>
      <c r="AN27" s="358"/>
      <c r="AO27" s="358"/>
      <c r="AP27" s="358"/>
      <c r="AQ27" s="358"/>
      <c r="AR27" s="358"/>
      <c r="AS27" s="358"/>
      <c r="AT27" s="358"/>
      <c r="AU27" s="358"/>
      <c r="AV27" s="358"/>
      <c r="AW27" s="358"/>
      <c r="AX27" s="358"/>
      <c r="AY27" s="358"/>
      <c r="AZ27" s="358"/>
      <c r="BA27" s="358"/>
      <c r="BB27" s="358"/>
    </row>
    <row r="28" spans="1:54" ht="12" customHeight="1">
      <c r="A28" s="595"/>
      <c r="B28" s="598"/>
      <c r="C28" s="599"/>
      <c r="D28" s="282"/>
      <c r="E28" s="282"/>
      <c r="F28" s="358"/>
      <c r="G28" s="358"/>
      <c r="H28" s="372"/>
      <c r="I28" s="358"/>
      <c r="J28" s="358"/>
      <c r="K28" s="358"/>
      <c r="L28" s="358"/>
      <c r="M28" s="358"/>
      <c r="N28" s="358"/>
      <c r="O28" s="358"/>
      <c r="P28" s="358"/>
      <c r="Q28" s="358"/>
      <c r="R28" s="358"/>
      <c r="S28" s="358"/>
      <c r="T28" s="358"/>
      <c r="U28" s="358"/>
      <c r="V28" s="358"/>
      <c r="W28" s="358"/>
      <c r="X28" s="358"/>
      <c r="Y28" s="358"/>
      <c r="Z28" s="358"/>
      <c r="AA28" s="358"/>
      <c r="AB28" s="358"/>
      <c r="AC28" s="358"/>
      <c r="AD28" s="358"/>
      <c r="AE28" s="358"/>
      <c r="AF28" s="358"/>
      <c r="AG28" s="358"/>
      <c r="AH28" s="358"/>
      <c r="AI28" s="358"/>
      <c r="AJ28" s="358"/>
      <c r="AK28" s="358"/>
      <c r="AL28" s="358"/>
      <c r="AM28" s="358"/>
      <c r="AN28" s="358"/>
      <c r="AO28" s="358"/>
      <c r="AP28" s="358"/>
      <c r="AQ28" s="358"/>
      <c r="AR28" s="358"/>
      <c r="AS28" s="358"/>
      <c r="AT28" s="358"/>
      <c r="AU28" s="358"/>
      <c r="AV28" s="358"/>
      <c r="AW28" s="358"/>
      <c r="AX28" s="358"/>
      <c r="AY28" s="358"/>
      <c r="AZ28" s="358"/>
      <c r="BA28" s="358"/>
      <c r="BB28" s="358"/>
    </row>
    <row r="29" spans="1:54" ht="12" customHeight="1">
      <c r="A29" s="595"/>
      <c r="B29" s="598"/>
      <c r="C29" s="599"/>
      <c r="D29" s="282"/>
      <c r="E29" s="282"/>
      <c r="F29" s="358"/>
      <c r="G29" s="358"/>
      <c r="H29" s="372"/>
      <c r="I29" s="358"/>
      <c r="J29" s="358"/>
      <c r="K29" s="358"/>
      <c r="L29" s="358"/>
      <c r="M29" s="358"/>
      <c r="N29" s="358"/>
      <c r="O29" s="358"/>
      <c r="P29" s="358"/>
      <c r="Q29" s="358"/>
      <c r="R29" s="358"/>
      <c r="S29" s="358"/>
      <c r="T29" s="358"/>
      <c r="U29" s="358"/>
      <c r="V29" s="358"/>
      <c r="W29" s="358"/>
      <c r="X29" s="358"/>
      <c r="Y29" s="358"/>
      <c r="Z29" s="358"/>
      <c r="AA29" s="358"/>
      <c r="AB29" s="358"/>
      <c r="AC29" s="358"/>
      <c r="AD29" s="358"/>
      <c r="AE29" s="358"/>
      <c r="AF29" s="358"/>
      <c r="AG29" s="358"/>
      <c r="AH29" s="358"/>
      <c r="AI29" s="358"/>
      <c r="AJ29" s="358"/>
      <c r="AK29" s="358"/>
      <c r="AL29" s="358"/>
      <c r="AM29" s="358"/>
      <c r="AN29" s="358"/>
      <c r="AO29" s="358"/>
      <c r="AP29" s="358"/>
      <c r="AQ29" s="358"/>
      <c r="AR29" s="358"/>
      <c r="AS29" s="358"/>
      <c r="AT29" s="358"/>
      <c r="AU29" s="358"/>
      <c r="AV29" s="358"/>
      <c r="AW29" s="358"/>
      <c r="AX29" s="358"/>
      <c r="AY29" s="358"/>
      <c r="AZ29" s="358"/>
      <c r="BA29" s="358"/>
      <c r="BB29" s="358"/>
    </row>
    <row r="30" spans="1:54" ht="12" customHeight="1">
      <c r="A30" s="595"/>
      <c r="B30" s="598"/>
      <c r="C30" s="599"/>
      <c r="D30" s="282"/>
      <c r="E30" s="282"/>
      <c r="F30" s="358"/>
      <c r="G30" s="358"/>
      <c r="H30" s="372"/>
      <c r="I30" s="358"/>
      <c r="J30" s="358"/>
      <c r="K30" s="358"/>
      <c r="L30" s="358"/>
      <c r="M30" s="358"/>
      <c r="N30" s="358"/>
      <c r="O30" s="358"/>
      <c r="P30" s="358"/>
      <c r="Q30" s="358"/>
      <c r="R30" s="358"/>
      <c r="S30" s="358"/>
      <c r="T30" s="358"/>
      <c r="U30" s="358"/>
      <c r="V30" s="358"/>
      <c r="W30" s="358"/>
      <c r="X30" s="358"/>
      <c r="Y30" s="358"/>
      <c r="Z30" s="358"/>
      <c r="AA30" s="358"/>
      <c r="AB30" s="358"/>
      <c r="AC30" s="358"/>
      <c r="AD30" s="358"/>
      <c r="AE30" s="358"/>
      <c r="AF30" s="358"/>
      <c r="AG30" s="358"/>
      <c r="AH30" s="358"/>
      <c r="AI30" s="358"/>
      <c r="AJ30" s="358"/>
      <c r="AK30" s="358"/>
      <c r="AL30" s="358"/>
      <c r="AM30" s="358"/>
      <c r="AN30" s="358"/>
      <c r="AO30" s="358"/>
      <c r="AP30" s="358"/>
      <c r="AQ30" s="358"/>
      <c r="AR30" s="358"/>
      <c r="AS30" s="358"/>
      <c r="AT30" s="358"/>
      <c r="AU30" s="358"/>
      <c r="AV30" s="358"/>
      <c r="AW30" s="358"/>
      <c r="AX30" s="358"/>
      <c r="AY30" s="358"/>
      <c r="AZ30" s="358"/>
      <c r="BA30" s="358"/>
      <c r="BB30" s="358"/>
    </row>
    <row r="31" spans="1:54" ht="12" customHeight="1">
      <c r="A31" s="595"/>
      <c r="B31" s="598"/>
      <c r="C31" s="599"/>
      <c r="D31" s="282"/>
      <c r="E31" s="282"/>
      <c r="F31" s="358"/>
      <c r="G31" s="358"/>
      <c r="H31" s="372"/>
      <c r="I31" s="358"/>
      <c r="J31" s="358"/>
      <c r="K31" s="358"/>
      <c r="L31" s="358"/>
      <c r="M31" s="358"/>
      <c r="N31" s="358"/>
      <c r="O31" s="358"/>
      <c r="P31" s="358"/>
      <c r="Q31" s="358"/>
      <c r="R31" s="358"/>
      <c r="S31" s="358"/>
      <c r="T31" s="358"/>
      <c r="U31" s="358"/>
      <c r="V31" s="358"/>
      <c r="W31" s="358"/>
      <c r="X31" s="358"/>
      <c r="Y31" s="358"/>
      <c r="Z31" s="358"/>
      <c r="AA31" s="358"/>
      <c r="AB31" s="358"/>
      <c r="AC31" s="358"/>
      <c r="AD31" s="358"/>
      <c r="AE31" s="358"/>
      <c r="AF31" s="358"/>
      <c r="AG31" s="358"/>
      <c r="AH31" s="358"/>
      <c r="AI31" s="358"/>
      <c r="AJ31" s="358"/>
      <c r="AK31" s="358"/>
      <c r="AL31" s="358"/>
      <c r="AM31" s="358"/>
      <c r="AN31" s="358"/>
      <c r="AO31" s="358"/>
      <c r="AP31" s="358"/>
      <c r="AQ31" s="358"/>
      <c r="AR31" s="358"/>
      <c r="AS31" s="358"/>
      <c r="AT31" s="358"/>
      <c r="AU31" s="358"/>
      <c r="AV31" s="358"/>
      <c r="AW31" s="358"/>
      <c r="AX31" s="358"/>
      <c r="AY31" s="358"/>
      <c r="AZ31" s="358"/>
      <c r="BA31" s="358"/>
      <c r="BB31" s="358"/>
    </row>
    <row r="32" spans="1:54" ht="12" customHeight="1">
      <c r="A32" s="595"/>
      <c r="B32" s="598"/>
      <c r="C32" s="599"/>
      <c r="D32" s="282"/>
      <c r="E32" s="282"/>
      <c r="F32" s="358"/>
      <c r="G32" s="358"/>
      <c r="H32" s="372"/>
      <c r="I32" s="358"/>
      <c r="J32" s="358"/>
      <c r="K32" s="358"/>
      <c r="L32" s="358"/>
      <c r="M32" s="358"/>
      <c r="N32" s="358"/>
      <c r="O32" s="358"/>
      <c r="P32" s="358"/>
      <c r="Q32" s="358"/>
      <c r="R32" s="358"/>
      <c r="S32" s="358"/>
      <c r="T32" s="358"/>
      <c r="U32" s="358"/>
      <c r="V32" s="358"/>
      <c r="W32" s="358"/>
      <c r="X32" s="358"/>
      <c r="Y32" s="358"/>
      <c r="Z32" s="358"/>
      <c r="AA32" s="358"/>
      <c r="AB32" s="358"/>
      <c r="AC32" s="358"/>
      <c r="AD32" s="358"/>
      <c r="AE32" s="358"/>
      <c r="AF32" s="358"/>
      <c r="AG32" s="358"/>
      <c r="AH32" s="358"/>
      <c r="AI32" s="358"/>
      <c r="AJ32" s="358"/>
      <c r="AK32" s="358"/>
      <c r="AL32" s="358"/>
      <c r="AM32" s="358"/>
      <c r="AN32" s="358"/>
      <c r="AO32" s="358"/>
      <c r="AP32" s="358"/>
      <c r="AQ32" s="358"/>
      <c r="AR32" s="358"/>
      <c r="AS32" s="358"/>
      <c r="AT32" s="358"/>
      <c r="AU32" s="358"/>
      <c r="AV32" s="358"/>
      <c r="AW32" s="358"/>
      <c r="AX32" s="358"/>
      <c r="AY32" s="358"/>
      <c r="AZ32" s="358"/>
      <c r="BA32" s="358"/>
      <c r="BB32" s="358"/>
    </row>
    <row r="33" spans="1:54" ht="12" customHeight="1">
      <c r="A33" s="595"/>
      <c r="B33" s="598"/>
      <c r="C33" s="599"/>
      <c r="D33" s="282"/>
      <c r="E33" s="282"/>
      <c r="F33" s="358"/>
      <c r="G33" s="358"/>
      <c r="H33" s="372"/>
      <c r="I33" s="358"/>
      <c r="J33" s="358"/>
      <c r="K33" s="358"/>
      <c r="L33" s="358"/>
      <c r="M33" s="358"/>
      <c r="N33" s="358"/>
      <c r="O33" s="358"/>
      <c r="P33" s="358"/>
      <c r="Q33" s="358"/>
      <c r="R33" s="358"/>
      <c r="S33" s="358"/>
      <c r="T33" s="358"/>
      <c r="U33" s="358"/>
      <c r="V33" s="358"/>
      <c r="W33" s="358"/>
      <c r="X33" s="358"/>
      <c r="Y33" s="358"/>
      <c r="Z33" s="358"/>
      <c r="AA33" s="358"/>
      <c r="AB33" s="358"/>
      <c r="AC33" s="358"/>
      <c r="AD33" s="358"/>
      <c r="AE33" s="358"/>
      <c r="AF33" s="358"/>
      <c r="AG33" s="358"/>
      <c r="AH33" s="358"/>
      <c r="AI33" s="358"/>
      <c r="AJ33" s="358"/>
      <c r="AK33" s="358"/>
      <c r="AL33" s="358"/>
      <c r="AM33" s="358"/>
      <c r="AN33" s="358"/>
      <c r="AO33" s="358"/>
      <c r="AP33" s="358"/>
      <c r="AQ33" s="358"/>
      <c r="AR33" s="358"/>
      <c r="AS33" s="358"/>
      <c r="AT33" s="358"/>
      <c r="AU33" s="358"/>
      <c r="AV33" s="358"/>
      <c r="AW33" s="358"/>
      <c r="AX33" s="358"/>
      <c r="AY33" s="358"/>
      <c r="AZ33" s="358"/>
      <c r="BA33" s="358"/>
      <c r="BB33" s="358"/>
    </row>
    <row r="34" spans="1:54" ht="12" customHeight="1">
      <c r="A34" s="595"/>
      <c r="B34" s="598"/>
      <c r="C34" s="599"/>
      <c r="D34" s="282"/>
      <c r="E34" s="282"/>
      <c r="F34" s="358"/>
      <c r="G34" s="358"/>
      <c r="H34" s="372"/>
      <c r="I34" s="358"/>
      <c r="J34" s="358"/>
      <c r="K34" s="358"/>
      <c r="L34" s="358"/>
      <c r="M34" s="358"/>
      <c r="N34" s="358"/>
      <c r="O34" s="358"/>
      <c r="P34" s="358"/>
      <c r="Q34" s="358"/>
      <c r="R34" s="358"/>
      <c r="S34" s="358"/>
      <c r="T34" s="358"/>
      <c r="U34" s="358"/>
      <c r="V34" s="358"/>
      <c r="W34" s="358"/>
      <c r="X34" s="358"/>
      <c r="Y34" s="358"/>
      <c r="Z34" s="358"/>
      <c r="AA34" s="358"/>
      <c r="AB34" s="358"/>
      <c r="AC34" s="358"/>
      <c r="AD34" s="358"/>
      <c r="AE34" s="358"/>
      <c r="AF34" s="358"/>
      <c r="AG34" s="358"/>
      <c r="AH34" s="358"/>
      <c r="AI34" s="358"/>
      <c r="AJ34" s="358"/>
      <c r="AK34" s="358"/>
      <c r="AL34" s="358"/>
      <c r="AM34" s="358"/>
      <c r="AN34" s="358"/>
      <c r="AO34" s="358"/>
      <c r="AP34" s="358"/>
      <c r="AQ34" s="358"/>
      <c r="AR34" s="358"/>
      <c r="AS34" s="358"/>
      <c r="AT34" s="358"/>
      <c r="AU34" s="358"/>
      <c r="AV34" s="358"/>
      <c r="AW34" s="358"/>
      <c r="AX34" s="358"/>
      <c r="AY34" s="358"/>
      <c r="AZ34" s="358"/>
      <c r="BA34" s="358"/>
      <c r="BB34" s="358"/>
    </row>
    <row r="35" spans="1:54" ht="12" customHeight="1">
      <c r="A35" s="595"/>
      <c r="B35" s="598"/>
      <c r="C35" s="599"/>
      <c r="D35" s="282"/>
      <c r="E35" s="282"/>
      <c r="F35" s="358"/>
      <c r="G35" s="358"/>
      <c r="H35" s="372"/>
      <c r="I35" s="358"/>
      <c r="J35" s="358"/>
      <c r="K35" s="358"/>
      <c r="L35" s="358"/>
      <c r="M35" s="358"/>
      <c r="N35" s="358"/>
      <c r="O35" s="358"/>
      <c r="P35" s="358"/>
      <c r="Q35" s="358"/>
      <c r="R35" s="358"/>
      <c r="S35" s="358"/>
      <c r="T35" s="358"/>
      <c r="U35" s="358"/>
      <c r="V35" s="358"/>
      <c r="W35" s="358"/>
      <c r="X35" s="358"/>
      <c r="Y35" s="358"/>
      <c r="Z35" s="358"/>
      <c r="AA35" s="358"/>
      <c r="AB35" s="358"/>
      <c r="AC35" s="358"/>
      <c r="AD35" s="358"/>
      <c r="AE35" s="358"/>
      <c r="AF35" s="358"/>
      <c r="AG35" s="358"/>
      <c r="AH35" s="358"/>
      <c r="AI35" s="358"/>
      <c r="AJ35" s="358"/>
      <c r="AK35" s="358"/>
      <c r="AL35" s="358"/>
      <c r="AM35" s="358"/>
      <c r="AN35" s="358"/>
      <c r="AO35" s="358"/>
      <c r="AP35" s="358"/>
      <c r="AQ35" s="358"/>
      <c r="AR35" s="358"/>
      <c r="AS35" s="358"/>
      <c r="AT35" s="358"/>
      <c r="AU35" s="358"/>
      <c r="AV35" s="358"/>
      <c r="AW35" s="358"/>
      <c r="AX35" s="358"/>
      <c r="AY35" s="358"/>
      <c r="AZ35" s="358"/>
      <c r="BA35" s="358"/>
      <c r="BB35" s="358"/>
    </row>
    <row r="36" spans="1:54" ht="12" customHeight="1">
      <c r="A36" s="595"/>
      <c r="B36" s="598"/>
      <c r="C36" s="599"/>
      <c r="D36" s="282"/>
      <c r="E36" s="282"/>
      <c r="F36" s="358"/>
      <c r="G36" s="358"/>
      <c r="H36" s="372"/>
      <c r="I36" s="358"/>
      <c r="J36" s="358"/>
      <c r="K36" s="358"/>
      <c r="L36" s="358"/>
      <c r="M36" s="358"/>
      <c r="N36" s="358"/>
      <c r="O36" s="358"/>
      <c r="P36" s="358"/>
      <c r="Q36" s="358"/>
      <c r="R36" s="358"/>
      <c r="S36" s="358"/>
      <c r="T36" s="358"/>
      <c r="U36" s="358"/>
      <c r="V36" s="358"/>
      <c r="W36" s="358"/>
      <c r="X36" s="358"/>
      <c r="Y36" s="358"/>
      <c r="Z36" s="358"/>
      <c r="AA36" s="358"/>
      <c r="AB36" s="358"/>
      <c r="AC36" s="358"/>
      <c r="AD36" s="358"/>
      <c r="AE36" s="358"/>
      <c r="AF36" s="358"/>
      <c r="AG36" s="358"/>
      <c r="AH36" s="358"/>
      <c r="AI36" s="358"/>
      <c r="AJ36" s="358"/>
      <c r="AK36" s="358"/>
      <c r="AL36" s="358"/>
      <c r="AM36" s="358"/>
      <c r="AN36" s="358"/>
      <c r="AO36" s="358"/>
      <c r="AP36" s="358"/>
      <c r="AQ36" s="358"/>
      <c r="AR36" s="358"/>
      <c r="AS36" s="358"/>
      <c r="AT36" s="358"/>
      <c r="AU36" s="358"/>
      <c r="AV36" s="358"/>
      <c r="AW36" s="358"/>
      <c r="AX36" s="358"/>
      <c r="AY36" s="358"/>
      <c r="AZ36" s="358"/>
      <c r="BA36" s="358"/>
      <c r="BB36" s="358"/>
    </row>
    <row r="37" spans="1:54" ht="12" customHeight="1">
      <c r="A37" s="595"/>
      <c r="B37" s="598"/>
      <c r="C37" s="599"/>
      <c r="D37" s="282"/>
      <c r="E37" s="282"/>
      <c r="F37" s="358"/>
      <c r="G37" s="358"/>
      <c r="H37" s="372"/>
      <c r="I37" s="358"/>
      <c r="J37" s="358"/>
      <c r="K37" s="358"/>
      <c r="L37" s="358"/>
      <c r="M37" s="358"/>
      <c r="N37" s="358"/>
      <c r="O37" s="358"/>
      <c r="P37" s="358"/>
      <c r="Q37" s="358"/>
      <c r="R37" s="358"/>
      <c r="S37" s="358"/>
      <c r="T37" s="358"/>
      <c r="U37" s="358"/>
      <c r="V37" s="358"/>
      <c r="W37" s="358"/>
      <c r="X37" s="358"/>
      <c r="Y37" s="358"/>
      <c r="Z37" s="358"/>
      <c r="AA37" s="358"/>
      <c r="AB37" s="358"/>
      <c r="AC37" s="358"/>
      <c r="AD37" s="358"/>
      <c r="AE37" s="358"/>
      <c r="AF37" s="358"/>
      <c r="AG37" s="358"/>
      <c r="AH37" s="358"/>
      <c r="AI37" s="358"/>
      <c r="AJ37" s="358"/>
      <c r="AK37" s="358"/>
      <c r="AL37" s="358"/>
      <c r="AM37" s="358"/>
      <c r="AN37" s="358"/>
      <c r="AO37" s="358"/>
      <c r="AP37" s="358"/>
      <c r="AQ37" s="358"/>
      <c r="AR37" s="358"/>
      <c r="AS37" s="358"/>
      <c r="AT37" s="358"/>
      <c r="AU37" s="358"/>
      <c r="AV37" s="358"/>
      <c r="AW37" s="358"/>
      <c r="AX37" s="358"/>
      <c r="AY37" s="358"/>
      <c r="AZ37" s="358"/>
      <c r="BA37" s="358"/>
      <c r="BB37" s="358"/>
    </row>
    <row r="38" spans="1:54" ht="12" customHeight="1">
      <c r="A38" s="595"/>
      <c r="B38" s="598"/>
      <c r="C38" s="599"/>
      <c r="D38" s="282"/>
      <c r="E38" s="282"/>
      <c r="F38" s="358"/>
      <c r="G38" s="358"/>
      <c r="H38" s="372"/>
      <c r="I38" s="358"/>
      <c r="J38" s="358"/>
      <c r="K38" s="358"/>
      <c r="L38" s="358"/>
      <c r="M38" s="358"/>
      <c r="N38" s="358"/>
      <c r="O38" s="358"/>
      <c r="P38" s="358"/>
      <c r="Q38" s="358"/>
      <c r="R38" s="358"/>
      <c r="S38" s="358"/>
      <c r="T38" s="358"/>
      <c r="U38" s="358"/>
      <c r="V38" s="358"/>
      <c r="W38" s="358"/>
      <c r="X38" s="358"/>
      <c r="Y38" s="358"/>
      <c r="Z38" s="358"/>
      <c r="AA38" s="358"/>
      <c r="AB38" s="358"/>
      <c r="AC38" s="358"/>
      <c r="AD38" s="358"/>
      <c r="AE38" s="358"/>
      <c r="AF38" s="358"/>
      <c r="AG38" s="358"/>
      <c r="AH38" s="358"/>
      <c r="AI38" s="358"/>
      <c r="AJ38" s="358"/>
      <c r="AK38" s="358"/>
      <c r="AL38" s="358"/>
      <c r="AM38" s="358"/>
      <c r="AN38" s="358"/>
      <c r="AO38" s="358"/>
      <c r="AP38" s="358"/>
      <c r="AQ38" s="358"/>
      <c r="AR38" s="358"/>
      <c r="AS38" s="358"/>
      <c r="AT38" s="358"/>
      <c r="AU38" s="358"/>
      <c r="AV38" s="358"/>
      <c r="AW38" s="358"/>
      <c r="AX38" s="358"/>
      <c r="AY38" s="358"/>
      <c r="AZ38" s="358"/>
      <c r="BA38" s="358"/>
      <c r="BB38" s="358"/>
    </row>
    <row r="39" spans="1:54" ht="12" customHeight="1">
      <c r="A39" s="595"/>
      <c r="B39" s="598"/>
      <c r="C39" s="599"/>
      <c r="D39" s="282"/>
      <c r="E39" s="282"/>
      <c r="F39" s="358"/>
      <c r="G39" s="358"/>
      <c r="H39" s="372"/>
      <c r="I39" s="358"/>
      <c r="J39" s="358"/>
      <c r="K39" s="358"/>
      <c r="L39" s="358"/>
      <c r="M39" s="358"/>
      <c r="N39" s="358"/>
      <c r="O39" s="358"/>
      <c r="P39" s="358"/>
      <c r="Q39" s="358"/>
      <c r="R39" s="358"/>
      <c r="S39" s="358"/>
      <c r="T39" s="358"/>
      <c r="U39" s="358"/>
      <c r="V39" s="358"/>
      <c r="W39" s="358"/>
      <c r="X39" s="358"/>
      <c r="Y39" s="358"/>
      <c r="Z39" s="358"/>
      <c r="AA39" s="358"/>
      <c r="AB39" s="358"/>
      <c r="AC39" s="358"/>
      <c r="AD39" s="358"/>
      <c r="AE39" s="358"/>
      <c r="AF39" s="358"/>
      <c r="AG39" s="358"/>
      <c r="AH39" s="358"/>
      <c r="AI39" s="358"/>
      <c r="AJ39" s="358"/>
      <c r="AK39" s="358"/>
      <c r="AL39" s="358"/>
      <c r="AM39" s="358"/>
      <c r="AN39" s="358"/>
      <c r="AO39" s="358"/>
      <c r="AP39" s="358"/>
      <c r="AQ39" s="358"/>
      <c r="AR39" s="358"/>
      <c r="AS39" s="358"/>
      <c r="AT39" s="358"/>
      <c r="AU39" s="358"/>
      <c r="AV39" s="358"/>
      <c r="AW39" s="358"/>
      <c r="AX39" s="358"/>
      <c r="AY39" s="358"/>
      <c r="AZ39" s="358"/>
      <c r="BA39" s="358"/>
      <c r="BB39" s="358"/>
    </row>
    <row r="40" spans="1:54" ht="12" customHeight="1">
      <c r="A40" s="595"/>
      <c r="B40" s="598"/>
      <c r="C40" s="599"/>
      <c r="D40" s="282"/>
      <c r="E40" s="282"/>
      <c r="F40" s="358"/>
      <c r="G40" s="358"/>
      <c r="H40" s="372"/>
      <c r="I40" s="358"/>
      <c r="J40" s="358"/>
      <c r="K40" s="358"/>
      <c r="L40" s="358"/>
      <c r="M40" s="358"/>
      <c r="N40" s="358"/>
      <c r="O40" s="358"/>
      <c r="P40" s="358"/>
      <c r="Q40" s="358"/>
      <c r="R40" s="358"/>
      <c r="S40" s="358"/>
      <c r="T40" s="358"/>
      <c r="U40" s="358"/>
      <c r="V40" s="358"/>
      <c r="W40" s="358"/>
      <c r="X40" s="358"/>
      <c r="Y40" s="358"/>
      <c r="Z40" s="358"/>
      <c r="AA40" s="358"/>
      <c r="AB40" s="358"/>
      <c r="AC40" s="358"/>
      <c r="AD40" s="358"/>
      <c r="AE40" s="358"/>
      <c r="AF40" s="358"/>
      <c r="AG40" s="358"/>
      <c r="AH40" s="358"/>
      <c r="AI40" s="358"/>
      <c r="AJ40" s="358"/>
      <c r="AK40" s="358"/>
      <c r="AL40" s="358"/>
      <c r="AM40" s="358"/>
      <c r="AN40" s="358"/>
      <c r="AO40" s="358"/>
      <c r="AP40" s="358"/>
      <c r="AQ40" s="358"/>
      <c r="AR40" s="358"/>
      <c r="AS40" s="358"/>
      <c r="AT40" s="358"/>
      <c r="AU40" s="358"/>
      <c r="AV40" s="358"/>
      <c r="AW40" s="358"/>
      <c r="AX40" s="358"/>
      <c r="AY40" s="358"/>
      <c r="AZ40" s="358"/>
      <c r="BA40" s="358"/>
      <c r="BB40" s="358"/>
    </row>
    <row r="41" spans="1:54" ht="12" customHeight="1">
      <c r="A41" s="595"/>
      <c r="B41" s="598"/>
      <c r="C41" s="599"/>
      <c r="D41" s="282"/>
      <c r="E41" s="282"/>
      <c r="F41" s="358"/>
      <c r="G41" s="358"/>
      <c r="H41" s="372"/>
      <c r="I41" s="358"/>
      <c r="J41" s="358"/>
      <c r="K41" s="358"/>
      <c r="L41" s="358"/>
      <c r="M41" s="358"/>
      <c r="N41" s="358"/>
      <c r="O41" s="358"/>
      <c r="P41" s="358"/>
      <c r="Q41" s="358"/>
      <c r="R41" s="358"/>
      <c r="S41" s="358"/>
      <c r="T41" s="358"/>
      <c r="U41" s="358"/>
      <c r="V41" s="358"/>
      <c r="W41" s="358"/>
      <c r="X41" s="358"/>
      <c r="Y41" s="358"/>
      <c r="Z41" s="358"/>
      <c r="AA41" s="358"/>
      <c r="AB41" s="358"/>
      <c r="AC41" s="358"/>
      <c r="AD41" s="358"/>
      <c r="AE41" s="358"/>
      <c r="AF41" s="358"/>
      <c r="AG41" s="358"/>
      <c r="AH41" s="358"/>
      <c r="AI41" s="358"/>
      <c r="AJ41" s="358"/>
      <c r="AK41" s="358"/>
      <c r="AL41" s="358"/>
      <c r="AM41" s="358"/>
      <c r="AN41" s="358"/>
      <c r="AO41" s="358"/>
      <c r="AP41" s="358"/>
      <c r="AQ41" s="358"/>
      <c r="AR41" s="358"/>
      <c r="AS41" s="358"/>
      <c r="AT41" s="358"/>
      <c r="AU41" s="358"/>
      <c r="AV41" s="358"/>
      <c r="AW41" s="358"/>
      <c r="AX41" s="358"/>
      <c r="AY41" s="358"/>
      <c r="AZ41" s="358"/>
      <c r="BA41" s="358"/>
      <c r="BB41" s="358"/>
    </row>
    <row r="42" spans="1:54">
      <c r="A42" s="595"/>
      <c r="B42" s="598"/>
      <c r="C42" s="599"/>
      <c r="D42" s="282"/>
      <c r="E42" s="282"/>
      <c r="F42" s="358"/>
      <c r="G42" s="358"/>
      <c r="H42" s="372"/>
      <c r="I42" s="358"/>
      <c r="J42" s="358"/>
      <c r="K42" s="358"/>
      <c r="L42" s="358"/>
      <c r="M42" s="358"/>
      <c r="N42" s="358"/>
      <c r="O42" s="358"/>
      <c r="P42" s="358"/>
      <c r="Q42" s="358"/>
      <c r="R42" s="358"/>
      <c r="S42" s="358"/>
      <c r="T42" s="358"/>
      <c r="U42" s="358"/>
      <c r="V42" s="358"/>
      <c r="W42" s="358"/>
      <c r="X42" s="358"/>
      <c r="Y42" s="358"/>
      <c r="Z42" s="358"/>
      <c r="AA42" s="358"/>
      <c r="AB42" s="358"/>
      <c r="AC42" s="358"/>
      <c r="AD42" s="358"/>
      <c r="AE42" s="358"/>
      <c r="AF42" s="358"/>
      <c r="AG42" s="358"/>
      <c r="AH42" s="358"/>
      <c r="AI42" s="358"/>
      <c r="AJ42" s="358"/>
      <c r="AK42" s="358"/>
      <c r="AL42" s="358"/>
      <c r="AM42" s="358"/>
      <c r="AN42" s="358"/>
      <c r="AO42" s="358"/>
      <c r="AP42" s="358"/>
      <c r="AQ42" s="358"/>
      <c r="AR42" s="358"/>
      <c r="AS42" s="358"/>
      <c r="AT42" s="358"/>
      <c r="AU42" s="358"/>
      <c r="AV42" s="358"/>
      <c r="AW42" s="358"/>
      <c r="AX42" s="358"/>
      <c r="AY42" s="358"/>
      <c r="AZ42" s="358"/>
      <c r="BA42" s="358"/>
      <c r="BB42" s="358"/>
    </row>
    <row r="43" spans="1:54">
      <c r="A43" s="595"/>
      <c r="B43" s="598"/>
      <c r="C43" s="599"/>
      <c r="D43" s="282"/>
      <c r="E43" s="282"/>
      <c r="F43" s="358"/>
      <c r="G43" s="358"/>
      <c r="H43" s="372"/>
      <c r="I43" s="358"/>
      <c r="J43" s="358"/>
      <c r="K43" s="358"/>
      <c r="L43" s="358"/>
      <c r="M43" s="358"/>
      <c r="N43" s="358"/>
      <c r="O43" s="358"/>
      <c r="P43" s="358"/>
      <c r="Q43" s="358"/>
      <c r="R43" s="358"/>
      <c r="S43" s="358"/>
      <c r="T43" s="358"/>
      <c r="U43" s="358"/>
      <c r="V43" s="358"/>
      <c r="W43" s="358"/>
      <c r="X43" s="358"/>
      <c r="Y43" s="358"/>
      <c r="Z43" s="358"/>
      <c r="AA43" s="358"/>
      <c r="AB43" s="358"/>
      <c r="AC43" s="358"/>
      <c r="AD43" s="358"/>
      <c r="AE43" s="358"/>
      <c r="AF43" s="358"/>
      <c r="AG43" s="358"/>
      <c r="AH43" s="358"/>
      <c r="AI43" s="358"/>
      <c r="AJ43" s="358"/>
      <c r="AK43" s="358"/>
      <c r="AL43" s="358"/>
      <c r="AM43" s="358"/>
      <c r="AN43" s="358"/>
      <c r="AO43" s="358"/>
      <c r="AP43" s="358"/>
      <c r="AQ43" s="358"/>
      <c r="AR43" s="358"/>
      <c r="AS43" s="358"/>
      <c r="AT43" s="358"/>
      <c r="AU43" s="358"/>
      <c r="AV43" s="358"/>
      <c r="AW43" s="358"/>
      <c r="AX43" s="358"/>
      <c r="AY43" s="358"/>
      <c r="AZ43" s="358"/>
      <c r="BA43" s="358"/>
      <c r="BB43" s="358"/>
    </row>
    <row r="44" spans="1:54">
      <c r="A44" s="595"/>
      <c r="B44" s="598"/>
      <c r="C44" s="599"/>
      <c r="D44" s="282"/>
      <c r="E44" s="282"/>
      <c r="F44" s="358"/>
      <c r="G44" s="358"/>
      <c r="H44" s="372"/>
      <c r="I44" s="358"/>
      <c r="J44" s="358"/>
      <c r="K44" s="358"/>
      <c r="L44" s="358"/>
      <c r="M44" s="358"/>
      <c r="N44" s="358"/>
      <c r="O44" s="358"/>
      <c r="P44" s="358"/>
      <c r="Q44" s="358"/>
      <c r="R44" s="358"/>
      <c r="S44" s="358"/>
      <c r="T44" s="358"/>
      <c r="U44" s="358"/>
      <c r="V44" s="358"/>
      <c r="W44" s="358"/>
      <c r="X44" s="358"/>
      <c r="Y44" s="358"/>
      <c r="Z44" s="358"/>
      <c r="AA44" s="358"/>
      <c r="AB44" s="358"/>
      <c r="AC44" s="358"/>
      <c r="AD44" s="358"/>
      <c r="AE44" s="358"/>
      <c r="AF44" s="358"/>
      <c r="AG44" s="358"/>
      <c r="AH44" s="358"/>
      <c r="AI44" s="358"/>
      <c r="AJ44" s="358"/>
      <c r="AK44" s="358"/>
      <c r="AL44" s="358"/>
      <c r="AM44" s="358"/>
      <c r="AN44" s="358"/>
      <c r="AO44" s="358"/>
      <c r="AP44" s="358"/>
      <c r="AQ44" s="358"/>
      <c r="AR44" s="358"/>
      <c r="AS44" s="358"/>
      <c r="AT44" s="358"/>
      <c r="AU44" s="358"/>
      <c r="AV44" s="358"/>
      <c r="AW44" s="358"/>
      <c r="AX44" s="358"/>
      <c r="AY44" s="358"/>
      <c r="AZ44" s="358"/>
      <c r="BA44" s="358"/>
      <c r="BB44" s="358"/>
    </row>
    <row r="45" spans="1:54">
      <c r="A45" s="595"/>
      <c r="B45" s="598"/>
      <c r="C45" s="599"/>
      <c r="D45" s="282"/>
      <c r="E45" s="282"/>
      <c r="F45" s="358"/>
      <c r="G45" s="358"/>
      <c r="H45" s="372"/>
      <c r="I45" s="358"/>
      <c r="J45" s="358"/>
      <c r="K45" s="358"/>
      <c r="L45" s="358"/>
      <c r="M45" s="358"/>
      <c r="N45" s="358"/>
      <c r="O45" s="358"/>
      <c r="P45" s="358"/>
      <c r="Q45" s="358"/>
      <c r="R45" s="358"/>
      <c r="S45" s="358"/>
      <c r="T45" s="358"/>
      <c r="U45" s="358"/>
      <c r="V45" s="358"/>
      <c r="W45" s="358"/>
      <c r="X45" s="358"/>
      <c r="Y45" s="358"/>
      <c r="Z45" s="358"/>
      <c r="AA45" s="358"/>
      <c r="AB45" s="358"/>
      <c r="AC45" s="358"/>
      <c r="AD45" s="358"/>
      <c r="AE45" s="358"/>
      <c r="AF45" s="358"/>
      <c r="AG45" s="358"/>
      <c r="AH45" s="358"/>
      <c r="AI45" s="358"/>
      <c r="AJ45" s="358"/>
      <c r="AK45" s="358"/>
      <c r="AL45" s="358"/>
      <c r="AM45" s="358"/>
      <c r="AN45" s="358"/>
      <c r="AO45" s="358"/>
      <c r="AP45" s="358"/>
      <c r="AQ45" s="358"/>
      <c r="AR45" s="358"/>
      <c r="AS45" s="358"/>
      <c r="AT45" s="358"/>
      <c r="AU45" s="358"/>
      <c r="AV45" s="358"/>
      <c r="AW45" s="358"/>
      <c r="AX45" s="358"/>
      <c r="AY45" s="358"/>
      <c r="AZ45" s="358"/>
      <c r="BA45" s="358"/>
      <c r="BB45" s="358"/>
    </row>
    <row r="46" spans="1:54">
      <c r="A46" s="595"/>
      <c r="B46" s="598"/>
      <c r="C46" s="599"/>
      <c r="D46" s="282"/>
      <c r="E46" s="282"/>
      <c r="F46" s="358"/>
      <c r="G46" s="358"/>
      <c r="H46" s="372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  <c r="AA46" s="358"/>
      <c r="AB46" s="358"/>
      <c r="AC46" s="358"/>
      <c r="AD46" s="358"/>
      <c r="AE46" s="358"/>
      <c r="AF46" s="358"/>
      <c r="AG46" s="358"/>
      <c r="AH46" s="358"/>
      <c r="AI46" s="358"/>
      <c r="AJ46" s="358"/>
      <c r="AK46" s="358"/>
      <c r="AL46" s="358"/>
      <c r="AM46" s="358"/>
      <c r="AN46" s="358"/>
      <c r="AO46" s="358"/>
      <c r="AP46" s="358"/>
      <c r="AQ46" s="358"/>
      <c r="AR46" s="358"/>
      <c r="AS46" s="358"/>
      <c r="AT46" s="358"/>
      <c r="AU46" s="358"/>
      <c r="AV46" s="358"/>
      <c r="AW46" s="358"/>
      <c r="AX46" s="358"/>
      <c r="AY46" s="358"/>
      <c r="AZ46" s="358"/>
      <c r="BA46" s="358"/>
      <c r="BB46" s="358"/>
    </row>
    <row r="47" spans="1:54">
      <c r="A47" s="595"/>
      <c r="B47" s="598"/>
      <c r="C47" s="599"/>
      <c r="D47" s="282"/>
      <c r="E47" s="282"/>
      <c r="F47" s="358"/>
      <c r="G47" s="358"/>
      <c r="H47" s="372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  <c r="AA47" s="358"/>
      <c r="AB47" s="358"/>
      <c r="AC47" s="358"/>
      <c r="AD47" s="358"/>
      <c r="AE47" s="358"/>
      <c r="AF47" s="358"/>
      <c r="AG47" s="358"/>
      <c r="AH47" s="358"/>
      <c r="AI47" s="358"/>
      <c r="AJ47" s="358"/>
      <c r="AK47" s="358"/>
      <c r="AL47" s="358"/>
      <c r="AM47" s="358"/>
      <c r="AN47" s="358"/>
      <c r="AO47" s="358"/>
      <c r="AP47" s="358"/>
      <c r="AQ47" s="358"/>
      <c r="AR47" s="358"/>
      <c r="AS47" s="358"/>
      <c r="AT47" s="358"/>
      <c r="AU47" s="358"/>
      <c r="AV47" s="358"/>
      <c r="AW47" s="358"/>
      <c r="AX47" s="358"/>
      <c r="AY47" s="358"/>
      <c r="AZ47" s="358"/>
      <c r="BA47" s="358"/>
      <c r="BB47" s="358"/>
    </row>
    <row r="48" spans="1:54">
      <c r="A48" s="595"/>
      <c r="B48" s="598"/>
      <c r="C48" s="599"/>
      <c r="D48" s="282"/>
      <c r="E48" s="282"/>
      <c r="F48" s="358"/>
      <c r="G48" s="358"/>
      <c r="H48" s="372"/>
      <c r="I48" s="358"/>
      <c r="J48" s="358"/>
      <c r="K48" s="358"/>
      <c r="L48" s="358"/>
      <c r="M48" s="358"/>
      <c r="N48" s="358"/>
      <c r="O48" s="358"/>
      <c r="P48" s="358"/>
      <c r="Q48" s="358"/>
      <c r="R48" s="358"/>
      <c r="S48" s="358"/>
      <c r="T48" s="358"/>
      <c r="U48" s="358"/>
      <c r="V48" s="358"/>
      <c r="W48" s="358"/>
      <c r="X48" s="358"/>
      <c r="Y48" s="358"/>
      <c r="Z48" s="358"/>
      <c r="AA48" s="358"/>
      <c r="AB48" s="358"/>
      <c r="AC48" s="358"/>
      <c r="AD48" s="358"/>
      <c r="AE48" s="358"/>
      <c r="AF48" s="358"/>
      <c r="AG48" s="358"/>
      <c r="AH48" s="358"/>
      <c r="AI48" s="358"/>
      <c r="AJ48" s="358"/>
      <c r="AK48" s="358"/>
      <c r="AL48" s="358"/>
      <c r="AM48" s="358"/>
      <c r="AN48" s="358"/>
      <c r="AO48" s="358"/>
      <c r="AP48" s="358"/>
      <c r="AQ48" s="358"/>
      <c r="AR48" s="358"/>
      <c r="AS48" s="358"/>
      <c r="AT48" s="358"/>
      <c r="AU48" s="358"/>
      <c r="AV48" s="358"/>
      <c r="AW48" s="358"/>
      <c r="AX48" s="358"/>
      <c r="AY48" s="358"/>
      <c r="AZ48" s="358"/>
      <c r="BA48" s="358"/>
      <c r="BB48" s="358"/>
    </row>
    <row r="49" spans="1:54">
      <c r="A49" s="595"/>
      <c r="B49" s="598"/>
      <c r="C49" s="599"/>
      <c r="D49" s="282"/>
      <c r="E49" s="282"/>
      <c r="F49" s="358"/>
      <c r="G49" s="358"/>
      <c r="H49" s="372"/>
      <c r="I49" s="358"/>
      <c r="J49" s="358"/>
      <c r="K49" s="358"/>
      <c r="L49" s="358"/>
      <c r="M49" s="358"/>
      <c r="N49" s="358"/>
      <c r="O49" s="358"/>
      <c r="P49" s="358"/>
      <c r="Q49" s="358"/>
      <c r="R49" s="358"/>
      <c r="S49" s="358"/>
      <c r="T49" s="358"/>
      <c r="U49" s="358"/>
      <c r="V49" s="358"/>
      <c r="W49" s="358"/>
      <c r="X49" s="358"/>
      <c r="Y49" s="358"/>
      <c r="Z49" s="358"/>
      <c r="AA49" s="358"/>
      <c r="AB49" s="358"/>
      <c r="AC49" s="358"/>
      <c r="AD49" s="358"/>
      <c r="AE49" s="358"/>
      <c r="AF49" s="358"/>
      <c r="AG49" s="358"/>
      <c r="AH49" s="358"/>
      <c r="AI49" s="358"/>
      <c r="AJ49" s="358"/>
      <c r="AK49" s="358"/>
      <c r="AL49" s="358"/>
      <c r="AM49" s="358"/>
      <c r="AN49" s="358"/>
      <c r="AO49" s="358"/>
      <c r="AP49" s="358"/>
      <c r="AQ49" s="358"/>
      <c r="AR49" s="358"/>
      <c r="AS49" s="358"/>
      <c r="AT49" s="358"/>
      <c r="AU49" s="358"/>
      <c r="AV49" s="358"/>
      <c r="AW49" s="358"/>
      <c r="AX49" s="358"/>
      <c r="AY49" s="358"/>
      <c r="AZ49" s="358"/>
      <c r="BA49" s="358"/>
      <c r="BB49" s="358"/>
    </row>
    <row r="50" spans="1:54">
      <c r="A50" s="595"/>
      <c r="B50" s="598"/>
      <c r="C50" s="599"/>
      <c r="D50" s="282"/>
      <c r="E50" s="282"/>
      <c r="F50" s="358"/>
      <c r="G50" s="358"/>
      <c r="H50" s="372"/>
      <c r="I50" s="358"/>
      <c r="J50" s="358"/>
      <c r="K50" s="358"/>
      <c r="L50" s="358"/>
      <c r="M50" s="358"/>
      <c r="N50" s="358"/>
      <c r="O50" s="358"/>
      <c r="P50" s="358"/>
      <c r="Q50" s="358"/>
      <c r="R50" s="358"/>
      <c r="S50" s="358"/>
      <c r="T50" s="358"/>
      <c r="U50" s="358"/>
      <c r="V50" s="358"/>
      <c r="W50" s="358"/>
      <c r="X50" s="358"/>
      <c r="Y50" s="358"/>
      <c r="Z50" s="358"/>
      <c r="AA50" s="358"/>
      <c r="AB50" s="358"/>
      <c r="AC50" s="358"/>
      <c r="AD50" s="358"/>
      <c r="AE50" s="358"/>
      <c r="AF50" s="358"/>
      <c r="AG50" s="358"/>
      <c r="AH50" s="358"/>
      <c r="AI50" s="358"/>
      <c r="AJ50" s="358"/>
      <c r="AK50" s="358"/>
      <c r="AL50" s="358"/>
      <c r="AM50" s="358"/>
      <c r="AN50" s="358"/>
      <c r="AO50" s="358"/>
      <c r="AP50" s="358"/>
      <c r="AQ50" s="358"/>
      <c r="AR50" s="358"/>
      <c r="AS50" s="358"/>
      <c r="AT50" s="358"/>
      <c r="AU50" s="358"/>
      <c r="AV50" s="358"/>
      <c r="AW50" s="358"/>
      <c r="AX50" s="358"/>
      <c r="AY50" s="358"/>
      <c r="AZ50" s="358"/>
      <c r="BA50" s="358"/>
      <c r="BB50" s="358"/>
    </row>
    <row r="51" spans="1:54">
      <c r="A51" s="595"/>
      <c r="B51" s="598"/>
      <c r="C51" s="599"/>
      <c r="D51" s="282"/>
      <c r="E51" s="282"/>
      <c r="F51" s="358"/>
      <c r="G51" s="358"/>
      <c r="H51" s="372"/>
      <c r="I51" s="358"/>
      <c r="J51" s="358"/>
      <c r="K51" s="358"/>
      <c r="L51" s="358"/>
      <c r="M51" s="358"/>
      <c r="N51" s="358"/>
      <c r="O51" s="358"/>
      <c r="P51" s="358"/>
      <c r="Q51" s="358"/>
      <c r="R51" s="358"/>
      <c r="S51" s="358"/>
      <c r="T51" s="358"/>
      <c r="U51" s="358"/>
      <c r="V51" s="358"/>
      <c r="W51" s="358"/>
      <c r="X51" s="358"/>
      <c r="Y51" s="358"/>
      <c r="Z51" s="358"/>
      <c r="AA51" s="358"/>
      <c r="AB51" s="358"/>
      <c r="AC51" s="358"/>
      <c r="AD51" s="358"/>
      <c r="AE51" s="358"/>
      <c r="AF51" s="358"/>
      <c r="AG51" s="358"/>
      <c r="AH51" s="358"/>
      <c r="AI51" s="358"/>
      <c r="AJ51" s="358"/>
      <c r="AK51" s="358"/>
      <c r="AL51" s="358"/>
      <c r="AM51" s="358"/>
      <c r="AN51" s="358"/>
      <c r="AO51" s="358"/>
      <c r="AP51" s="358"/>
      <c r="AQ51" s="358"/>
      <c r="AR51" s="358"/>
      <c r="AS51" s="358"/>
      <c r="AT51" s="358"/>
      <c r="AU51" s="358"/>
      <c r="AV51" s="358"/>
      <c r="AW51" s="358"/>
      <c r="AX51" s="358"/>
      <c r="AY51" s="358"/>
      <c r="AZ51" s="358"/>
      <c r="BA51" s="358"/>
      <c r="BB51" s="358"/>
    </row>
    <row r="52" spans="1:54">
      <c r="A52" s="595"/>
      <c r="B52" s="598"/>
      <c r="C52" s="599"/>
      <c r="D52" s="282"/>
      <c r="E52" s="282"/>
      <c r="F52" s="358"/>
      <c r="G52" s="358"/>
      <c r="H52" s="372"/>
      <c r="I52" s="358"/>
      <c r="J52" s="358"/>
      <c r="K52" s="358"/>
      <c r="L52" s="358"/>
      <c r="M52" s="358"/>
      <c r="N52" s="358"/>
      <c r="O52" s="358"/>
      <c r="P52" s="358"/>
      <c r="Q52" s="358"/>
      <c r="R52" s="358"/>
      <c r="S52" s="358"/>
      <c r="T52" s="358"/>
      <c r="U52" s="358"/>
      <c r="V52" s="358"/>
      <c r="W52" s="358"/>
      <c r="X52" s="358"/>
      <c r="Y52" s="358"/>
      <c r="Z52" s="358"/>
      <c r="AA52" s="358"/>
      <c r="AB52" s="358"/>
      <c r="AC52" s="358"/>
      <c r="AD52" s="358"/>
      <c r="AE52" s="358"/>
      <c r="AF52" s="358"/>
      <c r="AG52" s="358"/>
      <c r="AH52" s="358"/>
      <c r="AI52" s="358"/>
      <c r="AJ52" s="358"/>
      <c r="AK52" s="358"/>
      <c r="AL52" s="358"/>
      <c r="AM52" s="358"/>
      <c r="AN52" s="358"/>
      <c r="AO52" s="358"/>
      <c r="AP52" s="358"/>
      <c r="AQ52" s="358"/>
      <c r="AR52" s="358"/>
      <c r="AS52" s="358"/>
      <c r="AT52" s="358"/>
      <c r="AU52" s="358"/>
      <c r="AV52" s="358"/>
      <c r="AW52" s="358"/>
      <c r="AX52" s="358"/>
      <c r="AY52" s="358"/>
      <c r="AZ52" s="358"/>
      <c r="BA52" s="358"/>
      <c r="BB52" s="358"/>
    </row>
    <row r="53" spans="1:54">
      <c r="A53" s="595"/>
      <c r="B53" s="598"/>
      <c r="C53" s="599"/>
      <c r="D53" s="282"/>
      <c r="E53" s="282"/>
      <c r="F53" s="358"/>
      <c r="G53" s="358"/>
      <c r="H53" s="372"/>
      <c r="I53" s="358"/>
      <c r="J53" s="358"/>
      <c r="K53" s="358"/>
      <c r="L53" s="358"/>
      <c r="M53" s="358"/>
      <c r="N53" s="358"/>
      <c r="O53" s="358"/>
      <c r="P53" s="358"/>
      <c r="Q53" s="358"/>
      <c r="R53" s="358"/>
      <c r="S53" s="358"/>
      <c r="T53" s="358"/>
      <c r="U53" s="358"/>
      <c r="V53" s="358"/>
      <c r="W53" s="358"/>
      <c r="X53" s="358"/>
      <c r="Y53" s="358"/>
      <c r="Z53" s="358"/>
      <c r="AA53" s="358"/>
      <c r="AB53" s="358"/>
      <c r="AC53" s="358"/>
      <c r="AD53" s="358"/>
      <c r="AE53" s="358"/>
      <c r="AF53" s="358"/>
      <c r="AG53" s="358"/>
      <c r="AH53" s="358"/>
      <c r="AI53" s="358"/>
      <c r="AJ53" s="358"/>
      <c r="AK53" s="358"/>
      <c r="AL53" s="358"/>
      <c r="AM53" s="358"/>
      <c r="AN53" s="358"/>
      <c r="AO53" s="358"/>
      <c r="AP53" s="358"/>
      <c r="AQ53" s="358"/>
      <c r="AR53" s="358"/>
      <c r="AS53" s="358"/>
      <c r="AT53" s="358"/>
      <c r="AU53" s="358"/>
      <c r="AV53" s="358"/>
      <c r="AW53" s="358"/>
      <c r="AX53" s="358"/>
      <c r="AY53" s="358"/>
      <c r="AZ53" s="358"/>
      <c r="BA53" s="358"/>
      <c r="BB53" s="358"/>
    </row>
    <row r="54" spans="1:54">
      <c r="A54" s="595"/>
      <c r="B54" s="598"/>
      <c r="C54" s="599"/>
      <c r="D54" s="282"/>
      <c r="E54" s="282"/>
      <c r="F54" s="358"/>
      <c r="G54" s="358"/>
      <c r="H54" s="372"/>
      <c r="I54" s="358"/>
      <c r="J54" s="358"/>
      <c r="K54" s="358"/>
      <c r="L54" s="358"/>
      <c r="M54" s="358"/>
      <c r="N54" s="358"/>
      <c r="O54" s="358"/>
      <c r="P54" s="358"/>
      <c r="Q54" s="358"/>
      <c r="R54" s="358"/>
      <c r="S54" s="358"/>
      <c r="T54" s="358"/>
      <c r="U54" s="358"/>
      <c r="V54" s="358"/>
      <c r="W54" s="358"/>
      <c r="X54" s="358"/>
      <c r="Y54" s="358"/>
      <c r="Z54" s="358"/>
      <c r="AA54" s="358"/>
      <c r="AB54" s="358"/>
      <c r="AC54" s="358"/>
      <c r="AD54" s="358"/>
      <c r="AE54" s="358"/>
      <c r="AF54" s="358"/>
      <c r="AG54" s="358"/>
      <c r="AH54" s="358"/>
      <c r="AI54" s="358"/>
      <c r="AJ54" s="358"/>
      <c r="AK54" s="358"/>
      <c r="AL54" s="358"/>
      <c r="AM54" s="358"/>
      <c r="AN54" s="358"/>
      <c r="AO54" s="358"/>
      <c r="AP54" s="358"/>
      <c r="AQ54" s="358"/>
      <c r="AR54" s="358"/>
      <c r="AS54" s="358"/>
      <c r="AT54" s="358"/>
      <c r="AU54" s="358"/>
      <c r="AV54" s="358"/>
      <c r="AW54" s="358"/>
      <c r="AX54" s="358"/>
      <c r="AY54" s="358"/>
      <c r="AZ54" s="358"/>
      <c r="BA54" s="358"/>
      <c r="BB54" s="358"/>
    </row>
    <row r="55" spans="1:54">
      <c r="A55" s="595"/>
      <c r="B55" s="598"/>
      <c r="C55" s="599"/>
      <c r="D55" s="282"/>
      <c r="E55" s="282"/>
      <c r="F55" s="358"/>
      <c r="G55" s="358"/>
      <c r="H55" s="372"/>
      <c r="I55" s="358"/>
      <c r="J55" s="358"/>
      <c r="K55" s="358"/>
      <c r="L55" s="358"/>
      <c r="M55" s="358"/>
      <c r="N55" s="358"/>
      <c r="O55" s="358"/>
      <c r="P55" s="358"/>
      <c r="Q55" s="358"/>
      <c r="R55" s="358"/>
      <c r="S55" s="358"/>
      <c r="T55" s="358"/>
      <c r="U55" s="358"/>
      <c r="V55" s="358"/>
      <c r="W55" s="358"/>
      <c r="X55" s="358"/>
      <c r="Y55" s="358"/>
      <c r="Z55" s="358"/>
      <c r="AA55" s="358"/>
      <c r="AB55" s="358"/>
      <c r="AC55" s="358"/>
      <c r="AD55" s="358"/>
      <c r="AE55" s="358"/>
      <c r="AF55" s="358"/>
      <c r="AG55" s="358"/>
      <c r="AH55" s="358"/>
      <c r="AI55" s="358"/>
      <c r="AJ55" s="358"/>
      <c r="AK55" s="358"/>
      <c r="AL55" s="358"/>
      <c r="AM55" s="358"/>
      <c r="AN55" s="358"/>
      <c r="AO55" s="358"/>
      <c r="AP55" s="358"/>
      <c r="AQ55" s="358"/>
      <c r="AR55" s="358"/>
      <c r="AS55" s="358"/>
      <c r="AT55" s="358"/>
      <c r="AU55" s="358"/>
      <c r="AV55" s="358"/>
      <c r="AW55" s="358"/>
      <c r="AX55" s="358"/>
      <c r="AY55" s="358"/>
      <c r="AZ55" s="358"/>
      <c r="BA55" s="358"/>
      <c r="BB55" s="358"/>
    </row>
    <row r="56" spans="1:54">
      <c r="A56" s="595"/>
      <c r="B56" s="598"/>
      <c r="C56" s="599"/>
      <c r="D56" s="282"/>
      <c r="E56" s="282"/>
      <c r="F56" s="358"/>
      <c r="G56" s="358"/>
      <c r="H56" s="372"/>
      <c r="I56" s="358"/>
      <c r="J56" s="358"/>
      <c r="K56" s="358"/>
      <c r="L56" s="358"/>
      <c r="M56" s="358"/>
      <c r="N56" s="358"/>
      <c r="O56" s="358"/>
      <c r="P56" s="358"/>
      <c r="Q56" s="358"/>
      <c r="R56" s="358"/>
      <c r="S56" s="358"/>
      <c r="T56" s="358"/>
      <c r="U56" s="358"/>
      <c r="V56" s="358"/>
      <c r="W56" s="358"/>
      <c r="X56" s="358"/>
      <c r="Y56" s="358"/>
      <c r="Z56" s="358"/>
      <c r="AA56" s="358"/>
      <c r="AB56" s="358"/>
      <c r="AC56" s="358"/>
      <c r="AD56" s="358"/>
      <c r="AE56" s="358"/>
      <c r="AF56" s="358"/>
      <c r="AG56" s="358"/>
      <c r="AH56" s="358"/>
      <c r="AI56" s="358"/>
      <c r="AJ56" s="358"/>
      <c r="AK56" s="358"/>
      <c r="AL56" s="358"/>
      <c r="AM56" s="358"/>
      <c r="AN56" s="358"/>
      <c r="AO56" s="358"/>
      <c r="AP56" s="358"/>
      <c r="AQ56" s="358"/>
      <c r="AR56" s="358"/>
      <c r="AS56" s="358"/>
      <c r="AT56" s="358"/>
      <c r="AU56" s="358"/>
      <c r="AV56" s="358"/>
      <c r="AW56" s="358"/>
      <c r="AX56" s="358"/>
      <c r="AY56" s="358"/>
      <c r="AZ56" s="358"/>
      <c r="BA56" s="358"/>
      <c r="BB56" s="358"/>
    </row>
    <row r="57" spans="1:54">
      <c r="A57" s="595"/>
      <c r="B57" s="598"/>
      <c r="C57" s="599"/>
      <c r="D57" s="282"/>
      <c r="E57" s="282"/>
      <c r="F57" s="358"/>
      <c r="G57" s="358"/>
      <c r="H57" s="372"/>
      <c r="I57" s="358"/>
      <c r="J57" s="358"/>
      <c r="K57" s="358"/>
      <c r="L57" s="358"/>
      <c r="M57" s="358"/>
      <c r="N57" s="358"/>
      <c r="O57" s="358"/>
      <c r="P57" s="358"/>
      <c r="Q57" s="358"/>
      <c r="R57" s="358"/>
      <c r="S57" s="358"/>
      <c r="T57" s="358"/>
      <c r="U57" s="358"/>
      <c r="V57" s="358"/>
      <c r="W57" s="358"/>
      <c r="X57" s="358"/>
      <c r="Y57" s="358"/>
      <c r="Z57" s="358"/>
      <c r="AA57" s="358"/>
      <c r="AB57" s="358"/>
      <c r="AC57" s="358"/>
      <c r="AD57" s="358"/>
      <c r="AE57" s="358"/>
      <c r="AF57" s="358"/>
      <c r="AG57" s="358"/>
      <c r="AH57" s="358"/>
      <c r="AI57" s="358"/>
      <c r="AJ57" s="358"/>
      <c r="AK57" s="358"/>
      <c r="AL57" s="358"/>
      <c r="AM57" s="358"/>
      <c r="AN57" s="358"/>
      <c r="AO57" s="358"/>
      <c r="AP57" s="358"/>
      <c r="AQ57" s="358"/>
      <c r="AR57" s="358"/>
      <c r="AS57" s="358"/>
      <c r="AT57" s="358"/>
      <c r="AU57" s="358"/>
      <c r="AV57" s="358"/>
      <c r="AW57" s="358"/>
      <c r="AX57" s="358"/>
      <c r="AY57" s="358"/>
      <c r="AZ57" s="358"/>
      <c r="BA57" s="358"/>
      <c r="BB57" s="358"/>
    </row>
    <row r="58" spans="1:54">
      <c r="A58" s="595"/>
      <c r="B58" s="598"/>
      <c r="C58" s="599"/>
      <c r="D58" s="282"/>
      <c r="E58" s="282"/>
      <c r="F58" s="358"/>
      <c r="G58" s="358"/>
      <c r="H58" s="372"/>
      <c r="I58" s="358"/>
      <c r="J58" s="358"/>
      <c r="K58" s="358"/>
      <c r="L58" s="358"/>
      <c r="M58" s="358"/>
      <c r="N58" s="358"/>
      <c r="O58" s="358"/>
      <c r="P58" s="358"/>
      <c r="Q58" s="358"/>
      <c r="R58" s="358"/>
      <c r="S58" s="358"/>
      <c r="T58" s="358"/>
      <c r="U58" s="358"/>
      <c r="V58" s="358"/>
      <c r="W58" s="358"/>
      <c r="X58" s="358"/>
      <c r="Y58" s="358"/>
      <c r="Z58" s="358"/>
      <c r="AA58" s="358"/>
      <c r="AB58" s="358"/>
      <c r="AC58" s="358"/>
      <c r="AD58" s="358"/>
      <c r="AE58" s="358"/>
      <c r="AF58" s="358"/>
      <c r="AG58" s="358"/>
      <c r="AH58" s="358"/>
      <c r="AI58" s="358"/>
      <c r="AJ58" s="358"/>
      <c r="AK58" s="358"/>
      <c r="AL58" s="358"/>
      <c r="AM58" s="358"/>
      <c r="AN58" s="358"/>
      <c r="AO58" s="358"/>
      <c r="AP58" s="358"/>
      <c r="AQ58" s="358"/>
      <c r="AR58" s="358"/>
      <c r="AS58" s="358"/>
      <c r="AT58" s="358"/>
      <c r="AU58" s="358"/>
      <c r="AV58" s="358"/>
      <c r="AW58" s="358"/>
      <c r="AX58" s="358"/>
      <c r="AY58" s="358"/>
      <c r="AZ58" s="358"/>
      <c r="BA58" s="358"/>
      <c r="BB58" s="358"/>
    </row>
    <row r="59" spans="1:54">
      <c r="A59" s="595"/>
      <c r="B59" s="598"/>
      <c r="C59" s="599"/>
      <c r="D59" s="282"/>
      <c r="E59" s="282"/>
      <c r="F59" s="358"/>
      <c r="G59" s="358"/>
      <c r="H59" s="372"/>
      <c r="I59" s="358"/>
      <c r="J59" s="358"/>
      <c r="K59" s="358"/>
      <c r="L59" s="358"/>
      <c r="M59" s="358"/>
      <c r="N59" s="358"/>
      <c r="O59" s="358"/>
      <c r="P59" s="358"/>
      <c r="Q59" s="358"/>
      <c r="R59" s="358"/>
      <c r="S59" s="358"/>
      <c r="T59" s="358"/>
      <c r="U59" s="358"/>
      <c r="V59" s="358"/>
      <c r="W59" s="358"/>
      <c r="X59" s="358"/>
      <c r="Y59" s="358"/>
      <c r="Z59" s="358"/>
      <c r="AA59" s="358"/>
      <c r="AB59" s="358"/>
      <c r="AC59" s="358"/>
      <c r="AD59" s="358"/>
      <c r="AE59" s="358"/>
      <c r="AF59" s="358"/>
      <c r="AG59" s="358"/>
      <c r="AH59" s="358"/>
      <c r="AI59" s="358"/>
      <c r="AJ59" s="358"/>
      <c r="AK59" s="358"/>
      <c r="AL59" s="358"/>
      <c r="AM59" s="358"/>
      <c r="AN59" s="358"/>
      <c r="AO59" s="358"/>
      <c r="AP59" s="358"/>
      <c r="AQ59" s="358"/>
      <c r="AR59" s="358"/>
      <c r="AS59" s="358"/>
      <c r="AT59" s="358"/>
      <c r="AU59" s="358"/>
      <c r="AV59" s="358"/>
      <c r="AW59" s="358"/>
      <c r="AX59" s="358"/>
      <c r="AY59" s="358"/>
      <c r="AZ59" s="358"/>
      <c r="BA59" s="358"/>
      <c r="BB59" s="358"/>
    </row>
    <row r="60" spans="1:54">
      <c r="A60" s="595"/>
      <c r="B60" s="598"/>
      <c r="C60" s="599"/>
      <c r="D60" s="282"/>
      <c r="E60" s="282"/>
      <c r="F60" s="358"/>
      <c r="G60" s="358"/>
      <c r="H60" s="372"/>
      <c r="I60" s="358"/>
      <c r="J60" s="358"/>
      <c r="K60" s="358"/>
      <c r="L60" s="358"/>
      <c r="M60" s="358"/>
      <c r="N60" s="358"/>
      <c r="O60" s="358"/>
      <c r="P60" s="358"/>
      <c r="Q60" s="358"/>
      <c r="R60" s="358"/>
      <c r="S60" s="358"/>
      <c r="T60" s="358"/>
      <c r="U60" s="358"/>
      <c r="V60" s="358"/>
      <c r="W60" s="358"/>
      <c r="X60" s="358"/>
      <c r="Y60" s="358"/>
      <c r="Z60" s="358"/>
      <c r="AA60" s="358"/>
      <c r="AB60" s="358"/>
      <c r="AC60" s="358"/>
      <c r="AD60" s="358"/>
      <c r="AE60" s="358"/>
      <c r="AF60" s="358"/>
      <c r="AG60" s="358"/>
      <c r="AH60" s="358"/>
      <c r="AI60" s="358"/>
      <c r="AJ60" s="358"/>
      <c r="AK60" s="358"/>
      <c r="AL60" s="358"/>
      <c r="AM60" s="358"/>
      <c r="AN60" s="358"/>
      <c r="AO60" s="358"/>
      <c r="AP60" s="358"/>
      <c r="AQ60" s="358"/>
      <c r="AR60" s="358"/>
      <c r="AS60" s="358"/>
      <c r="AT60" s="358"/>
      <c r="AU60" s="358"/>
      <c r="AV60" s="358"/>
      <c r="AW60" s="358"/>
      <c r="AX60" s="358"/>
      <c r="AY60" s="358"/>
      <c r="AZ60" s="358"/>
      <c r="BA60" s="358"/>
      <c r="BB60" s="358"/>
    </row>
    <row r="61" spans="1:54">
      <c r="A61" s="595"/>
      <c r="B61" s="598"/>
      <c r="C61" s="599"/>
      <c r="D61" s="282"/>
      <c r="E61" s="282"/>
      <c r="F61" s="358"/>
      <c r="G61" s="358"/>
      <c r="H61" s="372"/>
      <c r="I61" s="358"/>
      <c r="J61" s="358"/>
      <c r="K61" s="358"/>
      <c r="L61" s="358"/>
      <c r="M61" s="358"/>
      <c r="N61" s="358"/>
      <c r="O61" s="358"/>
      <c r="P61" s="358"/>
      <c r="Q61" s="358"/>
      <c r="R61" s="358"/>
      <c r="S61" s="358"/>
      <c r="T61" s="358"/>
      <c r="U61" s="358"/>
      <c r="V61" s="358"/>
      <c r="W61" s="358"/>
      <c r="X61" s="358"/>
      <c r="Y61" s="358"/>
      <c r="Z61" s="358"/>
      <c r="AA61" s="358"/>
      <c r="AB61" s="358"/>
      <c r="AC61" s="358"/>
      <c r="AD61" s="358"/>
      <c r="AE61" s="358"/>
      <c r="AF61" s="358"/>
      <c r="AG61" s="358"/>
      <c r="AH61" s="358"/>
      <c r="AI61" s="358"/>
      <c r="AJ61" s="358"/>
      <c r="AK61" s="358"/>
      <c r="AL61" s="358"/>
      <c r="AM61" s="358"/>
      <c r="AN61" s="358"/>
      <c r="AO61" s="358"/>
      <c r="AP61" s="358"/>
      <c r="AQ61" s="358"/>
      <c r="AR61" s="358"/>
      <c r="AS61" s="358"/>
      <c r="AT61" s="358"/>
      <c r="AU61" s="358"/>
      <c r="AV61" s="358"/>
      <c r="AW61" s="358"/>
      <c r="AX61" s="358"/>
      <c r="AY61" s="358"/>
      <c r="AZ61" s="358"/>
      <c r="BA61" s="358"/>
      <c r="BB61" s="358"/>
    </row>
    <row r="62" spans="1:54">
      <c r="A62" s="595"/>
      <c r="B62" s="598"/>
      <c r="C62" s="599"/>
      <c r="D62" s="282"/>
      <c r="E62" s="282"/>
      <c r="F62" s="358"/>
      <c r="G62" s="358"/>
      <c r="H62" s="372"/>
      <c r="I62" s="358"/>
      <c r="J62" s="358"/>
      <c r="K62" s="358"/>
      <c r="L62" s="358"/>
      <c r="M62" s="358"/>
      <c r="N62" s="358"/>
      <c r="O62" s="358"/>
      <c r="P62" s="358"/>
      <c r="Q62" s="358"/>
      <c r="R62" s="358"/>
      <c r="S62" s="358"/>
      <c r="T62" s="358"/>
      <c r="U62" s="358"/>
      <c r="V62" s="358"/>
      <c r="W62" s="358"/>
      <c r="X62" s="358"/>
      <c r="Y62" s="358"/>
      <c r="Z62" s="358"/>
      <c r="AA62" s="358"/>
      <c r="AB62" s="358"/>
      <c r="AC62" s="358"/>
      <c r="AD62" s="358"/>
      <c r="AE62" s="358"/>
      <c r="AF62" s="358"/>
      <c r="AG62" s="358"/>
      <c r="AH62" s="358"/>
      <c r="AI62" s="358"/>
      <c r="AJ62" s="358"/>
      <c r="AK62" s="358"/>
      <c r="AL62" s="358"/>
      <c r="AM62" s="358"/>
      <c r="AN62" s="358"/>
      <c r="AO62" s="358"/>
      <c r="AP62" s="358"/>
      <c r="AQ62" s="358"/>
      <c r="AR62" s="358"/>
      <c r="AS62" s="358"/>
      <c r="AT62" s="358"/>
      <c r="AU62" s="358"/>
      <c r="AV62" s="358"/>
      <c r="AW62" s="358"/>
      <c r="AX62" s="358"/>
      <c r="AY62" s="358"/>
      <c r="AZ62" s="358"/>
      <c r="BA62" s="358"/>
      <c r="BB62" s="358"/>
    </row>
    <row r="63" spans="1:54">
      <c r="A63" s="595"/>
      <c r="B63" s="598"/>
      <c r="C63" s="599"/>
      <c r="D63" s="282"/>
      <c r="E63" s="282"/>
      <c r="F63" s="358"/>
      <c r="G63" s="358"/>
      <c r="H63" s="372"/>
      <c r="I63" s="358"/>
      <c r="J63" s="358"/>
      <c r="K63" s="358"/>
      <c r="L63" s="358"/>
      <c r="M63" s="358"/>
      <c r="N63" s="358"/>
      <c r="O63" s="358"/>
      <c r="P63" s="358"/>
      <c r="Q63" s="358"/>
      <c r="R63" s="358"/>
      <c r="S63" s="358"/>
      <c r="T63" s="358"/>
      <c r="U63" s="358"/>
      <c r="V63" s="358"/>
      <c r="W63" s="358"/>
      <c r="X63" s="358"/>
      <c r="Y63" s="358"/>
      <c r="Z63" s="358"/>
      <c r="AA63" s="358"/>
      <c r="AB63" s="358"/>
      <c r="AC63" s="358"/>
      <c r="AD63" s="358"/>
      <c r="AE63" s="358"/>
      <c r="AF63" s="358"/>
      <c r="AG63" s="358"/>
      <c r="AH63" s="358"/>
      <c r="AI63" s="358"/>
      <c r="AJ63" s="358"/>
      <c r="AK63" s="358"/>
      <c r="AL63" s="358"/>
      <c r="AM63" s="358"/>
      <c r="AN63" s="358"/>
      <c r="AO63" s="358"/>
      <c r="AP63" s="358"/>
      <c r="AQ63" s="358"/>
      <c r="AR63" s="358"/>
      <c r="AS63" s="358"/>
      <c r="AT63" s="358"/>
      <c r="AU63" s="358"/>
      <c r="AV63" s="358"/>
      <c r="AW63" s="358"/>
      <c r="AX63" s="358"/>
      <c r="AY63" s="358"/>
      <c r="AZ63" s="358"/>
      <c r="BA63" s="358"/>
      <c r="BB63" s="358"/>
    </row>
    <row r="64" spans="1:54">
      <c r="A64" s="595"/>
      <c r="B64" s="598"/>
      <c r="C64" s="599"/>
      <c r="D64" s="282"/>
      <c r="E64" s="282"/>
      <c r="F64" s="358"/>
      <c r="G64" s="358"/>
      <c r="H64" s="372"/>
      <c r="I64" s="358"/>
      <c r="J64" s="358"/>
      <c r="K64" s="358"/>
      <c r="L64" s="358"/>
      <c r="M64" s="358"/>
      <c r="N64" s="358"/>
      <c r="O64" s="358"/>
      <c r="P64" s="358"/>
      <c r="Q64" s="358"/>
      <c r="R64" s="358"/>
      <c r="S64" s="358"/>
      <c r="T64" s="358"/>
      <c r="U64" s="358"/>
      <c r="V64" s="358"/>
      <c r="W64" s="358"/>
      <c r="X64" s="358"/>
      <c r="Y64" s="358"/>
      <c r="Z64" s="358"/>
      <c r="AA64" s="358"/>
      <c r="AB64" s="358"/>
      <c r="AC64" s="358"/>
      <c r="AD64" s="358"/>
      <c r="AE64" s="358"/>
      <c r="AF64" s="358"/>
      <c r="AG64" s="358"/>
      <c r="AH64" s="358"/>
      <c r="AI64" s="358"/>
      <c r="AJ64" s="358"/>
      <c r="AK64" s="358"/>
      <c r="AL64" s="358"/>
      <c r="AM64" s="358"/>
      <c r="AN64" s="358"/>
      <c r="AO64" s="358"/>
      <c r="AP64" s="358"/>
      <c r="AQ64" s="358"/>
      <c r="AR64" s="358"/>
      <c r="AS64" s="358"/>
      <c r="AT64" s="358"/>
      <c r="AU64" s="358"/>
      <c r="AV64" s="358"/>
      <c r="AW64" s="358"/>
      <c r="AX64" s="358"/>
      <c r="AY64" s="358"/>
      <c r="AZ64" s="358"/>
      <c r="BA64" s="358"/>
      <c r="BB64" s="358"/>
    </row>
    <row r="65" spans="1:54">
      <c r="A65" s="595"/>
      <c r="B65" s="598"/>
      <c r="C65" s="599"/>
      <c r="D65" s="282"/>
      <c r="E65" s="282"/>
      <c r="F65" s="358"/>
      <c r="G65" s="358"/>
      <c r="H65" s="372"/>
      <c r="I65" s="358"/>
      <c r="J65" s="358"/>
      <c r="K65" s="358"/>
      <c r="L65" s="358"/>
      <c r="M65" s="358"/>
      <c r="N65" s="358"/>
      <c r="O65" s="358"/>
      <c r="P65" s="358"/>
      <c r="Q65" s="358"/>
      <c r="R65" s="358"/>
      <c r="S65" s="358"/>
      <c r="T65" s="358"/>
      <c r="U65" s="358"/>
      <c r="V65" s="358"/>
      <c r="W65" s="358"/>
      <c r="X65" s="358"/>
      <c r="Y65" s="358"/>
      <c r="Z65" s="358"/>
      <c r="AA65" s="358"/>
      <c r="AB65" s="358"/>
      <c r="AC65" s="358"/>
      <c r="AD65" s="358"/>
      <c r="AE65" s="358"/>
      <c r="AF65" s="358"/>
      <c r="AG65" s="358"/>
      <c r="AH65" s="358"/>
      <c r="AI65" s="358"/>
      <c r="AJ65" s="358"/>
      <c r="AK65" s="358"/>
      <c r="AL65" s="358"/>
      <c r="AM65" s="358"/>
      <c r="AN65" s="358"/>
      <c r="AO65" s="358"/>
      <c r="AP65" s="358"/>
      <c r="AQ65" s="358"/>
      <c r="AR65" s="358"/>
      <c r="AS65" s="358"/>
      <c r="AT65" s="358"/>
      <c r="AU65" s="358"/>
      <c r="AV65" s="358"/>
      <c r="AW65" s="358"/>
      <c r="AX65" s="358"/>
      <c r="AY65" s="358"/>
      <c r="AZ65" s="358"/>
      <c r="BA65" s="358"/>
      <c r="BB65" s="358"/>
    </row>
    <row r="66" spans="1:54">
      <c r="A66" s="595"/>
      <c r="B66" s="598"/>
      <c r="C66" s="599"/>
      <c r="D66" s="282"/>
      <c r="E66" s="282"/>
      <c r="F66" s="358"/>
      <c r="G66" s="358"/>
      <c r="H66" s="372"/>
      <c r="I66" s="358"/>
      <c r="J66" s="358"/>
      <c r="K66" s="358"/>
      <c r="L66" s="358"/>
      <c r="M66" s="358"/>
      <c r="N66" s="358"/>
      <c r="O66" s="358"/>
      <c r="P66" s="358"/>
      <c r="Q66" s="358"/>
      <c r="R66" s="358"/>
      <c r="S66" s="358"/>
      <c r="T66" s="358"/>
      <c r="U66" s="358"/>
      <c r="V66" s="358"/>
      <c r="W66" s="358"/>
      <c r="X66" s="358"/>
      <c r="Y66" s="358"/>
      <c r="Z66" s="358"/>
      <c r="AA66" s="358"/>
      <c r="AB66" s="358"/>
      <c r="AC66" s="358"/>
      <c r="AD66" s="358"/>
      <c r="AE66" s="358"/>
      <c r="AF66" s="358"/>
      <c r="AG66" s="358"/>
      <c r="AH66" s="358"/>
      <c r="AI66" s="358"/>
      <c r="AJ66" s="358"/>
      <c r="AK66" s="358"/>
      <c r="AL66" s="358"/>
      <c r="AM66" s="358"/>
      <c r="AN66" s="358"/>
      <c r="AO66" s="358"/>
      <c r="AP66" s="358"/>
      <c r="AQ66" s="358"/>
      <c r="AR66" s="358"/>
      <c r="AS66" s="358"/>
      <c r="AT66" s="358"/>
      <c r="AU66" s="358"/>
      <c r="AV66" s="358"/>
      <c r="AW66" s="358"/>
      <c r="AX66" s="358"/>
      <c r="AY66" s="358"/>
      <c r="AZ66" s="358"/>
      <c r="BA66" s="358"/>
      <c r="BB66" s="358"/>
    </row>
    <row r="67" spans="1:54">
      <c r="A67" s="595"/>
      <c r="B67" s="598"/>
      <c r="C67" s="599"/>
      <c r="D67" s="282"/>
      <c r="E67" s="282"/>
      <c r="F67" s="358"/>
      <c r="G67" s="358"/>
      <c r="H67" s="372"/>
      <c r="I67" s="358"/>
      <c r="J67" s="358"/>
      <c r="K67" s="358"/>
      <c r="L67" s="358"/>
      <c r="M67" s="358"/>
      <c r="N67" s="358"/>
      <c r="O67" s="358"/>
      <c r="P67" s="358"/>
      <c r="Q67" s="358"/>
      <c r="R67" s="358"/>
      <c r="S67" s="358"/>
      <c r="T67" s="358"/>
      <c r="U67" s="358"/>
      <c r="V67" s="358"/>
      <c r="W67" s="358"/>
      <c r="X67" s="358"/>
      <c r="Y67" s="358"/>
      <c r="Z67" s="358"/>
      <c r="AA67" s="358"/>
      <c r="AB67" s="358"/>
      <c r="AC67" s="358"/>
      <c r="AD67" s="358"/>
      <c r="AE67" s="358"/>
      <c r="AF67" s="358"/>
      <c r="AG67" s="358"/>
      <c r="AH67" s="358"/>
      <c r="AI67" s="358"/>
      <c r="AJ67" s="358"/>
      <c r="AK67" s="358"/>
      <c r="AL67" s="358"/>
      <c r="AM67" s="358"/>
      <c r="AN67" s="358"/>
      <c r="AO67" s="358"/>
      <c r="AP67" s="358"/>
      <c r="AQ67" s="358"/>
      <c r="AR67" s="358"/>
      <c r="AS67" s="358"/>
      <c r="AT67" s="358"/>
      <c r="AU67" s="358"/>
      <c r="AV67" s="358"/>
      <c r="AW67" s="358"/>
      <c r="AX67" s="358"/>
      <c r="AY67" s="358"/>
      <c r="AZ67" s="358"/>
      <c r="BA67" s="358"/>
      <c r="BB67" s="358"/>
    </row>
    <row r="68" spans="1:54">
      <c r="A68" s="595"/>
      <c r="B68" s="598"/>
      <c r="C68" s="599"/>
      <c r="D68" s="282"/>
      <c r="E68" s="282"/>
      <c r="F68" s="358"/>
      <c r="G68" s="358"/>
      <c r="H68" s="372"/>
      <c r="I68" s="358"/>
      <c r="J68" s="358"/>
      <c r="K68" s="358"/>
      <c r="L68" s="358"/>
      <c r="M68" s="358"/>
      <c r="N68" s="358"/>
      <c r="O68" s="358"/>
      <c r="P68" s="358"/>
      <c r="Q68" s="358"/>
      <c r="R68" s="358"/>
      <c r="S68" s="358"/>
      <c r="T68" s="358"/>
      <c r="U68" s="358"/>
      <c r="V68" s="358"/>
      <c r="W68" s="358"/>
      <c r="X68" s="358"/>
      <c r="Y68" s="358"/>
      <c r="Z68" s="358"/>
      <c r="AA68" s="358"/>
      <c r="AB68" s="358"/>
      <c r="AC68" s="358"/>
      <c r="AD68" s="358"/>
      <c r="AE68" s="358"/>
      <c r="AF68" s="358"/>
      <c r="AG68" s="358"/>
      <c r="AH68" s="358"/>
      <c r="AI68" s="358"/>
      <c r="AJ68" s="358"/>
      <c r="AK68" s="358"/>
      <c r="AL68" s="358"/>
      <c r="AM68" s="358"/>
      <c r="AN68" s="358"/>
      <c r="AO68" s="358"/>
      <c r="AP68" s="358"/>
      <c r="AQ68" s="358"/>
      <c r="AR68" s="358"/>
      <c r="AS68" s="358"/>
      <c r="AT68" s="358"/>
      <c r="AU68" s="358"/>
      <c r="AV68" s="358"/>
      <c r="AW68" s="358"/>
      <c r="AX68" s="358"/>
      <c r="AY68" s="358"/>
      <c r="AZ68" s="358"/>
      <c r="BA68" s="358"/>
      <c r="BB68" s="358"/>
    </row>
    <row r="69" spans="1:54">
      <c r="A69" s="595"/>
      <c r="B69" s="598"/>
      <c r="C69" s="599"/>
      <c r="D69" s="282"/>
      <c r="E69" s="282"/>
      <c r="F69" s="358"/>
      <c r="G69" s="358"/>
      <c r="H69" s="372"/>
      <c r="I69" s="358"/>
      <c r="J69" s="358"/>
      <c r="K69" s="358"/>
      <c r="L69" s="358"/>
      <c r="M69" s="358"/>
      <c r="N69" s="358"/>
      <c r="O69" s="358"/>
      <c r="P69" s="358"/>
      <c r="Q69" s="358"/>
      <c r="R69" s="358"/>
      <c r="S69" s="358"/>
      <c r="T69" s="358"/>
      <c r="U69" s="358"/>
      <c r="V69" s="358"/>
      <c r="W69" s="358"/>
      <c r="X69" s="358"/>
      <c r="Y69" s="358"/>
      <c r="Z69" s="358"/>
      <c r="AA69" s="358"/>
      <c r="AB69" s="358"/>
      <c r="AC69" s="358"/>
      <c r="AD69" s="358"/>
      <c r="AE69" s="358"/>
      <c r="AF69" s="358"/>
      <c r="AG69" s="358"/>
      <c r="AH69" s="358"/>
      <c r="AI69" s="358"/>
      <c r="AJ69" s="358"/>
      <c r="AK69" s="358"/>
      <c r="AL69" s="358"/>
      <c r="AM69" s="358"/>
      <c r="AN69" s="358"/>
      <c r="AO69" s="358"/>
      <c r="AP69" s="358"/>
      <c r="AQ69" s="358"/>
      <c r="AR69" s="358"/>
      <c r="AS69" s="358"/>
      <c r="AT69" s="358"/>
      <c r="AU69" s="358"/>
      <c r="AV69" s="358"/>
      <c r="AW69" s="358"/>
      <c r="AX69" s="358"/>
      <c r="AY69" s="358"/>
      <c r="AZ69" s="358"/>
      <c r="BA69" s="358"/>
      <c r="BB69" s="358"/>
    </row>
    <row r="70" spans="1:54">
      <c r="A70" s="595"/>
      <c r="B70" s="598"/>
      <c r="C70" s="599"/>
      <c r="D70" s="282"/>
      <c r="E70" s="282"/>
      <c r="F70" s="358"/>
      <c r="G70" s="358"/>
      <c r="H70" s="372"/>
      <c r="I70" s="358"/>
      <c r="J70" s="358"/>
      <c r="K70" s="358"/>
      <c r="L70" s="358"/>
      <c r="M70" s="358"/>
      <c r="N70" s="358"/>
      <c r="O70" s="358"/>
      <c r="P70" s="358"/>
      <c r="Q70" s="358"/>
      <c r="R70" s="358"/>
      <c r="S70" s="358"/>
      <c r="T70" s="358"/>
      <c r="U70" s="358"/>
      <c r="V70" s="358"/>
      <c r="W70" s="358"/>
      <c r="X70" s="358"/>
      <c r="Y70" s="358"/>
      <c r="Z70" s="358"/>
      <c r="AA70" s="358"/>
      <c r="AB70" s="358"/>
      <c r="AC70" s="358"/>
      <c r="AD70" s="358"/>
      <c r="AE70" s="358"/>
      <c r="AF70" s="358"/>
      <c r="AG70" s="358"/>
      <c r="AH70" s="358"/>
      <c r="AI70" s="358"/>
      <c r="AJ70" s="358"/>
      <c r="AK70" s="358"/>
      <c r="AL70" s="358"/>
      <c r="AM70" s="358"/>
      <c r="AN70" s="358"/>
      <c r="AO70" s="358"/>
      <c r="AP70" s="358"/>
      <c r="AQ70" s="358"/>
      <c r="AR70" s="358"/>
      <c r="AS70" s="358"/>
      <c r="AT70" s="358"/>
      <c r="AU70" s="358"/>
      <c r="AV70" s="358"/>
      <c r="AW70" s="358"/>
      <c r="AX70" s="358"/>
      <c r="AY70" s="358"/>
      <c r="AZ70" s="358"/>
      <c r="BA70" s="358"/>
      <c r="BB70" s="358"/>
    </row>
    <row r="71" spans="1:54">
      <c r="A71" s="595"/>
      <c r="B71" s="598"/>
      <c r="C71" s="599"/>
      <c r="D71" s="282"/>
      <c r="E71" s="282"/>
      <c r="F71" s="358"/>
      <c r="G71" s="358"/>
      <c r="H71" s="372"/>
      <c r="I71" s="358"/>
      <c r="J71" s="358"/>
      <c r="K71" s="358"/>
      <c r="L71" s="358"/>
      <c r="M71" s="358"/>
      <c r="N71" s="358"/>
      <c r="O71" s="358"/>
      <c r="P71" s="358"/>
      <c r="Q71" s="358"/>
      <c r="R71" s="358"/>
      <c r="S71" s="358"/>
      <c r="T71" s="358"/>
      <c r="U71" s="358"/>
      <c r="V71" s="358"/>
      <c r="W71" s="358"/>
      <c r="X71" s="358"/>
      <c r="Y71" s="358"/>
      <c r="Z71" s="358"/>
      <c r="AA71" s="358"/>
      <c r="AB71" s="358"/>
      <c r="AC71" s="358"/>
      <c r="AD71" s="358"/>
      <c r="AE71" s="358"/>
      <c r="AF71" s="358"/>
      <c r="AG71" s="358"/>
      <c r="AH71" s="358"/>
      <c r="AI71" s="358"/>
      <c r="AJ71" s="358"/>
      <c r="AK71" s="358"/>
      <c r="AL71" s="358"/>
      <c r="AM71" s="358"/>
      <c r="AN71" s="358"/>
      <c r="AO71" s="358"/>
      <c r="AP71" s="358"/>
      <c r="AQ71" s="358"/>
      <c r="AR71" s="358"/>
      <c r="AS71" s="358"/>
      <c r="AT71" s="358"/>
      <c r="AU71" s="358"/>
      <c r="AV71" s="358"/>
      <c r="AW71" s="358"/>
      <c r="AX71" s="358"/>
      <c r="AY71" s="358"/>
      <c r="AZ71" s="358"/>
      <c r="BA71" s="358"/>
      <c r="BB71" s="358"/>
    </row>
    <row r="72" spans="1:54">
      <c r="A72" s="595"/>
      <c r="B72" s="598"/>
      <c r="C72" s="599"/>
      <c r="D72" s="282"/>
      <c r="E72" s="282"/>
      <c r="F72" s="358"/>
      <c r="G72" s="358"/>
      <c r="H72" s="372"/>
      <c r="I72" s="358"/>
      <c r="J72" s="358"/>
      <c r="K72" s="358"/>
      <c r="L72" s="358"/>
      <c r="M72" s="358"/>
      <c r="N72" s="358"/>
      <c r="O72" s="358"/>
      <c r="P72" s="358"/>
      <c r="Q72" s="358"/>
      <c r="R72" s="358"/>
      <c r="S72" s="358"/>
      <c r="T72" s="358"/>
      <c r="U72" s="358"/>
      <c r="V72" s="358"/>
      <c r="W72" s="358"/>
      <c r="X72" s="358"/>
      <c r="Y72" s="358"/>
      <c r="Z72" s="358"/>
      <c r="AA72" s="358"/>
      <c r="AB72" s="358"/>
      <c r="AC72" s="358"/>
      <c r="AD72" s="358"/>
      <c r="AE72" s="358"/>
      <c r="AF72" s="358"/>
      <c r="AG72" s="358"/>
      <c r="AH72" s="358"/>
      <c r="AI72" s="358"/>
      <c r="AJ72" s="358"/>
      <c r="AK72" s="358"/>
      <c r="AL72" s="358"/>
      <c r="AM72" s="358"/>
      <c r="AN72" s="358"/>
      <c r="AO72" s="358"/>
      <c r="AP72" s="358"/>
      <c r="AQ72" s="358"/>
      <c r="AR72" s="358"/>
      <c r="AS72" s="358"/>
      <c r="AT72" s="358"/>
      <c r="AU72" s="358"/>
      <c r="AV72" s="358"/>
      <c r="AW72" s="358"/>
      <c r="AX72" s="358"/>
      <c r="AY72" s="358"/>
      <c r="AZ72" s="358"/>
      <c r="BA72" s="358"/>
      <c r="BB72" s="358"/>
    </row>
    <row r="73" spans="1:54">
      <c r="A73" s="595"/>
      <c r="B73" s="598"/>
      <c r="C73" s="599"/>
      <c r="D73" s="282"/>
      <c r="E73" s="282"/>
      <c r="F73" s="358"/>
      <c r="G73" s="358"/>
      <c r="H73" s="372"/>
      <c r="I73" s="358"/>
      <c r="J73" s="358"/>
      <c r="K73" s="358"/>
      <c r="L73" s="358"/>
      <c r="M73" s="358"/>
      <c r="N73" s="358"/>
      <c r="O73" s="358"/>
      <c r="P73" s="358"/>
      <c r="Q73" s="358"/>
      <c r="R73" s="358"/>
      <c r="S73" s="358"/>
      <c r="T73" s="358"/>
      <c r="U73" s="358"/>
      <c r="V73" s="358"/>
      <c r="W73" s="358"/>
      <c r="X73" s="358"/>
      <c r="Y73" s="358"/>
      <c r="Z73" s="358"/>
      <c r="AA73" s="358"/>
      <c r="AB73" s="358"/>
      <c r="AC73" s="358"/>
      <c r="AD73" s="358"/>
      <c r="AE73" s="358"/>
      <c r="AF73" s="358"/>
      <c r="AG73" s="358"/>
      <c r="AH73" s="358"/>
      <c r="AI73" s="358"/>
      <c r="AJ73" s="358"/>
      <c r="AK73" s="358"/>
      <c r="AL73" s="358"/>
      <c r="AM73" s="358"/>
      <c r="AN73" s="358"/>
      <c r="AO73" s="358"/>
      <c r="AP73" s="358"/>
      <c r="AQ73" s="358"/>
      <c r="AR73" s="358"/>
      <c r="AS73" s="358"/>
      <c r="AT73" s="358"/>
      <c r="AU73" s="358"/>
      <c r="AV73" s="358"/>
      <c r="AW73" s="358"/>
      <c r="AX73" s="358"/>
      <c r="AY73" s="358"/>
      <c r="AZ73" s="358"/>
      <c r="BA73" s="358"/>
      <c r="BB73" s="358"/>
    </row>
    <row r="74" spans="1:54">
      <c r="A74" s="595"/>
      <c r="B74" s="598"/>
      <c r="C74" s="599"/>
      <c r="D74" s="282"/>
      <c r="E74" s="282"/>
      <c r="F74" s="358"/>
      <c r="G74" s="358"/>
      <c r="H74" s="372"/>
      <c r="I74" s="358"/>
      <c r="J74" s="358"/>
      <c r="K74" s="358"/>
      <c r="L74" s="358"/>
      <c r="M74" s="358"/>
      <c r="N74" s="358"/>
      <c r="O74" s="358"/>
      <c r="P74" s="358"/>
      <c r="Q74" s="358"/>
      <c r="R74" s="358"/>
      <c r="S74" s="358"/>
      <c r="T74" s="358"/>
      <c r="U74" s="358"/>
      <c r="V74" s="358"/>
      <c r="W74" s="358"/>
      <c r="X74" s="358"/>
      <c r="Y74" s="358"/>
      <c r="Z74" s="358"/>
      <c r="AA74" s="358"/>
      <c r="AB74" s="358"/>
      <c r="AC74" s="358"/>
      <c r="AD74" s="358"/>
      <c r="AE74" s="358"/>
      <c r="AF74" s="358"/>
      <c r="AG74" s="358"/>
      <c r="AH74" s="358"/>
      <c r="AI74" s="358"/>
      <c r="AJ74" s="358"/>
      <c r="AK74" s="358"/>
      <c r="AL74" s="358"/>
      <c r="AM74" s="358"/>
      <c r="AN74" s="358"/>
      <c r="AO74" s="358"/>
      <c r="AP74" s="358"/>
      <c r="AQ74" s="358"/>
      <c r="AR74" s="358"/>
      <c r="AS74" s="358"/>
      <c r="AT74" s="358"/>
      <c r="AU74" s="358"/>
      <c r="AV74" s="358"/>
      <c r="AW74" s="358"/>
      <c r="AX74" s="358"/>
      <c r="AY74" s="358"/>
      <c r="AZ74" s="358"/>
      <c r="BA74" s="358"/>
      <c r="BB74" s="358"/>
    </row>
    <row r="75" spans="1:54">
      <c r="A75" s="595"/>
      <c r="B75" s="598"/>
      <c r="C75" s="599"/>
      <c r="D75" s="282"/>
      <c r="E75" s="282"/>
      <c r="F75" s="358"/>
      <c r="G75" s="358"/>
      <c r="H75" s="372"/>
      <c r="I75" s="358"/>
      <c r="J75" s="358"/>
      <c r="K75" s="358"/>
      <c r="L75" s="358"/>
      <c r="M75" s="358"/>
      <c r="N75" s="358"/>
      <c r="O75" s="358"/>
      <c r="P75" s="358"/>
      <c r="Q75" s="358"/>
      <c r="R75" s="358"/>
      <c r="S75" s="358"/>
      <c r="T75" s="358"/>
      <c r="U75" s="358"/>
      <c r="V75" s="358"/>
      <c r="W75" s="358"/>
      <c r="X75" s="358"/>
      <c r="Y75" s="358"/>
      <c r="Z75" s="358"/>
      <c r="AA75" s="358"/>
      <c r="AB75" s="358"/>
      <c r="AC75" s="358"/>
      <c r="AD75" s="358"/>
      <c r="AE75" s="358"/>
      <c r="AF75" s="358"/>
      <c r="AG75" s="358"/>
      <c r="AH75" s="358"/>
      <c r="AI75" s="358"/>
      <c r="AJ75" s="358"/>
      <c r="AK75" s="358"/>
      <c r="AL75" s="358"/>
      <c r="AM75" s="358"/>
      <c r="AN75" s="358"/>
      <c r="AO75" s="358"/>
      <c r="AP75" s="358"/>
      <c r="AQ75" s="358"/>
      <c r="AR75" s="358"/>
      <c r="AS75" s="358"/>
      <c r="AT75" s="358"/>
      <c r="AU75" s="358"/>
      <c r="AV75" s="358"/>
      <c r="AW75" s="358"/>
      <c r="AX75" s="358"/>
      <c r="AY75" s="358"/>
      <c r="AZ75" s="358"/>
      <c r="BA75" s="358"/>
      <c r="BB75" s="358"/>
    </row>
    <row r="76" spans="1:54">
      <c r="A76" s="595"/>
      <c r="B76" s="598"/>
      <c r="C76" s="599"/>
      <c r="D76" s="282"/>
      <c r="E76" s="282"/>
      <c r="F76" s="358"/>
      <c r="G76" s="358"/>
      <c r="H76" s="372"/>
      <c r="I76" s="358"/>
      <c r="J76" s="358"/>
      <c r="K76" s="358"/>
      <c r="L76" s="358"/>
      <c r="M76" s="358"/>
      <c r="N76" s="358"/>
      <c r="O76" s="358"/>
      <c r="P76" s="358"/>
      <c r="Q76" s="358"/>
      <c r="R76" s="358"/>
      <c r="S76" s="358"/>
      <c r="T76" s="358"/>
      <c r="U76" s="358"/>
      <c r="V76" s="358"/>
      <c r="W76" s="358"/>
      <c r="X76" s="358"/>
      <c r="Y76" s="358"/>
      <c r="Z76" s="358"/>
      <c r="AA76" s="358"/>
      <c r="AB76" s="358"/>
      <c r="AC76" s="358"/>
      <c r="AD76" s="358"/>
      <c r="AE76" s="358"/>
      <c r="AF76" s="358"/>
      <c r="AG76" s="358"/>
      <c r="AH76" s="358"/>
      <c r="AI76" s="358"/>
      <c r="AJ76" s="358"/>
      <c r="AK76" s="358"/>
      <c r="AL76" s="358"/>
      <c r="AM76" s="358"/>
      <c r="AN76" s="358"/>
      <c r="AO76" s="358"/>
      <c r="AP76" s="358"/>
      <c r="AQ76" s="358"/>
      <c r="AR76" s="358"/>
      <c r="AS76" s="358"/>
      <c r="AT76" s="358"/>
      <c r="AU76" s="358"/>
      <c r="AV76" s="358"/>
      <c r="AW76" s="358"/>
      <c r="AX76" s="358"/>
      <c r="AY76" s="358"/>
      <c r="AZ76" s="358"/>
      <c r="BA76" s="358"/>
      <c r="BB76" s="358"/>
    </row>
    <row r="77" spans="1:54">
      <c r="A77" s="595"/>
      <c r="B77" s="598"/>
      <c r="C77" s="599"/>
      <c r="D77" s="282"/>
      <c r="E77" s="282"/>
      <c r="F77" s="358"/>
      <c r="G77" s="358"/>
      <c r="H77" s="372"/>
      <c r="I77" s="358"/>
      <c r="J77" s="358"/>
      <c r="K77" s="358"/>
      <c r="L77" s="358"/>
      <c r="M77" s="358"/>
      <c r="N77" s="358"/>
      <c r="O77" s="358"/>
      <c r="P77" s="358"/>
      <c r="Q77" s="358"/>
      <c r="R77" s="358"/>
      <c r="S77" s="358"/>
      <c r="T77" s="358"/>
      <c r="U77" s="358"/>
      <c r="V77" s="358"/>
      <c r="W77" s="358"/>
      <c r="X77" s="358"/>
      <c r="Y77" s="358"/>
      <c r="Z77" s="358"/>
      <c r="AA77" s="358"/>
      <c r="AB77" s="358"/>
      <c r="AC77" s="358"/>
      <c r="AD77" s="358"/>
      <c r="AE77" s="358"/>
      <c r="AF77" s="358"/>
      <c r="AG77" s="358"/>
      <c r="AH77" s="358"/>
      <c r="AI77" s="358"/>
      <c r="AJ77" s="358"/>
      <c r="AK77" s="358"/>
      <c r="AL77" s="358"/>
      <c r="AM77" s="358"/>
      <c r="AN77" s="358"/>
      <c r="AO77" s="358"/>
      <c r="AP77" s="358"/>
      <c r="AQ77" s="358"/>
      <c r="AR77" s="358"/>
      <c r="AS77" s="358"/>
      <c r="AT77" s="358"/>
      <c r="AU77" s="358"/>
      <c r="AV77" s="358"/>
      <c r="AW77" s="358"/>
      <c r="AX77" s="358"/>
      <c r="AY77" s="358"/>
      <c r="AZ77" s="358"/>
      <c r="BA77" s="358"/>
      <c r="BB77" s="358"/>
    </row>
    <row r="78" spans="1:54">
      <c r="A78" s="595"/>
      <c r="B78" s="598"/>
      <c r="C78" s="243"/>
      <c r="D78" s="282"/>
      <c r="E78" s="282"/>
      <c r="F78" s="358"/>
      <c r="G78" s="358"/>
      <c r="H78" s="372"/>
      <c r="I78" s="358"/>
      <c r="J78" s="358"/>
      <c r="K78" s="358"/>
      <c r="L78" s="358"/>
      <c r="M78" s="358"/>
      <c r="N78" s="358"/>
      <c r="O78" s="358"/>
      <c r="P78" s="358"/>
      <c r="Q78" s="358"/>
      <c r="R78" s="358"/>
      <c r="S78" s="358"/>
      <c r="T78" s="358"/>
      <c r="U78" s="358"/>
      <c r="V78" s="358"/>
      <c r="W78" s="358"/>
      <c r="X78" s="358"/>
      <c r="Y78" s="358"/>
      <c r="Z78" s="358"/>
      <c r="AA78" s="358"/>
      <c r="AB78" s="358"/>
      <c r="AC78" s="358"/>
      <c r="AD78" s="358"/>
      <c r="AE78" s="358"/>
      <c r="AF78" s="358"/>
      <c r="AG78" s="358"/>
      <c r="AH78" s="358"/>
      <c r="AI78" s="358"/>
      <c r="AJ78" s="358"/>
      <c r="AK78" s="358"/>
      <c r="AL78" s="358"/>
      <c r="AM78" s="358"/>
      <c r="AN78" s="358"/>
      <c r="AO78" s="358"/>
      <c r="AP78" s="358"/>
      <c r="AQ78" s="358"/>
      <c r="AR78" s="358"/>
      <c r="AS78" s="358"/>
      <c r="AT78" s="358"/>
      <c r="AU78" s="358"/>
      <c r="AV78" s="358"/>
      <c r="AW78" s="358"/>
      <c r="AX78" s="358"/>
      <c r="AY78" s="358"/>
      <c r="AZ78" s="358"/>
      <c r="BA78" s="358"/>
      <c r="BB78" s="358"/>
    </row>
    <row r="79" spans="1:54">
      <c r="A79" s="595"/>
      <c r="B79" s="598"/>
      <c r="C79" s="243"/>
      <c r="D79" s="282"/>
      <c r="E79" s="282"/>
      <c r="F79" s="358"/>
      <c r="G79" s="358"/>
      <c r="H79" s="372"/>
      <c r="I79" s="358"/>
      <c r="J79" s="358"/>
      <c r="K79" s="358"/>
      <c r="L79" s="358"/>
      <c r="M79" s="358"/>
      <c r="N79" s="358"/>
      <c r="O79" s="358"/>
      <c r="P79" s="358"/>
      <c r="Q79" s="358"/>
      <c r="R79" s="358"/>
      <c r="S79" s="358"/>
      <c r="T79" s="358"/>
      <c r="U79" s="358"/>
      <c r="V79" s="358"/>
      <c r="W79" s="358"/>
      <c r="X79" s="358"/>
      <c r="Y79" s="358"/>
      <c r="Z79" s="358"/>
      <c r="AA79" s="358"/>
      <c r="AB79" s="358"/>
      <c r="AC79" s="358"/>
      <c r="AD79" s="358"/>
      <c r="AE79" s="358"/>
      <c r="AF79" s="358"/>
      <c r="AG79" s="358"/>
      <c r="AH79" s="358"/>
      <c r="AI79" s="358"/>
      <c r="AJ79" s="358"/>
      <c r="AK79" s="358"/>
      <c r="AL79" s="358"/>
      <c r="AM79" s="358"/>
      <c r="AN79" s="358"/>
      <c r="AO79" s="358"/>
      <c r="AP79" s="358"/>
      <c r="AQ79" s="358"/>
      <c r="AR79" s="358"/>
      <c r="AS79" s="358"/>
      <c r="AT79" s="358"/>
      <c r="AU79" s="358"/>
      <c r="AV79" s="358"/>
      <c r="AW79" s="358"/>
      <c r="AX79" s="358"/>
      <c r="AY79" s="358"/>
      <c r="AZ79" s="358"/>
      <c r="BA79" s="358"/>
      <c r="BB79" s="358"/>
    </row>
    <row r="80" spans="1:54">
      <c r="A80" s="595"/>
      <c r="B80" s="598"/>
      <c r="C80" s="243"/>
      <c r="D80" s="282"/>
      <c r="E80" s="282"/>
      <c r="F80" s="358"/>
      <c r="G80" s="358"/>
      <c r="H80" s="372"/>
      <c r="I80" s="358"/>
      <c r="J80" s="358"/>
      <c r="K80" s="358"/>
      <c r="L80" s="358"/>
      <c r="M80" s="358"/>
      <c r="N80" s="358"/>
      <c r="O80" s="358"/>
      <c r="P80" s="358"/>
      <c r="Q80" s="358"/>
      <c r="R80" s="358"/>
      <c r="S80" s="358"/>
      <c r="T80" s="358"/>
      <c r="U80" s="358"/>
      <c r="V80" s="358"/>
      <c r="W80" s="358"/>
      <c r="X80" s="358"/>
      <c r="Y80" s="358"/>
      <c r="Z80" s="358"/>
      <c r="AA80" s="358"/>
      <c r="AB80" s="358"/>
      <c r="AC80" s="358"/>
      <c r="AD80" s="358"/>
      <c r="AE80" s="358"/>
      <c r="AF80" s="358"/>
      <c r="AG80" s="358"/>
      <c r="AH80" s="358"/>
      <c r="AI80" s="358"/>
      <c r="AJ80" s="358"/>
      <c r="AK80" s="358"/>
      <c r="AL80" s="358"/>
      <c r="AM80" s="358"/>
      <c r="AN80" s="358"/>
      <c r="AO80" s="358"/>
      <c r="AP80" s="358"/>
      <c r="AQ80" s="358"/>
      <c r="AR80" s="358"/>
      <c r="AS80" s="358"/>
      <c r="AT80" s="358"/>
      <c r="AU80" s="358"/>
      <c r="AV80" s="358"/>
      <c r="AW80" s="358"/>
      <c r="AX80" s="358"/>
      <c r="AY80" s="358"/>
      <c r="AZ80" s="358"/>
      <c r="BA80" s="358"/>
      <c r="BB80" s="358"/>
    </row>
    <row r="81" spans="1:54">
      <c r="A81" s="595"/>
      <c r="B81" s="598"/>
      <c r="C81" s="243"/>
      <c r="D81" s="282"/>
      <c r="E81" s="282"/>
      <c r="F81" s="358"/>
      <c r="G81" s="358"/>
      <c r="H81" s="372"/>
      <c r="I81" s="358"/>
      <c r="J81" s="358"/>
      <c r="K81" s="358"/>
      <c r="L81" s="358"/>
      <c r="M81" s="358"/>
      <c r="N81" s="358"/>
      <c r="O81" s="358"/>
      <c r="P81" s="358"/>
      <c r="Q81" s="358"/>
      <c r="R81" s="358"/>
      <c r="S81" s="358"/>
      <c r="T81" s="358"/>
      <c r="U81" s="358"/>
      <c r="V81" s="358"/>
      <c r="W81" s="358"/>
      <c r="X81" s="358"/>
      <c r="Y81" s="358"/>
      <c r="Z81" s="358"/>
      <c r="AA81" s="358"/>
      <c r="AB81" s="358"/>
      <c r="AC81" s="358"/>
      <c r="AD81" s="358"/>
      <c r="AE81" s="358"/>
      <c r="AF81" s="358"/>
      <c r="AG81" s="358"/>
      <c r="AH81" s="358"/>
      <c r="AI81" s="358"/>
      <c r="AJ81" s="358"/>
      <c r="AK81" s="358"/>
      <c r="AL81" s="358"/>
      <c r="AM81" s="358"/>
      <c r="AN81" s="358"/>
      <c r="AO81" s="358"/>
      <c r="AP81" s="358"/>
      <c r="AQ81" s="358"/>
      <c r="AR81" s="358"/>
      <c r="AS81" s="358"/>
      <c r="AT81" s="358"/>
      <c r="AU81" s="358"/>
      <c r="AV81" s="358"/>
      <c r="AW81" s="358"/>
      <c r="AX81" s="358"/>
      <c r="AY81" s="358"/>
      <c r="AZ81" s="358"/>
      <c r="BA81" s="358"/>
      <c r="BB81" s="358"/>
    </row>
    <row r="82" spans="1:54">
      <c r="A82" s="595"/>
      <c r="B82" s="598"/>
      <c r="C82" s="243"/>
      <c r="D82" s="282"/>
      <c r="E82" s="282"/>
      <c r="F82" s="358"/>
      <c r="G82" s="358"/>
      <c r="H82" s="372"/>
      <c r="I82" s="358"/>
      <c r="J82" s="358"/>
      <c r="K82" s="358"/>
      <c r="L82" s="358"/>
      <c r="M82" s="358"/>
      <c r="N82" s="358"/>
      <c r="O82" s="358"/>
      <c r="P82" s="358"/>
      <c r="Q82" s="358"/>
      <c r="R82" s="358"/>
      <c r="S82" s="358"/>
      <c r="T82" s="358"/>
      <c r="U82" s="358"/>
      <c r="V82" s="358"/>
      <c r="W82" s="358"/>
      <c r="X82" s="358"/>
      <c r="Y82" s="358"/>
      <c r="Z82" s="358"/>
      <c r="AA82" s="358"/>
      <c r="AB82" s="358"/>
      <c r="AC82" s="358"/>
      <c r="AD82" s="358"/>
      <c r="AE82" s="358"/>
      <c r="AF82" s="358"/>
      <c r="AG82" s="358"/>
      <c r="AH82" s="358"/>
      <c r="AI82" s="358"/>
      <c r="AJ82" s="358"/>
      <c r="AK82" s="358"/>
      <c r="AL82" s="358"/>
      <c r="AM82" s="358"/>
      <c r="AN82" s="358"/>
      <c r="AO82" s="358"/>
      <c r="AP82" s="358"/>
      <c r="AQ82" s="358"/>
      <c r="AR82" s="358"/>
      <c r="AS82" s="358"/>
      <c r="AT82" s="358"/>
      <c r="AU82" s="358"/>
      <c r="AV82" s="358"/>
      <c r="AW82" s="358"/>
      <c r="AX82" s="358"/>
      <c r="AY82" s="358"/>
      <c r="AZ82" s="358"/>
      <c r="BA82" s="358"/>
      <c r="BB82" s="358"/>
    </row>
    <row r="83" spans="1:54">
      <c r="A83" s="595"/>
      <c r="B83" s="598"/>
      <c r="C83" s="243"/>
      <c r="D83" s="282"/>
      <c r="E83" s="282"/>
      <c r="F83" s="358"/>
      <c r="G83" s="358"/>
      <c r="H83" s="372"/>
      <c r="I83" s="358"/>
      <c r="J83" s="358"/>
      <c r="K83" s="358"/>
      <c r="L83" s="358"/>
      <c r="M83" s="358"/>
      <c r="N83" s="358"/>
      <c r="O83" s="358"/>
      <c r="P83" s="358"/>
      <c r="Q83" s="358"/>
      <c r="R83" s="358"/>
      <c r="S83" s="358"/>
      <c r="T83" s="358"/>
      <c r="U83" s="358"/>
      <c r="V83" s="358"/>
      <c r="W83" s="358"/>
      <c r="X83" s="358"/>
      <c r="Y83" s="358"/>
      <c r="Z83" s="358"/>
      <c r="AA83" s="358"/>
      <c r="AB83" s="358"/>
      <c r="AC83" s="358"/>
      <c r="AD83" s="358"/>
      <c r="AE83" s="358"/>
      <c r="AF83" s="358"/>
      <c r="AG83" s="358"/>
      <c r="AH83" s="358"/>
      <c r="AI83" s="358"/>
      <c r="AJ83" s="358"/>
      <c r="AK83" s="358"/>
      <c r="AL83" s="358"/>
      <c r="AM83" s="358"/>
      <c r="AN83" s="358"/>
      <c r="AO83" s="358"/>
      <c r="AP83" s="358"/>
      <c r="AQ83" s="358"/>
      <c r="AR83" s="358"/>
      <c r="AS83" s="358"/>
      <c r="AT83" s="358"/>
      <c r="AU83" s="358"/>
      <c r="AV83" s="358"/>
      <c r="AW83" s="358"/>
      <c r="AX83" s="358"/>
      <c r="AY83" s="358"/>
      <c r="AZ83" s="358"/>
      <c r="BA83" s="358"/>
      <c r="BB83" s="358"/>
    </row>
    <row r="84" spans="1:54">
      <c r="A84" s="595"/>
      <c r="B84" s="598"/>
      <c r="C84" s="243"/>
      <c r="D84" s="282"/>
      <c r="E84" s="282"/>
      <c r="F84" s="358"/>
      <c r="G84" s="358"/>
      <c r="H84" s="372"/>
      <c r="I84" s="358"/>
      <c r="J84" s="358"/>
      <c r="K84" s="358"/>
      <c r="L84" s="358"/>
      <c r="M84" s="358"/>
      <c r="N84" s="358"/>
      <c r="O84" s="358"/>
      <c r="P84" s="358"/>
      <c r="Q84" s="358"/>
      <c r="R84" s="358"/>
      <c r="S84" s="358"/>
      <c r="T84" s="358"/>
      <c r="U84" s="358"/>
      <c r="V84" s="358"/>
      <c r="W84" s="358"/>
      <c r="X84" s="358"/>
      <c r="Y84" s="358"/>
      <c r="Z84" s="358"/>
      <c r="AA84" s="358"/>
      <c r="AB84" s="358"/>
      <c r="AC84" s="358"/>
      <c r="AD84" s="358"/>
      <c r="AE84" s="358"/>
      <c r="AF84" s="358"/>
      <c r="AG84" s="358"/>
      <c r="AH84" s="358"/>
      <c r="AI84" s="358"/>
      <c r="AJ84" s="358"/>
      <c r="AK84" s="358"/>
      <c r="AL84" s="358"/>
      <c r="AM84" s="358"/>
      <c r="AN84" s="358"/>
      <c r="AO84" s="358"/>
      <c r="AP84" s="358"/>
      <c r="AQ84" s="358"/>
      <c r="AR84" s="358"/>
      <c r="AS84" s="358"/>
      <c r="AT84" s="358"/>
      <c r="AU84" s="358"/>
      <c r="AV84" s="358"/>
      <c r="AW84" s="358"/>
      <c r="AX84" s="358"/>
      <c r="AY84" s="358"/>
      <c r="AZ84" s="358"/>
      <c r="BA84" s="358"/>
      <c r="BB84" s="358"/>
    </row>
    <row r="85" spans="1:54">
      <c r="A85" s="595"/>
      <c r="B85" s="598"/>
      <c r="C85" s="243"/>
      <c r="D85" s="282"/>
      <c r="E85" s="282"/>
      <c r="F85" s="358"/>
      <c r="G85" s="358"/>
      <c r="H85" s="372"/>
      <c r="I85" s="358"/>
      <c r="J85" s="358"/>
      <c r="K85" s="358"/>
      <c r="L85" s="358"/>
      <c r="M85" s="358"/>
      <c r="N85" s="358"/>
      <c r="O85" s="358"/>
      <c r="P85" s="358"/>
      <c r="Q85" s="358"/>
      <c r="R85" s="358"/>
      <c r="S85" s="358"/>
      <c r="T85" s="358"/>
      <c r="U85" s="358"/>
      <c r="V85" s="358"/>
      <c r="W85" s="358"/>
      <c r="X85" s="358"/>
      <c r="Y85" s="358"/>
      <c r="Z85" s="358"/>
      <c r="AA85" s="358"/>
      <c r="AB85" s="358"/>
      <c r="AC85" s="358"/>
      <c r="AD85" s="358"/>
      <c r="AE85" s="358"/>
      <c r="AF85" s="358"/>
      <c r="AG85" s="358"/>
      <c r="AH85" s="358"/>
      <c r="AI85" s="358"/>
      <c r="AJ85" s="358"/>
      <c r="AK85" s="358"/>
      <c r="AL85" s="358"/>
      <c r="AM85" s="358"/>
      <c r="AN85" s="358"/>
      <c r="AO85" s="358"/>
      <c r="AP85" s="358"/>
      <c r="AQ85" s="358"/>
      <c r="AR85" s="358"/>
      <c r="AS85" s="358"/>
      <c r="AT85" s="358"/>
      <c r="AU85" s="358"/>
      <c r="AV85" s="358"/>
      <c r="AW85" s="358"/>
      <c r="AX85" s="358"/>
      <c r="AY85" s="358"/>
      <c r="AZ85" s="358"/>
      <c r="BA85" s="358"/>
      <c r="BB85" s="358"/>
    </row>
    <row r="86" spans="1:54">
      <c r="A86" s="595"/>
      <c r="B86" s="598"/>
      <c r="C86" s="243"/>
      <c r="D86" s="282"/>
      <c r="E86" s="282"/>
      <c r="F86" s="358"/>
      <c r="G86" s="358"/>
      <c r="H86" s="372"/>
      <c r="I86" s="358"/>
      <c r="J86" s="358"/>
      <c r="K86" s="358"/>
      <c r="L86" s="358"/>
      <c r="M86" s="358"/>
      <c r="N86" s="358"/>
      <c r="O86" s="358"/>
      <c r="P86" s="358"/>
      <c r="Q86" s="358"/>
      <c r="R86" s="358"/>
      <c r="S86" s="358"/>
      <c r="T86" s="358"/>
      <c r="U86" s="358"/>
      <c r="V86" s="358"/>
      <c r="W86" s="358"/>
      <c r="X86" s="358"/>
      <c r="Y86" s="358"/>
      <c r="Z86" s="358"/>
      <c r="AA86" s="358"/>
      <c r="AB86" s="358"/>
      <c r="AC86" s="358"/>
      <c r="AD86" s="358"/>
      <c r="AE86" s="358"/>
      <c r="AF86" s="358"/>
      <c r="AG86" s="358"/>
      <c r="AH86" s="358"/>
      <c r="AI86" s="358"/>
      <c r="AJ86" s="358"/>
      <c r="AK86" s="358"/>
      <c r="AL86" s="358"/>
      <c r="AM86" s="358"/>
      <c r="AN86" s="358"/>
      <c r="AO86" s="358"/>
      <c r="AP86" s="358"/>
      <c r="AQ86" s="358"/>
      <c r="AR86" s="358"/>
      <c r="AS86" s="358"/>
      <c r="AT86" s="358"/>
      <c r="AU86" s="358"/>
      <c r="AV86" s="358"/>
      <c r="AW86" s="358"/>
      <c r="AX86" s="358"/>
      <c r="AY86" s="358"/>
      <c r="AZ86" s="358"/>
      <c r="BA86" s="358"/>
      <c r="BB86" s="358"/>
    </row>
    <row r="87" spans="1:54">
      <c r="A87" s="595"/>
      <c r="B87" s="598"/>
      <c r="C87" s="243"/>
      <c r="D87" s="282"/>
      <c r="E87" s="282"/>
      <c r="F87" s="358"/>
      <c r="G87" s="358"/>
      <c r="H87" s="372"/>
      <c r="I87" s="358"/>
      <c r="J87" s="358"/>
      <c r="K87" s="358"/>
      <c r="L87" s="358"/>
      <c r="M87" s="358"/>
      <c r="N87" s="358"/>
      <c r="O87" s="358"/>
      <c r="P87" s="358"/>
      <c r="Q87" s="358"/>
      <c r="R87" s="358"/>
      <c r="S87" s="358"/>
      <c r="T87" s="358"/>
      <c r="U87" s="358"/>
      <c r="V87" s="358"/>
      <c r="W87" s="358"/>
      <c r="X87" s="358"/>
      <c r="Y87" s="358"/>
      <c r="Z87" s="358"/>
      <c r="AA87" s="358"/>
      <c r="AB87" s="358"/>
      <c r="AC87" s="358"/>
      <c r="AD87" s="358"/>
      <c r="AE87" s="358"/>
      <c r="AF87" s="358"/>
      <c r="AG87" s="358"/>
      <c r="AH87" s="358"/>
      <c r="AI87" s="358"/>
      <c r="AJ87" s="358"/>
      <c r="AK87" s="358"/>
      <c r="AL87" s="358"/>
      <c r="AM87" s="358"/>
      <c r="AN87" s="358"/>
      <c r="AO87" s="358"/>
      <c r="AP87" s="358"/>
      <c r="AQ87" s="358"/>
      <c r="AR87" s="358"/>
      <c r="AS87" s="358"/>
      <c r="AT87" s="358"/>
      <c r="AU87" s="358"/>
      <c r="AV87" s="358"/>
      <c r="AW87" s="358"/>
      <c r="AX87" s="358"/>
      <c r="AY87" s="358"/>
      <c r="AZ87" s="358"/>
      <c r="BA87" s="358"/>
      <c r="BB87" s="358"/>
    </row>
    <row r="88" spans="1:54">
      <c r="A88" s="595"/>
      <c r="B88" s="598"/>
      <c r="C88" s="243"/>
      <c r="D88" s="282"/>
      <c r="E88" s="282"/>
      <c r="F88" s="358"/>
      <c r="G88" s="358"/>
      <c r="H88" s="372"/>
      <c r="I88" s="358"/>
      <c r="J88" s="358"/>
      <c r="K88" s="358"/>
      <c r="L88" s="358"/>
      <c r="M88" s="358"/>
      <c r="N88" s="358"/>
      <c r="O88" s="358"/>
      <c r="P88" s="358"/>
      <c r="Q88" s="358"/>
      <c r="R88" s="358"/>
      <c r="S88" s="358"/>
      <c r="T88" s="358"/>
      <c r="U88" s="358"/>
      <c r="V88" s="358"/>
      <c r="W88" s="358"/>
      <c r="X88" s="358"/>
      <c r="Y88" s="358"/>
      <c r="Z88" s="358"/>
      <c r="AA88" s="358"/>
      <c r="AB88" s="358"/>
      <c r="AC88" s="358"/>
      <c r="AD88" s="358"/>
      <c r="AE88" s="358"/>
      <c r="AF88" s="358"/>
      <c r="AG88" s="358"/>
      <c r="AH88" s="358"/>
      <c r="AI88" s="358"/>
      <c r="AJ88" s="358"/>
      <c r="AK88" s="358"/>
      <c r="AL88" s="358"/>
      <c r="AM88" s="358"/>
      <c r="AN88" s="358"/>
      <c r="AO88" s="358"/>
      <c r="AP88" s="358"/>
      <c r="AQ88" s="358"/>
      <c r="AR88" s="358"/>
      <c r="AS88" s="358"/>
      <c r="AT88" s="358"/>
      <c r="AU88" s="358"/>
      <c r="AV88" s="358"/>
      <c r="AW88" s="358"/>
      <c r="AX88" s="358"/>
      <c r="AY88" s="358"/>
      <c r="AZ88" s="358"/>
      <c r="BA88" s="358"/>
      <c r="BB88" s="358"/>
    </row>
    <row r="89" spans="1:54">
      <c r="A89" s="595"/>
      <c r="B89" s="598"/>
      <c r="C89" s="243"/>
      <c r="D89" s="282"/>
      <c r="E89" s="282"/>
      <c r="F89" s="358"/>
      <c r="G89" s="358"/>
      <c r="H89" s="372"/>
      <c r="I89" s="358"/>
      <c r="J89" s="358"/>
      <c r="K89" s="358"/>
      <c r="L89" s="358"/>
      <c r="M89" s="358"/>
      <c r="N89" s="358"/>
      <c r="O89" s="358"/>
      <c r="P89" s="358"/>
      <c r="Q89" s="358"/>
      <c r="R89" s="358"/>
      <c r="S89" s="358"/>
      <c r="T89" s="358"/>
      <c r="U89" s="358"/>
      <c r="V89" s="358"/>
      <c r="W89" s="358"/>
      <c r="X89" s="358"/>
      <c r="Y89" s="358"/>
      <c r="Z89" s="358"/>
      <c r="AA89" s="358"/>
      <c r="AB89" s="358"/>
      <c r="AC89" s="358"/>
      <c r="AD89" s="358"/>
      <c r="AE89" s="358"/>
      <c r="AF89" s="358"/>
      <c r="AG89" s="358"/>
      <c r="AH89" s="358"/>
      <c r="AI89" s="358"/>
      <c r="AJ89" s="358"/>
      <c r="AK89" s="358"/>
      <c r="AL89" s="358"/>
      <c r="AM89" s="358"/>
      <c r="AN89" s="358"/>
      <c r="AO89" s="358"/>
      <c r="AP89" s="358"/>
      <c r="AQ89" s="358"/>
      <c r="AR89" s="358"/>
      <c r="AS89" s="358"/>
      <c r="AT89" s="358"/>
      <c r="AU89" s="358"/>
      <c r="AV89" s="358"/>
      <c r="AW89" s="358"/>
      <c r="AX89" s="358"/>
      <c r="AY89" s="358"/>
      <c r="AZ89" s="358"/>
      <c r="BA89" s="358"/>
      <c r="BB89" s="358"/>
    </row>
    <row r="90" spans="1:54">
      <c r="A90" s="595"/>
      <c r="B90" s="598"/>
      <c r="C90" s="243"/>
      <c r="D90" s="282"/>
      <c r="E90" s="282"/>
      <c r="F90" s="358"/>
      <c r="G90" s="358"/>
      <c r="H90" s="372"/>
      <c r="I90" s="358"/>
      <c r="J90" s="358"/>
      <c r="K90" s="358"/>
      <c r="L90" s="358"/>
      <c r="M90" s="358"/>
      <c r="N90" s="358"/>
      <c r="O90" s="358"/>
      <c r="P90" s="358"/>
      <c r="Q90" s="358"/>
      <c r="R90" s="358"/>
      <c r="S90" s="358"/>
      <c r="T90" s="358"/>
      <c r="U90" s="358"/>
      <c r="V90" s="358"/>
      <c r="W90" s="358"/>
      <c r="X90" s="358"/>
      <c r="Y90" s="358"/>
      <c r="Z90" s="358"/>
      <c r="AA90" s="358"/>
      <c r="AB90" s="358"/>
      <c r="AC90" s="358"/>
      <c r="AD90" s="358"/>
      <c r="AE90" s="358"/>
      <c r="AF90" s="358"/>
      <c r="AG90" s="358"/>
      <c r="AH90" s="358"/>
      <c r="AI90" s="358"/>
      <c r="AJ90" s="358"/>
      <c r="AK90" s="358"/>
      <c r="AL90" s="358"/>
      <c r="AM90" s="358"/>
      <c r="AN90" s="358"/>
      <c r="AO90" s="358"/>
      <c r="AP90" s="358"/>
      <c r="AQ90" s="358"/>
      <c r="AR90" s="358"/>
      <c r="AS90" s="358"/>
      <c r="AT90" s="358"/>
      <c r="AU90" s="358"/>
      <c r="AV90" s="358"/>
      <c r="AW90" s="358"/>
      <c r="AX90" s="358"/>
      <c r="AY90" s="358"/>
      <c r="AZ90" s="358"/>
      <c r="BA90" s="358"/>
      <c r="BB90" s="358"/>
    </row>
    <row r="91" spans="1:54">
      <c r="A91" s="595"/>
      <c r="B91" s="598"/>
      <c r="C91" s="243"/>
      <c r="D91" s="282"/>
      <c r="E91" s="282"/>
      <c r="F91" s="358"/>
      <c r="G91" s="358"/>
      <c r="H91" s="372"/>
      <c r="I91" s="358"/>
      <c r="J91" s="358"/>
      <c r="K91" s="358"/>
      <c r="L91" s="358"/>
      <c r="M91" s="358"/>
      <c r="N91" s="358"/>
      <c r="O91" s="358"/>
      <c r="P91" s="358"/>
      <c r="Q91" s="358"/>
      <c r="R91" s="358"/>
      <c r="S91" s="358"/>
      <c r="T91" s="358"/>
      <c r="U91" s="358"/>
      <c r="V91" s="358"/>
      <c r="W91" s="358"/>
      <c r="X91" s="358"/>
      <c r="Y91" s="358"/>
      <c r="Z91" s="358"/>
      <c r="AA91" s="358"/>
      <c r="AB91" s="358"/>
      <c r="AC91" s="358"/>
      <c r="AD91" s="358"/>
      <c r="AE91" s="358"/>
      <c r="AF91" s="358"/>
      <c r="AG91" s="358"/>
      <c r="AH91" s="358"/>
      <c r="AI91" s="358"/>
      <c r="AJ91" s="358"/>
      <c r="AK91" s="358"/>
      <c r="AL91" s="358"/>
      <c r="AM91" s="358"/>
      <c r="AN91" s="358"/>
      <c r="AO91" s="358"/>
      <c r="AP91" s="358"/>
      <c r="AQ91" s="358"/>
      <c r="AR91" s="358"/>
      <c r="AS91" s="358"/>
      <c r="AT91" s="358"/>
      <c r="AU91" s="358"/>
      <c r="AV91" s="358"/>
      <c r="AW91" s="358"/>
      <c r="AX91" s="358"/>
      <c r="AY91" s="358"/>
      <c r="AZ91" s="358"/>
      <c r="BA91" s="358"/>
      <c r="BB91" s="358"/>
    </row>
    <row r="92" spans="1:54">
      <c r="A92" s="595"/>
      <c r="B92" s="598"/>
      <c r="C92" s="243"/>
      <c r="D92" s="282"/>
      <c r="E92" s="282"/>
      <c r="F92" s="358"/>
      <c r="G92" s="358"/>
      <c r="H92" s="372"/>
      <c r="I92" s="358"/>
      <c r="J92" s="358"/>
      <c r="K92" s="358"/>
      <c r="L92" s="358"/>
      <c r="M92" s="358"/>
      <c r="N92" s="358"/>
      <c r="O92" s="358"/>
      <c r="P92" s="358"/>
      <c r="Q92" s="358"/>
      <c r="R92" s="358"/>
      <c r="S92" s="358"/>
      <c r="T92" s="358"/>
      <c r="U92" s="358"/>
      <c r="V92" s="358"/>
      <c r="W92" s="358"/>
      <c r="X92" s="358"/>
      <c r="Y92" s="358"/>
      <c r="Z92" s="358"/>
      <c r="AA92" s="358"/>
      <c r="AB92" s="358"/>
      <c r="AC92" s="358"/>
      <c r="AD92" s="358"/>
      <c r="AE92" s="358"/>
      <c r="AF92" s="358"/>
      <c r="AG92" s="358"/>
      <c r="AH92" s="358"/>
      <c r="AI92" s="358"/>
      <c r="AJ92" s="358"/>
      <c r="AK92" s="358"/>
      <c r="AL92" s="358"/>
      <c r="AM92" s="358"/>
      <c r="AN92" s="358"/>
      <c r="AO92" s="358"/>
      <c r="AP92" s="358"/>
      <c r="AQ92" s="358"/>
      <c r="AR92" s="358"/>
      <c r="AS92" s="358"/>
      <c r="AT92" s="358"/>
      <c r="AU92" s="358"/>
      <c r="AV92" s="358"/>
      <c r="AW92" s="358"/>
      <c r="AX92" s="358"/>
      <c r="AY92" s="358"/>
      <c r="AZ92" s="358"/>
      <c r="BA92" s="358"/>
      <c r="BB92" s="358"/>
    </row>
    <row r="93" spans="1:54">
      <c r="A93" s="595"/>
      <c r="B93" s="598"/>
      <c r="C93" s="243"/>
      <c r="D93" s="282"/>
      <c r="E93" s="282"/>
      <c r="F93" s="358"/>
      <c r="G93" s="358"/>
      <c r="H93" s="372"/>
      <c r="I93" s="358"/>
      <c r="J93" s="358"/>
      <c r="K93" s="358"/>
      <c r="L93" s="358"/>
      <c r="M93" s="358"/>
      <c r="N93" s="358"/>
      <c r="O93" s="358"/>
      <c r="P93" s="358"/>
      <c r="Q93" s="358"/>
      <c r="R93" s="358"/>
      <c r="S93" s="358"/>
      <c r="T93" s="358"/>
      <c r="U93" s="358"/>
      <c r="V93" s="358"/>
      <c r="W93" s="358"/>
      <c r="X93" s="358"/>
      <c r="Y93" s="358"/>
      <c r="Z93" s="358"/>
      <c r="AA93" s="358"/>
      <c r="AB93" s="358"/>
      <c r="AC93" s="358"/>
      <c r="AD93" s="358"/>
      <c r="AE93" s="358"/>
      <c r="AF93" s="358"/>
      <c r="AG93" s="358"/>
      <c r="AH93" s="358"/>
      <c r="AI93" s="358"/>
      <c r="AJ93" s="358"/>
      <c r="AK93" s="358"/>
      <c r="AL93" s="358"/>
      <c r="AM93" s="358"/>
      <c r="AN93" s="358"/>
      <c r="AO93" s="358"/>
      <c r="AP93" s="358"/>
      <c r="AQ93" s="358"/>
      <c r="AR93" s="358"/>
      <c r="AS93" s="358"/>
      <c r="AT93" s="358"/>
      <c r="AU93" s="358"/>
      <c r="AV93" s="358"/>
      <c r="AW93" s="358"/>
      <c r="AX93" s="358"/>
      <c r="AY93" s="358"/>
      <c r="AZ93" s="358"/>
      <c r="BA93" s="358"/>
      <c r="BB93" s="358"/>
    </row>
    <row r="94" spans="1:54">
      <c r="A94" s="595"/>
      <c r="B94" s="598"/>
      <c r="C94" s="243"/>
      <c r="D94" s="282"/>
      <c r="E94" s="282"/>
      <c r="F94" s="358"/>
      <c r="G94" s="358"/>
      <c r="H94" s="372"/>
      <c r="I94" s="358"/>
      <c r="J94" s="358"/>
      <c r="K94" s="358"/>
      <c r="L94" s="358"/>
      <c r="M94" s="358"/>
      <c r="N94" s="358"/>
      <c r="O94" s="358"/>
      <c r="P94" s="358"/>
      <c r="Q94" s="358"/>
      <c r="R94" s="358"/>
      <c r="S94" s="358"/>
      <c r="T94" s="358"/>
      <c r="U94" s="358"/>
      <c r="V94" s="358"/>
      <c r="W94" s="358"/>
      <c r="X94" s="358"/>
      <c r="Y94" s="358"/>
      <c r="Z94" s="358"/>
      <c r="AA94" s="358"/>
      <c r="AB94" s="358"/>
      <c r="AC94" s="358"/>
      <c r="AD94" s="358"/>
      <c r="AE94" s="358"/>
      <c r="AF94" s="358"/>
      <c r="AG94" s="358"/>
      <c r="AH94" s="358"/>
      <c r="AI94" s="358"/>
      <c r="AJ94" s="358"/>
      <c r="AK94" s="358"/>
      <c r="AL94" s="358"/>
      <c r="AM94" s="358"/>
      <c r="AN94" s="358"/>
      <c r="AO94" s="358"/>
      <c r="AP94" s="358"/>
      <c r="AQ94" s="358"/>
      <c r="AR94" s="358"/>
      <c r="AS94" s="358"/>
      <c r="AT94" s="358"/>
      <c r="AU94" s="358"/>
      <c r="AV94" s="358"/>
      <c r="AW94" s="358"/>
      <c r="AX94" s="358"/>
      <c r="AY94" s="358"/>
      <c r="AZ94" s="358"/>
      <c r="BA94" s="358"/>
      <c r="BB94" s="358"/>
    </row>
    <row r="95" spans="1:54">
      <c r="A95" s="595"/>
      <c r="B95" s="598"/>
      <c r="C95" s="243"/>
      <c r="D95" s="282"/>
      <c r="E95" s="282"/>
      <c r="F95" s="358"/>
      <c r="G95" s="358"/>
      <c r="H95" s="372"/>
      <c r="I95" s="358"/>
      <c r="J95" s="358"/>
      <c r="K95" s="358"/>
      <c r="L95" s="358"/>
      <c r="M95" s="358"/>
      <c r="N95" s="358"/>
      <c r="O95" s="358"/>
      <c r="P95" s="358"/>
      <c r="Q95" s="358"/>
      <c r="R95" s="358"/>
      <c r="S95" s="358"/>
      <c r="T95" s="358"/>
      <c r="U95" s="358"/>
      <c r="V95" s="358"/>
      <c r="W95" s="358"/>
      <c r="X95" s="358"/>
      <c r="Y95" s="358"/>
      <c r="Z95" s="358"/>
      <c r="AA95" s="358"/>
      <c r="AB95" s="358"/>
      <c r="AC95" s="358"/>
      <c r="AD95" s="358"/>
      <c r="AE95" s="358"/>
      <c r="AF95" s="358"/>
      <c r="AG95" s="358"/>
      <c r="AH95" s="358"/>
      <c r="AI95" s="358"/>
      <c r="AJ95" s="358"/>
      <c r="AK95" s="358"/>
      <c r="AL95" s="358"/>
      <c r="AM95" s="358"/>
      <c r="AN95" s="358"/>
      <c r="AO95" s="358"/>
      <c r="AP95" s="358"/>
      <c r="AQ95" s="358"/>
      <c r="AR95" s="358"/>
      <c r="AS95" s="358"/>
      <c r="AT95" s="358"/>
      <c r="AU95" s="358"/>
      <c r="AV95" s="358"/>
      <c r="AW95" s="358"/>
      <c r="AX95" s="358"/>
      <c r="AY95" s="358"/>
      <c r="AZ95" s="358"/>
      <c r="BA95" s="358"/>
      <c r="BB95" s="358"/>
    </row>
    <row r="96" spans="1:54">
      <c r="A96" s="595"/>
      <c r="B96" s="598"/>
      <c r="C96" s="243"/>
      <c r="D96" s="282"/>
      <c r="E96" s="282"/>
      <c r="F96" s="358"/>
      <c r="G96" s="358"/>
      <c r="H96" s="372"/>
      <c r="I96" s="358"/>
      <c r="J96" s="358"/>
      <c r="K96" s="358"/>
      <c r="L96" s="358"/>
      <c r="M96" s="358"/>
      <c r="N96" s="358"/>
      <c r="O96" s="358"/>
      <c r="P96" s="358"/>
      <c r="Q96" s="358"/>
      <c r="R96" s="358"/>
      <c r="S96" s="358"/>
      <c r="T96" s="358"/>
      <c r="U96" s="358"/>
      <c r="V96" s="358"/>
      <c r="W96" s="358"/>
      <c r="X96" s="358"/>
      <c r="Y96" s="358"/>
      <c r="Z96" s="358"/>
      <c r="AA96" s="358"/>
      <c r="AB96" s="358"/>
      <c r="AC96" s="358"/>
      <c r="AD96" s="358"/>
      <c r="AE96" s="358"/>
      <c r="AF96" s="358"/>
      <c r="AG96" s="358"/>
      <c r="AH96" s="358"/>
      <c r="AI96" s="358"/>
      <c r="AJ96" s="358"/>
      <c r="AK96" s="358"/>
      <c r="AL96" s="358"/>
      <c r="AM96" s="358"/>
      <c r="AN96" s="358"/>
      <c r="AO96" s="358"/>
      <c r="AP96" s="358"/>
      <c r="AQ96" s="358"/>
      <c r="AR96" s="358"/>
      <c r="AS96" s="358"/>
      <c r="AT96" s="358"/>
      <c r="AU96" s="358"/>
      <c r="AV96" s="358"/>
      <c r="AW96" s="358"/>
      <c r="AX96" s="358"/>
      <c r="AY96" s="358"/>
      <c r="AZ96" s="358"/>
      <c r="BA96" s="358"/>
      <c r="BB96" s="358"/>
    </row>
    <row r="97" spans="1:54">
      <c r="A97" s="595"/>
      <c r="B97" s="598"/>
      <c r="C97" s="243"/>
      <c r="D97" s="282"/>
      <c r="E97" s="282"/>
      <c r="F97" s="358"/>
      <c r="G97" s="358"/>
      <c r="H97" s="372"/>
      <c r="I97" s="358"/>
      <c r="J97" s="358"/>
      <c r="K97" s="358"/>
      <c r="L97" s="358"/>
      <c r="M97" s="358"/>
      <c r="N97" s="358"/>
      <c r="O97" s="358"/>
      <c r="P97" s="358"/>
      <c r="Q97" s="358"/>
      <c r="R97" s="358"/>
      <c r="S97" s="358"/>
      <c r="T97" s="358"/>
      <c r="U97" s="358"/>
      <c r="V97" s="358"/>
      <c r="W97" s="358"/>
      <c r="X97" s="358"/>
      <c r="Y97" s="358"/>
      <c r="Z97" s="358"/>
      <c r="AA97" s="358"/>
      <c r="AB97" s="358"/>
      <c r="AC97" s="358"/>
      <c r="AD97" s="358"/>
      <c r="AE97" s="358"/>
      <c r="AF97" s="358"/>
      <c r="AG97" s="358"/>
      <c r="AH97" s="358"/>
      <c r="AI97" s="358"/>
      <c r="AJ97" s="358"/>
      <c r="AK97" s="358"/>
      <c r="AL97" s="358"/>
      <c r="AM97" s="358"/>
      <c r="AN97" s="358"/>
      <c r="AO97" s="358"/>
      <c r="AP97" s="358"/>
      <c r="AQ97" s="358"/>
      <c r="AR97" s="358"/>
      <c r="AS97" s="358"/>
      <c r="AT97" s="358"/>
      <c r="AU97" s="358"/>
      <c r="AV97" s="358"/>
      <c r="AW97" s="358"/>
      <c r="AX97" s="358"/>
      <c r="AY97" s="358"/>
      <c r="AZ97" s="358"/>
      <c r="BA97" s="358"/>
      <c r="BB97" s="358"/>
    </row>
    <row r="98" spans="1:54">
      <c r="A98" s="595"/>
      <c r="B98" s="598"/>
      <c r="C98" s="243"/>
      <c r="D98" s="282"/>
      <c r="E98" s="282"/>
      <c r="F98" s="358"/>
      <c r="G98" s="358"/>
      <c r="H98" s="372"/>
      <c r="I98" s="358"/>
      <c r="J98" s="358"/>
      <c r="K98" s="358"/>
      <c r="L98" s="358"/>
      <c r="M98" s="358"/>
      <c r="N98" s="358"/>
      <c r="O98" s="358"/>
      <c r="P98" s="358"/>
      <c r="Q98" s="358"/>
      <c r="R98" s="358"/>
      <c r="S98" s="358"/>
      <c r="T98" s="358"/>
      <c r="U98" s="358"/>
      <c r="V98" s="358"/>
      <c r="W98" s="358"/>
      <c r="X98" s="358"/>
      <c r="Y98" s="358"/>
      <c r="Z98" s="358"/>
      <c r="AA98" s="358"/>
      <c r="AB98" s="358"/>
      <c r="AC98" s="358"/>
      <c r="AD98" s="358"/>
      <c r="AE98" s="358"/>
      <c r="AF98" s="358"/>
      <c r="AG98" s="358"/>
      <c r="AH98" s="358"/>
      <c r="AI98" s="358"/>
      <c r="AJ98" s="358"/>
      <c r="AK98" s="358"/>
      <c r="AL98" s="358"/>
      <c r="AM98" s="358"/>
      <c r="AN98" s="358"/>
      <c r="AO98" s="358"/>
      <c r="AP98" s="358"/>
      <c r="AQ98" s="358"/>
      <c r="AR98" s="358"/>
      <c r="AS98" s="358"/>
      <c r="AT98" s="358"/>
      <c r="AU98" s="358"/>
      <c r="AV98" s="358"/>
      <c r="AW98" s="358"/>
      <c r="AX98" s="358"/>
      <c r="AY98" s="358"/>
      <c r="AZ98" s="358"/>
      <c r="BA98" s="358"/>
      <c r="BB98" s="358"/>
    </row>
    <row r="99" spans="1:54">
      <c r="A99" s="595"/>
      <c r="B99" s="598"/>
      <c r="C99" s="243"/>
      <c r="D99" s="282"/>
      <c r="E99" s="282"/>
      <c r="F99" s="358"/>
      <c r="G99" s="358"/>
      <c r="H99" s="372"/>
      <c r="I99" s="358"/>
      <c r="J99" s="358"/>
      <c r="K99" s="358"/>
      <c r="L99" s="358"/>
      <c r="M99" s="358"/>
      <c r="N99" s="358"/>
      <c r="O99" s="358"/>
      <c r="P99" s="358"/>
      <c r="Q99" s="358"/>
      <c r="R99" s="358"/>
      <c r="S99" s="358"/>
      <c r="T99" s="358"/>
      <c r="U99" s="358"/>
      <c r="V99" s="358"/>
      <c r="W99" s="358"/>
      <c r="X99" s="358"/>
      <c r="Y99" s="358"/>
      <c r="Z99" s="358"/>
      <c r="AA99" s="358"/>
      <c r="AB99" s="358"/>
      <c r="AC99" s="358"/>
      <c r="AD99" s="358"/>
      <c r="AE99" s="358"/>
      <c r="AF99" s="358"/>
      <c r="AG99" s="358"/>
      <c r="AH99" s="358"/>
      <c r="AI99" s="358"/>
      <c r="AJ99" s="358"/>
      <c r="AK99" s="358"/>
      <c r="AL99" s="358"/>
      <c r="AM99" s="358"/>
      <c r="AN99" s="358"/>
      <c r="AO99" s="358"/>
      <c r="AP99" s="358"/>
      <c r="AQ99" s="358"/>
      <c r="AR99" s="358"/>
      <c r="AS99" s="358"/>
      <c r="AT99" s="358"/>
      <c r="AU99" s="358"/>
      <c r="AV99" s="358"/>
      <c r="AW99" s="358"/>
      <c r="AX99" s="358"/>
      <c r="AY99" s="358"/>
      <c r="AZ99" s="358"/>
      <c r="BA99" s="358"/>
      <c r="BB99" s="358"/>
    </row>
    <row r="100" spans="1:54">
      <c r="A100" s="595"/>
      <c r="B100" s="598"/>
      <c r="C100" s="243"/>
      <c r="D100" s="282"/>
      <c r="E100" s="282"/>
      <c r="F100" s="358"/>
      <c r="G100" s="358"/>
      <c r="H100" s="372"/>
      <c r="I100" s="358"/>
      <c r="J100" s="358"/>
      <c r="K100" s="358"/>
      <c r="L100" s="358"/>
      <c r="M100" s="358"/>
      <c r="N100" s="358"/>
      <c r="O100" s="358"/>
      <c r="P100" s="358"/>
      <c r="Q100" s="358"/>
      <c r="R100" s="358"/>
      <c r="S100" s="358"/>
      <c r="T100" s="358"/>
      <c r="U100" s="358"/>
      <c r="V100" s="358"/>
      <c r="W100" s="358"/>
      <c r="X100" s="358"/>
      <c r="Y100" s="358"/>
      <c r="Z100" s="358"/>
      <c r="AA100" s="358"/>
      <c r="AB100" s="358"/>
      <c r="AC100" s="358"/>
      <c r="AD100" s="358"/>
      <c r="AE100" s="358"/>
      <c r="AF100" s="358"/>
      <c r="AG100" s="358"/>
      <c r="AH100" s="358"/>
      <c r="AI100" s="358"/>
      <c r="AJ100" s="358"/>
      <c r="AK100" s="358"/>
      <c r="AL100" s="358"/>
      <c r="AM100" s="358"/>
      <c r="AN100" s="358"/>
      <c r="AO100" s="358"/>
      <c r="AP100" s="358"/>
      <c r="AQ100" s="358"/>
      <c r="AR100" s="358"/>
      <c r="AS100" s="358"/>
      <c r="AT100" s="358"/>
      <c r="AU100" s="358"/>
      <c r="AV100" s="358"/>
      <c r="AW100" s="358"/>
      <c r="AX100" s="358"/>
      <c r="AY100" s="358"/>
      <c r="AZ100" s="358"/>
      <c r="BA100" s="358"/>
      <c r="BB100" s="358"/>
    </row>
    <row r="101" spans="1:54">
      <c r="A101" s="595"/>
      <c r="B101" s="598"/>
      <c r="C101" s="243"/>
      <c r="D101" s="282"/>
      <c r="E101" s="282"/>
      <c r="F101" s="358"/>
      <c r="G101" s="358"/>
      <c r="H101" s="372"/>
      <c r="I101" s="358"/>
      <c r="J101" s="358"/>
      <c r="K101" s="358"/>
      <c r="L101" s="358"/>
      <c r="M101" s="358"/>
      <c r="N101" s="358"/>
      <c r="O101" s="358"/>
      <c r="P101" s="358"/>
      <c r="Q101" s="358"/>
      <c r="R101" s="358"/>
      <c r="S101" s="358"/>
      <c r="T101" s="358"/>
      <c r="U101" s="358"/>
      <c r="V101" s="358"/>
      <c r="W101" s="358"/>
      <c r="X101" s="358"/>
      <c r="Y101" s="358"/>
      <c r="Z101" s="358"/>
      <c r="AA101" s="358"/>
      <c r="AB101" s="358"/>
      <c r="AC101" s="358"/>
      <c r="AD101" s="358"/>
      <c r="AE101" s="358"/>
      <c r="AF101" s="358"/>
      <c r="AG101" s="358"/>
      <c r="AH101" s="358"/>
      <c r="AI101" s="358"/>
      <c r="AJ101" s="358"/>
      <c r="AK101" s="358"/>
      <c r="AL101" s="358"/>
      <c r="AM101" s="358"/>
      <c r="AN101" s="358"/>
      <c r="AO101" s="358"/>
      <c r="AP101" s="358"/>
      <c r="AQ101" s="358"/>
      <c r="AR101" s="358"/>
      <c r="AS101" s="358"/>
      <c r="AT101" s="358"/>
      <c r="AU101" s="358"/>
      <c r="AV101" s="358"/>
      <c r="AW101" s="358"/>
      <c r="AX101" s="358"/>
      <c r="AY101" s="358"/>
      <c r="AZ101" s="358"/>
      <c r="BA101" s="358"/>
      <c r="BB101" s="358"/>
    </row>
    <row r="102" spans="1:54">
      <c r="A102" s="595"/>
      <c r="B102" s="598"/>
      <c r="C102" s="243"/>
      <c r="D102" s="282"/>
      <c r="E102" s="282"/>
      <c r="F102" s="358"/>
      <c r="G102" s="358"/>
      <c r="H102" s="372"/>
      <c r="I102" s="358"/>
      <c r="J102" s="358"/>
      <c r="K102" s="358"/>
      <c r="L102" s="358"/>
      <c r="M102" s="358"/>
      <c r="N102" s="358"/>
      <c r="O102" s="358"/>
      <c r="P102" s="358"/>
      <c r="Q102" s="358"/>
      <c r="R102" s="358"/>
      <c r="S102" s="358"/>
      <c r="T102" s="358"/>
      <c r="U102" s="358"/>
      <c r="V102" s="358"/>
      <c r="W102" s="358"/>
      <c r="X102" s="358"/>
      <c r="Y102" s="358"/>
      <c r="Z102" s="358"/>
      <c r="AA102" s="358"/>
      <c r="AB102" s="358"/>
      <c r="AC102" s="358"/>
      <c r="AD102" s="358"/>
      <c r="AE102" s="358"/>
      <c r="AF102" s="358"/>
      <c r="AG102" s="358"/>
      <c r="AH102" s="358"/>
      <c r="AI102" s="358"/>
      <c r="AJ102" s="358"/>
      <c r="AK102" s="358"/>
      <c r="AL102" s="358"/>
      <c r="AM102" s="358"/>
      <c r="AN102" s="358"/>
      <c r="AO102" s="358"/>
      <c r="AP102" s="358"/>
      <c r="AQ102" s="358"/>
      <c r="AR102" s="358"/>
      <c r="AS102" s="358"/>
      <c r="AT102" s="358"/>
      <c r="AU102" s="358"/>
      <c r="AV102" s="358"/>
      <c r="AW102" s="358"/>
      <c r="AX102" s="358"/>
      <c r="AY102" s="358"/>
      <c r="AZ102" s="358"/>
      <c r="BA102" s="358"/>
      <c r="BB102" s="358"/>
    </row>
    <row r="103" spans="1:54">
      <c r="A103" s="595"/>
      <c r="B103" s="598"/>
      <c r="C103" s="243"/>
      <c r="D103" s="282"/>
      <c r="E103" s="282"/>
      <c r="F103" s="358"/>
      <c r="G103" s="358"/>
      <c r="H103" s="372"/>
      <c r="I103" s="358"/>
      <c r="J103" s="358"/>
      <c r="K103" s="358"/>
      <c r="L103" s="358"/>
      <c r="M103" s="358"/>
      <c r="N103" s="358"/>
      <c r="O103" s="358"/>
      <c r="P103" s="358"/>
      <c r="Q103" s="358"/>
      <c r="R103" s="358"/>
      <c r="S103" s="358"/>
      <c r="T103" s="358"/>
      <c r="U103" s="358"/>
      <c r="V103" s="358"/>
      <c r="W103" s="358"/>
      <c r="X103" s="358"/>
      <c r="Y103" s="358"/>
      <c r="Z103" s="358"/>
      <c r="AA103" s="358"/>
      <c r="AB103" s="358"/>
      <c r="AC103" s="358"/>
      <c r="AD103" s="358"/>
      <c r="AE103" s="358"/>
      <c r="AF103" s="358"/>
      <c r="AG103" s="358"/>
      <c r="AH103" s="358"/>
      <c r="AI103" s="358"/>
      <c r="AJ103" s="358"/>
      <c r="AK103" s="358"/>
      <c r="AL103" s="358"/>
      <c r="AM103" s="358"/>
      <c r="AN103" s="358"/>
      <c r="AO103" s="358"/>
      <c r="AP103" s="358"/>
      <c r="AQ103" s="358"/>
      <c r="AR103" s="358"/>
      <c r="AS103" s="358"/>
      <c r="AT103" s="358"/>
      <c r="AU103" s="358"/>
      <c r="AV103" s="358"/>
      <c r="AW103" s="358"/>
      <c r="AX103" s="358"/>
      <c r="AY103" s="358"/>
      <c r="AZ103" s="358"/>
      <c r="BA103" s="358"/>
      <c r="BB103" s="358"/>
    </row>
    <row r="104" spans="1:54">
      <c r="A104" s="595"/>
      <c r="B104" s="598"/>
      <c r="C104" s="243"/>
      <c r="D104" s="282"/>
      <c r="E104" s="282"/>
      <c r="F104" s="358"/>
      <c r="G104" s="358"/>
      <c r="H104" s="372"/>
      <c r="I104" s="358"/>
      <c r="J104" s="358"/>
      <c r="K104" s="358"/>
      <c r="L104" s="358"/>
      <c r="M104" s="358"/>
      <c r="N104" s="358"/>
      <c r="O104" s="358"/>
      <c r="P104" s="358"/>
      <c r="Q104" s="358"/>
      <c r="R104" s="358"/>
      <c r="S104" s="358"/>
      <c r="T104" s="358"/>
      <c r="U104" s="358"/>
      <c r="V104" s="358"/>
      <c r="W104" s="358"/>
      <c r="X104" s="358"/>
      <c r="Y104" s="358"/>
      <c r="Z104" s="358"/>
      <c r="AA104" s="358"/>
      <c r="AB104" s="358"/>
      <c r="AC104" s="358"/>
      <c r="AD104" s="358"/>
      <c r="AE104" s="358"/>
      <c r="AF104" s="358"/>
      <c r="AG104" s="358"/>
      <c r="AH104" s="358"/>
      <c r="AI104" s="358"/>
      <c r="AJ104" s="358"/>
      <c r="AK104" s="358"/>
      <c r="AL104" s="358"/>
      <c r="AM104" s="358"/>
      <c r="AN104" s="358"/>
      <c r="AO104" s="358"/>
      <c r="AP104" s="358"/>
      <c r="AQ104" s="358"/>
      <c r="AR104" s="358"/>
      <c r="AS104" s="358"/>
      <c r="AT104" s="358"/>
      <c r="AU104" s="358"/>
      <c r="AV104" s="358"/>
      <c r="AW104" s="358"/>
      <c r="AX104" s="358"/>
      <c r="AY104" s="358"/>
      <c r="AZ104" s="358"/>
      <c r="BA104" s="358"/>
      <c r="BB104" s="358"/>
    </row>
    <row r="105" spans="1:54">
      <c r="A105" s="595"/>
      <c r="B105" s="598"/>
      <c r="C105" s="243"/>
      <c r="D105" s="282"/>
      <c r="E105" s="282"/>
      <c r="F105" s="358"/>
      <c r="G105" s="358"/>
      <c r="H105" s="372"/>
      <c r="I105" s="358"/>
      <c r="J105" s="358"/>
      <c r="K105" s="358"/>
      <c r="L105" s="358"/>
      <c r="M105" s="358"/>
      <c r="N105" s="358"/>
      <c r="O105" s="358"/>
      <c r="P105" s="358"/>
      <c r="Q105" s="358"/>
      <c r="R105" s="358"/>
      <c r="S105" s="358"/>
      <c r="T105" s="358"/>
      <c r="U105" s="358"/>
      <c r="V105" s="358"/>
      <c r="W105" s="358"/>
      <c r="X105" s="358"/>
      <c r="Y105" s="358"/>
      <c r="Z105" s="358"/>
      <c r="AA105" s="358"/>
      <c r="AB105" s="358"/>
      <c r="AC105" s="358"/>
      <c r="AD105" s="358"/>
      <c r="AE105" s="358"/>
      <c r="AF105" s="358"/>
      <c r="AG105" s="358"/>
      <c r="AH105" s="358"/>
      <c r="AI105" s="358"/>
      <c r="AJ105" s="358"/>
      <c r="AK105" s="358"/>
      <c r="AL105" s="358"/>
      <c r="AM105" s="358"/>
      <c r="AN105" s="358"/>
      <c r="AO105" s="358"/>
      <c r="AP105" s="358"/>
      <c r="AQ105" s="358"/>
      <c r="AR105" s="358"/>
      <c r="AS105" s="358"/>
      <c r="AT105" s="358"/>
      <c r="AU105" s="358"/>
      <c r="AV105" s="358"/>
      <c r="AW105" s="358"/>
      <c r="AX105" s="358"/>
      <c r="AY105" s="358"/>
      <c r="AZ105" s="358"/>
      <c r="BA105" s="358"/>
      <c r="BB105" s="358"/>
    </row>
    <row r="106" spans="1:54">
      <c r="A106" s="595"/>
      <c r="B106" s="598"/>
      <c r="C106" s="243"/>
      <c r="D106" s="282"/>
      <c r="E106" s="282"/>
      <c r="F106" s="358"/>
      <c r="G106" s="358"/>
      <c r="H106" s="372"/>
      <c r="I106" s="358"/>
      <c r="J106" s="358"/>
      <c r="K106" s="358"/>
      <c r="L106" s="358"/>
      <c r="M106" s="358"/>
      <c r="N106" s="358"/>
      <c r="O106" s="358"/>
      <c r="P106" s="358"/>
      <c r="Q106" s="358"/>
      <c r="R106" s="358"/>
      <c r="S106" s="358"/>
      <c r="T106" s="358"/>
      <c r="U106" s="358"/>
      <c r="V106" s="358"/>
      <c r="W106" s="358"/>
      <c r="X106" s="358"/>
      <c r="Y106" s="358"/>
      <c r="Z106" s="358"/>
      <c r="AA106" s="358"/>
      <c r="AB106" s="358"/>
      <c r="AC106" s="358"/>
      <c r="AD106" s="358"/>
      <c r="AE106" s="358"/>
      <c r="AF106" s="358"/>
      <c r="AG106" s="358"/>
      <c r="AH106" s="358"/>
      <c r="AI106" s="358"/>
      <c r="AJ106" s="358"/>
      <c r="AK106" s="358"/>
      <c r="AL106" s="358"/>
      <c r="AM106" s="358"/>
      <c r="AN106" s="358"/>
      <c r="AO106" s="358"/>
      <c r="AP106" s="358"/>
      <c r="AQ106" s="358"/>
      <c r="AR106" s="358"/>
      <c r="AS106" s="358"/>
      <c r="AT106" s="358"/>
      <c r="AU106" s="358"/>
      <c r="AV106" s="358"/>
      <c r="AW106" s="358"/>
      <c r="AX106" s="358"/>
      <c r="AY106" s="358"/>
      <c r="AZ106" s="358"/>
      <c r="BA106" s="358"/>
      <c r="BB106" s="358"/>
    </row>
    <row r="107" spans="1:54">
      <c r="A107" s="595"/>
      <c r="B107" s="598"/>
      <c r="C107" s="243"/>
      <c r="D107" s="282"/>
      <c r="E107" s="282"/>
      <c r="F107" s="358"/>
      <c r="G107" s="358"/>
      <c r="H107" s="372"/>
      <c r="I107" s="358"/>
      <c r="J107" s="358"/>
      <c r="K107" s="358"/>
      <c r="L107" s="358"/>
      <c r="M107" s="358"/>
      <c r="N107" s="358"/>
      <c r="O107" s="358"/>
      <c r="P107" s="358"/>
      <c r="Q107" s="358"/>
      <c r="R107" s="358"/>
      <c r="S107" s="358"/>
      <c r="T107" s="358"/>
      <c r="U107" s="358"/>
      <c r="V107" s="358"/>
      <c r="W107" s="358"/>
      <c r="X107" s="358"/>
      <c r="Y107" s="358"/>
      <c r="Z107" s="358"/>
      <c r="AA107" s="358"/>
      <c r="AB107" s="358"/>
      <c r="AC107" s="358"/>
      <c r="AD107" s="358"/>
      <c r="AE107" s="358"/>
      <c r="AF107" s="358"/>
      <c r="AG107" s="358"/>
      <c r="AH107" s="358"/>
      <c r="AI107" s="358"/>
      <c r="AJ107" s="358"/>
      <c r="AK107" s="358"/>
      <c r="AL107" s="358"/>
      <c r="AM107" s="358"/>
      <c r="AN107" s="358"/>
      <c r="AO107" s="358"/>
      <c r="AP107" s="358"/>
      <c r="AQ107" s="358"/>
      <c r="AR107" s="358"/>
      <c r="AS107" s="358"/>
      <c r="AT107" s="358"/>
      <c r="AU107" s="358"/>
      <c r="AV107" s="358"/>
      <c r="AW107" s="358"/>
      <c r="AX107" s="358"/>
      <c r="AY107" s="358"/>
      <c r="AZ107" s="358"/>
      <c r="BA107" s="358"/>
      <c r="BB107" s="358"/>
    </row>
    <row r="108" spans="1:54">
      <c r="A108" s="595"/>
      <c r="B108" s="598"/>
      <c r="C108" s="243"/>
      <c r="D108" s="282"/>
      <c r="E108" s="282"/>
      <c r="F108" s="358"/>
      <c r="G108" s="358"/>
      <c r="H108" s="372"/>
      <c r="I108" s="358"/>
      <c r="J108" s="358"/>
      <c r="K108" s="358"/>
      <c r="L108" s="358"/>
      <c r="M108" s="358"/>
      <c r="N108" s="358"/>
      <c r="O108" s="358"/>
      <c r="P108" s="358"/>
      <c r="Q108" s="358"/>
      <c r="R108" s="358"/>
      <c r="S108" s="358"/>
      <c r="T108" s="358"/>
      <c r="U108" s="358"/>
      <c r="V108" s="358"/>
      <c r="W108" s="358"/>
      <c r="X108" s="358"/>
      <c r="Y108" s="358"/>
      <c r="Z108" s="358"/>
      <c r="AA108" s="358"/>
      <c r="AB108" s="358"/>
      <c r="AC108" s="358"/>
      <c r="AD108" s="358"/>
      <c r="AE108" s="358"/>
      <c r="AF108" s="358"/>
      <c r="AG108" s="358"/>
      <c r="AH108" s="358"/>
      <c r="AI108" s="358"/>
      <c r="AJ108" s="358"/>
      <c r="AK108" s="358"/>
      <c r="AL108" s="358"/>
      <c r="AM108" s="358"/>
      <c r="AN108" s="358"/>
      <c r="AO108" s="358"/>
      <c r="AP108" s="358"/>
      <c r="AQ108" s="358"/>
      <c r="AR108" s="358"/>
      <c r="AS108" s="358"/>
      <c r="AT108" s="358"/>
      <c r="AU108" s="358"/>
      <c r="AV108" s="358"/>
      <c r="AW108" s="358"/>
      <c r="AX108" s="358"/>
      <c r="AY108" s="358"/>
      <c r="AZ108" s="358"/>
      <c r="BA108" s="358"/>
      <c r="BB108" s="358"/>
    </row>
    <row r="109" spans="1:54">
      <c r="A109" s="595"/>
      <c r="B109" s="598"/>
      <c r="C109" s="243"/>
      <c r="D109" s="282"/>
      <c r="E109" s="282"/>
      <c r="F109" s="358"/>
      <c r="G109" s="358"/>
      <c r="H109" s="372"/>
      <c r="I109" s="358"/>
      <c r="J109" s="358"/>
      <c r="K109" s="358"/>
      <c r="L109" s="358"/>
      <c r="M109" s="358"/>
      <c r="N109" s="358"/>
      <c r="O109" s="358"/>
      <c r="P109" s="358"/>
      <c r="Q109" s="358"/>
      <c r="R109" s="358"/>
      <c r="S109" s="358"/>
      <c r="T109" s="358"/>
      <c r="U109" s="358"/>
      <c r="V109" s="358"/>
      <c r="W109" s="358"/>
      <c r="X109" s="358"/>
      <c r="Y109" s="358"/>
      <c r="Z109" s="358"/>
      <c r="AA109" s="358"/>
      <c r="AB109" s="358"/>
      <c r="AC109" s="358"/>
      <c r="AD109" s="358"/>
      <c r="AE109" s="358"/>
      <c r="AF109" s="358"/>
      <c r="AG109" s="358"/>
      <c r="AH109" s="358"/>
      <c r="AI109" s="358"/>
      <c r="AJ109" s="358"/>
      <c r="AK109" s="358"/>
      <c r="AL109" s="358"/>
      <c r="AM109" s="358"/>
      <c r="AN109" s="358"/>
      <c r="AO109" s="358"/>
      <c r="AP109" s="358"/>
      <c r="AQ109" s="358"/>
      <c r="AR109" s="358"/>
      <c r="AS109" s="358"/>
      <c r="AT109" s="358"/>
      <c r="AU109" s="358"/>
      <c r="AV109" s="358"/>
      <c r="AW109" s="358"/>
      <c r="AX109" s="358"/>
      <c r="AY109" s="358"/>
      <c r="AZ109" s="358"/>
      <c r="BA109" s="358"/>
      <c r="BB109" s="358"/>
    </row>
  </sheetData>
  <mergeCells count="24">
    <mergeCell ref="D10:J10"/>
    <mergeCell ref="D11:J11"/>
    <mergeCell ref="G13:G14"/>
    <mergeCell ref="F13:F14"/>
    <mergeCell ref="D13:E14"/>
    <mergeCell ref="J13:L13"/>
    <mergeCell ref="I13:I14"/>
    <mergeCell ref="H13:H14"/>
    <mergeCell ref="D17:H17"/>
    <mergeCell ref="M13:O14"/>
    <mergeCell ref="M15:O15"/>
    <mergeCell ref="M16:O16"/>
    <mergeCell ref="D4:D5"/>
    <mergeCell ref="E4:E5"/>
    <mergeCell ref="F4:F5"/>
    <mergeCell ref="G4:G5"/>
    <mergeCell ref="H4:J4"/>
    <mergeCell ref="K4:K5"/>
    <mergeCell ref="D15:E16"/>
    <mergeCell ref="L4:O5"/>
    <mergeCell ref="L6:O6"/>
    <mergeCell ref="L7:O7"/>
    <mergeCell ref="L8:O8"/>
    <mergeCell ref="D9:J9"/>
  </mergeCells>
  <printOptions horizontalCentered="1"/>
  <pageMargins left="0.98425196850393704" right="0.78740157480314965" top="0.98425196850393704" bottom="0.98425196850393704" header="0.51181102362204722" footer="0.51181102362204722"/>
  <pageSetup paperSize="9" scale="54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Plan31">
    <tabColor theme="9" tint="-0.499984740745262"/>
  </sheetPr>
  <dimension ref="A1:E6"/>
  <sheetViews>
    <sheetView showGridLines="0" workbookViewId="0">
      <selection sqref="A1:E1"/>
    </sheetView>
  </sheetViews>
  <sheetFormatPr defaultRowHeight="12.75"/>
  <cols>
    <col min="1" max="1" width="37" customWidth="1"/>
  </cols>
  <sheetData>
    <row r="1" spans="1:5">
      <c r="A1" s="776" t="s">
        <v>733</v>
      </c>
      <c r="B1" s="776" t="s">
        <v>392</v>
      </c>
      <c r="C1" s="776" t="s">
        <v>339</v>
      </c>
      <c r="D1" s="776" t="s">
        <v>734</v>
      </c>
      <c r="E1" s="1103" t="s">
        <v>735</v>
      </c>
    </row>
    <row r="2" spans="1:5">
      <c r="A2" s="509" t="s">
        <v>736</v>
      </c>
      <c r="B2" s="1104">
        <f>'Obras - Operação'!H44</f>
        <v>6547.5</v>
      </c>
      <c r="C2" s="1104">
        <f>B2/0.5</f>
        <v>13095</v>
      </c>
      <c r="D2" s="1105">
        <v>2</v>
      </c>
      <c r="E2" s="1104">
        <f>C2*D2</f>
        <v>26190</v>
      </c>
    </row>
    <row r="3" spans="1:5">
      <c r="A3" s="509" t="s">
        <v>466</v>
      </c>
      <c r="B3" s="1104">
        <v>0</v>
      </c>
      <c r="C3" s="1104">
        <f t="shared" ref="C3:C5" si="0">B3/0.5</f>
        <v>0</v>
      </c>
      <c r="D3" s="1105">
        <v>1</v>
      </c>
      <c r="E3" s="1104">
        <f t="shared" ref="E3:E5" si="1">C3*D3</f>
        <v>0</v>
      </c>
    </row>
    <row r="4" spans="1:5">
      <c r="A4" s="509" t="s">
        <v>467</v>
      </c>
      <c r="B4" s="1104">
        <v>0</v>
      </c>
      <c r="C4" s="1104">
        <f t="shared" si="0"/>
        <v>0</v>
      </c>
      <c r="D4" s="1105">
        <v>1</v>
      </c>
      <c r="E4" s="1104">
        <f t="shared" si="1"/>
        <v>0</v>
      </c>
    </row>
    <row r="5" spans="1:5">
      <c r="A5" s="509" t="s">
        <v>737</v>
      </c>
      <c r="B5" s="1104">
        <f>'Obras - Operação'!H308</f>
        <v>47.6</v>
      </c>
      <c r="C5" s="1104">
        <f t="shared" si="0"/>
        <v>95.2</v>
      </c>
      <c r="D5" s="1105">
        <v>4</v>
      </c>
      <c r="E5" s="1104">
        <f t="shared" si="1"/>
        <v>380.8</v>
      </c>
    </row>
    <row r="6" spans="1:5">
      <c r="A6" s="1896" t="s">
        <v>38</v>
      </c>
      <c r="B6" s="1897"/>
      <c r="C6" s="1897"/>
      <c r="D6" s="1898"/>
      <c r="E6" s="1106">
        <f>SUM(E2:E5)</f>
        <v>26570.799999999999</v>
      </c>
    </row>
  </sheetData>
  <mergeCells count="1">
    <mergeCell ref="A6:D6"/>
  </mergeCells>
  <pageMargins left="0.511811024" right="0.511811024" top="0.78740157499999996" bottom="0.78740157499999996" header="0.31496062000000002" footer="0.3149606200000000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Plan20">
    <tabColor indexed="12"/>
    <pageSetUpPr fitToPage="1"/>
  </sheetPr>
  <dimension ref="A1:DB315"/>
  <sheetViews>
    <sheetView showGridLines="0" showZeros="0" topLeftCell="A131" workbookViewId="0">
      <selection activeCell="D4" sqref="D4:G36"/>
    </sheetView>
  </sheetViews>
  <sheetFormatPr defaultColWidth="11.42578125" defaultRowHeight="12.75"/>
  <cols>
    <col min="1" max="1" width="2" style="622" customWidth="1"/>
    <col min="2" max="3" width="2" style="20" customWidth="1"/>
    <col min="4" max="4" width="10.42578125" style="19" hidden="1" customWidth="1"/>
    <col min="5" max="5" width="3.7109375" style="19" customWidth="1"/>
    <col min="6" max="6" width="9.5703125" style="19" customWidth="1"/>
    <col min="7" max="7" width="44.42578125" style="20" bestFit="1" customWidth="1"/>
    <col min="8" max="8" width="10.7109375" style="20" customWidth="1"/>
    <col min="9" max="9" width="12" style="20" customWidth="1"/>
    <col min="10" max="10" width="11.28515625" style="20" customWidth="1"/>
    <col min="11" max="11" width="10.28515625" style="20" customWidth="1"/>
    <col min="12" max="12" width="11.7109375" style="20" customWidth="1"/>
    <col min="13" max="42" width="10" style="20" customWidth="1"/>
    <col min="43" max="16384" width="11.42578125" style="20"/>
  </cols>
  <sheetData>
    <row r="1" spans="1:106" s="595" customFormat="1" ht="15" customHeight="1">
      <c r="D1" s="596" t="s">
        <v>738</v>
      </c>
    </row>
    <row r="2" spans="1:106" s="241" customFormat="1" ht="10.5" customHeight="1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598"/>
      <c r="AI2" s="598"/>
      <c r="AJ2" s="598"/>
      <c r="AK2" s="598"/>
      <c r="AL2" s="598"/>
      <c r="AM2" s="598"/>
      <c r="AN2" s="598"/>
      <c r="AO2" s="598"/>
      <c r="AP2" s="598"/>
      <c r="AQ2" s="598"/>
      <c r="AR2" s="598"/>
      <c r="AS2" s="598"/>
      <c r="AT2" s="598"/>
      <c r="AU2" s="598"/>
      <c r="AV2" s="598"/>
      <c r="AW2" s="598"/>
      <c r="AX2" s="598"/>
      <c r="AY2" s="598"/>
      <c r="AZ2" s="598"/>
      <c r="BA2" s="598"/>
      <c r="BB2" s="598"/>
      <c r="BC2" s="598"/>
      <c r="BD2" s="242"/>
      <c r="BE2" s="242"/>
      <c r="BF2" s="242"/>
      <c r="BG2" s="242"/>
      <c r="BH2" s="242"/>
      <c r="BI2" s="242"/>
      <c r="BJ2" s="242"/>
      <c r="BK2" s="242"/>
      <c r="BL2" s="242"/>
      <c r="BM2" s="242"/>
      <c r="BN2" s="242"/>
      <c r="BO2" s="242"/>
      <c r="BP2" s="242"/>
      <c r="BQ2" s="242"/>
      <c r="BR2" s="242"/>
      <c r="BS2" s="242"/>
      <c r="BT2" s="242"/>
      <c r="BU2" s="242"/>
      <c r="BV2" s="242"/>
      <c r="BW2" s="242"/>
      <c r="BX2" s="242"/>
      <c r="BY2" s="242"/>
      <c r="BZ2" s="242"/>
      <c r="CA2" s="242"/>
      <c r="CB2" s="242"/>
      <c r="CC2" s="242"/>
      <c r="CD2" s="242"/>
      <c r="CE2" s="242"/>
      <c r="CF2" s="242"/>
      <c r="CG2" s="242"/>
      <c r="CH2" s="242"/>
      <c r="CI2" s="242"/>
      <c r="CJ2" s="242"/>
      <c r="CK2" s="242"/>
      <c r="CL2" s="242"/>
      <c r="CM2" s="242"/>
      <c r="CN2" s="242"/>
      <c r="CO2" s="242"/>
      <c r="CP2" s="242"/>
      <c r="CQ2" s="242"/>
      <c r="CR2" s="242"/>
      <c r="CS2" s="242"/>
      <c r="CT2" s="242"/>
      <c r="CU2" s="242"/>
      <c r="CV2" s="242"/>
      <c r="CW2" s="242"/>
      <c r="CX2" s="242"/>
      <c r="CY2" s="242"/>
      <c r="CZ2" s="242"/>
      <c r="DA2" s="242"/>
      <c r="DB2" s="242"/>
    </row>
    <row r="3" spans="1:106" s="241" customFormat="1" ht="10.5" customHeight="1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599"/>
      <c r="AI3" s="599"/>
      <c r="AJ3" s="599"/>
      <c r="AK3" s="599"/>
      <c r="AL3" s="599"/>
      <c r="AM3" s="599"/>
      <c r="AN3" s="599"/>
      <c r="AO3" s="599"/>
      <c r="AP3" s="599"/>
      <c r="AQ3" s="599"/>
      <c r="AR3" s="599"/>
      <c r="AS3" s="599"/>
      <c r="AT3" s="599"/>
      <c r="AU3" s="599"/>
      <c r="AV3" s="599"/>
      <c r="AW3" s="599"/>
      <c r="AX3" s="599"/>
      <c r="AY3" s="599"/>
      <c r="AZ3" s="599"/>
      <c r="BA3" s="599"/>
      <c r="BB3" s="599"/>
      <c r="BC3" s="599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</row>
    <row r="4" spans="1:106">
      <c r="A4" s="595"/>
      <c r="B4" s="598"/>
      <c r="C4" s="599"/>
      <c r="D4" s="264"/>
      <c r="E4" s="264"/>
      <c r="F4" s="262" t="s">
        <v>739</v>
      </c>
      <c r="G4" s="265"/>
      <c r="H4" s="265"/>
      <c r="I4" s="265"/>
      <c r="J4" s="265"/>
      <c r="K4" s="265"/>
      <c r="L4" s="265"/>
      <c r="M4" s="1107"/>
      <c r="N4" s="265"/>
      <c r="O4" s="265"/>
      <c r="P4" s="1107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5"/>
      <c r="AD4" s="265"/>
      <c r="AE4" s="265"/>
      <c r="AF4" s="265"/>
      <c r="AG4" s="265"/>
      <c r="AH4" s="265"/>
      <c r="AI4" s="265"/>
      <c r="AJ4" s="265"/>
      <c r="AK4" s="265"/>
      <c r="AL4" s="265"/>
      <c r="AM4" s="265"/>
      <c r="AN4" s="265"/>
      <c r="AO4" s="265"/>
      <c r="AP4" s="265"/>
      <c r="AQ4" s="265"/>
      <c r="AR4" s="265"/>
      <c r="AS4" s="265"/>
      <c r="AT4" s="265"/>
      <c r="AU4" s="265"/>
      <c r="AV4" s="265"/>
      <c r="AW4" s="265"/>
      <c r="AX4" s="265"/>
      <c r="AY4" s="265"/>
      <c r="AZ4" s="265"/>
      <c r="BA4" s="265"/>
      <c r="BB4" s="265"/>
      <c r="BC4" s="265"/>
      <c r="BD4" s="265"/>
      <c r="BE4" s="265"/>
      <c r="BF4" s="265"/>
      <c r="BG4" s="265"/>
      <c r="BH4" s="265"/>
      <c r="BI4" s="265"/>
      <c r="BJ4" s="265"/>
      <c r="BK4" s="265"/>
      <c r="BL4" s="265"/>
      <c r="BM4" s="265"/>
      <c r="BN4" s="265"/>
      <c r="BO4" s="265"/>
      <c r="BP4" s="265"/>
      <c r="BQ4" s="265"/>
      <c r="BR4" s="265"/>
      <c r="BS4" s="265"/>
      <c r="BT4" s="265"/>
      <c r="BU4" s="265"/>
      <c r="BV4" s="1108"/>
      <c r="BW4" s="1108"/>
      <c r="BX4" s="1108"/>
      <c r="BY4" s="1108"/>
      <c r="BZ4" s="1108"/>
      <c r="CA4" s="1108"/>
      <c r="CB4" s="1108"/>
      <c r="CC4" s="1108"/>
      <c r="CD4" s="1108"/>
      <c r="CE4" s="1108"/>
      <c r="CF4" s="1108"/>
      <c r="CG4" s="1108"/>
      <c r="CH4" s="1108"/>
      <c r="CI4" s="1108"/>
      <c r="CJ4" s="1108"/>
      <c r="CK4" s="1108"/>
      <c r="CL4" s="1108"/>
      <c r="CM4" s="1108"/>
      <c r="CN4" s="1108"/>
      <c r="CO4" s="1108"/>
      <c r="CP4" s="1108"/>
      <c r="CQ4" s="1108"/>
      <c r="CR4" s="1108"/>
      <c r="CS4" s="1108"/>
      <c r="CT4" s="1108"/>
      <c r="CU4" s="1108"/>
      <c r="CV4" s="1108"/>
      <c r="CW4" s="1108"/>
      <c r="CX4" s="1108"/>
      <c r="CY4" s="1108"/>
      <c r="CZ4" s="1108"/>
      <c r="DA4" s="1108"/>
      <c r="DB4" s="1108"/>
    </row>
    <row r="5" spans="1:106">
      <c r="A5" s="595"/>
      <c r="B5" s="598"/>
      <c r="C5" s="599"/>
      <c r="D5" s="264"/>
      <c r="E5" s="264"/>
      <c r="F5" s="1109" t="s">
        <v>740</v>
      </c>
      <c r="G5" s="265"/>
      <c r="H5" s="265"/>
      <c r="I5" s="265"/>
      <c r="J5" s="265"/>
      <c r="K5" s="265"/>
      <c r="L5" s="265"/>
      <c r="M5" s="265"/>
      <c r="N5" s="265"/>
      <c r="O5" s="265"/>
      <c r="P5" s="265"/>
      <c r="Q5" s="265"/>
      <c r="R5" s="265"/>
      <c r="S5" s="265"/>
      <c r="T5" s="265"/>
      <c r="U5" s="265"/>
      <c r="V5" s="265"/>
      <c r="W5" s="265"/>
      <c r="X5" s="265"/>
      <c r="Y5" s="265"/>
      <c r="Z5" s="265"/>
      <c r="AA5" s="265"/>
      <c r="AB5" s="265"/>
      <c r="AC5" s="265"/>
      <c r="AD5" s="265"/>
      <c r="AE5" s="265"/>
      <c r="AF5" s="265"/>
      <c r="AG5" s="265"/>
      <c r="AH5" s="265"/>
      <c r="AI5" s="265"/>
      <c r="AJ5" s="265"/>
      <c r="AK5" s="265"/>
      <c r="AL5" s="265"/>
      <c r="AM5" s="265"/>
      <c r="AN5" s="265"/>
      <c r="AO5" s="265"/>
      <c r="AP5" s="265"/>
      <c r="AQ5" s="265"/>
      <c r="AR5" s="265"/>
      <c r="AS5" s="265"/>
      <c r="AT5" s="265"/>
      <c r="AU5" s="265"/>
      <c r="AV5" s="265"/>
      <c r="AW5" s="265"/>
      <c r="AX5" s="265"/>
      <c r="AY5" s="265"/>
      <c r="AZ5" s="265"/>
      <c r="BA5" s="265"/>
      <c r="BB5" s="265"/>
      <c r="BC5" s="265"/>
      <c r="BD5" s="265"/>
      <c r="BE5" s="265"/>
      <c r="BF5" s="265"/>
      <c r="BG5" s="265"/>
      <c r="BH5" s="265"/>
      <c r="BI5" s="265"/>
      <c r="BJ5" s="265"/>
      <c r="BK5" s="265"/>
      <c r="BL5" s="265"/>
      <c r="BM5" s="265"/>
      <c r="BN5" s="265"/>
      <c r="BO5" s="265"/>
      <c r="BP5" s="265"/>
      <c r="BQ5" s="265"/>
      <c r="BR5" s="265"/>
      <c r="BS5" s="265"/>
      <c r="BT5" s="265"/>
      <c r="BU5" s="265"/>
      <c r="BV5" s="1108"/>
      <c r="BW5" s="1108"/>
      <c r="BX5" s="1108"/>
      <c r="BY5" s="1108"/>
      <c r="BZ5" s="1108"/>
      <c r="CA5" s="1108"/>
      <c r="CB5" s="1108"/>
      <c r="CC5" s="1108"/>
      <c r="CD5" s="1108"/>
      <c r="CE5" s="1108"/>
      <c r="CF5" s="1108"/>
      <c r="CG5" s="1108"/>
      <c r="CH5" s="1108"/>
      <c r="CI5" s="1108"/>
      <c r="CJ5" s="1108"/>
      <c r="CK5" s="1108"/>
      <c r="CL5" s="1108"/>
      <c r="CM5" s="1108"/>
      <c r="CN5" s="1108"/>
      <c r="CO5" s="1108"/>
      <c r="CP5" s="1108"/>
      <c r="CQ5" s="1108"/>
      <c r="CR5" s="1108"/>
      <c r="CS5" s="1108"/>
      <c r="CT5" s="1108"/>
      <c r="CU5" s="1108"/>
      <c r="CV5" s="1108"/>
      <c r="CW5" s="1108"/>
      <c r="CX5" s="1108"/>
      <c r="CY5" s="1108"/>
      <c r="CZ5" s="1108"/>
      <c r="DA5" s="1108"/>
      <c r="DB5" s="1108"/>
    </row>
    <row r="6" spans="1:106" ht="15" customHeight="1">
      <c r="A6" s="595"/>
      <c r="B6" s="598"/>
      <c r="C6" s="599"/>
      <c r="D6" s="264"/>
      <c r="E6" s="1899"/>
      <c r="F6" s="1901" t="s">
        <v>472</v>
      </c>
      <c r="G6" s="1901" t="s">
        <v>741</v>
      </c>
      <c r="H6" s="1901" t="s">
        <v>742</v>
      </c>
      <c r="I6" s="1903" t="s">
        <v>743</v>
      </c>
      <c r="J6" s="1901" t="s">
        <v>744</v>
      </c>
      <c r="K6" s="1903" t="s">
        <v>745</v>
      </c>
      <c r="L6" s="1903" t="s">
        <v>746</v>
      </c>
      <c r="M6" s="1110" t="s">
        <v>747</v>
      </c>
      <c r="N6" s="1111"/>
      <c r="O6" s="1111"/>
      <c r="P6" s="1111"/>
      <c r="Q6" s="1111"/>
      <c r="R6" s="1111"/>
      <c r="S6" s="1111"/>
      <c r="T6" s="1111"/>
      <c r="U6" s="1111"/>
      <c r="V6" s="1111"/>
      <c r="W6" s="1111"/>
      <c r="X6" s="1111"/>
      <c r="Y6" s="1111"/>
      <c r="Z6" s="1111"/>
      <c r="AA6" s="1111"/>
      <c r="AB6" s="1111"/>
      <c r="AC6" s="1111"/>
      <c r="AD6" s="1111"/>
      <c r="AE6" s="1111"/>
      <c r="AF6" s="1111"/>
      <c r="AG6" s="1111"/>
      <c r="AH6" s="1111"/>
      <c r="AI6" s="1111"/>
      <c r="AJ6" s="1111"/>
      <c r="AK6" s="1111"/>
      <c r="AL6" s="1111"/>
      <c r="AM6" s="1111"/>
      <c r="AN6" s="1111"/>
      <c r="AO6" s="1111"/>
      <c r="AP6" s="1111"/>
      <c r="AQ6" s="1108"/>
      <c r="AR6" s="1108"/>
      <c r="AS6" s="1108"/>
      <c r="AT6" s="1108"/>
      <c r="AU6" s="1108"/>
      <c r="AV6" s="1108"/>
      <c r="AW6" s="1108"/>
      <c r="AX6" s="1108"/>
      <c r="AY6" s="1108"/>
      <c r="AZ6" s="1108"/>
      <c r="BA6" s="1108"/>
      <c r="BB6" s="1108"/>
      <c r="BC6" s="1108"/>
      <c r="BD6" s="1108"/>
      <c r="BE6" s="1108"/>
      <c r="BF6" s="1108"/>
      <c r="BG6" s="1108"/>
      <c r="BH6" s="1108"/>
      <c r="BI6" s="1108"/>
      <c r="BJ6" s="1108"/>
      <c r="BK6" s="1108"/>
      <c r="BL6" s="1108"/>
      <c r="BM6" s="1108"/>
      <c r="BN6" s="1108"/>
      <c r="BO6" s="1108"/>
      <c r="BP6" s="1108"/>
      <c r="BQ6" s="1108"/>
      <c r="BR6" s="1108"/>
      <c r="BS6" s="1108"/>
      <c r="BT6" s="1108"/>
      <c r="BU6" s="1108"/>
      <c r="BV6" s="1108"/>
      <c r="BW6" s="1108"/>
      <c r="BX6" s="1108"/>
      <c r="BY6" s="1108"/>
      <c r="BZ6" s="1108"/>
      <c r="CA6" s="1108"/>
      <c r="CB6" s="1108"/>
      <c r="CC6" s="1108"/>
      <c r="CD6" s="1108"/>
      <c r="CE6" s="1108"/>
      <c r="CF6" s="1108"/>
      <c r="CG6" s="1108"/>
      <c r="CH6" s="1108"/>
      <c r="CI6" s="1108"/>
      <c r="CJ6" s="1108"/>
      <c r="CK6" s="1108"/>
      <c r="CL6" s="1108"/>
      <c r="CM6" s="1108"/>
      <c r="CN6" s="1108"/>
      <c r="CO6" s="1108"/>
      <c r="CP6" s="1108"/>
      <c r="CQ6" s="1108"/>
      <c r="CR6" s="1108"/>
      <c r="CS6" s="1108"/>
      <c r="CT6" s="1108"/>
      <c r="CU6" s="1108"/>
      <c r="CV6" s="1108"/>
      <c r="CW6" s="1108"/>
      <c r="CX6" s="1108"/>
      <c r="CY6" s="1108"/>
      <c r="CZ6" s="1108"/>
      <c r="DA6" s="1108"/>
      <c r="DB6" s="1108"/>
    </row>
    <row r="7" spans="1:106" ht="15" customHeight="1">
      <c r="A7" s="595"/>
      <c r="B7" s="598"/>
      <c r="C7" s="599"/>
      <c r="D7" s="264"/>
      <c r="E7" s="1900"/>
      <c r="F7" s="1902"/>
      <c r="G7" s="1902"/>
      <c r="H7" s="1902"/>
      <c r="I7" s="1904"/>
      <c r="J7" s="1902"/>
      <c r="K7" s="1904"/>
      <c r="L7" s="1904"/>
      <c r="M7" s="1112">
        <v>1</v>
      </c>
      <c r="N7" s="1112">
        <v>2</v>
      </c>
      <c r="O7" s="1112">
        <v>3</v>
      </c>
      <c r="P7" s="1112">
        <v>4</v>
      </c>
      <c r="Q7" s="1112">
        <v>5</v>
      </c>
      <c r="R7" s="1112">
        <v>6</v>
      </c>
      <c r="S7" s="1112">
        <v>7</v>
      </c>
      <c r="T7" s="1112">
        <v>8</v>
      </c>
      <c r="U7" s="1112">
        <v>9</v>
      </c>
      <c r="V7" s="1112">
        <v>10</v>
      </c>
      <c r="W7" s="1112">
        <v>11</v>
      </c>
      <c r="X7" s="1112">
        <v>12</v>
      </c>
      <c r="Y7" s="1112">
        <v>13</v>
      </c>
      <c r="Z7" s="1112">
        <v>14</v>
      </c>
      <c r="AA7" s="1112">
        <v>15</v>
      </c>
      <c r="AB7" s="1112">
        <v>16</v>
      </c>
      <c r="AC7" s="1112">
        <v>17</v>
      </c>
      <c r="AD7" s="1112">
        <v>18</v>
      </c>
      <c r="AE7" s="1112">
        <v>19</v>
      </c>
      <c r="AF7" s="1112">
        <v>20</v>
      </c>
      <c r="AG7" s="1112">
        <v>21</v>
      </c>
      <c r="AH7" s="1112">
        <v>22</v>
      </c>
      <c r="AI7" s="1112">
        <v>23</v>
      </c>
      <c r="AJ7" s="1112">
        <v>24</v>
      </c>
      <c r="AK7" s="1112">
        <v>25</v>
      </c>
      <c r="AL7" s="1112">
        <v>26</v>
      </c>
      <c r="AM7" s="1112">
        <v>27</v>
      </c>
      <c r="AN7" s="1112">
        <v>28</v>
      </c>
      <c r="AO7" s="1112">
        <v>29</v>
      </c>
      <c r="AP7" s="1112">
        <v>30</v>
      </c>
      <c r="AQ7" s="1108"/>
      <c r="AR7" s="1108"/>
      <c r="AS7" s="1108"/>
      <c r="AT7" s="1108"/>
      <c r="AU7" s="1108"/>
      <c r="AV7" s="1108"/>
      <c r="AW7" s="1108"/>
      <c r="AX7" s="1108"/>
      <c r="AY7" s="1108"/>
      <c r="AZ7" s="1108"/>
      <c r="BA7" s="1108"/>
      <c r="BB7" s="1108"/>
      <c r="BC7" s="1108"/>
      <c r="BD7" s="1108"/>
      <c r="BE7" s="1108"/>
      <c r="BF7" s="1108"/>
      <c r="BG7" s="1108"/>
      <c r="BH7" s="1108"/>
      <c r="BI7" s="1108"/>
      <c r="BJ7" s="1108"/>
      <c r="BK7" s="1108"/>
      <c r="BL7" s="1108"/>
      <c r="BM7" s="1108"/>
      <c r="BN7" s="1108"/>
      <c r="BO7" s="1108"/>
      <c r="BP7" s="1108"/>
      <c r="BQ7" s="1108"/>
      <c r="BR7" s="1108"/>
      <c r="BS7" s="1108"/>
      <c r="BT7" s="1108"/>
      <c r="BU7" s="1108"/>
      <c r="BV7" s="1108"/>
      <c r="BW7" s="1108"/>
      <c r="BX7" s="1108"/>
      <c r="BY7" s="1108"/>
      <c r="BZ7" s="1108"/>
      <c r="CA7" s="1108"/>
      <c r="CB7" s="1108"/>
      <c r="CC7" s="1108"/>
      <c r="CD7" s="1108"/>
      <c r="CE7" s="1108"/>
      <c r="CF7" s="1108"/>
      <c r="CG7" s="1108"/>
      <c r="CH7" s="1108"/>
      <c r="CI7" s="1108"/>
      <c r="CJ7" s="1108"/>
      <c r="CK7" s="1108"/>
      <c r="CL7" s="1108"/>
      <c r="CM7" s="1108"/>
      <c r="CN7" s="1108"/>
      <c r="CO7" s="1108"/>
      <c r="CP7" s="1108"/>
      <c r="CQ7" s="1108"/>
      <c r="CR7" s="1108"/>
      <c r="CS7" s="1108"/>
      <c r="CT7" s="1108"/>
      <c r="CU7" s="1108"/>
      <c r="CV7" s="1108"/>
      <c r="CW7" s="1108"/>
      <c r="CX7" s="1108"/>
      <c r="CY7" s="1108"/>
      <c r="CZ7" s="1108"/>
      <c r="DA7" s="1108"/>
      <c r="DB7" s="1108"/>
    </row>
    <row r="8" spans="1:106">
      <c r="A8" s="595"/>
      <c r="B8" s="598"/>
      <c r="C8" s="599"/>
      <c r="D8" s="258"/>
      <c r="E8" s="258"/>
      <c r="F8" s="1112" t="s">
        <v>43</v>
      </c>
      <c r="G8" s="1113" t="str">
        <f>'Crono Pessoal'!F8</f>
        <v>ADMINISTRAÇÃO E ENGENHARIA</v>
      </c>
      <c r="H8" s="1114"/>
      <c r="I8" s="1114"/>
      <c r="J8" s="1114"/>
      <c r="K8" s="1114"/>
      <c r="L8" s="1114">
        <f>SUBTOTAL(9,L9:L123)</f>
        <v>358370.34036367951</v>
      </c>
      <c r="M8" s="1115">
        <f>SUBTOTAL(9,M9:M123)</f>
        <v>11460.894143351852</v>
      </c>
      <c r="N8" s="1115">
        <f t="shared" ref="N8:AJ8" si="0">SUBTOTAL(9,N9:N123)</f>
        <v>12024.14201308695</v>
      </c>
      <c r="O8" s="1115">
        <f t="shared" si="0"/>
        <v>12024.14201308695</v>
      </c>
      <c r="P8" s="1115">
        <f t="shared" si="0"/>
        <v>12024.14201308695</v>
      </c>
      <c r="Q8" s="1115">
        <f t="shared" si="0"/>
        <v>12024.14201308695</v>
      </c>
      <c r="R8" s="1115">
        <f t="shared" si="0"/>
        <v>11952.5151267192</v>
      </c>
      <c r="S8" s="1115">
        <f t="shared" si="0"/>
        <v>11952.5151267192</v>
      </c>
      <c r="T8" s="1115">
        <f t="shared" si="0"/>
        <v>11952.5151267192</v>
      </c>
      <c r="U8" s="1115">
        <f t="shared" si="0"/>
        <v>11952.5151267192</v>
      </c>
      <c r="V8" s="1115">
        <f t="shared" si="0"/>
        <v>11952.5151267192</v>
      </c>
      <c r="W8" s="1115">
        <f t="shared" si="0"/>
        <v>11952.5151267192</v>
      </c>
      <c r="X8" s="1115">
        <f t="shared" si="0"/>
        <v>11952.5151267192</v>
      </c>
      <c r="Y8" s="1115">
        <f t="shared" si="0"/>
        <v>11952.5151267192</v>
      </c>
      <c r="Z8" s="1115">
        <f t="shared" si="0"/>
        <v>11952.5151267192</v>
      </c>
      <c r="AA8" s="1115">
        <f t="shared" si="0"/>
        <v>11952.5151267192</v>
      </c>
      <c r="AB8" s="1115">
        <f t="shared" si="0"/>
        <v>11952.5151267192</v>
      </c>
      <c r="AC8" s="1115">
        <f t="shared" si="0"/>
        <v>11952.5151267192</v>
      </c>
      <c r="AD8" s="1115">
        <f t="shared" si="0"/>
        <v>11952.5151267192</v>
      </c>
      <c r="AE8" s="1115">
        <f t="shared" si="0"/>
        <v>11952.5151267192</v>
      </c>
      <c r="AF8" s="1115">
        <f t="shared" si="0"/>
        <v>11952.5151267192</v>
      </c>
      <c r="AG8" s="1115">
        <f t="shared" si="0"/>
        <v>11952.5151267192</v>
      </c>
      <c r="AH8" s="1115">
        <f t="shared" si="0"/>
        <v>11952.5151267192</v>
      </c>
      <c r="AI8" s="1115">
        <f t="shared" si="0"/>
        <v>11952.5151267192</v>
      </c>
      <c r="AJ8" s="1115">
        <f t="shared" si="0"/>
        <v>11952.5151267192</v>
      </c>
      <c r="AK8" s="1115">
        <f t="shared" ref="AK8:AP8" si="1">SUBTOTAL(9,AK9:AK123)</f>
        <v>11952.5151267192</v>
      </c>
      <c r="AL8" s="1115">
        <f t="shared" si="1"/>
        <v>11952.5151267192</v>
      </c>
      <c r="AM8" s="1115">
        <f t="shared" si="1"/>
        <v>11952.5151267192</v>
      </c>
      <c r="AN8" s="1115">
        <f t="shared" si="1"/>
        <v>11952.5151267192</v>
      </c>
      <c r="AO8" s="1115">
        <f t="shared" si="1"/>
        <v>11952.5151267192</v>
      </c>
      <c r="AP8" s="1115">
        <f t="shared" si="1"/>
        <v>11952.5151267192</v>
      </c>
      <c r="AQ8" s="1108"/>
      <c r="AR8" s="1108"/>
      <c r="AS8" s="1108"/>
      <c r="AT8" s="1108"/>
      <c r="AU8" s="1108"/>
      <c r="AV8" s="1108"/>
      <c r="AW8" s="1108"/>
      <c r="AX8" s="1108"/>
      <c r="AY8" s="1108"/>
      <c r="AZ8" s="1108"/>
      <c r="BA8" s="1108"/>
      <c r="BB8" s="1108"/>
      <c r="BC8" s="1108"/>
      <c r="BD8" s="1108"/>
      <c r="BE8" s="1108"/>
      <c r="BF8" s="1108"/>
      <c r="BG8" s="1108"/>
      <c r="BH8" s="1108"/>
      <c r="BI8" s="1108"/>
      <c r="BJ8" s="1108"/>
      <c r="BK8" s="1108"/>
      <c r="BL8" s="1108"/>
      <c r="BM8" s="1108"/>
      <c r="BN8" s="1108"/>
      <c r="BO8" s="1108"/>
      <c r="BP8" s="1108"/>
      <c r="BQ8" s="1108"/>
      <c r="BR8" s="1108"/>
      <c r="BS8" s="1108"/>
      <c r="BT8" s="1108"/>
      <c r="BU8" s="1108"/>
      <c r="BV8" s="1108"/>
      <c r="BW8" s="1108"/>
      <c r="BX8" s="1108"/>
      <c r="BY8" s="1108"/>
      <c r="BZ8" s="1108"/>
      <c r="CA8" s="1108"/>
      <c r="CB8" s="1108"/>
      <c r="CC8" s="1108"/>
      <c r="CD8" s="1108"/>
      <c r="CE8" s="1108"/>
      <c r="CF8" s="1108"/>
      <c r="CG8" s="1108"/>
      <c r="CH8" s="1108"/>
      <c r="CI8" s="1108"/>
      <c r="CJ8" s="1108"/>
      <c r="CK8" s="1108"/>
      <c r="CL8" s="1108"/>
      <c r="CM8" s="1108"/>
      <c r="CN8" s="1108"/>
      <c r="CO8" s="1108"/>
      <c r="CP8" s="1108"/>
      <c r="CQ8" s="1108"/>
      <c r="CR8" s="1108"/>
      <c r="CS8" s="1108"/>
      <c r="CT8" s="1108"/>
      <c r="CU8" s="1108"/>
      <c r="CV8" s="1108"/>
      <c r="CW8" s="1108"/>
      <c r="CX8" s="1108"/>
      <c r="CY8" s="1108"/>
      <c r="CZ8" s="1108"/>
      <c r="DA8" s="1108"/>
      <c r="DB8" s="1108"/>
    </row>
    <row r="9" spans="1:106" s="624" customFormat="1">
      <c r="A9" s="609"/>
      <c r="B9" s="610"/>
      <c r="C9" s="611"/>
      <c r="D9" s="623"/>
      <c r="E9" s="623"/>
      <c r="F9" s="1116" t="s">
        <v>748</v>
      </c>
      <c r="G9" s="1117" t="s">
        <v>749</v>
      </c>
      <c r="H9" s="1113"/>
      <c r="I9" s="1113"/>
      <c r="J9" s="1113"/>
      <c r="K9" s="1113"/>
      <c r="L9" s="1118"/>
      <c r="M9" s="1118"/>
      <c r="N9" s="1118"/>
      <c r="O9" s="1118"/>
      <c r="P9" s="1118"/>
      <c r="Q9" s="1118"/>
      <c r="R9" s="1118"/>
      <c r="S9" s="1118"/>
      <c r="T9" s="1118"/>
      <c r="U9" s="1118"/>
      <c r="V9" s="1118"/>
      <c r="W9" s="1118"/>
      <c r="X9" s="1118"/>
      <c r="Y9" s="1118"/>
      <c r="Z9" s="1118"/>
      <c r="AA9" s="1118"/>
      <c r="AB9" s="1118"/>
      <c r="AC9" s="1118"/>
      <c r="AD9" s="1118"/>
      <c r="AE9" s="1118"/>
      <c r="AF9" s="1118"/>
      <c r="AG9" s="1118"/>
      <c r="AH9" s="1118"/>
      <c r="AI9" s="1118"/>
      <c r="AJ9" s="1118"/>
      <c r="AK9" s="1118"/>
      <c r="AL9" s="1118"/>
      <c r="AM9" s="1118"/>
      <c r="AN9" s="1118"/>
      <c r="AO9" s="1118"/>
      <c r="AP9" s="1118"/>
    </row>
    <row r="10" spans="1:106">
      <c r="A10" s="595"/>
      <c r="B10" s="598"/>
      <c r="C10" s="599"/>
      <c r="D10" s="259" t="s">
        <v>750</v>
      </c>
      <c r="E10" s="260">
        <v>1</v>
      </c>
      <c r="F10" s="1119" t="s">
        <v>751</v>
      </c>
      <c r="G10" s="1120" t="str">
        <f>VLOOKUP($F10,SALARIOSS!$D$6:$H$203,2,0)</f>
        <v>Conselheiro - Conselho Administrativo</v>
      </c>
      <c r="H10" s="1121">
        <f>VLOOKUP($F10,SALARIOSS!$D$6:$I$203,6,0)</f>
        <v>1483.4880000000003</v>
      </c>
      <c r="I10" s="1121"/>
      <c r="J10" s="1121"/>
      <c r="K10" s="1122">
        <f>SUM(H10:J10)</f>
        <v>1483.4880000000003</v>
      </c>
      <c r="L10" s="1123">
        <f>SUM(M10:AP10)</f>
        <v>534.05568000000005</v>
      </c>
      <c r="M10" s="1124">
        <f>12*$K10*'Crono Pessoal'!I10/1000</f>
        <v>17.801856000000004</v>
      </c>
      <c r="N10" s="1124">
        <f>12*$K10*'Crono Pessoal'!J10/1000</f>
        <v>17.801856000000004</v>
      </c>
      <c r="O10" s="1124">
        <f>12*$K10*'Crono Pessoal'!K10/1000</f>
        <v>17.801856000000004</v>
      </c>
      <c r="P10" s="1124">
        <f>12*$K10*'Crono Pessoal'!L10/1000</f>
        <v>17.801856000000004</v>
      </c>
      <c r="Q10" s="1124">
        <f>12*$K10*'Crono Pessoal'!M10/1000</f>
        <v>17.801856000000004</v>
      </c>
      <c r="R10" s="1124">
        <f>12*$K10*'Crono Pessoal'!N10/1000</f>
        <v>17.801856000000004</v>
      </c>
      <c r="S10" s="1124">
        <f>12*$K10*'Crono Pessoal'!O10/1000</f>
        <v>17.801856000000004</v>
      </c>
      <c r="T10" s="1124">
        <f>12*$K10*'Crono Pessoal'!P10/1000</f>
        <v>17.801856000000004</v>
      </c>
      <c r="U10" s="1124">
        <f>12*$K10*'Crono Pessoal'!Q10/1000</f>
        <v>17.801856000000004</v>
      </c>
      <c r="V10" s="1124">
        <f>12*$K10*'Crono Pessoal'!R10/1000</f>
        <v>17.801856000000004</v>
      </c>
      <c r="W10" s="1124">
        <f>12*$K10*'Crono Pessoal'!S10/1000</f>
        <v>17.801856000000004</v>
      </c>
      <c r="X10" s="1124">
        <f>12*$K10*'Crono Pessoal'!T10/1000</f>
        <v>17.801856000000004</v>
      </c>
      <c r="Y10" s="1124">
        <f>12*$K10*'Crono Pessoal'!U10/1000</f>
        <v>17.801856000000004</v>
      </c>
      <c r="Z10" s="1124">
        <f>12*$K10*'Crono Pessoal'!V10/1000</f>
        <v>17.801856000000004</v>
      </c>
      <c r="AA10" s="1124">
        <f>12*$K10*'Crono Pessoal'!W10/1000</f>
        <v>17.801856000000004</v>
      </c>
      <c r="AB10" s="1124">
        <f>12*$K10*'Crono Pessoal'!X10/1000</f>
        <v>17.801856000000004</v>
      </c>
      <c r="AC10" s="1124">
        <f>12*$K10*'Crono Pessoal'!Y10/1000</f>
        <v>17.801856000000004</v>
      </c>
      <c r="AD10" s="1124">
        <f>12*$K10*'Crono Pessoal'!Z10/1000</f>
        <v>17.801856000000004</v>
      </c>
      <c r="AE10" s="1124">
        <f>12*$K10*'Crono Pessoal'!AA10/1000</f>
        <v>17.801856000000004</v>
      </c>
      <c r="AF10" s="1124">
        <f>12*$K10*'Crono Pessoal'!AB10/1000</f>
        <v>17.801856000000004</v>
      </c>
      <c r="AG10" s="1124">
        <f>12*$K10*'Crono Pessoal'!AC10/1000</f>
        <v>17.801856000000004</v>
      </c>
      <c r="AH10" s="1124">
        <f>12*$K10*'Crono Pessoal'!AD10/1000</f>
        <v>17.801856000000004</v>
      </c>
      <c r="AI10" s="1124">
        <f>12*$K10*'Crono Pessoal'!AE10/1000</f>
        <v>17.801856000000004</v>
      </c>
      <c r="AJ10" s="1124">
        <f>12*$K10*'Crono Pessoal'!AF10/1000</f>
        <v>17.801856000000004</v>
      </c>
      <c r="AK10" s="1124">
        <f>12*$K10*'Crono Pessoal'!AG10/1000</f>
        <v>17.801856000000004</v>
      </c>
      <c r="AL10" s="1124">
        <f>12*$K10*'Crono Pessoal'!AH10/1000</f>
        <v>17.801856000000004</v>
      </c>
      <c r="AM10" s="1124">
        <f>12*$K10*'Crono Pessoal'!AI10/1000</f>
        <v>17.801856000000004</v>
      </c>
      <c r="AN10" s="1124">
        <f>12*$K10*'Crono Pessoal'!AJ10/1000</f>
        <v>17.801856000000004</v>
      </c>
      <c r="AO10" s="1124">
        <f>12*$K10*'Crono Pessoal'!AK10/1000</f>
        <v>17.801856000000004</v>
      </c>
      <c r="AP10" s="1124">
        <f>12*$K10*'Crono Pessoal'!AL10/1000</f>
        <v>17.801856000000004</v>
      </c>
      <c r="AQ10" s="1108"/>
      <c r="AR10" s="1108"/>
      <c r="AS10" s="1108"/>
      <c r="AT10" s="1108"/>
      <c r="AU10" s="1108"/>
      <c r="AV10" s="1108"/>
      <c r="AW10" s="1108"/>
      <c r="AX10" s="1108"/>
      <c r="AY10" s="1108"/>
      <c r="AZ10" s="1108"/>
      <c r="BA10" s="1108"/>
      <c r="BB10" s="1108"/>
      <c r="BC10" s="1108"/>
      <c r="BD10" s="1108"/>
      <c r="BE10" s="1108"/>
      <c r="BF10" s="1108"/>
      <c r="BG10" s="1108"/>
      <c r="BH10" s="1108"/>
      <c r="BI10" s="1108"/>
      <c r="BJ10" s="1108"/>
      <c r="BK10" s="1108"/>
      <c r="BL10" s="1108"/>
      <c r="BM10" s="1108"/>
      <c r="BN10" s="1108"/>
      <c r="BO10" s="1108"/>
      <c r="BP10" s="1108"/>
      <c r="BQ10" s="1108"/>
      <c r="BR10" s="1108"/>
      <c r="BS10" s="1108"/>
      <c r="BT10" s="1108"/>
      <c r="BU10" s="1108"/>
      <c r="BV10" s="1108"/>
      <c r="BW10" s="1108"/>
      <c r="BX10" s="1108"/>
      <c r="BY10" s="1108"/>
      <c r="BZ10" s="1108"/>
      <c r="CA10" s="1108"/>
      <c r="CB10" s="1108"/>
      <c r="CC10" s="1108"/>
      <c r="CD10" s="1108"/>
      <c r="CE10" s="1108"/>
      <c r="CF10" s="1108"/>
      <c r="CG10" s="1108"/>
      <c r="CH10" s="1108"/>
      <c r="CI10" s="1108"/>
      <c r="CJ10" s="1108"/>
      <c r="CK10" s="1108"/>
      <c r="CL10" s="1108"/>
      <c r="CM10" s="1108"/>
      <c r="CN10" s="1108"/>
      <c r="CO10" s="1108"/>
      <c r="CP10" s="1108"/>
      <c r="CQ10" s="1108"/>
      <c r="CR10" s="1108"/>
      <c r="CS10" s="1108"/>
      <c r="CT10" s="1108"/>
      <c r="CU10" s="1108"/>
      <c r="CV10" s="1108"/>
      <c r="CW10" s="1108"/>
      <c r="CX10" s="1108"/>
      <c r="CY10" s="1108"/>
      <c r="CZ10" s="1108"/>
      <c r="DA10" s="1108"/>
      <c r="DB10" s="1108"/>
    </row>
    <row r="11" spans="1:106">
      <c r="A11" s="595"/>
      <c r="B11" s="598"/>
      <c r="C11" s="599"/>
      <c r="D11" s="260" t="s">
        <v>750</v>
      </c>
      <c r="E11" s="260">
        <v>1</v>
      </c>
      <c r="F11" s="1119" t="s">
        <v>752</v>
      </c>
      <c r="G11" s="1120" t="str">
        <f>VLOOKUP($F11,SALARIOSS!$D$6:$H$203,2,0)</f>
        <v>Conselheiro - Conselho Fiscal</v>
      </c>
      <c r="H11" s="1121">
        <f>VLOOKUP($F11,SALARIOSS!$D$6:$I$203,6,0)</f>
        <v>1483.4880000000003</v>
      </c>
      <c r="I11" s="1121"/>
      <c r="J11" s="1121"/>
      <c r="K11" s="1122">
        <f>SUM(H11:J11)</f>
        <v>1483.4880000000003</v>
      </c>
      <c r="L11" s="1123">
        <f t="shared" ref="L11:L68" si="2">SUM(M11:AP11)</f>
        <v>2136.2227200000002</v>
      </c>
      <c r="M11" s="1124">
        <f>12*$K11*'Crono Pessoal'!I11/1000</f>
        <v>71.207424000000017</v>
      </c>
      <c r="N11" s="1124">
        <f>12*$K11*'Crono Pessoal'!J11/1000</f>
        <v>71.207424000000017</v>
      </c>
      <c r="O11" s="1124">
        <f>12*$K11*'Crono Pessoal'!K11/1000</f>
        <v>71.207424000000017</v>
      </c>
      <c r="P11" s="1124">
        <f>12*$K11*'Crono Pessoal'!L11/1000</f>
        <v>71.207424000000017</v>
      </c>
      <c r="Q11" s="1124">
        <f>12*$K11*'Crono Pessoal'!M11/1000</f>
        <v>71.207424000000017</v>
      </c>
      <c r="R11" s="1124">
        <f>12*$K11*'Crono Pessoal'!N11/1000</f>
        <v>71.207424000000017</v>
      </c>
      <c r="S11" s="1124">
        <f>12*$K11*'Crono Pessoal'!O11/1000</f>
        <v>71.207424000000017</v>
      </c>
      <c r="T11" s="1124">
        <f>12*$K11*'Crono Pessoal'!P11/1000</f>
        <v>71.207424000000017</v>
      </c>
      <c r="U11" s="1124">
        <f>12*$K11*'Crono Pessoal'!Q11/1000</f>
        <v>71.207424000000017</v>
      </c>
      <c r="V11" s="1124">
        <f>12*$K11*'Crono Pessoal'!R11/1000</f>
        <v>71.207424000000017</v>
      </c>
      <c r="W11" s="1124">
        <f>12*$K11*'Crono Pessoal'!S11/1000</f>
        <v>71.207424000000017</v>
      </c>
      <c r="X11" s="1124">
        <f>12*$K11*'Crono Pessoal'!T11/1000</f>
        <v>71.207424000000017</v>
      </c>
      <c r="Y11" s="1124">
        <f>12*$K11*'Crono Pessoal'!U11/1000</f>
        <v>71.207424000000017</v>
      </c>
      <c r="Z11" s="1124">
        <f>12*$K11*'Crono Pessoal'!V11/1000</f>
        <v>71.207424000000017</v>
      </c>
      <c r="AA11" s="1124">
        <f>12*$K11*'Crono Pessoal'!W11/1000</f>
        <v>71.207424000000017</v>
      </c>
      <c r="AB11" s="1124">
        <f>12*$K11*'Crono Pessoal'!X11/1000</f>
        <v>71.207424000000017</v>
      </c>
      <c r="AC11" s="1124">
        <f>12*$K11*'Crono Pessoal'!Y11/1000</f>
        <v>71.207424000000017</v>
      </c>
      <c r="AD11" s="1124">
        <f>12*$K11*'Crono Pessoal'!Z11/1000</f>
        <v>71.207424000000017</v>
      </c>
      <c r="AE11" s="1124">
        <f>12*$K11*'Crono Pessoal'!AA11/1000</f>
        <v>71.207424000000017</v>
      </c>
      <c r="AF11" s="1124">
        <f>12*$K11*'Crono Pessoal'!AB11/1000</f>
        <v>71.207424000000017</v>
      </c>
      <c r="AG11" s="1124">
        <f>12*$K11*'Crono Pessoal'!AC11/1000</f>
        <v>71.207424000000017</v>
      </c>
      <c r="AH11" s="1124">
        <f>12*$K11*'Crono Pessoal'!AD11/1000</f>
        <v>71.207424000000017</v>
      </c>
      <c r="AI11" s="1124">
        <f>12*$K11*'Crono Pessoal'!AE11/1000</f>
        <v>71.207424000000017</v>
      </c>
      <c r="AJ11" s="1124">
        <f>12*$K11*'Crono Pessoal'!AF11/1000</f>
        <v>71.207424000000017</v>
      </c>
      <c r="AK11" s="1124">
        <f>12*$K11*'Crono Pessoal'!AG11/1000</f>
        <v>71.207424000000017</v>
      </c>
      <c r="AL11" s="1124">
        <f>12*$K11*'Crono Pessoal'!AH11/1000</f>
        <v>71.207424000000017</v>
      </c>
      <c r="AM11" s="1124">
        <f>12*$K11*'Crono Pessoal'!AI11/1000</f>
        <v>71.207424000000017</v>
      </c>
      <c r="AN11" s="1124">
        <f>12*$K11*'Crono Pessoal'!AJ11/1000</f>
        <v>71.207424000000017</v>
      </c>
      <c r="AO11" s="1124">
        <f>12*$K11*'Crono Pessoal'!AK11/1000</f>
        <v>71.207424000000017</v>
      </c>
      <c r="AP11" s="1124">
        <f>12*$K11*'Crono Pessoal'!AL11/1000</f>
        <v>71.207424000000017</v>
      </c>
      <c r="AQ11" s="1108"/>
      <c r="AR11" s="1108"/>
      <c r="AS11" s="1108"/>
      <c r="AT11" s="1108"/>
      <c r="AU11" s="1108"/>
      <c r="AV11" s="1108"/>
      <c r="AW11" s="1108"/>
      <c r="AX11" s="1108"/>
      <c r="AY11" s="1108"/>
      <c r="AZ11" s="1108"/>
      <c r="BA11" s="1108"/>
      <c r="BB11" s="1108"/>
      <c r="BC11" s="1108"/>
      <c r="BD11" s="1108"/>
      <c r="BE11" s="1108"/>
      <c r="BF11" s="1108"/>
      <c r="BG11" s="1108"/>
      <c r="BH11" s="1108"/>
      <c r="BI11" s="1108"/>
      <c r="BJ11" s="1108"/>
      <c r="BK11" s="1108"/>
      <c r="BL11" s="1108"/>
      <c r="BM11" s="1108"/>
      <c r="BN11" s="1108"/>
      <c r="BO11" s="1108"/>
      <c r="BP11" s="1108"/>
      <c r="BQ11" s="1108"/>
      <c r="BR11" s="1108"/>
      <c r="BS11" s="1108"/>
      <c r="BT11" s="1108"/>
      <c r="BU11" s="1108"/>
      <c r="BV11" s="1108"/>
      <c r="BW11" s="1108"/>
      <c r="BX11" s="1108"/>
      <c r="BY11" s="1108"/>
      <c r="BZ11" s="1108"/>
      <c r="CA11" s="1108"/>
      <c r="CB11" s="1108"/>
      <c r="CC11" s="1108"/>
      <c r="CD11" s="1108"/>
      <c r="CE11" s="1108"/>
      <c r="CF11" s="1108"/>
      <c r="CG11" s="1108"/>
      <c r="CH11" s="1108"/>
      <c r="CI11" s="1108"/>
      <c r="CJ11" s="1108"/>
      <c r="CK11" s="1108"/>
      <c r="CL11" s="1108"/>
      <c r="CM11" s="1108"/>
      <c r="CN11" s="1108"/>
      <c r="CO11" s="1108"/>
      <c r="CP11" s="1108"/>
      <c r="CQ11" s="1108"/>
      <c r="CR11" s="1108"/>
      <c r="CS11" s="1108"/>
      <c r="CT11" s="1108"/>
      <c r="CU11" s="1108"/>
      <c r="CV11" s="1108"/>
      <c r="CW11" s="1108"/>
      <c r="CX11" s="1108"/>
      <c r="CY11" s="1108"/>
      <c r="CZ11" s="1108"/>
      <c r="DA11" s="1108"/>
      <c r="DB11" s="1108"/>
    </row>
    <row r="12" spans="1:106" s="624" customFormat="1">
      <c r="A12" s="609"/>
      <c r="B12" s="610"/>
      <c r="C12" s="611"/>
      <c r="D12" s="625"/>
      <c r="E12" s="625"/>
      <c r="F12" s="1125" t="s">
        <v>753</v>
      </c>
      <c r="G12" s="1117" t="s">
        <v>754</v>
      </c>
      <c r="H12" s="1113"/>
      <c r="I12" s="1113"/>
      <c r="J12" s="1113"/>
      <c r="K12" s="1113"/>
      <c r="L12" s="1118"/>
      <c r="M12" s="1118"/>
      <c r="N12" s="1118"/>
      <c r="O12" s="1118"/>
      <c r="P12" s="1118"/>
      <c r="Q12" s="1118"/>
      <c r="R12" s="1118"/>
      <c r="S12" s="1118"/>
      <c r="T12" s="1118"/>
      <c r="U12" s="1118"/>
      <c r="V12" s="1118"/>
      <c r="W12" s="1118"/>
      <c r="X12" s="1118"/>
      <c r="Y12" s="1118"/>
      <c r="Z12" s="1118"/>
      <c r="AA12" s="1118"/>
      <c r="AB12" s="1118"/>
      <c r="AC12" s="1118"/>
      <c r="AD12" s="1118"/>
      <c r="AE12" s="1118"/>
      <c r="AF12" s="1118"/>
      <c r="AG12" s="1118"/>
      <c r="AH12" s="1118"/>
      <c r="AI12" s="1118"/>
      <c r="AJ12" s="1118"/>
      <c r="AK12" s="1118"/>
      <c r="AL12" s="1118"/>
      <c r="AM12" s="1118"/>
      <c r="AN12" s="1118"/>
      <c r="AO12" s="1118"/>
      <c r="AP12" s="1118"/>
    </row>
    <row r="13" spans="1:106">
      <c r="A13" s="595"/>
      <c r="B13" s="598"/>
      <c r="C13" s="599"/>
      <c r="D13" s="260" t="s">
        <v>750</v>
      </c>
      <c r="E13" s="260">
        <v>1</v>
      </c>
      <c r="F13" s="1119" t="s">
        <v>755</v>
      </c>
      <c r="G13" s="1120" t="str">
        <f>VLOOKUP($F13,SALARIOSS!$D$6:$H$203,2,0)</f>
        <v>Diretor Superintendente</v>
      </c>
      <c r="H13" s="1121">
        <f>VLOOKUP($F13,SALARIOSS!$D$6:$I$203,6,0)</f>
        <v>47254.188105000001</v>
      </c>
      <c r="I13" s="1121">
        <f>VLOOKUP($F13,Funções!$D$9:$K$200,5,0)+VLOOKUP($F13,Funções!$D$9:$K$200,6,0)</f>
        <v>43003.282883712498</v>
      </c>
      <c r="J13" s="1121">
        <f>VLOOKUP($F13,Funções!$D$9:$K$200,7,0)</f>
        <v>95</v>
      </c>
      <c r="K13" s="1122">
        <f>SUM(H13:J13)</f>
        <v>90352.470988712506</v>
      </c>
      <c r="L13" s="1123">
        <f t="shared" si="2"/>
        <v>32526.88955593649</v>
      </c>
      <c r="M13" s="1124">
        <f>12*$K13*'Crono Pessoal'!I13/1000</f>
        <v>1084.2296518645501</v>
      </c>
      <c r="N13" s="1124">
        <f>12*$K13*'Crono Pessoal'!J13/1000</f>
        <v>1084.2296518645501</v>
      </c>
      <c r="O13" s="1124">
        <f>12*$K13*'Crono Pessoal'!K13/1000</f>
        <v>1084.2296518645501</v>
      </c>
      <c r="P13" s="1124">
        <f>12*$K13*'Crono Pessoal'!L13/1000</f>
        <v>1084.2296518645501</v>
      </c>
      <c r="Q13" s="1124">
        <f>12*$K13*'Crono Pessoal'!M13/1000</f>
        <v>1084.2296518645501</v>
      </c>
      <c r="R13" s="1124">
        <f>12*$K13*'Crono Pessoal'!N13/1000</f>
        <v>1084.2296518645501</v>
      </c>
      <c r="S13" s="1124">
        <f>12*$K13*'Crono Pessoal'!O13/1000</f>
        <v>1084.2296518645501</v>
      </c>
      <c r="T13" s="1124">
        <f>12*$K13*'Crono Pessoal'!P13/1000</f>
        <v>1084.2296518645501</v>
      </c>
      <c r="U13" s="1124">
        <f>12*$K13*'Crono Pessoal'!Q13/1000</f>
        <v>1084.2296518645501</v>
      </c>
      <c r="V13" s="1124">
        <f>12*$K13*'Crono Pessoal'!R13/1000</f>
        <v>1084.2296518645501</v>
      </c>
      <c r="W13" s="1124">
        <f>12*$K13*'Crono Pessoal'!S13/1000</f>
        <v>1084.2296518645501</v>
      </c>
      <c r="X13" s="1124">
        <f>12*$K13*'Crono Pessoal'!T13/1000</f>
        <v>1084.2296518645501</v>
      </c>
      <c r="Y13" s="1124">
        <f>12*$K13*'Crono Pessoal'!U13/1000</f>
        <v>1084.2296518645501</v>
      </c>
      <c r="Z13" s="1124">
        <f>12*$K13*'Crono Pessoal'!V13/1000</f>
        <v>1084.2296518645501</v>
      </c>
      <c r="AA13" s="1124">
        <f>12*$K13*'Crono Pessoal'!W13/1000</f>
        <v>1084.2296518645501</v>
      </c>
      <c r="AB13" s="1124">
        <f>12*$K13*'Crono Pessoal'!X13/1000</f>
        <v>1084.2296518645501</v>
      </c>
      <c r="AC13" s="1124">
        <f>12*$K13*'Crono Pessoal'!Y13/1000</f>
        <v>1084.2296518645501</v>
      </c>
      <c r="AD13" s="1124">
        <f>12*$K13*'Crono Pessoal'!Z13/1000</f>
        <v>1084.2296518645501</v>
      </c>
      <c r="AE13" s="1124">
        <f>12*$K13*'Crono Pessoal'!AA13/1000</f>
        <v>1084.2296518645501</v>
      </c>
      <c r="AF13" s="1124">
        <f>12*$K13*'Crono Pessoal'!AB13/1000</f>
        <v>1084.2296518645501</v>
      </c>
      <c r="AG13" s="1124">
        <f>12*$K13*'Crono Pessoal'!AC13/1000</f>
        <v>1084.2296518645501</v>
      </c>
      <c r="AH13" s="1124">
        <f>12*$K13*'Crono Pessoal'!AD13/1000</f>
        <v>1084.2296518645501</v>
      </c>
      <c r="AI13" s="1124">
        <f>12*$K13*'Crono Pessoal'!AE13/1000</f>
        <v>1084.2296518645501</v>
      </c>
      <c r="AJ13" s="1124">
        <f>12*$K13*'Crono Pessoal'!AF13/1000</f>
        <v>1084.2296518645501</v>
      </c>
      <c r="AK13" s="1124">
        <f>12*$K13*'Crono Pessoal'!AG13/1000</f>
        <v>1084.2296518645501</v>
      </c>
      <c r="AL13" s="1124">
        <f>12*$K13*'Crono Pessoal'!AH13/1000</f>
        <v>1084.2296518645501</v>
      </c>
      <c r="AM13" s="1124">
        <f>12*$K13*'Crono Pessoal'!AI13/1000</f>
        <v>1084.2296518645501</v>
      </c>
      <c r="AN13" s="1124">
        <f>12*$K13*'Crono Pessoal'!AJ13/1000</f>
        <v>1084.2296518645501</v>
      </c>
      <c r="AO13" s="1124">
        <f>12*$K13*'Crono Pessoal'!AK13/1000</f>
        <v>1084.2296518645501</v>
      </c>
      <c r="AP13" s="1124">
        <f>12*$K13*'Crono Pessoal'!AL13/1000</f>
        <v>1084.2296518645501</v>
      </c>
      <c r="AQ13" s="1108"/>
      <c r="AR13" s="1108"/>
      <c r="AS13" s="1108"/>
      <c r="AT13" s="1108"/>
      <c r="AU13" s="1108"/>
      <c r="AV13" s="1108"/>
      <c r="AW13" s="1108"/>
      <c r="AX13" s="1108"/>
      <c r="AY13" s="1108"/>
      <c r="AZ13" s="1108"/>
      <c r="BA13" s="1108"/>
      <c r="BB13" s="1108"/>
      <c r="BC13" s="1108"/>
      <c r="BD13" s="1108"/>
      <c r="BE13" s="1108"/>
      <c r="BF13" s="1108"/>
      <c r="BG13" s="1108"/>
      <c r="BH13" s="1108"/>
      <c r="BI13" s="1108"/>
      <c r="BJ13" s="1108"/>
      <c r="BK13" s="1108"/>
      <c r="BL13" s="1108"/>
      <c r="BM13" s="1108"/>
      <c r="BN13" s="1108"/>
      <c r="BO13" s="1108"/>
      <c r="BP13" s="1108"/>
      <c r="BQ13" s="1108"/>
      <c r="BR13" s="1108"/>
      <c r="BS13" s="1108"/>
      <c r="BT13" s="1108"/>
      <c r="BU13" s="1108"/>
      <c r="BV13" s="1108"/>
      <c r="BW13" s="1108"/>
      <c r="BX13" s="1108"/>
      <c r="BY13" s="1108"/>
      <c r="BZ13" s="1108"/>
      <c r="CA13" s="1108"/>
      <c r="CB13" s="1108"/>
      <c r="CC13" s="1108"/>
      <c r="CD13" s="1108"/>
      <c r="CE13" s="1108"/>
      <c r="CF13" s="1108"/>
      <c r="CG13" s="1108"/>
      <c r="CH13" s="1108"/>
      <c r="CI13" s="1108"/>
      <c r="CJ13" s="1108"/>
      <c r="CK13" s="1108"/>
      <c r="CL13" s="1108"/>
      <c r="CM13" s="1108"/>
      <c r="CN13" s="1108"/>
      <c r="CO13" s="1108"/>
      <c r="CP13" s="1108"/>
      <c r="CQ13" s="1108"/>
      <c r="CR13" s="1108"/>
      <c r="CS13" s="1108"/>
      <c r="CT13" s="1108"/>
      <c r="CU13" s="1108"/>
      <c r="CV13" s="1108"/>
      <c r="CW13" s="1108"/>
      <c r="CX13" s="1108"/>
      <c r="CY13" s="1108"/>
      <c r="CZ13" s="1108"/>
      <c r="DA13" s="1108"/>
      <c r="DB13" s="1108"/>
    </row>
    <row r="14" spans="1:106">
      <c r="A14" s="595"/>
      <c r="B14" s="598"/>
      <c r="C14" s="599"/>
      <c r="D14" s="259" t="s">
        <v>750</v>
      </c>
      <c r="E14" s="260">
        <v>1</v>
      </c>
      <c r="F14" s="1119" t="s">
        <v>756</v>
      </c>
      <c r="G14" s="1120" t="str">
        <f>VLOOKUP($F14,SALARIOSS!$D$6:$H$203,2,0)</f>
        <v>Secretária Executiva</v>
      </c>
      <c r="H14" s="1121">
        <f>VLOOKUP($F14,SALARIOSS!$D$6:$I$203,6,0)</f>
        <v>4727.7000000000007</v>
      </c>
      <c r="I14" s="1121">
        <f>VLOOKUP($F14,Funções!$D$9:$K$200,5,0)+VLOOKUP($F14,Funções!$D$9:$K$200,6,0)</f>
        <v>5048.3922500000008</v>
      </c>
      <c r="J14" s="1121">
        <f>VLOOKUP($F14,Funções!$D$9:$K$200,7,0)</f>
        <v>95</v>
      </c>
      <c r="K14" s="1122">
        <f>SUM(H14:J14)</f>
        <v>9871.0922500000015</v>
      </c>
      <c r="L14" s="1123">
        <f t="shared" si="2"/>
        <v>3553.5932099999982</v>
      </c>
      <c r="M14" s="1124">
        <f>12*$K14*'Crono Pessoal'!I14/1000</f>
        <v>118.45310700000002</v>
      </c>
      <c r="N14" s="1124">
        <f>12*$K14*'Crono Pessoal'!J14/1000</f>
        <v>118.45310700000002</v>
      </c>
      <c r="O14" s="1124">
        <f>12*$K14*'Crono Pessoal'!K14/1000</f>
        <v>118.45310700000002</v>
      </c>
      <c r="P14" s="1124">
        <f>12*$K14*'Crono Pessoal'!L14/1000</f>
        <v>118.45310700000002</v>
      </c>
      <c r="Q14" s="1124">
        <f>12*$K14*'Crono Pessoal'!M14/1000</f>
        <v>118.45310700000002</v>
      </c>
      <c r="R14" s="1124">
        <f>12*$K14*'Crono Pessoal'!N14/1000</f>
        <v>118.45310700000002</v>
      </c>
      <c r="S14" s="1124">
        <f>12*$K14*'Crono Pessoal'!O14/1000</f>
        <v>118.45310700000002</v>
      </c>
      <c r="T14" s="1124">
        <f>12*$K14*'Crono Pessoal'!P14/1000</f>
        <v>118.45310700000002</v>
      </c>
      <c r="U14" s="1124">
        <f>12*$K14*'Crono Pessoal'!Q14/1000</f>
        <v>118.45310700000002</v>
      </c>
      <c r="V14" s="1124">
        <f>12*$K14*'Crono Pessoal'!R14/1000</f>
        <v>118.45310700000002</v>
      </c>
      <c r="W14" s="1124">
        <f>12*$K14*'Crono Pessoal'!S14/1000</f>
        <v>118.45310700000002</v>
      </c>
      <c r="X14" s="1124">
        <f>12*$K14*'Crono Pessoal'!T14/1000</f>
        <v>118.45310700000002</v>
      </c>
      <c r="Y14" s="1124">
        <f>12*$K14*'Crono Pessoal'!U14/1000</f>
        <v>118.45310700000002</v>
      </c>
      <c r="Z14" s="1124">
        <f>12*$K14*'Crono Pessoal'!V14/1000</f>
        <v>118.45310700000002</v>
      </c>
      <c r="AA14" s="1124">
        <f>12*$K14*'Crono Pessoal'!W14/1000</f>
        <v>118.45310700000002</v>
      </c>
      <c r="AB14" s="1124">
        <f>12*$K14*'Crono Pessoal'!X14/1000</f>
        <v>118.45310700000002</v>
      </c>
      <c r="AC14" s="1124">
        <f>12*$K14*'Crono Pessoal'!Y14/1000</f>
        <v>118.45310700000002</v>
      </c>
      <c r="AD14" s="1124">
        <f>12*$K14*'Crono Pessoal'!Z14/1000</f>
        <v>118.45310700000002</v>
      </c>
      <c r="AE14" s="1124">
        <f>12*$K14*'Crono Pessoal'!AA14/1000</f>
        <v>118.45310700000002</v>
      </c>
      <c r="AF14" s="1124">
        <f>12*$K14*'Crono Pessoal'!AB14/1000</f>
        <v>118.45310700000002</v>
      </c>
      <c r="AG14" s="1124">
        <f>12*$K14*'Crono Pessoal'!AC14/1000</f>
        <v>118.45310700000002</v>
      </c>
      <c r="AH14" s="1124">
        <f>12*$K14*'Crono Pessoal'!AD14/1000</f>
        <v>118.45310700000002</v>
      </c>
      <c r="AI14" s="1124">
        <f>12*$K14*'Crono Pessoal'!AE14/1000</f>
        <v>118.45310700000002</v>
      </c>
      <c r="AJ14" s="1124">
        <f>12*$K14*'Crono Pessoal'!AF14/1000</f>
        <v>118.45310700000002</v>
      </c>
      <c r="AK14" s="1124">
        <f>12*$K14*'Crono Pessoal'!AG14/1000</f>
        <v>118.45310700000002</v>
      </c>
      <c r="AL14" s="1124">
        <f>12*$K14*'Crono Pessoal'!AH14/1000</f>
        <v>118.45310700000002</v>
      </c>
      <c r="AM14" s="1124">
        <f>12*$K14*'Crono Pessoal'!AI14/1000</f>
        <v>118.45310700000002</v>
      </c>
      <c r="AN14" s="1124">
        <f>12*$K14*'Crono Pessoal'!AJ14/1000</f>
        <v>118.45310700000002</v>
      </c>
      <c r="AO14" s="1124">
        <f>12*$K14*'Crono Pessoal'!AK14/1000</f>
        <v>118.45310700000002</v>
      </c>
      <c r="AP14" s="1124">
        <f>12*$K14*'Crono Pessoal'!AL14/1000</f>
        <v>118.45310700000002</v>
      </c>
      <c r="AQ14" s="1108"/>
      <c r="AR14" s="1108"/>
      <c r="AS14" s="1108"/>
      <c r="AT14" s="1108"/>
      <c r="AU14" s="1108"/>
      <c r="AV14" s="1108"/>
      <c r="AW14" s="1108"/>
      <c r="AX14" s="1108"/>
      <c r="AY14" s="1108"/>
      <c r="AZ14" s="1108"/>
      <c r="BA14" s="1108"/>
      <c r="BB14" s="1108"/>
      <c r="BC14" s="1108"/>
      <c r="BD14" s="1108"/>
      <c r="BE14" s="1108"/>
      <c r="BF14" s="1108"/>
      <c r="BG14" s="1108"/>
      <c r="BH14" s="1108"/>
      <c r="BI14" s="1108"/>
      <c r="BJ14" s="1108"/>
      <c r="BK14" s="1108"/>
      <c r="BL14" s="1108"/>
      <c r="BM14" s="1108"/>
      <c r="BN14" s="1108"/>
      <c r="BO14" s="1108"/>
      <c r="BP14" s="1108"/>
      <c r="BQ14" s="1108"/>
      <c r="BR14" s="1108"/>
      <c r="BS14" s="1108"/>
      <c r="BT14" s="1108"/>
      <c r="BU14" s="1108"/>
      <c r="BV14" s="1108"/>
      <c r="BW14" s="1108"/>
      <c r="BX14" s="1108"/>
      <c r="BY14" s="1108"/>
      <c r="BZ14" s="1108"/>
      <c r="CA14" s="1108"/>
      <c r="CB14" s="1108"/>
      <c r="CC14" s="1108"/>
      <c r="CD14" s="1108"/>
      <c r="CE14" s="1108"/>
      <c r="CF14" s="1108"/>
      <c r="CG14" s="1108"/>
      <c r="CH14" s="1108"/>
      <c r="CI14" s="1108"/>
      <c r="CJ14" s="1108"/>
      <c r="CK14" s="1108"/>
      <c r="CL14" s="1108"/>
      <c r="CM14" s="1108"/>
      <c r="CN14" s="1108"/>
      <c r="CO14" s="1108"/>
      <c r="CP14" s="1108"/>
      <c r="CQ14" s="1108"/>
      <c r="CR14" s="1108"/>
      <c r="CS14" s="1108"/>
      <c r="CT14" s="1108"/>
      <c r="CU14" s="1108"/>
      <c r="CV14" s="1108"/>
      <c r="CW14" s="1108"/>
      <c r="CX14" s="1108"/>
      <c r="CY14" s="1108"/>
      <c r="CZ14" s="1108"/>
      <c r="DA14" s="1108"/>
      <c r="DB14" s="1108"/>
    </row>
    <row r="15" spans="1:106">
      <c r="A15" s="595"/>
      <c r="B15" s="598"/>
      <c r="C15" s="599"/>
      <c r="D15" s="260" t="s">
        <v>750</v>
      </c>
      <c r="E15" s="260">
        <v>1</v>
      </c>
      <c r="F15" s="1119" t="s">
        <v>757</v>
      </c>
      <c r="G15" s="1120" t="str">
        <f>VLOOKUP($F15,SALARIOSS!$D$6:$H$203,2,0)</f>
        <v>Motorista</v>
      </c>
      <c r="H15" s="1121">
        <f>VLOOKUP($F15,SALARIOSS!$D$6:$I$203,6,0)</f>
        <v>1781.2764000000004</v>
      </c>
      <c r="I15" s="1121">
        <f>VLOOKUP($F15,Funções!$D$9:$K$200,5,0)+VLOOKUP($F15,Funções!$D$9:$K$200,6,0)</f>
        <v>2418.7091870000004</v>
      </c>
      <c r="J15" s="1121">
        <f>VLOOKUP($F15,Funções!$D$9:$K$200,7,0)</f>
        <v>95</v>
      </c>
      <c r="K15" s="1122">
        <f>SUM(H15:J15)</f>
        <v>4294.985587000001</v>
      </c>
      <c r="L15" s="1123">
        <f t="shared" si="2"/>
        <v>1546.194811320001</v>
      </c>
      <c r="M15" s="1124">
        <f>12*$K15*'Crono Pessoal'!I15/1000</f>
        <v>51.539827044000013</v>
      </c>
      <c r="N15" s="1124">
        <f>12*$K15*'Crono Pessoal'!J15/1000</f>
        <v>51.539827044000013</v>
      </c>
      <c r="O15" s="1124">
        <f>12*$K15*'Crono Pessoal'!K15/1000</f>
        <v>51.539827044000013</v>
      </c>
      <c r="P15" s="1124">
        <f>12*$K15*'Crono Pessoal'!L15/1000</f>
        <v>51.539827044000013</v>
      </c>
      <c r="Q15" s="1124">
        <f>12*$K15*'Crono Pessoal'!M15/1000</f>
        <v>51.539827044000013</v>
      </c>
      <c r="R15" s="1124">
        <f>12*$K15*'Crono Pessoal'!N15/1000</f>
        <v>51.539827044000013</v>
      </c>
      <c r="S15" s="1124">
        <f>12*$K15*'Crono Pessoal'!O15/1000</f>
        <v>51.539827044000013</v>
      </c>
      <c r="T15" s="1124">
        <f>12*$K15*'Crono Pessoal'!P15/1000</f>
        <v>51.539827044000013</v>
      </c>
      <c r="U15" s="1124">
        <f>12*$K15*'Crono Pessoal'!Q15/1000</f>
        <v>51.539827044000013</v>
      </c>
      <c r="V15" s="1124">
        <f>12*$K15*'Crono Pessoal'!R15/1000</f>
        <v>51.539827044000013</v>
      </c>
      <c r="W15" s="1124">
        <f>12*$K15*'Crono Pessoal'!S15/1000</f>
        <v>51.539827044000013</v>
      </c>
      <c r="X15" s="1124">
        <f>12*$K15*'Crono Pessoal'!T15/1000</f>
        <v>51.539827044000013</v>
      </c>
      <c r="Y15" s="1124">
        <f>12*$K15*'Crono Pessoal'!U15/1000</f>
        <v>51.539827044000013</v>
      </c>
      <c r="Z15" s="1124">
        <f>12*$K15*'Crono Pessoal'!V15/1000</f>
        <v>51.539827044000013</v>
      </c>
      <c r="AA15" s="1124">
        <f>12*$K15*'Crono Pessoal'!W15/1000</f>
        <v>51.539827044000013</v>
      </c>
      <c r="AB15" s="1124">
        <f>12*$K15*'Crono Pessoal'!X15/1000</f>
        <v>51.539827044000013</v>
      </c>
      <c r="AC15" s="1124">
        <f>12*$K15*'Crono Pessoal'!Y15/1000</f>
        <v>51.539827044000013</v>
      </c>
      <c r="AD15" s="1124">
        <f>12*$K15*'Crono Pessoal'!Z15/1000</f>
        <v>51.539827044000013</v>
      </c>
      <c r="AE15" s="1124">
        <f>12*$K15*'Crono Pessoal'!AA15/1000</f>
        <v>51.539827044000013</v>
      </c>
      <c r="AF15" s="1124">
        <f>12*$K15*'Crono Pessoal'!AB15/1000</f>
        <v>51.539827044000013</v>
      </c>
      <c r="AG15" s="1124">
        <f>12*$K15*'Crono Pessoal'!AC15/1000</f>
        <v>51.539827044000013</v>
      </c>
      <c r="AH15" s="1124">
        <f>12*$K15*'Crono Pessoal'!AD15/1000</f>
        <v>51.539827044000013</v>
      </c>
      <c r="AI15" s="1124">
        <f>12*$K15*'Crono Pessoal'!AE15/1000</f>
        <v>51.539827044000013</v>
      </c>
      <c r="AJ15" s="1124">
        <f>12*$K15*'Crono Pessoal'!AF15/1000</f>
        <v>51.539827044000013</v>
      </c>
      <c r="AK15" s="1124">
        <f>12*$K15*'Crono Pessoal'!AG15/1000</f>
        <v>51.539827044000013</v>
      </c>
      <c r="AL15" s="1124">
        <f>12*$K15*'Crono Pessoal'!AH15/1000</f>
        <v>51.539827044000013</v>
      </c>
      <c r="AM15" s="1124">
        <f>12*$K15*'Crono Pessoal'!AI15/1000</f>
        <v>51.539827044000013</v>
      </c>
      <c r="AN15" s="1124">
        <f>12*$K15*'Crono Pessoal'!AJ15/1000</f>
        <v>51.539827044000013</v>
      </c>
      <c r="AO15" s="1124">
        <f>12*$K15*'Crono Pessoal'!AK15/1000</f>
        <v>51.539827044000013</v>
      </c>
      <c r="AP15" s="1124">
        <f>12*$K15*'Crono Pessoal'!AL15/1000</f>
        <v>51.539827044000013</v>
      </c>
      <c r="AQ15" s="1108"/>
      <c r="AR15" s="1108"/>
      <c r="AS15" s="1108"/>
      <c r="AT15" s="1108"/>
      <c r="AU15" s="1108"/>
      <c r="AV15" s="1108"/>
      <c r="AW15" s="1108"/>
      <c r="AX15" s="1108"/>
      <c r="AY15" s="1108"/>
      <c r="AZ15" s="1108"/>
      <c r="BA15" s="1108"/>
      <c r="BB15" s="1108"/>
      <c r="BC15" s="1108"/>
      <c r="BD15" s="1108"/>
      <c r="BE15" s="1108"/>
      <c r="BF15" s="1108"/>
      <c r="BG15" s="1108"/>
      <c r="BH15" s="1108"/>
      <c r="BI15" s="1108"/>
      <c r="BJ15" s="1108"/>
      <c r="BK15" s="1108"/>
      <c r="BL15" s="1108"/>
      <c r="BM15" s="1108"/>
      <c r="BN15" s="1108"/>
      <c r="BO15" s="1108"/>
      <c r="BP15" s="1108"/>
      <c r="BQ15" s="1108"/>
      <c r="BR15" s="1108"/>
      <c r="BS15" s="1108"/>
      <c r="BT15" s="1108"/>
      <c r="BU15" s="1108"/>
      <c r="BV15" s="1108"/>
      <c r="BW15" s="1108"/>
      <c r="BX15" s="1108"/>
      <c r="BY15" s="1108"/>
      <c r="BZ15" s="1108"/>
      <c r="CA15" s="1108"/>
      <c r="CB15" s="1108"/>
      <c r="CC15" s="1108"/>
      <c r="CD15" s="1108"/>
      <c r="CE15" s="1108"/>
      <c r="CF15" s="1108"/>
      <c r="CG15" s="1108"/>
      <c r="CH15" s="1108"/>
      <c r="CI15" s="1108"/>
      <c r="CJ15" s="1108"/>
      <c r="CK15" s="1108"/>
      <c r="CL15" s="1108"/>
      <c r="CM15" s="1108"/>
      <c r="CN15" s="1108"/>
      <c r="CO15" s="1108"/>
      <c r="CP15" s="1108"/>
      <c r="CQ15" s="1108"/>
      <c r="CR15" s="1108"/>
      <c r="CS15" s="1108"/>
      <c r="CT15" s="1108"/>
      <c r="CU15" s="1108"/>
      <c r="CV15" s="1108"/>
      <c r="CW15" s="1108"/>
      <c r="CX15" s="1108"/>
      <c r="CY15" s="1108"/>
      <c r="CZ15" s="1108"/>
      <c r="DA15" s="1108"/>
      <c r="DB15" s="1108"/>
    </row>
    <row r="16" spans="1:106" s="624" customFormat="1">
      <c r="A16" s="609"/>
      <c r="B16" s="610"/>
      <c r="C16" s="611"/>
      <c r="D16" s="625"/>
      <c r="E16" s="625"/>
      <c r="F16" s="1125" t="s">
        <v>758</v>
      </c>
      <c r="G16" s="1117" t="s">
        <v>759</v>
      </c>
      <c r="H16" s="1113"/>
      <c r="I16" s="1113"/>
      <c r="J16" s="1113"/>
      <c r="K16" s="1113"/>
      <c r="L16" s="1118"/>
      <c r="M16" s="1118"/>
      <c r="N16" s="1118"/>
      <c r="O16" s="1118"/>
      <c r="P16" s="1118"/>
      <c r="Q16" s="1118"/>
      <c r="R16" s="1118"/>
      <c r="S16" s="1118"/>
      <c r="T16" s="1118"/>
      <c r="U16" s="1118"/>
      <c r="V16" s="1118"/>
      <c r="W16" s="1118"/>
      <c r="X16" s="1118"/>
      <c r="Y16" s="1118"/>
      <c r="Z16" s="1118"/>
      <c r="AA16" s="1118"/>
      <c r="AB16" s="1118"/>
      <c r="AC16" s="1118"/>
      <c r="AD16" s="1118"/>
      <c r="AE16" s="1118"/>
      <c r="AF16" s="1118"/>
      <c r="AG16" s="1118"/>
      <c r="AH16" s="1118"/>
      <c r="AI16" s="1118"/>
      <c r="AJ16" s="1118"/>
      <c r="AK16" s="1118"/>
      <c r="AL16" s="1118"/>
      <c r="AM16" s="1118"/>
      <c r="AN16" s="1118"/>
      <c r="AO16" s="1118"/>
      <c r="AP16" s="1118"/>
    </row>
    <row r="17" spans="1:42">
      <c r="A17" s="595"/>
      <c r="B17" s="598"/>
      <c r="C17" s="599"/>
      <c r="D17" s="260" t="s">
        <v>750</v>
      </c>
      <c r="E17" s="260"/>
      <c r="F17" s="1119"/>
      <c r="G17" s="1126" t="s">
        <v>760</v>
      </c>
      <c r="H17" s="1122"/>
      <c r="I17" s="1122"/>
      <c r="J17" s="1122"/>
      <c r="K17" s="1122"/>
      <c r="L17" s="1122">
        <f t="shared" si="2"/>
        <v>0</v>
      </c>
      <c r="M17" s="1124">
        <f>12*$K17*'Crono Pessoal'!I17/1000</f>
        <v>0</v>
      </c>
      <c r="N17" s="1124">
        <f>12*$K17*'Crono Pessoal'!J17/1000</f>
        <v>0</v>
      </c>
      <c r="O17" s="1124">
        <f>12*$K17*'Crono Pessoal'!K17/1000</f>
        <v>0</v>
      </c>
      <c r="P17" s="1124">
        <f>12*$K17*'Crono Pessoal'!L17/1000</f>
        <v>0</v>
      </c>
      <c r="Q17" s="1124">
        <f>12*$K17*'Crono Pessoal'!M17/1000</f>
        <v>0</v>
      </c>
      <c r="R17" s="1124">
        <f>12*$K17*'Crono Pessoal'!N17/1000</f>
        <v>0</v>
      </c>
      <c r="S17" s="1124">
        <f>12*$K17*'Crono Pessoal'!O17/1000</f>
        <v>0</v>
      </c>
      <c r="T17" s="1124">
        <f>12*$K17*'Crono Pessoal'!P17/1000</f>
        <v>0</v>
      </c>
      <c r="U17" s="1124">
        <f>12*$K17*'Crono Pessoal'!Q17/1000</f>
        <v>0</v>
      </c>
      <c r="V17" s="1124">
        <f>12*$K17*'Crono Pessoal'!R17/1000</f>
        <v>0</v>
      </c>
      <c r="W17" s="1124">
        <f>12*$K17*'Crono Pessoal'!S17/1000</f>
        <v>0</v>
      </c>
      <c r="X17" s="1124">
        <f>12*$K17*'Crono Pessoal'!T17/1000</f>
        <v>0</v>
      </c>
      <c r="Y17" s="1124">
        <f>12*$K17*'Crono Pessoal'!U17/1000</f>
        <v>0</v>
      </c>
      <c r="Z17" s="1124">
        <f>12*$K17*'Crono Pessoal'!V17/1000</f>
        <v>0</v>
      </c>
      <c r="AA17" s="1124">
        <f>12*$K17*'Crono Pessoal'!W17/1000</f>
        <v>0</v>
      </c>
      <c r="AB17" s="1124">
        <f>12*$K17*'Crono Pessoal'!X17/1000</f>
        <v>0</v>
      </c>
      <c r="AC17" s="1124">
        <f>12*$K17*'Crono Pessoal'!Y17/1000</f>
        <v>0</v>
      </c>
      <c r="AD17" s="1124">
        <f>12*$K17*'Crono Pessoal'!Z17/1000</f>
        <v>0</v>
      </c>
      <c r="AE17" s="1124">
        <f>12*$K17*'Crono Pessoal'!AA17/1000</f>
        <v>0</v>
      </c>
      <c r="AF17" s="1124">
        <f>12*$K17*'Crono Pessoal'!AB17/1000</f>
        <v>0</v>
      </c>
      <c r="AG17" s="1124">
        <f>12*$K17*'Crono Pessoal'!AC17/1000</f>
        <v>0</v>
      </c>
      <c r="AH17" s="1124">
        <f>12*$K17*'Crono Pessoal'!AD17/1000</f>
        <v>0</v>
      </c>
      <c r="AI17" s="1124">
        <f>12*$K17*'Crono Pessoal'!AE17/1000</f>
        <v>0</v>
      </c>
      <c r="AJ17" s="1124">
        <f>12*$K17*'Crono Pessoal'!AF17/1000</f>
        <v>0</v>
      </c>
      <c r="AK17" s="1124">
        <f>12*$K17*'Crono Pessoal'!AG17/1000</f>
        <v>0</v>
      </c>
      <c r="AL17" s="1124">
        <f>12*$K17*'Crono Pessoal'!AH17/1000</f>
        <v>0</v>
      </c>
      <c r="AM17" s="1124">
        <f>12*$K17*'Crono Pessoal'!AI17/1000</f>
        <v>0</v>
      </c>
      <c r="AN17" s="1124">
        <f>12*$K17*'Crono Pessoal'!AJ17/1000</f>
        <v>0</v>
      </c>
      <c r="AO17" s="1124">
        <f>12*$K17*'Crono Pessoal'!AK17/1000</f>
        <v>0</v>
      </c>
      <c r="AP17" s="1124">
        <f>12*$K17*'Crono Pessoal'!AL17/1000</f>
        <v>0</v>
      </c>
    </row>
    <row r="18" spans="1:42">
      <c r="A18" s="595"/>
      <c r="B18" s="598"/>
      <c r="C18" s="599"/>
      <c r="D18" s="260" t="s">
        <v>750</v>
      </c>
      <c r="E18" s="260">
        <v>1</v>
      </c>
      <c r="F18" s="1119" t="s">
        <v>761</v>
      </c>
      <c r="G18" s="1120" t="str">
        <f>VLOOKUP($F18,SALARIOSS!$D$6:$H$203,2,0)</f>
        <v>Assessor de Relações Externas</v>
      </c>
      <c r="H18" s="1121">
        <f>VLOOKUP($F18,SALARIOSS!$D$6:$I$203,6,0)</f>
        <v>8806.2192900000009</v>
      </c>
      <c r="I18" s="1121">
        <f>VLOOKUP($F18,Funções!$D$9:$K$200,5,0)+VLOOKUP($F18,Funções!$D$9:$K$200,6,0)</f>
        <v>8688.4707163250023</v>
      </c>
      <c r="J18" s="1121">
        <f>VLOOKUP($F18,Funções!$D$9:$K$200,7,0)</f>
        <v>95</v>
      </c>
      <c r="K18" s="1122">
        <f>SUM(H18:J18)</f>
        <v>17589.690006325003</v>
      </c>
      <c r="L18" s="1123">
        <f t="shared" si="2"/>
        <v>6332.2884022770013</v>
      </c>
      <c r="M18" s="1124">
        <f>12*$K18*'Crono Pessoal'!I18/1000</f>
        <v>211.07628007590003</v>
      </c>
      <c r="N18" s="1124">
        <f>12*$K18*'Crono Pessoal'!J18/1000</f>
        <v>211.07628007590003</v>
      </c>
      <c r="O18" s="1124">
        <f>12*$K18*'Crono Pessoal'!K18/1000</f>
        <v>211.07628007590003</v>
      </c>
      <c r="P18" s="1124">
        <f>12*$K18*'Crono Pessoal'!L18/1000</f>
        <v>211.07628007590003</v>
      </c>
      <c r="Q18" s="1124">
        <f>12*$K18*'Crono Pessoal'!M18/1000</f>
        <v>211.07628007590003</v>
      </c>
      <c r="R18" s="1124">
        <f>12*$K18*'Crono Pessoal'!N18/1000</f>
        <v>211.07628007590003</v>
      </c>
      <c r="S18" s="1124">
        <f>12*$K18*'Crono Pessoal'!O18/1000</f>
        <v>211.07628007590003</v>
      </c>
      <c r="T18" s="1124">
        <f>12*$K18*'Crono Pessoal'!P18/1000</f>
        <v>211.07628007590003</v>
      </c>
      <c r="U18" s="1124">
        <f>12*$K18*'Crono Pessoal'!Q18/1000</f>
        <v>211.07628007590003</v>
      </c>
      <c r="V18" s="1124">
        <f>12*$K18*'Crono Pessoal'!R18/1000</f>
        <v>211.07628007590003</v>
      </c>
      <c r="W18" s="1124">
        <f>12*$K18*'Crono Pessoal'!S18/1000</f>
        <v>211.07628007590003</v>
      </c>
      <c r="X18" s="1124">
        <f>12*$K18*'Crono Pessoal'!T18/1000</f>
        <v>211.07628007590003</v>
      </c>
      <c r="Y18" s="1124">
        <f>12*$K18*'Crono Pessoal'!U18/1000</f>
        <v>211.07628007590003</v>
      </c>
      <c r="Z18" s="1124">
        <f>12*$K18*'Crono Pessoal'!V18/1000</f>
        <v>211.07628007590003</v>
      </c>
      <c r="AA18" s="1124">
        <f>12*$K18*'Crono Pessoal'!W18/1000</f>
        <v>211.07628007590003</v>
      </c>
      <c r="AB18" s="1124">
        <f>12*$K18*'Crono Pessoal'!X18/1000</f>
        <v>211.07628007590003</v>
      </c>
      <c r="AC18" s="1124">
        <f>12*$K18*'Crono Pessoal'!Y18/1000</f>
        <v>211.07628007590003</v>
      </c>
      <c r="AD18" s="1124">
        <f>12*$K18*'Crono Pessoal'!Z18/1000</f>
        <v>211.07628007590003</v>
      </c>
      <c r="AE18" s="1124">
        <f>12*$K18*'Crono Pessoal'!AA18/1000</f>
        <v>211.07628007590003</v>
      </c>
      <c r="AF18" s="1124">
        <f>12*$K18*'Crono Pessoal'!AB18/1000</f>
        <v>211.07628007590003</v>
      </c>
      <c r="AG18" s="1124">
        <f>12*$K18*'Crono Pessoal'!AC18/1000</f>
        <v>211.07628007590003</v>
      </c>
      <c r="AH18" s="1124">
        <f>12*$K18*'Crono Pessoal'!AD18/1000</f>
        <v>211.07628007590003</v>
      </c>
      <c r="AI18" s="1124">
        <f>12*$K18*'Crono Pessoal'!AE18/1000</f>
        <v>211.07628007590003</v>
      </c>
      <c r="AJ18" s="1124">
        <f>12*$K18*'Crono Pessoal'!AF18/1000</f>
        <v>211.07628007590003</v>
      </c>
      <c r="AK18" s="1124">
        <f>12*$K18*'Crono Pessoal'!AG18/1000</f>
        <v>211.07628007590003</v>
      </c>
      <c r="AL18" s="1124">
        <f>12*$K18*'Crono Pessoal'!AH18/1000</f>
        <v>211.07628007590003</v>
      </c>
      <c r="AM18" s="1124">
        <f>12*$K18*'Crono Pessoal'!AI18/1000</f>
        <v>211.07628007590003</v>
      </c>
      <c r="AN18" s="1124">
        <f>12*$K18*'Crono Pessoal'!AJ18/1000</f>
        <v>211.07628007590003</v>
      </c>
      <c r="AO18" s="1124">
        <f>12*$K18*'Crono Pessoal'!AK18/1000</f>
        <v>211.07628007590003</v>
      </c>
      <c r="AP18" s="1124">
        <f>12*$K18*'Crono Pessoal'!AL18/1000</f>
        <v>211.07628007590003</v>
      </c>
    </row>
    <row r="19" spans="1:42">
      <c r="A19" s="595"/>
      <c r="B19" s="598"/>
      <c r="C19" s="599"/>
      <c r="D19" s="259" t="s">
        <v>750</v>
      </c>
      <c r="E19" s="260">
        <v>1</v>
      </c>
      <c r="F19" s="1119" t="s">
        <v>762</v>
      </c>
      <c r="G19" s="1120" t="str">
        <f>VLOOKUP($F19,SALARIOSS!$D$6:$H$203,2,0)</f>
        <v>Ouvidor</v>
      </c>
      <c r="H19" s="1121">
        <f>VLOOKUP($F19,SALARIOSS!$D$6:$I$203,6,0)</f>
        <v>1808.8872750000003</v>
      </c>
      <c r="I19" s="1121">
        <f>VLOOKUP($F19,Funções!$D$9:$K$200,5,0)+VLOOKUP($F19,Funções!$D$9:$K$200,6,0)</f>
        <v>2443.3518929375005</v>
      </c>
      <c r="J19" s="1121">
        <f>VLOOKUP($F19,Funções!$D$9:$K$200,7,0)</f>
        <v>95</v>
      </c>
      <c r="K19" s="1122">
        <f>SUM(H19:J19)</f>
        <v>4347.2391679375005</v>
      </c>
      <c r="L19" s="1123">
        <f t="shared" si="2"/>
        <v>1565.0061004574995</v>
      </c>
      <c r="M19" s="1124">
        <f>12*$K19*'Crono Pessoal'!I19/1000</f>
        <v>52.166870015250012</v>
      </c>
      <c r="N19" s="1124">
        <f>12*$K19*'Crono Pessoal'!J19/1000</f>
        <v>52.166870015250012</v>
      </c>
      <c r="O19" s="1124">
        <f>12*$K19*'Crono Pessoal'!K19/1000</f>
        <v>52.166870015250012</v>
      </c>
      <c r="P19" s="1124">
        <f>12*$K19*'Crono Pessoal'!L19/1000</f>
        <v>52.166870015250012</v>
      </c>
      <c r="Q19" s="1124">
        <f>12*$K19*'Crono Pessoal'!M19/1000</f>
        <v>52.166870015250012</v>
      </c>
      <c r="R19" s="1124">
        <f>12*$K19*'Crono Pessoal'!N19/1000</f>
        <v>52.166870015250012</v>
      </c>
      <c r="S19" s="1124">
        <f>12*$K19*'Crono Pessoal'!O19/1000</f>
        <v>52.166870015250012</v>
      </c>
      <c r="T19" s="1124">
        <f>12*$K19*'Crono Pessoal'!P19/1000</f>
        <v>52.166870015250012</v>
      </c>
      <c r="U19" s="1124">
        <f>12*$K19*'Crono Pessoal'!Q19/1000</f>
        <v>52.166870015250012</v>
      </c>
      <c r="V19" s="1124">
        <f>12*$K19*'Crono Pessoal'!R19/1000</f>
        <v>52.166870015250012</v>
      </c>
      <c r="W19" s="1124">
        <f>12*$K19*'Crono Pessoal'!S19/1000</f>
        <v>52.166870015250012</v>
      </c>
      <c r="X19" s="1124">
        <f>12*$K19*'Crono Pessoal'!T19/1000</f>
        <v>52.166870015250012</v>
      </c>
      <c r="Y19" s="1124">
        <f>12*$K19*'Crono Pessoal'!U19/1000</f>
        <v>52.166870015250012</v>
      </c>
      <c r="Z19" s="1124">
        <f>12*$K19*'Crono Pessoal'!V19/1000</f>
        <v>52.166870015250012</v>
      </c>
      <c r="AA19" s="1124">
        <f>12*$K19*'Crono Pessoal'!W19/1000</f>
        <v>52.166870015250012</v>
      </c>
      <c r="AB19" s="1124">
        <f>12*$K19*'Crono Pessoal'!X19/1000</f>
        <v>52.166870015250012</v>
      </c>
      <c r="AC19" s="1124">
        <f>12*$K19*'Crono Pessoal'!Y19/1000</f>
        <v>52.166870015250012</v>
      </c>
      <c r="AD19" s="1124">
        <f>12*$K19*'Crono Pessoal'!Z19/1000</f>
        <v>52.166870015250012</v>
      </c>
      <c r="AE19" s="1124">
        <f>12*$K19*'Crono Pessoal'!AA19/1000</f>
        <v>52.166870015250012</v>
      </c>
      <c r="AF19" s="1124">
        <f>12*$K19*'Crono Pessoal'!AB19/1000</f>
        <v>52.166870015250012</v>
      </c>
      <c r="AG19" s="1124">
        <f>12*$K19*'Crono Pessoal'!AC19/1000</f>
        <v>52.166870015250012</v>
      </c>
      <c r="AH19" s="1124">
        <f>12*$K19*'Crono Pessoal'!AD19/1000</f>
        <v>52.166870015250012</v>
      </c>
      <c r="AI19" s="1124">
        <f>12*$K19*'Crono Pessoal'!AE19/1000</f>
        <v>52.166870015250012</v>
      </c>
      <c r="AJ19" s="1124">
        <f>12*$K19*'Crono Pessoal'!AF19/1000</f>
        <v>52.166870015250012</v>
      </c>
      <c r="AK19" s="1124">
        <f>12*$K19*'Crono Pessoal'!AG19/1000</f>
        <v>52.166870015250012</v>
      </c>
      <c r="AL19" s="1124">
        <f>12*$K19*'Crono Pessoal'!AH19/1000</f>
        <v>52.166870015250012</v>
      </c>
      <c r="AM19" s="1124">
        <f>12*$K19*'Crono Pessoal'!AI19/1000</f>
        <v>52.166870015250012</v>
      </c>
      <c r="AN19" s="1124">
        <f>12*$K19*'Crono Pessoal'!AJ19/1000</f>
        <v>52.166870015250012</v>
      </c>
      <c r="AO19" s="1124">
        <f>12*$K19*'Crono Pessoal'!AK19/1000</f>
        <v>52.166870015250012</v>
      </c>
      <c r="AP19" s="1124">
        <f>12*$K19*'Crono Pessoal'!AL19/1000</f>
        <v>52.166870015250012</v>
      </c>
    </row>
    <row r="20" spans="1:42">
      <c r="A20" s="595"/>
      <c r="B20" s="598"/>
      <c r="C20" s="599"/>
      <c r="D20" s="259" t="s">
        <v>750</v>
      </c>
      <c r="E20" s="260"/>
      <c r="F20" s="1119"/>
      <c r="G20" s="1126" t="s">
        <v>763</v>
      </c>
      <c r="H20" s="1122"/>
      <c r="I20" s="1122"/>
      <c r="J20" s="1122"/>
      <c r="K20" s="1122"/>
      <c r="L20" s="1123"/>
      <c r="M20" s="1124"/>
      <c r="N20" s="1124"/>
      <c r="O20" s="1124"/>
      <c r="P20" s="1124"/>
      <c r="Q20" s="1124"/>
      <c r="R20" s="1124"/>
      <c r="S20" s="1124"/>
      <c r="T20" s="1124"/>
      <c r="U20" s="1124"/>
      <c r="V20" s="1124"/>
      <c r="W20" s="1124"/>
      <c r="X20" s="1124"/>
      <c r="Y20" s="1124"/>
      <c r="Z20" s="1124"/>
      <c r="AA20" s="1124"/>
      <c r="AB20" s="1124"/>
      <c r="AC20" s="1124"/>
      <c r="AD20" s="1124"/>
      <c r="AE20" s="1124"/>
      <c r="AF20" s="1124"/>
      <c r="AG20" s="1124"/>
      <c r="AH20" s="1124"/>
      <c r="AI20" s="1124"/>
      <c r="AJ20" s="1124"/>
      <c r="AK20" s="1124"/>
      <c r="AL20" s="1124"/>
      <c r="AM20" s="1124"/>
      <c r="AN20" s="1124"/>
      <c r="AO20" s="1124"/>
      <c r="AP20" s="1124"/>
    </row>
    <row r="21" spans="1:42">
      <c r="A21" s="595"/>
      <c r="B21" s="598"/>
      <c r="C21" s="599"/>
      <c r="D21" s="259" t="s">
        <v>750</v>
      </c>
      <c r="E21" s="260">
        <v>1</v>
      </c>
      <c r="F21" s="1119" t="s">
        <v>764</v>
      </c>
      <c r="G21" s="1120" t="str">
        <f>VLOOKUP($F21,SALARIOSS!$D$6:$H$203,2,0)</f>
        <v>Assessor de Comun. e Marketing</v>
      </c>
      <c r="H21" s="1121">
        <f>VLOOKUP($F21,SALARIOSS!$D$6:$I$203,6,0)</f>
        <v>7484.687820000001</v>
      </c>
      <c r="I21" s="1121">
        <f>VLOOKUP($F21,Funções!$D$9:$K$200,5,0)+VLOOKUP($F21,Funções!$D$9:$K$200,6,0)</f>
        <v>7509.0038793500007</v>
      </c>
      <c r="J21" s="1121">
        <f>VLOOKUP($F21,Funções!$D$9:$K$200,7,0)</f>
        <v>95</v>
      </c>
      <c r="K21" s="1122">
        <f>SUM(H21:J21)</f>
        <v>15088.691699350002</v>
      </c>
      <c r="L21" s="1123">
        <f t="shared" si="2"/>
        <v>5431.9290117659975</v>
      </c>
      <c r="M21" s="1124">
        <f>12*$K21*'Crono Pessoal'!I21/1000</f>
        <v>181.06430039220001</v>
      </c>
      <c r="N21" s="1124">
        <f>12*$K21*'Crono Pessoal'!J21/1000</f>
        <v>181.06430039220001</v>
      </c>
      <c r="O21" s="1124">
        <f>12*$K21*'Crono Pessoal'!K21/1000</f>
        <v>181.06430039220001</v>
      </c>
      <c r="P21" s="1124">
        <f>12*$K21*'Crono Pessoal'!L21/1000</f>
        <v>181.06430039220001</v>
      </c>
      <c r="Q21" s="1124">
        <f>12*$K21*'Crono Pessoal'!M21/1000</f>
        <v>181.06430039220001</v>
      </c>
      <c r="R21" s="1124">
        <f>12*$K21*'Crono Pessoal'!N21/1000</f>
        <v>181.06430039220001</v>
      </c>
      <c r="S21" s="1124">
        <f>12*$K21*'Crono Pessoal'!O21/1000</f>
        <v>181.06430039220001</v>
      </c>
      <c r="T21" s="1124">
        <f>12*$K21*'Crono Pessoal'!P21/1000</f>
        <v>181.06430039220001</v>
      </c>
      <c r="U21" s="1124">
        <f>12*$K21*'Crono Pessoal'!Q21/1000</f>
        <v>181.06430039220001</v>
      </c>
      <c r="V21" s="1124">
        <f>12*$K21*'Crono Pessoal'!R21/1000</f>
        <v>181.06430039220001</v>
      </c>
      <c r="W21" s="1124">
        <f>12*$K21*'Crono Pessoal'!S21/1000</f>
        <v>181.06430039220001</v>
      </c>
      <c r="X21" s="1124">
        <f>12*$K21*'Crono Pessoal'!T21/1000</f>
        <v>181.06430039220001</v>
      </c>
      <c r="Y21" s="1124">
        <f>12*$K21*'Crono Pessoal'!U21/1000</f>
        <v>181.06430039220001</v>
      </c>
      <c r="Z21" s="1124">
        <f>12*$K21*'Crono Pessoal'!V21/1000</f>
        <v>181.06430039220001</v>
      </c>
      <c r="AA21" s="1124">
        <f>12*$K21*'Crono Pessoal'!W21/1000</f>
        <v>181.06430039220001</v>
      </c>
      <c r="AB21" s="1124">
        <f>12*$K21*'Crono Pessoal'!X21/1000</f>
        <v>181.06430039220001</v>
      </c>
      <c r="AC21" s="1124">
        <f>12*$K21*'Crono Pessoal'!Y21/1000</f>
        <v>181.06430039220001</v>
      </c>
      <c r="AD21" s="1124">
        <f>12*$K21*'Crono Pessoal'!Z21/1000</f>
        <v>181.06430039220001</v>
      </c>
      <c r="AE21" s="1124">
        <f>12*$K21*'Crono Pessoal'!AA21/1000</f>
        <v>181.06430039220001</v>
      </c>
      <c r="AF21" s="1124">
        <f>12*$K21*'Crono Pessoal'!AB21/1000</f>
        <v>181.06430039220001</v>
      </c>
      <c r="AG21" s="1124">
        <f>12*$K21*'Crono Pessoal'!AC21/1000</f>
        <v>181.06430039220001</v>
      </c>
      <c r="AH21" s="1124">
        <f>12*$K21*'Crono Pessoal'!AD21/1000</f>
        <v>181.06430039220001</v>
      </c>
      <c r="AI21" s="1124">
        <f>12*$K21*'Crono Pessoal'!AE21/1000</f>
        <v>181.06430039220001</v>
      </c>
      <c r="AJ21" s="1124">
        <f>12*$K21*'Crono Pessoal'!AF21/1000</f>
        <v>181.06430039220001</v>
      </c>
      <c r="AK21" s="1124">
        <f>12*$K21*'Crono Pessoal'!AG21/1000</f>
        <v>181.06430039220001</v>
      </c>
      <c r="AL21" s="1124">
        <f>12*$K21*'Crono Pessoal'!AH21/1000</f>
        <v>181.06430039220001</v>
      </c>
      <c r="AM21" s="1124">
        <f>12*$K21*'Crono Pessoal'!AI21/1000</f>
        <v>181.06430039220001</v>
      </c>
      <c r="AN21" s="1124">
        <f>12*$K21*'Crono Pessoal'!AJ21/1000</f>
        <v>181.06430039220001</v>
      </c>
      <c r="AO21" s="1124">
        <f>12*$K21*'Crono Pessoal'!AK21/1000</f>
        <v>181.06430039220001</v>
      </c>
      <c r="AP21" s="1124">
        <f>12*$K21*'Crono Pessoal'!AL21/1000</f>
        <v>181.06430039220001</v>
      </c>
    </row>
    <row r="22" spans="1:42">
      <c r="A22" s="595"/>
      <c r="B22" s="598"/>
      <c r="C22" s="599"/>
      <c r="D22" s="259" t="s">
        <v>750</v>
      </c>
      <c r="E22" s="260">
        <v>1</v>
      </c>
      <c r="F22" s="1119" t="s">
        <v>765</v>
      </c>
      <c r="G22" s="1120" t="str">
        <f>VLOOKUP($F22,SALARIOSS!$D$6:$H$203,2,0)</f>
        <v>Assistente de Comunicação</v>
      </c>
      <c r="H22" s="1121">
        <f>VLOOKUP($F22,SALARIOSS!$D$6:$I$203,6,0)</f>
        <v>1545.6636000000001</v>
      </c>
      <c r="I22" s="1121">
        <f>VLOOKUP($F22,Funções!$D$9:$K$200,5,0)+VLOOKUP($F22,Funções!$D$9:$K$200,6,0)</f>
        <v>2208.424763</v>
      </c>
      <c r="J22" s="1121">
        <f>VLOOKUP($F22,Funções!$D$9:$K$200,7,0)</f>
        <v>95</v>
      </c>
      <c r="K22" s="1122">
        <f>SUM(H22:J22)</f>
        <v>3849.0883629999998</v>
      </c>
      <c r="L22" s="1123">
        <f t="shared" si="2"/>
        <v>1385.6718106800006</v>
      </c>
      <c r="M22" s="1124">
        <f>12*$K22*'Crono Pessoal'!I22/1000</f>
        <v>46.189060355999999</v>
      </c>
      <c r="N22" s="1124">
        <f>12*$K22*'Crono Pessoal'!J22/1000</f>
        <v>46.189060355999999</v>
      </c>
      <c r="O22" s="1124">
        <f>12*$K22*'Crono Pessoal'!K22/1000</f>
        <v>46.189060355999999</v>
      </c>
      <c r="P22" s="1124">
        <f>12*$K22*'Crono Pessoal'!L22/1000</f>
        <v>46.189060355999999</v>
      </c>
      <c r="Q22" s="1124">
        <f>12*$K22*'Crono Pessoal'!M22/1000</f>
        <v>46.189060355999999</v>
      </c>
      <c r="R22" s="1124">
        <f>12*$K22*'Crono Pessoal'!N22/1000</f>
        <v>46.189060355999999</v>
      </c>
      <c r="S22" s="1124">
        <f>12*$K22*'Crono Pessoal'!O22/1000</f>
        <v>46.189060355999999</v>
      </c>
      <c r="T22" s="1124">
        <f>12*$K22*'Crono Pessoal'!P22/1000</f>
        <v>46.189060355999999</v>
      </c>
      <c r="U22" s="1124">
        <f>12*$K22*'Crono Pessoal'!Q22/1000</f>
        <v>46.189060355999999</v>
      </c>
      <c r="V22" s="1124">
        <f>12*$K22*'Crono Pessoal'!R22/1000</f>
        <v>46.189060355999999</v>
      </c>
      <c r="W22" s="1124">
        <f>12*$K22*'Crono Pessoal'!S22/1000</f>
        <v>46.189060355999999</v>
      </c>
      <c r="X22" s="1124">
        <f>12*$K22*'Crono Pessoal'!T22/1000</f>
        <v>46.189060355999999</v>
      </c>
      <c r="Y22" s="1124">
        <f>12*$K22*'Crono Pessoal'!U22/1000</f>
        <v>46.189060355999999</v>
      </c>
      <c r="Z22" s="1124">
        <f>12*$K22*'Crono Pessoal'!V22/1000</f>
        <v>46.189060355999999</v>
      </c>
      <c r="AA22" s="1124">
        <f>12*$K22*'Crono Pessoal'!W22/1000</f>
        <v>46.189060355999999</v>
      </c>
      <c r="AB22" s="1124">
        <f>12*$K22*'Crono Pessoal'!X22/1000</f>
        <v>46.189060355999999</v>
      </c>
      <c r="AC22" s="1124">
        <f>12*$K22*'Crono Pessoal'!Y22/1000</f>
        <v>46.189060355999999</v>
      </c>
      <c r="AD22" s="1124">
        <f>12*$K22*'Crono Pessoal'!Z22/1000</f>
        <v>46.189060355999999</v>
      </c>
      <c r="AE22" s="1124">
        <f>12*$K22*'Crono Pessoal'!AA22/1000</f>
        <v>46.189060355999999</v>
      </c>
      <c r="AF22" s="1124">
        <f>12*$K22*'Crono Pessoal'!AB22/1000</f>
        <v>46.189060355999999</v>
      </c>
      <c r="AG22" s="1124">
        <f>12*$K22*'Crono Pessoal'!AC22/1000</f>
        <v>46.189060355999999</v>
      </c>
      <c r="AH22" s="1124">
        <f>12*$K22*'Crono Pessoal'!AD22/1000</f>
        <v>46.189060355999999</v>
      </c>
      <c r="AI22" s="1124">
        <f>12*$K22*'Crono Pessoal'!AE22/1000</f>
        <v>46.189060355999999</v>
      </c>
      <c r="AJ22" s="1124">
        <f>12*$K22*'Crono Pessoal'!AF22/1000</f>
        <v>46.189060355999999</v>
      </c>
      <c r="AK22" s="1124">
        <f>12*$K22*'Crono Pessoal'!AG22/1000</f>
        <v>46.189060355999999</v>
      </c>
      <c r="AL22" s="1124">
        <f>12*$K22*'Crono Pessoal'!AH22/1000</f>
        <v>46.189060355999999</v>
      </c>
      <c r="AM22" s="1124">
        <f>12*$K22*'Crono Pessoal'!AI22/1000</f>
        <v>46.189060355999999</v>
      </c>
      <c r="AN22" s="1124">
        <f>12*$K22*'Crono Pessoal'!AJ22/1000</f>
        <v>46.189060355999999</v>
      </c>
      <c r="AO22" s="1124">
        <f>12*$K22*'Crono Pessoal'!AK22/1000</f>
        <v>46.189060355999999</v>
      </c>
      <c r="AP22" s="1124">
        <f>12*$K22*'Crono Pessoal'!AL22/1000</f>
        <v>46.189060355999999</v>
      </c>
    </row>
    <row r="23" spans="1:42">
      <c r="A23" s="595"/>
      <c r="B23" s="598"/>
      <c r="C23" s="599"/>
      <c r="D23" s="259" t="s">
        <v>750</v>
      </c>
      <c r="E23" s="260">
        <v>1</v>
      </c>
      <c r="F23" s="1119" t="s">
        <v>766</v>
      </c>
      <c r="G23" s="1120" t="str">
        <f>VLOOKUP($F23,SALARIOSS!$D$6:$H$203,2,0)</f>
        <v>Estagiário</v>
      </c>
      <c r="H23" s="1121">
        <f>VLOOKUP($F23,SALARIOSS!$D$6:$I$203,6,0)</f>
        <v>1432.9021500000003</v>
      </c>
      <c r="I23" s="1121">
        <f>VLOOKUP($F23,Funções!$D$9:$K$200,5,0)+VLOOKUP($F23,Funções!$D$9:$K$200,6,0)</f>
        <v>2107.7851688750006</v>
      </c>
      <c r="J23" s="1121">
        <f>VLOOKUP($F23,Funções!$D$9:$K$200,7,0)</f>
        <v>95</v>
      </c>
      <c r="K23" s="1122">
        <f>SUM(H23:J23)</f>
        <v>3635.687318875001</v>
      </c>
      <c r="L23" s="1123">
        <f t="shared" si="2"/>
        <v>0</v>
      </c>
      <c r="M23" s="1124">
        <f>12*$K23*'Crono Pessoal'!I23/1000</f>
        <v>0</v>
      </c>
      <c r="N23" s="1124">
        <f>12*$K23*'Crono Pessoal'!J23/1000</f>
        <v>0</v>
      </c>
      <c r="O23" s="1124">
        <f>12*$K23*'Crono Pessoal'!K23/1000</f>
        <v>0</v>
      </c>
      <c r="P23" s="1124">
        <f>12*$K23*'Crono Pessoal'!L23/1000</f>
        <v>0</v>
      </c>
      <c r="Q23" s="1124">
        <f>12*$K23*'Crono Pessoal'!M23/1000</f>
        <v>0</v>
      </c>
      <c r="R23" s="1124">
        <f>12*$K23*'Crono Pessoal'!N23/1000</f>
        <v>0</v>
      </c>
      <c r="S23" s="1124">
        <f>12*$K23*'Crono Pessoal'!O23/1000</f>
        <v>0</v>
      </c>
      <c r="T23" s="1124">
        <f>12*$K23*'Crono Pessoal'!P23/1000</f>
        <v>0</v>
      </c>
      <c r="U23" s="1124">
        <f>12*$K23*'Crono Pessoal'!Q23/1000</f>
        <v>0</v>
      </c>
      <c r="V23" s="1124">
        <f>12*$K23*'Crono Pessoal'!R23/1000</f>
        <v>0</v>
      </c>
      <c r="W23" s="1124">
        <f>12*$K23*'Crono Pessoal'!S23/1000</f>
        <v>0</v>
      </c>
      <c r="X23" s="1124">
        <f>12*$K23*'Crono Pessoal'!T23/1000</f>
        <v>0</v>
      </c>
      <c r="Y23" s="1124">
        <f>12*$K23*'Crono Pessoal'!U23/1000</f>
        <v>0</v>
      </c>
      <c r="Z23" s="1124">
        <f>12*$K23*'Crono Pessoal'!V23/1000</f>
        <v>0</v>
      </c>
      <c r="AA23" s="1124">
        <f>12*$K23*'Crono Pessoal'!W23/1000</f>
        <v>0</v>
      </c>
      <c r="AB23" s="1124">
        <f>12*$K23*'Crono Pessoal'!X23/1000</f>
        <v>0</v>
      </c>
      <c r="AC23" s="1124">
        <f>12*$K23*'Crono Pessoal'!Y23/1000</f>
        <v>0</v>
      </c>
      <c r="AD23" s="1124">
        <f>12*$K23*'Crono Pessoal'!Z23/1000</f>
        <v>0</v>
      </c>
      <c r="AE23" s="1124">
        <f>12*$K23*'Crono Pessoal'!AA23/1000</f>
        <v>0</v>
      </c>
      <c r="AF23" s="1124">
        <f>12*$K23*'Crono Pessoal'!AB23/1000</f>
        <v>0</v>
      </c>
      <c r="AG23" s="1124">
        <f>12*$K23*'Crono Pessoal'!AC23/1000</f>
        <v>0</v>
      </c>
      <c r="AH23" s="1124">
        <f>12*$K23*'Crono Pessoal'!AD23/1000</f>
        <v>0</v>
      </c>
      <c r="AI23" s="1124">
        <f>12*$K23*'Crono Pessoal'!AE23/1000</f>
        <v>0</v>
      </c>
      <c r="AJ23" s="1124">
        <f>12*$K23*'Crono Pessoal'!AF23/1000</f>
        <v>0</v>
      </c>
      <c r="AK23" s="1124">
        <f>12*$K23*'Crono Pessoal'!AG23/1000</f>
        <v>0</v>
      </c>
      <c r="AL23" s="1124">
        <f>12*$K23*'Crono Pessoal'!AH23/1000</f>
        <v>0</v>
      </c>
      <c r="AM23" s="1124">
        <f>12*$K23*'Crono Pessoal'!AI23/1000</f>
        <v>0</v>
      </c>
      <c r="AN23" s="1124">
        <f>12*$K23*'Crono Pessoal'!AJ23/1000</f>
        <v>0</v>
      </c>
      <c r="AO23" s="1124">
        <f>12*$K23*'Crono Pessoal'!AK23/1000</f>
        <v>0</v>
      </c>
      <c r="AP23" s="1124">
        <f>12*$K23*'Crono Pessoal'!AL23/1000</f>
        <v>0</v>
      </c>
    </row>
    <row r="24" spans="1:42">
      <c r="A24" s="595"/>
      <c r="B24" s="598"/>
      <c r="C24" s="599"/>
      <c r="D24" s="260" t="s">
        <v>750</v>
      </c>
      <c r="E24" s="260">
        <v>1</v>
      </c>
      <c r="F24" s="1119" t="s">
        <v>767</v>
      </c>
      <c r="G24" s="1120" t="str">
        <f>VLOOKUP($F24,SALARIOSS!$D$6:$H$203,2,0)</f>
        <v>Secretária</v>
      </c>
      <c r="H24" s="1121">
        <f>VLOOKUP($F24,SALARIOSS!$D$6:$I$203,6,0)</f>
        <v>3404.7000000000003</v>
      </c>
      <c r="I24" s="1121">
        <f>VLOOKUP($F24,Funções!$D$9:$K$200,5,0)+VLOOKUP($F24,Funções!$D$9:$K$200,6,0)</f>
        <v>3867.6147500000002</v>
      </c>
      <c r="J24" s="1121">
        <f>VLOOKUP($F24,Funções!$D$9:$K$200,7,0)</f>
        <v>95</v>
      </c>
      <c r="K24" s="1122">
        <f>SUM(H24:J24)</f>
        <v>7367.3147500000005</v>
      </c>
      <c r="L24" s="1123">
        <f t="shared" si="2"/>
        <v>2652.2333099999983</v>
      </c>
      <c r="M24" s="1124">
        <f>12*$K24*'Crono Pessoal'!I24/1000</f>
        <v>88.407776999999996</v>
      </c>
      <c r="N24" s="1124">
        <f>12*$K24*'Crono Pessoal'!J24/1000</f>
        <v>88.407776999999996</v>
      </c>
      <c r="O24" s="1124">
        <f>12*$K24*'Crono Pessoal'!K24/1000</f>
        <v>88.407776999999996</v>
      </c>
      <c r="P24" s="1124">
        <f>12*$K24*'Crono Pessoal'!L24/1000</f>
        <v>88.407776999999996</v>
      </c>
      <c r="Q24" s="1124">
        <f>12*$K24*'Crono Pessoal'!M24/1000</f>
        <v>88.407776999999996</v>
      </c>
      <c r="R24" s="1124">
        <f>12*$K24*'Crono Pessoal'!N24/1000</f>
        <v>88.407776999999996</v>
      </c>
      <c r="S24" s="1124">
        <f>12*$K24*'Crono Pessoal'!O24/1000</f>
        <v>88.407776999999996</v>
      </c>
      <c r="T24" s="1124">
        <f>12*$K24*'Crono Pessoal'!P24/1000</f>
        <v>88.407776999999996</v>
      </c>
      <c r="U24" s="1124">
        <f>12*$K24*'Crono Pessoal'!Q24/1000</f>
        <v>88.407776999999996</v>
      </c>
      <c r="V24" s="1124">
        <f>12*$K24*'Crono Pessoal'!R24/1000</f>
        <v>88.407776999999996</v>
      </c>
      <c r="W24" s="1124">
        <f>12*$K24*'Crono Pessoal'!S24/1000</f>
        <v>88.407776999999996</v>
      </c>
      <c r="X24" s="1124">
        <f>12*$K24*'Crono Pessoal'!T24/1000</f>
        <v>88.407776999999996</v>
      </c>
      <c r="Y24" s="1124">
        <f>12*$K24*'Crono Pessoal'!U24/1000</f>
        <v>88.407776999999996</v>
      </c>
      <c r="Z24" s="1124">
        <f>12*$K24*'Crono Pessoal'!V24/1000</f>
        <v>88.407776999999996</v>
      </c>
      <c r="AA24" s="1124">
        <f>12*$K24*'Crono Pessoal'!W24/1000</f>
        <v>88.407776999999996</v>
      </c>
      <c r="AB24" s="1124">
        <f>12*$K24*'Crono Pessoal'!X24/1000</f>
        <v>88.407776999999996</v>
      </c>
      <c r="AC24" s="1124">
        <f>12*$K24*'Crono Pessoal'!Y24/1000</f>
        <v>88.407776999999996</v>
      </c>
      <c r="AD24" s="1124">
        <f>12*$K24*'Crono Pessoal'!Z24/1000</f>
        <v>88.407776999999996</v>
      </c>
      <c r="AE24" s="1124">
        <f>12*$K24*'Crono Pessoal'!AA24/1000</f>
        <v>88.407776999999996</v>
      </c>
      <c r="AF24" s="1124">
        <f>12*$K24*'Crono Pessoal'!AB24/1000</f>
        <v>88.407776999999996</v>
      </c>
      <c r="AG24" s="1124">
        <f>12*$K24*'Crono Pessoal'!AC24/1000</f>
        <v>88.407776999999996</v>
      </c>
      <c r="AH24" s="1124">
        <f>12*$K24*'Crono Pessoal'!AD24/1000</f>
        <v>88.407776999999996</v>
      </c>
      <c r="AI24" s="1124">
        <f>12*$K24*'Crono Pessoal'!AE24/1000</f>
        <v>88.407776999999996</v>
      </c>
      <c r="AJ24" s="1124">
        <f>12*$K24*'Crono Pessoal'!AF24/1000</f>
        <v>88.407776999999996</v>
      </c>
      <c r="AK24" s="1124">
        <f>12*$K24*'Crono Pessoal'!AG24/1000</f>
        <v>88.407776999999996</v>
      </c>
      <c r="AL24" s="1124">
        <f>12*$K24*'Crono Pessoal'!AH24/1000</f>
        <v>88.407776999999996</v>
      </c>
      <c r="AM24" s="1124">
        <f>12*$K24*'Crono Pessoal'!AI24/1000</f>
        <v>88.407776999999996</v>
      </c>
      <c r="AN24" s="1124">
        <f>12*$K24*'Crono Pessoal'!AJ24/1000</f>
        <v>88.407776999999996</v>
      </c>
      <c r="AO24" s="1124">
        <f>12*$K24*'Crono Pessoal'!AK24/1000</f>
        <v>88.407776999999996</v>
      </c>
      <c r="AP24" s="1124">
        <f>12*$K24*'Crono Pessoal'!AL24/1000</f>
        <v>88.407776999999996</v>
      </c>
    </row>
    <row r="25" spans="1:42">
      <c r="A25" s="595"/>
      <c r="B25" s="598"/>
      <c r="C25" s="599"/>
      <c r="D25" s="260" t="s">
        <v>750</v>
      </c>
      <c r="E25" s="260"/>
      <c r="F25" s="1119"/>
      <c r="G25" s="1126" t="s">
        <v>768</v>
      </c>
      <c r="H25" s="1122"/>
      <c r="I25" s="1122"/>
      <c r="J25" s="1122"/>
      <c r="K25" s="1122"/>
      <c r="L25" s="1123"/>
      <c r="M25" s="1124"/>
      <c r="N25" s="1124"/>
      <c r="O25" s="1124"/>
      <c r="P25" s="1124"/>
      <c r="Q25" s="1124"/>
      <c r="R25" s="1124"/>
      <c r="S25" s="1124"/>
      <c r="T25" s="1124"/>
      <c r="U25" s="1124"/>
      <c r="V25" s="1124"/>
      <c r="W25" s="1124"/>
      <c r="X25" s="1124"/>
      <c r="Y25" s="1124"/>
      <c r="Z25" s="1124"/>
      <c r="AA25" s="1124"/>
      <c r="AB25" s="1124"/>
      <c r="AC25" s="1124"/>
      <c r="AD25" s="1124"/>
      <c r="AE25" s="1124"/>
      <c r="AF25" s="1124"/>
      <c r="AG25" s="1124"/>
      <c r="AH25" s="1124"/>
      <c r="AI25" s="1124"/>
      <c r="AJ25" s="1124"/>
      <c r="AK25" s="1124"/>
      <c r="AL25" s="1124"/>
      <c r="AM25" s="1124"/>
      <c r="AN25" s="1124"/>
      <c r="AO25" s="1124"/>
      <c r="AP25" s="1124"/>
    </row>
    <row r="26" spans="1:42">
      <c r="A26" s="595"/>
      <c r="B26" s="598"/>
      <c r="C26" s="599"/>
      <c r="D26" s="260" t="s">
        <v>769</v>
      </c>
      <c r="E26" s="260">
        <v>14</v>
      </c>
      <c r="F26" s="1119" t="s">
        <v>770</v>
      </c>
      <c r="G26" s="1120" t="str">
        <f>VLOOKUP($F26,SALARIOSS!$D$6:$H$203,2,0)</f>
        <v>Engenheiro Ambiental</v>
      </c>
      <c r="H26" s="1121">
        <f>VLOOKUP($F26,SALARIOSS!$D$6:$I$203,6,0)</f>
        <v>10981.17</v>
      </c>
      <c r="I26" s="1121">
        <f>VLOOKUP($F26,Funções!$D$9:$K$200,5,0)+VLOOKUP($F26,Funções!$D$9:$K$200,6,0)</f>
        <v>10629.614225000001</v>
      </c>
      <c r="J26" s="1121">
        <f>VLOOKUP($F26,Funções!$D$9:$K$200,7,0)</f>
        <v>95</v>
      </c>
      <c r="K26" s="1122">
        <f>SUM(H26:J26)</f>
        <v>21705.784225000003</v>
      </c>
      <c r="L26" s="1123">
        <f t="shared" si="2"/>
        <v>7814.0823209999944</v>
      </c>
      <c r="M26" s="1124">
        <f>12*$K26*'Crono Pessoal'!I26/1000</f>
        <v>260.46941070000003</v>
      </c>
      <c r="N26" s="1124">
        <f>12*$K26*'Crono Pessoal'!J26/1000</f>
        <v>260.46941070000003</v>
      </c>
      <c r="O26" s="1124">
        <f>12*$K26*'Crono Pessoal'!K26/1000</f>
        <v>260.46941070000003</v>
      </c>
      <c r="P26" s="1124">
        <f>12*$K26*'Crono Pessoal'!L26/1000</f>
        <v>260.46941070000003</v>
      </c>
      <c r="Q26" s="1124">
        <f>12*$K26*'Crono Pessoal'!M26/1000</f>
        <v>260.46941070000003</v>
      </c>
      <c r="R26" s="1124">
        <f>12*$K26*'Crono Pessoal'!N26/1000</f>
        <v>260.46941070000003</v>
      </c>
      <c r="S26" s="1124">
        <f>12*$K26*'Crono Pessoal'!O26/1000</f>
        <v>260.46941070000003</v>
      </c>
      <c r="T26" s="1124">
        <f>12*$K26*'Crono Pessoal'!P26/1000</f>
        <v>260.46941070000003</v>
      </c>
      <c r="U26" s="1124">
        <f>12*$K26*'Crono Pessoal'!Q26/1000</f>
        <v>260.46941070000003</v>
      </c>
      <c r="V26" s="1124">
        <f>12*$K26*'Crono Pessoal'!R26/1000</f>
        <v>260.46941070000003</v>
      </c>
      <c r="W26" s="1124">
        <f>12*$K26*'Crono Pessoal'!S26/1000</f>
        <v>260.46941070000003</v>
      </c>
      <c r="X26" s="1124">
        <f>12*$K26*'Crono Pessoal'!T26/1000</f>
        <v>260.46941070000003</v>
      </c>
      <c r="Y26" s="1124">
        <f>12*$K26*'Crono Pessoal'!U26/1000</f>
        <v>260.46941070000003</v>
      </c>
      <c r="Z26" s="1124">
        <f>12*$K26*'Crono Pessoal'!V26/1000</f>
        <v>260.46941070000003</v>
      </c>
      <c r="AA26" s="1124">
        <f>12*$K26*'Crono Pessoal'!W26/1000</f>
        <v>260.46941070000003</v>
      </c>
      <c r="AB26" s="1124">
        <f>12*$K26*'Crono Pessoal'!X26/1000</f>
        <v>260.46941070000003</v>
      </c>
      <c r="AC26" s="1124">
        <f>12*$K26*'Crono Pessoal'!Y26/1000</f>
        <v>260.46941070000003</v>
      </c>
      <c r="AD26" s="1124">
        <f>12*$K26*'Crono Pessoal'!Z26/1000</f>
        <v>260.46941070000003</v>
      </c>
      <c r="AE26" s="1124">
        <f>12*$K26*'Crono Pessoal'!AA26/1000</f>
        <v>260.46941070000003</v>
      </c>
      <c r="AF26" s="1124">
        <f>12*$K26*'Crono Pessoal'!AB26/1000</f>
        <v>260.46941070000003</v>
      </c>
      <c r="AG26" s="1124">
        <f>12*$K26*'Crono Pessoal'!AC26/1000</f>
        <v>260.46941070000003</v>
      </c>
      <c r="AH26" s="1124">
        <f>12*$K26*'Crono Pessoal'!AD26/1000</f>
        <v>260.46941070000003</v>
      </c>
      <c r="AI26" s="1124">
        <f>12*$K26*'Crono Pessoal'!AE26/1000</f>
        <v>260.46941070000003</v>
      </c>
      <c r="AJ26" s="1124">
        <f>12*$K26*'Crono Pessoal'!AF26/1000</f>
        <v>260.46941070000003</v>
      </c>
      <c r="AK26" s="1124">
        <f>12*$K26*'Crono Pessoal'!AG26/1000</f>
        <v>260.46941070000003</v>
      </c>
      <c r="AL26" s="1124">
        <f>12*$K26*'Crono Pessoal'!AH26/1000</f>
        <v>260.46941070000003</v>
      </c>
      <c r="AM26" s="1124">
        <f>12*$K26*'Crono Pessoal'!AI26/1000</f>
        <v>260.46941070000003</v>
      </c>
      <c r="AN26" s="1124">
        <f>12*$K26*'Crono Pessoal'!AJ26/1000</f>
        <v>260.46941070000003</v>
      </c>
      <c r="AO26" s="1124">
        <f>12*$K26*'Crono Pessoal'!AK26/1000</f>
        <v>260.46941070000003</v>
      </c>
      <c r="AP26" s="1124">
        <f>12*$K26*'Crono Pessoal'!AL26/1000</f>
        <v>260.46941070000003</v>
      </c>
    </row>
    <row r="27" spans="1:42">
      <c r="A27" s="595"/>
      <c r="B27" s="598"/>
      <c r="C27" s="599"/>
      <c r="D27" s="260" t="s">
        <v>769</v>
      </c>
      <c r="E27" s="260">
        <v>14</v>
      </c>
      <c r="F27" s="1119" t="s">
        <v>771</v>
      </c>
      <c r="G27" s="1120" t="str">
        <f>VLOOKUP($F27,SALARIOSS!$D$6:$H$203,2,0)</f>
        <v>Assistente de Meio Ambiente</v>
      </c>
      <c r="H27" s="1121">
        <f>VLOOKUP($F27,SALARIOSS!$D$6:$I$203,6,0)</f>
        <v>1497.53205</v>
      </c>
      <c r="I27" s="1121">
        <f>VLOOKUP($F27,Funções!$D$9:$K$200,5,0)+VLOOKUP($F27,Funções!$D$9:$K$200,6,0)</f>
        <v>2165.4673546250006</v>
      </c>
      <c r="J27" s="1121">
        <f>VLOOKUP($F27,Funções!$D$9:$K$200,7,0)</f>
        <v>95</v>
      </c>
      <c r="K27" s="1122">
        <f>SUM(H27:J27)</f>
        <v>3757.9994046250004</v>
      </c>
      <c r="L27" s="1123">
        <f t="shared" si="2"/>
        <v>45.095992855500008</v>
      </c>
      <c r="M27" s="1124">
        <f>12*$K27*'Crono Pessoal'!I27/1000</f>
        <v>45.095992855500008</v>
      </c>
      <c r="N27" s="1124">
        <f>12*$K27*'Crono Pessoal'!J27/1000</f>
        <v>0</v>
      </c>
      <c r="O27" s="1124">
        <f>12*$K27*'Crono Pessoal'!K27/1000</f>
        <v>0</v>
      </c>
      <c r="P27" s="1124">
        <f>12*$K27*'Crono Pessoal'!L27/1000</f>
        <v>0</v>
      </c>
      <c r="Q27" s="1124">
        <f>12*$K27*'Crono Pessoal'!M27/1000</f>
        <v>0</v>
      </c>
      <c r="R27" s="1124">
        <f>12*$K27*'Crono Pessoal'!N27/1000</f>
        <v>0</v>
      </c>
      <c r="S27" s="1124">
        <f>12*$K27*'Crono Pessoal'!O27/1000</f>
        <v>0</v>
      </c>
      <c r="T27" s="1124">
        <f>12*$K27*'Crono Pessoal'!P27/1000</f>
        <v>0</v>
      </c>
      <c r="U27" s="1124">
        <f>12*$K27*'Crono Pessoal'!Q27/1000</f>
        <v>0</v>
      </c>
      <c r="V27" s="1124">
        <f>12*$K27*'Crono Pessoal'!R27/1000</f>
        <v>0</v>
      </c>
      <c r="W27" s="1124">
        <f>12*$K27*'Crono Pessoal'!S27/1000</f>
        <v>0</v>
      </c>
      <c r="X27" s="1124">
        <f>12*$K27*'Crono Pessoal'!T27/1000</f>
        <v>0</v>
      </c>
      <c r="Y27" s="1124">
        <f>12*$K27*'Crono Pessoal'!U27/1000</f>
        <v>0</v>
      </c>
      <c r="Z27" s="1124">
        <f>12*$K27*'Crono Pessoal'!V27/1000</f>
        <v>0</v>
      </c>
      <c r="AA27" s="1124">
        <f>12*$K27*'Crono Pessoal'!W27/1000</f>
        <v>0</v>
      </c>
      <c r="AB27" s="1124">
        <f>12*$K27*'Crono Pessoal'!X27/1000</f>
        <v>0</v>
      </c>
      <c r="AC27" s="1124">
        <f>12*$K27*'Crono Pessoal'!Y27/1000</f>
        <v>0</v>
      </c>
      <c r="AD27" s="1124">
        <f>12*$K27*'Crono Pessoal'!Z27/1000</f>
        <v>0</v>
      </c>
      <c r="AE27" s="1124">
        <f>12*$K27*'Crono Pessoal'!AA27/1000</f>
        <v>0</v>
      </c>
      <c r="AF27" s="1124">
        <f>12*$K27*'Crono Pessoal'!AB27/1000</f>
        <v>0</v>
      </c>
      <c r="AG27" s="1124">
        <f>12*$K27*'Crono Pessoal'!AC27/1000</f>
        <v>0</v>
      </c>
      <c r="AH27" s="1124">
        <f>12*$K27*'Crono Pessoal'!AD27/1000</f>
        <v>0</v>
      </c>
      <c r="AI27" s="1124">
        <f>12*$K27*'Crono Pessoal'!AE27/1000</f>
        <v>0</v>
      </c>
      <c r="AJ27" s="1124">
        <f>12*$K27*'Crono Pessoal'!AF27/1000</f>
        <v>0</v>
      </c>
      <c r="AK27" s="1124">
        <f>12*$K27*'Crono Pessoal'!AG27/1000</f>
        <v>0</v>
      </c>
      <c r="AL27" s="1124">
        <f>12*$K27*'Crono Pessoal'!AH27/1000</f>
        <v>0</v>
      </c>
      <c r="AM27" s="1124">
        <f>12*$K27*'Crono Pessoal'!AI27/1000</f>
        <v>0</v>
      </c>
      <c r="AN27" s="1124">
        <f>12*$K27*'Crono Pessoal'!AJ27/1000</f>
        <v>0</v>
      </c>
      <c r="AO27" s="1124">
        <f>12*$K27*'Crono Pessoal'!AK27/1000</f>
        <v>0</v>
      </c>
      <c r="AP27" s="1124">
        <f>12*$K27*'Crono Pessoal'!AL27/1000</f>
        <v>0</v>
      </c>
    </row>
    <row r="28" spans="1:42">
      <c r="A28" s="595"/>
      <c r="B28" s="598"/>
      <c r="C28" s="599"/>
      <c r="D28" s="259" t="s">
        <v>750</v>
      </c>
      <c r="E28" s="260"/>
      <c r="F28" s="1119"/>
      <c r="G28" s="1126" t="s">
        <v>772</v>
      </c>
      <c r="H28" s="1122"/>
      <c r="I28" s="1122"/>
      <c r="J28" s="1122"/>
      <c r="K28" s="1122"/>
      <c r="L28" s="1123"/>
      <c r="M28" s="1124"/>
      <c r="N28" s="1124"/>
      <c r="O28" s="1124"/>
      <c r="P28" s="1124"/>
      <c r="Q28" s="1124"/>
      <c r="R28" s="1124"/>
      <c r="S28" s="1124"/>
      <c r="T28" s="1124"/>
      <c r="U28" s="1124"/>
      <c r="V28" s="1124"/>
      <c r="W28" s="1124"/>
      <c r="X28" s="1124"/>
      <c r="Y28" s="1124"/>
      <c r="Z28" s="1124"/>
      <c r="AA28" s="1124"/>
      <c r="AB28" s="1124"/>
      <c r="AC28" s="1124"/>
      <c r="AD28" s="1124"/>
      <c r="AE28" s="1124"/>
      <c r="AF28" s="1124"/>
      <c r="AG28" s="1124"/>
      <c r="AH28" s="1124"/>
      <c r="AI28" s="1124"/>
      <c r="AJ28" s="1124"/>
      <c r="AK28" s="1124"/>
      <c r="AL28" s="1124"/>
      <c r="AM28" s="1124"/>
      <c r="AN28" s="1124"/>
      <c r="AO28" s="1124"/>
      <c r="AP28" s="1124"/>
    </row>
    <row r="29" spans="1:42">
      <c r="A29" s="595"/>
      <c r="B29" s="598"/>
      <c r="C29" s="599"/>
      <c r="D29" s="259" t="s">
        <v>750</v>
      </c>
      <c r="E29" s="260">
        <v>1</v>
      </c>
      <c r="F29" s="1119" t="s">
        <v>773</v>
      </c>
      <c r="G29" s="1120" t="str">
        <f>VLOOKUP($F29,SALARIOSS!$D$6:$H$203,2,0)</f>
        <v>Advogado Sênior</v>
      </c>
      <c r="H29" s="1121">
        <f>VLOOKUP($F29,SALARIOSS!$D$6:$I$203,6,0)</f>
        <v>9928.8297450000009</v>
      </c>
      <c r="I29" s="1121">
        <f>VLOOKUP($F29,Funções!$D$9:$K$200,5,0)+VLOOKUP($F29,Funções!$D$9:$K$200,6,0)</f>
        <v>9690.4005474125006</v>
      </c>
      <c r="J29" s="1121">
        <f>VLOOKUP($F29,Funções!$D$9:$K$200,7,0)</f>
        <v>95</v>
      </c>
      <c r="K29" s="1122">
        <f>SUM(H29:J29)</f>
        <v>19714.230292412503</v>
      </c>
      <c r="L29" s="1123">
        <f t="shared" si="2"/>
        <v>7097.1229052685048</v>
      </c>
      <c r="M29" s="1124">
        <f>12*$K29*'Crono Pessoal'!I29/1000</f>
        <v>236.57076350895005</v>
      </c>
      <c r="N29" s="1124">
        <f>12*$K29*'Crono Pessoal'!J29/1000</f>
        <v>236.57076350895005</v>
      </c>
      <c r="O29" s="1124">
        <f>12*$K29*'Crono Pessoal'!K29/1000</f>
        <v>236.57076350895005</v>
      </c>
      <c r="P29" s="1124">
        <f>12*$K29*'Crono Pessoal'!L29/1000</f>
        <v>236.57076350895005</v>
      </c>
      <c r="Q29" s="1124">
        <f>12*$K29*'Crono Pessoal'!M29/1000</f>
        <v>236.57076350895005</v>
      </c>
      <c r="R29" s="1124">
        <f>12*$K29*'Crono Pessoal'!N29/1000</f>
        <v>236.57076350895005</v>
      </c>
      <c r="S29" s="1124">
        <f>12*$K29*'Crono Pessoal'!O29/1000</f>
        <v>236.57076350895005</v>
      </c>
      <c r="T29" s="1124">
        <f>12*$K29*'Crono Pessoal'!P29/1000</f>
        <v>236.57076350895005</v>
      </c>
      <c r="U29" s="1124">
        <f>12*$K29*'Crono Pessoal'!Q29/1000</f>
        <v>236.57076350895005</v>
      </c>
      <c r="V29" s="1124">
        <f>12*$K29*'Crono Pessoal'!R29/1000</f>
        <v>236.57076350895005</v>
      </c>
      <c r="W29" s="1124">
        <f>12*$K29*'Crono Pessoal'!S29/1000</f>
        <v>236.57076350895005</v>
      </c>
      <c r="X29" s="1124">
        <f>12*$K29*'Crono Pessoal'!T29/1000</f>
        <v>236.57076350895005</v>
      </c>
      <c r="Y29" s="1124">
        <f>12*$K29*'Crono Pessoal'!U29/1000</f>
        <v>236.57076350895005</v>
      </c>
      <c r="Z29" s="1124">
        <f>12*$K29*'Crono Pessoal'!V29/1000</f>
        <v>236.57076350895005</v>
      </c>
      <c r="AA29" s="1124">
        <f>12*$K29*'Crono Pessoal'!W29/1000</f>
        <v>236.57076350895005</v>
      </c>
      <c r="AB29" s="1124">
        <f>12*$K29*'Crono Pessoal'!X29/1000</f>
        <v>236.57076350895005</v>
      </c>
      <c r="AC29" s="1124">
        <f>12*$K29*'Crono Pessoal'!Y29/1000</f>
        <v>236.57076350895005</v>
      </c>
      <c r="AD29" s="1124">
        <f>12*$K29*'Crono Pessoal'!Z29/1000</f>
        <v>236.57076350895005</v>
      </c>
      <c r="AE29" s="1124">
        <f>12*$K29*'Crono Pessoal'!AA29/1000</f>
        <v>236.57076350895005</v>
      </c>
      <c r="AF29" s="1124">
        <f>12*$K29*'Crono Pessoal'!AB29/1000</f>
        <v>236.57076350895005</v>
      </c>
      <c r="AG29" s="1124">
        <f>12*$K29*'Crono Pessoal'!AC29/1000</f>
        <v>236.57076350895005</v>
      </c>
      <c r="AH29" s="1124">
        <f>12*$K29*'Crono Pessoal'!AD29/1000</f>
        <v>236.57076350895005</v>
      </c>
      <c r="AI29" s="1124">
        <f>12*$K29*'Crono Pessoal'!AE29/1000</f>
        <v>236.57076350895005</v>
      </c>
      <c r="AJ29" s="1124">
        <f>12*$K29*'Crono Pessoal'!AF29/1000</f>
        <v>236.57076350895005</v>
      </c>
      <c r="AK29" s="1124">
        <f>12*$K29*'Crono Pessoal'!AG29/1000</f>
        <v>236.57076350895005</v>
      </c>
      <c r="AL29" s="1124">
        <f>12*$K29*'Crono Pessoal'!AH29/1000</f>
        <v>236.57076350895005</v>
      </c>
      <c r="AM29" s="1124">
        <f>12*$K29*'Crono Pessoal'!AI29/1000</f>
        <v>236.57076350895005</v>
      </c>
      <c r="AN29" s="1124">
        <f>12*$K29*'Crono Pessoal'!AJ29/1000</f>
        <v>236.57076350895005</v>
      </c>
      <c r="AO29" s="1124">
        <f>12*$K29*'Crono Pessoal'!AK29/1000</f>
        <v>236.57076350895005</v>
      </c>
      <c r="AP29" s="1124">
        <f>12*$K29*'Crono Pessoal'!AL29/1000</f>
        <v>236.57076350895005</v>
      </c>
    </row>
    <row r="30" spans="1:42">
      <c r="A30" s="595"/>
      <c r="B30" s="598"/>
      <c r="C30" s="599"/>
      <c r="D30" s="259" t="s">
        <v>750</v>
      </c>
      <c r="E30" s="260">
        <v>1</v>
      </c>
      <c r="F30" s="1119" t="s">
        <v>774</v>
      </c>
      <c r="G30" s="1120" t="str">
        <f>VLOOKUP($F30,SALARIOSS!$D$6:$H$203,2,0)</f>
        <v>Advogado Pleno</v>
      </c>
      <c r="H30" s="1121">
        <f>VLOOKUP($F30,SALARIOSS!$D$6:$I$203,6,0)</f>
        <v>7480.7609400000001</v>
      </c>
      <c r="I30" s="1121">
        <f>VLOOKUP($F30,Funções!$D$9:$K$200,5,0)+VLOOKUP($F30,Funções!$D$9:$K$200,6,0)</f>
        <v>7505.4991389500001</v>
      </c>
      <c r="J30" s="1121">
        <f>VLOOKUP($F30,Funções!$D$9:$K$200,7,0)</f>
        <v>95</v>
      </c>
      <c r="K30" s="1122">
        <f>SUM(H30:J30)</f>
        <v>15081.260078949999</v>
      </c>
      <c r="L30" s="1123">
        <f t="shared" si="2"/>
        <v>5429.2536284219959</v>
      </c>
      <c r="M30" s="1124">
        <f>12*$K30*'Crono Pessoal'!I30/1000</f>
        <v>180.9751209474</v>
      </c>
      <c r="N30" s="1124">
        <f>12*$K30*'Crono Pessoal'!J30/1000</f>
        <v>180.9751209474</v>
      </c>
      <c r="O30" s="1124">
        <f>12*$K30*'Crono Pessoal'!K30/1000</f>
        <v>180.9751209474</v>
      </c>
      <c r="P30" s="1124">
        <f>12*$K30*'Crono Pessoal'!L30/1000</f>
        <v>180.9751209474</v>
      </c>
      <c r="Q30" s="1124">
        <f>12*$K30*'Crono Pessoal'!M30/1000</f>
        <v>180.9751209474</v>
      </c>
      <c r="R30" s="1124">
        <f>12*$K30*'Crono Pessoal'!N30/1000</f>
        <v>180.9751209474</v>
      </c>
      <c r="S30" s="1124">
        <f>12*$K30*'Crono Pessoal'!O30/1000</f>
        <v>180.9751209474</v>
      </c>
      <c r="T30" s="1124">
        <f>12*$K30*'Crono Pessoal'!P30/1000</f>
        <v>180.9751209474</v>
      </c>
      <c r="U30" s="1124">
        <f>12*$K30*'Crono Pessoal'!Q30/1000</f>
        <v>180.9751209474</v>
      </c>
      <c r="V30" s="1124">
        <f>12*$K30*'Crono Pessoal'!R30/1000</f>
        <v>180.9751209474</v>
      </c>
      <c r="W30" s="1124">
        <f>12*$K30*'Crono Pessoal'!S30/1000</f>
        <v>180.9751209474</v>
      </c>
      <c r="X30" s="1124">
        <f>12*$K30*'Crono Pessoal'!T30/1000</f>
        <v>180.9751209474</v>
      </c>
      <c r="Y30" s="1124">
        <f>12*$K30*'Crono Pessoal'!U30/1000</f>
        <v>180.9751209474</v>
      </c>
      <c r="Z30" s="1124">
        <f>12*$K30*'Crono Pessoal'!V30/1000</f>
        <v>180.9751209474</v>
      </c>
      <c r="AA30" s="1124">
        <f>12*$K30*'Crono Pessoal'!W30/1000</f>
        <v>180.9751209474</v>
      </c>
      <c r="AB30" s="1124">
        <f>12*$K30*'Crono Pessoal'!X30/1000</f>
        <v>180.9751209474</v>
      </c>
      <c r="AC30" s="1124">
        <f>12*$K30*'Crono Pessoal'!Y30/1000</f>
        <v>180.9751209474</v>
      </c>
      <c r="AD30" s="1124">
        <f>12*$K30*'Crono Pessoal'!Z30/1000</f>
        <v>180.9751209474</v>
      </c>
      <c r="AE30" s="1124">
        <f>12*$K30*'Crono Pessoal'!AA30/1000</f>
        <v>180.9751209474</v>
      </c>
      <c r="AF30" s="1124">
        <f>12*$K30*'Crono Pessoal'!AB30/1000</f>
        <v>180.9751209474</v>
      </c>
      <c r="AG30" s="1124">
        <f>12*$K30*'Crono Pessoal'!AC30/1000</f>
        <v>180.9751209474</v>
      </c>
      <c r="AH30" s="1124">
        <f>12*$K30*'Crono Pessoal'!AD30/1000</f>
        <v>180.9751209474</v>
      </c>
      <c r="AI30" s="1124">
        <f>12*$K30*'Crono Pessoal'!AE30/1000</f>
        <v>180.9751209474</v>
      </c>
      <c r="AJ30" s="1124">
        <f>12*$K30*'Crono Pessoal'!AF30/1000</f>
        <v>180.9751209474</v>
      </c>
      <c r="AK30" s="1124">
        <f>12*$K30*'Crono Pessoal'!AG30/1000</f>
        <v>180.9751209474</v>
      </c>
      <c r="AL30" s="1124">
        <f>12*$K30*'Crono Pessoal'!AH30/1000</f>
        <v>180.9751209474</v>
      </c>
      <c r="AM30" s="1124">
        <f>12*$K30*'Crono Pessoal'!AI30/1000</f>
        <v>180.9751209474</v>
      </c>
      <c r="AN30" s="1124">
        <f>12*$K30*'Crono Pessoal'!AJ30/1000</f>
        <v>180.9751209474</v>
      </c>
      <c r="AO30" s="1124">
        <f>12*$K30*'Crono Pessoal'!AK30/1000</f>
        <v>180.9751209474</v>
      </c>
      <c r="AP30" s="1124">
        <f>12*$K30*'Crono Pessoal'!AL30/1000</f>
        <v>180.9751209474</v>
      </c>
    </row>
    <row r="31" spans="1:42">
      <c r="A31" s="595"/>
      <c r="B31" s="598"/>
      <c r="C31" s="599"/>
      <c r="D31" s="259" t="s">
        <v>750</v>
      </c>
      <c r="E31" s="260"/>
      <c r="F31" s="1119"/>
      <c r="G31" s="1126" t="s">
        <v>775</v>
      </c>
      <c r="H31" s="1122"/>
      <c r="I31" s="1122"/>
      <c r="J31" s="1122"/>
      <c r="K31" s="1122"/>
      <c r="L31" s="1123"/>
      <c r="M31" s="1124"/>
      <c r="N31" s="1124"/>
      <c r="O31" s="1124"/>
      <c r="P31" s="1124"/>
      <c r="Q31" s="1124"/>
      <c r="R31" s="1124"/>
      <c r="S31" s="1124"/>
      <c r="T31" s="1124"/>
      <c r="U31" s="1124"/>
      <c r="V31" s="1124"/>
      <c r="W31" s="1124"/>
      <c r="X31" s="1124"/>
      <c r="Y31" s="1124"/>
      <c r="Z31" s="1124"/>
      <c r="AA31" s="1124"/>
      <c r="AB31" s="1124"/>
      <c r="AC31" s="1124"/>
      <c r="AD31" s="1124"/>
      <c r="AE31" s="1124"/>
      <c r="AF31" s="1124"/>
      <c r="AG31" s="1124"/>
      <c r="AH31" s="1124"/>
      <c r="AI31" s="1124"/>
      <c r="AJ31" s="1124"/>
      <c r="AK31" s="1124"/>
      <c r="AL31" s="1124"/>
      <c r="AM31" s="1124"/>
      <c r="AN31" s="1124"/>
      <c r="AO31" s="1124"/>
      <c r="AP31" s="1124"/>
    </row>
    <row r="32" spans="1:42">
      <c r="A32" s="595"/>
      <c r="B32" s="598"/>
      <c r="C32" s="599"/>
      <c r="D32" s="259" t="s">
        <v>750</v>
      </c>
      <c r="E32" s="260">
        <v>1</v>
      </c>
      <c r="F32" s="1119" t="s">
        <v>776</v>
      </c>
      <c r="G32" s="1120" t="str">
        <f>VLOOKUP($F32,SALARIOSS!$D$6:$H$203,2,0)</f>
        <v>Assessor de Qualidade</v>
      </c>
      <c r="H32" s="1121">
        <f>VLOOKUP($F32,SALARIOSS!$D$6:$I$203,6,0)</f>
        <v>7484.687820000001</v>
      </c>
      <c r="I32" s="1121">
        <f>VLOOKUP($F32,Funções!$D$9:$K$200,5,0)+VLOOKUP($F32,Funções!$D$9:$K$200,6,0)</f>
        <v>7509.0038793500007</v>
      </c>
      <c r="J32" s="1121">
        <f>VLOOKUP($F32,Funções!$D$9:$K$200,7,0)</f>
        <v>95</v>
      </c>
      <c r="K32" s="1122">
        <f>SUM(H32:J32)</f>
        <v>15088.691699350002</v>
      </c>
      <c r="L32" s="1123">
        <f t="shared" si="2"/>
        <v>5431.9290117659975</v>
      </c>
      <c r="M32" s="1124">
        <f>12*$K32*'Crono Pessoal'!I32/1000</f>
        <v>181.06430039220001</v>
      </c>
      <c r="N32" s="1124">
        <f>12*$K32*'Crono Pessoal'!J32/1000</f>
        <v>181.06430039220001</v>
      </c>
      <c r="O32" s="1124">
        <f>12*$K32*'Crono Pessoal'!K32/1000</f>
        <v>181.06430039220001</v>
      </c>
      <c r="P32" s="1124">
        <f>12*$K32*'Crono Pessoal'!L32/1000</f>
        <v>181.06430039220001</v>
      </c>
      <c r="Q32" s="1124">
        <f>12*$K32*'Crono Pessoal'!M32/1000</f>
        <v>181.06430039220001</v>
      </c>
      <c r="R32" s="1124">
        <f>12*$K32*'Crono Pessoal'!N32/1000</f>
        <v>181.06430039220001</v>
      </c>
      <c r="S32" s="1124">
        <f>12*$K32*'Crono Pessoal'!O32/1000</f>
        <v>181.06430039220001</v>
      </c>
      <c r="T32" s="1124">
        <f>12*$K32*'Crono Pessoal'!P32/1000</f>
        <v>181.06430039220001</v>
      </c>
      <c r="U32" s="1124">
        <f>12*$K32*'Crono Pessoal'!Q32/1000</f>
        <v>181.06430039220001</v>
      </c>
      <c r="V32" s="1124">
        <f>12*$K32*'Crono Pessoal'!R32/1000</f>
        <v>181.06430039220001</v>
      </c>
      <c r="W32" s="1124">
        <f>12*$K32*'Crono Pessoal'!S32/1000</f>
        <v>181.06430039220001</v>
      </c>
      <c r="X32" s="1124">
        <f>12*$K32*'Crono Pessoal'!T32/1000</f>
        <v>181.06430039220001</v>
      </c>
      <c r="Y32" s="1124">
        <f>12*$K32*'Crono Pessoal'!U32/1000</f>
        <v>181.06430039220001</v>
      </c>
      <c r="Z32" s="1124">
        <f>12*$K32*'Crono Pessoal'!V32/1000</f>
        <v>181.06430039220001</v>
      </c>
      <c r="AA32" s="1124">
        <f>12*$K32*'Crono Pessoal'!W32/1000</f>
        <v>181.06430039220001</v>
      </c>
      <c r="AB32" s="1124">
        <f>12*$K32*'Crono Pessoal'!X32/1000</f>
        <v>181.06430039220001</v>
      </c>
      <c r="AC32" s="1124">
        <f>12*$K32*'Crono Pessoal'!Y32/1000</f>
        <v>181.06430039220001</v>
      </c>
      <c r="AD32" s="1124">
        <f>12*$K32*'Crono Pessoal'!Z32/1000</f>
        <v>181.06430039220001</v>
      </c>
      <c r="AE32" s="1124">
        <f>12*$K32*'Crono Pessoal'!AA32/1000</f>
        <v>181.06430039220001</v>
      </c>
      <c r="AF32" s="1124">
        <f>12*$K32*'Crono Pessoal'!AB32/1000</f>
        <v>181.06430039220001</v>
      </c>
      <c r="AG32" s="1124">
        <f>12*$K32*'Crono Pessoal'!AC32/1000</f>
        <v>181.06430039220001</v>
      </c>
      <c r="AH32" s="1124">
        <f>12*$K32*'Crono Pessoal'!AD32/1000</f>
        <v>181.06430039220001</v>
      </c>
      <c r="AI32" s="1124">
        <f>12*$K32*'Crono Pessoal'!AE32/1000</f>
        <v>181.06430039220001</v>
      </c>
      <c r="AJ32" s="1124">
        <f>12*$K32*'Crono Pessoal'!AF32/1000</f>
        <v>181.06430039220001</v>
      </c>
      <c r="AK32" s="1124">
        <f>12*$K32*'Crono Pessoal'!AG32/1000</f>
        <v>181.06430039220001</v>
      </c>
      <c r="AL32" s="1124">
        <f>12*$K32*'Crono Pessoal'!AH32/1000</f>
        <v>181.06430039220001</v>
      </c>
      <c r="AM32" s="1124">
        <f>12*$K32*'Crono Pessoal'!AI32/1000</f>
        <v>181.06430039220001</v>
      </c>
      <c r="AN32" s="1124">
        <f>12*$K32*'Crono Pessoal'!AJ32/1000</f>
        <v>181.06430039220001</v>
      </c>
      <c r="AO32" s="1124">
        <f>12*$K32*'Crono Pessoal'!AK32/1000</f>
        <v>181.06430039220001</v>
      </c>
      <c r="AP32" s="1124">
        <f>12*$K32*'Crono Pessoal'!AL32/1000</f>
        <v>181.06430039220001</v>
      </c>
    </row>
    <row r="33" spans="1:42">
      <c r="A33" s="595"/>
      <c r="B33" s="598"/>
      <c r="C33" s="599"/>
      <c r="D33" s="259" t="s">
        <v>750</v>
      </c>
      <c r="E33" s="260">
        <v>1</v>
      </c>
      <c r="F33" s="1119" t="s">
        <v>777</v>
      </c>
      <c r="G33" s="1120" t="str">
        <f>VLOOKUP($F33,SALARIOSS!$D$6:$H$203,2,0)</f>
        <v>Analista de Sistema de Qualidade</v>
      </c>
      <c r="H33" s="1121">
        <f>VLOOKUP($F33,SALARIOSS!$D$6:$I$203,6,0)</f>
        <v>4303.8</v>
      </c>
      <c r="I33" s="1121">
        <f>VLOOKUP($F33,Funções!$D$9:$K$200,5,0)+VLOOKUP($F33,Funções!$D$9:$K$200,6,0)</f>
        <v>4670.0614999999998</v>
      </c>
      <c r="J33" s="1121">
        <f>VLOOKUP($F33,Funções!$D$9:$K$200,7,0)</f>
        <v>95</v>
      </c>
      <c r="K33" s="1122">
        <f>SUM(H33:J33)</f>
        <v>9068.8614999999991</v>
      </c>
      <c r="L33" s="1123">
        <f t="shared" si="2"/>
        <v>3264.7901399999987</v>
      </c>
      <c r="M33" s="1124">
        <f>12*$K33*'Crono Pessoal'!I33/1000</f>
        <v>108.82633799999999</v>
      </c>
      <c r="N33" s="1124">
        <f>12*$K33*'Crono Pessoal'!J33/1000</f>
        <v>108.82633799999999</v>
      </c>
      <c r="O33" s="1124">
        <f>12*$K33*'Crono Pessoal'!K33/1000</f>
        <v>108.82633799999999</v>
      </c>
      <c r="P33" s="1124">
        <f>12*$K33*'Crono Pessoal'!L33/1000</f>
        <v>108.82633799999999</v>
      </c>
      <c r="Q33" s="1124">
        <f>12*$K33*'Crono Pessoal'!M33/1000</f>
        <v>108.82633799999999</v>
      </c>
      <c r="R33" s="1124">
        <f>12*$K33*'Crono Pessoal'!N33/1000</f>
        <v>108.82633799999999</v>
      </c>
      <c r="S33" s="1124">
        <f>12*$K33*'Crono Pessoal'!O33/1000</f>
        <v>108.82633799999999</v>
      </c>
      <c r="T33" s="1124">
        <f>12*$K33*'Crono Pessoal'!P33/1000</f>
        <v>108.82633799999999</v>
      </c>
      <c r="U33" s="1124">
        <f>12*$K33*'Crono Pessoal'!Q33/1000</f>
        <v>108.82633799999999</v>
      </c>
      <c r="V33" s="1124">
        <f>12*$K33*'Crono Pessoal'!R33/1000</f>
        <v>108.82633799999999</v>
      </c>
      <c r="W33" s="1124">
        <f>12*$K33*'Crono Pessoal'!S33/1000</f>
        <v>108.82633799999999</v>
      </c>
      <c r="X33" s="1124">
        <f>12*$K33*'Crono Pessoal'!T33/1000</f>
        <v>108.82633799999999</v>
      </c>
      <c r="Y33" s="1124">
        <f>12*$K33*'Crono Pessoal'!U33/1000</f>
        <v>108.82633799999999</v>
      </c>
      <c r="Z33" s="1124">
        <f>12*$K33*'Crono Pessoal'!V33/1000</f>
        <v>108.82633799999999</v>
      </c>
      <c r="AA33" s="1124">
        <f>12*$K33*'Crono Pessoal'!W33/1000</f>
        <v>108.82633799999999</v>
      </c>
      <c r="AB33" s="1124">
        <f>12*$K33*'Crono Pessoal'!X33/1000</f>
        <v>108.82633799999999</v>
      </c>
      <c r="AC33" s="1124">
        <f>12*$K33*'Crono Pessoal'!Y33/1000</f>
        <v>108.82633799999999</v>
      </c>
      <c r="AD33" s="1124">
        <f>12*$K33*'Crono Pessoal'!Z33/1000</f>
        <v>108.82633799999999</v>
      </c>
      <c r="AE33" s="1124">
        <f>12*$K33*'Crono Pessoal'!AA33/1000</f>
        <v>108.82633799999999</v>
      </c>
      <c r="AF33" s="1124">
        <f>12*$K33*'Crono Pessoal'!AB33/1000</f>
        <v>108.82633799999999</v>
      </c>
      <c r="AG33" s="1124">
        <f>12*$K33*'Crono Pessoal'!AC33/1000</f>
        <v>108.82633799999999</v>
      </c>
      <c r="AH33" s="1124">
        <f>12*$K33*'Crono Pessoal'!AD33/1000</f>
        <v>108.82633799999999</v>
      </c>
      <c r="AI33" s="1124">
        <f>12*$K33*'Crono Pessoal'!AE33/1000</f>
        <v>108.82633799999999</v>
      </c>
      <c r="AJ33" s="1124">
        <f>12*$K33*'Crono Pessoal'!AF33/1000</f>
        <v>108.82633799999999</v>
      </c>
      <c r="AK33" s="1124">
        <f>12*$K33*'Crono Pessoal'!AG33/1000</f>
        <v>108.82633799999999</v>
      </c>
      <c r="AL33" s="1124">
        <f>12*$K33*'Crono Pessoal'!AH33/1000</f>
        <v>108.82633799999999</v>
      </c>
      <c r="AM33" s="1124">
        <f>12*$K33*'Crono Pessoal'!AI33/1000</f>
        <v>108.82633799999999</v>
      </c>
      <c r="AN33" s="1124">
        <f>12*$K33*'Crono Pessoal'!AJ33/1000</f>
        <v>108.82633799999999</v>
      </c>
      <c r="AO33" s="1124">
        <f>12*$K33*'Crono Pessoal'!AK33/1000</f>
        <v>108.82633799999999</v>
      </c>
      <c r="AP33" s="1124">
        <f>12*$K33*'Crono Pessoal'!AL33/1000</f>
        <v>108.82633799999999</v>
      </c>
    </row>
    <row r="34" spans="1:42">
      <c r="A34" s="595"/>
      <c r="B34" s="598"/>
      <c r="C34" s="599"/>
      <c r="D34" s="260" t="s">
        <v>750</v>
      </c>
      <c r="E34" s="260"/>
      <c r="F34" s="1119"/>
      <c r="G34" s="1126" t="s">
        <v>778</v>
      </c>
      <c r="H34" s="1122"/>
      <c r="I34" s="1122"/>
      <c r="J34" s="1122"/>
      <c r="K34" s="1122"/>
      <c r="L34" s="1123"/>
      <c r="M34" s="1124"/>
      <c r="N34" s="1124"/>
      <c r="O34" s="1124"/>
      <c r="P34" s="1124"/>
      <c r="Q34" s="1124"/>
      <c r="R34" s="1124"/>
      <c r="S34" s="1124"/>
      <c r="T34" s="1124"/>
      <c r="U34" s="1124"/>
      <c r="V34" s="1124"/>
      <c r="W34" s="1124"/>
      <c r="X34" s="1124"/>
      <c r="Y34" s="1124"/>
      <c r="Z34" s="1124"/>
      <c r="AA34" s="1124"/>
      <c r="AB34" s="1124"/>
      <c r="AC34" s="1124"/>
      <c r="AD34" s="1124"/>
      <c r="AE34" s="1124"/>
      <c r="AF34" s="1124"/>
      <c r="AG34" s="1124"/>
      <c r="AH34" s="1124"/>
      <c r="AI34" s="1124"/>
      <c r="AJ34" s="1124"/>
      <c r="AK34" s="1124"/>
      <c r="AL34" s="1124"/>
      <c r="AM34" s="1124"/>
      <c r="AN34" s="1124"/>
      <c r="AO34" s="1124"/>
      <c r="AP34" s="1124"/>
    </row>
    <row r="35" spans="1:42">
      <c r="A35" s="595"/>
      <c r="B35" s="598"/>
      <c r="C35" s="599"/>
      <c r="D35" s="260" t="s">
        <v>750</v>
      </c>
      <c r="E35" s="260">
        <v>1</v>
      </c>
      <c r="F35" s="1119" t="s">
        <v>779</v>
      </c>
      <c r="G35" s="1120" t="str">
        <f>VLOOKUP($F35,SALARIOSS!$D$6:$H$203,2,0)</f>
        <v>Assessor de Planejamento Estratégico</v>
      </c>
      <c r="H35" s="1121">
        <f>VLOOKUP($F35,SALARIOSS!$D$6:$I$203,6,0)</f>
        <v>7484.687820000001</v>
      </c>
      <c r="I35" s="1121">
        <f>VLOOKUP($F35,Funções!$D$9:$K$200,5,0)+VLOOKUP($F35,Funções!$D$9:$K$200,6,0)</f>
        <v>7509.0038793500007</v>
      </c>
      <c r="J35" s="1121">
        <f>VLOOKUP($F35,Funções!$D$9:$K$200,7,0)</f>
        <v>95</v>
      </c>
      <c r="K35" s="1122">
        <f>SUM(H35:J35)</f>
        <v>15088.691699350002</v>
      </c>
      <c r="L35" s="1123">
        <f t="shared" si="2"/>
        <v>5431.9290117659975</v>
      </c>
      <c r="M35" s="1124">
        <f>12*$K35*'Crono Pessoal'!I35/1000</f>
        <v>181.06430039220001</v>
      </c>
      <c r="N35" s="1124">
        <f>12*$K35*'Crono Pessoal'!J35/1000</f>
        <v>181.06430039220001</v>
      </c>
      <c r="O35" s="1124">
        <f>12*$K35*'Crono Pessoal'!K35/1000</f>
        <v>181.06430039220001</v>
      </c>
      <c r="P35" s="1124">
        <f>12*$K35*'Crono Pessoal'!L35/1000</f>
        <v>181.06430039220001</v>
      </c>
      <c r="Q35" s="1124">
        <f>12*$K35*'Crono Pessoal'!M35/1000</f>
        <v>181.06430039220001</v>
      </c>
      <c r="R35" s="1124">
        <f>12*$K35*'Crono Pessoal'!N35/1000</f>
        <v>181.06430039220001</v>
      </c>
      <c r="S35" s="1124">
        <f>12*$K35*'Crono Pessoal'!O35/1000</f>
        <v>181.06430039220001</v>
      </c>
      <c r="T35" s="1124">
        <f>12*$K35*'Crono Pessoal'!P35/1000</f>
        <v>181.06430039220001</v>
      </c>
      <c r="U35" s="1124">
        <f>12*$K35*'Crono Pessoal'!Q35/1000</f>
        <v>181.06430039220001</v>
      </c>
      <c r="V35" s="1124">
        <f>12*$K35*'Crono Pessoal'!R35/1000</f>
        <v>181.06430039220001</v>
      </c>
      <c r="W35" s="1124">
        <f>12*$K35*'Crono Pessoal'!S35/1000</f>
        <v>181.06430039220001</v>
      </c>
      <c r="X35" s="1124">
        <f>12*$K35*'Crono Pessoal'!T35/1000</f>
        <v>181.06430039220001</v>
      </c>
      <c r="Y35" s="1124">
        <f>12*$K35*'Crono Pessoal'!U35/1000</f>
        <v>181.06430039220001</v>
      </c>
      <c r="Z35" s="1124">
        <f>12*$K35*'Crono Pessoal'!V35/1000</f>
        <v>181.06430039220001</v>
      </c>
      <c r="AA35" s="1124">
        <f>12*$K35*'Crono Pessoal'!W35/1000</f>
        <v>181.06430039220001</v>
      </c>
      <c r="AB35" s="1124">
        <f>12*$K35*'Crono Pessoal'!X35/1000</f>
        <v>181.06430039220001</v>
      </c>
      <c r="AC35" s="1124">
        <f>12*$K35*'Crono Pessoal'!Y35/1000</f>
        <v>181.06430039220001</v>
      </c>
      <c r="AD35" s="1124">
        <f>12*$K35*'Crono Pessoal'!Z35/1000</f>
        <v>181.06430039220001</v>
      </c>
      <c r="AE35" s="1124">
        <f>12*$K35*'Crono Pessoal'!AA35/1000</f>
        <v>181.06430039220001</v>
      </c>
      <c r="AF35" s="1124">
        <f>12*$K35*'Crono Pessoal'!AB35/1000</f>
        <v>181.06430039220001</v>
      </c>
      <c r="AG35" s="1124">
        <f>12*$K35*'Crono Pessoal'!AC35/1000</f>
        <v>181.06430039220001</v>
      </c>
      <c r="AH35" s="1124">
        <f>12*$K35*'Crono Pessoal'!AD35/1000</f>
        <v>181.06430039220001</v>
      </c>
      <c r="AI35" s="1124">
        <f>12*$K35*'Crono Pessoal'!AE35/1000</f>
        <v>181.06430039220001</v>
      </c>
      <c r="AJ35" s="1124">
        <f>12*$K35*'Crono Pessoal'!AF35/1000</f>
        <v>181.06430039220001</v>
      </c>
      <c r="AK35" s="1124">
        <f>12*$K35*'Crono Pessoal'!AG35/1000</f>
        <v>181.06430039220001</v>
      </c>
      <c r="AL35" s="1124">
        <f>12*$K35*'Crono Pessoal'!AH35/1000</f>
        <v>181.06430039220001</v>
      </c>
      <c r="AM35" s="1124">
        <f>12*$K35*'Crono Pessoal'!AI35/1000</f>
        <v>181.06430039220001</v>
      </c>
      <c r="AN35" s="1124">
        <f>12*$K35*'Crono Pessoal'!AJ35/1000</f>
        <v>181.06430039220001</v>
      </c>
      <c r="AO35" s="1124">
        <f>12*$K35*'Crono Pessoal'!AK35/1000</f>
        <v>181.06430039220001</v>
      </c>
      <c r="AP35" s="1124">
        <f>12*$K35*'Crono Pessoal'!AL35/1000</f>
        <v>181.06430039220001</v>
      </c>
    </row>
    <row r="36" spans="1:42">
      <c r="A36" s="595"/>
      <c r="B36" s="598"/>
      <c r="C36" s="599"/>
      <c r="D36" s="260" t="s">
        <v>750</v>
      </c>
      <c r="E36" s="260">
        <v>1</v>
      </c>
      <c r="F36" s="1119" t="s">
        <v>780</v>
      </c>
      <c r="G36" s="1120" t="str">
        <f>VLOOKUP($F36,SALARIOSS!$D$6:$H$203,2,0)</f>
        <v>Coordenador de Planejamento</v>
      </c>
      <c r="H36" s="1121">
        <f>VLOOKUP($F36,SALARIOSS!$D$6:$I$203,6,0)</f>
        <v>6353.1</v>
      </c>
      <c r="I36" s="1121">
        <f>VLOOKUP($F36,Funções!$D$9:$K$200,5,0)+VLOOKUP($F36,Funções!$D$9:$K$200,6,0)</f>
        <v>6499.0617500000008</v>
      </c>
      <c r="J36" s="1121">
        <f>VLOOKUP($F36,Funções!$D$9:$K$200,7,0)</f>
        <v>95</v>
      </c>
      <c r="K36" s="1122">
        <f>SUM(H36:J36)</f>
        <v>12947.161750000001</v>
      </c>
      <c r="L36" s="1123">
        <f t="shared" si="2"/>
        <v>4660.9782300000006</v>
      </c>
      <c r="M36" s="1124">
        <f>12*$K36*'Crono Pessoal'!I36/1000</f>
        <v>155.36594100000002</v>
      </c>
      <c r="N36" s="1124">
        <f>12*$K36*'Crono Pessoal'!J36/1000</f>
        <v>155.36594100000002</v>
      </c>
      <c r="O36" s="1124">
        <f>12*$K36*'Crono Pessoal'!K36/1000</f>
        <v>155.36594100000002</v>
      </c>
      <c r="P36" s="1124">
        <f>12*$K36*'Crono Pessoal'!L36/1000</f>
        <v>155.36594100000002</v>
      </c>
      <c r="Q36" s="1124">
        <f>12*$K36*'Crono Pessoal'!M36/1000</f>
        <v>155.36594100000002</v>
      </c>
      <c r="R36" s="1124">
        <f>12*$K36*'Crono Pessoal'!N36/1000</f>
        <v>155.36594100000002</v>
      </c>
      <c r="S36" s="1124">
        <f>12*$K36*'Crono Pessoal'!O36/1000</f>
        <v>155.36594100000002</v>
      </c>
      <c r="T36" s="1124">
        <f>12*$K36*'Crono Pessoal'!P36/1000</f>
        <v>155.36594100000002</v>
      </c>
      <c r="U36" s="1124">
        <f>12*$K36*'Crono Pessoal'!Q36/1000</f>
        <v>155.36594100000002</v>
      </c>
      <c r="V36" s="1124">
        <f>12*$K36*'Crono Pessoal'!R36/1000</f>
        <v>155.36594100000002</v>
      </c>
      <c r="W36" s="1124">
        <f>12*$K36*'Crono Pessoal'!S36/1000</f>
        <v>155.36594100000002</v>
      </c>
      <c r="X36" s="1124">
        <f>12*$K36*'Crono Pessoal'!T36/1000</f>
        <v>155.36594100000002</v>
      </c>
      <c r="Y36" s="1124">
        <f>12*$K36*'Crono Pessoal'!U36/1000</f>
        <v>155.36594100000002</v>
      </c>
      <c r="Z36" s="1124">
        <f>12*$K36*'Crono Pessoal'!V36/1000</f>
        <v>155.36594100000002</v>
      </c>
      <c r="AA36" s="1124">
        <f>12*$K36*'Crono Pessoal'!W36/1000</f>
        <v>155.36594100000002</v>
      </c>
      <c r="AB36" s="1124">
        <f>12*$K36*'Crono Pessoal'!X36/1000</f>
        <v>155.36594100000002</v>
      </c>
      <c r="AC36" s="1124">
        <f>12*$K36*'Crono Pessoal'!Y36/1000</f>
        <v>155.36594100000002</v>
      </c>
      <c r="AD36" s="1124">
        <f>12*$K36*'Crono Pessoal'!Z36/1000</f>
        <v>155.36594100000002</v>
      </c>
      <c r="AE36" s="1124">
        <f>12*$K36*'Crono Pessoal'!AA36/1000</f>
        <v>155.36594100000002</v>
      </c>
      <c r="AF36" s="1124">
        <f>12*$K36*'Crono Pessoal'!AB36/1000</f>
        <v>155.36594100000002</v>
      </c>
      <c r="AG36" s="1124">
        <f>12*$K36*'Crono Pessoal'!AC36/1000</f>
        <v>155.36594100000002</v>
      </c>
      <c r="AH36" s="1124">
        <f>12*$K36*'Crono Pessoal'!AD36/1000</f>
        <v>155.36594100000002</v>
      </c>
      <c r="AI36" s="1124">
        <f>12*$K36*'Crono Pessoal'!AE36/1000</f>
        <v>155.36594100000002</v>
      </c>
      <c r="AJ36" s="1124">
        <f>12*$K36*'Crono Pessoal'!AF36/1000</f>
        <v>155.36594100000002</v>
      </c>
      <c r="AK36" s="1124">
        <f>12*$K36*'Crono Pessoal'!AG36/1000</f>
        <v>155.36594100000002</v>
      </c>
      <c r="AL36" s="1124">
        <f>12*$K36*'Crono Pessoal'!AH36/1000</f>
        <v>155.36594100000002</v>
      </c>
      <c r="AM36" s="1124">
        <f>12*$K36*'Crono Pessoal'!AI36/1000</f>
        <v>155.36594100000002</v>
      </c>
      <c r="AN36" s="1124">
        <f>12*$K36*'Crono Pessoal'!AJ36/1000</f>
        <v>155.36594100000002</v>
      </c>
      <c r="AO36" s="1124">
        <f>12*$K36*'Crono Pessoal'!AK36/1000</f>
        <v>155.36594100000002</v>
      </c>
      <c r="AP36" s="1124">
        <f>12*$K36*'Crono Pessoal'!AL36/1000</f>
        <v>155.36594100000002</v>
      </c>
    </row>
    <row r="37" spans="1:42">
      <c r="A37" s="595"/>
      <c r="B37" s="598"/>
      <c r="C37" s="599"/>
      <c r="D37" s="259" t="s">
        <v>750</v>
      </c>
      <c r="E37" s="260">
        <v>1</v>
      </c>
      <c r="F37" s="1119" t="s">
        <v>781</v>
      </c>
      <c r="G37" s="1120" t="str">
        <f>VLOOKUP($F37,SALARIOSS!$D$6:$H$203,2,0)</f>
        <v>Assistente de Informática</v>
      </c>
      <c r="H37" s="1121">
        <f>VLOOKUP($F37,SALARIOSS!$D$6:$I$203,6,0)</f>
        <v>1888.9929000000002</v>
      </c>
      <c r="I37" s="1121">
        <f>VLOOKUP($F37,Funções!$D$9:$K$200,5,0)+VLOOKUP($F37,Funções!$D$9:$K$200,6,0)</f>
        <v>2514.8461632500002</v>
      </c>
      <c r="J37" s="1121">
        <f>VLOOKUP($F37,Funções!$D$9:$K$200,7,0)</f>
        <v>95</v>
      </c>
      <c r="K37" s="1122">
        <f>SUM(H37:J37)</f>
        <v>4498.8390632500004</v>
      </c>
      <c r="L37" s="1123">
        <f t="shared" si="2"/>
        <v>0</v>
      </c>
      <c r="M37" s="1124">
        <f>12*$K37*'Crono Pessoal'!I37/1000</f>
        <v>0</v>
      </c>
      <c r="N37" s="1124">
        <f>12*$K37*'Crono Pessoal'!J37/1000</f>
        <v>0</v>
      </c>
      <c r="O37" s="1124">
        <f>12*$K37*'Crono Pessoal'!K37/1000</f>
        <v>0</v>
      </c>
      <c r="P37" s="1124">
        <f>12*$K37*'Crono Pessoal'!L37/1000</f>
        <v>0</v>
      </c>
      <c r="Q37" s="1124">
        <f>12*$K37*'Crono Pessoal'!M37/1000</f>
        <v>0</v>
      </c>
      <c r="R37" s="1124">
        <f>12*$K37*'Crono Pessoal'!N37/1000</f>
        <v>0</v>
      </c>
      <c r="S37" s="1124">
        <f>12*$K37*'Crono Pessoal'!O37/1000</f>
        <v>0</v>
      </c>
      <c r="T37" s="1124">
        <f>12*$K37*'Crono Pessoal'!P37/1000</f>
        <v>0</v>
      </c>
      <c r="U37" s="1124">
        <f>12*$K37*'Crono Pessoal'!Q37/1000</f>
        <v>0</v>
      </c>
      <c r="V37" s="1124">
        <f>12*$K37*'Crono Pessoal'!R37/1000</f>
        <v>0</v>
      </c>
      <c r="W37" s="1124">
        <f>12*$K37*'Crono Pessoal'!S37/1000</f>
        <v>0</v>
      </c>
      <c r="X37" s="1124">
        <f>12*$K37*'Crono Pessoal'!T37/1000</f>
        <v>0</v>
      </c>
      <c r="Y37" s="1124">
        <f>12*$K37*'Crono Pessoal'!U37/1000</f>
        <v>0</v>
      </c>
      <c r="Z37" s="1124">
        <f>12*$K37*'Crono Pessoal'!V37/1000</f>
        <v>0</v>
      </c>
      <c r="AA37" s="1124">
        <f>12*$K37*'Crono Pessoal'!W37/1000</f>
        <v>0</v>
      </c>
      <c r="AB37" s="1124">
        <f>12*$K37*'Crono Pessoal'!X37/1000</f>
        <v>0</v>
      </c>
      <c r="AC37" s="1124">
        <f>12*$K37*'Crono Pessoal'!Y37/1000</f>
        <v>0</v>
      </c>
      <c r="AD37" s="1124">
        <f>12*$K37*'Crono Pessoal'!Z37/1000</f>
        <v>0</v>
      </c>
      <c r="AE37" s="1124">
        <f>12*$K37*'Crono Pessoal'!AA37/1000</f>
        <v>0</v>
      </c>
      <c r="AF37" s="1124">
        <f>12*$K37*'Crono Pessoal'!AB37/1000</f>
        <v>0</v>
      </c>
      <c r="AG37" s="1124">
        <f>12*$K37*'Crono Pessoal'!AC37/1000</f>
        <v>0</v>
      </c>
      <c r="AH37" s="1124">
        <f>12*$K37*'Crono Pessoal'!AD37/1000</f>
        <v>0</v>
      </c>
      <c r="AI37" s="1124">
        <f>12*$K37*'Crono Pessoal'!AE37/1000</f>
        <v>0</v>
      </c>
      <c r="AJ37" s="1124">
        <f>12*$K37*'Crono Pessoal'!AF37/1000</f>
        <v>0</v>
      </c>
      <c r="AK37" s="1124">
        <f>12*$K37*'Crono Pessoal'!AG37/1000</f>
        <v>0</v>
      </c>
      <c r="AL37" s="1124">
        <f>12*$K37*'Crono Pessoal'!AH37/1000</f>
        <v>0</v>
      </c>
      <c r="AM37" s="1124">
        <f>12*$K37*'Crono Pessoal'!AI37/1000</f>
        <v>0</v>
      </c>
      <c r="AN37" s="1124">
        <f>12*$K37*'Crono Pessoal'!AJ37/1000</f>
        <v>0</v>
      </c>
      <c r="AO37" s="1124">
        <f>12*$K37*'Crono Pessoal'!AK37/1000</f>
        <v>0</v>
      </c>
      <c r="AP37" s="1124">
        <f>12*$K37*'Crono Pessoal'!AL37/1000</f>
        <v>0</v>
      </c>
    </row>
    <row r="38" spans="1:42" s="624" customFormat="1">
      <c r="A38" s="609"/>
      <c r="B38" s="610"/>
      <c r="C38" s="611"/>
      <c r="D38" s="626"/>
      <c r="E38" s="625"/>
      <c r="F38" s="1125" t="s">
        <v>782</v>
      </c>
      <c r="G38" s="1117" t="s">
        <v>783</v>
      </c>
      <c r="H38" s="1113"/>
      <c r="I38" s="1113"/>
      <c r="J38" s="1113"/>
      <c r="K38" s="1113"/>
      <c r="L38" s="1118"/>
      <c r="M38" s="1118"/>
      <c r="N38" s="1118"/>
      <c r="O38" s="1118"/>
      <c r="P38" s="1118"/>
      <c r="Q38" s="1118"/>
      <c r="R38" s="1118"/>
      <c r="S38" s="1118"/>
      <c r="T38" s="1118"/>
      <c r="U38" s="1118"/>
      <c r="V38" s="1118"/>
      <c r="W38" s="1118"/>
      <c r="X38" s="1118"/>
      <c r="Y38" s="1118"/>
      <c r="Z38" s="1118"/>
      <c r="AA38" s="1118"/>
      <c r="AB38" s="1118"/>
      <c r="AC38" s="1118"/>
      <c r="AD38" s="1118"/>
      <c r="AE38" s="1118"/>
      <c r="AF38" s="1118"/>
      <c r="AG38" s="1118"/>
      <c r="AH38" s="1118"/>
      <c r="AI38" s="1118"/>
      <c r="AJ38" s="1118"/>
      <c r="AK38" s="1118"/>
      <c r="AL38" s="1118"/>
      <c r="AM38" s="1118"/>
      <c r="AN38" s="1118"/>
      <c r="AO38" s="1118"/>
      <c r="AP38" s="1118"/>
    </row>
    <row r="39" spans="1:42">
      <c r="A39" s="595"/>
      <c r="B39" s="598"/>
      <c r="C39" s="599"/>
      <c r="D39" s="259" t="s">
        <v>750</v>
      </c>
      <c r="E39" s="260">
        <v>1</v>
      </c>
      <c r="F39" s="1119" t="s">
        <v>784</v>
      </c>
      <c r="G39" s="1120" t="str">
        <f>VLOOKUP($F39,SALARIOSS!$D$6:$H$203,2,0)</f>
        <v>Diretor administrativo e financeiro</v>
      </c>
      <c r="H39" s="1121">
        <f>VLOOKUP($F39,SALARIOSS!$D$6:$I$203,6,0)</f>
        <v>40573.332000000002</v>
      </c>
      <c r="I39" s="1121">
        <f>VLOOKUP($F39,Funções!$D$9:$K$200,5,0)+VLOOKUP($F39,Funções!$D$9:$K$200,6,0)</f>
        <v>37040.61881</v>
      </c>
      <c r="J39" s="1121">
        <f>VLOOKUP($F39,Funções!$D$9:$K$200,7,0)</f>
        <v>95</v>
      </c>
      <c r="K39" s="1122">
        <f>SUM(H39:J39)</f>
        <v>77708.950810000009</v>
      </c>
      <c r="L39" s="1123">
        <f t="shared" si="2"/>
        <v>27975.222291600014</v>
      </c>
      <c r="M39" s="1124">
        <f>12*$K39*'Crono Pessoal'!I39/1000</f>
        <v>932.50740972000017</v>
      </c>
      <c r="N39" s="1124">
        <f>12*$K39*'Crono Pessoal'!J39/1000</f>
        <v>932.50740972000017</v>
      </c>
      <c r="O39" s="1124">
        <f>12*$K39*'Crono Pessoal'!K39/1000</f>
        <v>932.50740972000017</v>
      </c>
      <c r="P39" s="1124">
        <f>12*$K39*'Crono Pessoal'!L39/1000</f>
        <v>932.50740972000017</v>
      </c>
      <c r="Q39" s="1124">
        <f>12*$K39*'Crono Pessoal'!M39/1000</f>
        <v>932.50740972000017</v>
      </c>
      <c r="R39" s="1124">
        <f>12*$K39*'Crono Pessoal'!N39/1000</f>
        <v>932.50740972000017</v>
      </c>
      <c r="S39" s="1124">
        <f>12*$K39*'Crono Pessoal'!O39/1000</f>
        <v>932.50740972000017</v>
      </c>
      <c r="T39" s="1124">
        <f>12*$K39*'Crono Pessoal'!P39/1000</f>
        <v>932.50740972000017</v>
      </c>
      <c r="U39" s="1124">
        <f>12*$K39*'Crono Pessoal'!Q39/1000</f>
        <v>932.50740972000017</v>
      </c>
      <c r="V39" s="1124">
        <f>12*$K39*'Crono Pessoal'!R39/1000</f>
        <v>932.50740972000017</v>
      </c>
      <c r="W39" s="1124">
        <f>12*$K39*'Crono Pessoal'!S39/1000</f>
        <v>932.50740972000017</v>
      </c>
      <c r="X39" s="1124">
        <f>12*$K39*'Crono Pessoal'!T39/1000</f>
        <v>932.50740972000017</v>
      </c>
      <c r="Y39" s="1124">
        <f>12*$K39*'Crono Pessoal'!U39/1000</f>
        <v>932.50740972000017</v>
      </c>
      <c r="Z39" s="1124">
        <f>12*$K39*'Crono Pessoal'!V39/1000</f>
        <v>932.50740972000017</v>
      </c>
      <c r="AA39" s="1124">
        <f>12*$K39*'Crono Pessoal'!W39/1000</f>
        <v>932.50740972000017</v>
      </c>
      <c r="AB39" s="1124">
        <f>12*$K39*'Crono Pessoal'!X39/1000</f>
        <v>932.50740972000017</v>
      </c>
      <c r="AC39" s="1124">
        <f>12*$K39*'Crono Pessoal'!Y39/1000</f>
        <v>932.50740972000017</v>
      </c>
      <c r="AD39" s="1124">
        <f>12*$K39*'Crono Pessoal'!Z39/1000</f>
        <v>932.50740972000017</v>
      </c>
      <c r="AE39" s="1124">
        <f>12*$K39*'Crono Pessoal'!AA39/1000</f>
        <v>932.50740972000017</v>
      </c>
      <c r="AF39" s="1124">
        <f>12*$K39*'Crono Pessoal'!AB39/1000</f>
        <v>932.50740972000017</v>
      </c>
      <c r="AG39" s="1124">
        <f>12*$K39*'Crono Pessoal'!AC39/1000</f>
        <v>932.50740972000017</v>
      </c>
      <c r="AH39" s="1124">
        <f>12*$K39*'Crono Pessoal'!AD39/1000</f>
        <v>932.50740972000017</v>
      </c>
      <c r="AI39" s="1124">
        <f>12*$K39*'Crono Pessoal'!AE39/1000</f>
        <v>932.50740972000017</v>
      </c>
      <c r="AJ39" s="1124">
        <f>12*$K39*'Crono Pessoal'!AF39/1000</f>
        <v>932.50740972000017</v>
      </c>
      <c r="AK39" s="1124">
        <f>12*$K39*'Crono Pessoal'!AG39/1000</f>
        <v>932.50740972000017</v>
      </c>
      <c r="AL39" s="1124">
        <f>12*$K39*'Crono Pessoal'!AH39/1000</f>
        <v>932.50740972000017</v>
      </c>
      <c r="AM39" s="1124">
        <f>12*$K39*'Crono Pessoal'!AI39/1000</f>
        <v>932.50740972000017</v>
      </c>
      <c r="AN39" s="1124">
        <f>12*$K39*'Crono Pessoal'!AJ39/1000</f>
        <v>932.50740972000017</v>
      </c>
      <c r="AO39" s="1124">
        <f>12*$K39*'Crono Pessoal'!AK39/1000</f>
        <v>932.50740972000017</v>
      </c>
      <c r="AP39" s="1124">
        <f>12*$K39*'Crono Pessoal'!AL39/1000</f>
        <v>932.50740972000017</v>
      </c>
    </row>
    <row r="40" spans="1:42">
      <c r="A40" s="595"/>
      <c r="B40" s="598"/>
      <c r="C40" s="599"/>
      <c r="D40" s="259" t="s">
        <v>750</v>
      </c>
      <c r="E40" s="260">
        <v>1</v>
      </c>
      <c r="F40" s="1119" t="s">
        <v>766</v>
      </c>
      <c r="G40" s="1120" t="str">
        <f>VLOOKUP($F40,SALARIOSS!$D$6:$H$203,2,0)</f>
        <v>Estagiário</v>
      </c>
      <c r="H40" s="1121">
        <f>VLOOKUP($F40,SALARIOSS!$D$6:$I$203,6,0)</f>
        <v>1432.9021500000003</v>
      </c>
      <c r="I40" s="1121">
        <f>VLOOKUP($F40,Funções!$D$9:$K$200,5,0)+VLOOKUP($F40,Funções!$D$9:$K$200,6,0)</f>
        <v>2107.7851688750006</v>
      </c>
      <c r="J40" s="1121">
        <f>VLOOKUP($F40,Funções!$D$9:$K$200,7,0)</f>
        <v>95</v>
      </c>
      <c r="K40" s="1122">
        <f>SUM(H40:J40)</f>
        <v>3635.687318875001</v>
      </c>
      <c r="L40" s="1123">
        <f t="shared" si="2"/>
        <v>0</v>
      </c>
      <c r="M40" s="1124">
        <f>12*$K40*'Crono Pessoal'!I40/1000</f>
        <v>0</v>
      </c>
      <c r="N40" s="1124">
        <f>12*$K40*'Crono Pessoal'!J40/1000</f>
        <v>0</v>
      </c>
      <c r="O40" s="1124">
        <f>12*$K40*'Crono Pessoal'!K40/1000</f>
        <v>0</v>
      </c>
      <c r="P40" s="1124">
        <f>12*$K40*'Crono Pessoal'!L40/1000</f>
        <v>0</v>
      </c>
      <c r="Q40" s="1124">
        <f>12*$K40*'Crono Pessoal'!M40/1000</f>
        <v>0</v>
      </c>
      <c r="R40" s="1124">
        <f>12*$K40*'Crono Pessoal'!N40/1000</f>
        <v>0</v>
      </c>
      <c r="S40" s="1124">
        <f>12*$K40*'Crono Pessoal'!O40/1000</f>
        <v>0</v>
      </c>
      <c r="T40" s="1124">
        <f>12*$K40*'Crono Pessoal'!P40/1000</f>
        <v>0</v>
      </c>
      <c r="U40" s="1124">
        <f>12*$K40*'Crono Pessoal'!Q40/1000</f>
        <v>0</v>
      </c>
      <c r="V40" s="1124">
        <f>12*$K40*'Crono Pessoal'!R40/1000</f>
        <v>0</v>
      </c>
      <c r="W40" s="1124">
        <f>12*$K40*'Crono Pessoal'!S40/1000</f>
        <v>0</v>
      </c>
      <c r="X40" s="1124">
        <f>12*$K40*'Crono Pessoal'!T40/1000</f>
        <v>0</v>
      </c>
      <c r="Y40" s="1124">
        <f>12*$K40*'Crono Pessoal'!U40/1000</f>
        <v>0</v>
      </c>
      <c r="Z40" s="1124">
        <f>12*$K40*'Crono Pessoal'!V40/1000</f>
        <v>0</v>
      </c>
      <c r="AA40" s="1124">
        <f>12*$K40*'Crono Pessoal'!W40/1000</f>
        <v>0</v>
      </c>
      <c r="AB40" s="1124">
        <f>12*$K40*'Crono Pessoal'!X40/1000</f>
        <v>0</v>
      </c>
      <c r="AC40" s="1124">
        <f>12*$K40*'Crono Pessoal'!Y40/1000</f>
        <v>0</v>
      </c>
      <c r="AD40" s="1124">
        <f>12*$K40*'Crono Pessoal'!Z40/1000</f>
        <v>0</v>
      </c>
      <c r="AE40" s="1124">
        <f>12*$K40*'Crono Pessoal'!AA40/1000</f>
        <v>0</v>
      </c>
      <c r="AF40" s="1124">
        <f>12*$K40*'Crono Pessoal'!AB40/1000</f>
        <v>0</v>
      </c>
      <c r="AG40" s="1124">
        <f>12*$K40*'Crono Pessoal'!AC40/1000</f>
        <v>0</v>
      </c>
      <c r="AH40" s="1124">
        <f>12*$K40*'Crono Pessoal'!AD40/1000</f>
        <v>0</v>
      </c>
      <c r="AI40" s="1124">
        <f>12*$K40*'Crono Pessoal'!AE40/1000</f>
        <v>0</v>
      </c>
      <c r="AJ40" s="1124">
        <f>12*$K40*'Crono Pessoal'!AF40/1000</f>
        <v>0</v>
      </c>
      <c r="AK40" s="1124">
        <f>12*$K40*'Crono Pessoal'!AG40/1000</f>
        <v>0</v>
      </c>
      <c r="AL40" s="1124">
        <f>12*$K40*'Crono Pessoal'!AH40/1000</f>
        <v>0</v>
      </c>
      <c r="AM40" s="1124">
        <f>12*$K40*'Crono Pessoal'!AI40/1000</f>
        <v>0</v>
      </c>
      <c r="AN40" s="1124">
        <f>12*$K40*'Crono Pessoal'!AJ40/1000</f>
        <v>0</v>
      </c>
      <c r="AO40" s="1124">
        <f>12*$K40*'Crono Pessoal'!AK40/1000</f>
        <v>0</v>
      </c>
      <c r="AP40" s="1124">
        <f>12*$K40*'Crono Pessoal'!AL40/1000</f>
        <v>0</v>
      </c>
    </row>
    <row r="41" spans="1:42">
      <c r="A41" s="595"/>
      <c r="B41" s="598"/>
      <c r="C41" s="599"/>
      <c r="D41" s="259" t="s">
        <v>750</v>
      </c>
      <c r="E41" s="260">
        <v>1</v>
      </c>
      <c r="F41" s="1119" t="s">
        <v>767</v>
      </c>
      <c r="G41" s="1120" t="str">
        <f>VLOOKUP($F41,SALARIOSS!$D$6:$H$203,2,0)</f>
        <v>Secretária</v>
      </c>
      <c r="H41" s="1121">
        <f>VLOOKUP($F41,SALARIOSS!$D$6:$I$203,6,0)</f>
        <v>3404.7000000000003</v>
      </c>
      <c r="I41" s="1121">
        <f>VLOOKUP($F41,Funções!$D$9:$K$200,5,0)+VLOOKUP($F41,Funções!$D$9:$K$200,6,0)</f>
        <v>3867.6147500000002</v>
      </c>
      <c r="J41" s="1121">
        <f>VLOOKUP($F41,Funções!$D$9:$K$200,7,0)</f>
        <v>95</v>
      </c>
      <c r="K41" s="1122">
        <f>SUM(H41:J41)</f>
        <v>7367.3147500000005</v>
      </c>
      <c r="L41" s="1123">
        <f t="shared" si="2"/>
        <v>2652.2333099999983</v>
      </c>
      <c r="M41" s="1124">
        <f>12*$K41*'Crono Pessoal'!I41/1000</f>
        <v>88.407776999999996</v>
      </c>
      <c r="N41" s="1124">
        <f>12*$K41*'Crono Pessoal'!J41/1000</f>
        <v>88.407776999999996</v>
      </c>
      <c r="O41" s="1124">
        <f>12*$K41*'Crono Pessoal'!K41/1000</f>
        <v>88.407776999999996</v>
      </c>
      <c r="P41" s="1124">
        <f>12*$K41*'Crono Pessoal'!L41/1000</f>
        <v>88.407776999999996</v>
      </c>
      <c r="Q41" s="1124">
        <f>12*$K41*'Crono Pessoal'!M41/1000</f>
        <v>88.407776999999996</v>
      </c>
      <c r="R41" s="1124">
        <f>12*$K41*'Crono Pessoal'!N41/1000</f>
        <v>88.407776999999996</v>
      </c>
      <c r="S41" s="1124">
        <f>12*$K41*'Crono Pessoal'!O41/1000</f>
        <v>88.407776999999996</v>
      </c>
      <c r="T41" s="1124">
        <f>12*$K41*'Crono Pessoal'!P41/1000</f>
        <v>88.407776999999996</v>
      </c>
      <c r="U41" s="1124">
        <f>12*$K41*'Crono Pessoal'!Q41/1000</f>
        <v>88.407776999999996</v>
      </c>
      <c r="V41" s="1124">
        <f>12*$K41*'Crono Pessoal'!R41/1000</f>
        <v>88.407776999999996</v>
      </c>
      <c r="W41" s="1124">
        <f>12*$K41*'Crono Pessoal'!S41/1000</f>
        <v>88.407776999999996</v>
      </c>
      <c r="X41" s="1124">
        <f>12*$K41*'Crono Pessoal'!T41/1000</f>
        <v>88.407776999999996</v>
      </c>
      <c r="Y41" s="1124">
        <f>12*$K41*'Crono Pessoal'!U41/1000</f>
        <v>88.407776999999996</v>
      </c>
      <c r="Z41" s="1124">
        <f>12*$K41*'Crono Pessoal'!V41/1000</f>
        <v>88.407776999999996</v>
      </c>
      <c r="AA41" s="1124">
        <f>12*$K41*'Crono Pessoal'!W41/1000</f>
        <v>88.407776999999996</v>
      </c>
      <c r="AB41" s="1124">
        <f>12*$K41*'Crono Pessoal'!X41/1000</f>
        <v>88.407776999999996</v>
      </c>
      <c r="AC41" s="1124">
        <f>12*$K41*'Crono Pessoal'!Y41/1000</f>
        <v>88.407776999999996</v>
      </c>
      <c r="AD41" s="1124">
        <f>12*$K41*'Crono Pessoal'!Z41/1000</f>
        <v>88.407776999999996</v>
      </c>
      <c r="AE41" s="1124">
        <f>12*$K41*'Crono Pessoal'!AA41/1000</f>
        <v>88.407776999999996</v>
      </c>
      <c r="AF41" s="1124">
        <f>12*$K41*'Crono Pessoal'!AB41/1000</f>
        <v>88.407776999999996</v>
      </c>
      <c r="AG41" s="1124">
        <f>12*$K41*'Crono Pessoal'!AC41/1000</f>
        <v>88.407776999999996</v>
      </c>
      <c r="AH41" s="1124">
        <f>12*$K41*'Crono Pessoal'!AD41/1000</f>
        <v>88.407776999999996</v>
      </c>
      <c r="AI41" s="1124">
        <f>12*$K41*'Crono Pessoal'!AE41/1000</f>
        <v>88.407776999999996</v>
      </c>
      <c r="AJ41" s="1124">
        <f>12*$K41*'Crono Pessoal'!AF41/1000</f>
        <v>88.407776999999996</v>
      </c>
      <c r="AK41" s="1124">
        <f>12*$K41*'Crono Pessoal'!AG41/1000</f>
        <v>88.407776999999996</v>
      </c>
      <c r="AL41" s="1124">
        <f>12*$K41*'Crono Pessoal'!AH41/1000</f>
        <v>88.407776999999996</v>
      </c>
      <c r="AM41" s="1124">
        <f>12*$K41*'Crono Pessoal'!AI41/1000</f>
        <v>88.407776999999996</v>
      </c>
      <c r="AN41" s="1124">
        <f>12*$K41*'Crono Pessoal'!AJ41/1000</f>
        <v>88.407776999999996</v>
      </c>
      <c r="AO41" s="1124">
        <f>12*$K41*'Crono Pessoal'!AK41/1000</f>
        <v>88.407776999999996</v>
      </c>
      <c r="AP41" s="1124">
        <f>12*$K41*'Crono Pessoal'!AL41/1000</f>
        <v>88.407776999999996</v>
      </c>
    </row>
    <row r="42" spans="1:42">
      <c r="A42" s="595"/>
      <c r="B42" s="598"/>
      <c r="C42" s="599"/>
      <c r="D42" s="259" t="s">
        <v>750</v>
      </c>
      <c r="E42" s="260"/>
      <c r="F42" s="1119"/>
      <c r="G42" s="1126" t="s">
        <v>785</v>
      </c>
      <c r="H42" s="1122"/>
      <c r="I42" s="1122"/>
      <c r="J42" s="1122"/>
      <c r="K42" s="1122"/>
      <c r="L42" s="1123"/>
      <c r="M42" s="1124"/>
      <c r="N42" s="1124"/>
      <c r="O42" s="1124"/>
      <c r="P42" s="1124"/>
      <c r="Q42" s="1124"/>
      <c r="R42" s="1124"/>
      <c r="S42" s="1124"/>
      <c r="T42" s="1124"/>
      <c r="U42" s="1124"/>
      <c r="V42" s="1124"/>
      <c r="W42" s="1124"/>
      <c r="X42" s="1124"/>
      <c r="Y42" s="1124"/>
      <c r="Z42" s="1124"/>
      <c r="AA42" s="1124"/>
      <c r="AB42" s="1124"/>
      <c r="AC42" s="1124"/>
      <c r="AD42" s="1124"/>
      <c r="AE42" s="1124"/>
      <c r="AF42" s="1124"/>
      <c r="AG42" s="1124"/>
      <c r="AH42" s="1124"/>
      <c r="AI42" s="1124"/>
      <c r="AJ42" s="1124"/>
      <c r="AK42" s="1124"/>
      <c r="AL42" s="1124"/>
      <c r="AM42" s="1124"/>
      <c r="AN42" s="1124"/>
      <c r="AO42" s="1124"/>
      <c r="AP42" s="1124"/>
    </row>
    <row r="43" spans="1:42">
      <c r="A43" s="595"/>
      <c r="B43" s="598"/>
      <c r="C43" s="599"/>
      <c r="D43" s="260" t="s">
        <v>750</v>
      </c>
      <c r="E43" s="260">
        <v>1</v>
      </c>
      <c r="F43" s="1119" t="s">
        <v>786</v>
      </c>
      <c r="G43" s="1120" t="str">
        <f>VLOOKUP($F43,SALARIOSS!$D$6:$H$203,2,0)</f>
        <v>Encarregado Administrativo</v>
      </c>
      <c r="H43" s="1121">
        <f>VLOOKUP($F43,SALARIOSS!$D$6:$I$203,6,0)</f>
        <v>2471.7528000000002</v>
      </c>
      <c r="I43" s="1121">
        <f>VLOOKUP($F43,Funções!$D$9:$K$200,5,0)+VLOOKUP($F43,Funções!$D$9:$K$200,6,0)</f>
        <v>3034.9593740000005</v>
      </c>
      <c r="J43" s="1121">
        <f>VLOOKUP($F43,Funções!$D$9:$K$200,7,0)</f>
        <v>95</v>
      </c>
      <c r="K43" s="1122">
        <f>SUM(H43:J43)</f>
        <v>5601.7121740000002</v>
      </c>
      <c r="L43" s="1123">
        <f t="shared" si="2"/>
        <v>2016.61638264</v>
      </c>
      <c r="M43" s="1124">
        <f>12*$K43*'Crono Pessoal'!I43/1000</f>
        <v>67.220546088000006</v>
      </c>
      <c r="N43" s="1124">
        <f>12*$K43*'Crono Pessoal'!J43/1000</f>
        <v>67.220546088000006</v>
      </c>
      <c r="O43" s="1124">
        <f>12*$K43*'Crono Pessoal'!K43/1000</f>
        <v>67.220546088000006</v>
      </c>
      <c r="P43" s="1124">
        <f>12*$K43*'Crono Pessoal'!L43/1000</f>
        <v>67.220546088000006</v>
      </c>
      <c r="Q43" s="1124">
        <f>12*$K43*'Crono Pessoal'!M43/1000</f>
        <v>67.220546088000006</v>
      </c>
      <c r="R43" s="1124">
        <f>12*$K43*'Crono Pessoal'!N43/1000</f>
        <v>67.220546088000006</v>
      </c>
      <c r="S43" s="1124">
        <f>12*$K43*'Crono Pessoal'!O43/1000</f>
        <v>67.220546088000006</v>
      </c>
      <c r="T43" s="1124">
        <f>12*$K43*'Crono Pessoal'!P43/1000</f>
        <v>67.220546088000006</v>
      </c>
      <c r="U43" s="1124">
        <f>12*$K43*'Crono Pessoal'!Q43/1000</f>
        <v>67.220546088000006</v>
      </c>
      <c r="V43" s="1124">
        <f>12*$K43*'Crono Pessoal'!R43/1000</f>
        <v>67.220546088000006</v>
      </c>
      <c r="W43" s="1124">
        <f>12*$K43*'Crono Pessoal'!S43/1000</f>
        <v>67.220546088000006</v>
      </c>
      <c r="X43" s="1124">
        <f>12*$K43*'Crono Pessoal'!T43/1000</f>
        <v>67.220546088000006</v>
      </c>
      <c r="Y43" s="1124">
        <f>12*$K43*'Crono Pessoal'!U43/1000</f>
        <v>67.220546088000006</v>
      </c>
      <c r="Z43" s="1124">
        <f>12*$K43*'Crono Pessoal'!V43/1000</f>
        <v>67.220546088000006</v>
      </c>
      <c r="AA43" s="1124">
        <f>12*$K43*'Crono Pessoal'!W43/1000</f>
        <v>67.220546088000006</v>
      </c>
      <c r="AB43" s="1124">
        <f>12*$K43*'Crono Pessoal'!X43/1000</f>
        <v>67.220546088000006</v>
      </c>
      <c r="AC43" s="1124">
        <f>12*$K43*'Crono Pessoal'!Y43/1000</f>
        <v>67.220546088000006</v>
      </c>
      <c r="AD43" s="1124">
        <f>12*$K43*'Crono Pessoal'!Z43/1000</f>
        <v>67.220546088000006</v>
      </c>
      <c r="AE43" s="1124">
        <f>12*$K43*'Crono Pessoal'!AA43/1000</f>
        <v>67.220546088000006</v>
      </c>
      <c r="AF43" s="1124">
        <f>12*$K43*'Crono Pessoal'!AB43/1000</f>
        <v>67.220546088000006</v>
      </c>
      <c r="AG43" s="1124">
        <f>12*$K43*'Crono Pessoal'!AC43/1000</f>
        <v>67.220546088000006</v>
      </c>
      <c r="AH43" s="1124">
        <f>12*$K43*'Crono Pessoal'!AD43/1000</f>
        <v>67.220546088000006</v>
      </c>
      <c r="AI43" s="1124">
        <f>12*$K43*'Crono Pessoal'!AE43/1000</f>
        <v>67.220546088000006</v>
      </c>
      <c r="AJ43" s="1124">
        <f>12*$K43*'Crono Pessoal'!AF43/1000</f>
        <v>67.220546088000006</v>
      </c>
      <c r="AK43" s="1124">
        <f>12*$K43*'Crono Pessoal'!AG43/1000</f>
        <v>67.220546088000006</v>
      </c>
      <c r="AL43" s="1124">
        <f>12*$K43*'Crono Pessoal'!AH43/1000</f>
        <v>67.220546088000006</v>
      </c>
      <c r="AM43" s="1124">
        <f>12*$K43*'Crono Pessoal'!AI43/1000</f>
        <v>67.220546088000006</v>
      </c>
      <c r="AN43" s="1124">
        <f>12*$K43*'Crono Pessoal'!AJ43/1000</f>
        <v>67.220546088000006</v>
      </c>
      <c r="AO43" s="1124">
        <f>12*$K43*'Crono Pessoal'!AK43/1000</f>
        <v>67.220546088000006</v>
      </c>
      <c r="AP43" s="1124">
        <f>12*$K43*'Crono Pessoal'!AL43/1000</f>
        <v>67.220546088000006</v>
      </c>
    </row>
    <row r="44" spans="1:42">
      <c r="A44" s="595"/>
      <c r="B44" s="598"/>
      <c r="C44" s="599"/>
      <c r="D44" s="260" t="s">
        <v>750</v>
      </c>
      <c r="E44" s="260">
        <v>1</v>
      </c>
      <c r="F44" s="1119" t="s">
        <v>787</v>
      </c>
      <c r="G44" s="1120" t="str">
        <f>VLOOKUP($F44,SALARIOSS!$D$6:$H$203,2,0)</f>
        <v>Assistente de Adm. Pessoal</v>
      </c>
      <c r="H44" s="1121">
        <f>VLOOKUP($F44,SALARIOSS!$D$6:$I$203,6,0)</f>
        <v>2126.5146</v>
      </c>
      <c r="I44" s="1121">
        <f>VLOOKUP($F44,Funções!$D$9:$K$200,5,0)+VLOOKUP($F44,Funções!$D$9:$K$200,6,0)</f>
        <v>2726.8342805000002</v>
      </c>
      <c r="J44" s="1121">
        <f>VLOOKUP($F44,Funções!$D$9:$K$200,7,0)</f>
        <v>95</v>
      </c>
      <c r="K44" s="1122">
        <f>SUM(H44:J44)</f>
        <v>4948.3488804999997</v>
      </c>
      <c r="L44" s="1123">
        <f t="shared" si="2"/>
        <v>1781.4055969800004</v>
      </c>
      <c r="M44" s="1124">
        <f>12*$K44*'Crono Pessoal'!I44/1000</f>
        <v>59.380186565999999</v>
      </c>
      <c r="N44" s="1124">
        <f>12*$K44*'Crono Pessoal'!J44/1000</f>
        <v>59.380186565999999</v>
      </c>
      <c r="O44" s="1124">
        <f>12*$K44*'Crono Pessoal'!K44/1000</f>
        <v>59.380186565999999</v>
      </c>
      <c r="P44" s="1124">
        <f>12*$K44*'Crono Pessoal'!L44/1000</f>
        <v>59.380186565999999</v>
      </c>
      <c r="Q44" s="1124">
        <f>12*$K44*'Crono Pessoal'!M44/1000</f>
        <v>59.380186565999999</v>
      </c>
      <c r="R44" s="1124">
        <f>12*$K44*'Crono Pessoal'!N44/1000</f>
        <v>59.380186565999999</v>
      </c>
      <c r="S44" s="1124">
        <f>12*$K44*'Crono Pessoal'!O44/1000</f>
        <v>59.380186565999999</v>
      </c>
      <c r="T44" s="1124">
        <f>12*$K44*'Crono Pessoal'!P44/1000</f>
        <v>59.380186565999999</v>
      </c>
      <c r="U44" s="1124">
        <f>12*$K44*'Crono Pessoal'!Q44/1000</f>
        <v>59.380186565999999</v>
      </c>
      <c r="V44" s="1124">
        <f>12*$K44*'Crono Pessoal'!R44/1000</f>
        <v>59.380186565999999</v>
      </c>
      <c r="W44" s="1124">
        <f>12*$K44*'Crono Pessoal'!S44/1000</f>
        <v>59.380186565999999</v>
      </c>
      <c r="X44" s="1124">
        <f>12*$K44*'Crono Pessoal'!T44/1000</f>
        <v>59.380186565999999</v>
      </c>
      <c r="Y44" s="1124">
        <f>12*$K44*'Crono Pessoal'!U44/1000</f>
        <v>59.380186565999999</v>
      </c>
      <c r="Z44" s="1124">
        <f>12*$K44*'Crono Pessoal'!V44/1000</f>
        <v>59.380186565999999</v>
      </c>
      <c r="AA44" s="1124">
        <f>12*$K44*'Crono Pessoal'!W44/1000</f>
        <v>59.380186565999999</v>
      </c>
      <c r="AB44" s="1124">
        <f>12*$K44*'Crono Pessoal'!X44/1000</f>
        <v>59.380186565999999</v>
      </c>
      <c r="AC44" s="1124">
        <f>12*$K44*'Crono Pessoal'!Y44/1000</f>
        <v>59.380186565999999</v>
      </c>
      <c r="AD44" s="1124">
        <f>12*$K44*'Crono Pessoal'!Z44/1000</f>
        <v>59.380186565999999</v>
      </c>
      <c r="AE44" s="1124">
        <f>12*$K44*'Crono Pessoal'!AA44/1000</f>
        <v>59.380186565999999</v>
      </c>
      <c r="AF44" s="1124">
        <f>12*$K44*'Crono Pessoal'!AB44/1000</f>
        <v>59.380186565999999</v>
      </c>
      <c r="AG44" s="1124">
        <f>12*$K44*'Crono Pessoal'!AC44/1000</f>
        <v>59.380186565999999</v>
      </c>
      <c r="AH44" s="1124">
        <f>12*$K44*'Crono Pessoal'!AD44/1000</f>
        <v>59.380186565999999</v>
      </c>
      <c r="AI44" s="1124">
        <f>12*$K44*'Crono Pessoal'!AE44/1000</f>
        <v>59.380186565999999</v>
      </c>
      <c r="AJ44" s="1124">
        <f>12*$K44*'Crono Pessoal'!AF44/1000</f>
        <v>59.380186565999999</v>
      </c>
      <c r="AK44" s="1124">
        <f>12*$K44*'Crono Pessoal'!AG44/1000</f>
        <v>59.380186565999999</v>
      </c>
      <c r="AL44" s="1124">
        <f>12*$K44*'Crono Pessoal'!AH44/1000</f>
        <v>59.380186565999999</v>
      </c>
      <c r="AM44" s="1124">
        <f>12*$K44*'Crono Pessoal'!AI44/1000</f>
        <v>59.380186565999999</v>
      </c>
      <c r="AN44" s="1124">
        <f>12*$K44*'Crono Pessoal'!AJ44/1000</f>
        <v>59.380186565999999</v>
      </c>
      <c r="AO44" s="1124">
        <f>12*$K44*'Crono Pessoal'!AK44/1000</f>
        <v>59.380186565999999</v>
      </c>
      <c r="AP44" s="1124">
        <f>12*$K44*'Crono Pessoal'!AL44/1000</f>
        <v>59.380186565999999</v>
      </c>
    </row>
    <row r="45" spans="1:42">
      <c r="A45" s="595"/>
      <c r="B45" s="598"/>
      <c r="C45" s="599"/>
      <c r="D45" s="259" t="s">
        <v>750</v>
      </c>
      <c r="E45" s="260">
        <v>1</v>
      </c>
      <c r="F45" s="1119" t="s">
        <v>788</v>
      </c>
      <c r="G45" s="1120" t="str">
        <f>VLOOKUP($F45,SALARIOSS!$D$6:$H$203,2,0)</f>
        <v>Auxiliar Técnico I</v>
      </c>
      <c r="H45" s="1121">
        <f>VLOOKUP($F45,SALARIOSS!$D$6:$I$203,6,0)</f>
        <v>1764.6417000000001</v>
      </c>
      <c r="I45" s="1121">
        <f>VLOOKUP($F45,Funções!$D$9:$K$200,5,0)+VLOOKUP($F45,Funções!$D$9:$K$200,6,0)</f>
        <v>2403.8627172500001</v>
      </c>
      <c r="J45" s="1121">
        <f>VLOOKUP($F45,Funções!$D$9:$K$200,7,0)</f>
        <v>95</v>
      </c>
      <c r="K45" s="1122">
        <f>SUM(H45:J45)</f>
        <v>4263.5044172500002</v>
      </c>
      <c r="L45" s="1123">
        <f t="shared" si="2"/>
        <v>1534.86159021</v>
      </c>
      <c r="M45" s="1124">
        <f>12*$K45*'Crono Pessoal'!I45/1000</f>
        <v>51.162053007000004</v>
      </c>
      <c r="N45" s="1124">
        <f>12*$K45*'Crono Pessoal'!J45/1000</f>
        <v>51.162053007000004</v>
      </c>
      <c r="O45" s="1124">
        <f>12*$K45*'Crono Pessoal'!K45/1000</f>
        <v>51.162053007000004</v>
      </c>
      <c r="P45" s="1124">
        <f>12*$K45*'Crono Pessoal'!L45/1000</f>
        <v>51.162053007000004</v>
      </c>
      <c r="Q45" s="1124">
        <f>12*$K45*'Crono Pessoal'!M45/1000</f>
        <v>51.162053007000004</v>
      </c>
      <c r="R45" s="1124">
        <f>12*$K45*'Crono Pessoal'!N45/1000</f>
        <v>51.162053007000004</v>
      </c>
      <c r="S45" s="1124">
        <f>12*$K45*'Crono Pessoal'!O45/1000</f>
        <v>51.162053007000004</v>
      </c>
      <c r="T45" s="1124">
        <f>12*$K45*'Crono Pessoal'!P45/1000</f>
        <v>51.162053007000004</v>
      </c>
      <c r="U45" s="1124">
        <f>12*$K45*'Crono Pessoal'!Q45/1000</f>
        <v>51.162053007000004</v>
      </c>
      <c r="V45" s="1124">
        <f>12*$K45*'Crono Pessoal'!R45/1000</f>
        <v>51.162053007000004</v>
      </c>
      <c r="W45" s="1124">
        <f>12*$K45*'Crono Pessoal'!S45/1000</f>
        <v>51.162053007000004</v>
      </c>
      <c r="X45" s="1124">
        <f>12*$K45*'Crono Pessoal'!T45/1000</f>
        <v>51.162053007000004</v>
      </c>
      <c r="Y45" s="1124">
        <f>12*$K45*'Crono Pessoal'!U45/1000</f>
        <v>51.162053007000004</v>
      </c>
      <c r="Z45" s="1124">
        <f>12*$K45*'Crono Pessoal'!V45/1000</f>
        <v>51.162053007000004</v>
      </c>
      <c r="AA45" s="1124">
        <f>12*$K45*'Crono Pessoal'!W45/1000</f>
        <v>51.162053007000004</v>
      </c>
      <c r="AB45" s="1124">
        <f>12*$K45*'Crono Pessoal'!X45/1000</f>
        <v>51.162053007000004</v>
      </c>
      <c r="AC45" s="1124">
        <f>12*$K45*'Crono Pessoal'!Y45/1000</f>
        <v>51.162053007000004</v>
      </c>
      <c r="AD45" s="1124">
        <f>12*$K45*'Crono Pessoal'!Z45/1000</f>
        <v>51.162053007000004</v>
      </c>
      <c r="AE45" s="1124">
        <f>12*$K45*'Crono Pessoal'!AA45/1000</f>
        <v>51.162053007000004</v>
      </c>
      <c r="AF45" s="1124">
        <f>12*$K45*'Crono Pessoal'!AB45/1000</f>
        <v>51.162053007000004</v>
      </c>
      <c r="AG45" s="1124">
        <f>12*$K45*'Crono Pessoal'!AC45/1000</f>
        <v>51.162053007000004</v>
      </c>
      <c r="AH45" s="1124">
        <f>12*$K45*'Crono Pessoal'!AD45/1000</f>
        <v>51.162053007000004</v>
      </c>
      <c r="AI45" s="1124">
        <f>12*$K45*'Crono Pessoal'!AE45/1000</f>
        <v>51.162053007000004</v>
      </c>
      <c r="AJ45" s="1124">
        <f>12*$K45*'Crono Pessoal'!AF45/1000</f>
        <v>51.162053007000004</v>
      </c>
      <c r="AK45" s="1124">
        <f>12*$K45*'Crono Pessoal'!AG45/1000</f>
        <v>51.162053007000004</v>
      </c>
      <c r="AL45" s="1124">
        <f>12*$K45*'Crono Pessoal'!AH45/1000</f>
        <v>51.162053007000004</v>
      </c>
      <c r="AM45" s="1124">
        <f>12*$K45*'Crono Pessoal'!AI45/1000</f>
        <v>51.162053007000004</v>
      </c>
      <c r="AN45" s="1124">
        <f>12*$K45*'Crono Pessoal'!AJ45/1000</f>
        <v>51.162053007000004</v>
      </c>
      <c r="AO45" s="1124">
        <f>12*$K45*'Crono Pessoal'!AK45/1000</f>
        <v>51.162053007000004</v>
      </c>
      <c r="AP45" s="1124">
        <f>12*$K45*'Crono Pessoal'!AL45/1000</f>
        <v>51.162053007000004</v>
      </c>
    </row>
    <row r="46" spans="1:42">
      <c r="A46" s="595"/>
      <c r="B46" s="598"/>
      <c r="C46" s="599"/>
      <c r="D46" s="260" t="s">
        <v>750</v>
      </c>
      <c r="E46" s="260">
        <v>1</v>
      </c>
      <c r="F46" s="1119" t="s">
        <v>789</v>
      </c>
      <c r="G46" s="1120" t="str">
        <f>VLOOKUP($F46,SALARIOSS!$D$6:$H$203,2,0)</f>
        <v>Auxiliar Administrativo II</v>
      </c>
      <c r="H46" s="1121">
        <f>VLOOKUP($F46,SALARIOSS!$D$6:$I$203,6,0)</f>
        <v>1591.7499000000003</v>
      </c>
      <c r="I46" s="1121">
        <f>VLOOKUP($F46,Funções!$D$9:$K$200,5,0)+VLOOKUP($F46,Funções!$D$9:$K$200,6,0)</f>
        <v>2249.5567857500005</v>
      </c>
      <c r="J46" s="1121">
        <f>VLOOKUP($F46,Funções!$D$9:$K$200,7,0)</f>
        <v>95</v>
      </c>
      <c r="K46" s="1122">
        <f>SUM(H46:J46)</f>
        <v>3936.3066857500007</v>
      </c>
      <c r="L46" s="1123">
        <f t="shared" si="2"/>
        <v>0</v>
      </c>
      <c r="M46" s="1124">
        <f>12*$K46*'Crono Pessoal'!I46/1000</f>
        <v>0</v>
      </c>
      <c r="N46" s="1124">
        <f>12*$K46*'Crono Pessoal'!J46/1000</f>
        <v>0</v>
      </c>
      <c r="O46" s="1124">
        <f>12*$K46*'Crono Pessoal'!K46/1000</f>
        <v>0</v>
      </c>
      <c r="P46" s="1124">
        <f>12*$K46*'Crono Pessoal'!L46/1000</f>
        <v>0</v>
      </c>
      <c r="Q46" s="1124">
        <f>12*$K46*'Crono Pessoal'!M46/1000</f>
        <v>0</v>
      </c>
      <c r="R46" s="1124">
        <f>12*$K46*'Crono Pessoal'!N46/1000</f>
        <v>0</v>
      </c>
      <c r="S46" s="1124">
        <f>12*$K46*'Crono Pessoal'!O46/1000</f>
        <v>0</v>
      </c>
      <c r="T46" s="1124">
        <f>12*$K46*'Crono Pessoal'!P46/1000</f>
        <v>0</v>
      </c>
      <c r="U46" s="1124">
        <f>12*$K46*'Crono Pessoal'!Q46/1000</f>
        <v>0</v>
      </c>
      <c r="V46" s="1124">
        <f>12*$K46*'Crono Pessoal'!R46/1000</f>
        <v>0</v>
      </c>
      <c r="W46" s="1124">
        <f>12*$K46*'Crono Pessoal'!S46/1000</f>
        <v>0</v>
      </c>
      <c r="X46" s="1124">
        <f>12*$K46*'Crono Pessoal'!T46/1000</f>
        <v>0</v>
      </c>
      <c r="Y46" s="1124">
        <f>12*$K46*'Crono Pessoal'!U46/1000</f>
        <v>0</v>
      </c>
      <c r="Z46" s="1124">
        <f>12*$K46*'Crono Pessoal'!V46/1000</f>
        <v>0</v>
      </c>
      <c r="AA46" s="1124">
        <f>12*$K46*'Crono Pessoal'!W46/1000</f>
        <v>0</v>
      </c>
      <c r="AB46" s="1124">
        <f>12*$K46*'Crono Pessoal'!X46/1000</f>
        <v>0</v>
      </c>
      <c r="AC46" s="1124">
        <f>12*$K46*'Crono Pessoal'!Y46/1000</f>
        <v>0</v>
      </c>
      <c r="AD46" s="1124">
        <f>12*$K46*'Crono Pessoal'!Z46/1000</f>
        <v>0</v>
      </c>
      <c r="AE46" s="1124">
        <f>12*$K46*'Crono Pessoal'!AA46/1000</f>
        <v>0</v>
      </c>
      <c r="AF46" s="1124">
        <f>12*$K46*'Crono Pessoal'!AB46/1000</f>
        <v>0</v>
      </c>
      <c r="AG46" s="1124">
        <f>12*$K46*'Crono Pessoal'!AC46/1000</f>
        <v>0</v>
      </c>
      <c r="AH46" s="1124">
        <f>12*$K46*'Crono Pessoal'!AD46/1000</f>
        <v>0</v>
      </c>
      <c r="AI46" s="1124">
        <f>12*$K46*'Crono Pessoal'!AE46/1000</f>
        <v>0</v>
      </c>
      <c r="AJ46" s="1124">
        <f>12*$K46*'Crono Pessoal'!AF46/1000</f>
        <v>0</v>
      </c>
      <c r="AK46" s="1124">
        <f>12*$K46*'Crono Pessoal'!AG46/1000</f>
        <v>0</v>
      </c>
      <c r="AL46" s="1124">
        <f>12*$K46*'Crono Pessoal'!AH46/1000</f>
        <v>0</v>
      </c>
      <c r="AM46" s="1124">
        <f>12*$K46*'Crono Pessoal'!AI46/1000</f>
        <v>0</v>
      </c>
      <c r="AN46" s="1124">
        <f>12*$K46*'Crono Pessoal'!AJ46/1000</f>
        <v>0</v>
      </c>
      <c r="AO46" s="1124">
        <f>12*$K46*'Crono Pessoal'!AK46/1000</f>
        <v>0</v>
      </c>
      <c r="AP46" s="1124">
        <f>12*$K46*'Crono Pessoal'!AL46/1000</f>
        <v>0</v>
      </c>
    </row>
    <row r="47" spans="1:42">
      <c r="A47" s="595"/>
      <c r="B47" s="598"/>
      <c r="C47" s="599"/>
      <c r="D47" s="260" t="s">
        <v>750</v>
      </c>
      <c r="E47" s="260"/>
      <c r="F47" s="1119"/>
      <c r="G47" s="1126" t="s">
        <v>790</v>
      </c>
      <c r="H47" s="1122"/>
      <c r="I47" s="1122"/>
      <c r="J47" s="1122"/>
      <c r="K47" s="1122"/>
      <c r="L47" s="1123"/>
      <c r="M47" s="1124"/>
      <c r="N47" s="1124"/>
      <c r="O47" s="1124"/>
      <c r="P47" s="1124"/>
      <c r="Q47" s="1124"/>
      <c r="R47" s="1124"/>
      <c r="S47" s="1124"/>
      <c r="T47" s="1124"/>
      <c r="U47" s="1124"/>
      <c r="V47" s="1124"/>
      <c r="W47" s="1124"/>
      <c r="X47" s="1124"/>
      <c r="Y47" s="1124"/>
      <c r="Z47" s="1124"/>
      <c r="AA47" s="1124"/>
      <c r="AB47" s="1124"/>
      <c r="AC47" s="1124"/>
      <c r="AD47" s="1124"/>
      <c r="AE47" s="1124"/>
      <c r="AF47" s="1124"/>
      <c r="AG47" s="1124"/>
      <c r="AH47" s="1124"/>
      <c r="AI47" s="1124"/>
      <c r="AJ47" s="1124"/>
      <c r="AK47" s="1124"/>
      <c r="AL47" s="1124"/>
      <c r="AM47" s="1124"/>
      <c r="AN47" s="1124"/>
      <c r="AO47" s="1124"/>
      <c r="AP47" s="1124"/>
    </row>
    <row r="48" spans="1:42">
      <c r="A48" s="595"/>
      <c r="B48" s="598"/>
      <c r="C48" s="599"/>
      <c r="D48" s="259" t="s">
        <v>750</v>
      </c>
      <c r="E48" s="260">
        <v>1</v>
      </c>
      <c r="F48" s="1119" t="s">
        <v>791</v>
      </c>
      <c r="G48" s="1120" t="str">
        <f>VLOOKUP($F48,SALARIOSS!$D$6:$H$203,2,0)</f>
        <v>Encarregado de Patrimônio</v>
      </c>
      <c r="H48" s="1121">
        <f>VLOOKUP($F48,SALARIOSS!$D$6:$I$203,6,0)</f>
        <v>5273.4726000000001</v>
      </c>
      <c r="I48" s="1121">
        <f>VLOOKUP($F48,Funções!$D$9:$K$200,5,0)+VLOOKUP($F48,Funções!$D$9:$K$200,6,0)</f>
        <v>5535.4942955000006</v>
      </c>
      <c r="J48" s="1121">
        <f>VLOOKUP($F48,Funções!$D$9:$K$200,7,0)</f>
        <v>95</v>
      </c>
      <c r="K48" s="1122">
        <f>SUM(H48:J48)</f>
        <v>10903.966895500002</v>
      </c>
      <c r="L48" s="1123">
        <f t="shared" si="2"/>
        <v>3925.4280823800027</v>
      </c>
      <c r="M48" s="1124">
        <f>12*$K48*'Crono Pessoal'!I48/1000</f>
        <v>130.84760274600001</v>
      </c>
      <c r="N48" s="1124">
        <f>12*$K48*'Crono Pessoal'!J48/1000</f>
        <v>130.84760274600001</v>
      </c>
      <c r="O48" s="1124">
        <f>12*$K48*'Crono Pessoal'!K48/1000</f>
        <v>130.84760274600001</v>
      </c>
      <c r="P48" s="1124">
        <f>12*$K48*'Crono Pessoal'!L48/1000</f>
        <v>130.84760274600001</v>
      </c>
      <c r="Q48" s="1124">
        <f>12*$K48*'Crono Pessoal'!M48/1000</f>
        <v>130.84760274600001</v>
      </c>
      <c r="R48" s="1124">
        <f>12*$K48*'Crono Pessoal'!N48/1000</f>
        <v>130.84760274600001</v>
      </c>
      <c r="S48" s="1124">
        <f>12*$K48*'Crono Pessoal'!O48/1000</f>
        <v>130.84760274600001</v>
      </c>
      <c r="T48" s="1124">
        <f>12*$K48*'Crono Pessoal'!P48/1000</f>
        <v>130.84760274600001</v>
      </c>
      <c r="U48" s="1124">
        <f>12*$K48*'Crono Pessoal'!Q48/1000</f>
        <v>130.84760274600001</v>
      </c>
      <c r="V48" s="1124">
        <f>12*$K48*'Crono Pessoal'!R48/1000</f>
        <v>130.84760274600001</v>
      </c>
      <c r="W48" s="1124">
        <f>12*$K48*'Crono Pessoal'!S48/1000</f>
        <v>130.84760274600001</v>
      </c>
      <c r="X48" s="1124">
        <f>12*$K48*'Crono Pessoal'!T48/1000</f>
        <v>130.84760274600001</v>
      </c>
      <c r="Y48" s="1124">
        <f>12*$K48*'Crono Pessoal'!U48/1000</f>
        <v>130.84760274600001</v>
      </c>
      <c r="Z48" s="1124">
        <f>12*$K48*'Crono Pessoal'!V48/1000</f>
        <v>130.84760274600001</v>
      </c>
      <c r="AA48" s="1124">
        <f>12*$K48*'Crono Pessoal'!W48/1000</f>
        <v>130.84760274600001</v>
      </c>
      <c r="AB48" s="1124">
        <f>12*$K48*'Crono Pessoal'!X48/1000</f>
        <v>130.84760274600001</v>
      </c>
      <c r="AC48" s="1124">
        <f>12*$K48*'Crono Pessoal'!Y48/1000</f>
        <v>130.84760274600001</v>
      </c>
      <c r="AD48" s="1124">
        <f>12*$K48*'Crono Pessoal'!Z48/1000</f>
        <v>130.84760274600001</v>
      </c>
      <c r="AE48" s="1124">
        <f>12*$K48*'Crono Pessoal'!AA48/1000</f>
        <v>130.84760274600001</v>
      </c>
      <c r="AF48" s="1124">
        <f>12*$K48*'Crono Pessoal'!AB48/1000</f>
        <v>130.84760274600001</v>
      </c>
      <c r="AG48" s="1124">
        <f>12*$K48*'Crono Pessoal'!AC48/1000</f>
        <v>130.84760274600001</v>
      </c>
      <c r="AH48" s="1124">
        <f>12*$K48*'Crono Pessoal'!AD48/1000</f>
        <v>130.84760274600001</v>
      </c>
      <c r="AI48" s="1124">
        <f>12*$K48*'Crono Pessoal'!AE48/1000</f>
        <v>130.84760274600001</v>
      </c>
      <c r="AJ48" s="1124">
        <f>12*$K48*'Crono Pessoal'!AF48/1000</f>
        <v>130.84760274600001</v>
      </c>
      <c r="AK48" s="1124">
        <f>12*$K48*'Crono Pessoal'!AG48/1000</f>
        <v>130.84760274600001</v>
      </c>
      <c r="AL48" s="1124">
        <f>12*$K48*'Crono Pessoal'!AH48/1000</f>
        <v>130.84760274600001</v>
      </c>
      <c r="AM48" s="1124">
        <f>12*$K48*'Crono Pessoal'!AI48/1000</f>
        <v>130.84760274600001</v>
      </c>
      <c r="AN48" s="1124">
        <f>12*$K48*'Crono Pessoal'!AJ48/1000</f>
        <v>130.84760274600001</v>
      </c>
      <c r="AO48" s="1124">
        <f>12*$K48*'Crono Pessoal'!AK48/1000</f>
        <v>130.84760274600001</v>
      </c>
      <c r="AP48" s="1124">
        <f>12*$K48*'Crono Pessoal'!AL48/1000</f>
        <v>130.84760274600001</v>
      </c>
    </row>
    <row r="49" spans="1:42">
      <c r="A49" s="595"/>
      <c r="B49" s="598"/>
      <c r="C49" s="599"/>
      <c r="D49" s="260" t="s">
        <v>750</v>
      </c>
      <c r="E49" s="260">
        <v>1</v>
      </c>
      <c r="F49" s="1119" t="s">
        <v>792</v>
      </c>
      <c r="G49" s="1120" t="str">
        <f>VLOOKUP($F49,SALARIOSS!$D$6:$H$203,2,0)</f>
        <v>Comprador Pleno</v>
      </c>
      <c r="H49" s="1121">
        <f>VLOOKUP($F49,SALARIOSS!$D$6:$I$203,6,0)</f>
        <v>5587.8957</v>
      </c>
      <c r="I49" s="1121">
        <f>VLOOKUP($F49,Funções!$D$9:$K$200,5,0)+VLOOKUP($F49,Funções!$D$9:$K$200,6,0)</f>
        <v>5816.1169122500005</v>
      </c>
      <c r="J49" s="1121">
        <f>VLOOKUP($F49,Funções!$D$9:$K$200,7,0)</f>
        <v>95</v>
      </c>
      <c r="K49" s="1122">
        <f>SUM(H49:J49)</f>
        <v>11499.012612250001</v>
      </c>
      <c r="L49" s="1123">
        <f t="shared" si="2"/>
        <v>4139.6445404100004</v>
      </c>
      <c r="M49" s="1124">
        <f>12*$K49*'Crono Pessoal'!I49/1000</f>
        <v>137.98815134700001</v>
      </c>
      <c r="N49" s="1124">
        <f>12*$K49*'Crono Pessoal'!J49/1000</f>
        <v>137.98815134700001</v>
      </c>
      <c r="O49" s="1124">
        <f>12*$K49*'Crono Pessoal'!K49/1000</f>
        <v>137.98815134700001</v>
      </c>
      <c r="P49" s="1124">
        <f>12*$K49*'Crono Pessoal'!L49/1000</f>
        <v>137.98815134700001</v>
      </c>
      <c r="Q49" s="1124">
        <f>12*$K49*'Crono Pessoal'!M49/1000</f>
        <v>137.98815134700001</v>
      </c>
      <c r="R49" s="1124">
        <f>12*$K49*'Crono Pessoal'!N49/1000</f>
        <v>137.98815134700001</v>
      </c>
      <c r="S49" s="1124">
        <f>12*$K49*'Crono Pessoal'!O49/1000</f>
        <v>137.98815134700001</v>
      </c>
      <c r="T49" s="1124">
        <f>12*$K49*'Crono Pessoal'!P49/1000</f>
        <v>137.98815134700001</v>
      </c>
      <c r="U49" s="1124">
        <f>12*$K49*'Crono Pessoal'!Q49/1000</f>
        <v>137.98815134700001</v>
      </c>
      <c r="V49" s="1124">
        <f>12*$K49*'Crono Pessoal'!R49/1000</f>
        <v>137.98815134700001</v>
      </c>
      <c r="W49" s="1124">
        <f>12*$K49*'Crono Pessoal'!S49/1000</f>
        <v>137.98815134700001</v>
      </c>
      <c r="X49" s="1124">
        <f>12*$K49*'Crono Pessoal'!T49/1000</f>
        <v>137.98815134700001</v>
      </c>
      <c r="Y49" s="1124">
        <f>12*$K49*'Crono Pessoal'!U49/1000</f>
        <v>137.98815134700001</v>
      </c>
      <c r="Z49" s="1124">
        <f>12*$K49*'Crono Pessoal'!V49/1000</f>
        <v>137.98815134700001</v>
      </c>
      <c r="AA49" s="1124">
        <f>12*$K49*'Crono Pessoal'!W49/1000</f>
        <v>137.98815134700001</v>
      </c>
      <c r="AB49" s="1124">
        <f>12*$K49*'Crono Pessoal'!X49/1000</f>
        <v>137.98815134700001</v>
      </c>
      <c r="AC49" s="1124">
        <f>12*$K49*'Crono Pessoal'!Y49/1000</f>
        <v>137.98815134700001</v>
      </c>
      <c r="AD49" s="1124">
        <f>12*$K49*'Crono Pessoal'!Z49/1000</f>
        <v>137.98815134700001</v>
      </c>
      <c r="AE49" s="1124">
        <f>12*$K49*'Crono Pessoal'!AA49/1000</f>
        <v>137.98815134700001</v>
      </c>
      <c r="AF49" s="1124">
        <f>12*$K49*'Crono Pessoal'!AB49/1000</f>
        <v>137.98815134700001</v>
      </c>
      <c r="AG49" s="1124">
        <f>12*$K49*'Crono Pessoal'!AC49/1000</f>
        <v>137.98815134700001</v>
      </c>
      <c r="AH49" s="1124">
        <f>12*$K49*'Crono Pessoal'!AD49/1000</f>
        <v>137.98815134700001</v>
      </c>
      <c r="AI49" s="1124">
        <f>12*$K49*'Crono Pessoal'!AE49/1000</f>
        <v>137.98815134700001</v>
      </c>
      <c r="AJ49" s="1124">
        <f>12*$K49*'Crono Pessoal'!AF49/1000</f>
        <v>137.98815134700001</v>
      </c>
      <c r="AK49" s="1124">
        <f>12*$K49*'Crono Pessoal'!AG49/1000</f>
        <v>137.98815134700001</v>
      </c>
      <c r="AL49" s="1124">
        <f>12*$K49*'Crono Pessoal'!AH49/1000</f>
        <v>137.98815134700001</v>
      </c>
      <c r="AM49" s="1124">
        <f>12*$K49*'Crono Pessoal'!AI49/1000</f>
        <v>137.98815134700001</v>
      </c>
      <c r="AN49" s="1124">
        <f>12*$K49*'Crono Pessoal'!AJ49/1000</f>
        <v>137.98815134700001</v>
      </c>
      <c r="AO49" s="1124">
        <f>12*$K49*'Crono Pessoal'!AK49/1000</f>
        <v>137.98815134700001</v>
      </c>
      <c r="AP49" s="1124">
        <f>12*$K49*'Crono Pessoal'!AL49/1000</f>
        <v>137.98815134700001</v>
      </c>
    </row>
    <row r="50" spans="1:42">
      <c r="A50" s="595"/>
      <c r="B50" s="598"/>
      <c r="C50" s="599"/>
      <c r="D50" s="260" t="s">
        <v>750</v>
      </c>
      <c r="E50" s="260">
        <v>1</v>
      </c>
      <c r="F50" s="1119" t="s">
        <v>793</v>
      </c>
      <c r="G50" s="1120" t="str">
        <f>VLOOKUP($F50,SALARIOSS!$D$6:$H$203,2,0)</f>
        <v>Almoxarife</v>
      </c>
      <c r="H50" s="1121">
        <f>VLOOKUP($F50,SALARIOSS!$D$6:$I$203,6,0)</f>
        <v>2548.8996300000003</v>
      </c>
      <c r="I50" s="1121">
        <f>VLOOKUP($F50,Funções!$D$9:$K$200,5,0)+VLOOKUP($F50,Funções!$D$9:$K$200,6,0)</f>
        <v>3103.8129197750004</v>
      </c>
      <c r="J50" s="1121">
        <f>VLOOKUP($F50,Funções!$D$9:$K$200,7,0)</f>
        <v>95</v>
      </c>
      <c r="K50" s="1122">
        <f>SUM(H50:J50)</f>
        <v>5747.7125497750003</v>
      </c>
      <c r="L50" s="1123">
        <f t="shared" si="2"/>
        <v>2069.1765179189993</v>
      </c>
      <c r="M50" s="1124">
        <f>12*$K50*'Crono Pessoal'!I50/1000</f>
        <v>68.9725505973</v>
      </c>
      <c r="N50" s="1124">
        <f>12*$K50*'Crono Pessoal'!J50/1000</f>
        <v>68.9725505973</v>
      </c>
      <c r="O50" s="1124">
        <f>12*$K50*'Crono Pessoal'!K50/1000</f>
        <v>68.9725505973</v>
      </c>
      <c r="P50" s="1124">
        <f>12*$K50*'Crono Pessoal'!L50/1000</f>
        <v>68.9725505973</v>
      </c>
      <c r="Q50" s="1124">
        <f>12*$K50*'Crono Pessoal'!M50/1000</f>
        <v>68.9725505973</v>
      </c>
      <c r="R50" s="1124">
        <f>12*$K50*'Crono Pessoal'!N50/1000</f>
        <v>68.9725505973</v>
      </c>
      <c r="S50" s="1124">
        <f>12*$K50*'Crono Pessoal'!O50/1000</f>
        <v>68.9725505973</v>
      </c>
      <c r="T50" s="1124">
        <f>12*$K50*'Crono Pessoal'!P50/1000</f>
        <v>68.9725505973</v>
      </c>
      <c r="U50" s="1124">
        <f>12*$K50*'Crono Pessoal'!Q50/1000</f>
        <v>68.9725505973</v>
      </c>
      <c r="V50" s="1124">
        <f>12*$K50*'Crono Pessoal'!R50/1000</f>
        <v>68.9725505973</v>
      </c>
      <c r="W50" s="1124">
        <f>12*$K50*'Crono Pessoal'!S50/1000</f>
        <v>68.9725505973</v>
      </c>
      <c r="X50" s="1124">
        <f>12*$K50*'Crono Pessoal'!T50/1000</f>
        <v>68.9725505973</v>
      </c>
      <c r="Y50" s="1124">
        <f>12*$K50*'Crono Pessoal'!U50/1000</f>
        <v>68.9725505973</v>
      </c>
      <c r="Z50" s="1124">
        <f>12*$K50*'Crono Pessoal'!V50/1000</f>
        <v>68.9725505973</v>
      </c>
      <c r="AA50" s="1124">
        <f>12*$K50*'Crono Pessoal'!W50/1000</f>
        <v>68.9725505973</v>
      </c>
      <c r="AB50" s="1124">
        <f>12*$K50*'Crono Pessoal'!X50/1000</f>
        <v>68.9725505973</v>
      </c>
      <c r="AC50" s="1124">
        <f>12*$K50*'Crono Pessoal'!Y50/1000</f>
        <v>68.9725505973</v>
      </c>
      <c r="AD50" s="1124">
        <f>12*$K50*'Crono Pessoal'!Z50/1000</f>
        <v>68.9725505973</v>
      </c>
      <c r="AE50" s="1124">
        <f>12*$K50*'Crono Pessoal'!AA50/1000</f>
        <v>68.9725505973</v>
      </c>
      <c r="AF50" s="1124">
        <f>12*$K50*'Crono Pessoal'!AB50/1000</f>
        <v>68.9725505973</v>
      </c>
      <c r="AG50" s="1124">
        <f>12*$K50*'Crono Pessoal'!AC50/1000</f>
        <v>68.9725505973</v>
      </c>
      <c r="AH50" s="1124">
        <f>12*$K50*'Crono Pessoal'!AD50/1000</f>
        <v>68.9725505973</v>
      </c>
      <c r="AI50" s="1124">
        <f>12*$K50*'Crono Pessoal'!AE50/1000</f>
        <v>68.9725505973</v>
      </c>
      <c r="AJ50" s="1124">
        <f>12*$K50*'Crono Pessoal'!AF50/1000</f>
        <v>68.9725505973</v>
      </c>
      <c r="AK50" s="1124">
        <f>12*$K50*'Crono Pessoal'!AG50/1000</f>
        <v>68.9725505973</v>
      </c>
      <c r="AL50" s="1124">
        <f>12*$K50*'Crono Pessoal'!AH50/1000</f>
        <v>68.9725505973</v>
      </c>
      <c r="AM50" s="1124">
        <f>12*$K50*'Crono Pessoal'!AI50/1000</f>
        <v>68.9725505973</v>
      </c>
      <c r="AN50" s="1124">
        <f>12*$K50*'Crono Pessoal'!AJ50/1000</f>
        <v>68.9725505973</v>
      </c>
      <c r="AO50" s="1124">
        <f>12*$K50*'Crono Pessoal'!AK50/1000</f>
        <v>68.9725505973</v>
      </c>
      <c r="AP50" s="1124">
        <f>12*$K50*'Crono Pessoal'!AL50/1000</f>
        <v>68.9725505973</v>
      </c>
    </row>
    <row r="51" spans="1:42">
      <c r="A51" s="595"/>
      <c r="B51" s="598"/>
      <c r="C51" s="599"/>
      <c r="D51" s="259" t="s">
        <v>750</v>
      </c>
      <c r="E51" s="260">
        <v>1</v>
      </c>
      <c r="F51" s="1119" t="s">
        <v>794</v>
      </c>
      <c r="G51" s="1120" t="str">
        <f>VLOOKUP($F51,SALARIOSS!$D$6:$H$203,2,0)</f>
        <v>Auxiliar de Compras</v>
      </c>
      <c r="H51" s="1121">
        <f>VLOOKUP($F51,SALARIOSS!$D$6:$I$203,6,0)</f>
        <v>1483.4880000000003</v>
      </c>
      <c r="I51" s="1121">
        <f>VLOOKUP($F51,Funções!$D$9:$K$200,5,0)+VLOOKUP($F51,Funções!$D$9:$K$200,6,0)</f>
        <v>2152.9330400000003</v>
      </c>
      <c r="J51" s="1121">
        <f>VLOOKUP($F51,Funções!$D$9:$K$200,7,0)</f>
        <v>95</v>
      </c>
      <c r="K51" s="1122">
        <f>SUM(H51:J51)</f>
        <v>3731.4210400000006</v>
      </c>
      <c r="L51" s="1123">
        <f t="shared" si="2"/>
        <v>1343.3115744000013</v>
      </c>
      <c r="M51" s="1124">
        <f>12*$K51*'Crono Pessoal'!I51/1000</f>
        <v>44.777052480000009</v>
      </c>
      <c r="N51" s="1124">
        <f>12*$K51*'Crono Pessoal'!J51/1000</f>
        <v>44.777052480000009</v>
      </c>
      <c r="O51" s="1124">
        <f>12*$K51*'Crono Pessoal'!K51/1000</f>
        <v>44.777052480000009</v>
      </c>
      <c r="P51" s="1124">
        <f>12*$K51*'Crono Pessoal'!L51/1000</f>
        <v>44.777052480000009</v>
      </c>
      <c r="Q51" s="1124">
        <f>12*$K51*'Crono Pessoal'!M51/1000</f>
        <v>44.777052480000009</v>
      </c>
      <c r="R51" s="1124">
        <f>12*$K51*'Crono Pessoal'!N51/1000</f>
        <v>44.777052480000009</v>
      </c>
      <c r="S51" s="1124">
        <f>12*$K51*'Crono Pessoal'!O51/1000</f>
        <v>44.777052480000009</v>
      </c>
      <c r="T51" s="1124">
        <f>12*$K51*'Crono Pessoal'!P51/1000</f>
        <v>44.777052480000009</v>
      </c>
      <c r="U51" s="1124">
        <f>12*$K51*'Crono Pessoal'!Q51/1000</f>
        <v>44.777052480000009</v>
      </c>
      <c r="V51" s="1124">
        <f>12*$K51*'Crono Pessoal'!R51/1000</f>
        <v>44.777052480000009</v>
      </c>
      <c r="W51" s="1124">
        <f>12*$K51*'Crono Pessoal'!S51/1000</f>
        <v>44.777052480000009</v>
      </c>
      <c r="X51" s="1124">
        <f>12*$K51*'Crono Pessoal'!T51/1000</f>
        <v>44.777052480000009</v>
      </c>
      <c r="Y51" s="1124">
        <f>12*$K51*'Crono Pessoal'!U51/1000</f>
        <v>44.777052480000009</v>
      </c>
      <c r="Z51" s="1124">
        <f>12*$K51*'Crono Pessoal'!V51/1000</f>
        <v>44.777052480000009</v>
      </c>
      <c r="AA51" s="1124">
        <f>12*$K51*'Crono Pessoal'!W51/1000</f>
        <v>44.777052480000009</v>
      </c>
      <c r="AB51" s="1124">
        <f>12*$K51*'Crono Pessoal'!X51/1000</f>
        <v>44.777052480000009</v>
      </c>
      <c r="AC51" s="1124">
        <f>12*$K51*'Crono Pessoal'!Y51/1000</f>
        <v>44.777052480000009</v>
      </c>
      <c r="AD51" s="1124">
        <f>12*$K51*'Crono Pessoal'!Z51/1000</f>
        <v>44.777052480000009</v>
      </c>
      <c r="AE51" s="1124">
        <f>12*$K51*'Crono Pessoal'!AA51/1000</f>
        <v>44.777052480000009</v>
      </c>
      <c r="AF51" s="1124">
        <f>12*$K51*'Crono Pessoal'!AB51/1000</f>
        <v>44.777052480000009</v>
      </c>
      <c r="AG51" s="1124">
        <f>12*$K51*'Crono Pessoal'!AC51/1000</f>
        <v>44.777052480000009</v>
      </c>
      <c r="AH51" s="1124">
        <f>12*$K51*'Crono Pessoal'!AD51/1000</f>
        <v>44.777052480000009</v>
      </c>
      <c r="AI51" s="1124">
        <f>12*$K51*'Crono Pessoal'!AE51/1000</f>
        <v>44.777052480000009</v>
      </c>
      <c r="AJ51" s="1124">
        <f>12*$K51*'Crono Pessoal'!AF51/1000</f>
        <v>44.777052480000009</v>
      </c>
      <c r="AK51" s="1124">
        <f>12*$K51*'Crono Pessoal'!AG51/1000</f>
        <v>44.777052480000009</v>
      </c>
      <c r="AL51" s="1124">
        <f>12*$K51*'Crono Pessoal'!AH51/1000</f>
        <v>44.777052480000009</v>
      </c>
      <c r="AM51" s="1124">
        <f>12*$K51*'Crono Pessoal'!AI51/1000</f>
        <v>44.777052480000009</v>
      </c>
      <c r="AN51" s="1124">
        <f>12*$K51*'Crono Pessoal'!AJ51/1000</f>
        <v>44.777052480000009</v>
      </c>
      <c r="AO51" s="1124">
        <f>12*$K51*'Crono Pessoal'!AK51/1000</f>
        <v>44.777052480000009</v>
      </c>
      <c r="AP51" s="1124">
        <f>12*$K51*'Crono Pessoal'!AL51/1000</f>
        <v>44.777052480000009</v>
      </c>
    </row>
    <row r="52" spans="1:42">
      <c r="A52" s="595"/>
      <c r="B52" s="598"/>
      <c r="C52" s="599"/>
      <c r="D52" s="260" t="s">
        <v>750</v>
      </c>
      <c r="E52" s="260">
        <v>1</v>
      </c>
      <c r="F52" s="1119" t="s">
        <v>795</v>
      </c>
      <c r="G52" s="1120" t="str">
        <f>VLOOKUP($F52,SALARIOSS!$D$6:$H$203,2,0)</f>
        <v>Auxiliar Administrativo I</v>
      </c>
      <c r="H52" s="1121">
        <f>VLOOKUP($F52,SALARIOSS!$D$6:$I$203,6,0)</f>
        <v>1483.4880000000003</v>
      </c>
      <c r="I52" s="1121">
        <f>VLOOKUP($F52,Funções!$D$9:$K$200,5,0)+VLOOKUP($F52,Funções!$D$9:$K$200,6,0)</f>
        <v>2152.9330400000003</v>
      </c>
      <c r="J52" s="1121">
        <f>VLOOKUP($F52,Funções!$D$9:$K$200,7,0)</f>
        <v>95</v>
      </c>
      <c r="K52" s="1122">
        <f>SUM(H52:J52)</f>
        <v>3731.4210400000006</v>
      </c>
      <c r="L52" s="1123">
        <f t="shared" si="2"/>
        <v>1343.3115744000013</v>
      </c>
      <c r="M52" s="1124">
        <f>12*$K52*'Crono Pessoal'!I52/1000</f>
        <v>44.777052480000009</v>
      </c>
      <c r="N52" s="1124">
        <f>12*$K52*'Crono Pessoal'!J52/1000</f>
        <v>44.777052480000009</v>
      </c>
      <c r="O52" s="1124">
        <f>12*$K52*'Crono Pessoal'!K52/1000</f>
        <v>44.777052480000009</v>
      </c>
      <c r="P52" s="1124">
        <f>12*$K52*'Crono Pessoal'!L52/1000</f>
        <v>44.777052480000009</v>
      </c>
      <c r="Q52" s="1124">
        <f>12*$K52*'Crono Pessoal'!M52/1000</f>
        <v>44.777052480000009</v>
      </c>
      <c r="R52" s="1124">
        <f>12*$K52*'Crono Pessoal'!N52/1000</f>
        <v>44.777052480000009</v>
      </c>
      <c r="S52" s="1124">
        <f>12*$K52*'Crono Pessoal'!O52/1000</f>
        <v>44.777052480000009</v>
      </c>
      <c r="T52" s="1124">
        <f>12*$K52*'Crono Pessoal'!P52/1000</f>
        <v>44.777052480000009</v>
      </c>
      <c r="U52" s="1124">
        <f>12*$K52*'Crono Pessoal'!Q52/1000</f>
        <v>44.777052480000009</v>
      </c>
      <c r="V52" s="1124">
        <f>12*$K52*'Crono Pessoal'!R52/1000</f>
        <v>44.777052480000009</v>
      </c>
      <c r="W52" s="1124">
        <f>12*$K52*'Crono Pessoal'!S52/1000</f>
        <v>44.777052480000009</v>
      </c>
      <c r="X52" s="1124">
        <f>12*$K52*'Crono Pessoal'!T52/1000</f>
        <v>44.777052480000009</v>
      </c>
      <c r="Y52" s="1124">
        <f>12*$K52*'Crono Pessoal'!U52/1000</f>
        <v>44.777052480000009</v>
      </c>
      <c r="Z52" s="1124">
        <f>12*$K52*'Crono Pessoal'!V52/1000</f>
        <v>44.777052480000009</v>
      </c>
      <c r="AA52" s="1124">
        <f>12*$K52*'Crono Pessoal'!W52/1000</f>
        <v>44.777052480000009</v>
      </c>
      <c r="AB52" s="1124">
        <f>12*$K52*'Crono Pessoal'!X52/1000</f>
        <v>44.777052480000009</v>
      </c>
      <c r="AC52" s="1124">
        <f>12*$K52*'Crono Pessoal'!Y52/1000</f>
        <v>44.777052480000009</v>
      </c>
      <c r="AD52" s="1124">
        <f>12*$K52*'Crono Pessoal'!Z52/1000</f>
        <v>44.777052480000009</v>
      </c>
      <c r="AE52" s="1124">
        <f>12*$K52*'Crono Pessoal'!AA52/1000</f>
        <v>44.777052480000009</v>
      </c>
      <c r="AF52" s="1124">
        <f>12*$K52*'Crono Pessoal'!AB52/1000</f>
        <v>44.777052480000009</v>
      </c>
      <c r="AG52" s="1124">
        <f>12*$K52*'Crono Pessoal'!AC52/1000</f>
        <v>44.777052480000009</v>
      </c>
      <c r="AH52" s="1124">
        <f>12*$K52*'Crono Pessoal'!AD52/1000</f>
        <v>44.777052480000009</v>
      </c>
      <c r="AI52" s="1124">
        <f>12*$K52*'Crono Pessoal'!AE52/1000</f>
        <v>44.777052480000009</v>
      </c>
      <c r="AJ52" s="1124">
        <f>12*$K52*'Crono Pessoal'!AF52/1000</f>
        <v>44.777052480000009</v>
      </c>
      <c r="AK52" s="1124">
        <f>12*$K52*'Crono Pessoal'!AG52/1000</f>
        <v>44.777052480000009</v>
      </c>
      <c r="AL52" s="1124">
        <f>12*$K52*'Crono Pessoal'!AH52/1000</f>
        <v>44.777052480000009</v>
      </c>
      <c r="AM52" s="1124">
        <f>12*$K52*'Crono Pessoal'!AI52/1000</f>
        <v>44.777052480000009</v>
      </c>
      <c r="AN52" s="1124">
        <f>12*$K52*'Crono Pessoal'!AJ52/1000</f>
        <v>44.777052480000009</v>
      </c>
      <c r="AO52" s="1124">
        <f>12*$K52*'Crono Pessoal'!AK52/1000</f>
        <v>44.777052480000009</v>
      </c>
      <c r="AP52" s="1124">
        <f>12*$K52*'Crono Pessoal'!AL52/1000</f>
        <v>44.777052480000009</v>
      </c>
    </row>
    <row r="53" spans="1:42">
      <c r="A53" s="595"/>
      <c r="B53" s="598"/>
      <c r="C53" s="599"/>
      <c r="D53" s="260" t="s">
        <v>750</v>
      </c>
      <c r="E53" s="260"/>
      <c r="F53" s="1119"/>
      <c r="G53" s="1126" t="s">
        <v>796</v>
      </c>
      <c r="H53" s="1121"/>
      <c r="I53" s="1121"/>
      <c r="J53" s="1121"/>
      <c r="K53" s="1122"/>
      <c r="L53" s="1123"/>
      <c r="M53" s="1124"/>
      <c r="N53" s="1124"/>
      <c r="O53" s="1124"/>
      <c r="P53" s="1124"/>
      <c r="Q53" s="1124"/>
      <c r="R53" s="1124"/>
      <c r="S53" s="1124"/>
      <c r="T53" s="1124"/>
      <c r="U53" s="1124"/>
      <c r="V53" s="1124"/>
      <c r="W53" s="1124"/>
      <c r="X53" s="1124"/>
      <c r="Y53" s="1124"/>
      <c r="Z53" s="1124"/>
      <c r="AA53" s="1124"/>
      <c r="AB53" s="1124"/>
      <c r="AC53" s="1124"/>
      <c r="AD53" s="1124"/>
      <c r="AE53" s="1124"/>
      <c r="AF53" s="1124"/>
      <c r="AG53" s="1124"/>
      <c r="AH53" s="1124"/>
      <c r="AI53" s="1124"/>
      <c r="AJ53" s="1124"/>
      <c r="AK53" s="1124"/>
      <c r="AL53" s="1124"/>
      <c r="AM53" s="1124"/>
      <c r="AN53" s="1124"/>
      <c r="AO53" s="1124"/>
      <c r="AP53" s="1124"/>
    </row>
    <row r="54" spans="1:42">
      <c r="A54" s="595"/>
      <c r="B54" s="598"/>
      <c r="C54" s="599"/>
      <c r="D54" s="260" t="s">
        <v>750</v>
      </c>
      <c r="E54" s="260">
        <v>1</v>
      </c>
      <c r="F54" s="1119" t="s">
        <v>797</v>
      </c>
      <c r="G54" s="1120" t="str">
        <f>VLOOKUP($F54,SALARIOSS!$D$6:$H$203,2,0)</f>
        <v>Analista de Sistemas</v>
      </c>
      <c r="H54" s="1121">
        <f>VLOOKUP($F54,SALARIOSS!$D$6:$I$203,6,0)</f>
        <v>7645.05</v>
      </c>
      <c r="I54" s="1121">
        <f>VLOOKUP($F54,Funções!$D$9:$K$200,5,0)+VLOOKUP($F54,Funções!$D$9:$K$200,6,0)</f>
        <v>7652.127125</v>
      </c>
      <c r="J54" s="1121">
        <f>VLOOKUP($F54,Funções!$D$9:$K$200,7,0)</f>
        <v>95</v>
      </c>
      <c r="K54" s="1122">
        <f>SUM(H54:J54)</f>
        <v>15392.177125</v>
      </c>
      <c r="L54" s="1123">
        <f>SUM(M54:AP54)</f>
        <v>5541.183764999997</v>
      </c>
      <c r="M54" s="1124">
        <f>12*$K54*'Crono Pessoal'!I54/1000</f>
        <v>184.70612549999998</v>
      </c>
      <c r="N54" s="1124">
        <f>12*$K54*'Crono Pessoal'!J54/1000</f>
        <v>184.70612549999998</v>
      </c>
      <c r="O54" s="1124">
        <f>12*$K54*'Crono Pessoal'!K54/1000</f>
        <v>184.70612549999998</v>
      </c>
      <c r="P54" s="1124">
        <f>12*$K54*'Crono Pessoal'!L54/1000</f>
        <v>184.70612549999998</v>
      </c>
      <c r="Q54" s="1124">
        <f>12*$K54*'Crono Pessoal'!M54/1000</f>
        <v>184.70612549999998</v>
      </c>
      <c r="R54" s="1124">
        <f>12*$K54*'Crono Pessoal'!N54/1000</f>
        <v>184.70612549999998</v>
      </c>
      <c r="S54" s="1124">
        <f>12*$K54*'Crono Pessoal'!O54/1000</f>
        <v>184.70612549999998</v>
      </c>
      <c r="T54" s="1124">
        <f>12*$K54*'Crono Pessoal'!P54/1000</f>
        <v>184.70612549999998</v>
      </c>
      <c r="U54" s="1124">
        <f>12*$K54*'Crono Pessoal'!Q54/1000</f>
        <v>184.70612549999998</v>
      </c>
      <c r="V54" s="1124">
        <f>12*$K54*'Crono Pessoal'!R54/1000</f>
        <v>184.70612549999998</v>
      </c>
      <c r="W54" s="1124">
        <f>12*$K54*'Crono Pessoal'!S54/1000</f>
        <v>184.70612549999998</v>
      </c>
      <c r="X54" s="1124">
        <f>12*$K54*'Crono Pessoal'!T54/1000</f>
        <v>184.70612549999998</v>
      </c>
      <c r="Y54" s="1124">
        <f>12*$K54*'Crono Pessoal'!U54/1000</f>
        <v>184.70612549999998</v>
      </c>
      <c r="Z54" s="1124">
        <f>12*$K54*'Crono Pessoal'!V54/1000</f>
        <v>184.70612549999998</v>
      </c>
      <c r="AA54" s="1124">
        <f>12*$K54*'Crono Pessoal'!W54/1000</f>
        <v>184.70612549999998</v>
      </c>
      <c r="AB54" s="1124">
        <f>12*$K54*'Crono Pessoal'!X54/1000</f>
        <v>184.70612549999998</v>
      </c>
      <c r="AC54" s="1124">
        <f>12*$K54*'Crono Pessoal'!Y54/1000</f>
        <v>184.70612549999998</v>
      </c>
      <c r="AD54" s="1124">
        <f>12*$K54*'Crono Pessoal'!Z54/1000</f>
        <v>184.70612549999998</v>
      </c>
      <c r="AE54" s="1124">
        <f>12*$K54*'Crono Pessoal'!AA54/1000</f>
        <v>184.70612549999998</v>
      </c>
      <c r="AF54" s="1124">
        <f>12*$K54*'Crono Pessoal'!AB54/1000</f>
        <v>184.70612549999998</v>
      </c>
      <c r="AG54" s="1124">
        <f>12*$K54*'Crono Pessoal'!AC54/1000</f>
        <v>184.70612549999998</v>
      </c>
      <c r="AH54" s="1124">
        <f>12*$K54*'Crono Pessoal'!AD54/1000</f>
        <v>184.70612549999998</v>
      </c>
      <c r="AI54" s="1124">
        <f>12*$K54*'Crono Pessoal'!AE54/1000</f>
        <v>184.70612549999998</v>
      </c>
      <c r="AJ54" s="1124">
        <f>12*$K54*'Crono Pessoal'!AF54/1000</f>
        <v>184.70612549999998</v>
      </c>
      <c r="AK54" s="1124">
        <f>12*$K54*'Crono Pessoal'!AG54/1000</f>
        <v>184.70612549999998</v>
      </c>
      <c r="AL54" s="1124">
        <f>12*$K54*'Crono Pessoal'!AH54/1000</f>
        <v>184.70612549999998</v>
      </c>
      <c r="AM54" s="1124">
        <f>12*$K54*'Crono Pessoal'!AI54/1000</f>
        <v>184.70612549999998</v>
      </c>
      <c r="AN54" s="1124">
        <f>12*$K54*'Crono Pessoal'!AJ54/1000</f>
        <v>184.70612549999998</v>
      </c>
      <c r="AO54" s="1124">
        <f>12*$K54*'Crono Pessoal'!AK54/1000</f>
        <v>184.70612549999998</v>
      </c>
      <c r="AP54" s="1124">
        <f>12*$K54*'Crono Pessoal'!AL54/1000</f>
        <v>184.70612549999998</v>
      </c>
    </row>
    <row r="55" spans="1:42">
      <c r="A55" s="595"/>
      <c r="B55" s="598"/>
      <c r="C55" s="599"/>
      <c r="D55" s="260" t="s">
        <v>750</v>
      </c>
      <c r="E55" s="260">
        <v>1</v>
      </c>
      <c r="F55" s="1119" t="s">
        <v>781</v>
      </c>
      <c r="G55" s="1120" t="str">
        <f>VLOOKUP($F55,SALARIOSS!$D$6:$H$203,2,0)</f>
        <v>Assistente de Informática</v>
      </c>
      <c r="H55" s="1121">
        <f>VLOOKUP($F55,SALARIOSS!$D$6:$I$203,6,0)</f>
        <v>1888.9929000000002</v>
      </c>
      <c r="I55" s="1121">
        <f>VLOOKUP($F55,Funções!$D$9:$K$200,5,0)+VLOOKUP($F55,Funções!$D$9:$K$200,6,0)</f>
        <v>2514.8461632500002</v>
      </c>
      <c r="J55" s="1121">
        <f>VLOOKUP($F55,Funções!$D$9:$K$200,7,0)</f>
        <v>95</v>
      </c>
      <c r="K55" s="1122">
        <f>SUM(H55:J55)</f>
        <v>4498.8390632500004</v>
      </c>
      <c r="L55" s="1123">
        <f>SUM(M55:AP55)</f>
        <v>1619.5820627700007</v>
      </c>
      <c r="M55" s="1124">
        <f>12*$K55*'Crono Pessoal'!I55/1000</f>
        <v>53.986068758999998</v>
      </c>
      <c r="N55" s="1124">
        <f>12*$K55*'Crono Pessoal'!J55/1000</f>
        <v>53.986068758999998</v>
      </c>
      <c r="O55" s="1124">
        <f>12*$K55*'Crono Pessoal'!K55/1000</f>
        <v>53.986068758999998</v>
      </c>
      <c r="P55" s="1124">
        <f>12*$K55*'Crono Pessoal'!L55/1000</f>
        <v>53.986068758999998</v>
      </c>
      <c r="Q55" s="1124">
        <f>12*$K55*'Crono Pessoal'!M55/1000</f>
        <v>53.986068758999998</v>
      </c>
      <c r="R55" s="1124">
        <f>12*$K55*'Crono Pessoal'!N55/1000</f>
        <v>53.986068758999998</v>
      </c>
      <c r="S55" s="1124">
        <f>12*$K55*'Crono Pessoal'!O55/1000</f>
        <v>53.986068758999998</v>
      </c>
      <c r="T55" s="1124">
        <f>12*$K55*'Crono Pessoal'!P55/1000</f>
        <v>53.986068758999998</v>
      </c>
      <c r="U55" s="1124">
        <f>12*$K55*'Crono Pessoal'!Q55/1000</f>
        <v>53.986068758999998</v>
      </c>
      <c r="V55" s="1124">
        <f>12*$K55*'Crono Pessoal'!R55/1000</f>
        <v>53.986068758999998</v>
      </c>
      <c r="W55" s="1124">
        <f>12*$K55*'Crono Pessoal'!S55/1000</f>
        <v>53.986068758999998</v>
      </c>
      <c r="X55" s="1124">
        <f>12*$K55*'Crono Pessoal'!T55/1000</f>
        <v>53.986068758999998</v>
      </c>
      <c r="Y55" s="1124">
        <f>12*$K55*'Crono Pessoal'!U55/1000</f>
        <v>53.986068758999998</v>
      </c>
      <c r="Z55" s="1124">
        <f>12*$K55*'Crono Pessoal'!V55/1000</f>
        <v>53.986068758999998</v>
      </c>
      <c r="AA55" s="1124">
        <f>12*$K55*'Crono Pessoal'!W55/1000</f>
        <v>53.986068758999998</v>
      </c>
      <c r="AB55" s="1124">
        <f>12*$K55*'Crono Pessoal'!X55/1000</f>
        <v>53.986068758999998</v>
      </c>
      <c r="AC55" s="1124">
        <f>12*$K55*'Crono Pessoal'!Y55/1000</f>
        <v>53.986068758999998</v>
      </c>
      <c r="AD55" s="1124">
        <f>12*$K55*'Crono Pessoal'!Z55/1000</f>
        <v>53.986068758999998</v>
      </c>
      <c r="AE55" s="1124">
        <f>12*$K55*'Crono Pessoal'!AA55/1000</f>
        <v>53.986068758999998</v>
      </c>
      <c r="AF55" s="1124">
        <f>12*$K55*'Crono Pessoal'!AB55/1000</f>
        <v>53.986068758999998</v>
      </c>
      <c r="AG55" s="1124">
        <f>12*$K55*'Crono Pessoal'!AC55/1000</f>
        <v>53.986068758999998</v>
      </c>
      <c r="AH55" s="1124">
        <f>12*$K55*'Crono Pessoal'!AD55/1000</f>
        <v>53.986068758999998</v>
      </c>
      <c r="AI55" s="1124">
        <f>12*$K55*'Crono Pessoal'!AE55/1000</f>
        <v>53.986068758999998</v>
      </c>
      <c r="AJ55" s="1124">
        <f>12*$K55*'Crono Pessoal'!AF55/1000</f>
        <v>53.986068758999998</v>
      </c>
      <c r="AK55" s="1124">
        <f>12*$K55*'Crono Pessoal'!AG55/1000</f>
        <v>53.986068758999998</v>
      </c>
      <c r="AL55" s="1124">
        <f>12*$K55*'Crono Pessoal'!AH55/1000</f>
        <v>53.986068758999998</v>
      </c>
      <c r="AM55" s="1124">
        <f>12*$K55*'Crono Pessoal'!AI55/1000</f>
        <v>53.986068758999998</v>
      </c>
      <c r="AN55" s="1124">
        <f>12*$K55*'Crono Pessoal'!AJ55/1000</f>
        <v>53.986068758999998</v>
      </c>
      <c r="AO55" s="1124">
        <f>12*$K55*'Crono Pessoal'!AK55/1000</f>
        <v>53.986068758999998</v>
      </c>
      <c r="AP55" s="1124">
        <f>12*$K55*'Crono Pessoal'!AL55/1000</f>
        <v>53.986068758999998</v>
      </c>
    </row>
    <row r="56" spans="1:42">
      <c r="A56" s="595"/>
      <c r="B56" s="598"/>
      <c r="C56" s="599"/>
      <c r="D56" s="260" t="s">
        <v>750</v>
      </c>
      <c r="E56" s="260">
        <v>1</v>
      </c>
      <c r="F56" s="1119" t="s">
        <v>798</v>
      </c>
      <c r="G56" s="1120" t="str">
        <f>VLOOKUP($F56,SALARIOSS!$D$6:$H$203,2,0)</f>
        <v>Operador de CPD</v>
      </c>
      <c r="H56" s="1121">
        <f>VLOOKUP($F56,SALARIOSS!$D$6:$I$203,6,0)</f>
        <v>1747.8706500000003</v>
      </c>
      <c r="I56" s="1121">
        <f>VLOOKUP($F56,Funções!$D$9:$K$200,5,0)+VLOOKUP($F56,Funções!$D$9:$K$200,6,0)</f>
        <v>2388.8945551250008</v>
      </c>
      <c r="J56" s="1121">
        <f>VLOOKUP($F56,Funções!$D$9:$K$200,7,0)</f>
        <v>95</v>
      </c>
      <c r="K56" s="1122">
        <f>SUM(H56:J56)</f>
        <v>4231.7652051250006</v>
      </c>
      <c r="L56" s="1123">
        <f>SUM(M56:AP56)</f>
        <v>0</v>
      </c>
      <c r="M56" s="1124">
        <f>12*$K56*'Crono Pessoal'!I56/1000</f>
        <v>0</v>
      </c>
      <c r="N56" s="1124">
        <f>12*$K56*'Crono Pessoal'!J56/1000</f>
        <v>0</v>
      </c>
      <c r="O56" s="1124">
        <f>12*$K56*'Crono Pessoal'!K56/1000</f>
        <v>0</v>
      </c>
      <c r="P56" s="1124">
        <f>12*$K56*'Crono Pessoal'!L56/1000</f>
        <v>0</v>
      </c>
      <c r="Q56" s="1124">
        <f>12*$K56*'Crono Pessoal'!M56/1000</f>
        <v>0</v>
      </c>
      <c r="R56" s="1124">
        <f>12*$K56*'Crono Pessoal'!N56/1000</f>
        <v>0</v>
      </c>
      <c r="S56" s="1124">
        <f>12*$K56*'Crono Pessoal'!O56/1000</f>
        <v>0</v>
      </c>
      <c r="T56" s="1124">
        <f>12*$K56*'Crono Pessoal'!P56/1000</f>
        <v>0</v>
      </c>
      <c r="U56" s="1124">
        <f>12*$K56*'Crono Pessoal'!Q56/1000</f>
        <v>0</v>
      </c>
      <c r="V56" s="1124">
        <f>12*$K56*'Crono Pessoal'!R56/1000</f>
        <v>0</v>
      </c>
      <c r="W56" s="1124">
        <f>12*$K56*'Crono Pessoal'!S56/1000</f>
        <v>0</v>
      </c>
      <c r="X56" s="1124">
        <f>12*$K56*'Crono Pessoal'!T56/1000</f>
        <v>0</v>
      </c>
      <c r="Y56" s="1124">
        <f>12*$K56*'Crono Pessoal'!U56/1000</f>
        <v>0</v>
      </c>
      <c r="Z56" s="1124">
        <f>12*$K56*'Crono Pessoal'!V56/1000</f>
        <v>0</v>
      </c>
      <c r="AA56" s="1124">
        <f>12*$K56*'Crono Pessoal'!W56/1000</f>
        <v>0</v>
      </c>
      <c r="AB56" s="1124">
        <f>12*$K56*'Crono Pessoal'!X56/1000</f>
        <v>0</v>
      </c>
      <c r="AC56" s="1124">
        <f>12*$K56*'Crono Pessoal'!Y56/1000</f>
        <v>0</v>
      </c>
      <c r="AD56" s="1124">
        <f>12*$K56*'Crono Pessoal'!Z56/1000</f>
        <v>0</v>
      </c>
      <c r="AE56" s="1124">
        <f>12*$K56*'Crono Pessoal'!AA56/1000</f>
        <v>0</v>
      </c>
      <c r="AF56" s="1124">
        <f>12*$K56*'Crono Pessoal'!AB56/1000</f>
        <v>0</v>
      </c>
      <c r="AG56" s="1124">
        <f>12*$K56*'Crono Pessoal'!AC56/1000</f>
        <v>0</v>
      </c>
      <c r="AH56" s="1124">
        <f>12*$K56*'Crono Pessoal'!AD56/1000</f>
        <v>0</v>
      </c>
      <c r="AI56" s="1124">
        <f>12*$K56*'Crono Pessoal'!AE56/1000</f>
        <v>0</v>
      </c>
      <c r="AJ56" s="1124">
        <f>12*$K56*'Crono Pessoal'!AF56/1000</f>
        <v>0</v>
      </c>
      <c r="AK56" s="1124">
        <f>12*$K56*'Crono Pessoal'!AG56/1000</f>
        <v>0</v>
      </c>
      <c r="AL56" s="1124">
        <f>12*$K56*'Crono Pessoal'!AH56/1000</f>
        <v>0</v>
      </c>
      <c r="AM56" s="1124">
        <f>12*$K56*'Crono Pessoal'!AI56/1000</f>
        <v>0</v>
      </c>
      <c r="AN56" s="1124">
        <f>12*$K56*'Crono Pessoal'!AJ56/1000</f>
        <v>0</v>
      </c>
      <c r="AO56" s="1124">
        <f>12*$K56*'Crono Pessoal'!AK56/1000</f>
        <v>0</v>
      </c>
      <c r="AP56" s="1124">
        <f>12*$K56*'Crono Pessoal'!AL56/1000</f>
        <v>0</v>
      </c>
    </row>
    <row r="57" spans="1:42">
      <c r="A57" s="595"/>
      <c r="B57" s="598"/>
      <c r="C57" s="599"/>
      <c r="D57" s="260" t="s">
        <v>750</v>
      </c>
      <c r="E57" s="260">
        <v>1</v>
      </c>
      <c r="F57" s="1119" t="s">
        <v>799</v>
      </c>
      <c r="G57" s="1120" t="str">
        <f>VLOOKUP($F57,SALARIOSS!$D$6:$H$203,2,0)</f>
        <v>Topógrafo</v>
      </c>
      <c r="H57" s="1121">
        <f>VLOOKUP($F57,SALARIOSS!$D$6:$I$203,6,0)</f>
        <v>5705.8111800000015</v>
      </c>
      <c r="I57" s="1121">
        <f>VLOOKUP($F57,Funções!$D$9:$K$200,5,0)+VLOOKUP($F57,Funções!$D$9:$K$200,6,0)</f>
        <v>5921.3564781500008</v>
      </c>
      <c r="J57" s="1121">
        <f>VLOOKUP($F57,Funções!$D$9:$K$200,7,0)</f>
        <v>95</v>
      </c>
      <c r="K57" s="1122">
        <f>SUM(H57:J57)</f>
        <v>11722.167658150003</v>
      </c>
      <c r="L57" s="1123">
        <f>SUM(M57:AP57)</f>
        <v>0</v>
      </c>
      <c r="M57" s="1124">
        <f>12*$K57*'Crono Pessoal'!I57/1000</f>
        <v>0</v>
      </c>
      <c r="N57" s="1124">
        <f>12*$K57*'Crono Pessoal'!J57/1000</f>
        <v>0</v>
      </c>
      <c r="O57" s="1124">
        <f>12*$K57*'Crono Pessoal'!K57/1000</f>
        <v>0</v>
      </c>
      <c r="P57" s="1124">
        <f>12*$K57*'Crono Pessoal'!L57/1000</f>
        <v>0</v>
      </c>
      <c r="Q57" s="1124">
        <f>12*$K57*'Crono Pessoal'!M57/1000</f>
        <v>0</v>
      </c>
      <c r="R57" s="1124">
        <f>12*$K57*'Crono Pessoal'!N57/1000</f>
        <v>0</v>
      </c>
      <c r="S57" s="1124">
        <f>12*$K57*'Crono Pessoal'!O57/1000</f>
        <v>0</v>
      </c>
      <c r="T57" s="1124">
        <f>12*$K57*'Crono Pessoal'!P57/1000</f>
        <v>0</v>
      </c>
      <c r="U57" s="1124">
        <f>12*$K57*'Crono Pessoal'!Q57/1000</f>
        <v>0</v>
      </c>
      <c r="V57" s="1124">
        <f>12*$K57*'Crono Pessoal'!R57/1000</f>
        <v>0</v>
      </c>
      <c r="W57" s="1124">
        <f>12*$K57*'Crono Pessoal'!S57/1000</f>
        <v>0</v>
      </c>
      <c r="X57" s="1124">
        <f>12*$K57*'Crono Pessoal'!T57/1000</f>
        <v>0</v>
      </c>
      <c r="Y57" s="1124">
        <f>12*$K57*'Crono Pessoal'!U57/1000</f>
        <v>0</v>
      </c>
      <c r="Z57" s="1124">
        <f>12*$K57*'Crono Pessoal'!V57/1000</f>
        <v>0</v>
      </c>
      <c r="AA57" s="1124">
        <f>12*$K57*'Crono Pessoal'!W57/1000</f>
        <v>0</v>
      </c>
      <c r="AB57" s="1124">
        <f>12*$K57*'Crono Pessoal'!X57/1000</f>
        <v>0</v>
      </c>
      <c r="AC57" s="1124">
        <f>12*$K57*'Crono Pessoal'!Y57/1000</f>
        <v>0</v>
      </c>
      <c r="AD57" s="1124">
        <f>12*$K57*'Crono Pessoal'!Z57/1000</f>
        <v>0</v>
      </c>
      <c r="AE57" s="1124">
        <f>12*$K57*'Crono Pessoal'!AA57/1000</f>
        <v>0</v>
      </c>
      <c r="AF57" s="1124">
        <f>12*$K57*'Crono Pessoal'!AB57/1000</f>
        <v>0</v>
      </c>
      <c r="AG57" s="1124">
        <f>12*$K57*'Crono Pessoal'!AC57/1000</f>
        <v>0</v>
      </c>
      <c r="AH57" s="1124">
        <f>12*$K57*'Crono Pessoal'!AD57/1000</f>
        <v>0</v>
      </c>
      <c r="AI57" s="1124">
        <f>12*$K57*'Crono Pessoal'!AE57/1000</f>
        <v>0</v>
      </c>
      <c r="AJ57" s="1124">
        <f>12*$K57*'Crono Pessoal'!AF57/1000</f>
        <v>0</v>
      </c>
      <c r="AK57" s="1124">
        <f>12*$K57*'Crono Pessoal'!AG57/1000</f>
        <v>0</v>
      </c>
      <c r="AL57" s="1124">
        <f>12*$K57*'Crono Pessoal'!AH57/1000</f>
        <v>0</v>
      </c>
      <c r="AM57" s="1124">
        <f>12*$K57*'Crono Pessoal'!AI57/1000</f>
        <v>0</v>
      </c>
      <c r="AN57" s="1124">
        <f>12*$K57*'Crono Pessoal'!AJ57/1000</f>
        <v>0</v>
      </c>
      <c r="AO57" s="1124">
        <f>12*$K57*'Crono Pessoal'!AK57/1000</f>
        <v>0</v>
      </c>
      <c r="AP57" s="1124">
        <f>12*$K57*'Crono Pessoal'!AL57/1000</f>
        <v>0</v>
      </c>
    </row>
    <row r="58" spans="1:42">
      <c r="A58" s="595"/>
      <c r="B58" s="598"/>
      <c r="C58" s="599"/>
      <c r="D58" s="260" t="s">
        <v>750</v>
      </c>
      <c r="E58" s="260">
        <v>1</v>
      </c>
      <c r="F58" s="1119" t="s">
        <v>800</v>
      </c>
      <c r="G58" s="1120" t="str">
        <f>VLOOKUP($F58,SALARIOSS!$D$6:$H$203,2,0)</f>
        <v>Assistente Técnico de Informática</v>
      </c>
      <c r="H58" s="1121">
        <f>VLOOKUP($F58,SALARIOSS!$D$6:$I$203,6,0)</f>
        <v>1888.9929000000002</v>
      </c>
      <c r="I58" s="1121">
        <f>VLOOKUP($F58,Funções!$D$9:$K$200,5,0)+VLOOKUP($F58,Funções!$D$9:$K$200,6,0)</f>
        <v>2514.8461632500002</v>
      </c>
      <c r="J58" s="1121">
        <f>VLOOKUP($F58,Funções!$D$9:$K$200,7,0)</f>
        <v>95</v>
      </c>
      <c r="K58" s="1122">
        <f>SUM(H58:J58)</f>
        <v>4498.8390632500004</v>
      </c>
      <c r="L58" s="1123">
        <f>SUM(M58:AP58)</f>
        <v>1619.5820627700007</v>
      </c>
      <c r="M58" s="1124">
        <f>12*$K58*'Crono Pessoal'!I58/1000</f>
        <v>53.986068758999998</v>
      </c>
      <c r="N58" s="1124">
        <f>12*$K58*'Crono Pessoal'!J58/1000</f>
        <v>53.986068758999998</v>
      </c>
      <c r="O58" s="1124">
        <f>12*$K58*'Crono Pessoal'!K58/1000</f>
        <v>53.986068758999998</v>
      </c>
      <c r="P58" s="1124">
        <f>12*$K58*'Crono Pessoal'!L58/1000</f>
        <v>53.986068758999998</v>
      </c>
      <c r="Q58" s="1124">
        <f>12*$K58*'Crono Pessoal'!M58/1000</f>
        <v>53.986068758999998</v>
      </c>
      <c r="R58" s="1124">
        <f>12*$K58*'Crono Pessoal'!N58/1000</f>
        <v>53.986068758999998</v>
      </c>
      <c r="S58" s="1124">
        <f>12*$K58*'Crono Pessoal'!O58/1000</f>
        <v>53.986068758999998</v>
      </c>
      <c r="T58" s="1124">
        <f>12*$K58*'Crono Pessoal'!P58/1000</f>
        <v>53.986068758999998</v>
      </c>
      <c r="U58" s="1124">
        <f>12*$K58*'Crono Pessoal'!Q58/1000</f>
        <v>53.986068758999998</v>
      </c>
      <c r="V58" s="1124">
        <f>12*$K58*'Crono Pessoal'!R58/1000</f>
        <v>53.986068758999998</v>
      </c>
      <c r="W58" s="1124">
        <f>12*$K58*'Crono Pessoal'!S58/1000</f>
        <v>53.986068758999998</v>
      </c>
      <c r="X58" s="1124">
        <f>12*$K58*'Crono Pessoal'!T58/1000</f>
        <v>53.986068758999998</v>
      </c>
      <c r="Y58" s="1124">
        <f>12*$K58*'Crono Pessoal'!U58/1000</f>
        <v>53.986068758999998</v>
      </c>
      <c r="Z58" s="1124">
        <f>12*$K58*'Crono Pessoal'!V58/1000</f>
        <v>53.986068758999998</v>
      </c>
      <c r="AA58" s="1124">
        <f>12*$K58*'Crono Pessoal'!W58/1000</f>
        <v>53.986068758999998</v>
      </c>
      <c r="AB58" s="1124">
        <f>12*$K58*'Crono Pessoal'!X58/1000</f>
        <v>53.986068758999998</v>
      </c>
      <c r="AC58" s="1124">
        <f>12*$K58*'Crono Pessoal'!Y58/1000</f>
        <v>53.986068758999998</v>
      </c>
      <c r="AD58" s="1124">
        <f>12*$K58*'Crono Pessoal'!Z58/1000</f>
        <v>53.986068758999998</v>
      </c>
      <c r="AE58" s="1124">
        <f>12*$K58*'Crono Pessoal'!AA58/1000</f>
        <v>53.986068758999998</v>
      </c>
      <c r="AF58" s="1124">
        <f>12*$K58*'Crono Pessoal'!AB58/1000</f>
        <v>53.986068758999998</v>
      </c>
      <c r="AG58" s="1124">
        <f>12*$K58*'Crono Pessoal'!AC58/1000</f>
        <v>53.986068758999998</v>
      </c>
      <c r="AH58" s="1124">
        <f>12*$K58*'Crono Pessoal'!AD58/1000</f>
        <v>53.986068758999998</v>
      </c>
      <c r="AI58" s="1124">
        <f>12*$K58*'Crono Pessoal'!AE58/1000</f>
        <v>53.986068758999998</v>
      </c>
      <c r="AJ58" s="1124">
        <f>12*$K58*'Crono Pessoal'!AF58/1000</f>
        <v>53.986068758999998</v>
      </c>
      <c r="AK58" s="1124">
        <f>12*$K58*'Crono Pessoal'!AG58/1000</f>
        <v>53.986068758999998</v>
      </c>
      <c r="AL58" s="1124">
        <f>12*$K58*'Crono Pessoal'!AH58/1000</f>
        <v>53.986068758999998</v>
      </c>
      <c r="AM58" s="1124">
        <f>12*$K58*'Crono Pessoal'!AI58/1000</f>
        <v>53.986068758999998</v>
      </c>
      <c r="AN58" s="1124">
        <f>12*$K58*'Crono Pessoal'!AJ58/1000</f>
        <v>53.986068758999998</v>
      </c>
      <c r="AO58" s="1124">
        <f>12*$K58*'Crono Pessoal'!AK58/1000</f>
        <v>53.986068758999998</v>
      </c>
      <c r="AP58" s="1124">
        <f>12*$K58*'Crono Pessoal'!AL58/1000</f>
        <v>53.986068758999998</v>
      </c>
    </row>
    <row r="59" spans="1:42">
      <c r="A59" s="595"/>
      <c r="B59" s="598"/>
      <c r="C59" s="599"/>
      <c r="D59" s="260" t="s">
        <v>750</v>
      </c>
      <c r="E59" s="260"/>
      <c r="F59" s="1119"/>
      <c r="G59" s="1126" t="s">
        <v>801</v>
      </c>
      <c r="H59" s="1122"/>
      <c r="I59" s="1122"/>
      <c r="J59" s="1122"/>
      <c r="K59" s="1122"/>
      <c r="L59" s="1123"/>
      <c r="M59" s="1124"/>
      <c r="N59" s="1124"/>
      <c r="O59" s="1124"/>
      <c r="P59" s="1124"/>
      <c r="Q59" s="1124"/>
      <c r="R59" s="1124"/>
      <c r="S59" s="1124"/>
      <c r="T59" s="1124"/>
      <c r="U59" s="1124"/>
      <c r="V59" s="1124"/>
      <c r="W59" s="1124"/>
      <c r="X59" s="1124"/>
      <c r="Y59" s="1124"/>
      <c r="Z59" s="1124"/>
      <c r="AA59" s="1124"/>
      <c r="AB59" s="1124"/>
      <c r="AC59" s="1124"/>
      <c r="AD59" s="1124"/>
      <c r="AE59" s="1124"/>
      <c r="AF59" s="1124"/>
      <c r="AG59" s="1124"/>
      <c r="AH59" s="1124"/>
      <c r="AI59" s="1124"/>
      <c r="AJ59" s="1124"/>
      <c r="AK59" s="1124"/>
      <c r="AL59" s="1124"/>
      <c r="AM59" s="1124"/>
      <c r="AN59" s="1124"/>
      <c r="AO59" s="1124"/>
      <c r="AP59" s="1124"/>
    </row>
    <row r="60" spans="1:42">
      <c r="A60" s="595"/>
      <c r="B60" s="598"/>
      <c r="C60" s="599"/>
      <c r="D60" s="260" t="s">
        <v>750</v>
      </c>
      <c r="E60" s="260">
        <v>1</v>
      </c>
      <c r="F60" s="1119" t="s">
        <v>786</v>
      </c>
      <c r="G60" s="1120" t="str">
        <f>VLOOKUP($F60,SALARIOSS!$D$6:$H$203,2,0)</f>
        <v>Encarregado Administrativo</v>
      </c>
      <c r="H60" s="1121">
        <f>VLOOKUP($F60,SALARIOSS!$D$6:$I$203,6,0)</f>
        <v>2471.7528000000002</v>
      </c>
      <c r="I60" s="1121">
        <f>VLOOKUP($F60,Funções!$D$9:$K$200,5,0)+VLOOKUP($F60,Funções!$D$9:$K$200,6,0)</f>
        <v>3034.9593740000005</v>
      </c>
      <c r="J60" s="1121">
        <f>VLOOKUP($F60,Funções!$D$9:$K$200,7,0)</f>
        <v>95</v>
      </c>
      <c r="K60" s="1122">
        <f t="shared" ref="K60:K68" si="3">SUM(H60:J60)</f>
        <v>5601.7121740000002</v>
      </c>
      <c r="L60" s="1123">
        <f t="shared" si="2"/>
        <v>2016.61638264</v>
      </c>
      <c r="M60" s="1124">
        <f>12*$K60*'Crono Pessoal'!I60/1000</f>
        <v>67.220546088000006</v>
      </c>
      <c r="N60" s="1124">
        <f>12*$K60*'Crono Pessoal'!J60/1000</f>
        <v>67.220546088000006</v>
      </c>
      <c r="O60" s="1124">
        <f>12*$K60*'Crono Pessoal'!K60/1000</f>
        <v>67.220546088000006</v>
      </c>
      <c r="P60" s="1124">
        <f>12*$K60*'Crono Pessoal'!L60/1000</f>
        <v>67.220546088000006</v>
      </c>
      <c r="Q60" s="1124">
        <f>12*$K60*'Crono Pessoal'!M60/1000</f>
        <v>67.220546088000006</v>
      </c>
      <c r="R60" s="1124">
        <f>12*$K60*'Crono Pessoal'!N60/1000</f>
        <v>67.220546088000006</v>
      </c>
      <c r="S60" s="1124">
        <f>12*$K60*'Crono Pessoal'!O60/1000</f>
        <v>67.220546088000006</v>
      </c>
      <c r="T60" s="1124">
        <f>12*$K60*'Crono Pessoal'!P60/1000</f>
        <v>67.220546088000006</v>
      </c>
      <c r="U60" s="1124">
        <f>12*$K60*'Crono Pessoal'!Q60/1000</f>
        <v>67.220546088000006</v>
      </c>
      <c r="V60" s="1124">
        <f>12*$K60*'Crono Pessoal'!R60/1000</f>
        <v>67.220546088000006</v>
      </c>
      <c r="W60" s="1124">
        <f>12*$K60*'Crono Pessoal'!S60/1000</f>
        <v>67.220546088000006</v>
      </c>
      <c r="X60" s="1124">
        <f>12*$K60*'Crono Pessoal'!T60/1000</f>
        <v>67.220546088000006</v>
      </c>
      <c r="Y60" s="1124">
        <f>12*$K60*'Crono Pessoal'!U60/1000</f>
        <v>67.220546088000006</v>
      </c>
      <c r="Z60" s="1124">
        <f>12*$K60*'Crono Pessoal'!V60/1000</f>
        <v>67.220546088000006</v>
      </c>
      <c r="AA60" s="1124">
        <f>12*$K60*'Crono Pessoal'!W60/1000</f>
        <v>67.220546088000006</v>
      </c>
      <c r="AB60" s="1124">
        <f>12*$K60*'Crono Pessoal'!X60/1000</f>
        <v>67.220546088000006</v>
      </c>
      <c r="AC60" s="1124">
        <f>12*$K60*'Crono Pessoal'!Y60/1000</f>
        <v>67.220546088000006</v>
      </c>
      <c r="AD60" s="1124">
        <f>12*$K60*'Crono Pessoal'!Z60/1000</f>
        <v>67.220546088000006</v>
      </c>
      <c r="AE60" s="1124">
        <f>12*$K60*'Crono Pessoal'!AA60/1000</f>
        <v>67.220546088000006</v>
      </c>
      <c r="AF60" s="1124">
        <f>12*$K60*'Crono Pessoal'!AB60/1000</f>
        <v>67.220546088000006</v>
      </c>
      <c r="AG60" s="1124">
        <f>12*$K60*'Crono Pessoal'!AC60/1000</f>
        <v>67.220546088000006</v>
      </c>
      <c r="AH60" s="1124">
        <f>12*$K60*'Crono Pessoal'!AD60/1000</f>
        <v>67.220546088000006</v>
      </c>
      <c r="AI60" s="1124">
        <f>12*$K60*'Crono Pessoal'!AE60/1000</f>
        <v>67.220546088000006</v>
      </c>
      <c r="AJ60" s="1124">
        <f>12*$K60*'Crono Pessoal'!AF60/1000</f>
        <v>67.220546088000006</v>
      </c>
      <c r="AK60" s="1124">
        <f>12*$K60*'Crono Pessoal'!AG60/1000</f>
        <v>67.220546088000006</v>
      </c>
      <c r="AL60" s="1124">
        <f>12*$K60*'Crono Pessoal'!AH60/1000</f>
        <v>67.220546088000006</v>
      </c>
      <c r="AM60" s="1124">
        <f>12*$K60*'Crono Pessoal'!AI60/1000</f>
        <v>67.220546088000006</v>
      </c>
      <c r="AN60" s="1124">
        <f>12*$K60*'Crono Pessoal'!AJ60/1000</f>
        <v>67.220546088000006</v>
      </c>
      <c r="AO60" s="1124">
        <f>12*$K60*'Crono Pessoal'!AK60/1000</f>
        <v>67.220546088000006</v>
      </c>
      <c r="AP60" s="1124">
        <f>12*$K60*'Crono Pessoal'!AL60/1000</f>
        <v>67.220546088000006</v>
      </c>
    </row>
    <row r="61" spans="1:42">
      <c r="A61" s="595"/>
      <c r="B61" s="598"/>
      <c r="C61" s="599"/>
      <c r="D61" s="260" t="s">
        <v>750</v>
      </c>
      <c r="E61" s="260">
        <v>1</v>
      </c>
      <c r="F61" s="1119" t="s">
        <v>795</v>
      </c>
      <c r="G61" s="1120" t="str">
        <f>VLOOKUP($F61,SALARIOSS!$D$6:$H$203,2,0)</f>
        <v>Auxiliar Administrativo I</v>
      </c>
      <c r="H61" s="1121">
        <f>VLOOKUP($F61,SALARIOSS!$D$6:$I$203,6,0)</f>
        <v>1483.4880000000003</v>
      </c>
      <c r="I61" s="1121">
        <f>VLOOKUP($F61,Funções!$D$9:$K$200,5,0)+VLOOKUP($F61,Funções!$D$9:$K$200,6,0)</f>
        <v>2152.9330400000003</v>
      </c>
      <c r="J61" s="1121">
        <f>VLOOKUP($F61,Funções!$D$9:$K$200,7,0)</f>
        <v>95</v>
      </c>
      <c r="K61" s="1122">
        <f t="shared" si="3"/>
        <v>3731.4210400000006</v>
      </c>
      <c r="L61" s="1123">
        <f t="shared" si="2"/>
        <v>1343.3115744000013</v>
      </c>
      <c r="M61" s="1124">
        <f>12*$K61*'Crono Pessoal'!I61/1000</f>
        <v>44.777052480000009</v>
      </c>
      <c r="N61" s="1124">
        <f>12*$K61*'Crono Pessoal'!J61/1000</f>
        <v>44.777052480000009</v>
      </c>
      <c r="O61" s="1124">
        <f>12*$K61*'Crono Pessoal'!K61/1000</f>
        <v>44.777052480000009</v>
      </c>
      <c r="P61" s="1124">
        <f>12*$K61*'Crono Pessoal'!L61/1000</f>
        <v>44.777052480000009</v>
      </c>
      <c r="Q61" s="1124">
        <f>12*$K61*'Crono Pessoal'!M61/1000</f>
        <v>44.777052480000009</v>
      </c>
      <c r="R61" s="1124">
        <f>12*$K61*'Crono Pessoal'!N61/1000</f>
        <v>44.777052480000009</v>
      </c>
      <c r="S61" s="1124">
        <f>12*$K61*'Crono Pessoal'!O61/1000</f>
        <v>44.777052480000009</v>
      </c>
      <c r="T61" s="1124">
        <f>12*$K61*'Crono Pessoal'!P61/1000</f>
        <v>44.777052480000009</v>
      </c>
      <c r="U61" s="1124">
        <f>12*$K61*'Crono Pessoal'!Q61/1000</f>
        <v>44.777052480000009</v>
      </c>
      <c r="V61" s="1124">
        <f>12*$K61*'Crono Pessoal'!R61/1000</f>
        <v>44.777052480000009</v>
      </c>
      <c r="W61" s="1124">
        <f>12*$K61*'Crono Pessoal'!S61/1000</f>
        <v>44.777052480000009</v>
      </c>
      <c r="X61" s="1124">
        <f>12*$K61*'Crono Pessoal'!T61/1000</f>
        <v>44.777052480000009</v>
      </c>
      <c r="Y61" s="1124">
        <f>12*$K61*'Crono Pessoal'!U61/1000</f>
        <v>44.777052480000009</v>
      </c>
      <c r="Z61" s="1124">
        <f>12*$K61*'Crono Pessoal'!V61/1000</f>
        <v>44.777052480000009</v>
      </c>
      <c r="AA61" s="1124">
        <f>12*$K61*'Crono Pessoal'!W61/1000</f>
        <v>44.777052480000009</v>
      </c>
      <c r="AB61" s="1124">
        <f>12*$K61*'Crono Pessoal'!X61/1000</f>
        <v>44.777052480000009</v>
      </c>
      <c r="AC61" s="1124">
        <f>12*$K61*'Crono Pessoal'!Y61/1000</f>
        <v>44.777052480000009</v>
      </c>
      <c r="AD61" s="1124">
        <f>12*$K61*'Crono Pessoal'!Z61/1000</f>
        <v>44.777052480000009</v>
      </c>
      <c r="AE61" s="1124">
        <f>12*$K61*'Crono Pessoal'!AA61/1000</f>
        <v>44.777052480000009</v>
      </c>
      <c r="AF61" s="1124">
        <f>12*$K61*'Crono Pessoal'!AB61/1000</f>
        <v>44.777052480000009</v>
      </c>
      <c r="AG61" s="1124">
        <f>12*$K61*'Crono Pessoal'!AC61/1000</f>
        <v>44.777052480000009</v>
      </c>
      <c r="AH61" s="1124">
        <f>12*$K61*'Crono Pessoal'!AD61/1000</f>
        <v>44.777052480000009</v>
      </c>
      <c r="AI61" s="1124">
        <f>12*$K61*'Crono Pessoal'!AE61/1000</f>
        <v>44.777052480000009</v>
      </c>
      <c r="AJ61" s="1124">
        <f>12*$K61*'Crono Pessoal'!AF61/1000</f>
        <v>44.777052480000009</v>
      </c>
      <c r="AK61" s="1124">
        <f>12*$K61*'Crono Pessoal'!AG61/1000</f>
        <v>44.777052480000009</v>
      </c>
      <c r="AL61" s="1124">
        <f>12*$K61*'Crono Pessoal'!AH61/1000</f>
        <v>44.777052480000009</v>
      </c>
      <c r="AM61" s="1124">
        <f>12*$K61*'Crono Pessoal'!AI61/1000</f>
        <v>44.777052480000009</v>
      </c>
      <c r="AN61" s="1124">
        <f>12*$K61*'Crono Pessoal'!AJ61/1000</f>
        <v>44.777052480000009</v>
      </c>
      <c r="AO61" s="1124">
        <f>12*$K61*'Crono Pessoal'!AK61/1000</f>
        <v>44.777052480000009</v>
      </c>
      <c r="AP61" s="1124">
        <f>12*$K61*'Crono Pessoal'!AL61/1000</f>
        <v>44.777052480000009</v>
      </c>
    </row>
    <row r="62" spans="1:42">
      <c r="A62" s="595"/>
      <c r="B62" s="598"/>
      <c r="C62" s="599"/>
      <c r="D62" s="260" t="s">
        <v>750</v>
      </c>
      <c r="E62" s="260">
        <v>1</v>
      </c>
      <c r="F62" s="1119" t="s">
        <v>767</v>
      </c>
      <c r="G62" s="1120" t="str">
        <f>VLOOKUP($F62,SALARIOSS!$D$6:$H$203,2,0)</f>
        <v>Secretária</v>
      </c>
      <c r="H62" s="1121">
        <f>VLOOKUP($F62,SALARIOSS!$D$6:$I$203,6,0)</f>
        <v>3404.7000000000003</v>
      </c>
      <c r="I62" s="1121">
        <f>VLOOKUP($F62,Funções!$D$9:$K$200,5,0)+VLOOKUP($F62,Funções!$D$9:$K$200,6,0)</f>
        <v>3867.6147500000002</v>
      </c>
      <c r="J62" s="1121">
        <f>VLOOKUP($F62,Funções!$D$9:$K$200,7,0)</f>
        <v>95</v>
      </c>
      <c r="K62" s="1122">
        <f t="shared" si="3"/>
        <v>7367.3147500000005</v>
      </c>
      <c r="L62" s="1123">
        <f t="shared" si="2"/>
        <v>0</v>
      </c>
      <c r="M62" s="1124">
        <f>12*$K62*'Crono Pessoal'!I62/1000</f>
        <v>0</v>
      </c>
      <c r="N62" s="1124">
        <f>12*$K62*'Crono Pessoal'!J62/1000</f>
        <v>0</v>
      </c>
      <c r="O62" s="1124">
        <f>12*$K62*'Crono Pessoal'!K62/1000</f>
        <v>0</v>
      </c>
      <c r="P62" s="1124">
        <f>12*$K62*'Crono Pessoal'!L62/1000</f>
        <v>0</v>
      </c>
      <c r="Q62" s="1124">
        <f>12*$K62*'Crono Pessoal'!M62/1000</f>
        <v>0</v>
      </c>
      <c r="R62" s="1124">
        <f>12*$K62*'Crono Pessoal'!N62/1000</f>
        <v>0</v>
      </c>
      <c r="S62" s="1124">
        <f>12*$K62*'Crono Pessoal'!O62/1000</f>
        <v>0</v>
      </c>
      <c r="T62" s="1124">
        <f>12*$K62*'Crono Pessoal'!P62/1000</f>
        <v>0</v>
      </c>
      <c r="U62" s="1124">
        <f>12*$K62*'Crono Pessoal'!Q62/1000</f>
        <v>0</v>
      </c>
      <c r="V62" s="1124">
        <f>12*$K62*'Crono Pessoal'!R62/1000</f>
        <v>0</v>
      </c>
      <c r="W62" s="1124">
        <f>12*$K62*'Crono Pessoal'!S62/1000</f>
        <v>0</v>
      </c>
      <c r="X62" s="1124">
        <f>12*$K62*'Crono Pessoal'!T62/1000</f>
        <v>0</v>
      </c>
      <c r="Y62" s="1124">
        <f>12*$K62*'Crono Pessoal'!U62/1000</f>
        <v>0</v>
      </c>
      <c r="Z62" s="1124">
        <f>12*$K62*'Crono Pessoal'!V62/1000</f>
        <v>0</v>
      </c>
      <c r="AA62" s="1124">
        <f>12*$K62*'Crono Pessoal'!W62/1000</f>
        <v>0</v>
      </c>
      <c r="AB62" s="1124">
        <f>12*$K62*'Crono Pessoal'!X62/1000</f>
        <v>0</v>
      </c>
      <c r="AC62" s="1124">
        <f>12*$K62*'Crono Pessoal'!Y62/1000</f>
        <v>0</v>
      </c>
      <c r="AD62" s="1124">
        <f>12*$K62*'Crono Pessoal'!Z62/1000</f>
        <v>0</v>
      </c>
      <c r="AE62" s="1124">
        <f>12*$K62*'Crono Pessoal'!AA62/1000</f>
        <v>0</v>
      </c>
      <c r="AF62" s="1124">
        <f>12*$K62*'Crono Pessoal'!AB62/1000</f>
        <v>0</v>
      </c>
      <c r="AG62" s="1124">
        <f>12*$K62*'Crono Pessoal'!AC62/1000</f>
        <v>0</v>
      </c>
      <c r="AH62" s="1124">
        <f>12*$K62*'Crono Pessoal'!AD62/1000</f>
        <v>0</v>
      </c>
      <c r="AI62" s="1124">
        <f>12*$K62*'Crono Pessoal'!AE62/1000</f>
        <v>0</v>
      </c>
      <c r="AJ62" s="1124">
        <f>12*$K62*'Crono Pessoal'!AF62/1000</f>
        <v>0</v>
      </c>
      <c r="AK62" s="1124">
        <f>12*$K62*'Crono Pessoal'!AG62/1000</f>
        <v>0</v>
      </c>
      <c r="AL62" s="1124">
        <f>12*$K62*'Crono Pessoal'!AH62/1000</f>
        <v>0</v>
      </c>
      <c r="AM62" s="1124">
        <f>12*$K62*'Crono Pessoal'!AI62/1000</f>
        <v>0</v>
      </c>
      <c r="AN62" s="1124">
        <f>12*$K62*'Crono Pessoal'!AJ62/1000</f>
        <v>0</v>
      </c>
      <c r="AO62" s="1124">
        <f>12*$K62*'Crono Pessoal'!AK62/1000</f>
        <v>0</v>
      </c>
      <c r="AP62" s="1124">
        <f>12*$K62*'Crono Pessoal'!AL62/1000</f>
        <v>0</v>
      </c>
    </row>
    <row r="63" spans="1:42">
      <c r="A63" s="595"/>
      <c r="B63" s="598"/>
      <c r="C63" s="599"/>
      <c r="D63" s="260" t="s">
        <v>750</v>
      </c>
      <c r="E63" s="260">
        <v>1</v>
      </c>
      <c r="F63" s="1119" t="s">
        <v>802</v>
      </c>
      <c r="G63" s="1120" t="str">
        <f>VLOOKUP($F63,SALARIOSS!$D$6:$H$203,2,0)</f>
        <v>Recepcionista</v>
      </c>
      <c r="H63" s="1121">
        <f>VLOOKUP($F63,SALARIOSS!$D$6:$I$203,6,0)</f>
        <v>1432.9021500000003</v>
      </c>
      <c r="I63" s="1121">
        <f>VLOOKUP($F63,Funções!$D$9:$K$200,5,0)+VLOOKUP($F63,Funções!$D$9:$K$200,6,0)</f>
        <v>2107.7851688750006</v>
      </c>
      <c r="J63" s="1121">
        <f>VLOOKUP($F63,Funções!$D$9:$K$200,7,0)</f>
        <v>95</v>
      </c>
      <c r="K63" s="1122">
        <f t="shared" si="3"/>
        <v>3635.687318875001</v>
      </c>
      <c r="L63" s="1123">
        <f t="shared" si="2"/>
        <v>0</v>
      </c>
      <c r="M63" s="1124">
        <f>12*$K63*'Crono Pessoal'!I63/1000</f>
        <v>0</v>
      </c>
      <c r="N63" s="1124">
        <f>12*$K63*'Crono Pessoal'!J63/1000</f>
        <v>0</v>
      </c>
      <c r="O63" s="1124">
        <f>12*$K63*'Crono Pessoal'!K63/1000</f>
        <v>0</v>
      </c>
      <c r="P63" s="1124">
        <f>12*$K63*'Crono Pessoal'!L63/1000</f>
        <v>0</v>
      </c>
      <c r="Q63" s="1124">
        <f>12*$K63*'Crono Pessoal'!M63/1000</f>
        <v>0</v>
      </c>
      <c r="R63" s="1124">
        <f>12*$K63*'Crono Pessoal'!N63/1000</f>
        <v>0</v>
      </c>
      <c r="S63" s="1124">
        <f>12*$K63*'Crono Pessoal'!O63/1000</f>
        <v>0</v>
      </c>
      <c r="T63" s="1124">
        <f>12*$K63*'Crono Pessoal'!P63/1000</f>
        <v>0</v>
      </c>
      <c r="U63" s="1124">
        <f>12*$K63*'Crono Pessoal'!Q63/1000</f>
        <v>0</v>
      </c>
      <c r="V63" s="1124">
        <f>12*$K63*'Crono Pessoal'!R63/1000</f>
        <v>0</v>
      </c>
      <c r="W63" s="1124">
        <f>12*$K63*'Crono Pessoal'!S63/1000</f>
        <v>0</v>
      </c>
      <c r="X63" s="1124">
        <f>12*$K63*'Crono Pessoal'!T63/1000</f>
        <v>0</v>
      </c>
      <c r="Y63" s="1124">
        <f>12*$K63*'Crono Pessoal'!U63/1000</f>
        <v>0</v>
      </c>
      <c r="Z63" s="1124">
        <f>12*$K63*'Crono Pessoal'!V63/1000</f>
        <v>0</v>
      </c>
      <c r="AA63" s="1124">
        <f>12*$K63*'Crono Pessoal'!W63/1000</f>
        <v>0</v>
      </c>
      <c r="AB63" s="1124">
        <f>12*$K63*'Crono Pessoal'!X63/1000</f>
        <v>0</v>
      </c>
      <c r="AC63" s="1124">
        <f>12*$K63*'Crono Pessoal'!Y63/1000</f>
        <v>0</v>
      </c>
      <c r="AD63" s="1124">
        <f>12*$K63*'Crono Pessoal'!Z63/1000</f>
        <v>0</v>
      </c>
      <c r="AE63" s="1124">
        <f>12*$K63*'Crono Pessoal'!AA63/1000</f>
        <v>0</v>
      </c>
      <c r="AF63" s="1124">
        <f>12*$K63*'Crono Pessoal'!AB63/1000</f>
        <v>0</v>
      </c>
      <c r="AG63" s="1124">
        <f>12*$K63*'Crono Pessoal'!AC63/1000</f>
        <v>0</v>
      </c>
      <c r="AH63" s="1124">
        <f>12*$K63*'Crono Pessoal'!AD63/1000</f>
        <v>0</v>
      </c>
      <c r="AI63" s="1124">
        <f>12*$K63*'Crono Pessoal'!AE63/1000</f>
        <v>0</v>
      </c>
      <c r="AJ63" s="1124">
        <f>12*$K63*'Crono Pessoal'!AF63/1000</f>
        <v>0</v>
      </c>
      <c r="AK63" s="1124">
        <f>12*$K63*'Crono Pessoal'!AG63/1000</f>
        <v>0</v>
      </c>
      <c r="AL63" s="1124">
        <f>12*$K63*'Crono Pessoal'!AH63/1000</f>
        <v>0</v>
      </c>
      <c r="AM63" s="1124">
        <f>12*$K63*'Crono Pessoal'!AI63/1000</f>
        <v>0</v>
      </c>
      <c r="AN63" s="1124">
        <f>12*$K63*'Crono Pessoal'!AJ63/1000</f>
        <v>0</v>
      </c>
      <c r="AO63" s="1124">
        <f>12*$K63*'Crono Pessoal'!AK63/1000</f>
        <v>0</v>
      </c>
      <c r="AP63" s="1124">
        <f>12*$K63*'Crono Pessoal'!AL63/1000</f>
        <v>0</v>
      </c>
    </row>
    <row r="64" spans="1:42">
      <c r="A64" s="595"/>
      <c r="B64" s="598"/>
      <c r="C64" s="599"/>
      <c r="D64" s="260" t="s">
        <v>750</v>
      </c>
      <c r="E64" s="260">
        <v>1</v>
      </c>
      <c r="F64" s="1119" t="s">
        <v>803</v>
      </c>
      <c r="G64" s="1120" t="str">
        <f>VLOOKUP($F64,SALARIOSS!$D$6:$H$203,2,0)</f>
        <v>Mensageiro</v>
      </c>
      <c r="H64" s="1121">
        <f>VLOOKUP($F64,SALARIOSS!$D$6:$I$203,6,0)</f>
        <v>1432.9021500000003</v>
      </c>
      <c r="I64" s="1121">
        <f>VLOOKUP($F64,Funções!$D$9:$K$200,5,0)+VLOOKUP($F64,Funções!$D$9:$K$200,6,0)</f>
        <v>2107.7851688750006</v>
      </c>
      <c r="J64" s="1121">
        <f>VLOOKUP($F64,Funções!$D$9:$K$200,7,0)</f>
        <v>95</v>
      </c>
      <c r="K64" s="1122">
        <f t="shared" si="3"/>
        <v>3635.687318875001</v>
      </c>
      <c r="L64" s="1123">
        <f t="shared" si="2"/>
        <v>0</v>
      </c>
      <c r="M64" s="1124">
        <f>12*$K64*'Crono Pessoal'!I64/1000</f>
        <v>0</v>
      </c>
      <c r="N64" s="1124">
        <f>12*$K64*'Crono Pessoal'!J64/1000</f>
        <v>0</v>
      </c>
      <c r="O64" s="1124">
        <f>12*$K64*'Crono Pessoal'!K64/1000</f>
        <v>0</v>
      </c>
      <c r="P64" s="1124">
        <f>12*$K64*'Crono Pessoal'!L64/1000</f>
        <v>0</v>
      </c>
      <c r="Q64" s="1124">
        <f>12*$K64*'Crono Pessoal'!M64/1000</f>
        <v>0</v>
      </c>
      <c r="R64" s="1124">
        <f>12*$K64*'Crono Pessoal'!N64/1000</f>
        <v>0</v>
      </c>
      <c r="S64" s="1124">
        <f>12*$K64*'Crono Pessoal'!O64/1000</f>
        <v>0</v>
      </c>
      <c r="T64" s="1124">
        <f>12*$K64*'Crono Pessoal'!P64/1000</f>
        <v>0</v>
      </c>
      <c r="U64" s="1124">
        <f>12*$K64*'Crono Pessoal'!Q64/1000</f>
        <v>0</v>
      </c>
      <c r="V64" s="1124">
        <f>12*$K64*'Crono Pessoal'!R64/1000</f>
        <v>0</v>
      </c>
      <c r="W64" s="1124">
        <f>12*$K64*'Crono Pessoal'!S64/1000</f>
        <v>0</v>
      </c>
      <c r="X64" s="1124">
        <f>12*$K64*'Crono Pessoal'!T64/1000</f>
        <v>0</v>
      </c>
      <c r="Y64" s="1124">
        <f>12*$K64*'Crono Pessoal'!U64/1000</f>
        <v>0</v>
      </c>
      <c r="Z64" s="1124">
        <f>12*$K64*'Crono Pessoal'!V64/1000</f>
        <v>0</v>
      </c>
      <c r="AA64" s="1124">
        <f>12*$K64*'Crono Pessoal'!W64/1000</f>
        <v>0</v>
      </c>
      <c r="AB64" s="1124">
        <f>12*$K64*'Crono Pessoal'!X64/1000</f>
        <v>0</v>
      </c>
      <c r="AC64" s="1124">
        <f>12*$K64*'Crono Pessoal'!Y64/1000</f>
        <v>0</v>
      </c>
      <c r="AD64" s="1124">
        <f>12*$K64*'Crono Pessoal'!Z64/1000</f>
        <v>0</v>
      </c>
      <c r="AE64" s="1124">
        <f>12*$K64*'Crono Pessoal'!AA64/1000</f>
        <v>0</v>
      </c>
      <c r="AF64" s="1124">
        <f>12*$K64*'Crono Pessoal'!AB64/1000</f>
        <v>0</v>
      </c>
      <c r="AG64" s="1124">
        <f>12*$K64*'Crono Pessoal'!AC64/1000</f>
        <v>0</v>
      </c>
      <c r="AH64" s="1124">
        <f>12*$K64*'Crono Pessoal'!AD64/1000</f>
        <v>0</v>
      </c>
      <c r="AI64" s="1124">
        <f>12*$K64*'Crono Pessoal'!AE64/1000</f>
        <v>0</v>
      </c>
      <c r="AJ64" s="1124">
        <f>12*$K64*'Crono Pessoal'!AF64/1000</f>
        <v>0</v>
      </c>
      <c r="AK64" s="1124">
        <f>12*$K64*'Crono Pessoal'!AG64/1000</f>
        <v>0</v>
      </c>
      <c r="AL64" s="1124">
        <f>12*$K64*'Crono Pessoal'!AH64/1000</f>
        <v>0</v>
      </c>
      <c r="AM64" s="1124">
        <f>12*$K64*'Crono Pessoal'!AI64/1000</f>
        <v>0</v>
      </c>
      <c r="AN64" s="1124">
        <f>12*$K64*'Crono Pessoal'!AJ64/1000</f>
        <v>0</v>
      </c>
      <c r="AO64" s="1124">
        <f>12*$K64*'Crono Pessoal'!AK64/1000</f>
        <v>0</v>
      </c>
      <c r="AP64" s="1124">
        <f>12*$K64*'Crono Pessoal'!AL64/1000</f>
        <v>0</v>
      </c>
    </row>
    <row r="65" spans="1:42">
      <c r="A65" s="595"/>
      <c r="B65" s="598"/>
      <c r="C65" s="599"/>
      <c r="D65" s="260" t="s">
        <v>750</v>
      </c>
      <c r="E65" s="260">
        <v>1</v>
      </c>
      <c r="F65" s="1119" t="s">
        <v>804</v>
      </c>
      <c r="G65" s="1120" t="str">
        <f>VLOOKUP($F65,SALARIOSS!$D$6:$H$203,2,0)</f>
        <v>Telefonista 0800</v>
      </c>
      <c r="H65" s="1121">
        <f>VLOOKUP($F65,SALARIOSS!$D$6:$I$203,6,0)</f>
        <v>1483.4880000000003</v>
      </c>
      <c r="I65" s="1121">
        <f>VLOOKUP($F65,Funções!$D$9:$K$200,5,0)+VLOOKUP($F65,Funções!$D$9:$K$200,6,0)</f>
        <v>2152.9330400000003</v>
      </c>
      <c r="J65" s="1121">
        <f>VLOOKUP($F65,Funções!$D$9:$K$200,7,0)</f>
        <v>95</v>
      </c>
      <c r="K65" s="1122">
        <f>SUM(H65:J65)</f>
        <v>3731.4210400000006</v>
      </c>
      <c r="L65" s="1123">
        <f>SUM(M65:AP65)</f>
        <v>6716.5578720000021</v>
      </c>
      <c r="M65" s="1124">
        <f>12*$K65*'Crono Pessoal'!I65/1000</f>
        <v>223.88526240000004</v>
      </c>
      <c r="N65" s="1124">
        <f>12*$K65*'Crono Pessoal'!J65/1000</f>
        <v>223.88526240000004</v>
      </c>
      <c r="O65" s="1124">
        <f>12*$K65*'Crono Pessoal'!K65/1000</f>
        <v>223.88526240000004</v>
      </c>
      <c r="P65" s="1124">
        <f>12*$K65*'Crono Pessoal'!L65/1000</f>
        <v>223.88526240000004</v>
      </c>
      <c r="Q65" s="1124">
        <f>12*$K65*'Crono Pessoal'!M65/1000</f>
        <v>223.88526240000004</v>
      </c>
      <c r="R65" s="1124">
        <f>12*$K65*'Crono Pessoal'!N65/1000</f>
        <v>223.88526240000004</v>
      </c>
      <c r="S65" s="1124">
        <f>12*$K65*'Crono Pessoal'!O65/1000</f>
        <v>223.88526240000004</v>
      </c>
      <c r="T65" s="1124">
        <f>12*$K65*'Crono Pessoal'!P65/1000</f>
        <v>223.88526240000004</v>
      </c>
      <c r="U65" s="1124">
        <f>12*$K65*'Crono Pessoal'!Q65/1000</f>
        <v>223.88526240000004</v>
      </c>
      <c r="V65" s="1124">
        <f>12*$K65*'Crono Pessoal'!R65/1000</f>
        <v>223.88526240000004</v>
      </c>
      <c r="W65" s="1124">
        <f>12*$K65*'Crono Pessoal'!S65/1000</f>
        <v>223.88526240000004</v>
      </c>
      <c r="X65" s="1124">
        <f>12*$K65*'Crono Pessoal'!T65/1000</f>
        <v>223.88526240000004</v>
      </c>
      <c r="Y65" s="1124">
        <f>12*$K65*'Crono Pessoal'!U65/1000</f>
        <v>223.88526240000004</v>
      </c>
      <c r="Z65" s="1124">
        <f>12*$K65*'Crono Pessoal'!V65/1000</f>
        <v>223.88526240000004</v>
      </c>
      <c r="AA65" s="1124">
        <f>12*$K65*'Crono Pessoal'!W65/1000</f>
        <v>223.88526240000004</v>
      </c>
      <c r="AB65" s="1124">
        <f>12*$K65*'Crono Pessoal'!X65/1000</f>
        <v>223.88526240000004</v>
      </c>
      <c r="AC65" s="1124">
        <f>12*$K65*'Crono Pessoal'!Y65/1000</f>
        <v>223.88526240000004</v>
      </c>
      <c r="AD65" s="1124">
        <f>12*$K65*'Crono Pessoal'!Z65/1000</f>
        <v>223.88526240000004</v>
      </c>
      <c r="AE65" s="1124">
        <f>12*$K65*'Crono Pessoal'!AA65/1000</f>
        <v>223.88526240000004</v>
      </c>
      <c r="AF65" s="1124">
        <f>12*$K65*'Crono Pessoal'!AB65/1000</f>
        <v>223.88526240000004</v>
      </c>
      <c r="AG65" s="1124">
        <f>12*$K65*'Crono Pessoal'!AC65/1000</f>
        <v>223.88526240000004</v>
      </c>
      <c r="AH65" s="1124">
        <f>12*$K65*'Crono Pessoal'!AD65/1000</f>
        <v>223.88526240000004</v>
      </c>
      <c r="AI65" s="1124">
        <f>12*$K65*'Crono Pessoal'!AE65/1000</f>
        <v>223.88526240000004</v>
      </c>
      <c r="AJ65" s="1124">
        <f>12*$K65*'Crono Pessoal'!AF65/1000</f>
        <v>223.88526240000004</v>
      </c>
      <c r="AK65" s="1124">
        <f>12*$K65*'Crono Pessoal'!AG65/1000</f>
        <v>223.88526240000004</v>
      </c>
      <c r="AL65" s="1124">
        <f>12*$K65*'Crono Pessoal'!AH65/1000</f>
        <v>223.88526240000004</v>
      </c>
      <c r="AM65" s="1124">
        <f>12*$K65*'Crono Pessoal'!AI65/1000</f>
        <v>223.88526240000004</v>
      </c>
      <c r="AN65" s="1124">
        <f>12*$K65*'Crono Pessoal'!AJ65/1000</f>
        <v>223.88526240000004</v>
      </c>
      <c r="AO65" s="1124">
        <f>12*$K65*'Crono Pessoal'!AK65/1000</f>
        <v>223.88526240000004</v>
      </c>
      <c r="AP65" s="1124">
        <f>12*$K65*'Crono Pessoal'!AL65/1000</f>
        <v>223.88526240000004</v>
      </c>
    </row>
    <row r="66" spans="1:42">
      <c r="A66" s="595"/>
      <c r="B66" s="598"/>
      <c r="C66" s="599"/>
      <c r="D66" s="259" t="s">
        <v>750</v>
      </c>
      <c r="E66" s="260">
        <v>1</v>
      </c>
      <c r="F66" s="1119" t="s">
        <v>805</v>
      </c>
      <c r="G66" s="1120" t="str">
        <f>VLOOKUP($F66,SALARIOSS!$D$6:$H$203,2,0)</f>
        <v>Copeira</v>
      </c>
      <c r="H66" s="1121">
        <f>VLOOKUP($F66,SALARIOSS!$D$6:$I$203,6,0)</f>
        <v>1432.9021500000003</v>
      </c>
      <c r="I66" s="1121">
        <f>VLOOKUP($F66,Funções!$D$9:$K$200,5,0)+VLOOKUP($F66,Funções!$D$9:$K$200,6,0)</f>
        <v>2107.7851688750006</v>
      </c>
      <c r="J66" s="1121">
        <f>VLOOKUP($F66,Funções!$D$9:$K$200,7,0)</f>
        <v>95</v>
      </c>
      <c r="K66" s="1122">
        <f t="shared" si="3"/>
        <v>3635.687318875001</v>
      </c>
      <c r="L66" s="1123">
        <f t="shared" si="2"/>
        <v>1308.8474347950003</v>
      </c>
      <c r="M66" s="1124">
        <f>12*$K66*'Crono Pessoal'!I66/1000</f>
        <v>43.628247826500008</v>
      </c>
      <c r="N66" s="1124">
        <f>12*$K66*'Crono Pessoal'!J66/1000</f>
        <v>43.628247826500008</v>
      </c>
      <c r="O66" s="1124">
        <f>12*$K66*'Crono Pessoal'!K66/1000</f>
        <v>43.628247826500008</v>
      </c>
      <c r="P66" s="1124">
        <f>12*$K66*'Crono Pessoal'!L66/1000</f>
        <v>43.628247826500008</v>
      </c>
      <c r="Q66" s="1124">
        <f>12*$K66*'Crono Pessoal'!M66/1000</f>
        <v>43.628247826500008</v>
      </c>
      <c r="R66" s="1124">
        <f>12*$K66*'Crono Pessoal'!N66/1000</f>
        <v>43.628247826500008</v>
      </c>
      <c r="S66" s="1124">
        <f>12*$K66*'Crono Pessoal'!O66/1000</f>
        <v>43.628247826500008</v>
      </c>
      <c r="T66" s="1124">
        <f>12*$K66*'Crono Pessoal'!P66/1000</f>
        <v>43.628247826500008</v>
      </c>
      <c r="U66" s="1124">
        <f>12*$K66*'Crono Pessoal'!Q66/1000</f>
        <v>43.628247826500008</v>
      </c>
      <c r="V66" s="1124">
        <f>12*$K66*'Crono Pessoal'!R66/1000</f>
        <v>43.628247826500008</v>
      </c>
      <c r="W66" s="1124">
        <f>12*$K66*'Crono Pessoal'!S66/1000</f>
        <v>43.628247826500008</v>
      </c>
      <c r="X66" s="1124">
        <f>12*$K66*'Crono Pessoal'!T66/1000</f>
        <v>43.628247826500008</v>
      </c>
      <c r="Y66" s="1124">
        <f>12*$K66*'Crono Pessoal'!U66/1000</f>
        <v>43.628247826500008</v>
      </c>
      <c r="Z66" s="1124">
        <f>12*$K66*'Crono Pessoal'!V66/1000</f>
        <v>43.628247826500008</v>
      </c>
      <c r="AA66" s="1124">
        <f>12*$K66*'Crono Pessoal'!W66/1000</f>
        <v>43.628247826500008</v>
      </c>
      <c r="AB66" s="1124">
        <f>12*$K66*'Crono Pessoal'!X66/1000</f>
        <v>43.628247826500008</v>
      </c>
      <c r="AC66" s="1124">
        <f>12*$K66*'Crono Pessoal'!Y66/1000</f>
        <v>43.628247826500008</v>
      </c>
      <c r="AD66" s="1124">
        <f>12*$K66*'Crono Pessoal'!Z66/1000</f>
        <v>43.628247826500008</v>
      </c>
      <c r="AE66" s="1124">
        <f>12*$K66*'Crono Pessoal'!AA66/1000</f>
        <v>43.628247826500008</v>
      </c>
      <c r="AF66" s="1124">
        <f>12*$K66*'Crono Pessoal'!AB66/1000</f>
        <v>43.628247826500008</v>
      </c>
      <c r="AG66" s="1124">
        <f>12*$K66*'Crono Pessoal'!AC66/1000</f>
        <v>43.628247826500008</v>
      </c>
      <c r="AH66" s="1124">
        <f>12*$K66*'Crono Pessoal'!AD66/1000</f>
        <v>43.628247826500008</v>
      </c>
      <c r="AI66" s="1124">
        <f>12*$K66*'Crono Pessoal'!AE66/1000</f>
        <v>43.628247826500008</v>
      </c>
      <c r="AJ66" s="1124">
        <f>12*$K66*'Crono Pessoal'!AF66/1000</f>
        <v>43.628247826500008</v>
      </c>
      <c r="AK66" s="1124">
        <f>12*$K66*'Crono Pessoal'!AG66/1000</f>
        <v>43.628247826500008</v>
      </c>
      <c r="AL66" s="1124">
        <f>12*$K66*'Crono Pessoal'!AH66/1000</f>
        <v>43.628247826500008</v>
      </c>
      <c r="AM66" s="1124">
        <f>12*$K66*'Crono Pessoal'!AI66/1000</f>
        <v>43.628247826500008</v>
      </c>
      <c r="AN66" s="1124">
        <f>12*$K66*'Crono Pessoal'!AJ66/1000</f>
        <v>43.628247826500008</v>
      </c>
      <c r="AO66" s="1124">
        <f>12*$K66*'Crono Pessoal'!AK66/1000</f>
        <v>43.628247826500008</v>
      </c>
      <c r="AP66" s="1124">
        <f>12*$K66*'Crono Pessoal'!AL66/1000</f>
        <v>43.628247826500008</v>
      </c>
    </row>
    <row r="67" spans="1:42">
      <c r="A67" s="595"/>
      <c r="B67" s="598"/>
      <c r="C67" s="599"/>
      <c r="D67" s="260" t="s">
        <v>750</v>
      </c>
      <c r="E67" s="260">
        <v>1</v>
      </c>
      <c r="F67" s="1119" t="s">
        <v>757</v>
      </c>
      <c r="G67" s="1120" t="str">
        <f>VLOOKUP($F67,SALARIOSS!$D$6:$H$203,2,0)</f>
        <v>Motorista</v>
      </c>
      <c r="H67" s="1121">
        <f>VLOOKUP($F67,SALARIOSS!$D$6:$I$203,6,0)</f>
        <v>1781.2764000000004</v>
      </c>
      <c r="I67" s="1121">
        <f>VLOOKUP($F67,Funções!$D$9:$K$200,5,0)+VLOOKUP($F67,Funções!$D$9:$K$200,6,0)</f>
        <v>2418.7091870000004</v>
      </c>
      <c r="J67" s="1121">
        <f>VLOOKUP($F67,Funções!$D$9:$K$200,7,0)</f>
        <v>95</v>
      </c>
      <c r="K67" s="1122">
        <f t="shared" si="3"/>
        <v>4294.985587000001</v>
      </c>
      <c r="L67" s="1123">
        <f t="shared" si="2"/>
        <v>1546.194811320001</v>
      </c>
      <c r="M67" s="1124">
        <f>12*$K67*'Crono Pessoal'!I67/1000</f>
        <v>51.539827044000013</v>
      </c>
      <c r="N67" s="1124">
        <f>12*$K67*'Crono Pessoal'!J67/1000</f>
        <v>51.539827044000013</v>
      </c>
      <c r="O67" s="1124">
        <f>12*$K67*'Crono Pessoal'!K67/1000</f>
        <v>51.539827044000013</v>
      </c>
      <c r="P67" s="1124">
        <f>12*$K67*'Crono Pessoal'!L67/1000</f>
        <v>51.539827044000013</v>
      </c>
      <c r="Q67" s="1124">
        <f>12*$K67*'Crono Pessoal'!M67/1000</f>
        <v>51.539827044000013</v>
      </c>
      <c r="R67" s="1124">
        <f>12*$K67*'Crono Pessoal'!N67/1000</f>
        <v>51.539827044000013</v>
      </c>
      <c r="S67" s="1124">
        <f>12*$K67*'Crono Pessoal'!O67/1000</f>
        <v>51.539827044000013</v>
      </c>
      <c r="T67" s="1124">
        <f>12*$K67*'Crono Pessoal'!P67/1000</f>
        <v>51.539827044000013</v>
      </c>
      <c r="U67" s="1124">
        <f>12*$K67*'Crono Pessoal'!Q67/1000</f>
        <v>51.539827044000013</v>
      </c>
      <c r="V67" s="1124">
        <f>12*$K67*'Crono Pessoal'!R67/1000</f>
        <v>51.539827044000013</v>
      </c>
      <c r="W67" s="1124">
        <f>12*$K67*'Crono Pessoal'!S67/1000</f>
        <v>51.539827044000013</v>
      </c>
      <c r="X67" s="1124">
        <f>12*$K67*'Crono Pessoal'!T67/1000</f>
        <v>51.539827044000013</v>
      </c>
      <c r="Y67" s="1124">
        <f>12*$K67*'Crono Pessoal'!U67/1000</f>
        <v>51.539827044000013</v>
      </c>
      <c r="Z67" s="1124">
        <f>12*$K67*'Crono Pessoal'!V67/1000</f>
        <v>51.539827044000013</v>
      </c>
      <c r="AA67" s="1124">
        <f>12*$K67*'Crono Pessoal'!W67/1000</f>
        <v>51.539827044000013</v>
      </c>
      <c r="AB67" s="1124">
        <f>12*$K67*'Crono Pessoal'!X67/1000</f>
        <v>51.539827044000013</v>
      </c>
      <c r="AC67" s="1124">
        <f>12*$K67*'Crono Pessoal'!Y67/1000</f>
        <v>51.539827044000013</v>
      </c>
      <c r="AD67" s="1124">
        <f>12*$K67*'Crono Pessoal'!Z67/1000</f>
        <v>51.539827044000013</v>
      </c>
      <c r="AE67" s="1124">
        <f>12*$K67*'Crono Pessoal'!AA67/1000</f>
        <v>51.539827044000013</v>
      </c>
      <c r="AF67" s="1124">
        <f>12*$K67*'Crono Pessoal'!AB67/1000</f>
        <v>51.539827044000013</v>
      </c>
      <c r="AG67" s="1124">
        <f>12*$K67*'Crono Pessoal'!AC67/1000</f>
        <v>51.539827044000013</v>
      </c>
      <c r="AH67" s="1124">
        <f>12*$K67*'Crono Pessoal'!AD67/1000</f>
        <v>51.539827044000013</v>
      </c>
      <c r="AI67" s="1124">
        <f>12*$K67*'Crono Pessoal'!AE67/1000</f>
        <v>51.539827044000013</v>
      </c>
      <c r="AJ67" s="1124">
        <f>12*$K67*'Crono Pessoal'!AF67/1000</f>
        <v>51.539827044000013</v>
      </c>
      <c r="AK67" s="1124">
        <f>12*$K67*'Crono Pessoal'!AG67/1000</f>
        <v>51.539827044000013</v>
      </c>
      <c r="AL67" s="1124">
        <f>12*$K67*'Crono Pessoal'!AH67/1000</f>
        <v>51.539827044000013</v>
      </c>
      <c r="AM67" s="1124">
        <f>12*$K67*'Crono Pessoal'!AI67/1000</f>
        <v>51.539827044000013</v>
      </c>
      <c r="AN67" s="1124">
        <f>12*$K67*'Crono Pessoal'!AJ67/1000</f>
        <v>51.539827044000013</v>
      </c>
      <c r="AO67" s="1124">
        <f>12*$K67*'Crono Pessoal'!AK67/1000</f>
        <v>51.539827044000013</v>
      </c>
      <c r="AP67" s="1124">
        <f>12*$K67*'Crono Pessoal'!AL67/1000</f>
        <v>51.539827044000013</v>
      </c>
    </row>
    <row r="68" spans="1:42">
      <c r="A68" s="595"/>
      <c r="B68" s="598"/>
      <c r="C68" s="599"/>
      <c r="D68" s="260" t="s">
        <v>750</v>
      </c>
      <c r="E68" s="260">
        <v>1</v>
      </c>
      <c r="F68" s="1119" t="s">
        <v>806</v>
      </c>
      <c r="G68" s="1120" t="str">
        <f>VLOOKUP($F68,SALARIOSS!$D$6:$H$203,2,0)</f>
        <v>Ajudante</v>
      </c>
      <c r="H68" s="1121">
        <f>VLOOKUP($F68,SALARIOSS!$D$6:$I$203,6,0)</f>
        <v>1432.9021500000003</v>
      </c>
      <c r="I68" s="1121">
        <f>VLOOKUP($F68,Funções!$D$9:$K$200,5,0)+VLOOKUP($F68,Funções!$D$9:$K$200,6,0)</f>
        <v>2107.7851688750006</v>
      </c>
      <c r="J68" s="1121">
        <f>VLOOKUP($F68,Funções!$D$9:$K$200,7,0)</f>
        <v>95</v>
      </c>
      <c r="K68" s="1122">
        <f t="shared" si="3"/>
        <v>3635.687318875001</v>
      </c>
      <c r="L68" s="1123">
        <f t="shared" si="2"/>
        <v>1308.8474347950003</v>
      </c>
      <c r="M68" s="1124">
        <f>12*$K68*'Crono Pessoal'!I68/1000</f>
        <v>43.628247826500008</v>
      </c>
      <c r="N68" s="1124">
        <f>12*$K68*'Crono Pessoal'!J68/1000</f>
        <v>43.628247826500008</v>
      </c>
      <c r="O68" s="1124">
        <f>12*$K68*'Crono Pessoal'!K68/1000</f>
        <v>43.628247826500008</v>
      </c>
      <c r="P68" s="1124">
        <f>12*$K68*'Crono Pessoal'!L68/1000</f>
        <v>43.628247826500008</v>
      </c>
      <c r="Q68" s="1124">
        <f>12*$K68*'Crono Pessoal'!M68/1000</f>
        <v>43.628247826500008</v>
      </c>
      <c r="R68" s="1124">
        <f>12*$K68*'Crono Pessoal'!N68/1000</f>
        <v>43.628247826500008</v>
      </c>
      <c r="S68" s="1124">
        <f>12*$K68*'Crono Pessoal'!O68/1000</f>
        <v>43.628247826500008</v>
      </c>
      <c r="T68" s="1124">
        <f>12*$K68*'Crono Pessoal'!P68/1000</f>
        <v>43.628247826500008</v>
      </c>
      <c r="U68" s="1124">
        <f>12*$K68*'Crono Pessoal'!Q68/1000</f>
        <v>43.628247826500008</v>
      </c>
      <c r="V68" s="1124">
        <f>12*$K68*'Crono Pessoal'!R68/1000</f>
        <v>43.628247826500008</v>
      </c>
      <c r="W68" s="1124">
        <f>12*$K68*'Crono Pessoal'!S68/1000</f>
        <v>43.628247826500008</v>
      </c>
      <c r="X68" s="1124">
        <f>12*$K68*'Crono Pessoal'!T68/1000</f>
        <v>43.628247826500008</v>
      </c>
      <c r="Y68" s="1124">
        <f>12*$K68*'Crono Pessoal'!U68/1000</f>
        <v>43.628247826500008</v>
      </c>
      <c r="Z68" s="1124">
        <f>12*$K68*'Crono Pessoal'!V68/1000</f>
        <v>43.628247826500008</v>
      </c>
      <c r="AA68" s="1124">
        <f>12*$K68*'Crono Pessoal'!W68/1000</f>
        <v>43.628247826500008</v>
      </c>
      <c r="AB68" s="1124">
        <f>12*$K68*'Crono Pessoal'!X68/1000</f>
        <v>43.628247826500008</v>
      </c>
      <c r="AC68" s="1124">
        <f>12*$K68*'Crono Pessoal'!Y68/1000</f>
        <v>43.628247826500008</v>
      </c>
      <c r="AD68" s="1124">
        <f>12*$K68*'Crono Pessoal'!Z68/1000</f>
        <v>43.628247826500008</v>
      </c>
      <c r="AE68" s="1124">
        <f>12*$K68*'Crono Pessoal'!AA68/1000</f>
        <v>43.628247826500008</v>
      </c>
      <c r="AF68" s="1124">
        <f>12*$K68*'Crono Pessoal'!AB68/1000</f>
        <v>43.628247826500008</v>
      </c>
      <c r="AG68" s="1124">
        <f>12*$K68*'Crono Pessoal'!AC68/1000</f>
        <v>43.628247826500008</v>
      </c>
      <c r="AH68" s="1124">
        <f>12*$K68*'Crono Pessoal'!AD68/1000</f>
        <v>43.628247826500008</v>
      </c>
      <c r="AI68" s="1124">
        <f>12*$K68*'Crono Pessoal'!AE68/1000</f>
        <v>43.628247826500008</v>
      </c>
      <c r="AJ68" s="1124">
        <f>12*$K68*'Crono Pessoal'!AF68/1000</f>
        <v>43.628247826500008</v>
      </c>
      <c r="AK68" s="1124">
        <f>12*$K68*'Crono Pessoal'!AG68/1000</f>
        <v>43.628247826500008</v>
      </c>
      <c r="AL68" s="1124">
        <f>12*$K68*'Crono Pessoal'!AH68/1000</f>
        <v>43.628247826500008</v>
      </c>
      <c r="AM68" s="1124">
        <f>12*$K68*'Crono Pessoal'!AI68/1000</f>
        <v>43.628247826500008</v>
      </c>
      <c r="AN68" s="1124">
        <f>12*$K68*'Crono Pessoal'!AJ68/1000</f>
        <v>43.628247826500008</v>
      </c>
      <c r="AO68" s="1124">
        <f>12*$K68*'Crono Pessoal'!AK68/1000</f>
        <v>43.628247826500008</v>
      </c>
      <c r="AP68" s="1124">
        <f>12*$K68*'Crono Pessoal'!AL68/1000</f>
        <v>43.628247826500008</v>
      </c>
    </row>
    <row r="69" spans="1:42">
      <c r="A69" s="595"/>
      <c r="B69" s="598"/>
      <c r="C69" s="599"/>
      <c r="D69" s="260" t="s">
        <v>750</v>
      </c>
      <c r="E69" s="260"/>
      <c r="F69" s="1119"/>
      <c r="G69" s="1126" t="s">
        <v>807</v>
      </c>
      <c r="H69" s="1122"/>
      <c r="I69" s="1122"/>
      <c r="J69" s="1122"/>
      <c r="K69" s="1122"/>
      <c r="L69" s="1123"/>
      <c r="M69" s="1124"/>
      <c r="N69" s="1124"/>
      <c r="O69" s="1124"/>
      <c r="P69" s="1124"/>
      <c r="Q69" s="1124"/>
      <c r="R69" s="1124"/>
      <c r="S69" s="1124"/>
      <c r="T69" s="1124"/>
      <c r="U69" s="1124"/>
      <c r="V69" s="1124"/>
      <c r="W69" s="1124"/>
      <c r="X69" s="1124"/>
      <c r="Y69" s="1124"/>
      <c r="Z69" s="1124"/>
      <c r="AA69" s="1124"/>
      <c r="AB69" s="1124"/>
      <c r="AC69" s="1124"/>
      <c r="AD69" s="1124"/>
      <c r="AE69" s="1124"/>
      <c r="AF69" s="1124"/>
      <c r="AG69" s="1124"/>
      <c r="AH69" s="1124"/>
      <c r="AI69" s="1124"/>
      <c r="AJ69" s="1124"/>
      <c r="AK69" s="1124"/>
      <c r="AL69" s="1124"/>
      <c r="AM69" s="1124"/>
      <c r="AN69" s="1124"/>
      <c r="AO69" s="1124"/>
      <c r="AP69" s="1124"/>
    </row>
    <row r="70" spans="1:42">
      <c r="A70" s="595"/>
      <c r="B70" s="598"/>
      <c r="C70" s="599"/>
      <c r="D70" s="260" t="s">
        <v>750</v>
      </c>
      <c r="E70" s="260">
        <v>1</v>
      </c>
      <c r="F70" s="1119" t="s">
        <v>808</v>
      </c>
      <c r="G70" s="1120" t="str">
        <f>VLOOKUP($F70,SALARIOSS!$D$6:$H$203,2,0)</f>
        <v>Engenheiro de Seg. Trabalho</v>
      </c>
      <c r="H70" s="1121">
        <f>VLOOKUP($F70,SALARIOSS!$D$6:$I$203,6,0)</f>
        <v>10981.17</v>
      </c>
      <c r="I70" s="1121">
        <f>VLOOKUP($F70,Funções!$D$9:$K$200,5,0)+VLOOKUP($F70,Funções!$D$9:$K$200,6,0)</f>
        <v>10629.614225000001</v>
      </c>
      <c r="J70" s="1121">
        <f>VLOOKUP($F70,Funções!$D$9:$K$200,7,0)</f>
        <v>95</v>
      </c>
      <c r="K70" s="1122">
        <f>SUM(H70:J70)</f>
        <v>21705.784225000003</v>
      </c>
      <c r="L70" s="1123">
        <f>SUM(M70:AP70)</f>
        <v>7814.0823209999944</v>
      </c>
      <c r="M70" s="1124">
        <f>12*$K70*'Crono Pessoal'!I70/1000</f>
        <v>260.46941070000003</v>
      </c>
      <c r="N70" s="1124">
        <f>12*$K70*'Crono Pessoal'!J70/1000</f>
        <v>260.46941070000003</v>
      </c>
      <c r="O70" s="1124">
        <f>12*$K70*'Crono Pessoal'!K70/1000</f>
        <v>260.46941070000003</v>
      </c>
      <c r="P70" s="1124">
        <f>12*$K70*'Crono Pessoal'!L70/1000</f>
        <v>260.46941070000003</v>
      </c>
      <c r="Q70" s="1124">
        <f>12*$K70*'Crono Pessoal'!M70/1000</f>
        <v>260.46941070000003</v>
      </c>
      <c r="R70" s="1124">
        <f>12*$K70*'Crono Pessoal'!N70/1000</f>
        <v>260.46941070000003</v>
      </c>
      <c r="S70" s="1124">
        <f>12*$K70*'Crono Pessoal'!O70/1000</f>
        <v>260.46941070000003</v>
      </c>
      <c r="T70" s="1124">
        <f>12*$K70*'Crono Pessoal'!P70/1000</f>
        <v>260.46941070000003</v>
      </c>
      <c r="U70" s="1124">
        <f>12*$K70*'Crono Pessoal'!Q70/1000</f>
        <v>260.46941070000003</v>
      </c>
      <c r="V70" s="1124">
        <f>12*$K70*'Crono Pessoal'!R70/1000</f>
        <v>260.46941070000003</v>
      </c>
      <c r="W70" s="1124">
        <f>12*$K70*'Crono Pessoal'!S70/1000</f>
        <v>260.46941070000003</v>
      </c>
      <c r="X70" s="1124">
        <f>12*$K70*'Crono Pessoal'!T70/1000</f>
        <v>260.46941070000003</v>
      </c>
      <c r="Y70" s="1124">
        <f>12*$K70*'Crono Pessoal'!U70/1000</f>
        <v>260.46941070000003</v>
      </c>
      <c r="Z70" s="1124">
        <f>12*$K70*'Crono Pessoal'!V70/1000</f>
        <v>260.46941070000003</v>
      </c>
      <c r="AA70" s="1124">
        <f>12*$K70*'Crono Pessoal'!W70/1000</f>
        <v>260.46941070000003</v>
      </c>
      <c r="AB70" s="1124">
        <f>12*$K70*'Crono Pessoal'!X70/1000</f>
        <v>260.46941070000003</v>
      </c>
      <c r="AC70" s="1124">
        <f>12*$K70*'Crono Pessoal'!Y70/1000</f>
        <v>260.46941070000003</v>
      </c>
      <c r="AD70" s="1124">
        <f>12*$K70*'Crono Pessoal'!Z70/1000</f>
        <v>260.46941070000003</v>
      </c>
      <c r="AE70" s="1124">
        <f>12*$K70*'Crono Pessoal'!AA70/1000</f>
        <v>260.46941070000003</v>
      </c>
      <c r="AF70" s="1124">
        <f>12*$K70*'Crono Pessoal'!AB70/1000</f>
        <v>260.46941070000003</v>
      </c>
      <c r="AG70" s="1124">
        <f>12*$K70*'Crono Pessoal'!AC70/1000</f>
        <v>260.46941070000003</v>
      </c>
      <c r="AH70" s="1124">
        <f>12*$K70*'Crono Pessoal'!AD70/1000</f>
        <v>260.46941070000003</v>
      </c>
      <c r="AI70" s="1124">
        <f>12*$K70*'Crono Pessoal'!AE70/1000</f>
        <v>260.46941070000003</v>
      </c>
      <c r="AJ70" s="1124">
        <f>12*$K70*'Crono Pessoal'!AF70/1000</f>
        <v>260.46941070000003</v>
      </c>
      <c r="AK70" s="1124">
        <f>12*$K70*'Crono Pessoal'!AG70/1000</f>
        <v>260.46941070000003</v>
      </c>
      <c r="AL70" s="1124">
        <f>12*$K70*'Crono Pessoal'!AH70/1000</f>
        <v>260.46941070000003</v>
      </c>
      <c r="AM70" s="1124">
        <f>12*$K70*'Crono Pessoal'!AI70/1000</f>
        <v>260.46941070000003</v>
      </c>
      <c r="AN70" s="1124">
        <f>12*$K70*'Crono Pessoal'!AJ70/1000</f>
        <v>260.46941070000003</v>
      </c>
      <c r="AO70" s="1124">
        <f>12*$K70*'Crono Pessoal'!AK70/1000</f>
        <v>260.46941070000003</v>
      </c>
      <c r="AP70" s="1124">
        <f>12*$K70*'Crono Pessoal'!AL70/1000</f>
        <v>260.46941070000003</v>
      </c>
    </row>
    <row r="71" spans="1:42">
      <c r="A71" s="595"/>
      <c r="B71" s="598"/>
      <c r="C71" s="599"/>
      <c r="D71" s="260" t="s">
        <v>750</v>
      </c>
      <c r="E71" s="260">
        <v>1</v>
      </c>
      <c r="F71" s="1119" t="s">
        <v>809</v>
      </c>
      <c r="G71" s="1120" t="str">
        <f>VLOOKUP($F71,SALARIOSS!$D$6:$H$203,2,0)</f>
        <v>Técnico de Segurança do Trabalho II</v>
      </c>
      <c r="H71" s="1121">
        <f>VLOOKUP($F71,SALARIOSS!$D$6:$I$203,6,0)</f>
        <v>3965.1943500000002</v>
      </c>
      <c r="I71" s="1121">
        <f>VLOOKUP($F71,Funções!$D$9:$K$200,5,0)+VLOOKUP($F71,Funções!$D$9:$K$200,6,0)</f>
        <v>4367.8559573750008</v>
      </c>
      <c r="J71" s="1121">
        <f>VLOOKUP($F71,Funções!$D$9:$K$200,7,0)</f>
        <v>95</v>
      </c>
      <c r="K71" s="1122">
        <f>SUM(H71:J71)</f>
        <v>8428.0503073750006</v>
      </c>
      <c r="L71" s="1123">
        <f>SUM(M71:AP71)</f>
        <v>3034.0981106550007</v>
      </c>
      <c r="M71" s="1124">
        <f>12*$K71*'Crono Pessoal'!I71/1000</f>
        <v>101.1366036885</v>
      </c>
      <c r="N71" s="1124">
        <f>12*$K71*'Crono Pessoal'!J71/1000</f>
        <v>101.1366036885</v>
      </c>
      <c r="O71" s="1124">
        <f>12*$K71*'Crono Pessoal'!K71/1000</f>
        <v>101.1366036885</v>
      </c>
      <c r="P71" s="1124">
        <f>12*$K71*'Crono Pessoal'!L71/1000</f>
        <v>101.1366036885</v>
      </c>
      <c r="Q71" s="1124">
        <f>12*$K71*'Crono Pessoal'!M71/1000</f>
        <v>101.1366036885</v>
      </c>
      <c r="R71" s="1124">
        <f>12*$K71*'Crono Pessoal'!N71/1000</f>
        <v>101.1366036885</v>
      </c>
      <c r="S71" s="1124">
        <f>12*$K71*'Crono Pessoal'!O71/1000</f>
        <v>101.1366036885</v>
      </c>
      <c r="T71" s="1124">
        <f>12*$K71*'Crono Pessoal'!P71/1000</f>
        <v>101.1366036885</v>
      </c>
      <c r="U71" s="1124">
        <f>12*$K71*'Crono Pessoal'!Q71/1000</f>
        <v>101.1366036885</v>
      </c>
      <c r="V71" s="1124">
        <f>12*$K71*'Crono Pessoal'!R71/1000</f>
        <v>101.1366036885</v>
      </c>
      <c r="W71" s="1124">
        <f>12*$K71*'Crono Pessoal'!S71/1000</f>
        <v>101.1366036885</v>
      </c>
      <c r="X71" s="1124">
        <f>12*$K71*'Crono Pessoal'!T71/1000</f>
        <v>101.1366036885</v>
      </c>
      <c r="Y71" s="1124">
        <f>12*$K71*'Crono Pessoal'!U71/1000</f>
        <v>101.1366036885</v>
      </c>
      <c r="Z71" s="1124">
        <f>12*$K71*'Crono Pessoal'!V71/1000</f>
        <v>101.1366036885</v>
      </c>
      <c r="AA71" s="1124">
        <f>12*$K71*'Crono Pessoal'!W71/1000</f>
        <v>101.1366036885</v>
      </c>
      <c r="AB71" s="1124">
        <f>12*$K71*'Crono Pessoal'!X71/1000</f>
        <v>101.1366036885</v>
      </c>
      <c r="AC71" s="1124">
        <f>12*$K71*'Crono Pessoal'!Y71/1000</f>
        <v>101.1366036885</v>
      </c>
      <c r="AD71" s="1124">
        <f>12*$K71*'Crono Pessoal'!Z71/1000</f>
        <v>101.1366036885</v>
      </c>
      <c r="AE71" s="1124">
        <f>12*$K71*'Crono Pessoal'!AA71/1000</f>
        <v>101.1366036885</v>
      </c>
      <c r="AF71" s="1124">
        <f>12*$K71*'Crono Pessoal'!AB71/1000</f>
        <v>101.1366036885</v>
      </c>
      <c r="AG71" s="1124">
        <f>12*$K71*'Crono Pessoal'!AC71/1000</f>
        <v>101.1366036885</v>
      </c>
      <c r="AH71" s="1124">
        <f>12*$K71*'Crono Pessoal'!AD71/1000</f>
        <v>101.1366036885</v>
      </c>
      <c r="AI71" s="1124">
        <f>12*$K71*'Crono Pessoal'!AE71/1000</f>
        <v>101.1366036885</v>
      </c>
      <c r="AJ71" s="1124">
        <f>12*$K71*'Crono Pessoal'!AF71/1000</f>
        <v>101.1366036885</v>
      </c>
      <c r="AK71" s="1124">
        <f>12*$K71*'Crono Pessoal'!AG71/1000</f>
        <v>101.1366036885</v>
      </c>
      <c r="AL71" s="1124">
        <f>12*$K71*'Crono Pessoal'!AH71/1000</f>
        <v>101.1366036885</v>
      </c>
      <c r="AM71" s="1124">
        <f>12*$K71*'Crono Pessoal'!AI71/1000</f>
        <v>101.1366036885</v>
      </c>
      <c r="AN71" s="1124">
        <f>12*$K71*'Crono Pessoal'!AJ71/1000</f>
        <v>101.1366036885</v>
      </c>
      <c r="AO71" s="1124">
        <f>12*$K71*'Crono Pessoal'!AK71/1000</f>
        <v>101.1366036885</v>
      </c>
      <c r="AP71" s="1124">
        <f>12*$K71*'Crono Pessoal'!AL71/1000</f>
        <v>101.1366036885</v>
      </c>
    </row>
    <row r="72" spans="1:42">
      <c r="A72" s="595"/>
      <c r="B72" s="598"/>
      <c r="C72" s="599"/>
      <c r="D72" s="260" t="s">
        <v>750</v>
      </c>
      <c r="E72" s="260">
        <v>1</v>
      </c>
      <c r="F72" s="1119" t="s">
        <v>810</v>
      </c>
      <c r="G72" s="1120" t="str">
        <f>VLOOKUP($F72,SALARIOSS!$D$6:$H$203,2,0)</f>
        <v>Médico</v>
      </c>
      <c r="H72" s="1121">
        <f>VLOOKUP($F72,SALARIOSS!$D$6:$I$203,6,0)</f>
        <v>5985.1786949999996</v>
      </c>
      <c r="I72" s="1121">
        <f>VLOOKUP($F72,Funções!$D$9:$K$200,5,0)+VLOOKUP($F72,Funções!$D$9:$K$200,6,0)</f>
        <v>6170.6919852874998</v>
      </c>
      <c r="J72" s="1121">
        <f>VLOOKUP($F72,Funções!$D$9:$K$200,7,0)</f>
        <v>95</v>
      </c>
      <c r="K72" s="1122">
        <f>SUM(H72:J72)</f>
        <v>12250.870680287499</v>
      </c>
      <c r="L72" s="1123">
        <f>SUM(M72:AP72)</f>
        <v>4410.3134449034978</v>
      </c>
      <c r="M72" s="1124">
        <f>12*$K72*'Crono Pessoal'!I72/1000</f>
        <v>147.01044816345001</v>
      </c>
      <c r="N72" s="1124">
        <f>12*$K72*'Crono Pessoal'!J72/1000</f>
        <v>147.01044816345001</v>
      </c>
      <c r="O72" s="1124">
        <f>12*$K72*'Crono Pessoal'!K72/1000</f>
        <v>147.01044816345001</v>
      </c>
      <c r="P72" s="1124">
        <f>12*$K72*'Crono Pessoal'!L72/1000</f>
        <v>147.01044816345001</v>
      </c>
      <c r="Q72" s="1124">
        <f>12*$K72*'Crono Pessoal'!M72/1000</f>
        <v>147.01044816345001</v>
      </c>
      <c r="R72" s="1124">
        <f>12*$K72*'Crono Pessoal'!N72/1000</f>
        <v>147.01044816345001</v>
      </c>
      <c r="S72" s="1124">
        <f>12*$K72*'Crono Pessoal'!O72/1000</f>
        <v>147.01044816345001</v>
      </c>
      <c r="T72" s="1124">
        <f>12*$K72*'Crono Pessoal'!P72/1000</f>
        <v>147.01044816345001</v>
      </c>
      <c r="U72" s="1124">
        <f>12*$K72*'Crono Pessoal'!Q72/1000</f>
        <v>147.01044816345001</v>
      </c>
      <c r="V72" s="1124">
        <f>12*$K72*'Crono Pessoal'!R72/1000</f>
        <v>147.01044816345001</v>
      </c>
      <c r="W72" s="1124">
        <f>12*$K72*'Crono Pessoal'!S72/1000</f>
        <v>147.01044816345001</v>
      </c>
      <c r="X72" s="1124">
        <f>12*$K72*'Crono Pessoal'!T72/1000</f>
        <v>147.01044816345001</v>
      </c>
      <c r="Y72" s="1124">
        <f>12*$K72*'Crono Pessoal'!U72/1000</f>
        <v>147.01044816345001</v>
      </c>
      <c r="Z72" s="1124">
        <f>12*$K72*'Crono Pessoal'!V72/1000</f>
        <v>147.01044816345001</v>
      </c>
      <c r="AA72" s="1124">
        <f>12*$K72*'Crono Pessoal'!W72/1000</f>
        <v>147.01044816345001</v>
      </c>
      <c r="AB72" s="1124">
        <f>12*$K72*'Crono Pessoal'!X72/1000</f>
        <v>147.01044816345001</v>
      </c>
      <c r="AC72" s="1124">
        <f>12*$K72*'Crono Pessoal'!Y72/1000</f>
        <v>147.01044816345001</v>
      </c>
      <c r="AD72" s="1124">
        <f>12*$K72*'Crono Pessoal'!Z72/1000</f>
        <v>147.01044816345001</v>
      </c>
      <c r="AE72" s="1124">
        <f>12*$K72*'Crono Pessoal'!AA72/1000</f>
        <v>147.01044816345001</v>
      </c>
      <c r="AF72" s="1124">
        <f>12*$K72*'Crono Pessoal'!AB72/1000</f>
        <v>147.01044816345001</v>
      </c>
      <c r="AG72" s="1124">
        <f>12*$K72*'Crono Pessoal'!AC72/1000</f>
        <v>147.01044816345001</v>
      </c>
      <c r="AH72" s="1124">
        <f>12*$K72*'Crono Pessoal'!AD72/1000</f>
        <v>147.01044816345001</v>
      </c>
      <c r="AI72" s="1124">
        <f>12*$K72*'Crono Pessoal'!AE72/1000</f>
        <v>147.01044816345001</v>
      </c>
      <c r="AJ72" s="1124">
        <f>12*$K72*'Crono Pessoal'!AF72/1000</f>
        <v>147.01044816345001</v>
      </c>
      <c r="AK72" s="1124">
        <f>12*$K72*'Crono Pessoal'!AG72/1000</f>
        <v>147.01044816345001</v>
      </c>
      <c r="AL72" s="1124">
        <f>12*$K72*'Crono Pessoal'!AH72/1000</f>
        <v>147.01044816345001</v>
      </c>
      <c r="AM72" s="1124">
        <f>12*$K72*'Crono Pessoal'!AI72/1000</f>
        <v>147.01044816345001</v>
      </c>
      <c r="AN72" s="1124">
        <f>12*$K72*'Crono Pessoal'!AJ72/1000</f>
        <v>147.01044816345001</v>
      </c>
      <c r="AO72" s="1124">
        <f>12*$K72*'Crono Pessoal'!AK72/1000</f>
        <v>147.01044816345001</v>
      </c>
      <c r="AP72" s="1124">
        <f>12*$K72*'Crono Pessoal'!AL72/1000</f>
        <v>147.01044816345001</v>
      </c>
    </row>
    <row r="73" spans="1:42">
      <c r="A73" s="595"/>
      <c r="B73" s="598"/>
      <c r="C73" s="599"/>
      <c r="D73" s="259" t="s">
        <v>750</v>
      </c>
      <c r="E73" s="260">
        <v>1</v>
      </c>
      <c r="F73" s="1119" t="s">
        <v>811</v>
      </c>
      <c r="G73" s="1120" t="str">
        <f>VLOOKUP($F73,SALARIOSS!$D$6:$H$203,2,0)</f>
        <v>Auxiliar de Enfermagem</v>
      </c>
      <c r="H73" s="1121">
        <f>VLOOKUP($F73,SALARIOSS!$D$6:$I$203,6,0)</f>
        <v>1483.4880000000003</v>
      </c>
      <c r="I73" s="1121">
        <f>VLOOKUP($F73,Funções!$D$9:$K$200,5,0)+VLOOKUP($F73,Funções!$D$9:$K$200,6,0)</f>
        <v>2152.9330400000003</v>
      </c>
      <c r="J73" s="1121">
        <f>VLOOKUP($F73,Funções!$D$9:$K$200,7,0)</f>
        <v>95</v>
      </c>
      <c r="K73" s="1122">
        <f>SUM(H73:J73)</f>
        <v>3731.4210400000006</v>
      </c>
      <c r="L73" s="1123">
        <f>SUM(M73:AP73)</f>
        <v>0</v>
      </c>
      <c r="M73" s="1124">
        <f>12*$K73*'Crono Pessoal'!I73/1000</f>
        <v>0</v>
      </c>
      <c r="N73" s="1124">
        <f>12*$K73*'Crono Pessoal'!J73/1000</f>
        <v>0</v>
      </c>
      <c r="O73" s="1124">
        <f>12*$K73*'Crono Pessoal'!K73/1000</f>
        <v>0</v>
      </c>
      <c r="P73" s="1124">
        <f>12*$K73*'Crono Pessoal'!L73/1000</f>
        <v>0</v>
      </c>
      <c r="Q73" s="1124">
        <f>12*$K73*'Crono Pessoal'!M73/1000</f>
        <v>0</v>
      </c>
      <c r="R73" s="1124">
        <f>12*$K73*'Crono Pessoal'!N73/1000</f>
        <v>0</v>
      </c>
      <c r="S73" s="1124">
        <f>12*$K73*'Crono Pessoal'!O73/1000</f>
        <v>0</v>
      </c>
      <c r="T73" s="1124">
        <f>12*$K73*'Crono Pessoal'!P73/1000</f>
        <v>0</v>
      </c>
      <c r="U73" s="1124">
        <f>12*$K73*'Crono Pessoal'!Q73/1000</f>
        <v>0</v>
      </c>
      <c r="V73" s="1124">
        <f>12*$K73*'Crono Pessoal'!R73/1000</f>
        <v>0</v>
      </c>
      <c r="W73" s="1124">
        <f>12*$K73*'Crono Pessoal'!S73/1000</f>
        <v>0</v>
      </c>
      <c r="X73" s="1124">
        <f>12*$K73*'Crono Pessoal'!T73/1000</f>
        <v>0</v>
      </c>
      <c r="Y73" s="1124">
        <f>12*$K73*'Crono Pessoal'!U73/1000</f>
        <v>0</v>
      </c>
      <c r="Z73" s="1124">
        <f>12*$K73*'Crono Pessoal'!V73/1000</f>
        <v>0</v>
      </c>
      <c r="AA73" s="1124">
        <f>12*$K73*'Crono Pessoal'!W73/1000</f>
        <v>0</v>
      </c>
      <c r="AB73" s="1124">
        <f>12*$K73*'Crono Pessoal'!X73/1000</f>
        <v>0</v>
      </c>
      <c r="AC73" s="1124">
        <f>12*$K73*'Crono Pessoal'!Y73/1000</f>
        <v>0</v>
      </c>
      <c r="AD73" s="1124">
        <f>12*$K73*'Crono Pessoal'!Z73/1000</f>
        <v>0</v>
      </c>
      <c r="AE73" s="1124">
        <f>12*$K73*'Crono Pessoal'!AA73/1000</f>
        <v>0</v>
      </c>
      <c r="AF73" s="1124">
        <f>12*$K73*'Crono Pessoal'!AB73/1000</f>
        <v>0</v>
      </c>
      <c r="AG73" s="1124">
        <f>12*$K73*'Crono Pessoal'!AC73/1000</f>
        <v>0</v>
      </c>
      <c r="AH73" s="1124">
        <f>12*$K73*'Crono Pessoal'!AD73/1000</f>
        <v>0</v>
      </c>
      <c r="AI73" s="1124">
        <f>12*$K73*'Crono Pessoal'!AE73/1000</f>
        <v>0</v>
      </c>
      <c r="AJ73" s="1124">
        <f>12*$K73*'Crono Pessoal'!AF73/1000</f>
        <v>0</v>
      </c>
      <c r="AK73" s="1124">
        <f>12*$K73*'Crono Pessoal'!AG73/1000</f>
        <v>0</v>
      </c>
      <c r="AL73" s="1124">
        <f>12*$K73*'Crono Pessoal'!AH73/1000</f>
        <v>0</v>
      </c>
      <c r="AM73" s="1124">
        <f>12*$K73*'Crono Pessoal'!AI73/1000</f>
        <v>0</v>
      </c>
      <c r="AN73" s="1124">
        <f>12*$K73*'Crono Pessoal'!AJ73/1000</f>
        <v>0</v>
      </c>
      <c r="AO73" s="1124">
        <f>12*$K73*'Crono Pessoal'!AK73/1000</f>
        <v>0</v>
      </c>
      <c r="AP73" s="1124">
        <f>12*$K73*'Crono Pessoal'!AL73/1000</f>
        <v>0</v>
      </c>
    </row>
    <row r="74" spans="1:42">
      <c r="A74" s="595"/>
      <c r="B74" s="598"/>
      <c r="C74" s="599"/>
      <c r="D74" s="259" t="s">
        <v>750</v>
      </c>
      <c r="E74" s="260"/>
      <c r="F74" s="1119"/>
      <c r="G74" s="1126" t="s">
        <v>812</v>
      </c>
      <c r="H74" s="1122"/>
      <c r="I74" s="1122"/>
      <c r="J74" s="1122"/>
      <c r="K74" s="1122"/>
      <c r="L74" s="1123"/>
      <c r="M74" s="1124"/>
      <c r="N74" s="1124"/>
      <c r="O74" s="1124"/>
      <c r="P74" s="1124"/>
      <c r="Q74" s="1124"/>
      <c r="R74" s="1124"/>
      <c r="S74" s="1124"/>
      <c r="T74" s="1124"/>
      <c r="U74" s="1124"/>
      <c r="V74" s="1124"/>
      <c r="W74" s="1124"/>
      <c r="X74" s="1124"/>
      <c r="Y74" s="1124"/>
      <c r="Z74" s="1124"/>
      <c r="AA74" s="1124"/>
      <c r="AB74" s="1124"/>
      <c r="AC74" s="1124"/>
      <c r="AD74" s="1124"/>
      <c r="AE74" s="1124"/>
      <c r="AF74" s="1124"/>
      <c r="AG74" s="1124"/>
      <c r="AH74" s="1124"/>
      <c r="AI74" s="1124"/>
      <c r="AJ74" s="1124"/>
      <c r="AK74" s="1124"/>
      <c r="AL74" s="1124"/>
      <c r="AM74" s="1124"/>
      <c r="AN74" s="1124"/>
      <c r="AO74" s="1124"/>
      <c r="AP74" s="1124"/>
    </row>
    <row r="75" spans="1:42">
      <c r="A75" s="595"/>
      <c r="B75" s="598"/>
      <c r="C75" s="599"/>
      <c r="D75" s="260" t="s">
        <v>750</v>
      </c>
      <c r="E75" s="260">
        <v>1</v>
      </c>
      <c r="F75" s="1119" t="s">
        <v>813</v>
      </c>
      <c r="G75" s="1120" t="str">
        <f>VLOOKUP($F75,SALARIOSS!$D$6:$H$203,2,0)</f>
        <v>Coordenador Financeiro</v>
      </c>
      <c r="H75" s="1121">
        <f>VLOOKUP($F75,SALARIOSS!$D$6:$I$203,6,0)</f>
        <v>6353.1</v>
      </c>
      <c r="I75" s="1121">
        <f>VLOOKUP($F75,Funções!$D$9:$K$200,5,0)+VLOOKUP($F75,Funções!$D$9:$K$200,6,0)</f>
        <v>6499.0617500000008</v>
      </c>
      <c r="J75" s="1121">
        <f>VLOOKUP($F75,Funções!$D$9:$K$200,7,0)</f>
        <v>95</v>
      </c>
      <c r="K75" s="1122">
        <f>SUM(H75:J75)</f>
        <v>12947.161750000001</v>
      </c>
      <c r="L75" s="1123">
        <f>SUM(M75:AP75)</f>
        <v>4660.9782300000006</v>
      </c>
      <c r="M75" s="1124">
        <f>12*$K75*'Crono Pessoal'!I75/1000</f>
        <v>155.36594100000002</v>
      </c>
      <c r="N75" s="1124">
        <f>12*$K75*'Crono Pessoal'!J75/1000</f>
        <v>155.36594100000002</v>
      </c>
      <c r="O75" s="1124">
        <f>12*$K75*'Crono Pessoal'!K75/1000</f>
        <v>155.36594100000002</v>
      </c>
      <c r="P75" s="1124">
        <f>12*$K75*'Crono Pessoal'!L75/1000</f>
        <v>155.36594100000002</v>
      </c>
      <c r="Q75" s="1124">
        <f>12*$K75*'Crono Pessoal'!M75/1000</f>
        <v>155.36594100000002</v>
      </c>
      <c r="R75" s="1124">
        <f>12*$K75*'Crono Pessoal'!N75/1000</f>
        <v>155.36594100000002</v>
      </c>
      <c r="S75" s="1124">
        <f>12*$K75*'Crono Pessoal'!O75/1000</f>
        <v>155.36594100000002</v>
      </c>
      <c r="T75" s="1124">
        <f>12*$K75*'Crono Pessoal'!P75/1000</f>
        <v>155.36594100000002</v>
      </c>
      <c r="U75" s="1124">
        <f>12*$K75*'Crono Pessoal'!Q75/1000</f>
        <v>155.36594100000002</v>
      </c>
      <c r="V75" s="1124">
        <f>12*$K75*'Crono Pessoal'!R75/1000</f>
        <v>155.36594100000002</v>
      </c>
      <c r="W75" s="1124">
        <f>12*$K75*'Crono Pessoal'!S75/1000</f>
        <v>155.36594100000002</v>
      </c>
      <c r="X75" s="1124">
        <f>12*$K75*'Crono Pessoal'!T75/1000</f>
        <v>155.36594100000002</v>
      </c>
      <c r="Y75" s="1124">
        <f>12*$K75*'Crono Pessoal'!U75/1000</f>
        <v>155.36594100000002</v>
      </c>
      <c r="Z75" s="1124">
        <f>12*$K75*'Crono Pessoal'!V75/1000</f>
        <v>155.36594100000002</v>
      </c>
      <c r="AA75" s="1124">
        <f>12*$K75*'Crono Pessoal'!W75/1000</f>
        <v>155.36594100000002</v>
      </c>
      <c r="AB75" s="1124">
        <f>12*$K75*'Crono Pessoal'!X75/1000</f>
        <v>155.36594100000002</v>
      </c>
      <c r="AC75" s="1124">
        <f>12*$K75*'Crono Pessoal'!Y75/1000</f>
        <v>155.36594100000002</v>
      </c>
      <c r="AD75" s="1124">
        <f>12*$K75*'Crono Pessoal'!Z75/1000</f>
        <v>155.36594100000002</v>
      </c>
      <c r="AE75" s="1124">
        <f>12*$K75*'Crono Pessoal'!AA75/1000</f>
        <v>155.36594100000002</v>
      </c>
      <c r="AF75" s="1124">
        <f>12*$K75*'Crono Pessoal'!AB75/1000</f>
        <v>155.36594100000002</v>
      </c>
      <c r="AG75" s="1124">
        <f>12*$K75*'Crono Pessoal'!AC75/1000</f>
        <v>155.36594100000002</v>
      </c>
      <c r="AH75" s="1124">
        <f>12*$K75*'Crono Pessoal'!AD75/1000</f>
        <v>155.36594100000002</v>
      </c>
      <c r="AI75" s="1124">
        <f>12*$K75*'Crono Pessoal'!AE75/1000</f>
        <v>155.36594100000002</v>
      </c>
      <c r="AJ75" s="1124">
        <f>12*$K75*'Crono Pessoal'!AF75/1000</f>
        <v>155.36594100000002</v>
      </c>
      <c r="AK75" s="1124">
        <f>12*$K75*'Crono Pessoal'!AG75/1000</f>
        <v>155.36594100000002</v>
      </c>
      <c r="AL75" s="1124">
        <f>12*$K75*'Crono Pessoal'!AH75/1000</f>
        <v>155.36594100000002</v>
      </c>
      <c r="AM75" s="1124">
        <f>12*$K75*'Crono Pessoal'!AI75/1000</f>
        <v>155.36594100000002</v>
      </c>
      <c r="AN75" s="1124">
        <f>12*$K75*'Crono Pessoal'!AJ75/1000</f>
        <v>155.36594100000002</v>
      </c>
      <c r="AO75" s="1124">
        <f>12*$K75*'Crono Pessoal'!AK75/1000</f>
        <v>155.36594100000002</v>
      </c>
      <c r="AP75" s="1124">
        <f>12*$K75*'Crono Pessoal'!AL75/1000</f>
        <v>155.36594100000002</v>
      </c>
    </row>
    <row r="76" spans="1:42">
      <c r="A76" s="595"/>
      <c r="B76" s="598"/>
      <c r="C76" s="599"/>
      <c r="D76" s="260" t="s">
        <v>750</v>
      </c>
      <c r="E76" s="260">
        <v>1</v>
      </c>
      <c r="F76" s="1119" t="s">
        <v>814</v>
      </c>
      <c r="G76" s="1120" t="str">
        <f>VLOOKUP($F76,SALARIOSS!$D$6:$H$203,2,0)</f>
        <v>Analista Financeiro</v>
      </c>
      <c r="H76" s="1121">
        <f>VLOOKUP($F76,SALARIOSS!$D$6:$I$203,6,0)</f>
        <v>2490.5691000000002</v>
      </c>
      <c r="I76" s="1121">
        <f>VLOOKUP($F76,Funções!$D$9:$K$200,5,0)+VLOOKUP($F76,Funções!$D$9:$K$200,6,0)</f>
        <v>3051.75292175</v>
      </c>
      <c r="J76" s="1121">
        <f>VLOOKUP($F76,Funções!$D$9:$K$200,7,0)</f>
        <v>95</v>
      </c>
      <c r="K76" s="1122">
        <f>SUM(H76:J76)</f>
        <v>5637.3220217500002</v>
      </c>
      <c r="L76" s="1123">
        <f>SUM(M76:AP76)</f>
        <v>2029.4359278300001</v>
      </c>
      <c r="M76" s="1124">
        <f>12*$K76*'Crono Pessoal'!I76/1000</f>
        <v>67.647864261000009</v>
      </c>
      <c r="N76" s="1124">
        <f>12*$K76*'Crono Pessoal'!J76/1000</f>
        <v>67.647864261000009</v>
      </c>
      <c r="O76" s="1124">
        <f>12*$K76*'Crono Pessoal'!K76/1000</f>
        <v>67.647864261000009</v>
      </c>
      <c r="P76" s="1124">
        <f>12*$K76*'Crono Pessoal'!L76/1000</f>
        <v>67.647864261000009</v>
      </c>
      <c r="Q76" s="1124">
        <f>12*$K76*'Crono Pessoal'!M76/1000</f>
        <v>67.647864261000009</v>
      </c>
      <c r="R76" s="1124">
        <f>12*$K76*'Crono Pessoal'!N76/1000</f>
        <v>67.647864261000009</v>
      </c>
      <c r="S76" s="1124">
        <f>12*$K76*'Crono Pessoal'!O76/1000</f>
        <v>67.647864261000009</v>
      </c>
      <c r="T76" s="1124">
        <f>12*$K76*'Crono Pessoal'!P76/1000</f>
        <v>67.647864261000009</v>
      </c>
      <c r="U76" s="1124">
        <f>12*$K76*'Crono Pessoal'!Q76/1000</f>
        <v>67.647864261000009</v>
      </c>
      <c r="V76" s="1124">
        <f>12*$K76*'Crono Pessoal'!R76/1000</f>
        <v>67.647864261000009</v>
      </c>
      <c r="W76" s="1124">
        <f>12*$K76*'Crono Pessoal'!S76/1000</f>
        <v>67.647864261000009</v>
      </c>
      <c r="X76" s="1124">
        <f>12*$K76*'Crono Pessoal'!T76/1000</f>
        <v>67.647864261000009</v>
      </c>
      <c r="Y76" s="1124">
        <f>12*$K76*'Crono Pessoal'!U76/1000</f>
        <v>67.647864261000009</v>
      </c>
      <c r="Z76" s="1124">
        <f>12*$K76*'Crono Pessoal'!V76/1000</f>
        <v>67.647864261000009</v>
      </c>
      <c r="AA76" s="1124">
        <f>12*$K76*'Crono Pessoal'!W76/1000</f>
        <v>67.647864261000009</v>
      </c>
      <c r="AB76" s="1124">
        <f>12*$K76*'Crono Pessoal'!X76/1000</f>
        <v>67.647864261000009</v>
      </c>
      <c r="AC76" s="1124">
        <f>12*$K76*'Crono Pessoal'!Y76/1000</f>
        <v>67.647864261000009</v>
      </c>
      <c r="AD76" s="1124">
        <f>12*$K76*'Crono Pessoal'!Z76/1000</f>
        <v>67.647864261000009</v>
      </c>
      <c r="AE76" s="1124">
        <f>12*$K76*'Crono Pessoal'!AA76/1000</f>
        <v>67.647864261000009</v>
      </c>
      <c r="AF76" s="1124">
        <f>12*$K76*'Crono Pessoal'!AB76/1000</f>
        <v>67.647864261000009</v>
      </c>
      <c r="AG76" s="1124">
        <f>12*$K76*'Crono Pessoal'!AC76/1000</f>
        <v>67.647864261000009</v>
      </c>
      <c r="AH76" s="1124">
        <f>12*$K76*'Crono Pessoal'!AD76/1000</f>
        <v>67.647864261000009</v>
      </c>
      <c r="AI76" s="1124">
        <f>12*$K76*'Crono Pessoal'!AE76/1000</f>
        <v>67.647864261000009</v>
      </c>
      <c r="AJ76" s="1124">
        <f>12*$K76*'Crono Pessoal'!AF76/1000</f>
        <v>67.647864261000009</v>
      </c>
      <c r="AK76" s="1124">
        <f>12*$K76*'Crono Pessoal'!AG76/1000</f>
        <v>67.647864261000009</v>
      </c>
      <c r="AL76" s="1124">
        <f>12*$K76*'Crono Pessoal'!AH76/1000</f>
        <v>67.647864261000009</v>
      </c>
      <c r="AM76" s="1124">
        <f>12*$K76*'Crono Pessoal'!AI76/1000</f>
        <v>67.647864261000009</v>
      </c>
      <c r="AN76" s="1124">
        <f>12*$K76*'Crono Pessoal'!AJ76/1000</f>
        <v>67.647864261000009</v>
      </c>
      <c r="AO76" s="1124">
        <f>12*$K76*'Crono Pessoal'!AK76/1000</f>
        <v>67.647864261000009</v>
      </c>
      <c r="AP76" s="1124">
        <f>12*$K76*'Crono Pessoal'!AL76/1000</f>
        <v>67.647864261000009</v>
      </c>
    </row>
    <row r="77" spans="1:42">
      <c r="A77" s="595"/>
      <c r="B77" s="598"/>
      <c r="C77" s="599"/>
      <c r="D77" s="260" t="s">
        <v>750</v>
      </c>
      <c r="E77" s="260">
        <v>1</v>
      </c>
      <c r="F77" s="1119" t="s">
        <v>815</v>
      </c>
      <c r="G77" s="1120" t="str">
        <f>VLOOKUP($F77,SALARIOSS!$D$6:$H$203,2,0)</f>
        <v>Tesoureiro</v>
      </c>
      <c r="H77" s="1121">
        <f>VLOOKUP($F77,SALARIOSS!$D$6:$I$203,6,0)</f>
        <v>3072.6000000000004</v>
      </c>
      <c r="I77" s="1121">
        <f>VLOOKUP($F77,Funções!$D$9:$K$200,5,0)+VLOOKUP($F77,Funções!$D$9:$K$200,6,0)</f>
        <v>3571.2155000000002</v>
      </c>
      <c r="J77" s="1121">
        <f>VLOOKUP($F77,Funções!$D$9:$K$200,7,0)</f>
        <v>95</v>
      </c>
      <c r="K77" s="1122">
        <f>SUM(H77:J77)</f>
        <v>6738.8155000000006</v>
      </c>
      <c r="L77" s="1123">
        <f>SUM(M77:AP77)</f>
        <v>2425.9735800000008</v>
      </c>
      <c r="M77" s="1124">
        <f>12*$K77*'Crono Pessoal'!I77/1000</f>
        <v>80.865786000000014</v>
      </c>
      <c r="N77" s="1124">
        <f>12*$K77*'Crono Pessoal'!J77/1000</f>
        <v>80.865786000000014</v>
      </c>
      <c r="O77" s="1124">
        <f>12*$K77*'Crono Pessoal'!K77/1000</f>
        <v>80.865786000000014</v>
      </c>
      <c r="P77" s="1124">
        <f>12*$K77*'Crono Pessoal'!L77/1000</f>
        <v>80.865786000000014</v>
      </c>
      <c r="Q77" s="1124">
        <f>12*$K77*'Crono Pessoal'!M77/1000</f>
        <v>80.865786000000014</v>
      </c>
      <c r="R77" s="1124">
        <f>12*$K77*'Crono Pessoal'!N77/1000</f>
        <v>80.865786000000014</v>
      </c>
      <c r="S77" s="1124">
        <f>12*$K77*'Crono Pessoal'!O77/1000</f>
        <v>80.865786000000014</v>
      </c>
      <c r="T77" s="1124">
        <f>12*$K77*'Crono Pessoal'!P77/1000</f>
        <v>80.865786000000014</v>
      </c>
      <c r="U77" s="1124">
        <f>12*$K77*'Crono Pessoal'!Q77/1000</f>
        <v>80.865786000000014</v>
      </c>
      <c r="V77" s="1124">
        <f>12*$K77*'Crono Pessoal'!R77/1000</f>
        <v>80.865786000000014</v>
      </c>
      <c r="W77" s="1124">
        <f>12*$K77*'Crono Pessoal'!S77/1000</f>
        <v>80.865786000000014</v>
      </c>
      <c r="X77" s="1124">
        <f>12*$K77*'Crono Pessoal'!T77/1000</f>
        <v>80.865786000000014</v>
      </c>
      <c r="Y77" s="1124">
        <f>12*$K77*'Crono Pessoal'!U77/1000</f>
        <v>80.865786000000014</v>
      </c>
      <c r="Z77" s="1124">
        <f>12*$K77*'Crono Pessoal'!V77/1000</f>
        <v>80.865786000000014</v>
      </c>
      <c r="AA77" s="1124">
        <f>12*$K77*'Crono Pessoal'!W77/1000</f>
        <v>80.865786000000014</v>
      </c>
      <c r="AB77" s="1124">
        <f>12*$K77*'Crono Pessoal'!X77/1000</f>
        <v>80.865786000000014</v>
      </c>
      <c r="AC77" s="1124">
        <f>12*$K77*'Crono Pessoal'!Y77/1000</f>
        <v>80.865786000000014</v>
      </c>
      <c r="AD77" s="1124">
        <f>12*$K77*'Crono Pessoal'!Z77/1000</f>
        <v>80.865786000000014</v>
      </c>
      <c r="AE77" s="1124">
        <f>12*$K77*'Crono Pessoal'!AA77/1000</f>
        <v>80.865786000000014</v>
      </c>
      <c r="AF77" s="1124">
        <f>12*$K77*'Crono Pessoal'!AB77/1000</f>
        <v>80.865786000000014</v>
      </c>
      <c r="AG77" s="1124">
        <f>12*$K77*'Crono Pessoal'!AC77/1000</f>
        <v>80.865786000000014</v>
      </c>
      <c r="AH77" s="1124">
        <f>12*$K77*'Crono Pessoal'!AD77/1000</f>
        <v>80.865786000000014</v>
      </c>
      <c r="AI77" s="1124">
        <f>12*$K77*'Crono Pessoal'!AE77/1000</f>
        <v>80.865786000000014</v>
      </c>
      <c r="AJ77" s="1124">
        <f>12*$K77*'Crono Pessoal'!AF77/1000</f>
        <v>80.865786000000014</v>
      </c>
      <c r="AK77" s="1124">
        <f>12*$K77*'Crono Pessoal'!AG77/1000</f>
        <v>80.865786000000014</v>
      </c>
      <c r="AL77" s="1124">
        <f>12*$K77*'Crono Pessoal'!AH77/1000</f>
        <v>80.865786000000014</v>
      </c>
      <c r="AM77" s="1124">
        <f>12*$K77*'Crono Pessoal'!AI77/1000</f>
        <v>80.865786000000014</v>
      </c>
      <c r="AN77" s="1124">
        <f>12*$K77*'Crono Pessoal'!AJ77/1000</f>
        <v>80.865786000000014</v>
      </c>
      <c r="AO77" s="1124">
        <f>12*$K77*'Crono Pessoal'!AK77/1000</f>
        <v>80.865786000000014</v>
      </c>
      <c r="AP77" s="1124">
        <f>12*$K77*'Crono Pessoal'!AL77/1000</f>
        <v>80.865786000000014</v>
      </c>
    </row>
    <row r="78" spans="1:42">
      <c r="A78" s="595"/>
      <c r="B78" s="598"/>
      <c r="C78" s="599"/>
      <c r="D78" s="260" t="s">
        <v>750</v>
      </c>
      <c r="E78" s="260">
        <v>1</v>
      </c>
      <c r="F78" s="1119" t="s">
        <v>816</v>
      </c>
      <c r="G78" s="1120" t="str">
        <f>VLOOKUP($F78,SALARIOSS!$D$6:$H$203,2,0)</f>
        <v>Assistente de Contas a Pagar</v>
      </c>
      <c r="H78" s="1121">
        <f>VLOOKUP($F78,SALARIOSS!$D$6:$I$203,6,0)</f>
        <v>1888.9929000000002</v>
      </c>
      <c r="I78" s="1121">
        <f>VLOOKUP($F78,Funções!$D$9:$K$200,5,0)+VLOOKUP($F78,Funções!$D$9:$K$200,6,0)</f>
        <v>2514.8461632500002</v>
      </c>
      <c r="J78" s="1121">
        <f>VLOOKUP($F78,Funções!$D$9:$K$200,7,0)</f>
        <v>95</v>
      </c>
      <c r="K78" s="1122">
        <f>SUM(H78:J78)</f>
        <v>4498.8390632500004</v>
      </c>
      <c r="L78" s="1123">
        <f>SUM(M78:AP78)</f>
        <v>1619.5820627700007</v>
      </c>
      <c r="M78" s="1124">
        <f>12*$K78*'Crono Pessoal'!I78/1000</f>
        <v>53.986068758999998</v>
      </c>
      <c r="N78" s="1124">
        <f>12*$K78*'Crono Pessoal'!J78/1000</f>
        <v>53.986068758999998</v>
      </c>
      <c r="O78" s="1124">
        <f>12*$K78*'Crono Pessoal'!K78/1000</f>
        <v>53.986068758999998</v>
      </c>
      <c r="P78" s="1124">
        <f>12*$K78*'Crono Pessoal'!L78/1000</f>
        <v>53.986068758999998</v>
      </c>
      <c r="Q78" s="1124">
        <f>12*$K78*'Crono Pessoal'!M78/1000</f>
        <v>53.986068758999998</v>
      </c>
      <c r="R78" s="1124">
        <f>12*$K78*'Crono Pessoal'!N78/1000</f>
        <v>53.986068758999998</v>
      </c>
      <c r="S78" s="1124">
        <f>12*$K78*'Crono Pessoal'!O78/1000</f>
        <v>53.986068758999998</v>
      </c>
      <c r="T78" s="1124">
        <f>12*$K78*'Crono Pessoal'!P78/1000</f>
        <v>53.986068758999998</v>
      </c>
      <c r="U78" s="1124">
        <f>12*$K78*'Crono Pessoal'!Q78/1000</f>
        <v>53.986068758999998</v>
      </c>
      <c r="V78" s="1124">
        <f>12*$K78*'Crono Pessoal'!R78/1000</f>
        <v>53.986068758999998</v>
      </c>
      <c r="W78" s="1124">
        <f>12*$K78*'Crono Pessoal'!S78/1000</f>
        <v>53.986068758999998</v>
      </c>
      <c r="X78" s="1124">
        <f>12*$K78*'Crono Pessoal'!T78/1000</f>
        <v>53.986068758999998</v>
      </c>
      <c r="Y78" s="1124">
        <f>12*$K78*'Crono Pessoal'!U78/1000</f>
        <v>53.986068758999998</v>
      </c>
      <c r="Z78" s="1124">
        <f>12*$K78*'Crono Pessoal'!V78/1000</f>
        <v>53.986068758999998</v>
      </c>
      <c r="AA78" s="1124">
        <f>12*$K78*'Crono Pessoal'!W78/1000</f>
        <v>53.986068758999998</v>
      </c>
      <c r="AB78" s="1124">
        <f>12*$K78*'Crono Pessoal'!X78/1000</f>
        <v>53.986068758999998</v>
      </c>
      <c r="AC78" s="1124">
        <f>12*$K78*'Crono Pessoal'!Y78/1000</f>
        <v>53.986068758999998</v>
      </c>
      <c r="AD78" s="1124">
        <f>12*$K78*'Crono Pessoal'!Z78/1000</f>
        <v>53.986068758999998</v>
      </c>
      <c r="AE78" s="1124">
        <f>12*$K78*'Crono Pessoal'!AA78/1000</f>
        <v>53.986068758999998</v>
      </c>
      <c r="AF78" s="1124">
        <f>12*$K78*'Crono Pessoal'!AB78/1000</f>
        <v>53.986068758999998</v>
      </c>
      <c r="AG78" s="1124">
        <f>12*$K78*'Crono Pessoal'!AC78/1000</f>
        <v>53.986068758999998</v>
      </c>
      <c r="AH78" s="1124">
        <f>12*$K78*'Crono Pessoal'!AD78/1000</f>
        <v>53.986068758999998</v>
      </c>
      <c r="AI78" s="1124">
        <f>12*$K78*'Crono Pessoal'!AE78/1000</f>
        <v>53.986068758999998</v>
      </c>
      <c r="AJ78" s="1124">
        <f>12*$K78*'Crono Pessoal'!AF78/1000</f>
        <v>53.986068758999998</v>
      </c>
      <c r="AK78" s="1124">
        <f>12*$K78*'Crono Pessoal'!AG78/1000</f>
        <v>53.986068758999998</v>
      </c>
      <c r="AL78" s="1124">
        <f>12*$K78*'Crono Pessoal'!AH78/1000</f>
        <v>53.986068758999998</v>
      </c>
      <c r="AM78" s="1124">
        <f>12*$K78*'Crono Pessoal'!AI78/1000</f>
        <v>53.986068758999998</v>
      </c>
      <c r="AN78" s="1124">
        <f>12*$K78*'Crono Pessoal'!AJ78/1000</f>
        <v>53.986068758999998</v>
      </c>
      <c r="AO78" s="1124">
        <f>12*$K78*'Crono Pessoal'!AK78/1000</f>
        <v>53.986068758999998</v>
      </c>
      <c r="AP78" s="1124">
        <f>12*$K78*'Crono Pessoal'!AL78/1000</f>
        <v>53.986068758999998</v>
      </c>
    </row>
    <row r="79" spans="1:42">
      <c r="A79" s="595"/>
      <c r="B79" s="598"/>
      <c r="C79" s="599"/>
      <c r="D79" s="260" t="s">
        <v>750</v>
      </c>
      <c r="E79" s="260"/>
      <c r="F79" s="1119"/>
      <c r="G79" s="1126" t="s">
        <v>817</v>
      </c>
      <c r="H79" s="1122"/>
      <c r="I79" s="1122"/>
      <c r="J79" s="1122"/>
      <c r="K79" s="1122"/>
      <c r="L79" s="1123"/>
      <c r="M79" s="1124"/>
      <c r="N79" s="1124"/>
      <c r="O79" s="1124"/>
      <c r="P79" s="1124"/>
      <c r="Q79" s="1124"/>
      <c r="R79" s="1124"/>
      <c r="S79" s="1124"/>
      <c r="T79" s="1124"/>
      <c r="U79" s="1124"/>
      <c r="V79" s="1124"/>
      <c r="W79" s="1124"/>
      <c r="X79" s="1124"/>
      <c r="Y79" s="1124"/>
      <c r="Z79" s="1124"/>
      <c r="AA79" s="1124"/>
      <c r="AB79" s="1124"/>
      <c r="AC79" s="1124"/>
      <c r="AD79" s="1124"/>
      <c r="AE79" s="1124"/>
      <c r="AF79" s="1124"/>
      <c r="AG79" s="1124"/>
      <c r="AH79" s="1124"/>
      <c r="AI79" s="1124"/>
      <c r="AJ79" s="1124"/>
      <c r="AK79" s="1124"/>
      <c r="AL79" s="1124"/>
      <c r="AM79" s="1124"/>
      <c r="AN79" s="1124"/>
      <c r="AO79" s="1124"/>
      <c r="AP79" s="1124"/>
    </row>
    <row r="80" spans="1:42">
      <c r="A80" s="595"/>
      <c r="B80" s="598"/>
      <c r="C80" s="599"/>
      <c r="D80" s="260" t="s">
        <v>750</v>
      </c>
      <c r="E80" s="260">
        <v>1</v>
      </c>
      <c r="F80" s="1119" t="s">
        <v>818</v>
      </c>
      <c r="G80" s="1120" t="str">
        <f>VLOOKUP($F80,SALARIOSS!$D$6:$H$203,2,0)</f>
        <v>Contador</v>
      </c>
      <c r="H80" s="1121">
        <f>VLOOKUP($F80,SALARIOSS!$D$6:$I$203,6,0)</f>
        <v>7469.566605</v>
      </c>
      <c r="I80" s="1121">
        <f>VLOOKUP($F80,Funções!$D$9:$K$200,5,0)+VLOOKUP($F80,Funções!$D$9:$K$200,6,0)</f>
        <v>7495.5081949625001</v>
      </c>
      <c r="J80" s="1121">
        <f>VLOOKUP($F80,Funções!$D$9:$K$200,7,0)</f>
        <v>95</v>
      </c>
      <c r="K80" s="1122">
        <f>SUM(H80:J80)</f>
        <v>15060.0747999625</v>
      </c>
      <c r="L80" s="1123">
        <f>SUM(M80:AP80)</f>
        <v>5421.6269279865</v>
      </c>
      <c r="M80" s="1124">
        <f>12*$K80*'Crono Pessoal'!I80/1000</f>
        <v>180.72089759955</v>
      </c>
      <c r="N80" s="1124">
        <f>12*$K80*'Crono Pessoal'!J80/1000</f>
        <v>180.72089759955</v>
      </c>
      <c r="O80" s="1124">
        <f>12*$K80*'Crono Pessoal'!K80/1000</f>
        <v>180.72089759955</v>
      </c>
      <c r="P80" s="1124">
        <f>12*$K80*'Crono Pessoal'!L80/1000</f>
        <v>180.72089759955</v>
      </c>
      <c r="Q80" s="1124">
        <f>12*$K80*'Crono Pessoal'!M80/1000</f>
        <v>180.72089759955</v>
      </c>
      <c r="R80" s="1124">
        <f>12*$K80*'Crono Pessoal'!N80/1000</f>
        <v>180.72089759955</v>
      </c>
      <c r="S80" s="1124">
        <f>12*$K80*'Crono Pessoal'!O80/1000</f>
        <v>180.72089759955</v>
      </c>
      <c r="T80" s="1124">
        <f>12*$K80*'Crono Pessoal'!P80/1000</f>
        <v>180.72089759955</v>
      </c>
      <c r="U80" s="1124">
        <f>12*$K80*'Crono Pessoal'!Q80/1000</f>
        <v>180.72089759955</v>
      </c>
      <c r="V80" s="1124">
        <f>12*$K80*'Crono Pessoal'!R80/1000</f>
        <v>180.72089759955</v>
      </c>
      <c r="W80" s="1124">
        <f>12*$K80*'Crono Pessoal'!S80/1000</f>
        <v>180.72089759955</v>
      </c>
      <c r="X80" s="1124">
        <f>12*$K80*'Crono Pessoal'!T80/1000</f>
        <v>180.72089759955</v>
      </c>
      <c r="Y80" s="1124">
        <f>12*$K80*'Crono Pessoal'!U80/1000</f>
        <v>180.72089759955</v>
      </c>
      <c r="Z80" s="1124">
        <f>12*$K80*'Crono Pessoal'!V80/1000</f>
        <v>180.72089759955</v>
      </c>
      <c r="AA80" s="1124">
        <f>12*$K80*'Crono Pessoal'!W80/1000</f>
        <v>180.72089759955</v>
      </c>
      <c r="AB80" s="1124">
        <f>12*$K80*'Crono Pessoal'!X80/1000</f>
        <v>180.72089759955</v>
      </c>
      <c r="AC80" s="1124">
        <f>12*$K80*'Crono Pessoal'!Y80/1000</f>
        <v>180.72089759955</v>
      </c>
      <c r="AD80" s="1124">
        <f>12*$K80*'Crono Pessoal'!Z80/1000</f>
        <v>180.72089759955</v>
      </c>
      <c r="AE80" s="1124">
        <f>12*$K80*'Crono Pessoal'!AA80/1000</f>
        <v>180.72089759955</v>
      </c>
      <c r="AF80" s="1124">
        <f>12*$K80*'Crono Pessoal'!AB80/1000</f>
        <v>180.72089759955</v>
      </c>
      <c r="AG80" s="1124">
        <f>12*$K80*'Crono Pessoal'!AC80/1000</f>
        <v>180.72089759955</v>
      </c>
      <c r="AH80" s="1124">
        <f>12*$K80*'Crono Pessoal'!AD80/1000</f>
        <v>180.72089759955</v>
      </c>
      <c r="AI80" s="1124">
        <f>12*$K80*'Crono Pessoal'!AE80/1000</f>
        <v>180.72089759955</v>
      </c>
      <c r="AJ80" s="1124">
        <f>12*$K80*'Crono Pessoal'!AF80/1000</f>
        <v>180.72089759955</v>
      </c>
      <c r="AK80" s="1124">
        <f>12*$K80*'Crono Pessoal'!AG80/1000</f>
        <v>180.72089759955</v>
      </c>
      <c r="AL80" s="1124">
        <f>12*$K80*'Crono Pessoal'!AH80/1000</f>
        <v>180.72089759955</v>
      </c>
      <c r="AM80" s="1124">
        <f>12*$K80*'Crono Pessoal'!AI80/1000</f>
        <v>180.72089759955</v>
      </c>
      <c r="AN80" s="1124">
        <f>12*$K80*'Crono Pessoal'!AJ80/1000</f>
        <v>180.72089759955</v>
      </c>
      <c r="AO80" s="1124">
        <f>12*$K80*'Crono Pessoal'!AK80/1000</f>
        <v>180.72089759955</v>
      </c>
      <c r="AP80" s="1124">
        <f>12*$K80*'Crono Pessoal'!AL80/1000</f>
        <v>180.72089759955</v>
      </c>
    </row>
    <row r="81" spans="1:42">
      <c r="A81" s="595"/>
      <c r="B81" s="598"/>
      <c r="C81" s="599"/>
      <c r="D81" s="260" t="s">
        <v>750</v>
      </c>
      <c r="E81" s="260">
        <v>1</v>
      </c>
      <c r="F81" s="1119" t="s">
        <v>819</v>
      </c>
      <c r="G81" s="1120" t="str">
        <f>VLOOKUP($F81,SALARIOSS!$D$6:$H$203,2,0)</f>
        <v>Analista de Contabilidade</v>
      </c>
      <c r="H81" s="1121">
        <f>VLOOKUP($F81,SALARIOSS!$D$6:$I$203,6,0)</f>
        <v>2471.7528000000002</v>
      </c>
      <c r="I81" s="1121">
        <f>VLOOKUP($F81,Funções!$D$9:$K$200,5,0)+VLOOKUP($F81,Funções!$D$9:$K$200,6,0)</f>
        <v>3034.9593740000005</v>
      </c>
      <c r="J81" s="1121">
        <f>VLOOKUP($F81,Funções!$D$9:$K$200,7,0)</f>
        <v>95</v>
      </c>
      <c r="K81" s="1122">
        <f>SUM(H81:J81)</f>
        <v>5601.7121740000002</v>
      </c>
      <c r="L81" s="1123">
        <f>SUM(M81:AP81)</f>
        <v>2016.61638264</v>
      </c>
      <c r="M81" s="1124">
        <f>12*$K81*'Crono Pessoal'!I81/1000</f>
        <v>67.220546088000006</v>
      </c>
      <c r="N81" s="1124">
        <f>12*$K81*'Crono Pessoal'!J81/1000</f>
        <v>67.220546088000006</v>
      </c>
      <c r="O81" s="1124">
        <f>12*$K81*'Crono Pessoal'!K81/1000</f>
        <v>67.220546088000006</v>
      </c>
      <c r="P81" s="1124">
        <f>12*$K81*'Crono Pessoal'!L81/1000</f>
        <v>67.220546088000006</v>
      </c>
      <c r="Q81" s="1124">
        <f>12*$K81*'Crono Pessoal'!M81/1000</f>
        <v>67.220546088000006</v>
      </c>
      <c r="R81" s="1124">
        <f>12*$K81*'Crono Pessoal'!N81/1000</f>
        <v>67.220546088000006</v>
      </c>
      <c r="S81" s="1124">
        <f>12*$K81*'Crono Pessoal'!O81/1000</f>
        <v>67.220546088000006</v>
      </c>
      <c r="T81" s="1124">
        <f>12*$K81*'Crono Pessoal'!P81/1000</f>
        <v>67.220546088000006</v>
      </c>
      <c r="U81" s="1124">
        <f>12*$K81*'Crono Pessoal'!Q81/1000</f>
        <v>67.220546088000006</v>
      </c>
      <c r="V81" s="1124">
        <f>12*$K81*'Crono Pessoal'!R81/1000</f>
        <v>67.220546088000006</v>
      </c>
      <c r="W81" s="1124">
        <f>12*$K81*'Crono Pessoal'!S81/1000</f>
        <v>67.220546088000006</v>
      </c>
      <c r="X81" s="1124">
        <f>12*$K81*'Crono Pessoal'!T81/1000</f>
        <v>67.220546088000006</v>
      </c>
      <c r="Y81" s="1124">
        <f>12*$K81*'Crono Pessoal'!U81/1000</f>
        <v>67.220546088000006</v>
      </c>
      <c r="Z81" s="1124">
        <f>12*$K81*'Crono Pessoal'!V81/1000</f>
        <v>67.220546088000006</v>
      </c>
      <c r="AA81" s="1124">
        <f>12*$K81*'Crono Pessoal'!W81/1000</f>
        <v>67.220546088000006</v>
      </c>
      <c r="AB81" s="1124">
        <f>12*$K81*'Crono Pessoal'!X81/1000</f>
        <v>67.220546088000006</v>
      </c>
      <c r="AC81" s="1124">
        <f>12*$K81*'Crono Pessoal'!Y81/1000</f>
        <v>67.220546088000006</v>
      </c>
      <c r="AD81" s="1124">
        <f>12*$K81*'Crono Pessoal'!Z81/1000</f>
        <v>67.220546088000006</v>
      </c>
      <c r="AE81" s="1124">
        <f>12*$K81*'Crono Pessoal'!AA81/1000</f>
        <v>67.220546088000006</v>
      </c>
      <c r="AF81" s="1124">
        <f>12*$K81*'Crono Pessoal'!AB81/1000</f>
        <v>67.220546088000006</v>
      </c>
      <c r="AG81" s="1124">
        <f>12*$K81*'Crono Pessoal'!AC81/1000</f>
        <v>67.220546088000006</v>
      </c>
      <c r="AH81" s="1124">
        <f>12*$K81*'Crono Pessoal'!AD81/1000</f>
        <v>67.220546088000006</v>
      </c>
      <c r="AI81" s="1124">
        <f>12*$K81*'Crono Pessoal'!AE81/1000</f>
        <v>67.220546088000006</v>
      </c>
      <c r="AJ81" s="1124">
        <f>12*$K81*'Crono Pessoal'!AF81/1000</f>
        <v>67.220546088000006</v>
      </c>
      <c r="AK81" s="1124">
        <f>12*$K81*'Crono Pessoal'!AG81/1000</f>
        <v>67.220546088000006</v>
      </c>
      <c r="AL81" s="1124">
        <f>12*$K81*'Crono Pessoal'!AH81/1000</f>
        <v>67.220546088000006</v>
      </c>
      <c r="AM81" s="1124">
        <f>12*$K81*'Crono Pessoal'!AI81/1000</f>
        <v>67.220546088000006</v>
      </c>
      <c r="AN81" s="1124">
        <f>12*$K81*'Crono Pessoal'!AJ81/1000</f>
        <v>67.220546088000006</v>
      </c>
      <c r="AO81" s="1124">
        <f>12*$K81*'Crono Pessoal'!AK81/1000</f>
        <v>67.220546088000006</v>
      </c>
      <c r="AP81" s="1124">
        <f>12*$K81*'Crono Pessoal'!AL81/1000</f>
        <v>67.220546088000006</v>
      </c>
    </row>
    <row r="82" spans="1:42">
      <c r="A82" s="595"/>
      <c r="B82" s="598"/>
      <c r="C82" s="599"/>
      <c r="D82" s="260" t="s">
        <v>750</v>
      </c>
      <c r="E82" s="260">
        <v>1</v>
      </c>
      <c r="F82" s="1119" t="s">
        <v>789</v>
      </c>
      <c r="G82" s="1120" t="str">
        <f>VLOOKUP($F82,SALARIOSS!$D$6:$H$203,2,0)</f>
        <v>Auxiliar Administrativo II</v>
      </c>
      <c r="H82" s="1121">
        <f>VLOOKUP($F82,SALARIOSS!$D$6:$I$203,6,0)</f>
        <v>1591.7499000000003</v>
      </c>
      <c r="I82" s="1121">
        <f>VLOOKUP($F82,Funções!$D$9:$K$200,5,0)+VLOOKUP($F82,Funções!$D$9:$K$200,6,0)</f>
        <v>2249.5567857500005</v>
      </c>
      <c r="J82" s="1121">
        <f>VLOOKUP($F82,Funções!$D$9:$K$200,7,0)</f>
        <v>95</v>
      </c>
      <c r="K82" s="1122">
        <f>SUM(H82:J82)</f>
        <v>3936.3066857500007</v>
      </c>
      <c r="L82" s="1123">
        <f>SUM(M82:AP82)</f>
        <v>0</v>
      </c>
      <c r="M82" s="1124">
        <f>12*$K82*'Crono Pessoal'!I82/1000</f>
        <v>0</v>
      </c>
      <c r="N82" s="1124">
        <f>12*$K82*'Crono Pessoal'!J82/1000</f>
        <v>0</v>
      </c>
      <c r="O82" s="1124">
        <f>12*$K82*'Crono Pessoal'!K82/1000</f>
        <v>0</v>
      </c>
      <c r="P82" s="1124">
        <f>12*$K82*'Crono Pessoal'!L82/1000</f>
        <v>0</v>
      </c>
      <c r="Q82" s="1124">
        <f>12*$K82*'Crono Pessoal'!M82/1000</f>
        <v>0</v>
      </c>
      <c r="R82" s="1124">
        <f>12*$K82*'Crono Pessoal'!N82/1000</f>
        <v>0</v>
      </c>
      <c r="S82" s="1124">
        <f>12*$K82*'Crono Pessoal'!O82/1000</f>
        <v>0</v>
      </c>
      <c r="T82" s="1124">
        <f>12*$K82*'Crono Pessoal'!P82/1000</f>
        <v>0</v>
      </c>
      <c r="U82" s="1124">
        <f>12*$K82*'Crono Pessoal'!Q82/1000</f>
        <v>0</v>
      </c>
      <c r="V82" s="1124">
        <f>12*$K82*'Crono Pessoal'!R82/1000</f>
        <v>0</v>
      </c>
      <c r="W82" s="1124">
        <f>12*$K82*'Crono Pessoal'!S82/1000</f>
        <v>0</v>
      </c>
      <c r="X82" s="1124">
        <f>12*$K82*'Crono Pessoal'!T82/1000</f>
        <v>0</v>
      </c>
      <c r="Y82" s="1124">
        <f>12*$K82*'Crono Pessoal'!U82/1000</f>
        <v>0</v>
      </c>
      <c r="Z82" s="1124">
        <f>12*$K82*'Crono Pessoal'!V82/1000</f>
        <v>0</v>
      </c>
      <c r="AA82" s="1124">
        <f>12*$K82*'Crono Pessoal'!W82/1000</f>
        <v>0</v>
      </c>
      <c r="AB82" s="1124">
        <f>12*$K82*'Crono Pessoal'!X82/1000</f>
        <v>0</v>
      </c>
      <c r="AC82" s="1124">
        <f>12*$K82*'Crono Pessoal'!Y82/1000</f>
        <v>0</v>
      </c>
      <c r="AD82" s="1124">
        <f>12*$K82*'Crono Pessoal'!Z82/1000</f>
        <v>0</v>
      </c>
      <c r="AE82" s="1124">
        <f>12*$K82*'Crono Pessoal'!AA82/1000</f>
        <v>0</v>
      </c>
      <c r="AF82" s="1124">
        <f>12*$K82*'Crono Pessoal'!AB82/1000</f>
        <v>0</v>
      </c>
      <c r="AG82" s="1124">
        <f>12*$K82*'Crono Pessoal'!AC82/1000</f>
        <v>0</v>
      </c>
      <c r="AH82" s="1124">
        <f>12*$K82*'Crono Pessoal'!AD82/1000</f>
        <v>0</v>
      </c>
      <c r="AI82" s="1124">
        <f>12*$K82*'Crono Pessoal'!AE82/1000</f>
        <v>0</v>
      </c>
      <c r="AJ82" s="1124">
        <f>12*$K82*'Crono Pessoal'!AF82/1000</f>
        <v>0</v>
      </c>
      <c r="AK82" s="1124">
        <f>12*$K82*'Crono Pessoal'!AG82/1000</f>
        <v>0</v>
      </c>
      <c r="AL82" s="1124">
        <f>12*$K82*'Crono Pessoal'!AH82/1000</f>
        <v>0</v>
      </c>
      <c r="AM82" s="1124">
        <f>12*$K82*'Crono Pessoal'!AI82/1000</f>
        <v>0</v>
      </c>
      <c r="AN82" s="1124">
        <f>12*$K82*'Crono Pessoal'!AJ82/1000</f>
        <v>0</v>
      </c>
      <c r="AO82" s="1124">
        <f>12*$K82*'Crono Pessoal'!AK82/1000</f>
        <v>0</v>
      </c>
      <c r="AP82" s="1124">
        <f>12*$K82*'Crono Pessoal'!AL82/1000</f>
        <v>0</v>
      </c>
    </row>
    <row r="83" spans="1:42" s="624" customFormat="1">
      <c r="A83" s="609"/>
      <c r="B83" s="610"/>
      <c r="C83" s="611"/>
      <c r="D83" s="625"/>
      <c r="E83" s="625"/>
      <c r="F83" s="1125" t="s">
        <v>820</v>
      </c>
      <c r="G83" s="1117" t="s">
        <v>821</v>
      </c>
      <c r="H83" s="1127"/>
      <c r="I83" s="1127"/>
      <c r="J83" s="1127"/>
      <c r="K83" s="1127"/>
      <c r="L83" s="1118"/>
      <c r="M83" s="1128"/>
      <c r="N83" s="1128"/>
      <c r="O83" s="1128"/>
      <c r="P83" s="1128"/>
      <c r="Q83" s="1128"/>
      <c r="R83" s="1128"/>
      <c r="S83" s="1128"/>
      <c r="T83" s="1128"/>
      <c r="U83" s="1128"/>
      <c r="V83" s="1128"/>
      <c r="W83" s="1128"/>
      <c r="X83" s="1128"/>
      <c r="Y83" s="1128"/>
      <c r="Z83" s="1128"/>
      <c r="AA83" s="1128"/>
      <c r="AB83" s="1128"/>
      <c r="AC83" s="1128"/>
      <c r="AD83" s="1128"/>
      <c r="AE83" s="1128"/>
      <c r="AF83" s="1128"/>
      <c r="AG83" s="1128"/>
      <c r="AH83" s="1128"/>
      <c r="AI83" s="1128"/>
      <c r="AJ83" s="1128"/>
      <c r="AK83" s="1128"/>
      <c r="AL83" s="1128"/>
      <c r="AM83" s="1128"/>
      <c r="AN83" s="1128"/>
      <c r="AO83" s="1128"/>
      <c r="AP83" s="1128"/>
    </row>
    <row r="84" spans="1:42">
      <c r="A84" s="595"/>
      <c r="B84" s="598"/>
      <c r="C84" s="599"/>
      <c r="D84" s="260" t="s">
        <v>750</v>
      </c>
      <c r="E84" s="260">
        <v>1</v>
      </c>
      <c r="F84" s="1119" t="s">
        <v>822</v>
      </c>
      <c r="G84" s="1120" t="str">
        <f>VLOOKUP($F84,SALARIOSS!$D$6:$H$203,2,0)</f>
        <v>Diretor de Engenharia e Operações</v>
      </c>
      <c r="H84" s="1121">
        <f>VLOOKUP($F84,SALARIOSS!$D$6:$I$203,6,0)</f>
        <v>43153.010549999999</v>
      </c>
      <c r="I84" s="1121">
        <f>VLOOKUP($F84,Funções!$D$9:$K$200,5,0)+VLOOKUP($F84,Funções!$D$9:$K$200,6,0)</f>
        <v>39342.981915874996</v>
      </c>
      <c r="J84" s="1121">
        <f>VLOOKUP($F84,Funções!$D$9:$K$200,7,0)</f>
        <v>95</v>
      </c>
      <c r="K84" s="1122">
        <f>SUM(H84:J84)</f>
        <v>82590.992465874995</v>
      </c>
      <c r="L84" s="1122">
        <f>SUM(M84:AP84)</f>
        <v>29732.757287715009</v>
      </c>
      <c r="M84" s="1124">
        <f>12*$K84*'Crono Pessoal'!I84/1000</f>
        <v>991.09190959049999</v>
      </c>
      <c r="N84" s="1124">
        <f>12*$K84*'Crono Pessoal'!J84/1000</f>
        <v>991.09190959049999</v>
      </c>
      <c r="O84" s="1124">
        <f>12*$K84*'Crono Pessoal'!K84/1000</f>
        <v>991.09190959049999</v>
      </c>
      <c r="P84" s="1124">
        <f>12*$K84*'Crono Pessoal'!L84/1000</f>
        <v>991.09190959049999</v>
      </c>
      <c r="Q84" s="1124">
        <f>12*$K84*'Crono Pessoal'!M84/1000</f>
        <v>991.09190959049999</v>
      </c>
      <c r="R84" s="1124">
        <f>12*$K84*'Crono Pessoal'!N84/1000</f>
        <v>991.09190959049999</v>
      </c>
      <c r="S84" s="1124">
        <f>12*$K84*'Crono Pessoal'!O84/1000</f>
        <v>991.09190959049999</v>
      </c>
      <c r="T84" s="1124">
        <f>12*$K84*'Crono Pessoal'!P84/1000</f>
        <v>991.09190959049999</v>
      </c>
      <c r="U84" s="1124">
        <f>12*$K84*'Crono Pessoal'!Q84/1000</f>
        <v>991.09190959049999</v>
      </c>
      <c r="V84" s="1124">
        <f>12*$K84*'Crono Pessoal'!R84/1000</f>
        <v>991.09190959049999</v>
      </c>
      <c r="W84" s="1124">
        <f>12*$K84*'Crono Pessoal'!S84/1000</f>
        <v>991.09190959049999</v>
      </c>
      <c r="X84" s="1124">
        <f>12*$K84*'Crono Pessoal'!T84/1000</f>
        <v>991.09190959049999</v>
      </c>
      <c r="Y84" s="1124">
        <f>12*$K84*'Crono Pessoal'!U84/1000</f>
        <v>991.09190959049999</v>
      </c>
      <c r="Z84" s="1124">
        <f>12*$K84*'Crono Pessoal'!V84/1000</f>
        <v>991.09190959049999</v>
      </c>
      <c r="AA84" s="1124">
        <f>12*$K84*'Crono Pessoal'!W84/1000</f>
        <v>991.09190959049999</v>
      </c>
      <c r="AB84" s="1124">
        <f>12*$K84*'Crono Pessoal'!X84/1000</f>
        <v>991.09190959049999</v>
      </c>
      <c r="AC84" s="1124">
        <f>12*$K84*'Crono Pessoal'!Y84/1000</f>
        <v>991.09190959049999</v>
      </c>
      <c r="AD84" s="1124">
        <f>12*$K84*'Crono Pessoal'!Z84/1000</f>
        <v>991.09190959049999</v>
      </c>
      <c r="AE84" s="1124">
        <f>12*$K84*'Crono Pessoal'!AA84/1000</f>
        <v>991.09190959049999</v>
      </c>
      <c r="AF84" s="1124">
        <f>12*$K84*'Crono Pessoal'!AB84/1000</f>
        <v>991.09190959049999</v>
      </c>
      <c r="AG84" s="1124">
        <f>12*$K84*'Crono Pessoal'!AC84/1000</f>
        <v>991.09190959049999</v>
      </c>
      <c r="AH84" s="1124">
        <f>12*$K84*'Crono Pessoal'!AD84/1000</f>
        <v>991.09190959049999</v>
      </c>
      <c r="AI84" s="1124">
        <f>12*$K84*'Crono Pessoal'!AE84/1000</f>
        <v>991.09190959049999</v>
      </c>
      <c r="AJ84" s="1124">
        <f>12*$K84*'Crono Pessoal'!AF84/1000</f>
        <v>991.09190959049999</v>
      </c>
      <c r="AK84" s="1124">
        <f>12*$K84*'Crono Pessoal'!AG84/1000</f>
        <v>991.09190959049999</v>
      </c>
      <c r="AL84" s="1124">
        <f>12*$K84*'Crono Pessoal'!AH84/1000</f>
        <v>991.09190959049999</v>
      </c>
      <c r="AM84" s="1124">
        <f>12*$K84*'Crono Pessoal'!AI84/1000</f>
        <v>991.09190959049999</v>
      </c>
      <c r="AN84" s="1124">
        <f>12*$K84*'Crono Pessoal'!AJ84/1000</f>
        <v>991.09190959049999</v>
      </c>
      <c r="AO84" s="1124">
        <f>12*$K84*'Crono Pessoal'!AK84/1000</f>
        <v>991.09190959049999</v>
      </c>
      <c r="AP84" s="1124">
        <f>12*$K84*'Crono Pessoal'!AL84/1000</f>
        <v>991.09190959049999</v>
      </c>
    </row>
    <row r="85" spans="1:42">
      <c r="A85" s="595"/>
      <c r="B85" s="598"/>
      <c r="C85" s="599"/>
      <c r="D85" s="260" t="s">
        <v>750</v>
      </c>
      <c r="E85" s="260">
        <v>1</v>
      </c>
      <c r="F85" s="1119" t="s">
        <v>823</v>
      </c>
      <c r="G85" s="1120" t="str">
        <f>VLOOKUP($F85,SALARIOSS!$D$6:$H$203,2,0)</f>
        <v>Diretor Operacional</v>
      </c>
      <c r="H85" s="1121">
        <f>VLOOKUP($F85,SALARIOSS!$D$6:$I$203,6,0)</f>
        <v>43153.010549999999</v>
      </c>
      <c r="I85" s="1121">
        <f>VLOOKUP($F85,Funções!$D$9:$K$200,5,0)+VLOOKUP($F85,Funções!$D$9:$K$200,6,0)</f>
        <v>39342.981915874996</v>
      </c>
      <c r="J85" s="1121">
        <f>VLOOKUP($F85,Funções!$D$9:$K$200,7,0)</f>
        <v>95</v>
      </c>
      <c r="K85" s="1122">
        <f>SUM(H85:J85)</f>
        <v>82590.992465874995</v>
      </c>
      <c r="L85" s="1122">
        <f>SUM(M85:AP85)</f>
        <v>0</v>
      </c>
      <c r="M85" s="1124">
        <f>12*$K85*'Crono Pessoal'!I85/1000</f>
        <v>0</v>
      </c>
      <c r="N85" s="1124">
        <f>12*$K85*'Crono Pessoal'!J85/1000</f>
        <v>0</v>
      </c>
      <c r="O85" s="1124">
        <f>12*$K85*'Crono Pessoal'!K85/1000</f>
        <v>0</v>
      </c>
      <c r="P85" s="1124">
        <f>12*$K85*'Crono Pessoal'!L85/1000</f>
        <v>0</v>
      </c>
      <c r="Q85" s="1124">
        <f>12*$K85*'Crono Pessoal'!M85/1000</f>
        <v>0</v>
      </c>
      <c r="R85" s="1124">
        <f>12*$K85*'Crono Pessoal'!N85/1000</f>
        <v>0</v>
      </c>
      <c r="S85" s="1124">
        <f>12*$K85*'Crono Pessoal'!O85/1000</f>
        <v>0</v>
      </c>
      <c r="T85" s="1124">
        <f>12*$K85*'Crono Pessoal'!P85/1000</f>
        <v>0</v>
      </c>
      <c r="U85" s="1124">
        <f>12*$K85*'Crono Pessoal'!Q85/1000</f>
        <v>0</v>
      </c>
      <c r="V85" s="1124">
        <f>12*$K85*'Crono Pessoal'!R85/1000</f>
        <v>0</v>
      </c>
      <c r="W85" s="1124">
        <f>12*$K85*'Crono Pessoal'!S85/1000</f>
        <v>0</v>
      </c>
      <c r="X85" s="1124">
        <f>12*$K85*'Crono Pessoal'!T85/1000</f>
        <v>0</v>
      </c>
      <c r="Y85" s="1124">
        <f>12*$K85*'Crono Pessoal'!U85/1000</f>
        <v>0</v>
      </c>
      <c r="Z85" s="1124">
        <f>12*$K85*'Crono Pessoal'!V85/1000</f>
        <v>0</v>
      </c>
      <c r="AA85" s="1124">
        <f>12*$K85*'Crono Pessoal'!W85/1000</f>
        <v>0</v>
      </c>
      <c r="AB85" s="1124">
        <f>12*$K85*'Crono Pessoal'!X85/1000</f>
        <v>0</v>
      </c>
      <c r="AC85" s="1124">
        <f>12*$K85*'Crono Pessoal'!Y85/1000</f>
        <v>0</v>
      </c>
      <c r="AD85" s="1124">
        <f>12*$K85*'Crono Pessoal'!Z85/1000</f>
        <v>0</v>
      </c>
      <c r="AE85" s="1124">
        <f>12*$K85*'Crono Pessoal'!AA85/1000</f>
        <v>0</v>
      </c>
      <c r="AF85" s="1124">
        <f>12*$K85*'Crono Pessoal'!AB85/1000</f>
        <v>0</v>
      </c>
      <c r="AG85" s="1124">
        <f>12*$K85*'Crono Pessoal'!AC85/1000</f>
        <v>0</v>
      </c>
      <c r="AH85" s="1124">
        <f>12*$K85*'Crono Pessoal'!AD85/1000</f>
        <v>0</v>
      </c>
      <c r="AI85" s="1124">
        <f>12*$K85*'Crono Pessoal'!AE85/1000</f>
        <v>0</v>
      </c>
      <c r="AJ85" s="1124">
        <f>12*$K85*'Crono Pessoal'!AF85/1000</f>
        <v>0</v>
      </c>
      <c r="AK85" s="1124">
        <f>12*$K85*'Crono Pessoal'!AG85/1000</f>
        <v>0</v>
      </c>
      <c r="AL85" s="1124">
        <f>12*$K85*'Crono Pessoal'!AH85/1000</f>
        <v>0</v>
      </c>
      <c r="AM85" s="1124">
        <f>12*$K85*'Crono Pessoal'!AI85/1000</f>
        <v>0</v>
      </c>
      <c r="AN85" s="1124">
        <f>12*$K85*'Crono Pessoal'!AJ85/1000</f>
        <v>0</v>
      </c>
      <c r="AO85" s="1124">
        <f>12*$K85*'Crono Pessoal'!AK85/1000</f>
        <v>0</v>
      </c>
      <c r="AP85" s="1124">
        <f>12*$K85*'Crono Pessoal'!AL85/1000</f>
        <v>0</v>
      </c>
    </row>
    <row r="86" spans="1:42" s="624" customFormat="1">
      <c r="A86" s="609"/>
      <c r="B86" s="610"/>
      <c r="C86" s="611"/>
      <c r="D86" s="625"/>
      <c r="E86" s="625"/>
      <c r="F86" s="1125" t="s">
        <v>824</v>
      </c>
      <c r="G86" s="1117" t="s">
        <v>825</v>
      </c>
      <c r="H86" s="1113"/>
      <c r="I86" s="1113"/>
      <c r="J86" s="1113"/>
      <c r="K86" s="1113"/>
      <c r="L86" s="1118"/>
      <c r="M86" s="1118"/>
      <c r="N86" s="1118"/>
      <c r="O86" s="1118"/>
      <c r="P86" s="1118"/>
      <c r="Q86" s="1118"/>
      <c r="R86" s="1118"/>
      <c r="S86" s="1118"/>
      <c r="T86" s="1118"/>
      <c r="U86" s="1118"/>
      <c r="V86" s="1118"/>
      <c r="W86" s="1118"/>
      <c r="X86" s="1118"/>
      <c r="Y86" s="1118"/>
      <c r="Z86" s="1118"/>
      <c r="AA86" s="1118"/>
      <c r="AB86" s="1118"/>
      <c r="AC86" s="1118"/>
      <c r="AD86" s="1118"/>
      <c r="AE86" s="1118"/>
      <c r="AF86" s="1118"/>
      <c r="AG86" s="1118"/>
      <c r="AH86" s="1118"/>
      <c r="AI86" s="1118"/>
      <c r="AJ86" s="1118"/>
      <c r="AK86" s="1118"/>
      <c r="AL86" s="1118"/>
      <c r="AM86" s="1118"/>
      <c r="AN86" s="1118"/>
      <c r="AO86" s="1118"/>
      <c r="AP86" s="1118"/>
    </row>
    <row r="87" spans="1:42">
      <c r="A87" s="595"/>
      <c r="B87" s="598"/>
      <c r="C87" s="599"/>
      <c r="D87" s="260" t="s">
        <v>750</v>
      </c>
      <c r="E87" s="260">
        <v>1</v>
      </c>
      <c r="F87" s="1119" t="s">
        <v>826</v>
      </c>
      <c r="G87" s="1120" t="str">
        <f>VLOOKUP($F87,SALARIOSS!$D$6:$H$203,2,0)</f>
        <v>Gerente de Engenharia e Obras</v>
      </c>
      <c r="H87" s="1121">
        <f>VLOOKUP($F87,SALARIOSS!$D$6:$I$203,6,0)</f>
        <v>18237.90465</v>
      </c>
      <c r="I87" s="1121">
        <f>VLOOKUP($F87,Funções!$D$9:$K$200,5,0)+VLOOKUP($F87,Funções!$D$9:$K$200,6,0)</f>
        <v>17106.249900125003</v>
      </c>
      <c r="J87" s="1121">
        <f>VLOOKUP($F87,Funções!$D$9:$K$200,7,0)</f>
        <v>95</v>
      </c>
      <c r="K87" s="1122">
        <f>SUM(H87:J87)</f>
        <v>35439.154550125008</v>
      </c>
      <c r="L87" s="1123">
        <f>SUM(M87:AP87)</f>
        <v>12758.095638044999</v>
      </c>
      <c r="M87" s="1124">
        <f>12*$K87*'Crono Pessoal'!I87/1000</f>
        <v>425.26985460150007</v>
      </c>
      <c r="N87" s="1124">
        <f>12*$K87*'Crono Pessoal'!J87/1000</f>
        <v>425.26985460150007</v>
      </c>
      <c r="O87" s="1124">
        <f>12*$K87*'Crono Pessoal'!K87/1000</f>
        <v>425.26985460150007</v>
      </c>
      <c r="P87" s="1124">
        <f>12*$K87*'Crono Pessoal'!L87/1000</f>
        <v>425.26985460150007</v>
      </c>
      <c r="Q87" s="1124">
        <f>12*$K87*'Crono Pessoal'!M87/1000</f>
        <v>425.26985460150007</v>
      </c>
      <c r="R87" s="1124">
        <f>12*$K87*'Crono Pessoal'!N87/1000</f>
        <v>425.26985460150007</v>
      </c>
      <c r="S87" s="1124">
        <f>12*$K87*'Crono Pessoal'!O87/1000</f>
        <v>425.26985460150007</v>
      </c>
      <c r="T87" s="1124">
        <f>12*$K87*'Crono Pessoal'!P87/1000</f>
        <v>425.26985460150007</v>
      </c>
      <c r="U87" s="1124">
        <f>12*$K87*'Crono Pessoal'!Q87/1000</f>
        <v>425.26985460150007</v>
      </c>
      <c r="V87" s="1124">
        <f>12*$K87*'Crono Pessoal'!R87/1000</f>
        <v>425.26985460150007</v>
      </c>
      <c r="W87" s="1124">
        <f>12*$K87*'Crono Pessoal'!S87/1000</f>
        <v>425.26985460150007</v>
      </c>
      <c r="X87" s="1124">
        <f>12*$K87*'Crono Pessoal'!T87/1000</f>
        <v>425.26985460150007</v>
      </c>
      <c r="Y87" s="1124">
        <f>12*$K87*'Crono Pessoal'!U87/1000</f>
        <v>425.26985460150007</v>
      </c>
      <c r="Z87" s="1124">
        <f>12*$K87*'Crono Pessoal'!V87/1000</f>
        <v>425.26985460150007</v>
      </c>
      <c r="AA87" s="1124">
        <f>12*$K87*'Crono Pessoal'!W87/1000</f>
        <v>425.26985460150007</v>
      </c>
      <c r="AB87" s="1124">
        <f>12*$K87*'Crono Pessoal'!X87/1000</f>
        <v>425.26985460150007</v>
      </c>
      <c r="AC87" s="1124">
        <f>12*$K87*'Crono Pessoal'!Y87/1000</f>
        <v>425.26985460150007</v>
      </c>
      <c r="AD87" s="1124">
        <f>12*$K87*'Crono Pessoal'!Z87/1000</f>
        <v>425.26985460150007</v>
      </c>
      <c r="AE87" s="1124">
        <f>12*$K87*'Crono Pessoal'!AA87/1000</f>
        <v>425.26985460150007</v>
      </c>
      <c r="AF87" s="1124">
        <f>12*$K87*'Crono Pessoal'!AB87/1000</f>
        <v>425.26985460150007</v>
      </c>
      <c r="AG87" s="1124">
        <f>12*$K87*'Crono Pessoal'!AC87/1000</f>
        <v>425.26985460150007</v>
      </c>
      <c r="AH87" s="1124">
        <f>12*$K87*'Crono Pessoal'!AD87/1000</f>
        <v>425.26985460150007</v>
      </c>
      <c r="AI87" s="1124">
        <f>12*$K87*'Crono Pessoal'!AE87/1000</f>
        <v>425.26985460150007</v>
      </c>
      <c r="AJ87" s="1124">
        <f>12*$K87*'Crono Pessoal'!AF87/1000</f>
        <v>425.26985460150007</v>
      </c>
      <c r="AK87" s="1124">
        <f>12*$K87*'Crono Pessoal'!AG87/1000</f>
        <v>425.26985460150007</v>
      </c>
      <c r="AL87" s="1124">
        <f>12*$K87*'Crono Pessoal'!AH87/1000</f>
        <v>425.26985460150007</v>
      </c>
      <c r="AM87" s="1124">
        <f>12*$K87*'Crono Pessoal'!AI87/1000</f>
        <v>425.26985460150007</v>
      </c>
      <c r="AN87" s="1124">
        <f>12*$K87*'Crono Pessoal'!AJ87/1000</f>
        <v>425.26985460150007</v>
      </c>
      <c r="AO87" s="1124">
        <f>12*$K87*'Crono Pessoal'!AK87/1000</f>
        <v>425.26985460150007</v>
      </c>
      <c r="AP87" s="1124">
        <f>12*$K87*'Crono Pessoal'!AL87/1000</f>
        <v>425.26985460150007</v>
      </c>
    </row>
    <row r="88" spans="1:42">
      <c r="A88" s="595"/>
      <c r="B88" s="598"/>
      <c r="C88" s="599"/>
      <c r="D88" s="260" t="s">
        <v>750</v>
      </c>
      <c r="E88" s="260">
        <v>1</v>
      </c>
      <c r="F88" s="1119" t="s">
        <v>767</v>
      </c>
      <c r="G88" s="1120" t="str">
        <f>VLOOKUP($F88,SALARIOSS!$D$6:$H$203,2,0)</f>
        <v>Secretária</v>
      </c>
      <c r="H88" s="1121">
        <f>VLOOKUP($F88,SALARIOSS!$D$6:$I$203,6,0)</f>
        <v>3404.7000000000003</v>
      </c>
      <c r="I88" s="1121">
        <f>VLOOKUP($F88,Funções!$D$9:$K$200,5,0)+VLOOKUP($F88,Funções!$D$9:$K$200,6,0)</f>
        <v>3867.6147500000002</v>
      </c>
      <c r="J88" s="1121">
        <f>VLOOKUP($F88,Funções!$D$9:$K$200,7,0)</f>
        <v>95</v>
      </c>
      <c r="K88" s="1122">
        <f>SUM(H88:J88)</f>
        <v>7367.3147500000005</v>
      </c>
      <c r="L88" s="1123">
        <f>SUM(M88:AP88)</f>
        <v>2652.2333099999983</v>
      </c>
      <c r="M88" s="1124">
        <f>12*$K88*'Crono Pessoal'!I88/1000</f>
        <v>88.407776999999996</v>
      </c>
      <c r="N88" s="1124">
        <f>12*$K88*'Crono Pessoal'!J88/1000</f>
        <v>88.407776999999996</v>
      </c>
      <c r="O88" s="1124">
        <f>12*$K88*'Crono Pessoal'!K88/1000</f>
        <v>88.407776999999996</v>
      </c>
      <c r="P88" s="1124">
        <f>12*$K88*'Crono Pessoal'!L88/1000</f>
        <v>88.407776999999996</v>
      </c>
      <c r="Q88" s="1124">
        <f>12*$K88*'Crono Pessoal'!M88/1000</f>
        <v>88.407776999999996</v>
      </c>
      <c r="R88" s="1124">
        <f>12*$K88*'Crono Pessoal'!N88/1000</f>
        <v>88.407776999999996</v>
      </c>
      <c r="S88" s="1124">
        <f>12*$K88*'Crono Pessoal'!O88/1000</f>
        <v>88.407776999999996</v>
      </c>
      <c r="T88" s="1124">
        <f>12*$K88*'Crono Pessoal'!P88/1000</f>
        <v>88.407776999999996</v>
      </c>
      <c r="U88" s="1124">
        <f>12*$K88*'Crono Pessoal'!Q88/1000</f>
        <v>88.407776999999996</v>
      </c>
      <c r="V88" s="1124">
        <f>12*$K88*'Crono Pessoal'!R88/1000</f>
        <v>88.407776999999996</v>
      </c>
      <c r="W88" s="1124">
        <f>12*$K88*'Crono Pessoal'!S88/1000</f>
        <v>88.407776999999996</v>
      </c>
      <c r="X88" s="1124">
        <f>12*$K88*'Crono Pessoal'!T88/1000</f>
        <v>88.407776999999996</v>
      </c>
      <c r="Y88" s="1124">
        <f>12*$K88*'Crono Pessoal'!U88/1000</f>
        <v>88.407776999999996</v>
      </c>
      <c r="Z88" s="1124">
        <f>12*$K88*'Crono Pessoal'!V88/1000</f>
        <v>88.407776999999996</v>
      </c>
      <c r="AA88" s="1124">
        <f>12*$K88*'Crono Pessoal'!W88/1000</f>
        <v>88.407776999999996</v>
      </c>
      <c r="AB88" s="1124">
        <f>12*$K88*'Crono Pessoal'!X88/1000</f>
        <v>88.407776999999996</v>
      </c>
      <c r="AC88" s="1124">
        <f>12*$K88*'Crono Pessoal'!Y88/1000</f>
        <v>88.407776999999996</v>
      </c>
      <c r="AD88" s="1124">
        <f>12*$K88*'Crono Pessoal'!Z88/1000</f>
        <v>88.407776999999996</v>
      </c>
      <c r="AE88" s="1124">
        <f>12*$K88*'Crono Pessoal'!AA88/1000</f>
        <v>88.407776999999996</v>
      </c>
      <c r="AF88" s="1124">
        <f>12*$K88*'Crono Pessoal'!AB88/1000</f>
        <v>88.407776999999996</v>
      </c>
      <c r="AG88" s="1124">
        <f>12*$K88*'Crono Pessoal'!AC88/1000</f>
        <v>88.407776999999996</v>
      </c>
      <c r="AH88" s="1124">
        <f>12*$K88*'Crono Pessoal'!AD88/1000</f>
        <v>88.407776999999996</v>
      </c>
      <c r="AI88" s="1124">
        <f>12*$K88*'Crono Pessoal'!AE88/1000</f>
        <v>88.407776999999996</v>
      </c>
      <c r="AJ88" s="1124">
        <f>12*$K88*'Crono Pessoal'!AF88/1000</f>
        <v>88.407776999999996</v>
      </c>
      <c r="AK88" s="1124">
        <f>12*$K88*'Crono Pessoal'!AG88/1000</f>
        <v>88.407776999999996</v>
      </c>
      <c r="AL88" s="1124">
        <f>12*$K88*'Crono Pessoal'!AH88/1000</f>
        <v>88.407776999999996</v>
      </c>
      <c r="AM88" s="1124">
        <f>12*$K88*'Crono Pessoal'!AI88/1000</f>
        <v>88.407776999999996</v>
      </c>
      <c r="AN88" s="1124">
        <f>12*$K88*'Crono Pessoal'!AJ88/1000</f>
        <v>88.407776999999996</v>
      </c>
      <c r="AO88" s="1124">
        <f>12*$K88*'Crono Pessoal'!AK88/1000</f>
        <v>88.407776999999996</v>
      </c>
      <c r="AP88" s="1124">
        <f>12*$K88*'Crono Pessoal'!AL88/1000</f>
        <v>88.407776999999996</v>
      </c>
    </row>
    <row r="89" spans="1:42">
      <c r="A89" s="595"/>
      <c r="B89" s="598"/>
      <c r="C89" s="599"/>
      <c r="D89" s="260" t="s">
        <v>750</v>
      </c>
      <c r="E89" s="260"/>
      <c r="F89" s="1119"/>
      <c r="G89" s="1126" t="s">
        <v>827</v>
      </c>
      <c r="H89" s="1122"/>
      <c r="I89" s="1122"/>
      <c r="J89" s="1122"/>
      <c r="K89" s="1122"/>
      <c r="L89" s="1123"/>
      <c r="M89" s="1124"/>
      <c r="N89" s="1124"/>
      <c r="O89" s="1124"/>
      <c r="P89" s="1124"/>
      <c r="Q89" s="1124"/>
      <c r="R89" s="1124"/>
      <c r="S89" s="1124"/>
      <c r="T89" s="1124"/>
      <c r="U89" s="1124"/>
      <c r="V89" s="1124"/>
      <c r="W89" s="1124"/>
      <c r="X89" s="1124"/>
      <c r="Y89" s="1124"/>
      <c r="Z89" s="1124"/>
      <c r="AA89" s="1124"/>
      <c r="AB89" s="1124"/>
      <c r="AC89" s="1124"/>
      <c r="AD89" s="1124"/>
      <c r="AE89" s="1124"/>
      <c r="AF89" s="1124"/>
      <c r="AG89" s="1124"/>
      <c r="AH89" s="1124"/>
      <c r="AI89" s="1124"/>
      <c r="AJ89" s="1124"/>
      <c r="AK89" s="1124"/>
      <c r="AL89" s="1124"/>
      <c r="AM89" s="1124"/>
      <c r="AN89" s="1124"/>
      <c r="AO89" s="1124"/>
      <c r="AP89" s="1124"/>
    </row>
    <row r="90" spans="1:42">
      <c r="A90" s="595"/>
      <c r="B90" s="598"/>
      <c r="C90" s="599"/>
      <c r="D90" s="260" t="s">
        <v>750</v>
      </c>
      <c r="E90" s="260">
        <v>1</v>
      </c>
      <c r="F90" s="1119" t="s">
        <v>828</v>
      </c>
      <c r="G90" s="1120" t="str">
        <f>VLOOKUP($F90,SALARIOSS!$D$6:$H$203,2,0)</f>
        <v>Engenheiro Coordenador Técnico</v>
      </c>
      <c r="H90" s="1121">
        <f>VLOOKUP($F90,SALARIOSS!$D$6:$I$203,6,0)</f>
        <v>14829.916860000001</v>
      </c>
      <c r="I90" s="1121">
        <f>VLOOKUP($F90,Funções!$D$9:$K$200,5,0)+VLOOKUP($F90,Funções!$D$9:$K$200,6,0)</f>
        <v>14064.620797550002</v>
      </c>
      <c r="J90" s="1121">
        <f>VLOOKUP($F90,Funções!$D$9:$K$200,7,0)</f>
        <v>95</v>
      </c>
      <c r="K90" s="1122">
        <f>SUM(H90:J90)</f>
        <v>28989.537657550005</v>
      </c>
      <c r="L90" s="1123">
        <f>SUM(M90:AP90)</f>
        <v>10436.233556718</v>
      </c>
      <c r="M90" s="1124">
        <f>12*$K90*'Crono Pessoal'!I90/1000</f>
        <v>347.87445189060003</v>
      </c>
      <c r="N90" s="1124">
        <f>12*$K90*'Crono Pessoal'!J90/1000</f>
        <v>347.87445189060003</v>
      </c>
      <c r="O90" s="1124">
        <f>12*$K90*'Crono Pessoal'!K90/1000</f>
        <v>347.87445189060003</v>
      </c>
      <c r="P90" s="1124">
        <f>12*$K90*'Crono Pessoal'!L90/1000</f>
        <v>347.87445189060003</v>
      </c>
      <c r="Q90" s="1124">
        <f>12*$K90*'Crono Pessoal'!M90/1000</f>
        <v>347.87445189060003</v>
      </c>
      <c r="R90" s="1124">
        <f>12*$K90*'Crono Pessoal'!N90/1000</f>
        <v>347.87445189060003</v>
      </c>
      <c r="S90" s="1124">
        <f>12*$K90*'Crono Pessoal'!O90/1000</f>
        <v>347.87445189060003</v>
      </c>
      <c r="T90" s="1124">
        <f>12*$K90*'Crono Pessoal'!P90/1000</f>
        <v>347.87445189060003</v>
      </c>
      <c r="U90" s="1124">
        <f>12*$K90*'Crono Pessoal'!Q90/1000</f>
        <v>347.87445189060003</v>
      </c>
      <c r="V90" s="1124">
        <f>12*$K90*'Crono Pessoal'!R90/1000</f>
        <v>347.87445189060003</v>
      </c>
      <c r="W90" s="1124">
        <f>12*$K90*'Crono Pessoal'!S90/1000</f>
        <v>347.87445189060003</v>
      </c>
      <c r="X90" s="1124">
        <f>12*$K90*'Crono Pessoal'!T90/1000</f>
        <v>347.87445189060003</v>
      </c>
      <c r="Y90" s="1124">
        <f>12*$K90*'Crono Pessoal'!U90/1000</f>
        <v>347.87445189060003</v>
      </c>
      <c r="Z90" s="1124">
        <f>12*$K90*'Crono Pessoal'!V90/1000</f>
        <v>347.87445189060003</v>
      </c>
      <c r="AA90" s="1124">
        <f>12*$K90*'Crono Pessoal'!W90/1000</f>
        <v>347.87445189060003</v>
      </c>
      <c r="AB90" s="1124">
        <f>12*$K90*'Crono Pessoal'!X90/1000</f>
        <v>347.87445189060003</v>
      </c>
      <c r="AC90" s="1124">
        <f>12*$K90*'Crono Pessoal'!Y90/1000</f>
        <v>347.87445189060003</v>
      </c>
      <c r="AD90" s="1124">
        <f>12*$K90*'Crono Pessoal'!Z90/1000</f>
        <v>347.87445189060003</v>
      </c>
      <c r="AE90" s="1124">
        <f>12*$K90*'Crono Pessoal'!AA90/1000</f>
        <v>347.87445189060003</v>
      </c>
      <c r="AF90" s="1124">
        <f>12*$K90*'Crono Pessoal'!AB90/1000</f>
        <v>347.87445189060003</v>
      </c>
      <c r="AG90" s="1124">
        <f>12*$K90*'Crono Pessoal'!AC90/1000</f>
        <v>347.87445189060003</v>
      </c>
      <c r="AH90" s="1124">
        <f>12*$K90*'Crono Pessoal'!AD90/1000</f>
        <v>347.87445189060003</v>
      </c>
      <c r="AI90" s="1124">
        <f>12*$K90*'Crono Pessoal'!AE90/1000</f>
        <v>347.87445189060003</v>
      </c>
      <c r="AJ90" s="1124">
        <f>12*$K90*'Crono Pessoal'!AF90/1000</f>
        <v>347.87445189060003</v>
      </c>
      <c r="AK90" s="1124">
        <f>12*$K90*'Crono Pessoal'!AG90/1000</f>
        <v>347.87445189060003</v>
      </c>
      <c r="AL90" s="1124">
        <f>12*$K90*'Crono Pessoal'!AH90/1000</f>
        <v>347.87445189060003</v>
      </c>
      <c r="AM90" s="1124">
        <f>12*$K90*'Crono Pessoal'!AI90/1000</f>
        <v>347.87445189060003</v>
      </c>
      <c r="AN90" s="1124">
        <f>12*$K90*'Crono Pessoal'!AJ90/1000</f>
        <v>347.87445189060003</v>
      </c>
      <c r="AO90" s="1124">
        <f>12*$K90*'Crono Pessoal'!AK90/1000</f>
        <v>347.87445189060003</v>
      </c>
      <c r="AP90" s="1124">
        <f>12*$K90*'Crono Pessoal'!AL90/1000</f>
        <v>347.87445189060003</v>
      </c>
    </row>
    <row r="91" spans="1:42">
      <c r="A91" s="595"/>
      <c r="B91" s="598"/>
      <c r="C91" s="599"/>
      <c r="D91" s="260" t="s">
        <v>750</v>
      </c>
      <c r="E91" s="260">
        <v>1</v>
      </c>
      <c r="F91" s="1119" t="s">
        <v>829</v>
      </c>
      <c r="G91" s="1120" t="str">
        <f>VLOOKUP($F91,SALARIOSS!$D$6:$H$203,2,0)</f>
        <v>Engenheiro Civil Jr</v>
      </c>
      <c r="H91" s="1121">
        <f>VLOOKUP($F91,SALARIOSS!$D$6:$I$203,6,0)</f>
        <v>10981.17</v>
      </c>
      <c r="I91" s="1121">
        <f>VLOOKUP($F91,Funções!$D$9:$K$200,5,0)+VLOOKUP($F91,Funções!$D$9:$K$200,6,0)</f>
        <v>10629.614225000001</v>
      </c>
      <c r="J91" s="1121">
        <f>VLOOKUP($F91,Funções!$D$9:$K$200,7,0)</f>
        <v>95</v>
      </c>
      <c r="K91" s="1122">
        <f>SUM(H91:J91)</f>
        <v>21705.784225000003</v>
      </c>
      <c r="L91" s="1123">
        <f>SUM(M91:AP91)</f>
        <v>7814.0823209999944</v>
      </c>
      <c r="M91" s="1124">
        <f>12*$K91*'Crono Pessoal'!I91/1000</f>
        <v>260.46941070000003</v>
      </c>
      <c r="N91" s="1124">
        <f>12*$K91*'Crono Pessoal'!J91/1000</f>
        <v>260.46941070000003</v>
      </c>
      <c r="O91" s="1124">
        <f>12*$K91*'Crono Pessoal'!K91/1000</f>
        <v>260.46941070000003</v>
      </c>
      <c r="P91" s="1124">
        <f>12*$K91*'Crono Pessoal'!L91/1000</f>
        <v>260.46941070000003</v>
      </c>
      <c r="Q91" s="1124">
        <f>12*$K91*'Crono Pessoal'!M91/1000</f>
        <v>260.46941070000003</v>
      </c>
      <c r="R91" s="1124">
        <f>12*$K91*'Crono Pessoal'!N91/1000</f>
        <v>260.46941070000003</v>
      </c>
      <c r="S91" s="1124">
        <f>12*$K91*'Crono Pessoal'!O91/1000</f>
        <v>260.46941070000003</v>
      </c>
      <c r="T91" s="1124">
        <f>12*$K91*'Crono Pessoal'!P91/1000</f>
        <v>260.46941070000003</v>
      </c>
      <c r="U91" s="1124">
        <f>12*$K91*'Crono Pessoal'!Q91/1000</f>
        <v>260.46941070000003</v>
      </c>
      <c r="V91" s="1124">
        <f>12*$K91*'Crono Pessoal'!R91/1000</f>
        <v>260.46941070000003</v>
      </c>
      <c r="W91" s="1124">
        <f>12*$K91*'Crono Pessoal'!S91/1000</f>
        <v>260.46941070000003</v>
      </c>
      <c r="X91" s="1124">
        <f>12*$K91*'Crono Pessoal'!T91/1000</f>
        <v>260.46941070000003</v>
      </c>
      <c r="Y91" s="1124">
        <f>12*$K91*'Crono Pessoal'!U91/1000</f>
        <v>260.46941070000003</v>
      </c>
      <c r="Z91" s="1124">
        <f>12*$K91*'Crono Pessoal'!V91/1000</f>
        <v>260.46941070000003</v>
      </c>
      <c r="AA91" s="1124">
        <f>12*$K91*'Crono Pessoal'!W91/1000</f>
        <v>260.46941070000003</v>
      </c>
      <c r="AB91" s="1124">
        <f>12*$K91*'Crono Pessoal'!X91/1000</f>
        <v>260.46941070000003</v>
      </c>
      <c r="AC91" s="1124">
        <f>12*$K91*'Crono Pessoal'!Y91/1000</f>
        <v>260.46941070000003</v>
      </c>
      <c r="AD91" s="1124">
        <f>12*$K91*'Crono Pessoal'!Z91/1000</f>
        <v>260.46941070000003</v>
      </c>
      <c r="AE91" s="1124">
        <f>12*$K91*'Crono Pessoal'!AA91/1000</f>
        <v>260.46941070000003</v>
      </c>
      <c r="AF91" s="1124">
        <f>12*$K91*'Crono Pessoal'!AB91/1000</f>
        <v>260.46941070000003</v>
      </c>
      <c r="AG91" s="1124">
        <f>12*$K91*'Crono Pessoal'!AC91/1000</f>
        <v>260.46941070000003</v>
      </c>
      <c r="AH91" s="1124">
        <f>12*$K91*'Crono Pessoal'!AD91/1000</f>
        <v>260.46941070000003</v>
      </c>
      <c r="AI91" s="1124">
        <f>12*$K91*'Crono Pessoal'!AE91/1000</f>
        <v>260.46941070000003</v>
      </c>
      <c r="AJ91" s="1124">
        <f>12*$K91*'Crono Pessoal'!AF91/1000</f>
        <v>260.46941070000003</v>
      </c>
      <c r="AK91" s="1124">
        <f>12*$K91*'Crono Pessoal'!AG91/1000</f>
        <v>260.46941070000003</v>
      </c>
      <c r="AL91" s="1124">
        <f>12*$K91*'Crono Pessoal'!AH91/1000</f>
        <v>260.46941070000003</v>
      </c>
      <c r="AM91" s="1124">
        <f>12*$K91*'Crono Pessoal'!AI91/1000</f>
        <v>260.46941070000003</v>
      </c>
      <c r="AN91" s="1124">
        <f>12*$K91*'Crono Pessoal'!AJ91/1000</f>
        <v>260.46941070000003</v>
      </c>
      <c r="AO91" s="1124">
        <f>12*$K91*'Crono Pessoal'!AK91/1000</f>
        <v>260.46941070000003</v>
      </c>
      <c r="AP91" s="1124">
        <f>12*$K91*'Crono Pessoal'!AL91/1000</f>
        <v>260.46941070000003</v>
      </c>
    </row>
    <row r="92" spans="1:42">
      <c r="A92" s="595"/>
      <c r="B92" s="598"/>
      <c r="C92" s="599"/>
      <c r="D92" s="260" t="s">
        <v>750</v>
      </c>
      <c r="E92" s="260">
        <v>1</v>
      </c>
      <c r="F92" s="1119" t="s">
        <v>771</v>
      </c>
      <c r="G92" s="1120" t="str">
        <f>VLOOKUP($F92,SALARIOSS!$D$6:$H$203,2,0)</f>
        <v>Assistente de Meio Ambiente</v>
      </c>
      <c r="H92" s="1121">
        <f>VLOOKUP($F92,SALARIOSS!$D$6:$I$203,6,0)</f>
        <v>1497.53205</v>
      </c>
      <c r="I92" s="1121">
        <f>VLOOKUP($F92,Funções!$D$9:$K$200,5,0)+VLOOKUP($F92,Funções!$D$9:$K$200,6,0)</f>
        <v>2165.4673546250006</v>
      </c>
      <c r="J92" s="1121">
        <f>VLOOKUP($F92,Funções!$D$9:$K$200,7,0)</f>
        <v>95</v>
      </c>
      <c r="K92" s="1122">
        <f>SUM(H92:J92)</f>
        <v>3757.9994046250004</v>
      </c>
      <c r="L92" s="1123">
        <f>SUM(M92:AP92)</f>
        <v>0</v>
      </c>
      <c r="M92" s="1124">
        <f>12*$K92*'Crono Pessoal'!I92/1000</f>
        <v>0</v>
      </c>
      <c r="N92" s="1124">
        <f>12*$K92*'Crono Pessoal'!J92/1000</f>
        <v>0</v>
      </c>
      <c r="O92" s="1124">
        <f>12*$K92*'Crono Pessoal'!K92/1000</f>
        <v>0</v>
      </c>
      <c r="P92" s="1124">
        <f>12*$K92*'Crono Pessoal'!L92/1000</f>
        <v>0</v>
      </c>
      <c r="Q92" s="1124">
        <f>12*$K92*'Crono Pessoal'!M92/1000</f>
        <v>0</v>
      </c>
      <c r="R92" s="1124">
        <f>12*$K92*'Crono Pessoal'!N92/1000</f>
        <v>0</v>
      </c>
      <c r="S92" s="1124">
        <f>12*$K92*'Crono Pessoal'!O92/1000</f>
        <v>0</v>
      </c>
      <c r="T92" s="1124">
        <f>12*$K92*'Crono Pessoal'!P92/1000</f>
        <v>0</v>
      </c>
      <c r="U92" s="1124">
        <f>12*$K92*'Crono Pessoal'!Q92/1000</f>
        <v>0</v>
      </c>
      <c r="V92" s="1124">
        <f>12*$K92*'Crono Pessoal'!R92/1000</f>
        <v>0</v>
      </c>
      <c r="W92" s="1124">
        <f>12*$K92*'Crono Pessoal'!S92/1000</f>
        <v>0</v>
      </c>
      <c r="X92" s="1124">
        <f>12*$K92*'Crono Pessoal'!T92/1000</f>
        <v>0</v>
      </c>
      <c r="Y92" s="1124">
        <f>12*$K92*'Crono Pessoal'!U92/1000</f>
        <v>0</v>
      </c>
      <c r="Z92" s="1124">
        <f>12*$K92*'Crono Pessoal'!V92/1000</f>
        <v>0</v>
      </c>
      <c r="AA92" s="1124">
        <f>12*$K92*'Crono Pessoal'!W92/1000</f>
        <v>0</v>
      </c>
      <c r="AB92" s="1124">
        <f>12*$K92*'Crono Pessoal'!X92/1000</f>
        <v>0</v>
      </c>
      <c r="AC92" s="1124">
        <f>12*$K92*'Crono Pessoal'!Y92/1000</f>
        <v>0</v>
      </c>
      <c r="AD92" s="1124">
        <f>12*$K92*'Crono Pessoal'!Z92/1000</f>
        <v>0</v>
      </c>
      <c r="AE92" s="1124">
        <f>12*$K92*'Crono Pessoal'!AA92/1000</f>
        <v>0</v>
      </c>
      <c r="AF92" s="1124">
        <f>12*$K92*'Crono Pessoal'!AB92/1000</f>
        <v>0</v>
      </c>
      <c r="AG92" s="1124">
        <f>12*$K92*'Crono Pessoal'!AC92/1000</f>
        <v>0</v>
      </c>
      <c r="AH92" s="1124">
        <f>12*$K92*'Crono Pessoal'!AD92/1000</f>
        <v>0</v>
      </c>
      <c r="AI92" s="1124">
        <f>12*$K92*'Crono Pessoal'!AE92/1000</f>
        <v>0</v>
      </c>
      <c r="AJ92" s="1124">
        <f>12*$K92*'Crono Pessoal'!AF92/1000</f>
        <v>0</v>
      </c>
      <c r="AK92" s="1124">
        <f>12*$K92*'Crono Pessoal'!AG92/1000</f>
        <v>0</v>
      </c>
      <c r="AL92" s="1124">
        <f>12*$K92*'Crono Pessoal'!AH92/1000</f>
        <v>0</v>
      </c>
      <c r="AM92" s="1124">
        <f>12*$K92*'Crono Pessoal'!AI92/1000</f>
        <v>0</v>
      </c>
      <c r="AN92" s="1124">
        <f>12*$K92*'Crono Pessoal'!AJ92/1000</f>
        <v>0</v>
      </c>
      <c r="AO92" s="1124">
        <f>12*$K92*'Crono Pessoal'!AK92/1000</f>
        <v>0</v>
      </c>
      <c r="AP92" s="1124">
        <f>12*$K92*'Crono Pessoal'!AL92/1000</f>
        <v>0</v>
      </c>
    </row>
    <row r="93" spans="1:42">
      <c r="A93" s="595"/>
      <c r="B93" s="598"/>
      <c r="C93" s="599"/>
      <c r="D93" s="260" t="s">
        <v>750</v>
      </c>
      <c r="E93" s="260"/>
      <c r="F93" s="1129"/>
      <c r="G93" s="1126" t="s">
        <v>830</v>
      </c>
      <c r="H93" s="1121"/>
      <c r="I93" s="1121"/>
      <c r="J93" s="1121"/>
      <c r="K93" s="1122"/>
      <c r="L93" s="1123"/>
      <c r="M93" s="1124"/>
      <c r="N93" s="1124"/>
      <c r="O93" s="1124"/>
      <c r="P93" s="1124"/>
      <c r="Q93" s="1124"/>
      <c r="R93" s="1124"/>
      <c r="S93" s="1124"/>
      <c r="T93" s="1124"/>
      <c r="U93" s="1124"/>
      <c r="V93" s="1124"/>
      <c r="W93" s="1124"/>
      <c r="X93" s="1124"/>
      <c r="Y93" s="1124"/>
      <c r="Z93" s="1124"/>
      <c r="AA93" s="1124"/>
      <c r="AB93" s="1124"/>
      <c r="AC93" s="1124"/>
      <c r="AD93" s="1124"/>
      <c r="AE93" s="1124"/>
      <c r="AF93" s="1124"/>
      <c r="AG93" s="1124"/>
      <c r="AH93" s="1124"/>
      <c r="AI93" s="1124"/>
      <c r="AJ93" s="1124"/>
      <c r="AK93" s="1124"/>
      <c r="AL93" s="1124"/>
      <c r="AM93" s="1124"/>
      <c r="AN93" s="1124"/>
      <c r="AO93" s="1124"/>
      <c r="AP93" s="1124"/>
    </row>
    <row r="94" spans="1:42">
      <c r="A94" s="595"/>
      <c r="B94" s="598"/>
      <c r="C94" s="599"/>
      <c r="D94" s="260" t="s">
        <v>750</v>
      </c>
      <c r="E94" s="260">
        <v>1</v>
      </c>
      <c r="F94" s="1129" t="s">
        <v>828</v>
      </c>
      <c r="G94" s="1120" t="str">
        <f>VLOOKUP($F94,SALARIOSS!$D$6:$H$203,2,0)</f>
        <v>Engenheiro Coordenador Técnico</v>
      </c>
      <c r="H94" s="1121">
        <f>VLOOKUP($F94,SALARIOSS!$D$6:$I$203,6,0)</f>
        <v>14829.916860000001</v>
      </c>
      <c r="I94" s="1121">
        <f>VLOOKUP($F94,Funções!$D$9:$K$200,5,0)+VLOOKUP($F94,Funções!$D$9:$K$200,6,0)</f>
        <v>14064.620797550002</v>
      </c>
      <c r="J94" s="1121">
        <f>VLOOKUP($F94,Funções!$D$9:$K$200,7,0)</f>
        <v>95</v>
      </c>
      <c r="K94" s="1122">
        <f>SUM(H94:J94)</f>
        <v>28989.537657550005</v>
      </c>
      <c r="L94" s="1123">
        <f>SUM(M94:AP94)</f>
        <v>1739.3722594530002</v>
      </c>
      <c r="M94" s="1124">
        <f>12*$K94*'Crono Pessoal'!I94/1000</f>
        <v>347.87445189060003</v>
      </c>
      <c r="N94" s="1124">
        <f>12*$K94*'Crono Pessoal'!J94/1000</f>
        <v>347.87445189060003</v>
      </c>
      <c r="O94" s="1124">
        <f>12*$K94*'Crono Pessoal'!K94/1000</f>
        <v>347.87445189060003</v>
      </c>
      <c r="P94" s="1124">
        <f>12*$K94*'Crono Pessoal'!L94/1000</f>
        <v>347.87445189060003</v>
      </c>
      <c r="Q94" s="1124">
        <f>12*$K94*'Crono Pessoal'!M94/1000</f>
        <v>347.87445189060003</v>
      </c>
      <c r="R94" s="1124">
        <f>12*$K94*'Crono Pessoal'!N94/1000</f>
        <v>0</v>
      </c>
      <c r="S94" s="1124">
        <f>12*$K94*'Crono Pessoal'!O94/1000</f>
        <v>0</v>
      </c>
      <c r="T94" s="1124">
        <f>12*$K94*'Crono Pessoal'!P94/1000</f>
        <v>0</v>
      </c>
      <c r="U94" s="1124">
        <f>12*$K94*'Crono Pessoal'!Q94/1000</f>
        <v>0</v>
      </c>
      <c r="V94" s="1124">
        <f>12*$K94*'Crono Pessoal'!R94/1000</f>
        <v>0</v>
      </c>
      <c r="W94" s="1124">
        <f>12*$K94*'Crono Pessoal'!S94/1000</f>
        <v>0</v>
      </c>
      <c r="X94" s="1124">
        <f>12*$K94*'Crono Pessoal'!T94/1000</f>
        <v>0</v>
      </c>
      <c r="Y94" s="1124">
        <f>12*$K94*'Crono Pessoal'!U94/1000</f>
        <v>0</v>
      </c>
      <c r="Z94" s="1124">
        <f>12*$K94*'Crono Pessoal'!V94/1000</f>
        <v>0</v>
      </c>
      <c r="AA94" s="1124">
        <f>12*$K94*'Crono Pessoal'!W94/1000</f>
        <v>0</v>
      </c>
      <c r="AB94" s="1124">
        <f>12*$K94*'Crono Pessoal'!X94/1000</f>
        <v>0</v>
      </c>
      <c r="AC94" s="1124">
        <f>12*$K94*'Crono Pessoal'!Y94/1000</f>
        <v>0</v>
      </c>
      <c r="AD94" s="1124">
        <f>12*$K94*'Crono Pessoal'!Z94/1000</f>
        <v>0</v>
      </c>
      <c r="AE94" s="1124">
        <f>12*$K94*'Crono Pessoal'!AA94/1000</f>
        <v>0</v>
      </c>
      <c r="AF94" s="1124">
        <f>12*$K94*'Crono Pessoal'!AB94/1000</f>
        <v>0</v>
      </c>
      <c r="AG94" s="1124">
        <f>12*$K94*'Crono Pessoal'!AC94/1000</f>
        <v>0</v>
      </c>
      <c r="AH94" s="1124">
        <f>12*$K94*'Crono Pessoal'!AD94/1000</f>
        <v>0</v>
      </c>
      <c r="AI94" s="1124">
        <f>12*$K94*'Crono Pessoal'!AE94/1000</f>
        <v>0</v>
      </c>
      <c r="AJ94" s="1124">
        <f>12*$K94*'Crono Pessoal'!AF94/1000</f>
        <v>0</v>
      </c>
      <c r="AK94" s="1124">
        <f>12*$K94*'Crono Pessoal'!AG94/1000</f>
        <v>0</v>
      </c>
      <c r="AL94" s="1124">
        <f>12*$K94*'Crono Pessoal'!AH94/1000</f>
        <v>0</v>
      </c>
      <c r="AM94" s="1124">
        <f>12*$K94*'Crono Pessoal'!AI94/1000</f>
        <v>0</v>
      </c>
      <c r="AN94" s="1124">
        <f>12*$K94*'Crono Pessoal'!AJ94/1000</f>
        <v>0</v>
      </c>
      <c r="AO94" s="1124">
        <f>12*$K94*'Crono Pessoal'!AK94/1000</f>
        <v>0</v>
      </c>
      <c r="AP94" s="1124">
        <f>12*$K94*'Crono Pessoal'!AL94/1000</f>
        <v>0</v>
      </c>
    </row>
    <row r="95" spans="1:42">
      <c r="A95" s="595"/>
      <c r="B95" s="598"/>
      <c r="C95" s="599"/>
      <c r="D95" s="260" t="s">
        <v>750</v>
      </c>
      <c r="E95" s="260">
        <v>1</v>
      </c>
      <c r="F95" s="1129" t="s">
        <v>831</v>
      </c>
      <c r="G95" s="1120" t="str">
        <f>VLOOKUP($F95,SALARIOSS!$D$6:$H$203,2,0)</f>
        <v>Engenheiro de Obras e Conservação</v>
      </c>
      <c r="H95" s="1121">
        <f>VLOOKUP($F95,SALARIOSS!$D$6:$I$203,6,0)</f>
        <v>10981.17</v>
      </c>
      <c r="I95" s="1121">
        <f>VLOOKUP($F95,Funções!$D$9:$K$200,5,0)+VLOOKUP($F95,Funções!$D$9:$K$200,6,0)</f>
        <v>10629.614225000001</v>
      </c>
      <c r="J95" s="1121">
        <f>VLOOKUP($F95,Funções!$D$9:$K$200,7,0)</f>
        <v>95</v>
      </c>
      <c r="K95" s="1122">
        <f>SUM(H95:J95)</f>
        <v>21705.784225000003</v>
      </c>
      <c r="L95" s="1123">
        <f>SUM(M95:AP95)</f>
        <v>1302.3470535000001</v>
      </c>
      <c r="M95" s="1124">
        <f>12*$K95*'Crono Pessoal'!I95/1000</f>
        <v>260.46941070000003</v>
      </c>
      <c r="N95" s="1124">
        <f>12*$K95*'Crono Pessoal'!J95/1000</f>
        <v>260.46941070000003</v>
      </c>
      <c r="O95" s="1124">
        <f>12*$K95*'Crono Pessoal'!K95/1000</f>
        <v>260.46941070000003</v>
      </c>
      <c r="P95" s="1124">
        <f>12*$K95*'Crono Pessoal'!L95/1000</f>
        <v>260.46941070000003</v>
      </c>
      <c r="Q95" s="1124">
        <f>12*$K95*'Crono Pessoal'!M95/1000</f>
        <v>260.46941070000003</v>
      </c>
      <c r="R95" s="1124">
        <f>12*$K95*'Crono Pessoal'!N95/1000</f>
        <v>0</v>
      </c>
      <c r="S95" s="1124">
        <f>12*$K95*'Crono Pessoal'!O95/1000</f>
        <v>0</v>
      </c>
      <c r="T95" s="1124">
        <f>12*$K95*'Crono Pessoal'!P95/1000</f>
        <v>0</v>
      </c>
      <c r="U95" s="1124">
        <f>12*$K95*'Crono Pessoal'!Q95/1000</f>
        <v>0</v>
      </c>
      <c r="V95" s="1124">
        <f>12*$K95*'Crono Pessoal'!R95/1000</f>
        <v>0</v>
      </c>
      <c r="W95" s="1124">
        <f>12*$K95*'Crono Pessoal'!S95/1000</f>
        <v>0</v>
      </c>
      <c r="X95" s="1124">
        <f>12*$K95*'Crono Pessoal'!T95/1000</f>
        <v>0</v>
      </c>
      <c r="Y95" s="1124">
        <f>12*$K95*'Crono Pessoal'!U95/1000</f>
        <v>0</v>
      </c>
      <c r="Z95" s="1124">
        <f>12*$K95*'Crono Pessoal'!V95/1000</f>
        <v>0</v>
      </c>
      <c r="AA95" s="1124">
        <f>12*$K95*'Crono Pessoal'!W95/1000</f>
        <v>0</v>
      </c>
      <c r="AB95" s="1124">
        <f>12*$K95*'Crono Pessoal'!X95/1000</f>
        <v>0</v>
      </c>
      <c r="AC95" s="1124">
        <f>12*$K95*'Crono Pessoal'!Y95/1000</f>
        <v>0</v>
      </c>
      <c r="AD95" s="1124">
        <f>12*$K95*'Crono Pessoal'!Z95/1000</f>
        <v>0</v>
      </c>
      <c r="AE95" s="1124">
        <f>12*$K95*'Crono Pessoal'!AA95/1000</f>
        <v>0</v>
      </c>
      <c r="AF95" s="1124">
        <f>12*$K95*'Crono Pessoal'!AB95/1000</f>
        <v>0</v>
      </c>
      <c r="AG95" s="1124">
        <f>12*$K95*'Crono Pessoal'!AC95/1000</f>
        <v>0</v>
      </c>
      <c r="AH95" s="1124">
        <f>12*$K95*'Crono Pessoal'!AD95/1000</f>
        <v>0</v>
      </c>
      <c r="AI95" s="1124">
        <f>12*$K95*'Crono Pessoal'!AE95/1000</f>
        <v>0</v>
      </c>
      <c r="AJ95" s="1124">
        <f>12*$K95*'Crono Pessoal'!AF95/1000</f>
        <v>0</v>
      </c>
      <c r="AK95" s="1124">
        <f>12*$K95*'Crono Pessoal'!AG95/1000</f>
        <v>0</v>
      </c>
      <c r="AL95" s="1124">
        <f>12*$K95*'Crono Pessoal'!AH95/1000</f>
        <v>0</v>
      </c>
      <c r="AM95" s="1124">
        <f>12*$K95*'Crono Pessoal'!AI95/1000</f>
        <v>0</v>
      </c>
      <c r="AN95" s="1124">
        <f>12*$K95*'Crono Pessoal'!AJ95/1000</f>
        <v>0</v>
      </c>
      <c r="AO95" s="1124">
        <f>12*$K95*'Crono Pessoal'!AK95/1000</f>
        <v>0</v>
      </c>
      <c r="AP95" s="1124">
        <f>12*$K95*'Crono Pessoal'!AL95/1000</f>
        <v>0</v>
      </c>
    </row>
    <row r="96" spans="1:42">
      <c r="A96" s="595"/>
      <c r="B96" s="598"/>
      <c r="C96" s="599"/>
      <c r="D96" s="260" t="s">
        <v>750</v>
      </c>
      <c r="E96" s="260">
        <v>1</v>
      </c>
      <c r="F96" s="1129" t="s">
        <v>832</v>
      </c>
      <c r="G96" s="1120" t="str">
        <f>VLOOKUP($F96,SALARIOSS!$D$6:$H$203,2,0)</f>
        <v>Engenheiro de Obras Pleno</v>
      </c>
      <c r="H96" s="1121">
        <f>VLOOKUP($F96,SALARIOSS!$D$6:$I$203,6,0)</f>
        <v>10981.17</v>
      </c>
      <c r="I96" s="1121">
        <f>VLOOKUP($F96,Funções!$D$9:$K$200,5,0)+VLOOKUP($F96,Funções!$D$9:$K$200,6,0)</f>
        <v>10629.614225000001</v>
      </c>
      <c r="J96" s="1121">
        <f>VLOOKUP($F96,Funções!$D$9:$K$200,7,0)</f>
        <v>95</v>
      </c>
      <c r="K96" s="1122">
        <f>SUM(H96:J96)</f>
        <v>21705.784225000003</v>
      </c>
      <c r="L96" s="1123">
        <f>SUM(M96:AP96)</f>
        <v>1302.3470535000001</v>
      </c>
      <c r="M96" s="1124">
        <f>12*$K96*'Crono Pessoal'!I96/1000</f>
        <v>260.46941070000003</v>
      </c>
      <c r="N96" s="1124">
        <f>12*$K96*'Crono Pessoal'!J96/1000</f>
        <v>260.46941070000003</v>
      </c>
      <c r="O96" s="1124">
        <f>12*$K96*'Crono Pessoal'!K96/1000</f>
        <v>260.46941070000003</v>
      </c>
      <c r="P96" s="1124">
        <f>12*$K96*'Crono Pessoal'!L96/1000</f>
        <v>260.46941070000003</v>
      </c>
      <c r="Q96" s="1124">
        <f>12*$K96*'Crono Pessoal'!M96/1000</f>
        <v>260.46941070000003</v>
      </c>
      <c r="R96" s="1124">
        <f>12*$K96*'Crono Pessoal'!N96/1000</f>
        <v>0</v>
      </c>
      <c r="S96" s="1124">
        <f>12*$K96*'Crono Pessoal'!O96/1000</f>
        <v>0</v>
      </c>
      <c r="T96" s="1124">
        <f>12*$K96*'Crono Pessoal'!P96/1000</f>
        <v>0</v>
      </c>
      <c r="U96" s="1124">
        <f>12*$K96*'Crono Pessoal'!Q96/1000</f>
        <v>0</v>
      </c>
      <c r="V96" s="1124">
        <f>12*$K96*'Crono Pessoal'!R96/1000</f>
        <v>0</v>
      </c>
      <c r="W96" s="1124">
        <f>12*$K96*'Crono Pessoal'!S96/1000</f>
        <v>0</v>
      </c>
      <c r="X96" s="1124">
        <f>12*$K96*'Crono Pessoal'!T96/1000</f>
        <v>0</v>
      </c>
      <c r="Y96" s="1124">
        <f>12*$K96*'Crono Pessoal'!U96/1000</f>
        <v>0</v>
      </c>
      <c r="Z96" s="1124">
        <f>12*$K96*'Crono Pessoal'!V96/1000</f>
        <v>0</v>
      </c>
      <c r="AA96" s="1124">
        <f>12*$K96*'Crono Pessoal'!W96/1000</f>
        <v>0</v>
      </c>
      <c r="AB96" s="1124">
        <f>12*$K96*'Crono Pessoal'!X96/1000</f>
        <v>0</v>
      </c>
      <c r="AC96" s="1124">
        <f>12*$K96*'Crono Pessoal'!Y96/1000</f>
        <v>0</v>
      </c>
      <c r="AD96" s="1124">
        <f>12*$K96*'Crono Pessoal'!Z96/1000</f>
        <v>0</v>
      </c>
      <c r="AE96" s="1124">
        <f>12*$K96*'Crono Pessoal'!AA96/1000</f>
        <v>0</v>
      </c>
      <c r="AF96" s="1124">
        <f>12*$K96*'Crono Pessoal'!AB96/1000</f>
        <v>0</v>
      </c>
      <c r="AG96" s="1124">
        <f>12*$K96*'Crono Pessoal'!AC96/1000</f>
        <v>0</v>
      </c>
      <c r="AH96" s="1124">
        <f>12*$K96*'Crono Pessoal'!AD96/1000</f>
        <v>0</v>
      </c>
      <c r="AI96" s="1124">
        <f>12*$K96*'Crono Pessoal'!AE96/1000</f>
        <v>0</v>
      </c>
      <c r="AJ96" s="1124">
        <f>12*$K96*'Crono Pessoal'!AF96/1000</f>
        <v>0</v>
      </c>
      <c r="AK96" s="1124">
        <f>12*$K96*'Crono Pessoal'!AG96/1000</f>
        <v>0</v>
      </c>
      <c r="AL96" s="1124">
        <f>12*$K96*'Crono Pessoal'!AH96/1000</f>
        <v>0</v>
      </c>
      <c r="AM96" s="1124">
        <f>12*$K96*'Crono Pessoal'!AI96/1000</f>
        <v>0</v>
      </c>
      <c r="AN96" s="1124">
        <f>12*$K96*'Crono Pessoal'!AJ96/1000</f>
        <v>0</v>
      </c>
      <c r="AO96" s="1124">
        <f>12*$K96*'Crono Pessoal'!AK96/1000</f>
        <v>0</v>
      </c>
      <c r="AP96" s="1124">
        <f>12*$K96*'Crono Pessoal'!AL96/1000</f>
        <v>0</v>
      </c>
    </row>
    <row r="97" spans="1:42">
      <c r="A97" s="595"/>
      <c r="B97" s="598"/>
      <c r="C97" s="599"/>
      <c r="D97" s="260" t="s">
        <v>750</v>
      </c>
      <c r="E97" s="260">
        <v>1</v>
      </c>
      <c r="F97" s="1129" t="s">
        <v>833</v>
      </c>
      <c r="G97" s="1120" t="str">
        <f>VLOOKUP($F97,SALARIOSS!$D$6:$H$203,2,0)</f>
        <v>Técnico de Estradas</v>
      </c>
      <c r="H97" s="1121">
        <f>VLOOKUP($F97,SALARIOSS!$D$6:$I$203,6,0)</f>
        <v>2741.2485750000001</v>
      </c>
      <c r="I97" s="1121">
        <f>VLOOKUP($F97,Funções!$D$9:$K$200,5,0)+VLOOKUP($F97,Funções!$D$9:$K$200,6,0)</f>
        <v>3275.4843531874999</v>
      </c>
      <c r="J97" s="1121">
        <f>VLOOKUP($F97,Funções!$D$9:$K$200,7,0)</f>
        <v>95</v>
      </c>
      <c r="K97" s="1122">
        <f>SUM(H97:J97)</f>
        <v>6111.7329281875</v>
      </c>
      <c r="L97" s="1123">
        <f>SUM(M97:AP97)</f>
        <v>366.70397569124998</v>
      </c>
      <c r="M97" s="1124">
        <f>12*$K97*'Crono Pessoal'!I97/1000</f>
        <v>73.340795138250002</v>
      </c>
      <c r="N97" s="1124">
        <f>12*$K97*'Crono Pessoal'!J97/1000</f>
        <v>73.340795138250002</v>
      </c>
      <c r="O97" s="1124">
        <f>12*$K97*'Crono Pessoal'!K97/1000</f>
        <v>73.340795138250002</v>
      </c>
      <c r="P97" s="1124">
        <f>12*$K97*'Crono Pessoal'!L97/1000</f>
        <v>73.340795138250002</v>
      </c>
      <c r="Q97" s="1124">
        <f>12*$K97*'Crono Pessoal'!M97/1000</f>
        <v>73.340795138250002</v>
      </c>
      <c r="R97" s="1124">
        <f>12*$K97*'Crono Pessoal'!N97/1000</f>
        <v>0</v>
      </c>
      <c r="S97" s="1124">
        <f>12*$K97*'Crono Pessoal'!O97/1000</f>
        <v>0</v>
      </c>
      <c r="T97" s="1124">
        <f>12*$K97*'Crono Pessoal'!P97/1000</f>
        <v>0</v>
      </c>
      <c r="U97" s="1124">
        <f>12*$K97*'Crono Pessoal'!Q97/1000</f>
        <v>0</v>
      </c>
      <c r="V97" s="1124">
        <f>12*$K97*'Crono Pessoal'!R97/1000</f>
        <v>0</v>
      </c>
      <c r="W97" s="1124">
        <f>12*$K97*'Crono Pessoal'!S97/1000</f>
        <v>0</v>
      </c>
      <c r="X97" s="1124">
        <f>12*$K97*'Crono Pessoal'!T97/1000</f>
        <v>0</v>
      </c>
      <c r="Y97" s="1124">
        <f>12*$K97*'Crono Pessoal'!U97/1000</f>
        <v>0</v>
      </c>
      <c r="Z97" s="1124">
        <f>12*$K97*'Crono Pessoal'!V97/1000</f>
        <v>0</v>
      </c>
      <c r="AA97" s="1124">
        <f>12*$K97*'Crono Pessoal'!W97/1000</f>
        <v>0</v>
      </c>
      <c r="AB97" s="1124">
        <f>12*$K97*'Crono Pessoal'!X97/1000</f>
        <v>0</v>
      </c>
      <c r="AC97" s="1124">
        <f>12*$K97*'Crono Pessoal'!Y97/1000</f>
        <v>0</v>
      </c>
      <c r="AD97" s="1124">
        <f>12*$K97*'Crono Pessoal'!Z97/1000</f>
        <v>0</v>
      </c>
      <c r="AE97" s="1124">
        <f>12*$K97*'Crono Pessoal'!AA97/1000</f>
        <v>0</v>
      </c>
      <c r="AF97" s="1124">
        <f>12*$K97*'Crono Pessoal'!AB97/1000</f>
        <v>0</v>
      </c>
      <c r="AG97" s="1124">
        <f>12*$K97*'Crono Pessoal'!AC97/1000</f>
        <v>0</v>
      </c>
      <c r="AH97" s="1124">
        <f>12*$K97*'Crono Pessoal'!AD97/1000</f>
        <v>0</v>
      </c>
      <c r="AI97" s="1124">
        <f>12*$K97*'Crono Pessoal'!AE97/1000</f>
        <v>0</v>
      </c>
      <c r="AJ97" s="1124">
        <f>12*$K97*'Crono Pessoal'!AF97/1000</f>
        <v>0</v>
      </c>
      <c r="AK97" s="1124">
        <f>12*$K97*'Crono Pessoal'!AG97/1000</f>
        <v>0</v>
      </c>
      <c r="AL97" s="1124">
        <f>12*$K97*'Crono Pessoal'!AH97/1000</f>
        <v>0</v>
      </c>
      <c r="AM97" s="1124">
        <f>12*$K97*'Crono Pessoal'!AI97/1000</f>
        <v>0</v>
      </c>
      <c r="AN97" s="1124">
        <f>12*$K97*'Crono Pessoal'!AJ97/1000</f>
        <v>0</v>
      </c>
      <c r="AO97" s="1124">
        <f>12*$K97*'Crono Pessoal'!AK97/1000</f>
        <v>0</v>
      </c>
      <c r="AP97" s="1124">
        <f>12*$K97*'Crono Pessoal'!AL97/1000</f>
        <v>0</v>
      </c>
    </row>
    <row r="98" spans="1:42">
      <c r="A98" s="595"/>
      <c r="B98" s="598"/>
      <c r="C98" s="599"/>
      <c r="D98" s="260" t="s">
        <v>750</v>
      </c>
      <c r="E98" s="260">
        <v>1</v>
      </c>
      <c r="F98" s="1129" t="s">
        <v>788</v>
      </c>
      <c r="G98" s="1120" t="str">
        <f>VLOOKUP($F98,SALARIOSS!$D$6:$H$203,2,0)</f>
        <v>Auxiliar Técnico I</v>
      </c>
      <c r="H98" s="1121">
        <f>VLOOKUP($F98,SALARIOSS!$D$6:$I$203,6,0)</f>
        <v>1764.6417000000001</v>
      </c>
      <c r="I98" s="1121">
        <f>VLOOKUP($F98,Funções!$D$9:$K$200,5,0)+VLOOKUP($F98,Funções!$D$9:$K$200,6,0)</f>
        <v>2403.8627172500001</v>
      </c>
      <c r="J98" s="1121">
        <f>VLOOKUP($F98,Funções!$D$9:$K$200,7,0)</f>
        <v>95</v>
      </c>
      <c r="K98" s="1122">
        <f>SUM(H98:J98)</f>
        <v>4263.5044172500002</v>
      </c>
      <c r="L98" s="1123">
        <f>SUM(M98:AP98)</f>
        <v>255.81026503500001</v>
      </c>
      <c r="M98" s="1124">
        <f>12*$K98*'Crono Pessoal'!I98/1000</f>
        <v>51.162053007000004</v>
      </c>
      <c r="N98" s="1124">
        <f>12*$K98*'Crono Pessoal'!J98/1000</f>
        <v>51.162053007000004</v>
      </c>
      <c r="O98" s="1124">
        <f>12*$K98*'Crono Pessoal'!K98/1000</f>
        <v>51.162053007000004</v>
      </c>
      <c r="P98" s="1124">
        <f>12*$K98*'Crono Pessoal'!L98/1000</f>
        <v>51.162053007000004</v>
      </c>
      <c r="Q98" s="1124">
        <f>12*$K98*'Crono Pessoal'!M98/1000</f>
        <v>51.162053007000004</v>
      </c>
      <c r="R98" s="1124">
        <f>12*$K98*'Crono Pessoal'!N98/1000</f>
        <v>0</v>
      </c>
      <c r="S98" s="1124">
        <f>12*$K98*'Crono Pessoal'!O98/1000</f>
        <v>0</v>
      </c>
      <c r="T98" s="1124">
        <f>12*$K98*'Crono Pessoal'!P98/1000</f>
        <v>0</v>
      </c>
      <c r="U98" s="1124">
        <f>12*$K98*'Crono Pessoal'!Q98/1000</f>
        <v>0</v>
      </c>
      <c r="V98" s="1124">
        <f>12*$K98*'Crono Pessoal'!R98/1000</f>
        <v>0</v>
      </c>
      <c r="W98" s="1124">
        <f>12*$K98*'Crono Pessoal'!S98/1000</f>
        <v>0</v>
      </c>
      <c r="X98" s="1124">
        <f>12*$K98*'Crono Pessoal'!T98/1000</f>
        <v>0</v>
      </c>
      <c r="Y98" s="1124">
        <f>12*$K98*'Crono Pessoal'!U98/1000</f>
        <v>0</v>
      </c>
      <c r="Z98" s="1124">
        <f>12*$K98*'Crono Pessoal'!V98/1000</f>
        <v>0</v>
      </c>
      <c r="AA98" s="1124">
        <f>12*$K98*'Crono Pessoal'!W98/1000</f>
        <v>0</v>
      </c>
      <c r="AB98" s="1124">
        <f>12*$K98*'Crono Pessoal'!X98/1000</f>
        <v>0</v>
      </c>
      <c r="AC98" s="1124">
        <f>12*$K98*'Crono Pessoal'!Y98/1000</f>
        <v>0</v>
      </c>
      <c r="AD98" s="1124">
        <f>12*$K98*'Crono Pessoal'!Z98/1000</f>
        <v>0</v>
      </c>
      <c r="AE98" s="1124">
        <f>12*$K98*'Crono Pessoal'!AA98/1000</f>
        <v>0</v>
      </c>
      <c r="AF98" s="1124">
        <f>12*$K98*'Crono Pessoal'!AB98/1000</f>
        <v>0</v>
      </c>
      <c r="AG98" s="1124">
        <f>12*$K98*'Crono Pessoal'!AC98/1000</f>
        <v>0</v>
      </c>
      <c r="AH98" s="1124">
        <f>12*$K98*'Crono Pessoal'!AD98/1000</f>
        <v>0</v>
      </c>
      <c r="AI98" s="1124">
        <f>12*$K98*'Crono Pessoal'!AE98/1000</f>
        <v>0</v>
      </c>
      <c r="AJ98" s="1124">
        <f>12*$K98*'Crono Pessoal'!AF98/1000</f>
        <v>0</v>
      </c>
      <c r="AK98" s="1124">
        <f>12*$K98*'Crono Pessoal'!AG98/1000</f>
        <v>0</v>
      </c>
      <c r="AL98" s="1124">
        <f>12*$K98*'Crono Pessoal'!AH98/1000</f>
        <v>0</v>
      </c>
      <c r="AM98" s="1124">
        <f>12*$K98*'Crono Pessoal'!AI98/1000</f>
        <v>0</v>
      </c>
      <c r="AN98" s="1124">
        <f>12*$K98*'Crono Pessoal'!AJ98/1000</f>
        <v>0</v>
      </c>
      <c r="AO98" s="1124">
        <f>12*$K98*'Crono Pessoal'!AK98/1000</f>
        <v>0</v>
      </c>
      <c r="AP98" s="1124">
        <f>12*$K98*'Crono Pessoal'!AL98/1000</f>
        <v>0</v>
      </c>
    </row>
    <row r="99" spans="1:42">
      <c r="A99" s="595"/>
      <c r="B99" s="598"/>
      <c r="C99" s="599"/>
      <c r="D99" s="260" t="s">
        <v>750</v>
      </c>
      <c r="E99" s="260"/>
      <c r="F99" s="1129"/>
      <c r="G99" s="1126" t="s">
        <v>834</v>
      </c>
      <c r="H99" s="1121"/>
      <c r="I99" s="1121"/>
      <c r="J99" s="1121"/>
      <c r="K99" s="1122"/>
      <c r="L99" s="1123"/>
      <c r="M99" s="1124"/>
      <c r="N99" s="1124"/>
      <c r="O99" s="1124"/>
      <c r="P99" s="1124"/>
      <c r="Q99" s="1124"/>
      <c r="R99" s="1124"/>
      <c r="S99" s="1124"/>
      <c r="T99" s="1124"/>
      <c r="U99" s="1124"/>
      <c r="V99" s="1124"/>
      <c r="W99" s="1124"/>
      <c r="X99" s="1124"/>
      <c r="Y99" s="1124"/>
      <c r="Z99" s="1124"/>
      <c r="AA99" s="1124"/>
      <c r="AB99" s="1124"/>
      <c r="AC99" s="1124"/>
      <c r="AD99" s="1124"/>
      <c r="AE99" s="1124"/>
      <c r="AF99" s="1124"/>
      <c r="AG99" s="1124"/>
      <c r="AH99" s="1124"/>
      <c r="AI99" s="1124"/>
      <c r="AJ99" s="1124"/>
      <c r="AK99" s="1124"/>
      <c r="AL99" s="1124"/>
      <c r="AM99" s="1124"/>
      <c r="AN99" s="1124"/>
      <c r="AO99" s="1124"/>
      <c r="AP99" s="1124"/>
    </row>
    <row r="100" spans="1:42">
      <c r="A100" s="595"/>
      <c r="B100" s="598"/>
      <c r="C100" s="599"/>
      <c r="D100" s="260" t="s">
        <v>750</v>
      </c>
      <c r="E100" s="260">
        <v>1</v>
      </c>
      <c r="F100" s="1130" t="s">
        <v>831</v>
      </c>
      <c r="G100" s="1120" t="str">
        <f>VLOOKUP($F100,SALARIOSS!$D$6:$H$203,2,0)</f>
        <v>Engenheiro de Obras e Conservação</v>
      </c>
      <c r="H100" s="1121">
        <f>VLOOKUP($F100,SALARIOSS!$D$6:$I$203,6,0)</f>
        <v>10981.17</v>
      </c>
      <c r="I100" s="1121">
        <f>VLOOKUP($F100,Funções!$D$9:$K$200,5,0)+VLOOKUP($F100,Funções!$D$9:$K$200,6,0)</f>
        <v>10629.614225000001</v>
      </c>
      <c r="J100" s="1121">
        <f>VLOOKUP($F100,Funções!$D$9:$K$200,7,0)</f>
        <v>95</v>
      </c>
      <c r="K100" s="1122">
        <f>SUM(H100:J100)</f>
        <v>21705.784225000003</v>
      </c>
      <c r="L100" s="1123">
        <f>SUM(M100:AP100)</f>
        <v>6511.7352674999966</v>
      </c>
      <c r="M100" s="1124">
        <f>12*$K100*'Crono Pessoal'!I100/1000</f>
        <v>0</v>
      </c>
      <c r="N100" s="1124">
        <f>12*$K100*'Crono Pessoal'!J100/1000</f>
        <v>0</v>
      </c>
      <c r="O100" s="1124">
        <f>12*$K100*'Crono Pessoal'!K100/1000</f>
        <v>0</v>
      </c>
      <c r="P100" s="1124">
        <f>12*$K100*'Crono Pessoal'!L100/1000</f>
        <v>0</v>
      </c>
      <c r="Q100" s="1124">
        <f>12*$K100*'Crono Pessoal'!M100/1000</f>
        <v>0</v>
      </c>
      <c r="R100" s="1124">
        <f>12*$K100*'Crono Pessoal'!N100/1000</f>
        <v>260.46941070000003</v>
      </c>
      <c r="S100" s="1124">
        <f>12*$K100*'Crono Pessoal'!O100/1000</f>
        <v>260.46941070000003</v>
      </c>
      <c r="T100" s="1124">
        <f>12*$K100*'Crono Pessoal'!P100/1000</f>
        <v>260.46941070000003</v>
      </c>
      <c r="U100" s="1124">
        <f>12*$K100*'Crono Pessoal'!Q100/1000</f>
        <v>260.46941070000003</v>
      </c>
      <c r="V100" s="1124">
        <f>12*$K100*'Crono Pessoal'!R100/1000</f>
        <v>260.46941070000003</v>
      </c>
      <c r="W100" s="1124">
        <f>12*$K100*'Crono Pessoal'!S100/1000</f>
        <v>260.46941070000003</v>
      </c>
      <c r="X100" s="1124">
        <f>12*$K100*'Crono Pessoal'!T100/1000</f>
        <v>260.46941070000003</v>
      </c>
      <c r="Y100" s="1124">
        <f>12*$K100*'Crono Pessoal'!U100/1000</f>
        <v>260.46941070000003</v>
      </c>
      <c r="Z100" s="1124">
        <f>12*$K100*'Crono Pessoal'!V100/1000</f>
        <v>260.46941070000003</v>
      </c>
      <c r="AA100" s="1124">
        <f>12*$K100*'Crono Pessoal'!W100/1000</f>
        <v>260.46941070000003</v>
      </c>
      <c r="AB100" s="1124">
        <f>12*$K100*'Crono Pessoal'!X100/1000</f>
        <v>260.46941070000003</v>
      </c>
      <c r="AC100" s="1124">
        <f>12*$K100*'Crono Pessoal'!Y100/1000</f>
        <v>260.46941070000003</v>
      </c>
      <c r="AD100" s="1124">
        <f>12*$K100*'Crono Pessoal'!Z100/1000</f>
        <v>260.46941070000003</v>
      </c>
      <c r="AE100" s="1124">
        <f>12*$K100*'Crono Pessoal'!AA100/1000</f>
        <v>260.46941070000003</v>
      </c>
      <c r="AF100" s="1124">
        <f>12*$K100*'Crono Pessoal'!AB100/1000</f>
        <v>260.46941070000003</v>
      </c>
      <c r="AG100" s="1124">
        <f>12*$K100*'Crono Pessoal'!AC100/1000</f>
        <v>260.46941070000003</v>
      </c>
      <c r="AH100" s="1124">
        <f>12*$K100*'Crono Pessoal'!AD100/1000</f>
        <v>260.46941070000003</v>
      </c>
      <c r="AI100" s="1124">
        <f>12*$K100*'Crono Pessoal'!AE100/1000</f>
        <v>260.46941070000003</v>
      </c>
      <c r="AJ100" s="1124">
        <f>12*$K100*'Crono Pessoal'!AF100/1000</f>
        <v>260.46941070000003</v>
      </c>
      <c r="AK100" s="1124">
        <f>12*$K100*'Crono Pessoal'!AG100/1000</f>
        <v>260.46941070000003</v>
      </c>
      <c r="AL100" s="1124">
        <f>12*$K100*'Crono Pessoal'!AH100/1000</f>
        <v>260.46941070000003</v>
      </c>
      <c r="AM100" s="1124">
        <f>12*$K100*'Crono Pessoal'!AI100/1000</f>
        <v>260.46941070000003</v>
      </c>
      <c r="AN100" s="1124">
        <f>12*$K100*'Crono Pessoal'!AJ100/1000</f>
        <v>260.46941070000003</v>
      </c>
      <c r="AO100" s="1124">
        <f>12*$K100*'Crono Pessoal'!AK100/1000</f>
        <v>260.46941070000003</v>
      </c>
      <c r="AP100" s="1124">
        <f>12*$K100*'Crono Pessoal'!AL100/1000</f>
        <v>260.46941070000003</v>
      </c>
    </row>
    <row r="101" spans="1:42">
      <c r="A101" s="595"/>
      <c r="B101" s="598"/>
      <c r="C101" s="599"/>
      <c r="D101" s="260" t="s">
        <v>750</v>
      </c>
      <c r="E101" s="260">
        <v>1</v>
      </c>
      <c r="F101" s="1129" t="s">
        <v>835</v>
      </c>
      <c r="G101" s="1120" t="str">
        <f>VLOOKUP($F101,SALARIOSS!$D$6:$H$203,2,0)</f>
        <v>Engenheiro Civil Senior</v>
      </c>
      <c r="H101" s="1121">
        <f>VLOOKUP($F101,SALARIOSS!$D$6:$I$203,6,0)</f>
        <v>11675.936835</v>
      </c>
      <c r="I101" s="1121">
        <f>VLOOKUP($F101,Funções!$D$9:$K$200,5,0)+VLOOKUP($F101,Funções!$D$9:$K$200,6,0)</f>
        <v>11249.693625237502</v>
      </c>
      <c r="J101" s="1121">
        <f>VLOOKUP($F101,Funções!$D$9:$K$200,7,0)</f>
        <v>95</v>
      </c>
      <c r="K101" s="1122">
        <f>SUM(H101:J101)</f>
        <v>23020.630460237502</v>
      </c>
      <c r="L101" s="1123">
        <f>SUM(M101:AP101)</f>
        <v>6906.1891380712505</v>
      </c>
      <c r="M101" s="1124">
        <f>12*$K101*'Crono Pessoal'!I101/1000</f>
        <v>0</v>
      </c>
      <c r="N101" s="1124">
        <f>12*$K101*'Crono Pessoal'!J101/1000</f>
        <v>0</v>
      </c>
      <c r="O101" s="1124">
        <f>12*$K101*'Crono Pessoal'!K101/1000</f>
        <v>0</v>
      </c>
      <c r="P101" s="1124">
        <f>12*$K101*'Crono Pessoal'!L101/1000</f>
        <v>0</v>
      </c>
      <c r="Q101" s="1124">
        <f>12*$K101*'Crono Pessoal'!M101/1000</f>
        <v>0</v>
      </c>
      <c r="R101" s="1124">
        <f>12*$K101*'Crono Pessoal'!N101/1000</f>
        <v>276.24756552285004</v>
      </c>
      <c r="S101" s="1124">
        <f>12*$K101*'Crono Pessoal'!O101/1000</f>
        <v>276.24756552285004</v>
      </c>
      <c r="T101" s="1124">
        <f>12*$K101*'Crono Pessoal'!P101/1000</f>
        <v>276.24756552285004</v>
      </c>
      <c r="U101" s="1124">
        <f>12*$K101*'Crono Pessoal'!Q101/1000</f>
        <v>276.24756552285004</v>
      </c>
      <c r="V101" s="1124">
        <f>12*$K101*'Crono Pessoal'!R101/1000</f>
        <v>276.24756552285004</v>
      </c>
      <c r="W101" s="1124">
        <f>12*$K101*'Crono Pessoal'!S101/1000</f>
        <v>276.24756552285004</v>
      </c>
      <c r="X101" s="1124">
        <f>12*$K101*'Crono Pessoal'!T101/1000</f>
        <v>276.24756552285004</v>
      </c>
      <c r="Y101" s="1124">
        <f>12*$K101*'Crono Pessoal'!U101/1000</f>
        <v>276.24756552285004</v>
      </c>
      <c r="Z101" s="1124">
        <f>12*$K101*'Crono Pessoal'!V101/1000</f>
        <v>276.24756552285004</v>
      </c>
      <c r="AA101" s="1124">
        <f>12*$K101*'Crono Pessoal'!W101/1000</f>
        <v>276.24756552285004</v>
      </c>
      <c r="AB101" s="1124">
        <f>12*$K101*'Crono Pessoal'!X101/1000</f>
        <v>276.24756552285004</v>
      </c>
      <c r="AC101" s="1124">
        <f>12*$K101*'Crono Pessoal'!Y101/1000</f>
        <v>276.24756552285004</v>
      </c>
      <c r="AD101" s="1124">
        <f>12*$K101*'Crono Pessoal'!Z101/1000</f>
        <v>276.24756552285004</v>
      </c>
      <c r="AE101" s="1124">
        <f>12*$K101*'Crono Pessoal'!AA101/1000</f>
        <v>276.24756552285004</v>
      </c>
      <c r="AF101" s="1124">
        <f>12*$K101*'Crono Pessoal'!AB101/1000</f>
        <v>276.24756552285004</v>
      </c>
      <c r="AG101" s="1124">
        <f>12*$K101*'Crono Pessoal'!AC101/1000</f>
        <v>276.24756552285004</v>
      </c>
      <c r="AH101" s="1124">
        <f>12*$K101*'Crono Pessoal'!AD101/1000</f>
        <v>276.24756552285004</v>
      </c>
      <c r="AI101" s="1124">
        <f>12*$K101*'Crono Pessoal'!AE101/1000</f>
        <v>276.24756552285004</v>
      </c>
      <c r="AJ101" s="1124">
        <f>12*$K101*'Crono Pessoal'!AF101/1000</f>
        <v>276.24756552285004</v>
      </c>
      <c r="AK101" s="1124">
        <f>12*$K101*'Crono Pessoal'!AG101/1000</f>
        <v>276.24756552285004</v>
      </c>
      <c r="AL101" s="1124">
        <f>12*$K101*'Crono Pessoal'!AH101/1000</f>
        <v>276.24756552285004</v>
      </c>
      <c r="AM101" s="1124">
        <f>12*$K101*'Crono Pessoal'!AI101/1000</f>
        <v>276.24756552285004</v>
      </c>
      <c r="AN101" s="1124">
        <f>12*$K101*'Crono Pessoal'!AJ101/1000</f>
        <v>276.24756552285004</v>
      </c>
      <c r="AO101" s="1124">
        <f>12*$K101*'Crono Pessoal'!AK101/1000</f>
        <v>276.24756552285004</v>
      </c>
      <c r="AP101" s="1124">
        <f>12*$K101*'Crono Pessoal'!AL101/1000</f>
        <v>276.24756552285004</v>
      </c>
    </row>
    <row r="102" spans="1:42">
      <c r="A102" s="595"/>
      <c r="B102" s="598"/>
      <c r="C102" s="599"/>
      <c r="D102" s="260" t="s">
        <v>750</v>
      </c>
      <c r="E102" s="260">
        <v>1</v>
      </c>
      <c r="F102" s="1129" t="s">
        <v>832</v>
      </c>
      <c r="G102" s="1120" t="str">
        <f>VLOOKUP($F102,SALARIOSS!$D$6:$H$203,2,0)</f>
        <v>Engenheiro de Obras Pleno</v>
      </c>
      <c r="H102" s="1121">
        <f>VLOOKUP($F102,SALARIOSS!$D$6:$I$203,6,0)</f>
        <v>10981.17</v>
      </c>
      <c r="I102" s="1121">
        <f>VLOOKUP($F102,Funções!$D$9:$K$200,5,0)+VLOOKUP($F102,Funções!$D$9:$K$200,6,0)</f>
        <v>10629.614225000001</v>
      </c>
      <c r="J102" s="1121">
        <f>VLOOKUP($F102,Funções!$D$9:$K$200,7,0)</f>
        <v>95</v>
      </c>
      <c r="K102" s="1122">
        <f>SUM(H102:J102)</f>
        <v>21705.784225000003</v>
      </c>
      <c r="L102" s="1123">
        <f>SUM(M102:AP102)</f>
        <v>6511.7352674999966</v>
      </c>
      <c r="M102" s="1124">
        <f>12*$K102*'Crono Pessoal'!I102/1000</f>
        <v>0</v>
      </c>
      <c r="N102" s="1124">
        <f>12*$K102*'Crono Pessoal'!J102/1000</f>
        <v>0</v>
      </c>
      <c r="O102" s="1124">
        <f>12*$K102*'Crono Pessoal'!K102/1000</f>
        <v>0</v>
      </c>
      <c r="P102" s="1124">
        <f>12*$K102*'Crono Pessoal'!L102/1000</f>
        <v>0</v>
      </c>
      <c r="Q102" s="1124">
        <f>12*$K102*'Crono Pessoal'!M102/1000</f>
        <v>0</v>
      </c>
      <c r="R102" s="1124">
        <f>12*$K102*'Crono Pessoal'!N102/1000</f>
        <v>260.46941070000003</v>
      </c>
      <c r="S102" s="1124">
        <f>12*$K102*'Crono Pessoal'!O102/1000</f>
        <v>260.46941070000003</v>
      </c>
      <c r="T102" s="1124">
        <f>12*$K102*'Crono Pessoal'!P102/1000</f>
        <v>260.46941070000003</v>
      </c>
      <c r="U102" s="1124">
        <f>12*$K102*'Crono Pessoal'!Q102/1000</f>
        <v>260.46941070000003</v>
      </c>
      <c r="V102" s="1124">
        <f>12*$K102*'Crono Pessoal'!R102/1000</f>
        <v>260.46941070000003</v>
      </c>
      <c r="W102" s="1124">
        <f>12*$K102*'Crono Pessoal'!S102/1000</f>
        <v>260.46941070000003</v>
      </c>
      <c r="X102" s="1124">
        <f>12*$K102*'Crono Pessoal'!T102/1000</f>
        <v>260.46941070000003</v>
      </c>
      <c r="Y102" s="1124">
        <f>12*$K102*'Crono Pessoal'!U102/1000</f>
        <v>260.46941070000003</v>
      </c>
      <c r="Z102" s="1124">
        <f>12*$K102*'Crono Pessoal'!V102/1000</f>
        <v>260.46941070000003</v>
      </c>
      <c r="AA102" s="1124">
        <f>12*$K102*'Crono Pessoal'!W102/1000</f>
        <v>260.46941070000003</v>
      </c>
      <c r="AB102" s="1124">
        <f>12*$K102*'Crono Pessoal'!X102/1000</f>
        <v>260.46941070000003</v>
      </c>
      <c r="AC102" s="1124">
        <f>12*$K102*'Crono Pessoal'!Y102/1000</f>
        <v>260.46941070000003</v>
      </c>
      <c r="AD102" s="1124">
        <f>12*$K102*'Crono Pessoal'!Z102/1000</f>
        <v>260.46941070000003</v>
      </c>
      <c r="AE102" s="1124">
        <f>12*$K102*'Crono Pessoal'!AA102/1000</f>
        <v>260.46941070000003</v>
      </c>
      <c r="AF102" s="1124">
        <f>12*$K102*'Crono Pessoal'!AB102/1000</f>
        <v>260.46941070000003</v>
      </c>
      <c r="AG102" s="1124">
        <f>12*$K102*'Crono Pessoal'!AC102/1000</f>
        <v>260.46941070000003</v>
      </c>
      <c r="AH102" s="1124">
        <f>12*$K102*'Crono Pessoal'!AD102/1000</f>
        <v>260.46941070000003</v>
      </c>
      <c r="AI102" s="1124">
        <f>12*$K102*'Crono Pessoal'!AE102/1000</f>
        <v>260.46941070000003</v>
      </c>
      <c r="AJ102" s="1124">
        <f>12*$K102*'Crono Pessoal'!AF102/1000</f>
        <v>260.46941070000003</v>
      </c>
      <c r="AK102" s="1124">
        <f>12*$K102*'Crono Pessoal'!AG102/1000</f>
        <v>260.46941070000003</v>
      </c>
      <c r="AL102" s="1124">
        <f>12*$K102*'Crono Pessoal'!AH102/1000</f>
        <v>260.46941070000003</v>
      </c>
      <c r="AM102" s="1124">
        <f>12*$K102*'Crono Pessoal'!AI102/1000</f>
        <v>260.46941070000003</v>
      </c>
      <c r="AN102" s="1124">
        <f>12*$K102*'Crono Pessoal'!AJ102/1000</f>
        <v>260.46941070000003</v>
      </c>
      <c r="AO102" s="1124">
        <f>12*$K102*'Crono Pessoal'!AK102/1000</f>
        <v>260.46941070000003</v>
      </c>
      <c r="AP102" s="1124">
        <f>12*$K102*'Crono Pessoal'!AL102/1000</f>
        <v>260.46941070000003</v>
      </c>
    </row>
    <row r="103" spans="1:42">
      <c r="A103" s="595"/>
      <c r="B103" s="598"/>
      <c r="C103" s="599"/>
      <c r="D103" s="260" t="s">
        <v>750</v>
      </c>
      <c r="E103" s="260">
        <v>1</v>
      </c>
      <c r="F103" s="1129" t="s">
        <v>833</v>
      </c>
      <c r="G103" s="1120" t="str">
        <f>VLOOKUP($F103,SALARIOSS!$D$6:$H$203,2,0)</f>
        <v>Técnico de Estradas</v>
      </c>
      <c r="H103" s="1121">
        <f>VLOOKUP($F103,SALARIOSS!$D$6:$I$203,6,0)</f>
        <v>2741.2485750000001</v>
      </c>
      <c r="I103" s="1121">
        <f>VLOOKUP($F103,Funções!$D$9:$K$200,5,0)+VLOOKUP($F103,Funções!$D$9:$K$200,6,0)</f>
        <v>3275.4843531874999</v>
      </c>
      <c r="J103" s="1121">
        <f>VLOOKUP($F103,Funções!$D$9:$K$200,7,0)</f>
        <v>95</v>
      </c>
      <c r="K103" s="1122">
        <f>SUM(H103:J103)</f>
        <v>6111.7329281875</v>
      </c>
      <c r="L103" s="1123">
        <f>SUM(M103:AP103)</f>
        <v>1833.5198784562508</v>
      </c>
      <c r="M103" s="1124">
        <f>12*$K103*'Crono Pessoal'!I103/1000</f>
        <v>0</v>
      </c>
      <c r="N103" s="1124">
        <f>12*$K103*'Crono Pessoal'!J103/1000</f>
        <v>0</v>
      </c>
      <c r="O103" s="1124">
        <f>12*$K103*'Crono Pessoal'!K103/1000</f>
        <v>0</v>
      </c>
      <c r="P103" s="1124">
        <f>12*$K103*'Crono Pessoal'!L103/1000</f>
        <v>0</v>
      </c>
      <c r="Q103" s="1124">
        <f>12*$K103*'Crono Pessoal'!M103/1000</f>
        <v>0</v>
      </c>
      <c r="R103" s="1124">
        <f>12*$K103*'Crono Pessoal'!N103/1000</f>
        <v>73.340795138250002</v>
      </c>
      <c r="S103" s="1124">
        <f>12*$K103*'Crono Pessoal'!O103/1000</f>
        <v>73.340795138250002</v>
      </c>
      <c r="T103" s="1124">
        <f>12*$K103*'Crono Pessoal'!P103/1000</f>
        <v>73.340795138250002</v>
      </c>
      <c r="U103" s="1124">
        <f>12*$K103*'Crono Pessoal'!Q103/1000</f>
        <v>73.340795138250002</v>
      </c>
      <c r="V103" s="1124">
        <f>12*$K103*'Crono Pessoal'!R103/1000</f>
        <v>73.340795138250002</v>
      </c>
      <c r="W103" s="1124">
        <f>12*$K103*'Crono Pessoal'!S103/1000</f>
        <v>73.340795138250002</v>
      </c>
      <c r="X103" s="1124">
        <f>12*$K103*'Crono Pessoal'!T103/1000</f>
        <v>73.340795138250002</v>
      </c>
      <c r="Y103" s="1124">
        <f>12*$K103*'Crono Pessoal'!U103/1000</f>
        <v>73.340795138250002</v>
      </c>
      <c r="Z103" s="1124">
        <f>12*$K103*'Crono Pessoal'!V103/1000</f>
        <v>73.340795138250002</v>
      </c>
      <c r="AA103" s="1124">
        <f>12*$K103*'Crono Pessoal'!W103/1000</f>
        <v>73.340795138250002</v>
      </c>
      <c r="AB103" s="1124">
        <f>12*$K103*'Crono Pessoal'!X103/1000</f>
        <v>73.340795138250002</v>
      </c>
      <c r="AC103" s="1124">
        <f>12*$K103*'Crono Pessoal'!Y103/1000</f>
        <v>73.340795138250002</v>
      </c>
      <c r="AD103" s="1124">
        <f>12*$K103*'Crono Pessoal'!Z103/1000</f>
        <v>73.340795138250002</v>
      </c>
      <c r="AE103" s="1124">
        <f>12*$K103*'Crono Pessoal'!AA103/1000</f>
        <v>73.340795138250002</v>
      </c>
      <c r="AF103" s="1124">
        <f>12*$K103*'Crono Pessoal'!AB103/1000</f>
        <v>73.340795138250002</v>
      </c>
      <c r="AG103" s="1124">
        <f>12*$K103*'Crono Pessoal'!AC103/1000</f>
        <v>73.340795138250002</v>
      </c>
      <c r="AH103" s="1124">
        <f>12*$K103*'Crono Pessoal'!AD103/1000</f>
        <v>73.340795138250002</v>
      </c>
      <c r="AI103" s="1124">
        <f>12*$K103*'Crono Pessoal'!AE103/1000</f>
        <v>73.340795138250002</v>
      </c>
      <c r="AJ103" s="1124">
        <f>12*$K103*'Crono Pessoal'!AF103/1000</f>
        <v>73.340795138250002</v>
      </c>
      <c r="AK103" s="1124">
        <f>12*$K103*'Crono Pessoal'!AG103/1000</f>
        <v>73.340795138250002</v>
      </c>
      <c r="AL103" s="1124">
        <f>12*$K103*'Crono Pessoal'!AH103/1000</f>
        <v>73.340795138250002</v>
      </c>
      <c r="AM103" s="1124">
        <f>12*$K103*'Crono Pessoal'!AI103/1000</f>
        <v>73.340795138250002</v>
      </c>
      <c r="AN103" s="1124">
        <f>12*$K103*'Crono Pessoal'!AJ103/1000</f>
        <v>73.340795138250002</v>
      </c>
      <c r="AO103" s="1124">
        <f>12*$K103*'Crono Pessoal'!AK103/1000</f>
        <v>73.340795138250002</v>
      </c>
      <c r="AP103" s="1124">
        <f>12*$K103*'Crono Pessoal'!AL103/1000</f>
        <v>73.340795138250002</v>
      </c>
    </row>
    <row r="104" spans="1:42">
      <c r="A104" s="595"/>
      <c r="B104" s="598"/>
      <c r="C104" s="599"/>
      <c r="D104" s="260" t="s">
        <v>750</v>
      </c>
      <c r="E104" s="260">
        <v>1</v>
      </c>
      <c r="F104" s="1129" t="s">
        <v>788</v>
      </c>
      <c r="G104" s="1120" t="str">
        <f>VLOOKUP($F104,SALARIOSS!$D$6:$H$203,2,0)</f>
        <v>Auxiliar Técnico I</v>
      </c>
      <c r="H104" s="1121">
        <f>VLOOKUP($F104,SALARIOSS!$D$6:$I$203,6,0)</f>
        <v>1764.6417000000001</v>
      </c>
      <c r="I104" s="1121">
        <f>VLOOKUP($F104,Funções!$D$9:$K$200,5,0)+VLOOKUP($F104,Funções!$D$9:$K$200,6,0)</f>
        <v>2403.8627172500001</v>
      </c>
      <c r="J104" s="1121">
        <f>VLOOKUP($F104,Funções!$D$9:$K$200,7,0)</f>
        <v>95</v>
      </c>
      <c r="K104" s="1122">
        <f>SUM(H104:J104)</f>
        <v>4263.5044172500002</v>
      </c>
      <c r="L104" s="1123">
        <f>SUM(M104:AP104)</f>
        <v>1279.0513251750003</v>
      </c>
      <c r="M104" s="1124">
        <f>12*$K104*'Crono Pessoal'!I104/1000</f>
        <v>0</v>
      </c>
      <c r="N104" s="1124">
        <f>12*$K104*'Crono Pessoal'!J104/1000</f>
        <v>0</v>
      </c>
      <c r="O104" s="1124">
        <f>12*$K104*'Crono Pessoal'!K104/1000</f>
        <v>0</v>
      </c>
      <c r="P104" s="1124">
        <f>12*$K104*'Crono Pessoal'!L104/1000</f>
        <v>0</v>
      </c>
      <c r="Q104" s="1124">
        <f>12*$K104*'Crono Pessoal'!M104/1000</f>
        <v>0</v>
      </c>
      <c r="R104" s="1124">
        <f>12*$K104*'Crono Pessoal'!N104/1000</f>
        <v>51.162053007000004</v>
      </c>
      <c r="S104" s="1124">
        <f>12*$K104*'Crono Pessoal'!O104/1000</f>
        <v>51.162053007000004</v>
      </c>
      <c r="T104" s="1124">
        <f>12*$K104*'Crono Pessoal'!P104/1000</f>
        <v>51.162053007000004</v>
      </c>
      <c r="U104" s="1124">
        <f>12*$K104*'Crono Pessoal'!Q104/1000</f>
        <v>51.162053007000004</v>
      </c>
      <c r="V104" s="1124">
        <f>12*$K104*'Crono Pessoal'!R104/1000</f>
        <v>51.162053007000004</v>
      </c>
      <c r="W104" s="1124">
        <f>12*$K104*'Crono Pessoal'!S104/1000</f>
        <v>51.162053007000004</v>
      </c>
      <c r="X104" s="1124">
        <f>12*$K104*'Crono Pessoal'!T104/1000</f>
        <v>51.162053007000004</v>
      </c>
      <c r="Y104" s="1124">
        <f>12*$K104*'Crono Pessoal'!U104/1000</f>
        <v>51.162053007000004</v>
      </c>
      <c r="Z104" s="1124">
        <f>12*$K104*'Crono Pessoal'!V104/1000</f>
        <v>51.162053007000004</v>
      </c>
      <c r="AA104" s="1124">
        <f>12*$K104*'Crono Pessoal'!W104/1000</f>
        <v>51.162053007000004</v>
      </c>
      <c r="AB104" s="1124">
        <f>12*$K104*'Crono Pessoal'!X104/1000</f>
        <v>51.162053007000004</v>
      </c>
      <c r="AC104" s="1124">
        <f>12*$K104*'Crono Pessoal'!Y104/1000</f>
        <v>51.162053007000004</v>
      </c>
      <c r="AD104" s="1124">
        <f>12*$K104*'Crono Pessoal'!Z104/1000</f>
        <v>51.162053007000004</v>
      </c>
      <c r="AE104" s="1124">
        <f>12*$K104*'Crono Pessoal'!AA104/1000</f>
        <v>51.162053007000004</v>
      </c>
      <c r="AF104" s="1124">
        <f>12*$K104*'Crono Pessoal'!AB104/1000</f>
        <v>51.162053007000004</v>
      </c>
      <c r="AG104" s="1124">
        <f>12*$K104*'Crono Pessoal'!AC104/1000</f>
        <v>51.162053007000004</v>
      </c>
      <c r="AH104" s="1124">
        <f>12*$K104*'Crono Pessoal'!AD104/1000</f>
        <v>51.162053007000004</v>
      </c>
      <c r="AI104" s="1124">
        <f>12*$K104*'Crono Pessoal'!AE104/1000</f>
        <v>51.162053007000004</v>
      </c>
      <c r="AJ104" s="1124">
        <f>12*$K104*'Crono Pessoal'!AF104/1000</f>
        <v>51.162053007000004</v>
      </c>
      <c r="AK104" s="1124">
        <f>12*$K104*'Crono Pessoal'!AG104/1000</f>
        <v>51.162053007000004</v>
      </c>
      <c r="AL104" s="1124">
        <f>12*$K104*'Crono Pessoal'!AH104/1000</f>
        <v>51.162053007000004</v>
      </c>
      <c r="AM104" s="1124">
        <f>12*$K104*'Crono Pessoal'!AI104/1000</f>
        <v>51.162053007000004</v>
      </c>
      <c r="AN104" s="1124">
        <f>12*$K104*'Crono Pessoal'!AJ104/1000</f>
        <v>51.162053007000004</v>
      </c>
      <c r="AO104" s="1124">
        <f>12*$K104*'Crono Pessoal'!AK104/1000</f>
        <v>51.162053007000004</v>
      </c>
      <c r="AP104" s="1124">
        <f>12*$K104*'Crono Pessoal'!AL104/1000</f>
        <v>51.162053007000004</v>
      </c>
    </row>
    <row r="105" spans="1:42">
      <c r="A105" s="595"/>
      <c r="B105" s="598"/>
      <c r="C105" s="599"/>
      <c r="D105" s="260" t="s">
        <v>750</v>
      </c>
      <c r="E105" s="260"/>
      <c r="F105" s="1129"/>
      <c r="G105" s="1126" t="s">
        <v>836</v>
      </c>
      <c r="H105" s="1121"/>
      <c r="I105" s="1121"/>
      <c r="J105" s="1121"/>
      <c r="K105" s="1122"/>
      <c r="L105" s="1123"/>
      <c r="M105" s="1124"/>
      <c r="N105" s="1124"/>
      <c r="O105" s="1124"/>
      <c r="P105" s="1124"/>
      <c r="Q105" s="1124"/>
      <c r="R105" s="1124"/>
      <c r="S105" s="1124"/>
      <c r="T105" s="1124"/>
      <c r="U105" s="1124"/>
      <c r="V105" s="1124"/>
      <c r="W105" s="1124"/>
      <c r="X105" s="1124"/>
      <c r="Y105" s="1124"/>
      <c r="Z105" s="1124"/>
      <c r="AA105" s="1124"/>
      <c r="AB105" s="1124"/>
      <c r="AC105" s="1124"/>
      <c r="AD105" s="1124"/>
      <c r="AE105" s="1124"/>
      <c r="AF105" s="1124"/>
      <c r="AG105" s="1124"/>
      <c r="AH105" s="1124"/>
      <c r="AI105" s="1124"/>
      <c r="AJ105" s="1124"/>
      <c r="AK105" s="1124"/>
      <c r="AL105" s="1124"/>
      <c r="AM105" s="1124"/>
      <c r="AN105" s="1124"/>
      <c r="AO105" s="1124"/>
      <c r="AP105" s="1124"/>
    </row>
    <row r="106" spans="1:42">
      <c r="A106" s="595"/>
      <c r="B106" s="598"/>
      <c r="C106" s="599"/>
      <c r="D106" s="260" t="s">
        <v>750</v>
      </c>
      <c r="E106" s="260">
        <v>1</v>
      </c>
      <c r="F106" s="1130" t="s">
        <v>837</v>
      </c>
      <c r="G106" s="1120" t="str">
        <f>VLOOKUP($F106,SALARIOSS!$D$6:$H$203,2,0)</f>
        <v>Engenheiro Coordenador de Obras</v>
      </c>
      <c r="H106" s="1121">
        <f>VLOOKUP($F106,SALARIOSS!$D$6:$I$203,6,0)</f>
        <v>14829.916860000001</v>
      </c>
      <c r="I106" s="1121">
        <f>VLOOKUP($F106,Funções!$D$9:$K$200,5,0)+VLOOKUP($F106,Funções!$D$9:$K$200,6,0)</f>
        <v>14064.620797550002</v>
      </c>
      <c r="J106" s="1121">
        <f>VLOOKUP($F106,Funções!$D$9:$K$200,7,0)</f>
        <v>95</v>
      </c>
      <c r="K106" s="1122">
        <f>SUM(H106:J106)</f>
        <v>28989.537657550005</v>
      </c>
      <c r="L106" s="1123">
        <f>SUM(M106:AP106)</f>
        <v>10088.359104827399</v>
      </c>
      <c r="M106" s="1124">
        <f>12*$K106*'Crono Pessoal'!I106/1000</f>
        <v>0</v>
      </c>
      <c r="N106" s="1124">
        <f>12*$K106*'Crono Pessoal'!J106/1000</f>
        <v>347.87445189060003</v>
      </c>
      <c r="O106" s="1124">
        <f>12*$K106*'Crono Pessoal'!K106/1000</f>
        <v>347.87445189060003</v>
      </c>
      <c r="P106" s="1124">
        <f>12*$K106*'Crono Pessoal'!L106/1000</f>
        <v>347.87445189060003</v>
      </c>
      <c r="Q106" s="1124">
        <f>12*$K106*'Crono Pessoal'!M106/1000</f>
        <v>347.87445189060003</v>
      </c>
      <c r="R106" s="1124">
        <f>12*$K106*'Crono Pessoal'!N106/1000</f>
        <v>347.87445189060003</v>
      </c>
      <c r="S106" s="1124">
        <f>12*$K106*'Crono Pessoal'!O106/1000</f>
        <v>347.87445189060003</v>
      </c>
      <c r="T106" s="1124">
        <f>12*$K106*'Crono Pessoal'!P106/1000</f>
        <v>347.87445189060003</v>
      </c>
      <c r="U106" s="1124">
        <f>12*$K106*'Crono Pessoal'!Q106/1000</f>
        <v>347.87445189060003</v>
      </c>
      <c r="V106" s="1124">
        <f>12*$K106*'Crono Pessoal'!R106/1000</f>
        <v>347.87445189060003</v>
      </c>
      <c r="W106" s="1124">
        <f>12*$K106*'Crono Pessoal'!S106/1000</f>
        <v>347.87445189060003</v>
      </c>
      <c r="X106" s="1124">
        <f>12*$K106*'Crono Pessoal'!T106/1000</f>
        <v>347.87445189060003</v>
      </c>
      <c r="Y106" s="1124">
        <f>12*$K106*'Crono Pessoal'!U106/1000</f>
        <v>347.87445189060003</v>
      </c>
      <c r="Z106" s="1124">
        <f>12*$K106*'Crono Pessoal'!V106/1000</f>
        <v>347.87445189060003</v>
      </c>
      <c r="AA106" s="1124">
        <f>12*$K106*'Crono Pessoal'!W106/1000</f>
        <v>347.87445189060003</v>
      </c>
      <c r="AB106" s="1124">
        <f>12*$K106*'Crono Pessoal'!X106/1000</f>
        <v>347.87445189060003</v>
      </c>
      <c r="AC106" s="1124">
        <f>12*$K106*'Crono Pessoal'!Y106/1000</f>
        <v>347.87445189060003</v>
      </c>
      <c r="AD106" s="1124">
        <f>12*$K106*'Crono Pessoal'!Z106/1000</f>
        <v>347.87445189060003</v>
      </c>
      <c r="AE106" s="1124">
        <f>12*$K106*'Crono Pessoal'!AA106/1000</f>
        <v>347.87445189060003</v>
      </c>
      <c r="AF106" s="1124">
        <f>12*$K106*'Crono Pessoal'!AB106/1000</f>
        <v>347.87445189060003</v>
      </c>
      <c r="AG106" s="1124">
        <f>12*$K106*'Crono Pessoal'!AC106/1000</f>
        <v>347.87445189060003</v>
      </c>
      <c r="AH106" s="1124">
        <f>12*$K106*'Crono Pessoal'!AD106/1000</f>
        <v>347.87445189060003</v>
      </c>
      <c r="AI106" s="1124">
        <f>12*$K106*'Crono Pessoal'!AE106/1000</f>
        <v>347.87445189060003</v>
      </c>
      <c r="AJ106" s="1124">
        <f>12*$K106*'Crono Pessoal'!AF106/1000</f>
        <v>347.87445189060003</v>
      </c>
      <c r="AK106" s="1124">
        <f>12*$K106*'Crono Pessoal'!AG106/1000</f>
        <v>347.87445189060003</v>
      </c>
      <c r="AL106" s="1124">
        <f>12*$K106*'Crono Pessoal'!AH106/1000</f>
        <v>347.87445189060003</v>
      </c>
      <c r="AM106" s="1124">
        <f>12*$K106*'Crono Pessoal'!AI106/1000</f>
        <v>347.87445189060003</v>
      </c>
      <c r="AN106" s="1124">
        <f>12*$K106*'Crono Pessoal'!AJ106/1000</f>
        <v>347.87445189060003</v>
      </c>
      <c r="AO106" s="1124">
        <f>12*$K106*'Crono Pessoal'!AK106/1000</f>
        <v>347.87445189060003</v>
      </c>
      <c r="AP106" s="1124">
        <f>12*$K106*'Crono Pessoal'!AL106/1000</f>
        <v>347.87445189060003</v>
      </c>
    </row>
    <row r="107" spans="1:42">
      <c r="A107" s="595"/>
      <c r="B107" s="598"/>
      <c r="C107" s="599"/>
      <c r="D107" s="260" t="s">
        <v>750</v>
      </c>
      <c r="E107" s="260">
        <v>1</v>
      </c>
      <c r="F107" s="1129" t="s">
        <v>832</v>
      </c>
      <c r="G107" s="1120" t="str">
        <f>VLOOKUP($F107,SALARIOSS!$D$6:$H$203,2,0)</f>
        <v>Engenheiro de Obras Pleno</v>
      </c>
      <c r="H107" s="1121">
        <f>VLOOKUP($F107,SALARIOSS!$D$6:$I$203,6,0)</f>
        <v>10981.17</v>
      </c>
      <c r="I107" s="1121">
        <f>VLOOKUP($F107,Funções!$D$9:$K$200,5,0)+VLOOKUP($F107,Funções!$D$9:$K$200,6,0)</f>
        <v>10629.614225000001</v>
      </c>
      <c r="J107" s="1121">
        <f>VLOOKUP($F107,Funções!$D$9:$K$200,7,0)</f>
        <v>95</v>
      </c>
      <c r="K107" s="1122">
        <f>SUM(H107:J107)</f>
        <v>21705.784225000003</v>
      </c>
      <c r="L107" s="1123">
        <f>SUM(M107:AP107)</f>
        <v>7553.6129102999948</v>
      </c>
      <c r="M107" s="1124">
        <f>12*$K107*'Crono Pessoal'!I107/1000</f>
        <v>0</v>
      </c>
      <c r="N107" s="1124">
        <f>12*$K107*'Crono Pessoal'!J107/1000</f>
        <v>260.46941070000003</v>
      </c>
      <c r="O107" s="1124">
        <f>12*$K107*'Crono Pessoal'!K107/1000</f>
        <v>260.46941070000003</v>
      </c>
      <c r="P107" s="1124">
        <f>12*$K107*'Crono Pessoal'!L107/1000</f>
        <v>260.46941070000003</v>
      </c>
      <c r="Q107" s="1124">
        <f>12*$K107*'Crono Pessoal'!M107/1000</f>
        <v>260.46941070000003</v>
      </c>
      <c r="R107" s="1124">
        <f>12*$K107*'Crono Pessoal'!N107/1000</f>
        <v>260.46941070000003</v>
      </c>
      <c r="S107" s="1124">
        <f>12*$K107*'Crono Pessoal'!O107/1000</f>
        <v>260.46941070000003</v>
      </c>
      <c r="T107" s="1124">
        <f>12*$K107*'Crono Pessoal'!P107/1000</f>
        <v>260.46941070000003</v>
      </c>
      <c r="U107" s="1124">
        <f>12*$K107*'Crono Pessoal'!Q107/1000</f>
        <v>260.46941070000003</v>
      </c>
      <c r="V107" s="1124">
        <f>12*$K107*'Crono Pessoal'!R107/1000</f>
        <v>260.46941070000003</v>
      </c>
      <c r="W107" s="1124">
        <f>12*$K107*'Crono Pessoal'!S107/1000</f>
        <v>260.46941070000003</v>
      </c>
      <c r="X107" s="1124">
        <f>12*$K107*'Crono Pessoal'!T107/1000</f>
        <v>260.46941070000003</v>
      </c>
      <c r="Y107" s="1124">
        <f>12*$K107*'Crono Pessoal'!U107/1000</f>
        <v>260.46941070000003</v>
      </c>
      <c r="Z107" s="1124">
        <f>12*$K107*'Crono Pessoal'!V107/1000</f>
        <v>260.46941070000003</v>
      </c>
      <c r="AA107" s="1124">
        <f>12*$K107*'Crono Pessoal'!W107/1000</f>
        <v>260.46941070000003</v>
      </c>
      <c r="AB107" s="1124">
        <f>12*$K107*'Crono Pessoal'!X107/1000</f>
        <v>260.46941070000003</v>
      </c>
      <c r="AC107" s="1124">
        <f>12*$K107*'Crono Pessoal'!Y107/1000</f>
        <v>260.46941070000003</v>
      </c>
      <c r="AD107" s="1124">
        <f>12*$K107*'Crono Pessoal'!Z107/1000</f>
        <v>260.46941070000003</v>
      </c>
      <c r="AE107" s="1124">
        <f>12*$K107*'Crono Pessoal'!AA107/1000</f>
        <v>260.46941070000003</v>
      </c>
      <c r="AF107" s="1124">
        <f>12*$K107*'Crono Pessoal'!AB107/1000</f>
        <v>260.46941070000003</v>
      </c>
      <c r="AG107" s="1124">
        <f>12*$K107*'Crono Pessoal'!AC107/1000</f>
        <v>260.46941070000003</v>
      </c>
      <c r="AH107" s="1124">
        <f>12*$K107*'Crono Pessoal'!AD107/1000</f>
        <v>260.46941070000003</v>
      </c>
      <c r="AI107" s="1124">
        <f>12*$K107*'Crono Pessoal'!AE107/1000</f>
        <v>260.46941070000003</v>
      </c>
      <c r="AJ107" s="1124">
        <f>12*$K107*'Crono Pessoal'!AF107/1000</f>
        <v>260.46941070000003</v>
      </c>
      <c r="AK107" s="1124">
        <f>12*$K107*'Crono Pessoal'!AG107/1000</f>
        <v>260.46941070000003</v>
      </c>
      <c r="AL107" s="1124">
        <f>12*$K107*'Crono Pessoal'!AH107/1000</f>
        <v>260.46941070000003</v>
      </c>
      <c r="AM107" s="1124">
        <f>12*$K107*'Crono Pessoal'!AI107/1000</f>
        <v>260.46941070000003</v>
      </c>
      <c r="AN107" s="1124">
        <f>12*$K107*'Crono Pessoal'!AJ107/1000</f>
        <v>260.46941070000003</v>
      </c>
      <c r="AO107" s="1124">
        <f>12*$K107*'Crono Pessoal'!AK107/1000</f>
        <v>260.46941070000003</v>
      </c>
      <c r="AP107" s="1124">
        <f>12*$K107*'Crono Pessoal'!AL107/1000</f>
        <v>260.46941070000003</v>
      </c>
    </row>
    <row r="108" spans="1:42">
      <c r="A108" s="595"/>
      <c r="B108" s="598"/>
      <c r="C108" s="599"/>
      <c r="D108" s="260" t="s">
        <v>750</v>
      </c>
      <c r="E108" s="260">
        <v>1</v>
      </c>
      <c r="F108" s="1129" t="s">
        <v>833</v>
      </c>
      <c r="G108" s="1120" t="str">
        <f>VLOOKUP($F108,SALARIOSS!$D$6:$H$203,2,0)</f>
        <v>Técnico de Estradas</v>
      </c>
      <c r="H108" s="1121">
        <f>VLOOKUP($F108,SALARIOSS!$D$6:$I$203,6,0)</f>
        <v>2741.2485750000001</v>
      </c>
      <c r="I108" s="1121">
        <f>VLOOKUP($F108,Funções!$D$9:$K$200,5,0)+VLOOKUP($F108,Funções!$D$9:$K$200,6,0)</f>
        <v>3275.4843531874999</v>
      </c>
      <c r="J108" s="1121">
        <f>VLOOKUP($F108,Funções!$D$9:$K$200,7,0)</f>
        <v>95</v>
      </c>
      <c r="K108" s="1122">
        <f>SUM(H108:J108)</f>
        <v>6111.7329281875</v>
      </c>
      <c r="L108" s="1123">
        <f>SUM(M108:AP108)</f>
        <v>0</v>
      </c>
      <c r="M108" s="1124">
        <f>12*$K108*'Crono Pessoal'!I108/1000</f>
        <v>0</v>
      </c>
      <c r="N108" s="1124">
        <f>12*$K108*'Crono Pessoal'!J108/1000</f>
        <v>0</v>
      </c>
      <c r="O108" s="1124">
        <f>12*$K108*'Crono Pessoal'!K108/1000</f>
        <v>0</v>
      </c>
      <c r="P108" s="1124">
        <f>12*$K108*'Crono Pessoal'!L108/1000</f>
        <v>0</v>
      </c>
      <c r="Q108" s="1124">
        <f>12*$K108*'Crono Pessoal'!M108/1000</f>
        <v>0</v>
      </c>
      <c r="R108" s="1124">
        <f>12*$K108*'Crono Pessoal'!N108/1000</f>
        <v>0</v>
      </c>
      <c r="S108" s="1124">
        <f>12*$K108*'Crono Pessoal'!O108/1000</f>
        <v>0</v>
      </c>
      <c r="T108" s="1124">
        <f>12*$K108*'Crono Pessoal'!P108/1000</f>
        <v>0</v>
      </c>
      <c r="U108" s="1124">
        <f>12*$K108*'Crono Pessoal'!Q108/1000</f>
        <v>0</v>
      </c>
      <c r="V108" s="1124">
        <f>12*$K108*'Crono Pessoal'!R108/1000</f>
        <v>0</v>
      </c>
      <c r="W108" s="1124">
        <f>12*$K108*'Crono Pessoal'!S108/1000</f>
        <v>0</v>
      </c>
      <c r="X108" s="1124">
        <f>12*$K108*'Crono Pessoal'!T108/1000</f>
        <v>0</v>
      </c>
      <c r="Y108" s="1124">
        <f>12*$K108*'Crono Pessoal'!U108/1000</f>
        <v>0</v>
      </c>
      <c r="Z108" s="1124">
        <f>12*$K108*'Crono Pessoal'!V108/1000</f>
        <v>0</v>
      </c>
      <c r="AA108" s="1124">
        <f>12*$K108*'Crono Pessoal'!W108/1000</f>
        <v>0</v>
      </c>
      <c r="AB108" s="1124">
        <f>12*$K108*'Crono Pessoal'!X108/1000</f>
        <v>0</v>
      </c>
      <c r="AC108" s="1124">
        <f>12*$K108*'Crono Pessoal'!Y108/1000</f>
        <v>0</v>
      </c>
      <c r="AD108" s="1124">
        <f>12*$K108*'Crono Pessoal'!Z108/1000</f>
        <v>0</v>
      </c>
      <c r="AE108" s="1124">
        <f>12*$K108*'Crono Pessoal'!AA108/1000</f>
        <v>0</v>
      </c>
      <c r="AF108" s="1124">
        <f>12*$K108*'Crono Pessoal'!AB108/1000</f>
        <v>0</v>
      </c>
      <c r="AG108" s="1124">
        <f>12*$K108*'Crono Pessoal'!AC108/1000</f>
        <v>0</v>
      </c>
      <c r="AH108" s="1124">
        <f>12*$K108*'Crono Pessoal'!AD108/1000</f>
        <v>0</v>
      </c>
      <c r="AI108" s="1124">
        <f>12*$K108*'Crono Pessoal'!AE108/1000</f>
        <v>0</v>
      </c>
      <c r="AJ108" s="1124">
        <f>12*$K108*'Crono Pessoal'!AF108/1000</f>
        <v>0</v>
      </c>
      <c r="AK108" s="1124">
        <f>12*$K108*'Crono Pessoal'!AG108/1000</f>
        <v>0</v>
      </c>
      <c r="AL108" s="1124">
        <f>12*$K108*'Crono Pessoal'!AH108/1000</f>
        <v>0</v>
      </c>
      <c r="AM108" s="1124">
        <f>12*$K108*'Crono Pessoal'!AI108/1000</f>
        <v>0</v>
      </c>
      <c r="AN108" s="1124">
        <f>12*$K108*'Crono Pessoal'!AJ108/1000</f>
        <v>0</v>
      </c>
      <c r="AO108" s="1124">
        <f>12*$K108*'Crono Pessoal'!AK108/1000</f>
        <v>0</v>
      </c>
      <c r="AP108" s="1124">
        <f>12*$K108*'Crono Pessoal'!AL108/1000</f>
        <v>0</v>
      </c>
    </row>
    <row r="109" spans="1:42">
      <c r="A109" s="595"/>
      <c r="B109" s="598"/>
      <c r="C109" s="599"/>
      <c r="D109" s="260" t="s">
        <v>750</v>
      </c>
      <c r="E109" s="260"/>
      <c r="F109" s="1129"/>
      <c r="G109" s="1126" t="s">
        <v>838</v>
      </c>
      <c r="H109" s="1121"/>
      <c r="I109" s="1121"/>
      <c r="J109" s="1121"/>
      <c r="K109" s="1122"/>
      <c r="L109" s="1123"/>
      <c r="M109" s="1124"/>
      <c r="N109" s="1124"/>
      <c r="O109" s="1124"/>
      <c r="P109" s="1124"/>
      <c r="Q109" s="1124"/>
      <c r="R109" s="1124"/>
      <c r="S109" s="1124"/>
      <c r="T109" s="1124"/>
      <c r="U109" s="1124"/>
      <c r="V109" s="1124"/>
      <c r="W109" s="1124"/>
      <c r="X109" s="1124"/>
      <c r="Y109" s="1124"/>
      <c r="Z109" s="1124"/>
      <c r="AA109" s="1124"/>
      <c r="AB109" s="1124"/>
      <c r="AC109" s="1124"/>
      <c r="AD109" s="1124"/>
      <c r="AE109" s="1124"/>
      <c r="AF109" s="1124"/>
      <c r="AG109" s="1124"/>
      <c r="AH109" s="1124"/>
      <c r="AI109" s="1124"/>
      <c r="AJ109" s="1124"/>
      <c r="AK109" s="1124"/>
      <c r="AL109" s="1124"/>
      <c r="AM109" s="1124"/>
      <c r="AN109" s="1124"/>
      <c r="AO109" s="1124"/>
      <c r="AP109" s="1124"/>
    </row>
    <row r="110" spans="1:42">
      <c r="A110" s="595"/>
      <c r="B110" s="598"/>
      <c r="C110" s="599"/>
      <c r="D110" s="260" t="s">
        <v>750</v>
      </c>
      <c r="E110" s="260">
        <v>1</v>
      </c>
      <c r="F110" s="1130" t="s">
        <v>780</v>
      </c>
      <c r="G110" s="1120" t="str">
        <f>VLOOKUP($F110,SALARIOSS!$D$6:$H$203,2,0)</f>
        <v>Coordenador de Planejamento</v>
      </c>
      <c r="H110" s="1121">
        <f>VLOOKUP($F110,SALARIOSS!$D$6:$I$203,6,0)</f>
        <v>6353.1</v>
      </c>
      <c r="I110" s="1121">
        <f>VLOOKUP($F110,Funções!$D$9:$K$200,5,0)+VLOOKUP($F110,Funções!$D$9:$K$200,6,0)</f>
        <v>6499.0617500000008</v>
      </c>
      <c r="J110" s="1121">
        <f>VLOOKUP($F110,Funções!$D$9:$K$200,7,0)</f>
        <v>95</v>
      </c>
      <c r="K110" s="1122">
        <f t="shared" ref="K110:K118" si="4">SUM(H110:J110)</f>
        <v>12947.161750000001</v>
      </c>
      <c r="L110" s="1123">
        <f t="shared" ref="L110:L118" si="5">SUM(M110:AP110)</f>
        <v>0</v>
      </c>
      <c r="M110" s="1124">
        <f>12*$K110*'Crono Pessoal'!I110/1000</f>
        <v>0</v>
      </c>
      <c r="N110" s="1124">
        <f>12*$K110*'Crono Pessoal'!J110/1000</f>
        <v>0</v>
      </c>
      <c r="O110" s="1124">
        <f>12*$K110*'Crono Pessoal'!K110/1000</f>
        <v>0</v>
      </c>
      <c r="P110" s="1124">
        <f>12*$K110*'Crono Pessoal'!L110/1000</f>
        <v>0</v>
      </c>
      <c r="Q110" s="1124">
        <f>12*$K110*'Crono Pessoal'!M110/1000</f>
        <v>0</v>
      </c>
      <c r="R110" s="1124">
        <f>12*$K110*'Crono Pessoal'!N110/1000</f>
        <v>0</v>
      </c>
      <c r="S110" s="1124">
        <f>12*$K110*'Crono Pessoal'!O110/1000</f>
        <v>0</v>
      </c>
      <c r="T110" s="1124">
        <f>12*$K110*'Crono Pessoal'!P110/1000</f>
        <v>0</v>
      </c>
      <c r="U110" s="1124">
        <f>12*$K110*'Crono Pessoal'!Q110/1000</f>
        <v>0</v>
      </c>
      <c r="V110" s="1124">
        <f>12*$K110*'Crono Pessoal'!R110/1000</f>
        <v>0</v>
      </c>
      <c r="W110" s="1124">
        <f>12*$K110*'Crono Pessoal'!S110/1000</f>
        <v>0</v>
      </c>
      <c r="X110" s="1124">
        <f>12*$K110*'Crono Pessoal'!T110/1000</f>
        <v>0</v>
      </c>
      <c r="Y110" s="1124">
        <f>12*$K110*'Crono Pessoal'!U110/1000</f>
        <v>0</v>
      </c>
      <c r="Z110" s="1124">
        <f>12*$K110*'Crono Pessoal'!V110/1000</f>
        <v>0</v>
      </c>
      <c r="AA110" s="1124">
        <f>12*$K110*'Crono Pessoal'!W110/1000</f>
        <v>0</v>
      </c>
      <c r="AB110" s="1124">
        <f>12*$K110*'Crono Pessoal'!X110/1000</f>
        <v>0</v>
      </c>
      <c r="AC110" s="1124">
        <f>12*$K110*'Crono Pessoal'!Y110/1000</f>
        <v>0</v>
      </c>
      <c r="AD110" s="1124">
        <f>12*$K110*'Crono Pessoal'!Z110/1000</f>
        <v>0</v>
      </c>
      <c r="AE110" s="1124">
        <f>12*$K110*'Crono Pessoal'!AA110/1000</f>
        <v>0</v>
      </c>
      <c r="AF110" s="1124">
        <f>12*$K110*'Crono Pessoal'!AB110/1000</f>
        <v>0</v>
      </c>
      <c r="AG110" s="1124">
        <f>12*$K110*'Crono Pessoal'!AC110/1000</f>
        <v>0</v>
      </c>
      <c r="AH110" s="1124">
        <f>12*$K110*'Crono Pessoal'!AD110/1000</f>
        <v>0</v>
      </c>
      <c r="AI110" s="1124">
        <f>12*$K110*'Crono Pessoal'!AE110/1000</f>
        <v>0</v>
      </c>
      <c r="AJ110" s="1124">
        <f>12*$K110*'Crono Pessoal'!AF110/1000</f>
        <v>0</v>
      </c>
      <c r="AK110" s="1124">
        <f>12*$K110*'Crono Pessoal'!AG110/1000</f>
        <v>0</v>
      </c>
      <c r="AL110" s="1124">
        <f>12*$K110*'Crono Pessoal'!AH110/1000</f>
        <v>0</v>
      </c>
      <c r="AM110" s="1124">
        <f>12*$K110*'Crono Pessoal'!AI110/1000</f>
        <v>0</v>
      </c>
      <c r="AN110" s="1124">
        <f>12*$K110*'Crono Pessoal'!AJ110/1000</f>
        <v>0</v>
      </c>
      <c r="AO110" s="1124">
        <f>12*$K110*'Crono Pessoal'!AK110/1000</f>
        <v>0</v>
      </c>
      <c r="AP110" s="1124">
        <f>12*$K110*'Crono Pessoal'!AL110/1000</f>
        <v>0</v>
      </c>
    </row>
    <row r="111" spans="1:42">
      <c r="A111" s="595"/>
      <c r="B111" s="598"/>
      <c r="C111" s="599"/>
      <c r="D111" s="260" t="s">
        <v>750</v>
      </c>
      <c r="E111" s="260">
        <v>1</v>
      </c>
      <c r="F111" s="1130" t="s">
        <v>839</v>
      </c>
      <c r="G111" s="1120" t="str">
        <f>VLOOKUP($F111,SALARIOSS!$D$6:$H$203,2,0)</f>
        <v>Engenheiro Civil Pleno</v>
      </c>
      <c r="H111" s="1121">
        <f>VLOOKUP($F111,SALARIOSS!$D$6:$I$203,6,0)</f>
        <v>10981.17</v>
      </c>
      <c r="I111" s="1121">
        <f>VLOOKUP($F111,Funções!$D$9:$K$200,5,0)+VLOOKUP($F111,Funções!$D$9:$K$200,6,0)</f>
        <v>10629.614225000001</v>
      </c>
      <c r="J111" s="1121">
        <f>VLOOKUP($F111,Funções!$D$9:$K$200,7,0)</f>
        <v>95</v>
      </c>
      <c r="K111" s="1122">
        <f t="shared" si="4"/>
        <v>21705.784225000003</v>
      </c>
      <c r="L111" s="1123">
        <f t="shared" si="5"/>
        <v>7814.0823209999944</v>
      </c>
      <c r="M111" s="1124">
        <f>12*$K111*'Crono Pessoal'!I111/1000</f>
        <v>260.46941070000003</v>
      </c>
      <c r="N111" s="1124">
        <f>12*$K111*'Crono Pessoal'!J111/1000</f>
        <v>260.46941070000003</v>
      </c>
      <c r="O111" s="1124">
        <f>12*$K111*'Crono Pessoal'!K111/1000</f>
        <v>260.46941070000003</v>
      </c>
      <c r="P111" s="1124">
        <f>12*$K111*'Crono Pessoal'!L111/1000</f>
        <v>260.46941070000003</v>
      </c>
      <c r="Q111" s="1124">
        <f>12*$K111*'Crono Pessoal'!M111/1000</f>
        <v>260.46941070000003</v>
      </c>
      <c r="R111" s="1124">
        <f>12*$K111*'Crono Pessoal'!N111/1000</f>
        <v>260.46941070000003</v>
      </c>
      <c r="S111" s="1124">
        <f>12*$K111*'Crono Pessoal'!O111/1000</f>
        <v>260.46941070000003</v>
      </c>
      <c r="T111" s="1124">
        <f>12*$K111*'Crono Pessoal'!P111/1000</f>
        <v>260.46941070000003</v>
      </c>
      <c r="U111" s="1124">
        <f>12*$K111*'Crono Pessoal'!Q111/1000</f>
        <v>260.46941070000003</v>
      </c>
      <c r="V111" s="1124">
        <f>12*$K111*'Crono Pessoal'!R111/1000</f>
        <v>260.46941070000003</v>
      </c>
      <c r="W111" s="1124">
        <f>12*$K111*'Crono Pessoal'!S111/1000</f>
        <v>260.46941070000003</v>
      </c>
      <c r="X111" s="1124">
        <f>12*$K111*'Crono Pessoal'!T111/1000</f>
        <v>260.46941070000003</v>
      </c>
      <c r="Y111" s="1124">
        <f>12*$K111*'Crono Pessoal'!U111/1000</f>
        <v>260.46941070000003</v>
      </c>
      <c r="Z111" s="1124">
        <f>12*$K111*'Crono Pessoal'!V111/1000</f>
        <v>260.46941070000003</v>
      </c>
      <c r="AA111" s="1124">
        <f>12*$K111*'Crono Pessoal'!W111/1000</f>
        <v>260.46941070000003</v>
      </c>
      <c r="AB111" s="1124">
        <f>12*$K111*'Crono Pessoal'!X111/1000</f>
        <v>260.46941070000003</v>
      </c>
      <c r="AC111" s="1124">
        <f>12*$K111*'Crono Pessoal'!Y111/1000</f>
        <v>260.46941070000003</v>
      </c>
      <c r="AD111" s="1124">
        <f>12*$K111*'Crono Pessoal'!Z111/1000</f>
        <v>260.46941070000003</v>
      </c>
      <c r="AE111" s="1124">
        <f>12*$K111*'Crono Pessoal'!AA111/1000</f>
        <v>260.46941070000003</v>
      </c>
      <c r="AF111" s="1124">
        <f>12*$K111*'Crono Pessoal'!AB111/1000</f>
        <v>260.46941070000003</v>
      </c>
      <c r="AG111" s="1124">
        <f>12*$K111*'Crono Pessoal'!AC111/1000</f>
        <v>260.46941070000003</v>
      </c>
      <c r="AH111" s="1124">
        <f>12*$K111*'Crono Pessoal'!AD111/1000</f>
        <v>260.46941070000003</v>
      </c>
      <c r="AI111" s="1124">
        <f>12*$K111*'Crono Pessoal'!AE111/1000</f>
        <v>260.46941070000003</v>
      </c>
      <c r="AJ111" s="1124">
        <f>12*$K111*'Crono Pessoal'!AF111/1000</f>
        <v>260.46941070000003</v>
      </c>
      <c r="AK111" s="1124">
        <f>12*$K111*'Crono Pessoal'!AG111/1000</f>
        <v>260.46941070000003</v>
      </c>
      <c r="AL111" s="1124">
        <f>12*$K111*'Crono Pessoal'!AH111/1000</f>
        <v>260.46941070000003</v>
      </c>
      <c r="AM111" s="1124">
        <f>12*$K111*'Crono Pessoal'!AI111/1000</f>
        <v>260.46941070000003</v>
      </c>
      <c r="AN111" s="1124">
        <f>12*$K111*'Crono Pessoal'!AJ111/1000</f>
        <v>260.46941070000003</v>
      </c>
      <c r="AO111" s="1124">
        <f>12*$K111*'Crono Pessoal'!AK111/1000</f>
        <v>260.46941070000003</v>
      </c>
      <c r="AP111" s="1124">
        <f>12*$K111*'Crono Pessoal'!AL111/1000</f>
        <v>260.46941070000003</v>
      </c>
    </row>
    <row r="112" spans="1:42">
      <c r="A112" s="595"/>
      <c r="B112" s="598"/>
      <c r="C112" s="599"/>
      <c r="D112" s="260" t="s">
        <v>750</v>
      </c>
      <c r="E112" s="260">
        <v>1</v>
      </c>
      <c r="F112" s="1129" t="s">
        <v>788</v>
      </c>
      <c r="G112" s="1120" t="str">
        <f>VLOOKUP($F112,SALARIOSS!$D$6:$H$203,2,0)</f>
        <v>Auxiliar Técnico I</v>
      </c>
      <c r="H112" s="1121">
        <f>VLOOKUP($F112,SALARIOSS!$D$6:$I$203,6,0)</f>
        <v>1764.6417000000001</v>
      </c>
      <c r="I112" s="1121">
        <f>VLOOKUP($F112,Funções!$D$9:$K$200,5,0)+VLOOKUP($F112,Funções!$D$9:$K$200,6,0)</f>
        <v>2403.8627172500001</v>
      </c>
      <c r="J112" s="1121">
        <f>VLOOKUP($F112,Funções!$D$9:$K$200,7,0)</f>
        <v>95</v>
      </c>
      <c r="K112" s="1122">
        <f t="shared" si="4"/>
        <v>4263.5044172500002</v>
      </c>
      <c r="L112" s="1123">
        <f t="shared" si="5"/>
        <v>1534.86159021</v>
      </c>
      <c r="M112" s="1124">
        <f>12*$K112*'Crono Pessoal'!I112/1000</f>
        <v>51.162053007000004</v>
      </c>
      <c r="N112" s="1124">
        <f>12*$K112*'Crono Pessoal'!J112/1000</f>
        <v>51.162053007000004</v>
      </c>
      <c r="O112" s="1124">
        <f>12*$K112*'Crono Pessoal'!K112/1000</f>
        <v>51.162053007000004</v>
      </c>
      <c r="P112" s="1124">
        <f>12*$K112*'Crono Pessoal'!L112/1000</f>
        <v>51.162053007000004</v>
      </c>
      <c r="Q112" s="1124">
        <f>12*$K112*'Crono Pessoal'!M112/1000</f>
        <v>51.162053007000004</v>
      </c>
      <c r="R112" s="1124">
        <f>12*$K112*'Crono Pessoal'!N112/1000</f>
        <v>51.162053007000004</v>
      </c>
      <c r="S112" s="1124">
        <f>12*$K112*'Crono Pessoal'!O112/1000</f>
        <v>51.162053007000004</v>
      </c>
      <c r="T112" s="1124">
        <f>12*$K112*'Crono Pessoal'!P112/1000</f>
        <v>51.162053007000004</v>
      </c>
      <c r="U112" s="1124">
        <f>12*$K112*'Crono Pessoal'!Q112/1000</f>
        <v>51.162053007000004</v>
      </c>
      <c r="V112" s="1124">
        <f>12*$K112*'Crono Pessoal'!R112/1000</f>
        <v>51.162053007000004</v>
      </c>
      <c r="W112" s="1124">
        <f>12*$K112*'Crono Pessoal'!S112/1000</f>
        <v>51.162053007000004</v>
      </c>
      <c r="X112" s="1124">
        <f>12*$K112*'Crono Pessoal'!T112/1000</f>
        <v>51.162053007000004</v>
      </c>
      <c r="Y112" s="1124">
        <f>12*$K112*'Crono Pessoal'!U112/1000</f>
        <v>51.162053007000004</v>
      </c>
      <c r="Z112" s="1124">
        <f>12*$K112*'Crono Pessoal'!V112/1000</f>
        <v>51.162053007000004</v>
      </c>
      <c r="AA112" s="1124">
        <f>12*$K112*'Crono Pessoal'!W112/1000</f>
        <v>51.162053007000004</v>
      </c>
      <c r="AB112" s="1124">
        <f>12*$K112*'Crono Pessoal'!X112/1000</f>
        <v>51.162053007000004</v>
      </c>
      <c r="AC112" s="1124">
        <f>12*$K112*'Crono Pessoal'!Y112/1000</f>
        <v>51.162053007000004</v>
      </c>
      <c r="AD112" s="1124">
        <f>12*$K112*'Crono Pessoal'!Z112/1000</f>
        <v>51.162053007000004</v>
      </c>
      <c r="AE112" s="1124">
        <f>12*$K112*'Crono Pessoal'!AA112/1000</f>
        <v>51.162053007000004</v>
      </c>
      <c r="AF112" s="1124">
        <f>12*$K112*'Crono Pessoal'!AB112/1000</f>
        <v>51.162053007000004</v>
      </c>
      <c r="AG112" s="1124">
        <f>12*$K112*'Crono Pessoal'!AC112/1000</f>
        <v>51.162053007000004</v>
      </c>
      <c r="AH112" s="1124">
        <f>12*$K112*'Crono Pessoal'!AD112/1000</f>
        <v>51.162053007000004</v>
      </c>
      <c r="AI112" s="1124">
        <f>12*$K112*'Crono Pessoal'!AE112/1000</f>
        <v>51.162053007000004</v>
      </c>
      <c r="AJ112" s="1124">
        <f>12*$K112*'Crono Pessoal'!AF112/1000</f>
        <v>51.162053007000004</v>
      </c>
      <c r="AK112" s="1124">
        <f>12*$K112*'Crono Pessoal'!AG112/1000</f>
        <v>51.162053007000004</v>
      </c>
      <c r="AL112" s="1124">
        <f>12*$K112*'Crono Pessoal'!AH112/1000</f>
        <v>51.162053007000004</v>
      </c>
      <c r="AM112" s="1124">
        <f>12*$K112*'Crono Pessoal'!AI112/1000</f>
        <v>51.162053007000004</v>
      </c>
      <c r="AN112" s="1124">
        <f>12*$K112*'Crono Pessoal'!AJ112/1000</f>
        <v>51.162053007000004</v>
      </c>
      <c r="AO112" s="1124">
        <f>12*$K112*'Crono Pessoal'!AK112/1000</f>
        <v>51.162053007000004</v>
      </c>
      <c r="AP112" s="1124">
        <f>12*$K112*'Crono Pessoal'!AL112/1000</f>
        <v>51.162053007000004</v>
      </c>
    </row>
    <row r="113" spans="1:42">
      <c r="A113" s="595"/>
      <c r="B113" s="598"/>
      <c r="C113" s="599"/>
      <c r="D113" s="260" t="s">
        <v>750</v>
      </c>
      <c r="E113" s="260">
        <v>1</v>
      </c>
      <c r="F113" s="1130" t="s">
        <v>771</v>
      </c>
      <c r="G113" s="1120" t="str">
        <f>VLOOKUP($F113,SALARIOSS!$D$6:$H$203,2,0)</f>
        <v>Assistente de Meio Ambiente</v>
      </c>
      <c r="H113" s="1121">
        <f>VLOOKUP($F113,SALARIOSS!$D$6:$I$203,6,0)</f>
        <v>1497.53205</v>
      </c>
      <c r="I113" s="1121">
        <f>VLOOKUP($F113,Funções!$D$9:$K$200,5,0)+VLOOKUP($F113,Funções!$D$9:$K$200,6,0)</f>
        <v>2165.4673546250006</v>
      </c>
      <c r="J113" s="1121">
        <f>VLOOKUP($F113,Funções!$D$9:$K$200,7,0)</f>
        <v>95</v>
      </c>
      <c r="K113" s="1122">
        <f t="shared" si="4"/>
        <v>3757.9994046250004</v>
      </c>
      <c r="L113" s="1123">
        <f t="shared" si="5"/>
        <v>0</v>
      </c>
      <c r="M113" s="1124">
        <f>12*$K113*'Crono Pessoal'!I113/1000</f>
        <v>0</v>
      </c>
      <c r="N113" s="1124">
        <f>12*$K113*'Crono Pessoal'!J113/1000</f>
        <v>0</v>
      </c>
      <c r="O113" s="1124">
        <f>12*$K113*'Crono Pessoal'!K113/1000</f>
        <v>0</v>
      </c>
      <c r="P113" s="1124">
        <f>12*$K113*'Crono Pessoal'!L113/1000</f>
        <v>0</v>
      </c>
      <c r="Q113" s="1124">
        <f>12*$K113*'Crono Pessoal'!M113/1000</f>
        <v>0</v>
      </c>
      <c r="R113" s="1124">
        <f>12*$K113*'Crono Pessoal'!N113/1000</f>
        <v>0</v>
      </c>
      <c r="S113" s="1124">
        <f>12*$K113*'Crono Pessoal'!O113/1000</f>
        <v>0</v>
      </c>
      <c r="T113" s="1124">
        <f>12*$K113*'Crono Pessoal'!P113/1000</f>
        <v>0</v>
      </c>
      <c r="U113" s="1124">
        <f>12*$K113*'Crono Pessoal'!Q113/1000</f>
        <v>0</v>
      </c>
      <c r="V113" s="1124">
        <f>12*$K113*'Crono Pessoal'!R113/1000</f>
        <v>0</v>
      </c>
      <c r="W113" s="1124">
        <f>12*$K113*'Crono Pessoal'!S113/1000</f>
        <v>0</v>
      </c>
      <c r="X113" s="1124">
        <f>12*$K113*'Crono Pessoal'!T113/1000</f>
        <v>0</v>
      </c>
      <c r="Y113" s="1124">
        <f>12*$K113*'Crono Pessoal'!U113/1000</f>
        <v>0</v>
      </c>
      <c r="Z113" s="1124">
        <f>12*$K113*'Crono Pessoal'!V113/1000</f>
        <v>0</v>
      </c>
      <c r="AA113" s="1124">
        <f>12*$K113*'Crono Pessoal'!W113/1000</f>
        <v>0</v>
      </c>
      <c r="AB113" s="1124">
        <f>12*$K113*'Crono Pessoal'!X113/1000</f>
        <v>0</v>
      </c>
      <c r="AC113" s="1124">
        <f>12*$K113*'Crono Pessoal'!Y113/1000</f>
        <v>0</v>
      </c>
      <c r="AD113" s="1124">
        <f>12*$K113*'Crono Pessoal'!Z113/1000</f>
        <v>0</v>
      </c>
      <c r="AE113" s="1124">
        <f>12*$K113*'Crono Pessoal'!AA113/1000</f>
        <v>0</v>
      </c>
      <c r="AF113" s="1124">
        <f>12*$K113*'Crono Pessoal'!AB113/1000</f>
        <v>0</v>
      </c>
      <c r="AG113" s="1124">
        <f>12*$K113*'Crono Pessoal'!AC113/1000</f>
        <v>0</v>
      </c>
      <c r="AH113" s="1124">
        <f>12*$K113*'Crono Pessoal'!AD113/1000</f>
        <v>0</v>
      </c>
      <c r="AI113" s="1124">
        <f>12*$K113*'Crono Pessoal'!AE113/1000</f>
        <v>0</v>
      </c>
      <c r="AJ113" s="1124">
        <f>12*$K113*'Crono Pessoal'!AF113/1000</f>
        <v>0</v>
      </c>
      <c r="AK113" s="1124">
        <f>12*$K113*'Crono Pessoal'!AG113/1000</f>
        <v>0</v>
      </c>
      <c r="AL113" s="1124">
        <f>12*$K113*'Crono Pessoal'!AH113/1000</f>
        <v>0</v>
      </c>
      <c r="AM113" s="1124">
        <f>12*$K113*'Crono Pessoal'!AI113/1000</f>
        <v>0</v>
      </c>
      <c r="AN113" s="1124">
        <f>12*$K113*'Crono Pessoal'!AJ113/1000</f>
        <v>0</v>
      </c>
      <c r="AO113" s="1124">
        <f>12*$K113*'Crono Pessoal'!AK113/1000</f>
        <v>0</v>
      </c>
      <c r="AP113" s="1124">
        <f>12*$K113*'Crono Pessoal'!AL113/1000</f>
        <v>0</v>
      </c>
    </row>
    <row r="114" spans="1:42">
      <c r="A114" s="595"/>
      <c r="B114" s="598"/>
      <c r="C114" s="599"/>
      <c r="D114" s="260" t="s">
        <v>750</v>
      </c>
      <c r="E114" s="260">
        <v>1</v>
      </c>
      <c r="F114" s="1130" t="s">
        <v>777</v>
      </c>
      <c r="G114" s="1120" t="str">
        <f>VLOOKUP($F114,SALARIOSS!$D$6:$H$203,2,0)</f>
        <v>Analista de Sistema de Qualidade</v>
      </c>
      <c r="H114" s="1121">
        <f>VLOOKUP($F114,SALARIOSS!$D$6:$I$203,6,0)</f>
        <v>4303.8</v>
      </c>
      <c r="I114" s="1121">
        <f>VLOOKUP($F114,Funções!$D$9:$K$200,5,0)+VLOOKUP($F114,Funções!$D$9:$K$200,6,0)</f>
        <v>4670.0614999999998</v>
      </c>
      <c r="J114" s="1121">
        <f>VLOOKUP($F114,Funções!$D$9:$K$200,7,0)</f>
        <v>95</v>
      </c>
      <c r="K114" s="1122">
        <f t="shared" si="4"/>
        <v>9068.8614999999991</v>
      </c>
      <c r="L114" s="1123">
        <f t="shared" si="5"/>
        <v>0</v>
      </c>
      <c r="M114" s="1124">
        <f>12*$K114*'Crono Pessoal'!I114/1000</f>
        <v>0</v>
      </c>
      <c r="N114" s="1124">
        <f>12*$K114*'Crono Pessoal'!J114/1000</f>
        <v>0</v>
      </c>
      <c r="O114" s="1124">
        <f>12*$K114*'Crono Pessoal'!K114/1000</f>
        <v>0</v>
      </c>
      <c r="P114" s="1124">
        <f>12*$K114*'Crono Pessoal'!L114/1000</f>
        <v>0</v>
      </c>
      <c r="Q114" s="1124">
        <f>12*$K114*'Crono Pessoal'!M114/1000</f>
        <v>0</v>
      </c>
      <c r="R114" s="1124">
        <f>12*$K114*'Crono Pessoal'!N114/1000</f>
        <v>0</v>
      </c>
      <c r="S114" s="1124">
        <f>12*$K114*'Crono Pessoal'!O114/1000</f>
        <v>0</v>
      </c>
      <c r="T114" s="1124">
        <f>12*$K114*'Crono Pessoal'!P114/1000</f>
        <v>0</v>
      </c>
      <c r="U114" s="1124">
        <f>12*$K114*'Crono Pessoal'!Q114/1000</f>
        <v>0</v>
      </c>
      <c r="V114" s="1124">
        <f>12*$K114*'Crono Pessoal'!R114/1000</f>
        <v>0</v>
      </c>
      <c r="W114" s="1124">
        <f>12*$K114*'Crono Pessoal'!S114/1000</f>
        <v>0</v>
      </c>
      <c r="X114" s="1124">
        <f>12*$K114*'Crono Pessoal'!T114/1000</f>
        <v>0</v>
      </c>
      <c r="Y114" s="1124">
        <f>12*$K114*'Crono Pessoal'!U114/1000</f>
        <v>0</v>
      </c>
      <c r="Z114" s="1124">
        <f>12*$K114*'Crono Pessoal'!V114/1000</f>
        <v>0</v>
      </c>
      <c r="AA114" s="1124">
        <f>12*$K114*'Crono Pessoal'!W114/1000</f>
        <v>0</v>
      </c>
      <c r="AB114" s="1124">
        <f>12*$K114*'Crono Pessoal'!X114/1000</f>
        <v>0</v>
      </c>
      <c r="AC114" s="1124">
        <f>12*$K114*'Crono Pessoal'!Y114/1000</f>
        <v>0</v>
      </c>
      <c r="AD114" s="1124">
        <f>12*$K114*'Crono Pessoal'!Z114/1000</f>
        <v>0</v>
      </c>
      <c r="AE114" s="1124">
        <f>12*$K114*'Crono Pessoal'!AA114/1000</f>
        <v>0</v>
      </c>
      <c r="AF114" s="1124">
        <f>12*$K114*'Crono Pessoal'!AB114/1000</f>
        <v>0</v>
      </c>
      <c r="AG114" s="1124">
        <f>12*$K114*'Crono Pessoal'!AC114/1000</f>
        <v>0</v>
      </c>
      <c r="AH114" s="1124">
        <f>12*$K114*'Crono Pessoal'!AD114/1000</f>
        <v>0</v>
      </c>
      <c r="AI114" s="1124">
        <f>12*$K114*'Crono Pessoal'!AE114/1000</f>
        <v>0</v>
      </c>
      <c r="AJ114" s="1124">
        <f>12*$K114*'Crono Pessoal'!AF114/1000</f>
        <v>0</v>
      </c>
      <c r="AK114" s="1124">
        <f>12*$K114*'Crono Pessoal'!AG114/1000</f>
        <v>0</v>
      </c>
      <c r="AL114" s="1124">
        <f>12*$K114*'Crono Pessoal'!AH114/1000</f>
        <v>0</v>
      </c>
      <c r="AM114" s="1124">
        <f>12*$K114*'Crono Pessoal'!AI114/1000</f>
        <v>0</v>
      </c>
      <c r="AN114" s="1124">
        <f>12*$K114*'Crono Pessoal'!AJ114/1000</f>
        <v>0</v>
      </c>
      <c r="AO114" s="1124">
        <f>12*$K114*'Crono Pessoal'!AK114/1000</f>
        <v>0</v>
      </c>
      <c r="AP114" s="1124">
        <f>12*$K114*'Crono Pessoal'!AL114/1000</f>
        <v>0</v>
      </c>
    </row>
    <row r="115" spans="1:42">
      <c r="A115" s="595"/>
      <c r="B115" s="598"/>
      <c r="C115" s="599"/>
      <c r="D115" s="260" t="s">
        <v>750</v>
      </c>
      <c r="E115" s="260">
        <v>1</v>
      </c>
      <c r="F115" s="1129" t="s">
        <v>840</v>
      </c>
      <c r="G115" s="1120" t="str">
        <f>VLOOKUP($F115,SALARIOSS!$D$6:$H$203,2,0)</f>
        <v>Auxiliar Técnico II</v>
      </c>
      <c r="H115" s="1121">
        <f>VLOOKUP($F115,SALARIOSS!$D$6:$I$203,6,0)</f>
        <v>2471.7528000000002</v>
      </c>
      <c r="I115" s="1121">
        <f>VLOOKUP($F115,Funções!$D$9:$K$200,5,0)+VLOOKUP($F115,Funções!$D$9:$K$200,6,0)</f>
        <v>3034.9593740000005</v>
      </c>
      <c r="J115" s="1121">
        <f>VLOOKUP($F115,Funções!$D$9:$K$200,7,0)</f>
        <v>95</v>
      </c>
      <c r="K115" s="1122">
        <f t="shared" si="4"/>
        <v>5601.7121740000002</v>
      </c>
      <c r="L115" s="1123">
        <f t="shared" si="5"/>
        <v>2016.61638264</v>
      </c>
      <c r="M115" s="1124">
        <f>12*$K115*'Crono Pessoal'!I115/1000</f>
        <v>67.220546088000006</v>
      </c>
      <c r="N115" s="1124">
        <f>12*$K115*'Crono Pessoal'!J115/1000</f>
        <v>67.220546088000006</v>
      </c>
      <c r="O115" s="1124">
        <f>12*$K115*'Crono Pessoal'!K115/1000</f>
        <v>67.220546088000006</v>
      </c>
      <c r="P115" s="1124">
        <f>12*$K115*'Crono Pessoal'!L115/1000</f>
        <v>67.220546088000006</v>
      </c>
      <c r="Q115" s="1124">
        <f>12*$K115*'Crono Pessoal'!M115/1000</f>
        <v>67.220546088000006</v>
      </c>
      <c r="R115" s="1124">
        <f>12*$K115*'Crono Pessoal'!N115/1000</f>
        <v>67.220546088000006</v>
      </c>
      <c r="S115" s="1124">
        <f>12*$K115*'Crono Pessoal'!O115/1000</f>
        <v>67.220546088000006</v>
      </c>
      <c r="T115" s="1124">
        <f>12*$K115*'Crono Pessoal'!P115/1000</f>
        <v>67.220546088000006</v>
      </c>
      <c r="U115" s="1124">
        <f>12*$K115*'Crono Pessoal'!Q115/1000</f>
        <v>67.220546088000006</v>
      </c>
      <c r="V115" s="1124">
        <f>12*$K115*'Crono Pessoal'!R115/1000</f>
        <v>67.220546088000006</v>
      </c>
      <c r="W115" s="1124">
        <f>12*$K115*'Crono Pessoal'!S115/1000</f>
        <v>67.220546088000006</v>
      </c>
      <c r="X115" s="1124">
        <f>12*$K115*'Crono Pessoal'!T115/1000</f>
        <v>67.220546088000006</v>
      </c>
      <c r="Y115" s="1124">
        <f>12*$K115*'Crono Pessoal'!U115/1000</f>
        <v>67.220546088000006</v>
      </c>
      <c r="Z115" s="1124">
        <f>12*$K115*'Crono Pessoal'!V115/1000</f>
        <v>67.220546088000006</v>
      </c>
      <c r="AA115" s="1124">
        <f>12*$K115*'Crono Pessoal'!W115/1000</f>
        <v>67.220546088000006</v>
      </c>
      <c r="AB115" s="1124">
        <f>12*$K115*'Crono Pessoal'!X115/1000</f>
        <v>67.220546088000006</v>
      </c>
      <c r="AC115" s="1124">
        <f>12*$K115*'Crono Pessoal'!Y115/1000</f>
        <v>67.220546088000006</v>
      </c>
      <c r="AD115" s="1124">
        <f>12*$K115*'Crono Pessoal'!Z115/1000</f>
        <v>67.220546088000006</v>
      </c>
      <c r="AE115" s="1124">
        <f>12*$K115*'Crono Pessoal'!AA115/1000</f>
        <v>67.220546088000006</v>
      </c>
      <c r="AF115" s="1124">
        <f>12*$K115*'Crono Pessoal'!AB115/1000</f>
        <v>67.220546088000006</v>
      </c>
      <c r="AG115" s="1124">
        <f>12*$K115*'Crono Pessoal'!AC115/1000</f>
        <v>67.220546088000006</v>
      </c>
      <c r="AH115" s="1124">
        <f>12*$K115*'Crono Pessoal'!AD115/1000</f>
        <v>67.220546088000006</v>
      </c>
      <c r="AI115" s="1124">
        <f>12*$K115*'Crono Pessoal'!AE115/1000</f>
        <v>67.220546088000006</v>
      </c>
      <c r="AJ115" s="1124">
        <f>12*$K115*'Crono Pessoal'!AF115/1000</f>
        <v>67.220546088000006</v>
      </c>
      <c r="AK115" s="1124">
        <f>12*$K115*'Crono Pessoal'!AG115/1000</f>
        <v>67.220546088000006</v>
      </c>
      <c r="AL115" s="1124">
        <f>12*$K115*'Crono Pessoal'!AH115/1000</f>
        <v>67.220546088000006</v>
      </c>
      <c r="AM115" s="1124">
        <f>12*$K115*'Crono Pessoal'!AI115/1000</f>
        <v>67.220546088000006</v>
      </c>
      <c r="AN115" s="1124">
        <f>12*$K115*'Crono Pessoal'!AJ115/1000</f>
        <v>67.220546088000006</v>
      </c>
      <c r="AO115" s="1124">
        <f>12*$K115*'Crono Pessoal'!AK115/1000</f>
        <v>67.220546088000006</v>
      </c>
      <c r="AP115" s="1124">
        <f>12*$K115*'Crono Pessoal'!AL115/1000</f>
        <v>67.220546088000006</v>
      </c>
    </row>
    <row r="116" spans="1:42">
      <c r="A116" s="595"/>
      <c r="B116" s="598"/>
      <c r="C116" s="599"/>
      <c r="D116" s="260" t="s">
        <v>750</v>
      </c>
      <c r="E116" s="260">
        <v>1</v>
      </c>
      <c r="F116" s="1129" t="s">
        <v>841</v>
      </c>
      <c r="G116" s="1120" t="str">
        <f>VLOOKUP($F116,SALARIOSS!$D$6:$H$203,2,0)</f>
        <v>Engenheiro de Faixa de Domínio</v>
      </c>
      <c r="H116" s="1121">
        <f>VLOOKUP($F116,SALARIOSS!$D$6:$I$203,6,0)</f>
        <v>10981.17</v>
      </c>
      <c r="I116" s="1121">
        <f>VLOOKUP($F116,Funções!$D$9:$K$200,5,0)+VLOOKUP($F116,Funções!$D$9:$K$200,6,0)</f>
        <v>10629.614225000001</v>
      </c>
      <c r="J116" s="1121">
        <f>VLOOKUP($F116,Funções!$D$9:$K$200,7,0)</f>
        <v>95</v>
      </c>
      <c r="K116" s="1122">
        <f t="shared" si="4"/>
        <v>21705.784225000003</v>
      </c>
      <c r="L116" s="1123">
        <f t="shared" si="5"/>
        <v>7814.0823209999944</v>
      </c>
      <c r="M116" s="1124">
        <f>12*$K116*'Crono Pessoal'!I116/1000</f>
        <v>260.46941070000003</v>
      </c>
      <c r="N116" s="1124">
        <f>12*$K116*'Crono Pessoal'!J116/1000</f>
        <v>260.46941070000003</v>
      </c>
      <c r="O116" s="1124">
        <f>12*$K116*'Crono Pessoal'!K116/1000</f>
        <v>260.46941070000003</v>
      </c>
      <c r="P116" s="1124">
        <f>12*$K116*'Crono Pessoal'!L116/1000</f>
        <v>260.46941070000003</v>
      </c>
      <c r="Q116" s="1124">
        <f>12*$K116*'Crono Pessoal'!M116/1000</f>
        <v>260.46941070000003</v>
      </c>
      <c r="R116" s="1124">
        <f>12*$K116*'Crono Pessoal'!N116/1000</f>
        <v>260.46941070000003</v>
      </c>
      <c r="S116" s="1124">
        <f>12*$K116*'Crono Pessoal'!O116/1000</f>
        <v>260.46941070000003</v>
      </c>
      <c r="T116" s="1124">
        <f>12*$K116*'Crono Pessoal'!P116/1000</f>
        <v>260.46941070000003</v>
      </c>
      <c r="U116" s="1124">
        <f>12*$K116*'Crono Pessoal'!Q116/1000</f>
        <v>260.46941070000003</v>
      </c>
      <c r="V116" s="1124">
        <f>12*$K116*'Crono Pessoal'!R116/1000</f>
        <v>260.46941070000003</v>
      </c>
      <c r="W116" s="1124">
        <f>12*$K116*'Crono Pessoal'!S116/1000</f>
        <v>260.46941070000003</v>
      </c>
      <c r="X116" s="1124">
        <f>12*$K116*'Crono Pessoal'!T116/1000</f>
        <v>260.46941070000003</v>
      </c>
      <c r="Y116" s="1124">
        <f>12*$K116*'Crono Pessoal'!U116/1000</f>
        <v>260.46941070000003</v>
      </c>
      <c r="Z116" s="1124">
        <f>12*$K116*'Crono Pessoal'!V116/1000</f>
        <v>260.46941070000003</v>
      </c>
      <c r="AA116" s="1124">
        <f>12*$K116*'Crono Pessoal'!W116/1000</f>
        <v>260.46941070000003</v>
      </c>
      <c r="AB116" s="1124">
        <f>12*$K116*'Crono Pessoal'!X116/1000</f>
        <v>260.46941070000003</v>
      </c>
      <c r="AC116" s="1124">
        <f>12*$K116*'Crono Pessoal'!Y116/1000</f>
        <v>260.46941070000003</v>
      </c>
      <c r="AD116" s="1124">
        <f>12*$K116*'Crono Pessoal'!Z116/1000</f>
        <v>260.46941070000003</v>
      </c>
      <c r="AE116" s="1124">
        <f>12*$K116*'Crono Pessoal'!AA116/1000</f>
        <v>260.46941070000003</v>
      </c>
      <c r="AF116" s="1124">
        <f>12*$K116*'Crono Pessoal'!AB116/1000</f>
        <v>260.46941070000003</v>
      </c>
      <c r="AG116" s="1124">
        <f>12*$K116*'Crono Pessoal'!AC116/1000</f>
        <v>260.46941070000003</v>
      </c>
      <c r="AH116" s="1124">
        <f>12*$K116*'Crono Pessoal'!AD116/1000</f>
        <v>260.46941070000003</v>
      </c>
      <c r="AI116" s="1124">
        <f>12*$K116*'Crono Pessoal'!AE116/1000</f>
        <v>260.46941070000003</v>
      </c>
      <c r="AJ116" s="1124">
        <f>12*$K116*'Crono Pessoal'!AF116/1000</f>
        <v>260.46941070000003</v>
      </c>
      <c r="AK116" s="1124">
        <f>12*$K116*'Crono Pessoal'!AG116/1000</f>
        <v>260.46941070000003</v>
      </c>
      <c r="AL116" s="1124">
        <f>12*$K116*'Crono Pessoal'!AH116/1000</f>
        <v>260.46941070000003</v>
      </c>
      <c r="AM116" s="1124">
        <f>12*$K116*'Crono Pessoal'!AI116/1000</f>
        <v>260.46941070000003</v>
      </c>
      <c r="AN116" s="1124">
        <f>12*$K116*'Crono Pessoal'!AJ116/1000</f>
        <v>260.46941070000003</v>
      </c>
      <c r="AO116" s="1124">
        <f>12*$K116*'Crono Pessoal'!AK116/1000</f>
        <v>260.46941070000003</v>
      </c>
      <c r="AP116" s="1124">
        <f>12*$K116*'Crono Pessoal'!AL116/1000</f>
        <v>260.46941070000003</v>
      </c>
    </row>
    <row r="117" spans="1:42">
      <c r="A117" s="595"/>
      <c r="B117" s="598"/>
      <c r="C117" s="599"/>
      <c r="D117" s="260" t="s">
        <v>750</v>
      </c>
      <c r="E117" s="260">
        <v>1</v>
      </c>
      <c r="F117" s="1129" t="s">
        <v>842</v>
      </c>
      <c r="G117" s="1120" t="str">
        <f>VLOOKUP($F117,SALARIOSS!$D$6:$H$203,2,0)</f>
        <v>Engenheiro de Tráfego</v>
      </c>
      <c r="H117" s="1121">
        <f>VLOOKUP($F117,SALARIOSS!$D$6:$I$203,6,0)</f>
        <v>10981.17</v>
      </c>
      <c r="I117" s="1121">
        <f>VLOOKUP($F117,Funções!$D$9:$K$200,5,0)+VLOOKUP($F117,Funções!$D$9:$K$200,6,0)</f>
        <v>10629.614225000001</v>
      </c>
      <c r="J117" s="1121">
        <f>VLOOKUP($F117,Funções!$D$9:$K$200,7,0)</f>
        <v>95</v>
      </c>
      <c r="K117" s="1122">
        <f t="shared" si="4"/>
        <v>21705.784225000003</v>
      </c>
      <c r="L117" s="1123">
        <f t="shared" si="5"/>
        <v>7814.0823209999944</v>
      </c>
      <c r="M117" s="1124">
        <f>12*$K117*'Crono Pessoal'!I117/1000</f>
        <v>260.46941070000003</v>
      </c>
      <c r="N117" s="1124">
        <f>12*$K117*'Crono Pessoal'!J117/1000</f>
        <v>260.46941070000003</v>
      </c>
      <c r="O117" s="1124">
        <f>12*$K117*'Crono Pessoal'!K117/1000</f>
        <v>260.46941070000003</v>
      </c>
      <c r="P117" s="1124">
        <f>12*$K117*'Crono Pessoal'!L117/1000</f>
        <v>260.46941070000003</v>
      </c>
      <c r="Q117" s="1124">
        <f>12*$K117*'Crono Pessoal'!M117/1000</f>
        <v>260.46941070000003</v>
      </c>
      <c r="R117" s="1124">
        <f>12*$K117*'Crono Pessoal'!N117/1000</f>
        <v>260.46941070000003</v>
      </c>
      <c r="S117" s="1124">
        <f>12*$K117*'Crono Pessoal'!O117/1000</f>
        <v>260.46941070000003</v>
      </c>
      <c r="T117" s="1124">
        <f>12*$K117*'Crono Pessoal'!P117/1000</f>
        <v>260.46941070000003</v>
      </c>
      <c r="U117" s="1124">
        <f>12*$K117*'Crono Pessoal'!Q117/1000</f>
        <v>260.46941070000003</v>
      </c>
      <c r="V117" s="1124">
        <f>12*$K117*'Crono Pessoal'!R117/1000</f>
        <v>260.46941070000003</v>
      </c>
      <c r="W117" s="1124">
        <f>12*$K117*'Crono Pessoal'!S117/1000</f>
        <v>260.46941070000003</v>
      </c>
      <c r="X117" s="1124">
        <f>12*$K117*'Crono Pessoal'!T117/1000</f>
        <v>260.46941070000003</v>
      </c>
      <c r="Y117" s="1124">
        <f>12*$K117*'Crono Pessoal'!U117/1000</f>
        <v>260.46941070000003</v>
      </c>
      <c r="Z117" s="1124">
        <f>12*$K117*'Crono Pessoal'!V117/1000</f>
        <v>260.46941070000003</v>
      </c>
      <c r="AA117" s="1124">
        <f>12*$K117*'Crono Pessoal'!W117/1000</f>
        <v>260.46941070000003</v>
      </c>
      <c r="AB117" s="1124">
        <f>12*$K117*'Crono Pessoal'!X117/1000</f>
        <v>260.46941070000003</v>
      </c>
      <c r="AC117" s="1124">
        <f>12*$K117*'Crono Pessoal'!Y117/1000</f>
        <v>260.46941070000003</v>
      </c>
      <c r="AD117" s="1124">
        <f>12*$K117*'Crono Pessoal'!Z117/1000</f>
        <v>260.46941070000003</v>
      </c>
      <c r="AE117" s="1124">
        <f>12*$K117*'Crono Pessoal'!AA117/1000</f>
        <v>260.46941070000003</v>
      </c>
      <c r="AF117" s="1124">
        <f>12*$K117*'Crono Pessoal'!AB117/1000</f>
        <v>260.46941070000003</v>
      </c>
      <c r="AG117" s="1124">
        <f>12*$K117*'Crono Pessoal'!AC117/1000</f>
        <v>260.46941070000003</v>
      </c>
      <c r="AH117" s="1124">
        <f>12*$K117*'Crono Pessoal'!AD117/1000</f>
        <v>260.46941070000003</v>
      </c>
      <c r="AI117" s="1124">
        <f>12*$K117*'Crono Pessoal'!AE117/1000</f>
        <v>260.46941070000003</v>
      </c>
      <c r="AJ117" s="1124">
        <f>12*$K117*'Crono Pessoal'!AF117/1000</f>
        <v>260.46941070000003</v>
      </c>
      <c r="AK117" s="1124">
        <f>12*$K117*'Crono Pessoal'!AG117/1000</f>
        <v>260.46941070000003</v>
      </c>
      <c r="AL117" s="1124">
        <f>12*$K117*'Crono Pessoal'!AH117/1000</f>
        <v>260.46941070000003</v>
      </c>
      <c r="AM117" s="1124">
        <f>12*$K117*'Crono Pessoal'!AI117/1000</f>
        <v>260.46941070000003</v>
      </c>
      <c r="AN117" s="1124">
        <f>12*$K117*'Crono Pessoal'!AJ117/1000</f>
        <v>260.46941070000003</v>
      </c>
      <c r="AO117" s="1124">
        <f>12*$K117*'Crono Pessoal'!AK117/1000</f>
        <v>260.46941070000003</v>
      </c>
      <c r="AP117" s="1124">
        <f>12*$K117*'Crono Pessoal'!AL117/1000</f>
        <v>260.46941070000003</v>
      </c>
    </row>
    <row r="118" spans="1:42">
      <c r="A118" s="595"/>
      <c r="B118" s="598"/>
      <c r="C118" s="599"/>
      <c r="D118" s="260" t="s">
        <v>750</v>
      </c>
      <c r="E118" s="260">
        <v>1</v>
      </c>
      <c r="F118" s="1129" t="s">
        <v>843</v>
      </c>
      <c r="G118" s="1120" t="str">
        <f>VLOOKUP($F118,SALARIOSS!$D$6:$H$203,2,0)</f>
        <v>Cadista</v>
      </c>
      <c r="H118" s="1121">
        <f>VLOOKUP($F118,SALARIOSS!$D$6:$I$203,6,0)</f>
        <v>2943.0738449999999</v>
      </c>
      <c r="I118" s="1121">
        <f>VLOOKUP($F118,Funções!$D$9:$K$200,5,0)+VLOOKUP($F118,Funções!$D$9:$K$200,6,0)</f>
        <v>3455.6134066625</v>
      </c>
      <c r="J118" s="1121">
        <f>VLOOKUP($F118,Funções!$D$9:$K$200,7,0)</f>
        <v>95</v>
      </c>
      <c r="K118" s="1122">
        <f t="shared" si="4"/>
        <v>6493.6872516624999</v>
      </c>
      <c r="L118" s="1123">
        <f t="shared" si="5"/>
        <v>0</v>
      </c>
      <c r="M118" s="1124">
        <f>12*$K118*'Crono Pessoal'!I118/1000</f>
        <v>0</v>
      </c>
      <c r="N118" s="1124">
        <f>12*$K118*'Crono Pessoal'!J118/1000</f>
        <v>0</v>
      </c>
      <c r="O118" s="1124">
        <f>12*$K118*'Crono Pessoal'!K118/1000</f>
        <v>0</v>
      </c>
      <c r="P118" s="1124">
        <f>12*$K118*'Crono Pessoal'!L118/1000</f>
        <v>0</v>
      </c>
      <c r="Q118" s="1124">
        <f>12*$K118*'Crono Pessoal'!M118/1000</f>
        <v>0</v>
      </c>
      <c r="R118" s="1124">
        <f>12*$K118*'Crono Pessoal'!N118/1000</f>
        <v>0</v>
      </c>
      <c r="S118" s="1124">
        <f>12*$K118*'Crono Pessoal'!O118/1000</f>
        <v>0</v>
      </c>
      <c r="T118" s="1124">
        <f>12*$K118*'Crono Pessoal'!P118/1000</f>
        <v>0</v>
      </c>
      <c r="U118" s="1124">
        <f>12*$K118*'Crono Pessoal'!Q118/1000</f>
        <v>0</v>
      </c>
      <c r="V118" s="1124">
        <f>12*$K118*'Crono Pessoal'!R118/1000</f>
        <v>0</v>
      </c>
      <c r="W118" s="1124">
        <f>12*$K118*'Crono Pessoal'!S118/1000</f>
        <v>0</v>
      </c>
      <c r="X118" s="1124">
        <f>12*$K118*'Crono Pessoal'!T118/1000</f>
        <v>0</v>
      </c>
      <c r="Y118" s="1124">
        <f>12*$K118*'Crono Pessoal'!U118/1000</f>
        <v>0</v>
      </c>
      <c r="Z118" s="1124">
        <f>12*$K118*'Crono Pessoal'!V118/1000</f>
        <v>0</v>
      </c>
      <c r="AA118" s="1124">
        <f>12*$K118*'Crono Pessoal'!W118/1000</f>
        <v>0</v>
      </c>
      <c r="AB118" s="1124">
        <f>12*$K118*'Crono Pessoal'!X118/1000</f>
        <v>0</v>
      </c>
      <c r="AC118" s="1124">
        <f>12*$K118*'Crono Pessoal'!Y118/1000</f>
        <v>0</v>
      </c>
      <c r="AD118" s="1124">
        <f>12*$K118*'Crono Pessoal'!Z118/1000</f>
        <v>0</v>
      </c>
      <c r="AE118" s="1124">
        <f>12*$K118*'Crono Pessoal'!AA118/1000</f>
        <v>0</v>
      </c>
      <c r="AF118" s="1124">
        <f>12*$K118*'Crono Pessoal'!AB118/1000</f>
        <v>0</v>
      </c>
      <c r="AG118" s="1124">
        <f>12*$K118*'Crono Pessoal'!AC118/1000</f>
        <v>0</v>
      </c>
      <c r="AH118" s="1124">
        <f>12*$K118*'Crono Pessoal'!AD118/1000</f>
        <v>0</v>
      </c>
      <c r="AI118" s="1124">
        <f>12*$K118*'Crono Pessoal'!AE118/1000</f>
        <v>0</v>
      </c>
      <c r="AJ118" s="1124">
        <f>12*$K118*'Crono Pessoal'!AF118/1000</f>
        <v>0</v>
      </c>
      <c r="AK118" s="1124">
        <f>12*$K118*'Crono Pessoal'!AG118/1000</f>
        <v>0</v>
      </c>
      <c r="AL118" s="1124">
        <f>12*$K118*'Crono Pessoal'!AH118/1000</f>
        <v>0</v>
      </c>
      <c r="AM118" s="1124">
        <f>12*$K118*'Crono Pessoal'!AI118/1000</f>
        <v>0</v>
      </c>
      <c r="AN118" s="1124">
        <f>12*$K118*'Crono Pessoal'!AJ118/1000</f>
        <v>0</v>
      </c>
      <c r="AO118" s="1124">
        <f>12*$K118*'Crono Pessoal'!AK118/1000</f>
        <v>0</v>
      </c>
      <c r="AP118" s="1124">
        <f>12*$K118*'Crono Pessoal'!AL118/1000</f>
        <v>0</v>
      </c>
    </row>
    <row r="119" spans="1:42">
      <c r="A119" s="595"/>
      <c r="B119" s="598"/>
      <c r="C119" s="599"/>
      <c r="D119" s="260" t="s">
        <v>750</v>
      </c>
      <c r="E119" s="260"/>
      <c r="F119" s="1129"/>
      <c r="G119" s="1126" t="s">
        <v>844</v>
      </c>
      <c r="H119" s="1121"/>
      <c r="I119" s="1121"/>
      <c r="J119" s="1121"/>
      <c r="K119" s="1122"/>
      <c r="L119" s="1123"/>
      <c r="M119" s="1124"/>
      <c r="N119" s="1124"/>
      <c r="O119" s="1124"/>
      <c r="P119" s="1124"/>
      <c r="Q119" s="1124"/>
      <c r="R119" s="1124"/>
      <c r="S119" s="1124"/>
      <c r="T119" s="1124"/>
      <c r="U119" s="1124"/>
      <c r="V119" s="1124"/>
      <c r="W119" s="1124"/>
      <c r="X119" s="1124"/>
      <c r="Y119" s="1124"/>
      <c r="Z119" s="1124"/>
      <c r="AA119" s="1124"/>
      <c r="AB119" s="1124"/>
      <c r="AC119" s="1124"/>
      <c r="AD119" s="1124"/>
      <c r="AE119" s="1124"/>
      <c r="AF119" s="1124"/>
      <c r="AG119" s="1124"/>
      <c r="AH119" s="1124"/>
      <c r="AI119" s="1124"/>
      <c r="AJ119" s="1124"/>
      <c r="AK119" s="1124"/>
      <c r="AL119" s="1124"/>
      <c r="AM119" s="1124"/>
      <c r="AN119" s="1124"/>
      <c r="AO119" s="1124"/>
      <c r="AP119" s="1124"/>
    </row>
    <row r="120" spans="1:42">
      <c r="A120" s="595"/>
      <c r="B120" s="598"/>
      <c r="C120" s="599"/>
      <c r="D120" s="260" t="s">
        <v>750</v>
      </c>
      <c r="E120" s="260">
        <v>1</v>
      </c>
      <c r="F120" s="1129" t="s">
        <v>828</v>
      </c>
      <c r="G120" s="1120" t="str">
        <f>VLOOKUP($F120,SALARIOSS!$D$6:$H$203,2,0)</f>
        <v>Engenheiro Coordenador Técnico</v>
      </c>
      <c r="H120" s="1121">
        <f>VLOOKUP($F120,SALARIOSS!$D$6:$I$203,6,0)</f>
        <v>14829.916860000001</v>
      </c>
      <c r="I120" s="1121">
        <f>VLOOKUP($F120,Funções!$D$9:$K$200,5,0)+VLOOKUP($F120,Funções!$D$9:$K$200,6,0)</f>
        <v>14064.620797550002</v>
      </c>
      <c r="J120" s="1121">
        <f>VLOOKUP($F120,Funções!$D$9:$K$200,7,0)</f>
        <v>95</v>
      </c>
      <c r="K120" s="1122">
        <f>SUM(H120:J120)</f>
        <v>28989.537657550005</v>
      </c>
      <c r="L120" s="1123">
        <f>SUM(M120:AP120)</f>
        <v>10436.233556718</v>
      </c>
      <c r="M120" s="1124">
        <f>12*$K120*'Crono Pessoal'!I120/1000</f>
        <v>347.87445189060003</v>
      </c>
      <c r="N120" s="1124">
        <f>12*$K120*'Crono Pessoal'!J120/1000</f>
        <v>347.87445189060003</v>
      </c>
      <c r="O120" s="1124">
        <f>12*$K120*'Crono Pessoal'!K120/1000</f>
        <v>347.87445189060003</v>
      </c>
      <c r="P120" s="1124">
        <f>12*$K120*'Crono Pessoal'!L120/1000</f>
        <v>347.87445189060003</v>
      </c>
      <c r="Q120" s="1124">
        <f>12*$K120*'Crono Pessoal'!M120/1000</f>
        <v>347.87445189060003</v>
      </c>
      <c r="R120" s="1124">
        <f>12*$K120*'Crono Pessoal'!N120/1000</f>
        <v>347.87445189060003</v>
      </c>
      <c r="S120" s="1124">
        <f>12*$K120*'Crono Pessoal'!O120/1000</f>
        <v>347.87445189060003</v>
      </c>
      <c r="T120" s="1124">
        <f>12*$K120*'Crono Pessoal'!P120/1000</f>
        <v>347.87445189060003</v>
      </c>
      <c r="U120" s="1124">
        <f>12*$K120*'Crono Pessoal'!Q120/1000</f>
        <v>347.87445189060003</v>
      </c>
      <c r="V120" s="1124">
        <f>12*$K120*'Crono Pessoal'!R120/1000</f>
        <v>347.87445189060003</v>
      </c>
      <c r="W120" s="1124">
        <f>12*$K120*'Crono Pessoal'!S120/1000</f>
        <v>347.87445189060003</v>
      </c>
      <c r="X120" s="1124">
        <f>12*$K120*'Crono Pessoal'!T120/1000</f>
        <v>347.87445189060003</v>
      </c>
      <c r="Y120" s="1124">
        <f>12*$K120*'Crono Pessoal'!U120/1000</f>
        <v>347.87445189060003</v>
      </c>
      <c r="Z120" s="1124">
        <f>12*$K120*'Crono Pessoal'!V120/1000</f>
        <v>347.87445189060003</v>
      </c>
      <c r="AA120" s="1124">
        <f>12*$K120*'Crono Pessoal'!W120/1000</f>
        <v>347.87445189060003</v>
      </c>
      <c r="AB120" s="1124">
        <f>12*$K120*'Crono Pessoal'!X120/1000</f>
        <v>347.87445189060003</v>
      </c>
      <c r="AC120" s="1124">
        <f>12*$K120*'Crono Pessoal'!Y120/1000</f>
        <v>347.87445189060003</v>
      </c>
      <c r="AD120" s="1124">
        <f>12*$K120*'Crono Pessoal'!Z120/1000</f>
        <v>347.87445189060003</v>
      </c>
      <c r="AE120" s="1124">
        <f>12*$K120*'Crono Pessoal'!AA120/1000</f>
        <v>347.87445189060003</v>
      </c>
      <c r="AF120" s="1124">
        <f>12*$K120*'Crono Pessoal'!AB120/1000</f>
        <v>347.87445189060003</v>
      </c>
      <c r="AG120" s="1124">
        <f>12*$K120*'Crono Pessoal'!AC120/1000</f>
        <v>347.87445189060003</v>
      </c>
      <c r="AH120" s="1124">
        <f>12*$K120*'Crono Pessoal'!AD120/1000</f>
        <v>347.87445189060003</v>
      </c>
      <c r="AI120" s="1124">
        <f>12*$K120*'Crono Pessoal'!AE120/1000</f>
        <v>347.87445189060003</v>
      </c>
      <c r="AJ120" s="1124">
        <f>12*$K120*'Crono Pessoal'!AF120/1000</f>
        <v>347.87445189060003</v>
      </c>
      <c r="AK120" s="1124">
        <f>12*$K120*'Crono Pessoal'!AG120/1000</f>
        <v>347.87445189060003</v>
      </c>
      <c r="AL120" s="1124">
        <f>12*$K120*'Crono Pessoal'!AH120/1000</f>
        <v>347.87445189060003</v>
      </c>
      <c r="AM120" s="1124">
        <f>12*$K120*'Crono Pessoal'!AI120/1000</f>
        <v>347.87445189060003</v>
      </c>
      <c r="AN120" s="1124">
        <f>12*$K120*'Crono Pessoal'!AJ120/1000</f>
        <v>347.87445189060003</v>
      </c>
      <c r="AO120" s="1124">
        <f>12*$K120*'Crono Pessoal'!AK120/1000</f>
        <v>347.87445189060003</v>
      </c>
      <c r="AP120" s="1124">
        <f>12*$K120*'Crono Pessoal'!AL120/1000</f>
        <v>347.87445189060003</v>
      </c>
    </row>
    <row r="121" spans="1:42">
      <c r="A121" s="595"/>
      <c r="B121" s="598"/>
      <c r="C121" s="599"/>
      <c r="D121" s="260" t="s">
        <v>750</v>
      </c>
      <c r="E121" s="260">
        <v>1</v>
      </c>
      <c r="F121" s="1129" t="s">
        <v>835</v>
      </c>
      <c r="G121" s="1120" t="str">
        <f>VLOOKUP($F121,SALARIOSS!$D$6:$H$203,2,0)</f>
        <v>Engenheiro Civil Senior</v>
      </c>
      <c r="H121" s="1121">
        <f>VLOOKUP($F121,SALARIOSS!$D$6:$I$203,6,0)</f>
        <v>11675.936835</v>
      </c>
      <c r="I121" s="1121">
        <f>VLOOKUP($F121,Funções!$D$9:$K$200,5,0)+VLOOKUP($F121,Funções!$D$9:$K$200,6,0)</f>
        <v>11249.693625237502</v>
      </c>
      <c r="J121" s="1121">
        <f>VLOOKUP($F121,Funções!$D$9:$K$200,7,0)</f>
        <v>95</v>
      </c>
      <c r="K121" s="1122">
        <f>SUM(H121:J121)</f>
        <v>23020.630460237502</v>
      </c>
      <c r="L121" s="1123">
        <f>SUM(M121:AP121)</f>
        <v>8287.4269656855013</v>
      </c>
      <c r="M121" s="1124">
        <f>12*$K121*'Crono Pessoal'!I121/1000</f>
        <v>276.24756552285004</v>
      </c>
      <c r="N121" s="1124">
        <f>12*$K121*'Crono Pessoal'!J121/1000</f>
        <v>276.24756552285004</v>
      </c>
      <c r="O121" s="1124">
        <f>12*$K121*'Crono Pessoal'!K121/1000</f>
        <v>276.24756552285004</v>
      </c>
      <c r="P121" s="1124">
        <f>12*$K121*'Crono Pessoal'!L121/1000</f>
        <v>276.24756552285004</v>
      </c>
      <c r="Q121" s="1124">
        <f>12*$K121*'Crono Pessoal'!M121/1000</f>
        <v>276.24756552285004</v>
      </c>
      <c r="R121" s="1124">
        <f>12*$K121*'Crono Pessoal'!N121/1000</f>
        <v>276.24756552285004</v>
      </c>
      <c r="S121" s="1124">
        <f>12*$K121*'Crono Pessoal'!O121/1000</f>
        <v>276.24756552285004</v>
      </c>
      <c r="T121" s="1124">
        <f>12*$K121*'Crono Pessoal'!P121/1000</f>
        <v>276.24756552285004</v>
      </c>
      <c r="U121" s="1124">
        <f>12*$K121*'Crono Pessoal'!Q121/1000</f>
        <v>276.24756552285004</v>
      </c>
      <c r="V121" s="1124">
        <f>12*$K121*'Crono Pessoal'!R121/1000</f>
        <v>276.24756552285004</v>
      </c>
      <c r="W121" s="1124">
        <f>12*$K121*'Crono Pessoal'!S121/1000</f>
        <v>276.24756552285004</v>
      </c>
      <c r="X121" s="1124">
        <f>12*$K121*'Crono Pessoal'!T121/1000</f>
        <v>276.24756552285004</v>
      </c>
      <c r="Y121" s="1124">
        <f>12*$K121*'Crono Pessoal'!U121/1000</f>
        <v>276.24756552285004</v>
      </c>
      <c r="Z121" s="1124">
        <f>12*$K121*'Crono Pessoal'!V121/1000</f>
        <v>276.24756552285004</v>
      </c>
      <c r="AA121" s="1124">
        <f>12*$K121*'Crono Pessoal'!W121/1000</f>
        <v>276.24756552285004</v>
      </c>
      <c r="AB121" s="1124">
        <f>12*$K121*'Crono Pessoal'!X121/1000</f>
        <v>276.24756552285004</v>
      </c>
      <c r="AC121" s="1124">
        <f>12*$K121*'Crono Pessoal'!Y121/1000</f>
        <v>276.24756552285004</v>
      </c>
      <c r="AD121" s="1124">
        <f>12*$K121*'Crono Pessoal'!Z121/1000</f>
        <v>276.24756552285004</v>
      </c>
      <c r="AE121" s="1124">
        <f>12*$K121*'Crono Pessoal'!AA121/1000</f>
        <v>276.24756552285004</v>
      </c>
      <c r="AF121" s="1124">
        <f>12*$K121*'Crono Pessoal'!AB121/1000</f>
        <v>276.24756552285004</v>
      </c>
      <c r="AG121" s="1124">
        <f>12*$K121*'Crono Pessoal'!AC121/1000</f>
        <v>276.24756552285004</v>
      </c>
      <c r="AH121" s="1124">
        <f>12*$K121*'Crono Pessoal'!AD121/1000</f>
        <v>276.24756552285004</v>
      </c>
      <c r="AI121" s="1124">
        <f>12*$K121*'Crono Pessoal'!AE121/1000</f>
        <v>276.24756552285004</v>
      </c>
      <c r="AJ121" s="1124">
        <f>12*$K121*'Crono Pessoal'!AF121/1000</f>
        <v>276.24756552285004</v>
      </c>
      <c r="AK121" s="1124">
        <f>12*$K121*'Crono Pessoal'!AG121/1000</f>
        <v>276.24756552285004</v>
      </c>
      <c r="AL121" s="1124">
        <f>12*$K121*'Crono Pessoal'!AH121/1000</f>
        <v>276.24756552285004</v>
      </c>
      <c r="AM121" s="1124">
        <f>12*$K121*'Crono Pessoal'!AI121/1000</f>
        <v>276.24756552285004</v>
      </c>
      <c r="AN121" s="1124">
        <f>12*$K121*'Crono Pessoal'!AJ121/1000</f>
        <v>276.24756552285004</v>
      </c>
      <c r="AO121" s="1124">
        <f>12*$K121*'Crono Pessoal'!AK121/1000</f>
        <v>276.24756552285004</v>
      </c>
      <c r="AP121" s="1124">
        <f>12*$K121*'Crono Pessoal'!AL121/1000</f>
        <v>276.24756552285004</v>
      </c>
    </row>
    <row r="122" spans="1:42">
      <c r="A122" s="595"/>
      <c r="B122" s="598"/>
      <c r="C122" s="599"/>
      <c r="D122" s="260" t="s">
        <v>750</v>
      </c>
      <c r="E122" s="260">
        <v>1</v>
      </c>
      <c r="F122" s="1129" t="s">
        <v>843</v>
      </c>
      <c r="G122" s="1120" t="str">
        <f>VLOOKUP($F122,SALARIOSS!$D$6:$H$203,2,0)</f>
        <v>Cadista</v>
      </c>
      <c r="H122" s="1121">
        <f>VLOOKUP($F122,SALARIOSS!$D$6:$I$203,6,0)</f>
        <v>2943.0738449999999</v>
      </c>
      <c r="I122" s="1121">
        <f>VLOOKUP($F122,Funções!$D$9:$K$200,5,0)+VLOOKUP($F122,Funções!$D$9:$K$200,6,0)</f>
        <v>3455.6134066625</v>
      </c>
      <c r="J122" s="1121">
        <f>VLOOKUP($F122,Funções!$D$9:$K$200,7,0)</f>
        <v>95</v>
      </c>
      <c r="K122" s="1122">
        <f>SUM(H122:J122)</f>
        <v>6493.6872516624999</v>
      </c>
      <c r="L122" s="1123">
        <f>SUM(M122:AP122)</f>
        <v>0</v>
      </c>
      <c r="M122" s="1124">
        <f>12*$K122*'Crono Pessoal'!I122/1000</f>
        <v>0</v>
      </c>
      <c r="N122" s="1124">
        <f>12*$K122*'Crono Pessoal'!J122/1000</f>
        <v>0</v>
      </c>
      <c r="O122" s="1124">
        <f>12*$K122*'Crono Pessoal'!K122/1000</f>
        <v>0</v>
      </c>
      <c r="P122" s="1124">
        <f>12*$K122*'Crono Pessoal'!L122/1000</f>
        <v>0</v>
      </c>
      <c r="Q122" s="1124">
        <f>12*$K122*'Crono Pessoal'!M122/1000</f>
        <v>0</v>
      </c>
      <c r="R122" s="1124">
        <f>12*$K122*'Crono Pessoal'!N122/1000</f>
        <v>0</v>
      </c>
      <c r="S122" s="1124">
        <f>12*$K122*'Crono Pessoal'!O122/1000</f>
        <v>0</v>
      </c>
      <c r="T122" s="1124">
        <f>12*$K122*'Crono Pessoal'!P122/1000</f>
        <v>0</v>
      </c>
      <c r="U122" s="1124">
        <f>12*$K122*'Crono Pessoal'!Q122/1000</f>
        <v>0</v>
      </c>
      <c r="V122" s="1124">
        <f>12*$K122*'Crono Pessoal'!R122/1000</f>
        <v>0</v>
      </c>
      <c r="W122" s="1124">
        <f>12*$K122*'Crono Pessoal'!S122/1000</f>
        <v>0</v>
      </c>
      <c r="X122" s="1124">
        <f>12*$K122*'Crono Pessoal'!T122/1000</f>
        <v>0</v>
      </c>
      <c r="Y122" s="1124">
        <f>12*$K122*'Crono Pessoal'!U122/1000</f>
        <v>0</v>
      </c>
      <c r="Z122" s="1124">
        <f>12*$K122*'Crono Pessoal'!V122/1000</f>
        <v>0</v>
      </c>
      <c r="AA122" s="1124">
        <f>12*$K122*'Crono Pessoal'!W122/1000</f>
        <v>0</v>
      </c>
      <c r="AB122" s="1124">
        <f>12*$K122*'Crono Pessoal'!X122/1000</f>
        <v>0</v>
      </c>
      <c r="AC122" s="1124">
        <f>12*$K122*'Crono Pessoal'!Y122/1000</f>
        <v>0</v>
      </c>
      <c r="AD122" s="1124">
        <f>12*$K122*'Crono Pessoal'!Z122/1000</f>
        <v>0</v>
      </c>
      <c r="AE122" s="1124">
        <f>12*$K122*'Crono Pessoal'!AA122/1000</f>
        <v>0</v>
      </c>
      <c r="AF122" s="1124">
        <f>12*$K122*'Crono Pessoal'!AB122/1000</f>
        <v>0</v>
      </c>
      <c r="AG122" s="1124">
        <f>12*$K122*'Crono Pessoal'!AC122/1000</f>
        <v>0</v>
      </c>
      <c r="AH122" s="1124">
        <f>12*$K122*'Crono Pessoal'!AD122/1000</f>
        <v>0</v>
      </c>
      <c r="AI122" s="1124">
        <f>12*$K122*'Crono Pessoal'!AE122/1000</f>
        <v>0</v>
      </c>
      <c r="AJ122" s="1124">
        <f>12*$K122*'Crono Pessoal'!AF122/1000</f>
        <v>0</v>
      </c>
      <c r="AK122" s="1124">
        <f>12*$K122*'Crono Pessoal'!AG122/1000</f>
        <v>0</v>
      </c>
      <c r="AL122" s="1124">
        <f>12*$K122*'Crono Pessoal'!AH122/1000</f>
        <v>0</v>
      </c>
      <c r="AM122" s="1124">
        <f>12*$K122*'Crono Pessoal'!AI122/1000</f>
        <v>0</v>
      </c>
      <c r="AN122" s="1124">
        <f>12*$K122*'Crono Pessoal'!AJ122/1000</f>
        <v>0</v>
      </c>
      <c r="AO122" s="1124">
        <f>12*$K122*'Crono Pessoal'!AK122/1000</f>
        <v>0</v>
      </c>
      <c r="AP122" s="1124">
        <f>12*$K122*'Crono Pessoal'!AL122/1000</f>
        <v>0</v>
      </c>
    </row>
    <row r="123" spans="1:42">
      <c r="A123" s="595"/>
      <c r="B123" s="598"/>
      <c r="C123" s="599"/>
      <c r="D123" s="260" t="s">
        <v>750</v>
      </c>
      <c r="E123" s="260">
        <v>1</v>
      </c>
      <c r="F123" s="1130" t="s">
        <v>788</v>
      </c>
      <c r="G123" s="1120" t="str">
        <f>VLOOKUP($F123,SALARIOSS!$D$6:$H$203,2,0)</f>
        <v>Auxiliar Técnico I</v>
      </c>
      <c r="H123" s="1121">
        <f>VLOOKUP($F123,SALARIOSS!$D$6:$I$203,6,0)</f>
        <v>1764.6417000000001</v>
      </c>
      <c r="I123" s="1121">
        <f>VLOOKUP($F123,Funções!$D$9:$K$200,5,0)+VLOOKUP($F123,Funções!$D$9:$K$200,6,0)</f>
        <v>2403.8627172500001</v>
      </c>
      <c r="J123" s="1121">
        <f>VLOOKUP($F123,Funções!$D$9:$K$200,7,0)</f>
        <v>95</v>
      </c>
      <c r="K123" s="1122">
        <f>SUM(H123:J123)</f>
        <v>4263.5044172500002</v>
      </c>
      <c r="L123" s="1123">
        <f>SUM(M123:AP123)</f>
        <v>1534.86159021</v>
      </c>
      <c r="M123" s="1124">
        <f>12*$K123*'Crono Pessoal'!I123/1000</f>
        <v>51.162053007000004</v>
      </c>
      <c r="N123" s="1124">
        <f>12*$K123*'Crono Pessoal'!J123/1000</f>
        <v>51.162053007000004</v>
      </c>
      <c r="O123" s="1124">
        <f>12*$K123*'Crono Pessoal'!K123/1000</f>
        <v>51.162053007000004</v>
      </c>
      <c r="P123" s="1124">
        <f>12*$K123*'Crono Pessoal'!L123/1000</f>
        <v>51.162053007000004</v>
      </c>
      <c r="Q123" s="1124">
        <f>12*$K123*'Crono Pessoal'!M123/1000</f>
        <v>51.162053007000004</v>
      </c>
      <c r="R123" s="1124">
        <f>12*$K123*'Crono Pessoal'!N123/1000</f>
        <v>51.162053007000004</v>
      </c>
      <c r="S123" s="1124">
        <f>12*$K123*'Crono Pessoal'!O123/1000</f>
        <v>51.162053007000004</v>
      </c>
      <c r="T123" s="1124">
        <f>12*$K123*'Crono Pessoal'!P123/1000</f>
        <v>51.162053007000004</v>
      </c>
      <c r="U123" s="1124">
        <f>12*$K123*'Crono Pessoal'!Q123/1000</f>
        <v>51.162053007000004</v>
      </c>
      <c r="V123" s="1124">
        <f>12*$K123*'Crono Pessoal'!R123/1000</f>
        <v>51.162053007000004</v>
      </c>
      <c r="W123" s="1124">
        <f>12*$K123*'Crono Pessoal'!S123/1000</f>
        <v>51.162053007000004</v>
      </c>
      <c r="X123" s="1124">
        <f>12*$K123*'Crono Pessoal'!T123/1000</f>
        <v>51.162053007000004</v>
      </c>
      <c r="Y123" s="1124">
        <f>12*$K123*'Crono Pessoal'!U123/1000</f>
        <v>51.162053007000004</v>
      </c>
      <c r="Z123" s="1124">
        <f>12*$K123*'Crono Pessoal'!V123/1000</f>
        <v>51.162053007000004</v>
      </c>
      <c r="AA123" s="1124">
        <f>12*$K123*'Crono Pessoal'!W123/1000</f>
        <v>51.162053007000004</v>
      </c>
      <c r="AB123" s="1124">
        <f>12*$K123*'Crono Pessoal'!X123/1000</f>
        <v>51.162053007000004</v>
      </c>
      <c r="AC123" s="1124">
        <f>12*$K123*'Crono Pessoal'!Y123/1000</f>
        <v>51.162053007000004</v>
      </c>
      <c r="AD123" s="1124">
        <f>12*$K123*'Crono Pessoal'!Z123/1000</f>
        <v>51.162053007000004</v>
      </c>
      <c r="AE123" s="1124">
        <f>12*$K123*'Crono Pessoal'!AA123/1000</f>
        <v>51.162053007000004</v>
      </c>
      <c r="AF123" s="1124">
        <f>12*$K123*'Crono Pessoal'!AB123/1000</f>
        <v>51.162053007000004</v>
      </c>
      <c r="AG123" s="1124">
        <f>12*$K123*'Crono Pessoal'!AC123/1000</f>
        <v>51.162053007000004</v>
      </c>
      <c r="AH123" s="1124">
        <f>12*$K123*'Crono Pessoal'!AD123/1000</f>
        <v>51.162053007000004</v>
      </c>
      <c r="AI123" s="1124">
        <f>12*$K123*'Crono Pessoal'!AE123/1000</f>
        <v>51.162053007000004</v>
      </c>
      <c r="AJ123" s="1124">
        <f>12*$K123*'Crono Pessoal'!AF123/1000</f>
        <v>51.162053007000004</v>
      </c>
      <c r="AK123" s="1124">
        <f>12*$K123*'Crono Pessoal'!AG123/1000</f>
        <v>51.162053007000004</v>
      </c>
      <c r="AL123" s="1124">
        <f>12*$K123*'Crono Pessoal'!AH123/1000</f>
        <v>51.162053007000004</v>
      </c>
      <c r="AM123" s="1124">
        <f>12*$K123*'Crono Pessoal'!AI123/1000</f>
        <v>51.162053007000004</v>
      </c>
      <c r="AN123" s="1124">
        <f>12*$K123*'Crono Pessoal'!AJ123/1000</f>
        <v>51.162053007000004</v>
      </c>
      <c r="AO123" s="1124">
        <f>12*$K123*'Crono Pessoal'!AK123/1000</f>
        <v>51.162053007000004</v>
      </c>
      <c r="AP123" s="1124">
        <f>12*$K123*'Crono Pessoal'!AL123/1000</f>
        <v>51.162053007000004</v>
      </c>
    </row>
    <row r="124" spans="1:42" s="624" customFormat="1">
      <c r="A124" s="609"/>
      <c r="B124" s="610"/>
      <c r="C124" s="611"/>
      <c r="D124" s="625"/>
      <c r="E124" s="625"/>
      <c r="F124" s="1112" t="s">
        <v>46</v>
      </c>
      <c r="G124" s="1113" t="s">
        <v>845</v>
      </c>
      <c r="H124" s="1114"/>
      <c r="I124" s="1114"/>
      <c r="J124" s="1114"/>
      <c r="K124" s="1114"/>
      <c r="L124" s="1114"/>
      <c r="M124" s="1115"/>
      <c r="N124" s="1115"/>
      <c r="O124" s="1115"/>
      <c r="P124" s="1115"/>
      <c r="Q124" s="1115"/>
      <c r="R124" s="1115"/>
      <c r="S124" s="1115"/>
      <c r="T124" s="1115"/>
      <c r="U124" s="1115"/>
      <c r="V124" s="1115"/>
      <c r="W124" s="1115"/>
      <c r="X124" s="1115"/>
      <c r="Y124" s="1115"/>
      <c r="Z124" s="1115"/>
      <c r="AA124" s="1115"/>
      <c r="AB124" s="1115"/>
      <c r="AC124" s="1115"/>
      <c r="AD124" s="1115"/>
      <c r="AE124" s="1115"/>
      <c r="AF124" s="1115"/>
      <c r="AG124" s="1115"/>
      <c r="AH124" s="1115"/>
      <c r="AI124" s="1115"/>
      <c r="AJ124" s="1115"/>
      <c r="AK124" s="1115"/>
      <c r="AL124" s="1115"/>
      <c r="AM124" s="1115"/>
      <c r="AN124" s="1115"/>
      <c r="AO124" s="1115"/>
      <c r="AP124" s="1115"/>
    </row>
    <row r="125" spans="1:42" s="624" customFormat="1">
      <c r="A125" s="609"/>
      <c r="B125" s="610"/>
      <c r="C125" s="611"/>
      <c r="D125" s="625"/>
      <c r="E125" s="625"/>
      <c r="F125" s="1131" t="s">
        <v>846</v>
      </c>
      <c r="G125" s="1113" t="s">
        <v>847</v>
      </c>
      <c r="H125" s="1113"/>
      <c r="I125" s="1113"/>
      <c r="J125" s="1113"/>
      <c r="K125" s="1113"/>
      <c r="L125" s="1118">
        <f t="shared" ref="L125:Y125" si="6">SUBTOTAL(9,L126:L184)</f>
        <v>203078.93536092737</v>
      </c>
      <c r="M125" s="1118">
        <f t="shared" si="6"/>
        <v>6277.1551223863453</v>
      </c>
      <c r="N125" s="1118">
        <f t="shared" si="6"/>
        <v>6934.4957681593451</v>
      </c>
      <c r="O125" s="1118">
        <f t="shared" si="6"/>
        <v>6934.4957681593451</v>
      </c>
      <c r="P125" s="1118">
        <f t="shared" si="6"/>
        <v>6934.4957681593451</v>
      </c>
      <c r="Q125" s="1118">
        <f t="shared" si="6"/>
        <v>6934.4957681593451</v>
      </c>
      <c r="R125" s="1118">
        <f t="shared" si="6"/>
        <v>6934.4957681593451</v>
      </c>
      <c r="S125" s="1118">
        <f t="shared" si="6"/>
        <v>6755.3875582393448</v>
      </c>
      <c r="T125" s="1118">
        <f t="shared" si="6"/>
        <v>6755.3875582393448</v>
      </c>
      <c r="U125" s="1118">
        <f t="shared" si="6"/>
        <v>6755.3875582393448</v>
      </c>
      <c r="V125" s="1118">
        <f t="shared" si="6"/>
        <v>6755.3875582393448</v>
      </c>
      <c r="W125" s="1118">
        <f t="shared" si="6"/>
        <v>6755.3875582393448</v>
      </c>
      <c r="X125" s="1118">
        <f t="shared" si="6"/>
        <v>6755.3875582393448</v>
      </c>
      <c r="Y125" s="1118">
        <f t="shared" si="6"/>
        <v>6755.3875582393448</v>
      </c>
      <c r="Z125" s="1118"/>
      <c r="AA125" s="1118"/>
      <c r="AB125" s="1118"/>
      <c r="AC125" s="1118"/>
      <c r="AD125" s="1118"/>
      <c r="AE125" s="1118"/>
      <c r="AF125" s="1118"/>
      <c r="AG125" s="1118"/>
      <c r="AH125" s="1118"/>
      <c r="AI125" s="1118"/>
      <c r="AJ125" s="1118"/>
      <c r="AK125" s="1118"/>
      <c r="AL125" s="1118"/>
      <c r="AM125" s="1118"/>
      <c r="AN125" s="1118"/>
      <c r="AO125" s="1118"/>
      <c r="AP125" s="1118"/>
    </row>
    <row r="126" spans="1:42">
      <c r="A126" s="595"/>
      <c r="B126" s="598"/>
      <c r="C126" s="599"/>
      <c r="D126" s="260" t="s">
        <v>750</v>
      </c>
      <c r="E126" s="260">
        <v>2</v>
      </c>
      <c r="F126" s="1129" t="s">
        <v>848</v>
      </c>
      <c r="G126" s="1132" t="str">
        <f>VLOOKUP($F126,SALARIOSS!$D$6:$H$203,2,0)</f>
        <v>Gerente de Operações</v>
      </c>
      <c r="H126" s="1121">
        <f>VLOOKUP($F126,SALARIOSS!$D$6:$I$203,6,0)</f>
        <v>17724.150000000001</v>
      </c>
      <c r="I126" s="1121">
        <f>VLOOKUP($F126,Funções!$D$9:$K$200,5,0)+VLOOKUP($F126,Funções!$D$9:$K$200,6,0)</f>
        <v>16647.723875000003</v>
      </c>
      <c r="J126" s="1121">
        <f>VLOOKUP($F126,Funções!$D$9:$K$200,7,0)</f>
        <v>95</v>
      </c>
      <c r="K126" s="1122">
        <f>SUM(H126:J126)</f>
        <v>34466.873875000005</v>
      </c>
      <c r="L126" s="1123">
        <f>SUM(M126:AP126)</f>
        <v>12408.074595</v>
      </c>
      <c r="M126" s="1124">
        <f>12*$K126*'Crono Pessoal'!I126/1000</f>
        <v>413.60248650000005</v>
      </c>
      <c r="N126" s="1124">
        <f>12*$K126*'Crono Pessoal'!J126/1000</f>
        <v>413.60248650000005</v>
      </c>
      <c r="O126" s="1124">
        <f>12*$K126*'Crono Pessoal'!K126/1000</f>
        <v>413.60248650000005</v>
      </c>
      <c r="P126" s="1124">
        <f>12*$K126*'Crono Pessoal'!L126/1000</f>
        <v>413.60248650000005</v>
      </c>
      <c r="Q126" s="1124">
        <f>12*$K126*'Crono Pessoal'!M126/1000</f>
        <v>413.60248650000005</v>
      </c>
      <c r="R126" s="1124">
        <f>12*$K126*'Crono Pessoal'!N126/1000</f>
        <v>413.60248650000005</v>
      </c>
      <c r="S126" s="1124">
        <f>12*$K126*'Crono Pessoal'!O126/1000</f>
        <v>413.60248650000005</v>
      </c>
      <c r="T126" s="1124">
        <f>12*$K126*'Crono Pessoal'!P126/1000</f>
        <v>413.60248650000005</v>
      </c>
      <c r="U126" s="1124">
        <f>12*$K126*'Crono Pessoal'!Q126/1000</f>
        <v>413.60248650000005</v>
      </c>
      <c r="V126" s="1124">
        <f>12*$K126*'Crono Pessoal'!R126/1000</f>
        <v>413.60248650000005</v>
      </c>
      <c r="W126" s="1124">
        <f>12*$K126*'Crono Pessoal'!S126/1000</f>
        <v>413.60248650000005</v>
      </c>
      <c r="X126" s="1124">
        <f>12*$K126*'Crono Pessoal'!T126/1000</f>
        <v>413.60248650000005</v>
      </c>
      <c r="Y126" s="1124">
        <f>12*$K126*'Crono Pessoal'!U126/1000</f>
        <v>413.60248650000005</v>
      </c>
      <c r="Z126" s="1124">
        <f>12*$K126*'Crono Pessoal'!V126/1000</f>
        <v>413.60248650000005</v>
      </c>
      <c r="AA126" s="1124">
        <f>12*$K126*'Crono Pessoal'!W126/1000</f>
        <v>413.60248650000005</v>
      </c>
      <c r="AB126" s="1124">
        <f>12*$K126*'Crono Pessoal'!X126/1000</f>
        <v>413.60248650000005</v>
      </c>
      <c r="AC126" s="1124">
        <f>12*$K126*'Crono Pessoal'!Y126/1000</f>
        <v>413.60248650000005</v>
      </c>
      <c r="AD126" s="1124">
        <f>12*$K126*'Crono Pessoal'!Z126/1000</f>
        <v>413.60248650000005</v>
      </c>
      <c r="AE126" s="1124">
        <f>12*$K126*'Crono Pessoal'!AA126/1000</f>
        <v>413.60248650000005</v>
      </c>
      <c r="AF126" s="1124">
        <f>12*$K126*'Crono Pessoal'!AB126/1000</f>
        <v>413.60248650000005</v>
      </c>
      <c r="AG126" s="1124">
        <f>12*$K126*'Crono Pessoal'!AC126/1000</f>
        <v>413.60248650000005</v>
      </c>
      <c r="AH126" s="1124">
        <f>12*$K126*'Crono Pessoal'!AD126/1000</f>
        <v>413.60248650000005</v>
      </c>
      <c r="AI126" s="1124">
        <f>12*$K126*'Crono Pessoal'!AE126/1000</f>
        <v>413.60248650000005</v>
      </c>
      <c r="AJ126" s="1124">
        <f>12*$K126*'Crono Pessoal'!AF126/1000</f>
        <v>413.60248650000005</v>
      </c>
      <c r="AK126" s="1124">
        <f>12*$K126*'Crono Pessoal'!AG126/1000</f>
        <v>413.60248650000005</v>
      </c>
      <c r="AL126" s="1124">
        <f>12*$K126*'Crono Pessoal'!AH126/1000</f>
        <v>413.60248650000005</v>
      </c>
      <c r="AM126" s="1124">
        <f>12*$K126*'Crono Pessoal'!AI126/1000</f>
        <v>413.60248650000005</v>
      </c>
      <c r="AN126" s="1124">
        <f>12*$K126*'Crono Pessoal'!AJ126/1000</f>
        <v>413.60248650000005</v>
      </c>
      <c r="AO126" s="1124">
        <f>12*$K126*'Crono Pessoal'!AK126/1000</f>
        <v>413.60248650000005</v>
      </c>
      <c r="AP126" s="1124">
        <f>12*$K126*'Crono Pessoal'!AL126/1000</f>
        <v>413.60248650000005</v>
      </c>
    </row>
    <row r="127" spans="1:42">
      <c r="A127" s="595"/>
      <c r="B127" s="598"/>
      <c r="C127" s="599"/>
      <c r="D127" s="260" t="s">
        <v>750</v>
      </c>
      <c r="E127" s="260">
        <v>2</v>
      </c>
      <c r="F127" s="1129" t="s">
        <v>767</v>
      </c>
      <c r="G127" s="1132" t="str">
        <f>VLOOKUP($F127,SALARIOSS!$D$6:$H$203,2,0)</f>
        <v>Secretária</v>
      </c>
      <c r="H127" s="1121">
        <f>VLOOKUP($F127,SALARIOSS!$D$6:$I$203,6,0)</f>
        <v>3404.7000000000003</v>
      </c>
      <c r="I127" s="1121">
        <f>VLOOKUP($F127,Funções!$D$9:$K$200,5,0)+VLOOKUP($F127,Funções!$D$9:$K$200,6,0)</f>
        <v>3867.6147500000002</v>
      </c>
      <c r="J127" s="1121">
        <f>VLOOKUP($F127,Funções!$D$9:$K$200,7,0)</f>
        <v>95</v>
      </c>
      <c r="K127" s="1122">
        <f>SUM(H127:J127)</f>
        <v>7367.3147500000005</v>
      </c>
      <c r="L127" s="1123">
        <f>SUM(M127:AP127)</f>
        <v>2652.2333099999983</v>
      </c>
      <c r="M127" s="1124">
        <f>12*$K127*'Crono Pessoal'!I127/1000</f>
        <v>88.407776999999996</v>
      </c>
      <c r="N127" s="1124">
        <f>12*$K127*'Crono Pessoal'!J127/1000</f>
        <v>88.407776999999996</v>
      </c>
      <c r="O127" s="1124">
        <f>12*$K127*'Crono Pessoal'!K127/1000</f>
        <v>88.407776999999996</v>
      </c>
      <c r="P127" s="1124">
        <f>12*$K127*'Crono Pessoal'!L127/1000</f>
        <v>88.407776999999996</v>
      </c>
      <c r="Q127" s="1124">
        <f>12*$K127*'Crono Pessoal'!M127/1000</f>
        <v>88.407776999999996</v>
      </c>
      <c r="R127" s="1124">
        <f>12*$K127*'Crono Pessoal'!N127/1000</f>
        <v>88.407776999999996</v>
      </c>
      <c r="S127" s="1124">
        <f>12*$K127*'Crono Pessoal'!O127/1000</f>
        <v>88.407776999999996</v>
      </c>
      <c r="T127" s="1124">
        <f>12*$K127*'Crono Pessoal'!P127/1000</f>
        <v>88.407776999999996</v>
      </c>
      <c r="U127" s="1124">
        <f>12*$K127*'Crono Pessoal'!Q127/1000</f>
        <v>88.407776999999996</v>
      </c>
      <c r="V127" s="1124">
        <f>12*$K127*'Crono Pessoal'!R127/1000</f>
        <v>88.407776999999996</v>
      </c>
      <c r="W127" s="1124">
        <f>12*$K127*'Crono Pessoal'!S127/1000</f>
        <v>88.407776999999996</v>
      </c>
      <c r="X127" s="1124">
        <f>12*$K127*'Crono Pessoal'!T127/1000</f>
        <v>88.407776999999996</v>
      </c>
      <c r="Y127" s="1124">
        <f>12*$K127*'Crono Pessoal'!U127/1000</f>
        <v>88.407776999999996</v>
      </c>
      <c r="Z127" s="1124">
        <f>12*$K127*'Crono Pessoal'!V127/1000</f>
        <v>88.407776999999996</v>
      </c>
      <c r="AA127" s="1124">
        <f>12*$K127*'Crono Pessoal'!W127/1000</f>
        <v>88.407776999999996</v>
      </c>
      <c r="AB127" s="1124">
        <f>12*$K127*'Crono Pessoal'!X127/1000</f>
        <v>88.407776999999996</v>
      </c>
      <c r="AC127" s="1124">
        <f>12*$K127*'Crono Pessoal'!Y127/1000</f>
        <v>88.407776999999996</v>
      </c>
      <c r="AD127" s="1124">
        <f>12*$K127*'Crono Pessoal'!Z127/1000</f>
        <v>88.407776999999996</v>
      </c>
      <c r="AE127" s="1124">
        <f>12*$K127*'Crono Pessoal'!AA127/1000</f>
        <v>88.407776999999996</v>
      </c>
      <c r="AF127" s="1124">
        <f>12*$K127*'Crono Pessoal'!AB127/1000</f>
        <v>88.407776999999996</v>
      </c>
      <c r="AG127" s="1124">
        <f>12*$K127*'Crono Pessoal'!AC127/1000</f>
        <v>88.407776999999996</v>
      </c>
      <c r="AH127" s="1124">
        <f>12*$K127*'Crono Pessoal'!AD127/1000</f>
        <v>88.407776999999996</v>
      </c>
      <c r="AI127" s="1124">
        <f>12*$K127*'Crono Pessoal'!AE127/1000</f>
        <v>88.407776999999996</v>
      </c>
      <c r="AJ127" s="1124">
        <f>12*$K127*'Crono Pessoal'!AF127/1000</f>
        <v>88.407776999999996</v>
      </c>
      <c r="AK127" s="1124">
        <f>12*$K127*'Crono Pessoal'!AG127/1000</f>
        <v>88.407776999999996</v>
      </c>
      <c r="AL127" s="1124">
        <f>12*$K127*'Crono Pessoal'!AH127/1000</f>
        <v>88.407776999999996</v>
      </c>
      <c r="AM127" s="1124">
        <f>12*$K127*'Crono Pessoal'!AI127/1000</f>
        <v>88.407776999999996</v>
      </c>
      <c r="AN127" s="1124">
        <f>12*$K127*'Crono Pessoal'!AJ127/1000</f>
        <v>88.407776999999996</v>
      </c>
      <c r="AO127" s="1124">
        <f>12*$K127*'Crono Pessoal'!AK127/1000</f>
        <v>88.407776999999996</v>
      </c>
      <c r="AP127" s="1124">
        <f>12*$K127*'Crono Pessoal'!AL127/1000</f>
        <v>88.407776999999996</v>
      </c>
    </row>
    <row r="128" spans="1:42">
      <c r="A128" s="595"/>
      <c r="B128" s="598"/>
      <c r="C128" s="599"/>
      <c r="D128" s="260"/>
      <c r="E128" s="260">
        <v>2</v>
      </c>
      <c r="F128" s="1129"/>
      <c r="G128" s="1126" t="s">
        <v>849</v>
      </c>
      <c r="H128" s="1133"/>
      <c r="I128" s="1133"/>
      <c r="J128" s="1133"/>
      <c r="K128" s="1133"/>
      <c r="L128" s="1134"/>
      <c r="M128" s="1135"/>
      <c r="N128" s="1135"/>
      <c r="O128" s="1135"/>
      <c r="P128" s="1135"/>
      <c r="Q128" s="1135"/>
      <c r="R128" s="1135"/>
      <c r="S128" s="1135"/>
      <c r="T128" s="1135"/>
      <c r="U128" s="1135"/>
      <c r="V128" s="1135"/>
      <c r="W128" s="1135"/>
      <c r="X128" s="1135"/>
      <c r="Y128" s="1135"/>
      <c r="Z128" s="1135"/>
      <c r="AA128" s="1135"/>
      <c r="AB128" s="1135"/>
      <c r="AC128" s="1135"/>
      <c r="AD128" s="1135"/>
      <c r="AE128" s="1135"/>
      <c r="AF128" s="1135"/>
      <c r="AG128" s="1135"/>
      <c r="AH128" s="1135"/>
      <c r="AI128" s="1135"/>
      <c r="AJ128" s="1135"/>
      <c r="AK128" s="1135"/>
      <c r="AL128" s="1135"/>
      <c r="AM128" s="1135"/>
      <c r="AN128" s="1135"/>
      <c r="AO128" s="1135"/>
      <c r="AP128" s="1135"/>
    </row>
    <row r="129" spans="1:42">
      <c r="A129" s="595"/>
      <c r="B129" s="598"/>
      <c r="C129" s="599"/>
      <c r="D129" s="260" t="s">
        <v>850</v>
      </c>
      <c r="E129" s="260">
        <v>2</v>
      </c>
      <c r="F129" s="1129" t="s">
        <v>851</v>
      </c>
      <c r="G129" s="1132" t="str">
        <f>VLOOKUP($F129,SALARIOSS!$D$6:$H$203,2,0)</f>
        <v>Supervisor de CCO</v>
      </c>
      <c r="H129" s="1121">
        <f>VLOOKUP($F129,SALARIOSS!$D$6:$I$203,6,0)</f>
        <v>2861.7138</v>
      </c>
      <c r="I129" s="1121">
        <f>VLOOKUP($F129,Funções!$D$9:$K$200,5,0)+VLOOKUP($F129,Funções!$D$9:$K$200,6,0)</f>
        <v>3382.9995665000001</v>
      </c>
      <c r="J129" s="1121">
        <f>VLOOKUP($F129,Funções!$D$9:$K$200,7,0)</f>
        <v>95</v>
      </c>
      <c r="K129" s="1122">
        <f>SUM(H129:J129)</f>
        <v>6339.7133665000001</v>
      </c>
      <c r="L129" s="1123">
        <f>SUM(M129:AP129)</f>
        <v>2282.2968119400002</v>
      </c>
      <c r="M129" s="1124">
        <f>12*$K129*'Crono Pessoal'!I129/1000</f>
        <v>76.076560397999998</v>
      </c>
      <c r="N129" s="1124">
        <f>12*$K129*'Crono Pessoal'!J129/1000</f>
        <v>76.076560397999998</v>
      </c>
      <c r="O129" s="1124">
        <f>12*$K129*'Crono Pessoal'!K129/1000</f>
        <v>76.076560397999998</v>
      </c>
      <c r="P129" s="1124">
        <f>12*$K129*'Crono Pessoal'!L129/1000</f>
        <v>76.076560397999998</v>
      </c>
      <c r="Q129" s="1124">
        <f>12*$K129*'Crono Pessoal'!M129/1000</f>
        <v>76.076560397999998</v>
      </c>
      <c r="R129" s="1124">
        <f>12*$K129*'Crono Pessoal'!N129/1000</f>
        <v>76.076560397999998</v>
      </c>
      <c r="S129" s="1124">
        <f>12*$K129*'Crono Pessoal'!O129/1000</f>
        <v>76.076560397999998</v>
      </c>
      <c r="T129" s="1124">
        <f>12*$K129*'Crono Pessoal'!P129/1000</f>
        <v>76.076560397999998</v>
      </c>
      <c r="U129" s="1124">
        <f>12*$K129*'Crono Pessoal'!Q129/1000</f>
        <v>76.076560397999998</v>
      </c>
      <c r="V129" s="1124">
        <f>12*$K129*'Crono Pessoal'!R129/1000</f>
        <v>76.076560397999998</v>
      </c>
      <c r="W129" s="1124">
        <f>12*$K129*'Crono Pessoal'!S129/1000</f>
        <v>76.076560397999998</v>
      </c>
      <c r="X129" s="1124">
        <f>12*$K129*'Crono Pessoal'!T129/1000</f>
        <v>76.076560397999998</v>
      </c>
      <c r="Y129" s="1124">
        <f>12*$K129*'Crono Pessoal'!U129/1000</f>
        <v>76.076560397999998</v>
      </c>
      <c r="Z129" s="1124">
        <f>12*$K129*'Crono Pessoal'!V129/1000</f>
        <v>76.076560397999998</v>
      </c>
      <c r="AA129" s="1124">
        <f>12*$K129*'Crono Pessoal'!W129/1000</f>
        <v>76.076560397999998</v>
      </c>
      <c r="AB129" s="1124">
        <f>12*$K129*'Crono Pessoal'!X129/1000</f>
        <v>76.076560397999998</v>
      </c>
      <c r="AC129" s="1124">
        <f>12*$K129*'Crono Pessoal'!Y129/1000</f>
        <v>76.076560397999998</v>
      </c>
      <c r="AD129" s="1124">
        <f>12*$K129*'Crono Pessoal'!Z129/1000</f>
        <v>76.076560397999998</v>
      </c>
      <c r="AE129" s="1124">
        <f>12*$K129*'Crono Pessoal'!AA129/1000</f>
        <v>76.076560397999998</v>
      </c>
      <c r="AF129" s="1124">
        <f>12*$K129*'Crono Pessoal'!AB129/1000</f>
        <v>76.076560397999998</v>
      </c>
      <c r="AG129" s="1124">
        <f>12*$K129*'Crono Pessoal'!AC129/1000</f>
        <v>76.076560397999998</v>
      </c>
      <c r="AH129" s="1124">
        <f>12*$K129*'Crono Pessoal'!AD129/1000</f>
        <v>76.076560397999998</v>
      </c>
      <c r="AI129" s="1124">
        <f>12*$K129*'Crono Pessoal'!AE129/1000</f>
        <v>76.076560397999998</v>
      </c>
      <c r="AJ129" s="1124">
        <f>12*$K129*'Crono Pessoal'!AF129/1000</f>
        <v>76.076560397999998</v>
      </c>
      <c r="AK129" s="1124">
        <f>12*$K129*'Crono Pessoal'!AG129/1000</f>
        <v>76.076560397999998</v>
      </c>
      <c r="AL129" s="1124">
        <f>12*$K129*'Crono Pessoal'!AH129/1000</f>
        <v>76.076560397999998</v>
      </c>
      <c r="AM129" s="1124">
        <f>12*$K129*'Crono Pessoal'!AI129/1000</f>
        <v>76.076560397999998</v>
      </c>
      <c r="AN129" s="1124">
        <f>12*$K129*'Crono Pessoal'!AJ129/1000</f>
        <v>76.076560397999998</v>
      </c>
      <c r="AO129" s="1124">
        <f>12*$K129*'Crono Pessoal'!AK129/1000</f>
        <v>76.076560397999998</v>
      </c>
      <c r="AP129" s="1124">
        <f>12*$K129*'Crono Pessoal'!AL129/1000</f>
        <v>76.076560397999998</v>
      </c>
    </row>
    <row r="130" spans="1:42">
      <c r="A130" s="595"/>
      <c r="B130" s="598"/>
      <c r="C130" s="599"/>
      <c r="D130" s="260" t="s">
        <v>850</v>
      </c>
      <c r="E130" s="260">
        <v>2</v>
      </c>
      <c r="F130" s="1129" t="s">
        <v>852</v>
      </c>
      <c r="G130" s="1132" t="str">
        <f>VLOOKUP($F130,SALARIOSS!$D$6:$H$203,2,0)</f>
        <v>Operador de CCO</v>
      </c>
      <c r="H130" s="1121">
        <f>VLOOKUP($F130,SALARIOSS!$D$6:$I$203,6,0)</f>
        <v>1800.2290499999999</v>
      </c>
      <c r="I130" s="1121">
        <f>VLOOKUP($F130,Funções!$D$9:$K$200,5,0)+VLOOKUP($F130,Funções!$D$9:$K$200,6,0)</f>
        <v>2435.6244271249998</v>
      </c>
      <c r="J130" s="1121">
        <f>VLOOKUP($F130,Funções!$D$9:$K$200,7,0)</f>
        <v>95</v>
      </c>
      <c r="K130" s="1122">
        <f>SUM(H130:J130)</f>
        <v>4330.8534771249997</v>
      </c>
      <c r="L130" s="1123">
        <f>SUM(M130:AP130)</f>
        <v>7795.5362588250064</v>
      </c>
      <c r="M130" s="1124">
        <f>12*$K130*'Crono Pessoal'!I130/1000</f>
        <v>259.8512086275</v>
      </c>
      <c r="N130" s="1124">
        <f>12*$K130*'Crono Pessoal'!J130/1000</f>
        <v>259.8512086275</v>
      </c>
      <c r="O130" s="1124">
        <f>12*$K130*'Crono Pessoal'!K130/1000</f>
        <v>259.8512086275</v>
      </c>
      <c r="P130" s="1124">
        <f>12*$K130*'Crono Pessoal'!L130/1000</f>
        <v>259.8512086275</v>
      </c>
      <c r="Q130" s="1124">
        <f>12*$K130*'Crono Pessoal'!M130/1000</f>
        <v>259.8512086275</v>
      </c>
      <c r="R130" s="1124">
        <f>12*$K130*'Crono Pessoal'!N130/1000</f>
        <v>259.8512086275</v>
      </c>
      <c r="S130" s="1124">
        <f>12*$K130*'Crono Pessoal'!O130/1000</f>
        <v>259.8512086275</v>
      </c>
      <c r="T130" s="1124">
        <f>12*$K130*'Crono Pessoal'!P130/1000</f>
        <v>259.8512086275</v>
      </c>
      <c r="U130" s="1124">
        <f>12*$K130*'Crono Pessoal'!Q130/1000</f>
        <v>259.8512086275</v>
      </c>
      <c r="V130" s="1124">
        <f>12*$K130*'Crono Pessoal'!R130/1000</f>
        <v>259.8512086275</v>
      </c>
      <c r="W130" s="1124">
        <f>12*$K130*'Crono Pessoal'!S130/1000</f>
        <v>259.8512086275</v>
      </c>
      <c r="X130" s="1124">
        <f>12*$K130*'Crono Pessoal'!T130/1000</f>
        <v>259.8512086275</v>
      </c>
      <c r="Y130" s="1124">
        <f>12*$K130*'Crono Pessoal'!U130/1000</f>
        <v>259.8512086275</v>
      </c>
      <c r="Z130" s="1124">
        <f>12*$K130*'Crono Pessoal'!V130/1000</f>
        <v>259.8512086275</v>
      </c>
      <c r="AA130" s="1124">
        <f>12*$K130*'Crono Pessoal'!W130/1000</f>
        <v>259.8512086275</v>
      </c>
      <c r="AB130" s="1124">
        <f>12*$K130*'Crono Pessoal'!X130/1000</f>
        <v>259.8512086275</v>
      </c>
      <c r="AC130" s="1124">
        <f>12*$K130*'Crono Pessoal'!Y130/1000</f>
        <v>259.8512086275</v>
      </c>
      <c r="AD130" s="1124">
        <f>12*$K130*'Crono Pessoal'!Z130/1000</f>
        <v>259.8512086275</v>
      </c>
      <c r="AE130" s="1124">
        <f>12*$K130*'Crono Pessoal'!AA130/1000</f>
        <v>259.8512086275</v>
      </c>
      <c r="AF130" s="1124">
        <f>12*$K130*'Crono Pessoal'!AB130/1000</f>
        <v>259.8512086275</v>
      </c>
      <c r="AG130" s="1124">
        <f>12*$K130*'Crono Pessoal'!AC130/1000</f>
        <v>259.8512086275</v>
      </c>
      <c r="AH130" s="1124">
        <f>12*$K130*'Crono Pessoal'!AD130/1000</f>
        <v>259.8512086275</v>
      </c>
      <c r="AI130" s="1124">
        <f>12*$K130*'Crono Pessoal'!AE130/1000</f>
        <v>259.8512086275</v>
      </c>
      <c r="AJ130" s="1124">
        <f>12*$K130*'Crono Pessoal'!AF130/1000</f>
        <v>259.8512086275</v>
      </c>
      <c r="AK130" s="1124">
        <f>12*$K130*'Crono Pessoal'!AG130/1000</f>
        <v>259.8512086275</v>
      </c>
      <c r="AL130" s="1124">
        <f>12*$K130*'Crono Pessoal'!AH130/1000</f>
        <v>259.8512086275</v>
      </c>
      <c r="AM130" s="1124">
        <f>12*$K130*'Crono Pessoal'!AI130/1000</f>
        <v>259.8512086275</v>
      </c>
      <c r="AN130" s="1124">
        <f>12*$K130*'Crono Pessoal'!AJ130/1000</f>
        <v>259.8512086275</v>
      </c>
      <c r="AO130" s="1124">
        <f>12*$K130*'Crono Pessoal'!AK130/1000</f>
        <v>259.8512086275</v>
      </c>
      <c r="AP130" s="1124">
        <f>12*$K130*'Crono Pessoal'!AL130/1000</f>
        <v>259.8512086275</v>
      </c>
    </row>
    <row r="131" spans="1:42">
      <c r="A131" s="595"/>
      <c r="B131" s="598"/>
      <c r="C131" s="599"/>
      <c r="D131" s="260" t="s">
        <v>850</v>
      </c>
      <c r="E131" s="260">
        <v>2</v>
      </c>
      <c r="F131" s="1129" t="s">
        <v>853</v>
      </c>
      <c r="G131" s="1132" t="str">
        <f>VLOOKUP($F131,SALARIOSS!$D$6:$H$203,2,0)</f>
        <v>Atendente</v>
      </c>
      <c r="H131" s="1121">
        <f>VLOOKUP($F131,SALARIOSS!$D$6:$I$203,6,0)</f>
        <v>1432.9021500000003</v>
      </c>
      <c r="I131" s="1121">
        <f>VLOOKUP($F131,Funções!$D$9:$K$200,5,0)+VLOOKUP($F131,Funções!$D$9:$K$200,6,0)</f>
        <v>2107.7851688750006</v>
      </c>
      <c r="J131" s="1121">
        <f>VLOOKUP($F131,Funções!$D$9:$K$200,7,0)</f>
        <v>95</v>
      </c>
      <c r="K131" s="1122">
        <f>SUM(H131:J131)</f>
        <v>3635.687318875001</v>
      </c>
      <c r="L131" s="1123">
        <f>SUM(M131:AP131)</f>
        <v>11779.626913155005</v>
      </c>
      <c r="M131" s="1124">
        <f>12*$K131*'Crono Pessoal'!I131/1000</f>
        <v>392.65423043850006</v>
      </c>
      <c r="N131" s="1124">
        <f>12*$K131*'Crono Pessoal'!J131/1000</f>
        <v>392.65423043850006</v>
      </c>
      <c r="O131" s="1124">
        <f>12*$K131*'Crono Pessoal'!K131/1000</f>
        <v>392.65423043850006</v>
      </c>
      <c r="P131" s="1124">
        <f>12*$K131*'Crono Pessoal'!L131/1000</f>
        <v>392.65423043850006</v>
      </c>
      <c r="Q131" s="1124">
        <f>12*$K131*'Crono Pessoal'!M131/1000</f>
        <v>392.65423043850006</v>
      </c>
      <c r="R131" s="1124">
        <f>12*$K131*'Crono Pessoal'!N131/1000</f>
        <v>392.65423043850006</v>
      </c>
      <c r="S131" s="1124">
        <f>12*$K131*'Crono Pessoal'!O131/1000</f>
        <v>392.65423043850006</v>
      </c>
      <c r="T131" s="1124">
        <f>12*$K131*'Crono Pessoal'!P131/1000</f>
        <v>392.65423043850006</v>
      </c>
      <c r="U131" s="1124">
        <f>12*$K131*'Crono Pessoal'!Q131/1000</f>
        <v>392.65423043850006</v>
      </c>
      <c r="V131" s="1124">
        <f>12*$K131*'Crono Pessoal'!R131/1000</f>
        <v>392.65423043850006</v>
      </c>
      <c r="W131" s="1124">
        <f>12*$K131*'Crono Pessoal'!S131/1000</f>
        <v>392.65423043850006</v>
      </c>
      <c r="X131" s="1124">
        <f>12*$K131*'Crono Pessoal'!T131/1000</f>
        <v>392.65423043850006</v>
      </c>
      <c r="Y131" s="1124">
        <f>12*$K131*'Crono Pessoal'!U131/1000</f>
        <v>392.65423043850006</v>
      </c>
      <c r="Z131" s="1124">
        <f>12*$K131*'Crono Pessoal'!V131/1000</f>
        <v>392.65423043850006</v>
      </c>
      <c r="AA131" s="1124">
        <f>12*$K131*'Crono Pessoal'!W131/1000</f>
        <v>392.65423043850006</v>
      </c>
      <c r="AB131" s="1124">
        <f>12*$K131*'Crono Pessoal'!X131/1000</f>
        <v>392.65423043850006</v>
      </c>
      <c r="AC131" s="1124">
        <f>12*$K131*'Crono Pessoal'!Y131/1000</f>
        <v>392.65423043850006</v>
      </c>
      <c r="AD131" s="1124">
        <f>12*$K131*'Crono Pessoal'!Z131/1000</f>
        <v>392.65423043850006</v>
      </c>
      <c r="AE131" s="1124">
        <f>12*$K131*'Crono Pessoal'!AA131/1000</f>
        <v>392.65423043850006</v>
      </c>
      <c r="AF131" s="1124">
        <f>12*$K131*'Crono Pessoal'!AB131/1000</f>
        <v>392.65423043850006</v>
      </c>
      <c r="AG131" s="1124">
        <f>12*$K131*'Crono Pessoal'!AC131/1000</f>
        <v>392.65423043850006</v>
      </c>
      <c r="AH131" s="1124">
        <f>12*$K131*'Crono Pessoal'!AD131/1000</f>
        <v>392.65423043850006</v>
      </c>
      <c r="AI131" s="1124">
        <f>12*$K131*'Crono Pessoal'!AE131/1000</f>
        <v>392.65423043850006</v>
      </c>
      <c r="AJ131" s="1124">
        <f>12*$K131*'Crono Pessoal'!AF131/1000</f>
        <v>392.65423043850006</v>
      </c>
      <c r="AK131" s="1124">
        <f>12*$K131*'Crono Pessoal'!AG131/1000</f>
        <v>392.65423043850006</v>
      </c>
      <c r="AL131" s="1124">
        <f>12*$K131*'Crono Pessoal'!AH131/1000</f>
        <v>392.65423043850006</v>
      </c>
      <c r="AM131" s="1124">
        <f>12*$K131*'Crono Pessoal'!AI131/1000</f>
        <v>392.65423043850006</v>
      </c>
      <c r="AN131" s="1124">
        <f>12*$K131*'Crono Pessoal'!AJ131/1000</f>
        <v>392.65423043850006</v>
      </c>
      <c r="AO131" s="1124">
        <f>12*$K131*'Crono Pessoal'!AK131/1000</f>
        <v>392.65423043850006</v>
      </c>
      <c r="AP131" s="1124">
        <f>12*$K131*'Crono Pessoal'!AL131/1000</f>
        <v>392.65423043850006</v>
      </c>
    </row>
    <row r="132" spans="1:42">
      <c r="A132" s="595"/>
      <c r="B132" s="598"/>
      <c r="C132" s="599"/>
      <c r="D132" s="260"/>
      <c r="E132" s="260"/>
      <c r="F132" s="1129"/>
      <c r="G132" s="1126" t="s">
        <v>854</v>
      </c>
      <c r="H132" s="1133"/>
      <c r="I132" s="1133"/>
      <c r="J132" s="1133"/>
      <c r="K132" s="1133"/>
      <c r="L132" s="1134"/>
      <c r="M132" s="1135"/>
      <c r="N132" s="1135"/>
      <c r="O132" s="1135"/>
      <c r="P132" s="1135"/>
      <c r="Q132" s="1135"/>
      <c r="R132" s="1135"/>
      <c r="S132" s="1135"/>
      <c r="T132" s="1135"/>
      <c r="U132" s="1135"/>
      <c r="V132" s="1135"/>
      <c r="W132" s="1135"/>
      <c r="X132" s="1135"/>
      <c r="Y132" s="1135"/>
      <c r="Z132" s="1135"/>
      <c r="AA132" s="1135"/>
      <c r="AB132" s="1135"/>
      <c r="AC132" s="1135"/>
      <c r="AD132" s="1135"/>
      <c r="AE132" s="1135"/>
      <c r="AF132" s="1135"/>
      <c r="AG132" s="1135"/>
      <c r="AH132" s="1135"/>
      <c r="AI132" s="1135"/>
      <c r="AJ132" s="1135"/>
      <c r="AK132" s="1135"/>
      <c r="AL132" s="1135"/>
      <c r="AM132" s="1135"/>
      <c r="AN132" s="1135"/>
      <c r="AO132" s="1135"/>
      <c r="AP132" s="1135"/>
    </row>
    <row r="133" spans="1:42">
      <c r="A133" s="595"/>
      <c r="B133" s="598"/>
      <c r="C133" s="599"/>
      <c r="D133" s="260" t="s">
        <v>855</v>
      </c>
      <c r="E133" s="260">
        <v>3</v>
      </c>
      <c r="F133" s="1129" t="s">
        <v>856</v>
      </c>
      <c r="G133" s="1132" t="str">
        <f>VLOOKUP($F133,SALARIOSS!$D$6:$H$203,2,0)</f>
        <v>Supervisor de Tráfego</v>
      </c>
      <c r="H133" s="1121">
        <f>VLOOKUP($F133,SALARIOSS!$D$6:$I$203,6,0)</f>
        <v>2861.7138</v>
      </c>
      <c r="I133" s="1121">
        <f>VLOOKUP($F133,Funções!$D$9:$K$200,5,0)+VLOOKUP($F133,Funções!$D$9:$K$200,6,0)</f>
        <v>3382.9995665000001</v>
      </c>
      <c r="J133" s="1121">
        <f>VLOOKUP($F133,Funções!$D$9:$K$200,7,0)</f>
        <v>95</v>
      </c>
      <c r="K133" s="1122">
        <f>SUM(H133:J133)</f>
        <v>6339.7133665000001</v>
      </c>
      <c r="L133" s="1123">
        <f>SUM(M133:AP133)</f>
        <v>2282.2968119400002</v>
      </c>
      <c r="M133" s="1124">
        <f>12*$K133*'Crono Pessoal'!I133/1000</f>
        <v>76.076560397999998</v>
      </c>
      <c r="N133" s="1124">
        <f>12*$K133*'Crono Pessoal'!J133/1000</f>
        <v>76.076560397999998</v>
      </c>
      <c r="O133" s="1124">
        <f>12*$K133*'Crono Pessoal'!K133/1000</f>
        <v>76.076560397999998</v>
      </c>
      <c r="P133" s="1124">
        <f>12*$K133*'Crono Pessoal'!L133/1000</f>
        <v>76.076560397999998</v>
      </c>
      <c r="Q133" s="1124">
        <f>12*$K133*'Crono Pessoal'!M133/1000</f>
        <v>76.076560397999998</v>
      </c>
      <c r="R133" s="1124">
        <f>12*$K133*'Crono Pessoal'!N133/1000</f>
        <v>76.076560397999998</v>
      </c>
      <c r="S133" s="1124">
        <f>12*$K133*'Crono Pessoal'!O133/1000</f>
        <v>76.076560397999998</v>
      </c>
      <c r="T133" s="1124">
        <f>12*$K133*'Crono Pessoal'!P133/1000</f>
        <v>76.076560397999998</v>
      </c>
      <c r="U133" s="1124">
        <f>12*$K133*'Crono Pessoal'!Q133/1000</f>
        <v>76.076560397999998</v>
      </c>
      <c r="V133" s="1124">
        <f>12*$K133*'Crono Pessoal'!R133/1000</f>
        <v>76.076560397999998</v>
      </c>
      <c r="W133" s="1124">
        <f>12*$K133*'Crono Pessoal'!S133/1000</f>
        <v>76.076560397999998</v>
      </c>
      <c r="X133" s="1124">
        <f>12*$K133*'Crono Pessoal'!T133/1000</f>
        <v>76.076560397999998</v>
      </c>
      <c r="Y133" s="1124">
        <f>12*$K133*'Crono Pessoal'!U133/1000</f>
        <v>76.076560397999998</v>
      </c>
      <c r="Z133" s="1124">
        <f>12*$K133*'Crono Pessoal'!V133/1000</f>
        <v>76.076560397999998</v>
      </c>
      <c r="AA133" s="1124">
        <f>12*$K133*'Crono Pessoal'!W133/1000</f>
        <v>76.076560397999998</v>
      </c>
      <c r="AB133" s="1124">
        <f>12*$K133*'Crono Pessoal'!X133/1000</f>
        <v>76.076560397999998</v>
      </c>
      <c r="AC133" s="1124">
        <f>12*$K133*'Crono Pessoal'!Y133/1000</f>
        <v>76.076560397999998</v>
      </c>
      <c r="AD133" s="1124">
        <f>12*$K133*'Crono Pessoal'!Z133/1000</f>
        <v>76.076560397999998</v>
      </c>
      <c r="AE133" s="1124">
        <f>12*$K133*'Crono Pessoal'!AA133/1000</f>
        <v>76.076560397999998</v>
      </c>
      <c r="AF133" s="1124">
        <f>12*$K133*'Crono Pessoal'!AB133/1000</f>
        <v>76.076560397999998</v>
      </c>
      <c r="AG133" s="1124">
        <f>12*$K133*'Crono Pessoal'!AC133/1000</f>
        <v>76.076560397999998</v>
      </c>
      <c r="AH133" s="1124">
        <f>12*$K133*'Crono Pessoal'!AD133/1000</f>
        <v>76.076560397999998</v>
      </c>
      <c r="AI133" s="1124">
        <f>12*$K133*'Crono Pessoal'!AE133/1000</f>
        <v>76.076560397999998</v>
      </c>
      <c r="AJ133" s="1124">
        <f>12*$K133*'Crono Pessoal'!AF133/1000</f>
        <v>76.076560397999998</v>
      </c>
      <c r="AK133" s="1124">
        <f>12*$K133*'Crono Pessoal'!AG133/1000</f>
        <v>76.076560397999998</v>
      </c>
      <c r="AL133" s="1124">
        <f>12*$K133*'Crono Pessoal'!AH133/1000</f>
        <v>76.076560397999998</v>
      </c>
      <c r="AM133" s="1124">
        <f>12*$K133*'Crono Pessoal'!AI133/1000</f>
        <v>76.076560397999998</v>
      </c>
      <c r="AN133" s="1124">
        <f>12*$K133*'Crono Pessoal'!AJ133/1000</f>
        <v>76.076560397999998</v>
      </c>
      <c r="AO133" s="1124">
        <f>12*$K133*'Crono Pessoal'!AK133/1000</f>
        <v>76.076560397999998</v>
      </c>
      <c r="AP133" s="1124">
        <f>12*$K133*'Crono Pessoal'!AL133/1000</f>
        <v>76.076560397999998</v>
      </c>
    </row>
    <row r="134" spans="1:42">
      <c r="A134" s="595"/>
      <c r="B134" s="598"/>
      <c r="C134" s="599"/>
      <c r="D134" s="260" t="s">
        <v>855</v>
      </c>
      <c r="E134" s="260">
        <v>3</v>
      </c>
      <c r="F134" s="1129" t="s">
        <v>857</v>
      </c>
      <c r="G134" s="1132" t="str">
        <f>VLOOKUP($F134,SALARIOSS!$D$6:$H$203,2,0)</f>
        <v>Motorista de Veículo Leve I</v>
      </c>
      <c r="H134" s="1121">
        <f>VLOOKUP($F134,SALARIOSS!$D$6:$I$203,6,0)</f>
        <v>1781.2764000000004</v>
      </c>
      <c r="I134" s="1121">
        <f>VLOOKUP($F134,Funções!$D$9:$K$200,5,0)+VLOOKUP($F134,Funções!$D$9:$K$200,6,0)</f>
        <v>2418.7091870000004</v>
      </c>
      <c r="J134" s="1121">
        <f>VLOOKUP($F134,Funções!$D$9:$K$200,7,0)</f>
        <v>95</v>
      </c>
      <c r="K134" s="1122">
        <f>SUM(H134:J134)</f>
        <v>4294.985587000001</v>
      </c>
      <c r="L134" s="1123">
        <f>SUM(M134:AP134)</f>
        <v>0</v>
      </c>
      <c r="M134" s="1124">
        <f>12*$K134*'Crono Pessoal'!I134/1000</f>
        <v>0</v>
      </c>
      <c r="N134" s="1124">
        <f>12*$K134*'Crono Pessoal'!J134/1000</f>
        <v>0</v>
      </c>
      <c r="O134" s="1124">
        <f>12*$K134*'Crono Pessoal'!K134/1000</f>
        <v>0</v>
      </c>
      <c r="P134" s="1124">
        <f>12*$K134*'Crono Pessoal'!L134/1000</f>
        <v>0</v>
      </c>
      <c r="Q134" s="1124">
        <f>12*$K134*'Crono Pessoal'!M134/1000</f>
        <v>0</v>
      </c>
      <c r="R134" s="1124">
        <f>12*$K134*'Crono Pessoal'!N134/1000</f>
        <v>0</v>
      </c>
      <c r="S134" s="1124">
        <f>12*$K134*'Crono Pessoal'!O134/1000</f>
        <v>0</v>
      </c>
      <c r="T134" s="1124">
        <f>12*$K134*'Crono Pessoal'!P134/1000</f>
        <v>0</v>
      </c>
      <c r="U134" s="1124">
        <f>12*$K134*'Crono Pessoal'!Q134/1000</f>
        <v>0</v>
      </c>
      <c r="V134" s="1124">
        <f>12*$K134*'Crono Pessoal'!R134/1000</f>
        <v>0</v>
      </c>
      <c r="W134" s="1124">
        <f>12*$K134*'Crono Pessoal'!S134/1000</f>
        <v>0</v>
      </c>
      <c r="X134" s="1124">
        <f>12*$K134*'Crono Pessoal'!T134/1000</f>
        <v>0</v>
      </c>
      <c r="Y134" s="1124">
        <f>12*$K134*'Crono Pessoal'!U134/1000</f>
        <v>0</v>
      </c>
      <c r="Z134" s="1124">
        <f>12*$K134*'Crono Pessoal'!V134/1000</f>
        <v>0</v>
      </c>
      <c r="AA134" s="1124">
        <f>12*$K134*'Crono Pessoal'!W134/1000</f>
        <v>0</v>
      </c>
      <c r="AB134" s="1124">
        <f>12*$K134*'Crono Pessoal'!X134/1000</f>
        <v>0</v>
      </c>
      <c r="AC134" s="1124">
        <f>12*$K134*'Crono Pessoal'!Y134/1000</f>
        <v>0</v>
      </c>
      <c r="AD134" s="1124">
        <f>12*$K134*'Crono Pessoal'!Z134/1000</f>
        <v>0</v>
      </c>
      <c r="AE134" s="1124">
        <f>12*$K134*'Crono Pessoal'!AA134/1000</f>
        <v>0</v>
      </c>
      <c r="AF134" s="1124">
        <f>12*$K134*'Crono Pessoal'!AB134/1000</f>
        <v>0</v>
      </c>
      <c r="AG134" s="1124">
        <f>12*$K134*'Crono Pessoal'!AC134/1000</f>
        <v>0</v>
      </c>
      <c r="AH134" s="1124">
        <f>12*$K134*'Crono Pessoal'!AD134/1000</f>
        <v>0</v>
      </c>
      <c r="AI134" s="1124">
        <f>12*$K134*'Crono Pessoal'!AE134/1000</f>
        <v>0</v>
      </c>
      <c r="AJ134" s="1124">
        <f>12*$K134*'Crono Pessoal'!AF134/1000</f>
        <v>0</v>
      </c>
      <c r="AK134" s="1124">
        <f>12*$K134*'Crono Pessoal'!AG134/1000</f>
        <v>0</v>
      </c>
      <c r="AL134" s="1124">
        <f>12*$K134*'Crono Pessoal'!AH134/1000</f>
        <v>0</v>
      </c>
      <c r="AM134" s="1124">
        <f>12*$K134*'Crono Pessoal'!AI134/1000</f>
        <v>0</v>
      </c>
      <c r="AN134" s="1124">
        <f>12*$K134*'Crono Pessoal'!AJ134/1000</f>
        <v>0</v>
      </c>
      <c r="AO134" s="1124">
        <f>12*$K134*'Crono Pessoal'!AK134/1000</f>
        <v>0</v>
      </c>
      <c r="AP134" s="1124">
        <f>12*$K134*'Crono Pessoal'!AL134/1000</f>
        <v>0</v>
      </c>
    </row>
    <row r="135" spans="1:42">
      <c r="A135" s="595"/>
      <c r="B135" s="598"/>
      <c r="C135" s="599"/>
      <c r="D135" s="260" t="s">
        <v>855</v>
      </c>
      <c r="E135" s="260">
        <v>3</v>
      </c>
      <c r="F135" s="1129" t="s">
        <v>858</v>
      </c>
      <c r="G135" s="1132" t="str">
        <f>VLOOKUP($F135,SALARIOSS!$D$6:$H$203,2,0)</f>
        <v>Inspetor de Tráfego</v>
      </c>
      <c r="H135" s="1121">
        <f>VLOOKUP($F135,SALARIOSS!$D$6:$I$203,6,0)</f>
        <v>1700.9935200000002</v>
      </c>
      <c r="I135" s="1121">
        <f>VLOOKUP($F135,Funções!$D$9:$K$200,5,0)+VLOOKUP($F135,Funções!$D$9:$K$200,6,0)</f>
        <v>2347.0567166000001</v>
      </c>
      <c r="J135" s="1121">
        <f>VLOOKUP($F135,Funções!$D$9:$K$200,7,0)</f>
        <v>95</v>
      </c>
      <c r="K135" s="1122">
        <f>SUM(H135:J135)</f>
        <v>4143.0502366000001</v>
      </c>
      <c r="L135" s="1123">
        <f>SUM(M135:AP135)</f>
        <v>13155.013111252325</v>
      </c>
      <c r="M135" s="1124">
        <f>12*$K135*'Crono Pessoal'!I135/1000</f>
        <v>438.50043704174402</v>
      </c>
      <c r="N135" s="1124">
        <f>12*$K135*'Crono Pessoal'!J135/1000</f>
        <v>438.50043704174402</v>
      </c>
      <c r="O135" s="1124">
        <f>12*$K135*'Crono Pessoal'!K135/1000</f>
        <v>438.50043704174402</v>
      </c>
      <c r="P135" s="1124">
        <f>12*$K135*'Crono Pessoal'!L135/1000</f>
        <v>438.50043704174402</v>
      </c>
      <c r="Q135" s="1124">
        <f>12*$K135*'Crono Pessoal'!M135/1000</f>
        <v>438.50043704174402</v>
      </c>
      <c r="R135" s="1124">
        <f>12*$K135*'Crono Pessoal'!N135/1000</f>
        <v>438.50043704174402</v>
      </c>
      <c r="S135" s="1124">
        <f>12*$K135*'Crono Pessoal'!O135/1000</f>
        <v>438.50043704174402</v>
      </c>
      <c r="T135" s="1124">
        <f>12*$K135*'Crono Pessoal'!P135/1000</f>
        <v>438.50043704174402</v>
      </c>
      <c r="U135" s="1124">
        <f>12*$K135*'Crono Pessoal'!Q135/1000</f>
        <v>438.50043704174402</v>
      </c>
      <c r="V135" s="1124">
        <f>12*$K135*'Crono Pessoal'!R135/1000</f>
        <v>438.50043704174402</v>
      </c>
      <c r="W135" s="1124">
        <f>12*$K135*'Crono Pessoal'!S135/1000</f>
        <v>438.50043704174402</v>
      </c>
      <c r="X135" s="1124">
        <f>12*$K135*'Crono Pessoal'!T135/1000</f>
        <v>438.50043704174402</v>
      </c>
      <c r="Y135" s="1124">
        <f>12*$K135*'Crono Pessoal'!U135/1000</f>
        <v>438.50043704174402</v>
      </c>
      <c r="Z135" s="1124">
        <f>12*$K135*'Crono Pessoal'!V135/1000</f>
        <v>438.50043704174402</v>
      </c>
      <c r="AA135" s="1124">
        <f>12*$K135*'Crono Pessoal'!W135/1000</f>
        <v>438.50043704174402</v>
      </c>
      <c r="AB135" s="1124">
        <f>12*$K135*'Crono Pessoal'!X135/1000</f>
        <v>438.50043704174402</v>
      </c>
      <c r="AC135" s="1124">
        <f>12*$K135*'Crono Pessoal'!Y135/1000</f>
        <v>438.50043704174402</v>
      </c>
      <c r="AD135" s="1124">
        <f>12*$K135*'Crono Pessoal'!Z135/1000</f>
        <v>438.50043704174402</v>
      </c>
      <c r="AE135" s="1124">
        <f>12*$K135*'Crono Pessoal'!AA135/1000</f>
        <v>438.50043704174402</v>
      </c>
      <c r="AF135" s="1124">
        <f>12*$K135*'Crono Pessoal'!AB135/1000</f>
        <v>438.50043704174402</v>
      </c>
      <c r="AG135" s="1124">
        <f>12*$K135*'Crono Pessoal'!AC135/1000</f>
        <v>438.50043704174402</v>
      </c>
      <c r="AH135" s="1124">
        <f>12*$K135*'Crono Pessoal'!AD135/1000</f>
        <v>438.50043704174402</v>
      </c>
      <c r="AI135" s="1124">
        <f>12*$K135*'Crono Pessoal'!AE135/1000</f>
        <v>438.50043704174402</v>
      </c>
      <c r="AJ135" s="1124">
        <f>12*$K135*'Crono Pessoal'!AF135/1000</f>
        <v>438.50043704174402</v>
      </c>
      <c r="AK135" s="1124">
        <f>12*$K135*'Crono Pessoal'!AG135/1000</f>
        <v>438.50043704174402</v>
      </c>
      <c r="AL135" s="1124">
        <f>12*$K135*'Crono Pessoal'!AH135/1000</f>
        <v>438.50043704174402</v>
      </c>
      <c r="AM135" s="1124">
        <f>12*$K135*'Crono Pessoal'!AI135/1000</f>
        <v>438.50043704174402</v>
      </c>
      <c r="AN135" s="1124">
        <f>12*$K135*'Crono Pessoal'!AJ135/1000</f>
        <v>438.50043704174402</v>
      </c>
      <c r="AO135" s="1124">
        <f>12*$K135*'Crono Pessoal'!AK135/1000</f>
        <v>438.50043704174402</v>
      </c>
      <c r="AP135" s="1124">
        <f>12*$K135*'Crono Pessoal'!AL135/1000</f>
        <v>438.50043704174402</v>
      </c>
    </row>
    <row r="136" spans="1:42">
      <c r="A136" s="595"/>
      <c r="B136" s="598"/>
      <c r="C136" s="599"/>
      <c r="D136" s="260" t="s">
        <v>855</v>
      </c>
      <c r="E136" s="260">
        <v>3</v>
      </c>
      <c r="F136" s="1130" t="s">
        <v>859</v>
      </c>
      <c r="G136" s="1132" t="str">
        <f>VLOOKUP($F136,SALARIOSS!$D$6:$H$203,2,0)</f>
        <v>Auxiliar de Pista</v>
      </c>
      <c r="H136" s="1121">
        <f>VLOOKUP($F136,SALARIOSS!$D$6:$I$203,6,0)</f>
        <v>1483.4880000000003</v>
      </c>
      <c r="I136" s="1121">
        <f>VLOOKUP($F136,Funções!$D$9:$K$200,5,0)+VLOOKUP($F136,Funções!$D$9:$K$200,6,0)</f>
        <v>2152.9330400000003</v>
      </c>
      <c r="J136" s="1121">
        <f>VLOOKUP($F136,Funções!$D$9:$K$200,7,0)</f>
        <v>95</v>
      </c>
      <c r="K136" s="1122">
        <f>SUM(H136:J136)</f>
        <v>3731.4210400000006</v>
      </c>
      <c r="L136" s="1123">
        <f>SUM(M136:AP136)</f>
        <v>11848.008086207998</v>
      </c>
      <c r="M136" s="1124">
        <f>12*$K136*'Crono Pessoal'!I136/1000</f>
        <v>394.93360287360008</v>
      </c>
      <c r="N136" s="1124">
        <f>12*$K136*'Crono Pessoal'!J136/1000</f>
        <v>394.93360287360008</v>
      </c>
      <c r="O136" s="1124">
        <f>12*$K136*'Crono Pessoal'!K136/1000</f>
        <v>394.93360287360008</v>
      </c>
      <c r="P136" s="1124">
        <f>12*$K136*'Crono Pessoal'!L136/1000</f>
        <v>394.93360287360008</v>
      </c>
      <c r="Q136" s="1124">
        <f>12*$K136*'Crono Pessoal'!M136/1000</f>
        <v>394.93360287360008</v>
      </c>
      <c r="R136" s="1124">
        <f>12*$K136*'Crono Pessoal'!N136/1000</f>
        <v>394.93360287360008</v>
      </c>
      <c r="S136" s="1124">
        <f>12*$K136*'Crono Pessoal'!O136/1000</f>
        <v>394.93360287360008</v>
      </c>
      <c r="T136" s="1124">
        <f>12*$K136*'Crono Pessoal'!P136/1000</f>
        <v>394.93360287360008</v>
      </c>
      <c r="U136" s="1124">
        <f>12*$K136*'Crono Pessoal'!Q136/1000</f>
        <v>394.93360287360008</v>
      </c>
      <c r="V136" s="1124">
        <f>12*$K136*'Crono Pessoal'!R136/1000</f>
        <v>394.93360287360008</v>
      </c>
      <c r="W136" s="1124">
        <f>12*$K136*'Crono Pessoal'!S136/1000</f>
        <v>394.93360287360008</v>
      </c>
      <c r="X136" s="1124">
        <f>12*$K136*'Crono Pessoal'!T136/1000</f>
        <v>394.93360287360008</v>
      </c>
      <c r="Y136" s="1124">
        <f>12*$K136*'Crono Pessoal'!U136/1000</f>
        <v>394.93360287360008</v>
      </c>
      <c r="Z136" s="1124">
        <f>12*$K136*'Crono Pessoal'!V136/1000</f>
        <v>394.93360287360008</v>
      </c>
      <c r="AA136" s="1124">
        <f>12*$K136*'Crono Pessoal'!W136/1000</f>
        <v>394.93360287360008</v>
      </c>
      <c r="AB136" s="1124">
        <f>12*$K136*'Crono Pessoal'!X136/1000</f>
        <v>394.93360287360008</v>
      </c>
      <c r="AC136" s="1124">
        <f>12*$K136*'Crono Pessoal'!Y136/1000</f>
        <v>394.93360287360008</v>
      </c>
      <c r="AD136" s="1124">
        <f>12*$K136*'Crono Pessoal'!Z136/1000</f>
        <v>394.93360287360008</v>
      </c>
      <c r="AE136" s="1124">
        <f>12*$K136*'Crono Pessoal'!AA136/1000</f>
        <v>394.93360287360008</v>
      </c>
      <c r="AF136" s="1124">
        <f>12*$K136*'Crono Pessoal'!AB136/1000</f>
        <v>394.93360287360008</v>
      </c>
      <c r="AG136" s="1124">
        <f>12*$K136*'Crono Pessoal'!AC136/1000</f>
        <v>394.93360287360008</v>
      </c>
      <c r="AH136" s="1124">
        <f>12*$K136*'Crono Pessoal'!AD136/1000</f>
        <v>394.93360287360008</v>
      </c>
      <c r="AI136" s="1124">
        <f>12*$K136*'Crono Pessoal'!AE136/1000</f>
        <v>394.93360287360008</v>
      </c>
      <c r="AJ136" s="1124">
        <f>12*$K136*'Crono Pessoal'!AF136/1000</f>
        <v>394.93360287360008</v>
      </c>
      <c r="AK136" s="1124">
        <f>12*$K136*'Crono Pessoal'!AG136/1000</f>
        <v>394.93360287360008</v>
      </c>
      <c r="AL136" s="1124">
        <f>12*$K136*'Crono Pessoal'!AH136/1000</f>
        <v>394.93360287360008</v>
      </c>
      <c r="AM136" s="1124">
        <f>12*$K136*'Crono Pessoal'!AI136/1000</f>
        <v>394.93360287360008</v>
      </c>
      <c r="AN136" s="1124">
        <f>12*$K136*'Crono Pessoal'!AJ136/1000</f>
        <v>394.93360287360008</v>
      </c>
      <c r="AO136" s="1124">
        <f>12*$K136*'Crono Pessoal'!AK136/1000</f>
        <v>394.93360287360008</v>
      </c>
      <c r="AP136" s="1124">
        <f>12*$K136*'Crono Pessoal'!AL136/1000</f>
        <v>394.93360287360008</v>
      </c>
    </row>
    <row r="137" spans="1:42">
      <c r="A137" s="595"/>
      <c r="B137" s="598"/>
      <c r="C137" s="599"/>
      <c r="D137" s="260"/>
      <c r="E137" s="260"/>
      <c r="F137" s="1132"/>
      <c r="G137" s="1126" t="s">
        <v>860</v>
      </c>
      <c r="H137" s="1133"/>
      <c r="I137" s="1133"/>
      <c r="J137" s="1133"/>
      <c r="K137" s="1133"/>
      <c r="L137" s="1134"/>
      <c r="M137" s="1135"/>
      <c r="N137" s="1135"/>
      <c r="O137" s="1135"/>
      <c r="P137" s="1135"/>
      <c r="Q137" s="1135"/>
      <c r="R137" s="1135"/>
      <c r="S137" s="1135"/>
      <c r="T137" s="1135"/>
      <c r="U137" s="1135"/>
      <c r="V137" s="1135"/>
      <c r="W137" s="1135"/>
      <c r="X137" s="1135"/>
      <c r="Y137" s="1135"/>
      <c r="Z137" s="1135"/>
      <c r="AA137" s="1135"/>
      <c r="AB137" s="1135"/>
      <c r="AC137" s="1135"/>
      <c r="AD137" s="1135"/>
      <c r="AE137" s="1135"/>
      <c r="AF137" s="1135"/>
      <c r="AG137" s="1135"/>
      <c r="AH137" s="1135"/>
      <c r="AI137" s="1135"/>
      <c r="AJ137" s="1135"/>
      <c r="AK137" s="1135"/>
      <c r="AL137" s="1135"/>
      <c r="AM137" s="1135"/>
      <c r="AN137" s="1135"/>
      <c r="AO137" s="1135"/>
      <c r="AP137" s="1135"/>
    </row>
    <row r="138" spans="1:42">
      <c r="A138" s="595"/>
      <c r="B138" s="598"/>
      <c r="C138" s="599"/>
      <c r="D138" s="260" t="s">
        <v>861</v>
      </c>
      <c r="E138" s="260">
        <v>11</v>
      </c>
      <c r="F138" s="1130" t="s">
        <v>862</v>
      </c>
      <c r="G138" s="1132" t="str">
        <f>VLOOKUP($F138,SALARIOSS!$D$6:$H$203,2,0)</f>
        <v>Supervisor de Pedágio</v>
      </c>
      <c r="H138" s="1121">
        <f>VLOOKUP($F138,SALARIOSS!$D$6:$I$203,6,0)</f>
        <v>2861.7138</v>
      </c>
      <c r="I138" s="1121">
        <f>VLOOKUP($F138,Funções!$D$9:$K$200,5,0)+VLOOKUP($F138,Funções!$D$9:$K$200,6,0)</f>
        <v>3382.9995665000001</v>
      </c>
      <c r="J138" s="1121">
        <f>VLOOKUP($F138,Funções!$D$9:$K$200,7,0)</f>
        <v>95</v>
      </c>
      <c r="K138" s="1122">
        <f t="shared" ref="K138:K143" si="7">SUM(H138:J138)</f>
        <v>6339.7133665000001</v>
      </c>
      <c r="L138" s="1123">
        <f>SUM(M138:AP138)</f>
        <v>0</v>
      </c>
      <c r="M138" s="1124">
        <f>12*$K138*'Crono Pessoal'!I138/1000/3</f>
        <v>0</v>
      </c>
      <c r="N138" s="1124">
        <f>12*$K138*'Crono Pessoal'!J138/1000</f>
        <v>0</v>
      </c>
      <c r="O138" s="1124">
        <f>12*$K138*'Crono Pessoal'!K138/1000</f>
        <v>0</v>
      </c>
      <c r="P138" s="1124">
        <f>12*$K138*'Crono Pessoal'!L138/1000</f>
        <v>0</v>
      </c>
      <c r="Q138" s="1124">
        <f>12*$K138*'Crono Pessoal'!M138/1000</f>
        <v>0</v>
      </c>
      <c r="R138" s="1124">
        <f>12*$K138*'Crono Pessoal'!N138/1000</f>
        <v>0</v>
      </c>
      <c r="S138" s="1124">
        <f>12*$K138*'Crono Pessoal'!O138/1000</f>
        <v>0</v>
      </c>
      <c r="T138" s="1124">
        <f>12*$K138*'Crono Pessoal'!P138/1000</f>
        <v>0</v>
      </c>
      <c r="U138" s="1124">
        <f>12*$K138*'Crono Pessoal'!Q138/1000</f>
        <v>0</v>
      </c>
      <c r="V138" s="1124">
        <f>12*$K138*'Crono Pessoal'!R138/1000</f>
        <v>0</v>
      </c>
      <c r="W138" s="1124">
        <f>12*$K138*'Crono Pessoal'!S138/1000</f>
        <v>0</v>
      </c>
      <c r="X138" s="1124">
        <f>12*$K138*'Crono Pessoal'!T138/1000</f>
        <v>0</v>
      </c>
      <c r="Y138" s="1124">
        <f>12*$K138*'Crono Pessoal'!U138/1000</f>
        <v>0</v>
      </c>
      <c r="Z138" s="1124">
        <f>12*$K138*'Crono Pessoal'!V138/1000</f>
        <v>0</v>
      </c>
      <c r="AA138" s="1124">
        <f>12*$K138*'Crono Pessoal'!W138/1000</f>
        <v>0</v>
      </c>
      <c r="AB138" s="1124">
        <f>12*$K138*'Crono Pessoal'!X138/1000</f>
        <v>0</v>
      </c>
      <c r="AC138" s="1124">
        <f>12*$K138*'Crono Pessoal'!Y138/1000</f>
        <v>0</v>
      </c>
      <c r="AD138" s="1124">
        <f>12*$K138*'Crono Pessoal'!Z138/1000</f>
        <v>0</v>
      </c>
      <c r="AE138" s="1124">
        <f>12*$K138*'Crono Pessoal'!AA138/1000</f>
        <v>0</v>
      </c>
      <c r="AF138" s="1124">
        <f>12*$K138*'Crono Pessoal'!AB138/1000</f>
        <v>0</v>
      </c>
      <c r="AG138" s="1124">
        <f>12*$K138*'Crono Pessoal'!AC138/1000</f>
        <v>0</v>
      </c>
      <c r="AH138" s="1124">
        <f>12*$K138*'Crono Pessoal'!AD138/1000</f>
        <v>0</v>
      </c>
      <c r="AI138" s="1124">
        <f>12*$K138*'Crono Pessoal'!AE138/1000</f>
        <v>0</v>
      </c>
      <c r="AJ138" s="1124">
        <f>12*$K138*'Crono Pessoal'!AF138/1000</f>
        <v>0</v>
      </c>
      <c r="AK138" s="1124">
        <f>12*$K138*'Crono Pessoal'!AG138/1000</f>
        <v>0</v>
      </c>
      <c r="AL138" s="1124">
        <f>12*$K138*'Crono Pessoal'!AH138/1000</f>
        <v>0</v>
      </c>
      <c r="AM138" s="1124">
        <f>12*$K138*'Crono Pessoal'!AI138/1000</f>
        <v>0</v>
      </c>
      <c r="AN138" s="1124">
        <f>12*$K138*'Crono Pessoal'!AJ138/1000</f>
        <v>0</v>
      </c>
      <c r="AO138" s="1124">
        <f>12*$K138*'Crono Pessoal'!AK138/1000</f>
        <v>0</v>
      </c>
      <c r="AP138" s="1124">
        <f>12*$K138*'Crono Pessoal'!AL138/1000</f>
        <v>0</v>
      </c>
    </row>
    <row r="139" spans="1:42">
      <c r="A139" s="595"/>
      <c r="B139" s="598"/>
      <c r="C139" s="599"/>
      <c r="D139" s="260" t="s">
        <v>861</v>
      </c>
      <c r="E139" s="260">
        <v>11</v>
      </c>
      <c r="F139" s="1129" t="s">
        <v>863</v>
      </c>
      <c r="G139" s="1132" t="str">
        <f>VLOOKUP($F139,SALARIOSS!$D$6:$H$203,2,0)</f>
        <v>Agente Líder</v>
      </c>
      <c r="H139" s="1121">
        <f>VLOOKUP($F139,SALARIOSS!$D$6:$I$203,6,0)</f>
        <v>1545.6636000000001</v>
      </c>
      <c r="I139" s="1121">
        <f>VLOOKUP($F139,Funções!$D$9:$K$200,5,0)+VLOOKUP($F139,Funções!$D$9:$K$200,6,0)</f>
        <v>2208.424763</v>
      </c>
      <c r="J139" s="1121">
        <f>VLOOKUP($F139,Funções!$D$9:$K$200,7,0)</f>
        <v>95</v>
      </c>
      <c r="K139" s="1122">
        <f t="shared" si="7"/>
        <v>3849.0883629999998</v>
      </c>
      <c r="L139" s="1123">
        <f t="shared" ref="L139:L143" si="8">SUM(M139:AP139)</f>
        <v>0</v>
      </c>
      <c r="M139" s="1124">
        <f>12*$K139*'Crono Pessoal'!I139/1000/3</f>
        <v>0</v>
      </c>
      <c r="N139" s="1124">
        <f>12*$K139*'Crono Pessoal'!J139/1000</f>
        <v>0</v>
      </c>
      <c r="O139" s="1124">
        <f>12*$K139*'Crono Pessoal'!K139/1000</f>
        <v>0</v>
      </c>
      <c r="P139" s="1124">
        <f>12*$K139*'Crono Pessoal'!L139/1000</f>
        <v>0</v>
      </c>
      <c r="Q139" s="1124">
        <f>12*$K139*'Crono Pessoal'!M139/1000</f>
        <v>0</v>
      </c>
      <c r="R139" s="1124">
        <f>12*$K139*'Crono Pessoal'!N139/1000</f>
        <v>0</v>
      </c>
      <c r="S139" s="1124">
        <f>12*$K139*'Crono Pessoal'!O139/1000</f>
        <v>0</v>
      </c>
      <c r="T139" s="1124">
        <f>12*$K139*'Crono Pessoal'!P139/1000</f>
        <v>0</v>
      </c>
      <c r="U139" s="1124">
        <f>12*$K139*'Crono Pessoal'!Q139/1000</f>
        <v>0</v>
      </c>
      <c r="V139" s="1124">
        <f>12*$K139*'Crono Pessoal'!R139/1000</f>
        <v>0</v>
      </c>
      <c r="W139" s="1124">
        <f>12*$K139*'Crono Pessoal'!S139/1000</f>
        <v>0</v>
      </c>
      <c r="X139" s="1124">
        <f>12*$K139*'Crono Pessoal'!T139/1000</f>
        <v>0</v>
      </c>
      <c r="Y139" s="1124">
        <f>12*$K139*'Crono Pessoal'!U139/1000</f>
        <v>0</v>
      </c>
      <c r="Z139" s="1124">
        <f>12*$K139*'Crono Pessoal'!V139/1000</f>
        <v>0</v>
      </c>
      <c r="AA139" s="1124">
        <f>12*$K139*'Crono Pessoal'!W139/1000</f>
        <v>0</v>
      </c>
      <c r="AB139" s="1124">
        <f>12*$K139*'Crono Pessoal'!X139/1000</f>
        <v>0</v>
      </c>
      <c r="AC139" s="1124">
        <f>12*$K139*'Crono Pessoal'!Y139/1000</f>
        <v>0</v>
      </c>
      <c r="AD139" s="1124">
        <f>12*$K139*'Crono Pessoal'!Z139/1000</f>
        <v>0</v>
      </c>
      <c r="AE139" s="1124">
        <f>12*$K139*'Crono Pessoal'!AA139/1000</f>
        <v>0</v>
      </c>
      <c r="AF139" s="1124">
        <f>12*$K139*'Crono Pessoal'!AB139/1000</f>
        <v>0</v>
      </c>
      <c r="AG139" s="1124">
        <f>12*$K139*'Crono Pessoal'!AC139/1000</f>
        <v>0</v>
      </c>
      <c r="AH139" s="1124">
        <f>12*$K139*'Crono Pessoal'!AD139/1000</f>
        <v>0</v>
      </c>
      <c r="AI139" s="1124">
        <f>12*$K139*'Crono Pessoal'!AE139/1000</f>
        <v>0</v>
      </c>
      <c r="AJ139" s="1124">
        <f>12*$K139*'Crono Pessoal'!AF139/1000</f>
        <v>0</v>
      </c>
      <c r="AK139" s="1124">
        <f>12*$K139*'Crono Pessoal'!AG139/1000</f>
        <v>0</v>
      </c>
      <c r="AL139" s="1124">
        <f>12*$K139*'Crono Pessoal'!AH139/1000</f>
        <v>0</v>
      </c>
      <c r="AM139" s="1124">
        <f>12*$K139*'Crono Pessoal'!AI139/1000</f>
        <v>0</v>
      </c>
      <c r="AN139" s="1124">
        <f>12*$K139*'Crono Pessoal'!AJ139/1000</f>
        <v>0</v>
      </c>
      <c r="AO139" s="1124">
        <f>12*$K139*'Crono Pessoal'!AK139/1000</f>
        <v>0</v>
      </c>
      <c r="AP139" s="1124">
        <f>12*$K139*'Crono Pessoal'!AL139/1000</f>
        <v>0</v>
      </c>
    </row>
    <row r="140" spans="1:42">
      <c r="A140" s="595"/>
      <c r="B140" s="598"/>
      <c r="C140" s="599"/>
      <c r="D140" s="260" t="s">
        <v>861</v>
      </c>
      <c r="E140" s="260">
        <v>11</v>
      </c>
      <c r="F140" s="1130" t="s">
        <v>864</v>
      </c>
      <c r="G140" s="1132" t="str">
        <f>VLOOKUP($F140,SALARIOSS!$D$6:$H$203,2,0)</f>
        <v>Conferente</v>
      </c>
      <c r="H140" s="1121">
        <f>VLOOKUP($F140,SALARIOSS!$D$6:$I$203,6,0)</f>
        <v>1483.4880000000003</v>
      </c>
      <c r="I140" s="1121">
        <f>VLOOKUP($F140,Funções!$D$9:$K$200,5,0)+VLOOKUP($F140,Funções!$D$9:$K$200,6,0)</f>
        <v>2152.9330400000003</v>
      </c>
      <c r="J140" s="1121">
        <f>VLOOKUP($F140,Funções!$D$9:$K$200,7,0)</f>
        <v>95</v>
      </c>
      <c r="K140" s="1122">
        <f t="shared" si="7"/>
        <v>3731.4210400000006</v>
      </c>
      <c r="L140" s="1123">
        <f t="shared" si="8"/>
        <v>0</v>
      </c>
      <c r="M140" s="1124">
        <f>12*$K140*'Crono Pessoal'!I140/1000</f>
        <v>0</v>
      </c>
      <c r="N140" s="1124">
        <f>12*$K140*'Crono Pessoal'!J140/1000</f>
        <v>0</v>
      </c>
      <c r="O140" s="1124">
        <f>12*$K140*'Crono Pessoal'!K140/1000</f>
        <v>0</v>
      </c>
      <c r="P140" s="1124">
        <f>12*$K140*'Crono Pessoal'!L140/1000</f>
        <v>0</v>
      </c>
      <c r="Q140" s="1124">
        <f>12*$K140*'Crono Pessoal'!M140/1000</f>
        <v>0</v>
      </c>
      <c r="R140" s="1124">
        <f>12*$K140*'Crono Pessoal'!N140/1000</f>
        <v>0</v>
      </c>
      <c r="S140" s="1124">
        <f>12*$K140*'Crono Pessoal'!O140/1000</f>
        <v>0</v>
      </c>
      <c r="T140" s="1124">
        <f>12*$K140*'Crono Pessoal'!P140/1000</f>
        <v>0</v>
      </c>
      <c r="U140" s="1124">
        <f>12*$K140*'Crono Pessoal'!Q140/1000</f>
        <v>0</v>
      </c>
      <c r="V140" s="1124">
        <f>12*$K140*'Crono Pessoal'!R140/1000</f>
        <v>0</v>
      </c>
      <c r="W140" s="1124">
        <f>12*$K140*'Crono Pessoal'!S140/1000</f>
        <v>0</v>
      </c>
      <c r="X140" s="1124">
        <f>12*$K140*'Crono Pessoal'!T140/1000</f>
        <v>0</v>
      </c>
      <c r="Y140" s="1124">
        <f>12*$K140*'Crono Pessoal'!U140/1000</f>
        <v>0</v>
      </c>
      <c r="Z140" s="1124">
        <f>12*$K140*'Crono Pessoal'!V140/1000</f>
        <v>0</v>
      </c>
      <c r="AA140" s="1124">
        <f>12*$K140*'Crono Pessoal'!W140/1000</f>
        <v>0</v>
      </c>
      <c r="AB140" s="1124">
        <f>12*$K140*'Crono Pessoal'!X140/1000</f>
        <v>0</v>
      </c>
      <c r="AC140" s="1124">
        <f>12*$K140*'Crono Pessoal'!Y140/1000</f>
        <v>0</v>
      </c>
      <c r="AD140" s="1124">
        <f>12*$K140*'Crono Pessoal'!Z140/1000</f>
        <v>0</v>
      </c>
      <c r="AE140" s="1124">
        <f>12*$K140*'Crono Pessoal'!AA140/1000</f>
        <v>0</v>
      </c>
      <c r="AF140" s="1124">
        <f>12*$K140*'Crono Pessoal'!AB140/1000</f>
        <v>0</v>
      </c>
      <c r="AG140" s="1124">
        <f>12*$K140*'Crono Pessoal'!AC140/1000</f>
        <v>0</v>
      </c>
      <c r="AH140" s="1124">
        <f>12*$K140*'Crono Pessoal'!AD140/1000</f>
        <v>0</v>
      </c>
      <c r="AI140" s="1124">
        <f>12*$K140*'Crono Pessoal'!AE140/1000</f>
        <v>0</v>
      </c>
      <c r="AJ140" s="1124">
        <f>12*$K140*'Crono Pessoal'!AF140/1000</f>
        <v>0</v>
      </c>
      <c r="AK140" s="1124">
        <f>12*$K140*'Crono Pessoal'!AG140/1000</f>
        <v>0</v>
      </c>
      <c r="AL140" s="1124">
        <f>12*$K140*'Crono Pessoal'!AH140/1000</f>
        <v>0</v>
      </c>
      <c r="AM140" s="1124">
        <f>12*$K140*'Crono Pessoal'!AI140/1000</f>
        <v>0</v>
      </c>
      <c r="AN140" s="1124">
        <f>12*$K140*'Crono Pessoal'!AJ140/1000</f>
        <v>0</v>
      </c>
      <c r="AO140" s="1124">
        <f>12*$K140*'Crono Pessoal'!AK140/1000</f>
        <v>0</v>
      </c>
      <c r="AP140" s="1124">
        <f>12*$K140*'Crono Pessoal'!AL140/1000</f>
        <v>0</v>
      </c>
    </row>
    <row r="141" spans="1:42">
      <c r="A141" s="595"/>
      <c r="B141" s="598"/>
      <c r="C141" s="599"/>
      <c r="D141" s="260" t="s">
        <v>861</v>
      </c>
      <c r="E141" s="260">
        <v>11</v>
      </c>
      <c r="F141" s="1130" t="s">
        <v>859</v>
      </c>
      <c r="G141" s="1132" t="str">
        <f>VLOOKUP($F141,SALARIOSS!$D$6:$H$203,2,0)</f>
        <v>Auxiliar de Pista</v>
      </c>
      <c r="H141" s="1121">
        <f>VLOOKUP($F141,SALARIOSS!$D$6:$I$203,6,0)</f>
        <v>1483.4880000000003</v>
      </c>
      <c r="I141" s="1121">
        <f>VLOOKUP($F141,Funções!$D$9:$K$200,5,0)+VLOOKUP($F141,Funções!$D$9:$K$200,6,0)</f>
        <v>2152.9330400000003</v>
      </c>
      <c r="J141" s="1121">
        <f>VLOOKUP($F141,Funções!$D$9:$K$200,7,0)</f>
        <v>95</v>
      </c>
      <c r="K141" s="1122">
        <f t="shared" si="7"/>
        <v>3731.4210400000006</v>
      </c>
      <c r="L141" s="1123">
        <f t="shared" si="8"/>
        <v>0</v>
      </c>
      <c r="M141" s="1124">
        <f>12*$K141*'Crono Pessoal'!I141/1000/3</f>
        <v>0</v>
      </c>
      <c r="N141" s="1124">
        <f>12*$K141*'Crono Pessoal'!J141/1000</f>
        <v>0</v>
      </c>
      <c r="O141" s="1124">
        <f>12*$K141*'Crono Pessoal'!K141/1000</f>
        <v>0</v>
      </c>
      <c r="P141" s="1124">
        <f>12*$K141*'Crono Pessoal'!L141/1000</f>
        <v>0</v>
      </c>
      <c r="Q141" s="1124">
        <f>12*$K141*'Crono Pessoal'!M141/1000</f>
        <v>0</v>
      </c>
      <c r="R141" s="1124">
        <f>12*$K141*'Crono Pessoal'!N141/1000</f>
        <v>0</v>
      </c>
      <c r="S141" s="1124">
        <f>12*$K141*'Crono Pessoal'!O141/1000</f>
        <v>0</v>
      </c>
      <c r="T141" s="1124">
        <f>12*$K141*'Crono Pessoal'!P141/1000</f>
        <v>0</v>
      </c>
      <c r="U141" s="1124">
        <f>12*$K141*'Crono Pessoal'!Q141/1000</f>
        <v>0</v>
      </c>
      <c r="V141" s="1124">
        <f>12*$K141*'Crono Pessoal'!R141/1000</f>
        <v>0</v>
      </c>
      <c r="W141" s="1124">
        <f>12*$K141*'Crono Pessoal'!S141/1000</f>
        <v>0</v>
      </c>
      <c r="X141" s="1124">
        <f>12*$K141*'Crono Pessoal'!T141/1000</f>
        <v>0</v>
      </c>
      <c r="Y141" s="1124">
        <f>12*$K141*'Crono Pessoal'!U141/1000</f>
        <v>0</v>
      </c>
      <c r="Z141" s="1124">
        <f>12*$K141*'Crono Pessoal'!V141/1000</f>
        <v>0</v>
      </c>
      <c r="AA141" s="1124">
        <f>12*$K141*'Crono Pessoal'!W141/1000</f>
        <v>0</v>
      </c>
      <c r="AB141" s="1124">
        <f>12*$K141*'Crono Pessoal'!X141/1000</f>
        <v>0</v>
      </c>
      <c r="AC141" s="1124">
        <f>12*$K141*'Crono Pessoal'!Y141/1000</f>
        <v>0</v>
      </c>
      <c r="AD141" s="1124">
        <f>12*$K141*'Crono Pessoal'!Z141/1000</f>
        <v>0</v>
      </c>
      <c r="AE141" s="1124">
        <f>12*$K141*'Crono Pessoal'!AA141/1000</f>
        <v>0</v>
      </c>
      <c r="AF141" s="1124">
        <f>12*$K141*'Crono Pessoal'!AB141/1000</f>
        <v>0</v>
      </c>
      <c r="AG141" s="1124">
        <f>12*$K141*'Crono Pessoal'!AC141/1000</f>
        <v>0</v>
      </c>
      <c r="AH141" s="1124">
        <f>12*$K141*'Crono Pessoal'!AD141/1000</f>
        <v>0</v>
      </c>
      <c r="AI141" s="1124">
        <f>12*$K141*'Crono Pessoal'!AE141/1000</f>
        <v>0</v>
      </c>
      <c r="AJ141" s="1124">
        <f>12*$K141*'Crono Pessoal'!AF141/1000</f>
        <v>0</v>
      </c>
      <c r="AK141" s="1124">
        <f>12*$K141*'Crono Pessoal'!AG141/1000</f>
        <v>0</v>
      </c>
      <c r="AL141" s="1124">
        <f>12*$K141*'Crono Pessoal'!AH141/1000</f>
        <v>0</v>
      </c>
      <c r="AM141" s="1124">
        <f>12*$K141*'Crono Pessoal'!AI141/1000</f>
        <v>0</v>
      </c>
      <c r="AN141" s="1124">
        <f>12*$K141*'Crono Pessoal'!AJ141/1000</f>
        <v>0</v>
      </c>
      <c r="AO141" s="1124">
        <f>12*$K141*'Crono Pessoal'!AK141/1000</f>
        <v>0</v>
      </c>
      <c r="AP141" s="1124">
        <f>12*$K141*'Crono Pessoal'!AL141/1000</f>
        <v>0</v>
      </c>
    </row>
    <row r="142" spans="1:42">
      <c r="A142" s="595"/>
      <c r="B142" s="598"/>
      <c r="C142" s="599"/>
      <c r="D142" s="260" t="s">
        <v>861</v>
      </c>
      <c r="E142" s="260">
        <v>11</v>
      </c>
      <c r="F142" s="1130" t="s">
        <v>865</v>
      </c>
      <c r="G142" s="1132" t="str">
        <f>VLOOKUP($F142,SALARIOSS!$D$6:$H$203,2,0)</f>
        <v>Agente de Pedágio</v>
      </c>
      <c r="H142" s="1121">
        <f>VLOOKUP($F142,SALARIOSS!$D$6:$I$203,6,0)</f>
        <v>1432.9021500000003</v>
      </c>
      <c r="I142" s="1121">
        <f>VLOOKUP($F142,Funções!$D$9:$K$200,5,0)+VLOOKUP($F142,Funções!$D$9:$K$200,6,0)</f>
        <v>2107.7851688750006</v>
      </c>
      <c r="J142" s="1121">
        <f>VLOOKUP($F142,Funções!$D$9:$K$200,7,0)</f>
        <v>95</v>
      </c>
      <c r="K142" s="1122">
        <f t="shared" si="7"/>
        <v>3635.687318875001</v>
      </c>
      <c r="L142" s="1123">
        <f t="shared" si="8"/>
        <v>0</v>
      </c>
      <c r="M142" s="1124">
        <f>12*$K142*'Crono Pessoal'!I142/1000/3</f>
        <v>0</v>
      </c>
      <c r="N142" s="1124">
        <f>12*$K142*'Crono Pessoal'!J142/1000</f>
        <v>0</v>
      </c>
      <c r="O142" s="1124">
        <f>12*$K142*'Crono Pessoal'!K142/1000</f>
        <v>0</v>
      </c>
      <c r="P142" s="1124">
        <f>12*$K142*'Crono Pessoal'!L142/1000</f>
        <v>0</v>
      </c>
      <c r="Q142" s="1124">
        <f>12*$K142*'Crono Pessoal'!M142/1000</f>
        <v>0</v>
      </c>
      <c r="R142" s="1124">
        <f>12*$K142*'Crono Pessoal'!N142/1000</f>
        <v>0</v>
      </c>
      <c r="S142" s="1124">
        <f>12*$K142*'Crono Pessoal'!O142/1000</f>
        <v>0</v>
      </c>
      <c r="T142" s="1124">
        <f>12*$K142*'Crono Pessoal'!P142/1000</f>
        <v>0</v>
      </c>
      <c r="U142" s="1124">
        <f>12*$K142*'Crono Pessoal'!Q142/1000</f>
        <v>0</v>
      </c>
      <c r="V142" s="1124">
        <f>12*$K142*'Crono Pessoal'!R142/1000</f>
        <v>0</v>
      </c>
      <c r="W142" s="1124">
        <f>12*$K142*'Crono Pessoal'!S142/1000</f>
        <v>0</v>
      </c>
      <c r="X142" s="1124">
        <f>12*$K142*'Crono Pessoal'!T142/1000</f>
        <v>0</v>
      </c>
      <c r="Y142" s="1124">
        <f>12*$K142*'Crono Pessoal'!U142/1000</f>
        <v>0</v>
      </c>
      <c r="Z142" s="1124">
        <f>12*$K142*'Crono Pessoal'!V142/1000</f>
        <v>0</v>
      </c>
      <c r="AA142" s="1124">
        <f>12*$K142*'Crono Pessoal'!W142/1000</f>
        <v>0</v>
      </c>
      <c r="AB142" s="1124">
        <f>12*$K142*'Crono Pessoal'!X142/1000</f>
        <v>0</v>
      </c>
      <c r="AC142" s="1124">
        <f>12*$K142*'Crono Pessoal'!Y142/1000</f>
        <v>0</v>
      </c>
      <c r="AD142" s="1124">
        <f>12*$K142*'Crono Pessoal'!Z142/1000</f>
        <v>0</v>
      </c>
      <c r="AE142" s="1124">
        <f>12*$K142*'Crono Pessoal'!AA142/1000</f>
        <v>0</v>
      </c>
      <c r="AF142" s="1124">
        <f>12*$K142*'Crono Pessoal'!AB142/1000</f>
        <v>0</v>
      </c>
      <c r="AG142" s="1124">
        <f>12*$K142*'Crono Pessoal'!AC142/1000</f>
        <v>0</v>
      </c>
      <c r="AH142" s="1124">
        <f>12*$K142*'Crono Pessoal'!AD142/1000</f>
        <v>0</v>
      </c>
      <c r="AI142" s="1124">
        <f>12*$K142*'Crono Pessoal'!AE142/1000</f>
        <v>0</v>
      </c>
      <c r="AJ142" s="1124">
        <f>12*$K142*'Crono Pessoal'!AF142/1000</f>
        <v>0</v>
      </c>
      <c r="AK142" s="1124">
        <f>12*$K142*'Crono Pessoal'!AG142/1000</f>
        <v>0</v>
      </c>
      <c r="AL142" s="1124">
        <f>12*$K142*'Crono Pessoal'!AH142/1000</f>
        <v>0</v>
      </c>
      <c r="AM142" s="1124">
        <f>12*$K142*'Crono Pessoal'!AI142/1000</f>
        <v>0</v>
      </c>
      <c r="AN142" s="1124">
        <f>12*$K142*'Crono Pessoal'!AJ142/1000</f>
        <v>0</v>
      </c>
      <c r="AO142" s="1124">
        <f>12*$K142*'Crono Pessoal'!AK142/1000</f>
        <v>0</v>
      </c>
      <c r="AP142" s="1124">
        <f>12*$K142*'Crono Pessoal'!AL142/1000</f>
        <v>0</v>
      </c>
    </row>
    <row r="143" spans="1:42">
      <c r="A143" s="595"/>
      <c r="B143" s="598"/>
      <c r="C143" s="599"/>
      <c r="D143" s="260" t="s">
        <v>861</v>
      </c>
      <c r="E143" s="260">
        <v>11</v>
      </c>
      <c r="F143" s="1130" t="s">
        <v>806</v>
      </c>
      <c r="G143" s="1132" t="str">
        <f>VLOOKUP($F143,SALARIOSS!$D$6:$H$203,2,0)</f>
        <v>Ajudante</v>
      </c>
      <c r="H143" s="1121">
        <f>VLOOKUP($F143,SALARIOSS!$D$6:$I$203,6,0)</f>
        <v>1432.9021500000003</v>
      </c>
      <c r="I143" s="1121">
        <f>VLOOKUP($F143,Funções!$D$9:$K$200,5,0)+VLOOKUP($F143,Funções!$D$9:$K$200,6,0)</f>
        <v>2107.7851688750006</v>
      </c>
      <c r="J143" s="1121">
        <f>VLOOKUP($F143,Funções!$D$9:$K$200,7,0)</f>
        <v>95</v>
      </c>
      <c r="K143" s="1122">
        <f t="shared" si="7"/>
        <v>3635.687318875001</v>
      </c>
      <c r="L143" s="1123">
        <f t="shared" si="8"/>
        <v>0</v>
      </c>
      <c r="M143" s="1124">
        <f>12*$K143*'Crono Pessoal'!I143/1000</f>
        <v>0</v>
      </c>
      <c r="N143" s="1124">
        <f>12*$K143*'Crono Pessoal'!J143/1000</f>
        <v>0</v>
      </c>
      <c r="O143" s="1124">
        <f>12*$K143*'Crono Pessoal'!K143/1000</f>
        <v>0</v>
      </c>
      <c r="P143" s="1124">
        <f>12*$K143*'Crono Pessoal'!L143/1000</f>
        <v>0</v>
      </c>
      <c r="Q143" s="1124">
        <f>12*$K143*'Crono Pessoal'!M143/1000</f>
        <v>0</v>
      </c>
      <c r="R143" s="1124">
        <f>12*$K143*'Crono Pessoal'!N143/1000</f>
        <v>0</v>
      </c>
      <c r="S143" s="1124">
        <f>12*$K143*'Crono Pessoal'!O143/1000</f>
        <v>0</v>
      </c>
      <c r="T143" s="1124">
        <f>12*$K143*'Crono Pessoal'!P143/1000</f>
        <v>0</v>
      </c>
      <c r="U143" s="1124">
        <f>12*$K143*'Crono Pessoal'!Q143/1000</f>
        <v>0</v>
      </c>
      <c r="V143" s="1124">
        <f>12*$K143*'Crono Pessoal'!R143/1000</f>
        <v>0</v>
      </c>
      <c r="W143" s="1124">
        <f>12*$K143*'Crono Pessoal'!S143/1000</f>
        <v>0</v>
      </c>
      <c r="X143" s="1124">
        <f>12*$K143*'Crono Pessoal'!T143/1000</f>
        <v>0</v>
      </c>
      <c r="Y143" s="1124">
        <f>12*$K143*'Crono Pessoal'!U143/1000</f>
        <v>0</v>
      </c>
      <c r="Z143" s="1124">
        <f>12*$K143*'Crono Pessoal'!V143/1000</f>
        <v>0</v>
      </c>
      <c r="AA143" s="1124">
        <f>12*$K143*'Crono Pessoal'!W143/1000</f>
        <v>0</v>
      </c>
      <c r="AB143" s="1124">
        <f>12*$K143*'Crono Pessoal'!X143/1000</f>
        <v>0</v>
      </c>
      <c r="AC143" s="1124">
        <f>12*$K143*'Crono Pessoal'!Y143/1000</f>
        <v>0</v>
      </c>
      <c r="AD143" s="1124">
        <f>12*$K143*'Crono Pessoal'!Z143/1000</f>
        <v>0</v>
      </c>
      <c r="AE143" s="1124">
        <f>12*$K143*'Crono Pessoal'!AA143/1000</f>
        <v>0</v>
      </c>
      <c r="AF143" s="1124">
        <f>12*$K143*'Crono Pessoal'!AB143/1000</f>
        <v>0</v>
      </c>
      <c r="AG143" s="1124">
        <f>12*$K143*'Crono Pessoal'!AC143/1000</f>
        <v>0</v>
      </c>
      <c r="AH143" s="1124">
        <f>12*$K143*'Crono Pessoal'!AD143/1000</f>
        <v>0</v>
      </c>
      <c r="AI143" s="1124">
        <f>12*$K143*'Crono Pessoal'!AE143/1000</f>
        <v>0</v>
      </c>
      <c r="AJ143" s="1124">
        <f>12*$K143*'Crono Pessoal'!AF143/1000</f>
        <v>0</v>
      </c>
      <c r="AK143" s="1124">
        <f>12*$K143*'Crono Pessoal'!AG143/1000</f>
        <v>0</v>
      </c>
      <c r="AL143" s="1124">
        <f>12*$K143*'Crono Pessoal'!AH143/1000</f>
        <v>0</v>
      </c>
      <c r="AM143" s="1124">
        <f>12*$K143*'Crono Pessoal'!AI143/1000</f>
        <v>0</v>
      </c>
      <c r="AN143" s="1124">
        <f>12*$K143*'Crono Pessoal'!AJ143/1000</f>
        <v>0</v>
      </c>
      <c r="AO143" s="1124">
        <f>12*$K143*'Crono Pessoal'!AK143/1000</f>
        <v>0</v>
      </c>
      <c r="AP143" s="1124">
        <f>12*$K143*'Crono Pessoal'!AL143/1000</f>
        <v>0</v>
      </c>
    </row>
    <row r="144" spans="1:42">
      <c r="A144" s="595"/>
      <c r="B144" s="598"/>
      <c r="C144" s="599"/>
      <c r="D144" s="260"/>
      <c r="E144" s="260"/>
      <c r="F144" s="1129"/>
      <c r="G144" s="1126" t="s">
        <v>866</v>
      </c>
      <c r="H144" s="1133"/>
      <c r="I144" s="1133"/>
      <c r="J144" s="1133"/>
      <c r="K144" s="1133"/>
      <c r="L144" s="1134"/>
      <c r="M144" s="1135"/>
      <c r="N144" s="1135"/>
      <c r="O144" s="1135"/>
      <c r="P144" s="1135"/>
      <c r="Q144" s="1135"/>
      <c r="R144" s="1135"/>
      <c r="S144" s="1135"/>
      <c r="T144" s="1135"/>
      <c r="U144" s="1135"/>
      <c r="V144" s="1135"/>
      <c r="W144" s="1135"/>
      <c r="X144" s="1135"/>
      <c r="Y144" s="1135"/>
      <c r="Z144" s="1135"/>
      <c r="AA144" s="1135"/>
      <c r="AB144" s="1135"/>
      <c r="AC144" s="1135"/>
      <c r="AD144" s="1135"/>
      <c r="AE144" s="1135"/>
      <c r="AF144" s="1135"/>
      <c r="AG144" s="1135"/>
      <c r="AH144" s="1135"/>
      <c r="AI144" s="1135"/>
      <c r="AJ144" s="1135"/>
      <c r="AK144" s="1135"/>
      <c r="AL144" s="1135"/>
      <c r="AM144" s="1135"/>
      <c r="AN144" s="1135"/>
      <c r="AO144" s="1135"/>
      <c r="AP144" s="1135"/>
    </row>
    <row r="145" spans="1:42">
      <c r="A145" s="595"/>
      <c r="B145" s="598"/>
      <c r="C145" s="599"/>
      <c r="D145" s="260" t="s">
        <v>867</v>
      </c>
      <c r="E145" s="260">
        <v>4</v>
      </c>
      <c r="F145" s="1129" t="s">
        <v>868</v>
      </c>
      <c r="G145" s="1132" t="str">
        <f>VLOOKUP($F145,SALARIOSS!$D$6:$H$203,2,0)</f>
        <v>Supervisor de Balanças</v>
      </c>
      <c r="H145" s="1121">
        <f>VLOOKUP($F145,SALARIOSS!$D$6:$I$203,6,0)</f>
        <v>2861.7138</v>
      </c>
      <c r="I145" s="1121">
        <f>VLOOKUP($F145,Funções!$D$9:$K$200,5,0)+VLOOKUP($F145,Funções!$D$9:$K$200,6,0)</f>
        <v>3382.9995665000001</v>
      </c>
      <c r="J145" s="1121">
        <f>VLOOKUP($F145,Funções!$D$9:$K$200,7,0)</f>
        <v>95</v>
      </c>
      <c r="K145" s="1122">
        <f>SUM(H145:J145)</f>
        <v>6339.7133665000001</v>
      </c>
      <c r="L145" s="1123">
        <f>SUM(M145:AP145)</f>
        <v>2206.2202515420004</v>
      </c>
      <c r="M145" s="1124">
        <f>12*$K145*'Crono Pessoal'!I145/1000/3</f>
        <v>0</v>
      </c>
      <c r="N145" s="1124">
        <f>12*$K145*'Crono Pessoal'!J145/1000</f>
        <v>76.076560397999998</v>
      </c>
      <c r="O145" s="1124">
        <f>12*$K145*'Crono Pessoal'!K145/1000</f>
        <v>76.076560397999998</v>
      </c>
      <c r="P145" s="1124">
        <f>12*$K145*'Crono Pessoal'!L145/1000</f>
        <v>76.076560397999998</v>
      </c>
      <c r="Q145" s="1124">
        <f>12*$K145*'Crono Pessoal'!M145/1000</f>
        <v>76.076560397999998</v>
      </c>
      <c r="R145" s="1124">
        <f>12*$K145*'Crono Pessoal'!N145/1000</f>
        <v>76.076560397999998</v>
      </c>
      <c r="S145" s="1124">
        <f>12*$K145*'Crono Pessoal'!O145/1000</f>
        <v>76.076560397999998</v>
      </c>
      <c r="T145" s="1124">
        <f>12*$K145*'Crono Pessoal'!P145/1000</f>
        <v>76.076560397999998</v>
      </c>
      <c r="U145" s="1124">
        <f>12*$K145*'Crono Pessoal'!Q145/1000</f>
        <v>76.076560397999998</v>
      </c>
      <c r="V145" s="1124">
        <f>12*$K145*'Crono Pessoal'!R145/1000</f>
        <v>76.076560397999998</v>
      </c>
      <c r="W145" s="1124">
        <f>12*$K145*'Crono Pessoal'!S145/1000</f>
        <v>76.076560397999998</v>
      </c>
      <c r="X145" s="1124">
        <f>12*$K145*'Crono Pessoal'!T145/1000</f>
        <v>76.076560397999998</v>
      </c>
      <c r="Y145" s="1124">
        <f>12*$K145*'Crono Pessoal'!U145/1000</f>
        <v>76.076560397999998</v>
      </c>
      <c r="Z145" s="1124">
        <f>12*$K145*'Crono Pessoal'!V145/1000</f>
        <v>76.076560397999998</v>
      </c>
      <c r="AA145" s="1124">
        <f>12*$K145*'Crono Pessoal'!W145/1000</f>
        <v>76.076560397999998</v>
      </c>
      <c r="AB145" s="1124">
        <f>12*$K145*'Crono Pessoal'!X145/1000</f>
        <v>76.076560397999998</v>
      </c>
      <c r="AC145" s="1124">
        <f>12*$K145*'Crono Pessoal'!Y145/1000</f>
        <v>76.076560397999998</v>
      </c>
      <c r="AD145" s="1124">
        <f>12*$K145*'Crono Pessoal'!Z145/1000</f>
        <v>76.076560397999998</v>
      </c>
      <c r="AE145" s="1124">
        <f>12*$K145*'Crono Pessoal'!AA145/1000</f>
        <v>76.076560397999998</v>
      </c>
      <c r="AF145" s="1124">
        <f>12*$K145*'Crono Pessoal'!AB145/1000</f>
        <v>76.076560397999998</v>
      </c>
      <c r="AG145" s="1124">
        <f>12*$K145*'Crono Pessoal'!AC145/1000</f>
        <v>76.076560397999998</v>
      </c>
      <c r="AH145" s="1124">
        <f>12*$K145*'Crono Pessoal'!AD145/1000</f>
        <v>76.076560397999998</v>
      </c>
      <c r="AI145" s="1124">
        <f>12*$K145*'Crono Pessoal'!AE145/1000</f>
        <v>76.076560397999998</v>
      </c>
      <c r="AJ145" s="1124">
        <f>12*$K145*'Crono Pessoal'!AF145/1000</f>
        <v>76.076560397999998</v>
      </c>
      <c r="AK145" s="1124">
        <f>12*$K145*'Crono Pessoal'!AG145/1000</f>
        <v>76.076560397999998</v>
      </c>
      <c r="AL145" s="1124">
        <f>12*$K145*'Crono Pessoal'!AH145/1000</f>
        <v>76.076560397999998</v>
      </c>
      <c r="AM145" s="1124">
        <f>12*$K145*'Crono Pessoal'!AI145/1000</f>
        <v>76.076560397999998</v>
      </c>
      <c r="AN145" s="1124">
        <f>12*$K145*'Crono Pessoal'!AJ145/1000</f>
        <v>76.076560397999998</v>
      </c>
      <c r="AO145" s="1124">
        <f>12*$K145*'Crono Pessoal'!AK145/1000</f>
        <v>76.076560397999998</v>
      </c>
      <c r="AP145" s="1124">
        <f>12*$K145*'Crono Pessoal'!AL145/1000</f>
        <v>76.076560397999998</v>
      </c>
    </row>
    <row r="146" spans="1:42">
      <c r="A146" s="595"/>
      <c r="B146" s="598"/>
      <c r="C146" s="599"/>
      <c r="D146" s="260" t="s">
        <v>867</v>
      </c>
      <c r="E146" s="260">
        <v>4</v>
      </c>
      <c r="F146" s="1129" t="s">
        <v>869</v>
      </c>
      <c r="G146" s="1132" t="str">
        <f>VLOOKUP($F146,SALARIOSS!$D$6:$H$203,2,0)</f>
        <v>Agente Autuador</v>
      </c>
      <c r="H146" s="1121">
        <f>VLOOKUP($F146,SALARIOSS!$D$6:$I$203,6,0)</f>
        <v>1545.6636000000001</v>
      </c>
      <c r="I146" s="1121">
        <f>VLOOKUP($F146,Funções!$D$9:$K$200,5,0)+VLOOKUP($F146,Funções!$D$9:$K$200,6,0)</f>
        <v>2208.424763</v>
      </c>
      <c r="J146" s="1121">
        <f>VLOOKUP($F146,Funções!$D$9:$K$200,7,0)</f>
        <v>95</v>
      </c>
      <c r="K146" s="1122">
        <f>SUM(H146:J146)</f>
        <v>3849.0883629999998</v>
      </c>
      <c r="L146" s="1123">
        <f>SUM(M146:AP146)</f>
        <v>0</v>
      </c>
      <c r="M146" s="1124">
        <f>12*$K146*'Crono Pessoal'!I146/1000</f>
        <v>0</v>
      </c>
      <c r="N146" s="1124">
        <f>12*$K146*'Crono Pessoal'!J146/1000</f>
        <v>0</v>
      </c>
      <c r="O146" s="1124">
        <f>12*$K146*'Crono Pessoal'!K146/1000</f>
        <v>0</v>
      </c>
      <c r="P146" s="1124">
        <f>12*$K146*'Crono Pessoal'!L146/1000</f>
        <v>0</v>
      </c>
      <c r="Q146" s="1124">
        <f>12*$K146*'Crono Pessoal'!M146/1000</f>
        <v>0</v>
      </c>
      <c r="R146" s="1124">
        <f>12*$K146*'Crono Pessoal'!N146/1000</f>
        <v>0</v>
      </c>
      <c r="S146" s="1124">
        <f>12*$K146*'Crono Pessoal'!O146/1000</f>
        <v>0</v>
      </c>
      <c r="T146" s="1124">
        <f>12*$K146*'Crono Pessoal'!P146/1000</f>
        <v>0</v>
      </c>
      <c r="U146" s="1124">
        <f>12*$K146*'Crono Pessoal'!Q146/1000</f>
        <v>0</v>
      </c>
      <c r="V146" s="1124">
        <f>12*$K146*'Crono Pessoal'!R146/1000</f>
        <v>0</v>
      </c>
      <c r="W146" s="1124">
        <f>12*$K146*'Crono Pessoal'!S146/1000</f>
        <v>0</v>
      </c>
      <c r="X146" s="1124">
        <f>12*$K146*'Crono Pessoal'!T146/1000</f>
        <v>0</v>
      </c>
      <c r="Y146" s="1124">
        <f>12*$K146*'Crono Pessoal'!U146/1000</f>
        <v>0</v>
      </c>
      <c r="Z146" s="1124">
        <f>12*$K146*'Crono Pessoal'!V146/1000</f>
        <v>0</v>
      </c>
      <c r="AA146" s="1124">
        <f>12*$K146*'Crono Pessoal'!W146/1000</f>
        <v>0</v>
      </c>
      <c r="AB146" s="1124">
        <f>12*$K146*'Crono Pessoal'!X146/1000</f>
        <v>0</v>
      </c>
      <c r="AC146" s="1124">
        <f>12*$K146*'Crono Pessoal'!Y146/1000</f>
        <v>0</v>
      </c>
      <c r="AD146" s="1124">
        <f>12*$K146*'Crono Pessoal'!Z146/1000</f>
        <v>0</v>
      </c>
      <c r="AE146" s="1124">
        <f>12*$K146*'Crono Pessoal'!AA146/1000</f>
        <v>0</v>
      </c>
      <c r="AF146" s="1124">
        <f>12*$K146*'Crono Pessoal'!AB146/1000</f>
        <v>0</v>
      </c>
      <c r="AG146" s="1124">
        <f>12*$K146*'Crono Pessoal'!AC146/1000</f>
        <v>0</v>
      </c>
      <c r="AH146" s="1124">
        <f>12*$K146*'Crono Pessoal'!AD146/1000</f>
        <v>0</v>
      </c>
      <c r="AI146" s="1124">
        <f>12*$K146*'Crono Pessoal'!AE146/1000</f>
        <v>0</v>
      </c>
      <c r="AJ146" s="1124">
        <f>12*$K146*'Crono Pessoal'!AF146/1000</f>
        <v>0</v>
      </c>
      <c r="AK146" s="1124">
        <f>12*$K146*'Crono Pessoal'!AG146/1000</f>
        <v>0</v>
      </c>
      <c r="AL146" s="1124">
        <f>12*$K146*'Crono Pessoal'!AH146/1000</f>
        <v>0</v>
      </c>
      <c r="AM146" s="1124">
        <f>12*$K146*'Crono Pessoal'!AI146/1000</f>
        <v>0</v>
      </c>
      <c r="AN146" s="1124">
        <f>12*$K146*'Crono Pessoal'!AJ146/1000</f>
        <v>0</v>
      </c>
      <c r="AO146" s="1124">
        <f>12*$K146*'Crono Pessoal'!AK146/1000</f>
        <v>0</v>
      </c>
      <c r="AP146" s="1124">
        <f>12*$K146*'Crono Pessoal'!AL146/1000</f>
        <v>0</v>
      </c>
    </row>
    <row r="147" spans="1:42">
      <c r="A147" s="595"/>
      <c r="B147" s="598"/>
      <c r="C147" s="599"/>
      <c r="D147" s="260" t="s">
        <v>867</v>
      </c>
      <c r="E147" s="260">
        <v>4</v>
      </c>
      <c r="F147" s="1129" t="s">
        <v>870</v>
      </c>
      <c r="G147" s="1132" t="str">
        <f>VLOOKUP($F147,SALARIOSS!$D$6:$H$203,2,0)</f>
        <v>Operador de Balança</v>
      </c>
      <c r="H147" s="1121">
        <f>VLOOKUP($F147,SALARIOSS!$D$6:$I$203,6,0)</f>
        <v>1805.9557500000003</v>
      </c>
      <c r="I147" s="1121">
        <f>VLOOKUP($F147,Funções!$D$9:$K$200,5,0)+VLOOKUP($F147,Funções!$D$9:$K$200,6,0)</f>
        <v>2440.7355068750003</v>
      </c>
      <c r="J147" s="1121">
        <f>VLOOKUP($F147,Funções!$D$9:$K$200,7,0)</f>
        <v>95</v>
      </c>
      <c r="K147" s="1122">
        <f>SUM(H147:J147)</f>
        <v>4341.6912568750004</v>
      </c>
      <c r="L147" s="1123">
        <f>SUM(M147:AP147)</f>
        <v>9065.4513443549986</v>
      </c>
      <c r="M147" s="1124">
        <f>12*$K147*'Crono Pessoal'!I147/1000/3</f>
        <v>0</v>
      </c>
      <c r="N147" s="1124">
        <f>12*$K147*'Crono Pessoal'!J147/1000</f>
        <v>312.60177049499998</v>
      </c>
      <c r="O147" s="1124">
        <f>12*$K147*'Crono Pessoal'!K147/1000</f>
        <v>312.60177049499998</v>
      </c>
      <c r="P147" s="1124">
        <f>12*$K147*'Crono Pessoal'!L147/1000</f>
        <v>312.60177049499998</v>
      </c>
      <c r="Q147" s="1124">
        <f>12*$K147*'Crono Pessoal'!M147/1000</f>
        <v>312.60177049499998</v>
      </c>
      <c r="R147" s="1124">
        <f>12*$K147*'Crono Pessoal'!N147/1000</f>
        <v>312.60177049499998</v>
      </c>
      <c r="S147" s="1124">
        <f>12*$K147*'Crono Pessoal'!O147/1000</f>
        <v>312.60177049499998</v>
      </c>
      <c r="T147" s="1124">
        <f>12*$K147*'Crono Pessoal'!P147/1000</f>
        <v>312.60177049499998</v>
      </c>
      <c r="U147" s="1124">
        <f>12*$K147*'Crono Pessoal'!Q147/1000</f>
        <v>312.60177049499998</v>
      </c>
      <c r="V147" s="1124">
        <f>12*$K147*'Crono Pessoal'!R147/1000</f>
        <v>312.60177049499998</v>
      </c>
      <c r="W147" s="1124">
        <f>12*$K147*'Crono Pessoal'!S147/1000</f>
        <v>312.60177049499998</v>
      </c>
      <c r="X147" s="1124">
        <f>12*$K147*'Crono Pessoal'!T147/1000</f>
        <v>312.60177049499998</v>
      </c>
      <c r="Y147" s="1124">
        <f>12*$K147*'Crono Pessoal'!U147/1000</f>
        <v>312.60177049499998</v>
      </c>
      <c r="Z147" s="1124">
        <f>12*$K147*'Crono Pessoal'!V147/1000</f>
        <v>312.60177049499998</v>
      </c>
      <c r="AA147" s="1124">
        <f>12*$K147*'Crono Pessoal'!W147/1000</f>
        <v>312.60177049499998</v>
      </c>
      <c r="AB147" s="1124">
        <f>12*$K147*'Crono Pessoal'!X147/1000</f>
        <v>312.60177049499998</v>
      </c>
      <c r="AC147" s="1124">
        <f>12*$K147*'Crono Pessoal'!Y147/1000</f>
        <v>312.60177049499998</v>
      </c>
      <c r="AD147" s="1124">
        <f>12*$K147*'Crono Pessoal'!Z147/1000</f>
        <v>312.60177049499998</v>
      </c>
      <c r="AE147" s="1124">
        <f>12*$K147*'Crono Pessoal'!AA147/1000</f>
        <v>312.60177049499998</v>
      </c>
      <c r="AF147" s="1124">
        <f>12*$K147*'Crono Pessoal'!AB147/1000</f>
        <v>312.60177049499998</v>
      </c>
      <c r="AG147" s="1124">
        <f>12*$K147*'Crono Pessoal'!AC147/1000</f>
        <v>312.60177049499998</v>
      </c>
      <c r="AH147" s="1124">
        <f>12*$K147*'Crono Pessoal'!AD147/1000</f>
        <v>312.60177049499998</v>
      </c>
      <c r="AI147" s="1124">
        <f>12*$K147*'Crono Pessoal'!AE147/1000</f>
        <v>312.60177049499998</v>
      </c>
      <c r="AJ147" s="1124">
        <f>12*$K147*'Crono Pessoal'!AF147/1000</f>
        <v>312.60177049499998</v>
      </c>
      <c r="AK147" s="1124">
        <f>12*$K147*'Crono Pessoal'!AG147/1000</f>
        <v>312.60177049499998</v>
      </c>
      <c r="AL147" s="1124">
        <f>12*$K147*'Crono Pessoal'!AH147/1000</f>
        <v>312.60177049499998</v>
      </c>
      <c r="AM147" s="1124">
        <f>12*$K147*'Crono Pessoal'!AI147/1000</f>
        <v>312.60177049499998</v>
      </c>
      <c r="AN147" s="1124">
        <f>12*$K147*'Crono Pessoal'!AJ147/1000</f>
        <v>312.60177049499998</v>
      </c>
      <c r="AO147" s="1124">
        <f>12*$K147*'Crono Pessoal'!AK147/1000</f>
        <v>312.60177049499998</v>
      </c>
      <c r="AP147" s="1124">
        <f>12*$K147*'Crono Pessoal'!AL147/1000</f>
        <v>312.60177049499998</v>
      </c>
    </row>
    <row r="148" spans="1:42">
      <c r="A148" s="595"/>
      <c r="B148" s="598"/>
      <c r="C148" s="599"/>
      <c r="D148" s="260" t="s">
        <v>867</v>
      </c>
      <c r="E148" s="260">
        <v>4</v>
      </c>
      <c r="F148" s="1136" t="s">
        <v>859</v>
      </c>
      <c r="G148" s="1132" t="str">
        <f>VLOOKUP($F148,SALARIOSS!$D$6:$H$203,2,0)</f>
        <v>Auxiliar de Pista</v>
      </c>
      <c r="H148" s="1121">
        <f>VLOOKUP($F148,SALARIOSS!$D$6:$I$203,6,0)</f>
        <v>1483.4880000000003</v>
      </c>
      <c r="I148" s="1121">
        <f>VLOOKUP($F148,Funções!$D$9:$K$200,5,0)+VLOOKUP($F148,Funções!$D$9:$K$200,6,0)</f>
        <v>2152.9330400000003</v>
      </c>
      <c r="J148" s="1121">
        <f>VLOOKUP($F148,Funções!$D$9:$K$200,7,0)</f>
        <v>95</v>
      </c>
      <c r="K148" s="1122">
        <f>SUM(H148:J148)</f>
        <v>3731.4210400000006</v>
      </c>
      <c r="L148" s="1123">
        <f>SUM(M148:AP148)</f>
        <v>7791.2071315199992</v>
      </c>
      <c r="M148" s="1124">
        <f>12*$K148*'Crono Pessoal'!I148/1000/3</f>
        <v>0</v>
      </c>
      <c r="N148" s="1124">
        <f>12*$K148*'Crono Pessoal'!J148/1000</f>
        <v>268.66231488</v>
      </c>
      <c r="O148" s="1124">
        <f>12*$K148*'Crono Pessoal'!K148/1000</f>
        <v>268.66231488</v>
      </c>
      <c r="P148" s="1124">
        <f>12*$K148*'Crono Pessoal'!L148/1000</f>
        <v>268.66231488</v>
      </c>
      <c r="Q148" s="1124">
        <f>12*$K148*'Crono Pessoal'!M148/1000</f>
        <v>268.66231488</v>
      </c>
      <c r="R148" s="1124">
        <f>12*$K148*'Crono Pessoal'!N148/1000</f>
        <v>268.66231488</v>
      </c>
      <c r="S148" s="1124">
        <f>12*$K148*'Crono Pessoal'!O148/1000</f>
        <v>268.66231488</v>
      </c>
      <c r="T148" s="1124">
        <f>12*$K148*'Crono Pessoal'!P148/1000</f>
        <v>268.66231488</v>
      </c>
      <c r="U148" s="1124">
        <f>12*$K148*'Crono Pessoal'!Q148/1000</f>
        <v>268.66231488</v>
      </c>
      <c r="V148" s="1124">
        <f>12*$K148*'Crono Pessoal'!R148/1000</f>
        <v>268.66231488</v>
      </c>
      <c r="W148" s="1124">
        <f>12*$K148*'Crono Pessoal'!S148/1000</f>
        <v>268.66231488</v>
      </c>
      <c r="X148" s="1124">
        <f>12*$K148*'Crono Pessoal'!T148/1000</f>
        <v>268.66231488</v>
      </c>
      <c r="Y148" s="1124">
        <f>12*$K148*'Crono Pessoal'!U148/1000</f>
        <v>268.66231488</v>
      </c>
      <c r="Z148" s="1124">
        <f>12*$K148*'Crono Pessoal'!V148/1000</f>
        <v>268.66231488</v>
      </c>
      <c r="AA148" s="1124">
        <f>12*$K148*'Crono Pessoal'!W148/1000</f>
        <v>268.66231488</v>
      </c>
      <c r="AB148" s="1124">
        <f>12*$K148*'Crono Pessoal'!X148/1000</f>
        <v>268.66231488</v>
      </c>
      <c r="AC148" s="1124">
        <f>12*$K148*'Crono Pessoal'!Y148/1000</f>
        <v>268.66231488</v>
      </c>
      <c r="AD148" s="1124">
        <f>12*$K148*'Crono Pessoal'!Z148/1000</f>
        <v>268.66231488</v>
      </c>
      <c r="AE148" s="1124">
        <f>12*$K148*'Crono Pessoal'!AA148/1000</f>
        <v>268.66231488</v>
      </c>
      <c r="AF148" s="1124">
        <f>12*$K148*'Crono Pessoal'!AB148/1000</f>
        <v>268.66231488</v>
      </c>
      <c r="AG148" s="1124">
        <f>12*$K148*'Crono Pessoal'!AC148/1000</f>
        <v>268.66231488</v>
      </c>
      <c r="AH148" s="1124">
        <f>12*$K148*'Crono Pessoal'!AD148/1000</f>
        <v>268.66231488</v>
      </c>
      <c r="AI148" s="1124">
        <f>12*$K148*'Crono Pessoal'!AE148/1000</f>
        <v>268.66231488</v>
      </c>
      <c r="AJ148" s="1124">
        <f>12*$K148*'Crono Pessoal'!AF148/1000</f>
        <v>268.66231488</v>
      </c>
      <c r="AK148" s="1124">
        <f>12*$K148*'Crono Pessoal'!AG148/1000</f>
        <v>268.66231488</v>
      </c>
      <c r="AL148" s="1124">
        <f>12*$K148*'Crono Pessoal'!AH148/1000</f>
        <v>268.66231488</v>
      </c>
      <c r="AM148" s="1124">
        <f>12*$K148*'Crono Pessoal'!AI148/1000</f>
        <v>268.66231488</v>
      </c>
      <c r="AN148" s="1124">
        <f>12*$K148*'Crono Pessoal'!AJ148/1000</f>
        <v>268.66231488</v>
      </c>
      <c r="AO148" s="1124">
        <f>12*$K148*'Crono Pessoal'!AK148/1000</f>
        <v>268.66231488</v>
      </c>
      <c r="AP148" s="1124">
        <f>12*$K148*'Crono Pessoal'!AL148/1000</f>
        <v>268.66231488</v>
      </c>
    </row>
    <row r="149" spans="1:42">
      <c r="A149" s="595"/>
      <c r="B149" s="598"/>
      <c r="C149" s="599"/>
      <c r="D149" s="260"/>
      <c r="E149" s="260"/>
      <c r="F149" s="1129"/>
      <c r="G149" s="1126" t="s">
        <v>871</v>
      </c>
      <c r="H149" s="1133"/>
      <c r="I149" s="1133"/>
      <c r="J149" s="1133"/>
      <c r="K149" s="1133"/>
      <c r="L149" s="1134"/>
      <c r="M149" s="1135"/>
      <c r="N149" s="1135"/>
      <c r="O149" s="1135"/>
      <c r="P149" s="1135"/>
      <c r="Q149" s="1135"/>
      <c r="R149" s="1135"/>
      <c r="S149" s="1135"/>
      <c r="T149" s="1135"/>
      <c r="U149" s="1135"/>
      <c r="V149" s="1135"/>
      <c r="W149" s="1135"/>
      <c r="X149" s="1135"/>
      <c r="Y149" s="1135"/>
      <c r="Z149" s="1135"/>
      <c r="AA149" s="1135"/>
      <c r="AB149" s="1135"/>
      <c r="AC149" s="1135"/>
      <c r="AD149" s="1135"/>
      <c r="AE149" s="1135"/>
      <c r="AF149" s="1135"/>
      <c r="AG149" s="1135"/>
      <c r="AH149" s="1135"/>
      <c r="AI149" s="1135"/>
      <c r="AJ149" s="1135"/>
      <c r="AK149" s="1135"/>
      <c r="AL149" s="1135"/>
      <c r="AM149" s="1135"/>
      <c r="AN149" s="1135"/>
      <c r="AO149" s="1135"/>
      <c r="AP149" s="1135"/>
    </row>
    <row r="150" spans="1:42">
      <c r="A150" s="595"/>
      <c r="B150" s="598"/>
      <c r="C150" s="599"/>
      <c r="D150" s="260" t="s">
        <v>872</v>
      </c>
      <c r="E150" s="260">
        <v>2</v>
      </c>
      <c r="F150" s="1130" t="s">
        <v>873</v>
      </c>
      <c r="G150" s="1132" t="str">
        <f>VLOOKUP($F150,SALARIOSS!$D$6:$H$203,2,0)</f>
        <v>Engenheiro Comunicações</v>
      </c>
      <c r="H150" s="1121">
        <f>VLOOKUP($F150,SALARIOSS!$D$6:$I$203,6,0)</f>
        <v>10981.17</v>
      </c>
      <c r="I150" s="1121">
        <f>VLOOKUP($F150,Funções!$D$9:$K$200,5,0)+VLOOKUP($F150,Funções!$D$9:$K$200,6,0)</f>
        <v>10629.614225000001</v>
      </c>
      <c r="J150" s="1121">
        <f>VLOOKUP($F150,Funções!$D$9:$K$200,7,0)</f>
        <v>95</v>
      </c>
      <c r="K150" s="1122">
        <f>SUM(H150:J150)</f>
        <v>21705.784225000003</v>
      </c>
      <c r="L150" s="1123">
        <f>SUM(M150:AP150)</f>
        <v>0</v>
      </c>
      <c r="M150" s="1124">
        <f>12*$K150*'Crono Pessoal'!I150/1000</f>
        <v>0</v>
      </c>
      <c r="N150" s="1124">
        <f>12*$K150*'Crono Pessoal'!J150/1000</f>
        <v>0</v>
      </c>
      <c r="O150" s="1124">
        <f>12*$K150*'Crono Pessoal'!K150/1000</f>
        <v>0</v>
      </c>
      <c r="P150" s="1124">
        <f>12*$K150*'Crono Pessoal'!L150/1000</f>
        <v>0</v>
      </c>
      <c r="Q150" s="1124">
        <f>12*$K150*'Crono Pessoal'!M150/1000</f>
        <v>0</v>
      </c>
      <c r="R150" s="1124">
        <f>12*$K150*'Crono Pessoal'!N150/1000</f>
        <v>0</v>
      </c>
      <c r="S150" s="1124">
        <f>12*$K150*'Crono Pessoal'!O150/1000</f>
        <v>0</v>
      </c>
      <c r="T150" s="1124">
        <f>12*$K150*'Crono Pessoal'!P150/1000</f>
        <v>0</v>
      </c>
      <c r="U150" s="1124">
        <f>12*$K150*'Crono Pessoal'!Q150/1000</f>
        <v>0</v>
      </c>
      <c r="V150" s="1124">
        <f>12*$K150*'Crono Pessoal'!R150/1000</f>
        <v>0</v>
      </c>
      <c r="W150" s="1124">
        <f>12*$K150*'Crono Pessoal'!S150/1000</f>
        <v>0</v>
      </c>
      <c r="X150" s="1124">
        <f>12*$K150*'Crono Pessoal'!T150/1000</f>
        <v>0</v>
      </c>
      <c r="Y150" s="1124">
        <f>12*$K150*'Crono Pessoal'!U150/1000</f>
        <v>0</v>
      </c>
      <c r="Z150" s="1124">
        <f>12*$K150*'Crono Pessoal'!V150/1000</f>
        <v>0</v>
      </c>
      <c r="AA150" s="1124">
        <f>12*$K150*'Crono Pessoal'!W150/1000</f>
        <v>0</v>
      </c>
      <c r="AB150" s="1124">
        <f>12*$K150*'Crono Pessoal'!X150/1000</f>
        <v>0</v>
      </c>
      <c r="AC150" s="1124">
        <f>12*$K150*'Crono Pessoal'!Y150/1000</f>
        <v>0</v>
      </c>
      <c r="AD150" s="1124">
        <f>12*$K150*'Crono Pessoal'!Z150/1000</f>
        <v>0</v>
      </c>
      <c r="AE150" s="1124">
        <f>12*$K150*'Crono Pessoal'!AA150/1000</f>
        <v>0</v>
      </c>
      <c r="AF150" s="1124">
        <f>12*$K150*'Crono Pessoal'!AB150/1000</f>
        <v>0</v>
      </c>
      <c r="AG150" s="1124">
        <f>12*$K150*'Crono Pessoal'!AC150/1000</f>
        <v>0</v>
      </c>
      <c r="AH150" s="1124">
        <f>12*$K150*'Crono Pessoal'!AD150/1000</f>
        <v>0</v>
      </c>
      <c r="AI150" s="1124">
        <f>12*$K150*'Crono Pessoal'!AE150/1000</f>
        <v>0</v>
      </c>
      <c r="AJ150" s="1124">
        <f>12*$K150*'Crono Pessoal'!AF150/1000</f>
        <v>0</v>
      </c>
      <c r="AK150" s="1124">
        <f>12*$K150*'Crono Pessoal'!AG150/1000</f>
        <v>0</v>
      </c>
      <c r="AL150" s="1124">
        <f>12*$K150*'Crono Pessoal'!AH150/1000</f>
        <v>0</v>
      </c>
      <c r="AM150" s="1124">
        <f>12*$K150*'Crono Pessoal'!AI150/1000</f>
        <v>0</v>
      </c>
      <c r="AN150" s="1124">
        <f>12*$K150*'Crono Pessoal'!AJ150/1000</f>
        <v>0</v>
      </c>
      <c r="AO150" s="1124">
        <f>12*$K150*'Crono Pessoal'!AK150/1000</f>
        <v>0</v>
      </c>
      <c r="AP150" s="1124">
        <f>12*$K150*'Crono Pessoal'!AL150/1000</f>
        <v>0</v>
      </c>
    </row>
    <row r="151" spans="1:42">
      <c r="A151" s="595"/>
      <c r="B151" s="598"/>
      <c r="C151" s="599"/>
      <c r="D151" s="260" t="s">
        <v>872</v>
      </c>
      <c r="E151" s="260">
        <v>2</v>
      </c>
      <c r="F151" s="1130" t="s">
        <v>874</v>
      </c>
      <c r="G151" s="1132" t="str">
        <f>VLOOKUP($F151,SALARIOSS!$D$6:$H$203,2,0)</f>
        <v>Técnico de Telecomunicações</v>
      </c>
      <c r="H151" s="1121">
        <f>VLOOKUP($F151,SALARIOSS!$D$6:$I$203,6,0)</f>
        <v>2243.2302000000004</v>
      </c>
      <c r="I151" s="1121">
        <f>VLOOKUP($F151,Funções!$D$9:$K$200,5,0)+VLOOKUP($F151,Funções!$D$9:$K$200,6,0)</f>
        <v>2831.0029535000008</v>
      </c>
      <c r="J151" s="1121">
        <f>VLOOKUP($F151,Funções!$D$9:$K$200,7,0)</f>
        <v>95</v>
      </c>
      <c r="K151" s="1122">
        <f>SUM(H151:J151)</f>
        <v>5169.2331535000012</v>
      </c>
      <c r="L151" s="1123">
        <f>SUM(M151:AP151)</f>
        <v>1860.9239352600011</v>
      </c>
      <c r="M151" s="1124">
        <f>12*$K151*'Crono Pessoal'!I151/1000</f>
        <v>62.030797842000013</v>
      </c>
      <c r="N151" s="1124">
        <f>12*$K151*'Crono Pessoal'!J151/1000</f>
        <v>62.030797842000013</v>
      </c>
      <c r="O151" s="1124">
        <f>12*$K151*'Crono Pessoal'!K151/1000</f>
        <v>62.030797842000013</v>
      </c>
      <c r="P151" s="1124">
        <f>12*$K151*'Crono Pessoal'!L151/1000</f>
        <v>62.030797842000013</v>
      </c>
      <c r="Q151" s="1124">
        <f>12*$K151*'Crono Pessoal'!M151/1000</f>
        <v>62.030797842000013</v>
      </c>
      <c r="R151" s="1124">
        <f>12*$K151*'Crono Pessoal'!N151/1000</f>
        <v>62.030797842000013</v>
      </c>
      <c r="S151" s="1124">
        <f>12*$K151*'Crono Pessoal'!O151/1000</f>
        <v>62.030797842000013</v>
      </c>
      <c r="T151" s="1124">
        <f>12*$K151*'Crono Pessoal'!P151/1000</f>
        <v>62.030797842000013</v>
      </c>
      <c r="U151" s="1124">
        <f>12*$K151*'Crono Pessoal'!Q151/1000</f>
        <v>62.030797842000013</v>
      </c>
      <c r="V151" s="1124">
        <f>12*$K151*'Crono Pessoal'!R151/1000</f>
        <v>62.030797842000013</v>
      </c>
      <c r="W151" s="1124">
        <f>12*$K151*'Crono Pessoal'!S151/1000</f>
        <v>62.030797842000013</v>
      </c>
      <c r="X151" s="1124">
        <f>12*$K151*'Crono Pessoal'!T151/1000</f>
        <v>62.030797842000013</v>
      </c>
      <c r="Y151" s="1124">
        <f>12*$K151*'Crono Pessoal'!U151/1000</f>
        <v>62.030797842000013</v>
      </c>
      <c r="Z151" s="1124">
        <f>12*$K151*'Crono Pessoal'!V151/1000</f>
        <v>62.030797842000013</v>
      </c>
      <c r="AA151" s="1124">
        <f>12*$K151*'Crono Pessoal'!W151/1000</f>
        <v>62.030797842000013</v>
      </c>
      <c r="AB151" s="1124">
        <f>12*$K151*'Crono Pessoal'!X151/1000</f>
        <v>62.030797842000013</v>
      </c>
      <c r="AC151" s="1124">
        <f>12*$K151*'Crono Pessoal'!Y151/1000</f>
        <v>62.030797842000013</v>
      </c>
      <c r="AD151" s="1124">
        <f>12*$K151*'Crono Pessoal'!Z151/1000</f>
        <v>62.030797842000013</v>
      </c>
      <c r="AE151" s="1124">
        <f>12*$K151*'Crono Pessoal'!AA151/1000</f>
        <v>62.030797842000013</v>
      </c>
      <c r="AF151" s="1124">
        <f>12*$K151*'Crono Pessoal'!AB151/1000</f>
        <v>62.030797842000013</v>
      </c>
      <c r="AG151" s="1124">
        <f>12*$K151*'Crono Pessoal'!AC151/1000</f>
        <v>62.030797842000013</v>
      </c>
      <c r="AH151" s="1124">
        <f>12*$K151*'Crono Pessoal'!AD151/1000</f>
        <v>62.030797842000013</v>
      </c>
      <c r="AI151" s="1124">
        <f>12*$K151*'Crono Pessoal'!AE151/1000</f>
        <v>62.030797842000013</v>
      </c>
      <c r="AJ151" s="1124">
        <f>12*$K151*'Crono Pessoal'!AF151/1000</f>
        <v>62.030797842000013</v>
      </c>
      <c r="AK151" s="1124">
        <f>12*$K151*'Crono Pessoal'!AG151/1000</f>
        <v>62.030797842000013</v>
      </c>
      <c r="AL151" s="1124">
        <f>12*$K151*'Crono Pessoal'!AH151/1000</f>
        <v>62.030797842000013</v>
      </c>
      <c r="AM151" s="1124">
        <f>12*$K151*'Crono Pessoal'!AI151/1000</f>
        <v>62.030797842000013</v>
      </c>
      <c r="AN151" s="1124">
        <f>12*$K151*'Crono Pessoal'!AJ151/1000</f>
        <v>62.030797842000013</v>
      </c>
      <c r="AO151" s="1124">
        <f>12*$K151*'Crono Pessoal'!AK151/1000</f>
        <v>62.030797842000013</v>
      </c>
      <c r="AP151" s="1124">
        <f>12*$K151*'Crono Pessoal'!AL151/1000</f>
        <v>62.030797842000013</v>
      </c>
    </row>
    <row r="152" spans="1:42">
      <c r="A152" s="595"/>
      <c r="B152" s="598"/>
      <c r="C152" s="599"/>
      <c r="D152" s="260" t="s">
        <v>872</v>
      </c>
      <c r="E152" s="260">
        <v>2</v>
      </c>
      <c r="F152" s="1130" t="s">
        <v>875</v>
      </c>
      <c r="G152" s="1132" t="str">
        <f>VLOOKUP($F152,SALARIOSS!$D$6:$H$203,2,0)</f>
        <v>Técnico de Eletrônica</v>
      </c>
      <c r="H152" s="1121">
        <f>VLOOKUP($F152,SALARIOSS!$D$6:$I$203,6,0)</f>
        <v>2243.2302000000004</v>
      </c>
      <c r="I152" s="1121">
        <f>VLOOKUP($F152,Funções!$D$9:$K$200,5,0)+VLOOKUP($F152,Funções!$D$9:$K$200,6,0)</f>
        <v>2831.0029535000008</v>
      </c>
      <c r="J152" s="1121">
        <f>VLOOKUP($F152,Funções!$D$9:$K$200,7,0)</f>
        <v>95</v>
      </c>
      <c r="K152" s="1122">
        <f>SUM(H152:J152)</f>
        <v>5169.2331535000012</v>
      </c>
      <c r="L152" s="1123">
        <f>SUM(M152:AP152)</f>
        <v>1860.9239352600011</v>
      </c>
      <c r="M152" s="1124">
        <f>12*$K152*'Crono Pessoal'!I152/1000</f>
        <v>62.030797842000013</v>
      </c>
      <c r="N152" s="1124">
        <f>12*$K152*'Crono Pessoal'!J152/1000</f>
        <v>62.030797842000013</v>
      </c>
      <c r="O152" s="1124">
        <f>12*$K152*'Crono Pessoal'!K152/1000</f>
        <v>62.030797842000013</v>
      </c>
      <c r="P152" s="1124">
        <f>12*$K152*'Crono Pessoal'!L152/1000</f>
        <v>62.030797842000013</v>
      </c>
      <c r="Q152" s="1124">
        <f>12*$K152*'Crono Pessoal'!M152/1000</f>
        <v>62.030797842000013</v>
      </c>
      <c r="R152" s="1124">
        <f>12*$K152*'Crono Pessoal'!N152/1000</f>
        <v>62.030797842000013</v>
      </c>
      <c r="S152" s="1124">
        <f>12*$K152*'Crono Pessoal'!O152/1000</f>
        <v>62.030797842000013</v>
      </c>
      <c r="T152" s="1124">
        <f>12*$K152*'Crono Pessoal'!P152/1000</f>
        <v>62.030797842000013</v>
      </c>
      <c r="U152" s="1124">
        <f>12*$K152*'Crono Pessoal'!Q152/1000</f>
        <v>62.030797842000013</v>
      </c>
      <c r="V152" s="1124">
        <f>12*$K152*'Crono Pessoal'!R152/1000</f>
        <v>62.030797842000013</v>
      </c>
      <c r="W152" s="1124">
        <f>12*$K152*'Crono Pessoal'!S152/1000</f>
        <v>62.030797842000013</v>
      </c>
      <c r="X152" s="1124">
        <f>12*$K152*'Crono Pessoal'!T152/1000</f>
        <v>62.030797842000013</v>
      </c>
      <c r="Y152" s="1124">
        <f>12*$K152*'Crono Pessoal'!U152/1000</f>
        <v>62.030797842000013</v>
      </c>
      <c r="Z152" s="1124">
        <f>12*$K152*'Crono Pessoal'!V152/1000</f>
        <v>62.030797842000013</v>
      </c>
      <c r="AA152" s="1124">
        <f>12*$K152*'Crono Pessoal'!W152/1000</f>
        <v>62.030797842000013</v>
      </c>
      <c r="AB152" s="1124">
        <f>12*$K152*'Crono Pessoal'!X152/1000</f>
        <v>62.030797842000013</v>
      </c>
      <c r="AC152" s="1124">
        <f>12*$K152*'Crono Pessoal'!Y152/1000</f>
        <v>62.030797842000013</v>
      </c>
      <c r="AD152" s="1124">
        <f>12*$K152*'Crono Pessoal'!Z152/1000</f>
        <v>62.030797842000013</v>
      </c>
      <c r="AE152" s="1124">
        <f>12*$K152*'Crono Pessoal'!AA152/1000</f>
        <v>62.030797842000013</v>
      </c>
      <c r="AF152" s="1124">
        <f>12*$K152*'Crono Pessoal'!AB152/1000</f>
        <v>62.030797842000013</v>
      </c>
      <c r="AG152" s="1124">
        <f>12*$K152*'Crono Pessoal'!AC152/1000</f>
        <v>62.030797842000013</v>
      </c>
      <c r="AH152" s="1124">
        <f>12*$K152*'Crono Pessoal'!AD152/1000</f>
        <v>62.030797842000013</v>
      </c>
      <c r="AI152" s="1124">
        <f>12*$K152*'Crono Pessoal'!AE152/1000</f>
        <v>62.030797842000013</v>
      </c>
      <c r="AJ152" s="1124">
        <f>12*$K152*'Crono Pessoal'!AF152/1000</f>
        <v>62.030797842000013</v>
      </c>
      <c r="AK152" s="1124">
        <f>12*$K152*'Crono Pessoal'!AG152/1000</f>
        <v>62.030797842000013</v>
      </c>
      <c r="AL152" s="1124">
        <f>12*$K152*'Crono Pessoal'!AH152/1000</f>
        <v>62.030797842000013</v>
      </c>
      <c r="AM152" s="1124">
        <f>12*$K152*'Crono Pessoal'!AI152/1000</f>
        <v>62.030797842000013</v>
      </c>
      <c r="AN152" s="1124">
        <f>12*$K152*'Crono Pessoal'!AJ152/1000</f>
        <v>62.030797842000013</v>
      </c>
      <c r="AO152" s="1124">
        <f>12*$K152*'Crono Pessoal'!AK152/1000</f>
        <v>62.030797842000013</v>
      </c>
      <c r="AP152" s="1124">
        <f>12*$K152*'Crono Pessoal'!AL152/1000</f>
        <v>62.030797842000013</v>
      </c>
    </row>
    <row r="153" spans="1:42">
      <c r="A153" s="595"/>
      <c r="B153" s="598"/>
      <c r="C153" s="599"/>
      <c r="D153" s="260" t="s">
        <v>872</v>
      </c>
      <c r="E153" s="260">
        <v>2</v>
      </c>
      <c r="F153" s="1130" t="s">
        <v>876</v>
      </c>
      <c r="G153" s="1132" t="str">
        <f>VLOOKUP($F153,SALARIOSS!$D$6:$H$203,2,0)</f>
        <v>Técnico de Rádio</v>
      </c>
      <c r="H153" s="1121">
        <f>VLOOKUP($F153,SALARIOSS!$D$6:$I$203,6,0)</f>
        <v>2243.2302000000004</v>
      </c>
      <c r="I153" s="1121">
        <f>VLOOKUP($F153,Funções!$D$9:$K$200,5,0)+VLOOKUP($F153,Funções!$D$9:$K$200,6,0)</f>
        <v>2831.0029535000008</v>
      </c>
      <c r="J153" s="1121">
        <f>VLOOKUP($F153,Funções!$D$9:$K$200,7,0)</f>
        <v>95</v>
      </c>
      <c r="K153" s="1122">
        <f>SUM(H153:J153)</f>
        <v>5169.2331535000012</v>
      </c>
      <c r="L153" s="1123">
        <f>SUM(M153:AP153)</f>
        <v>1860.9239352600011</v>
      </c>
      <c r="M153" s="1124">
        <f>12*$K153*'Crono Pessoal'!I153/1000</f>
        <v>62.030797842000013</v>
      </c>
      <c r="N153" s="1124">
        <f>12*$K153*'Crono Pessoal'!J153/1000</f>
        <v>62.030797842000013</v>
      </c>
      <c r="O153" s="1124">
        <f>12*$K153*'Crono Pessoal'!K153/1000</f>
        <v>62.030797842000013</v>
      </c>
      <c r="P153" s="1124">
        <f>12*$K153*'Crono Pessoal'!L153/1000</f>
        <v>62.030797842000013</v>
      </c>
      <c r="Q153" s="1124">
        <f>12*$K153*'Crono Pessoal'!M153/1000</f>
        <v>62.030797842000013</v>
      </c>
      <c r="R153" s="1124">
        <f>12*$K153*'Crono Pessoal'!N153/1000</f>
        <v>62.030797842000013</v>
      </c>
      <c r="S153" s="1124">
        <f>12*$K153*'Crono Pessoal'!O153/1000</f>
        <v>62.030797842000013</v>
      </c>
      <c r="T153" s="1124">
        <f>12*$K153*'Crono Pessoal'!P153/1000</f>
        <v>62.030797842000013</v>
      </c>
      <c r="U153" s="1124">
        <f>12*$K153*'Crono Pessoal'!Q153/1000</f>
        <v>62.030797842000013</v>
      </c>
      <c r="V153" s="1124">
        <f>12*$K153*'Crono Pessoal'!R153/1000</f>
        <v>62.030797842000013</v>
      </c>
      <c r="W153" s="1124">
        <f>12*$K153*'Crono Pessoal'!S153/1000</f>
        <v>62.030797842000013</v>
      </c>
      <c r="X153" s="1124">
        <f>12*$K153*'Crono Pessoal'!T153/1000</f>
        <v>62.030797842000013</v>
      </c>
      <c r="Y153" s="1124">
        <f>12*$K153*'Crono Pessoal'!U153/1000</f>
        <v>62.030797842000013</v>
      </c>
      <c r="Z153" s="1124">
        <f>12*$K153*'Crono Pessoal'!V153/1000</f>
        <v>62.030797842000013</v>
      </c>
      <c r="AA153" s="1124">
        <f>12*$K153*'Crono Pessoal'!W153/1000</f>
        <v>62.030797842000013</v>
      </c>
      <c r="AB153" s="1124">
        <f>12*$K153*'Crono Pessoal'!X153/1000</f>
        <v>62.030797842000013</v>
      </c>
      <c r="AC153" s="1124">
        <f>12*$K153*'Crono Pessoal'!Y153/1000</f>
        <v>62.030797842000013</v>
      </c>
      <c r="AD153" s="1124">
        <f>12*$K153*'Crono Pessoal'!Z153/1000</f>
        <v>62.030797842000013</v>
      </c>
      <c r="AE153" s="1124">
        <f>12*$K153*'Crono Pessoal'!AA153/1000</f>
        <v>62.030797842000013</v>
      </c>
      <c r="AF153" s="1124">
        <f>12*$K153*'Crono Pessoal'!AB153/1000</f>
        <v>62.030797842000013</v>
      </c>
      <c r="AG153" s="1124">
        <f>12*$K153*'Crono Pessoal'!AC153/1000</f>
        <v>62.030797842000013</v>
      </c>
      <c r="AH153" s="1124">
        <f>12*$K153*'Crono Pessoal'!AD153/1000</f>
        <v>62.030797842000013</v>
      </c>
      <c r="AI153" s="1124">
        <f>12*$K153*'Crono Pessoal'!AE153/1000</f>
        <v>62.030797842000013</v>
      </c>
      <c r="AJ153" s="1124">
        <f>12*$K153*'Crono Pessoal'!AF153/1000</f>
        <v>62.030797842000013</v>
      </c>
      <c r="AK153" s="1124">
        <f>12*$K153*'Crono Pessoal'!AG153/1000</f>
        <v>62.030797842000013</v>
      </c>
      <c r="AL153" s="1124">
        <f>12*$K153*'Crono Pessoal'!AH153/1000</f>
        <v>62.030797842000013</v>
      </c>
      <c r="AM153" s="1124">
        <f>12*$K153*'Crono Pessoal'!AI153/1000</f>
        <v>62.030797842000013</v>
      </c>
      <c r="AN153" s="1124">
        <f>12*$K153*'Crono Pessoal'!AJ153/1000</f>
        <v>62.030797842000013</v>
      </c>
      <c r="AO153" s="1124">
        <f>12*$K153*'Crono Pessoal'!AK153/1000</f>
        <v>62.030797842000013</v>
      </c>
      <c r="AP153" s="1124">
        <f>12*$K153*'Crono Pessoal'!AL153/1000</f>
        <v>62.030797842000013</v>
      </c>
    </row>
    <row r="154" spans="1:42">
      <c r="A154" s="595"/>
      <c r="B154" s="598"/>
      <c r="C154" s="599"/>
      <c r="D154" s="260"/>
      <c r="E154" s="260"/>
      <c r="F154" s="1129"/>
      <c r="G154" s="1126" t="s">
        <v>877</v>
      </c>
      <c r="H154" s="1133"/>
      <c r="I154" s="1133"/>
      <c r="J154" s="1133"/>
      <c r="K154" s="1133"/>
      <c r="L154" s="1134"/>
      <c r="M154" s="1135"/>
      <c r="N154" s="1135"/>
      <c r="O154" s="1135"/>
      <c r="P154" s="1135"/>
      <c r="Q154" s="1135"/>
      <c r="R154" s="1135"/>
      <c r="S154" s="1135"/>
      <c r="T154" s="1135"/>
      <c r="U154" s="1135"/>
      <c r="V154" s="1135"/>
      <c r="W154" s="1135"/>
      <c r="X154" s="1135"/>
      <c r="Y154" s="1135"/>
      <c r="Z154" s="1135"/>
      <c r="AA154" s="1135"/>
      <c r="AB154" s="1135"/>
      <c r="AC154" s="1135"/>
      <c r="AD154" s="1135"/>
      <c r="AE154" s="1135"/>
      <c r="AF154" s="1135"/>
      <c r="AG154" s="1135"/>
      <c r="AH154" s="1135"/>
      <c r="AI154" s="1135"/>
      <c r="AJ154" s="1135"/>
      <c r="AK154" s="1135"/>
      <c r="AL154" s="1135"/>
      <c r="AM154" s="1135"/>
      <c r="AN154" s="1135"/>
      <c r="AO154" s="1135"/>
      <c r="AP154" s="1135"/>
    </row>
    <row r="155" spans="1:42">
      <c r="A155" s="595"/>
      <c r="B155" s="598"/>
      <c r="C155" s="599"/>
      <c r="D155" s="260" t="s">
        <v>878</v>
      </c>
      <c r="E155" s="260">
        <v>5</v>
      </c>
      <c r="F155" s="1129" t="s">
        <v>879</v>
      </c>
      <c r="G155" s="1132" t="str">
        <f>VLOOKUP($F155,SALARIOSS!$D$6:$H$203,2,0)</f>
        <v>Supervisor de S.A.U</v>
      </c>
      <c r="H155" s="1121">
        <f>VLOOKUP($F155,SALARIOSS!$D$6:$I$203,6,0)</f>
        <v>2861.7138</v>
      </c>
      <c r="I155" s="1121">
        <f>VLOOKUP($F155,Funções!$D$9:$K$200,5,0)+VLOOKUP($F155,Funções!$D$9:$K$200,6,0)</f>
        <v>3382.9995665000001</v>
      </c>
      <c r="J155" s="1121">
        <f>VLOOKUP($F155,Funções!$D$9:$K$200,7,0)</f>
        <v>95</v>
      </c>
      <c r="K155" s="1122">
        <f t="shared" ref="K155:K167" si="9">SUM(H155:J155)</f>
        <v>6339.7133665000001</v>
      </c>
      <c r="L155" s="1123">
        <f t="shared" ref="L155:L167" si="10">SUM(M155:AP155)</f>
        <v>2282.2968119400002</v>
      </c>
      <c r="M155" s="1124">
        <f>12*$K155*'Crono Pessoal'!I155/1000</f>
        <v>76.076560397999998</v>
      </c>
      <c r="N155" s="1124">
        <f>12*$K155*'Crono Pessoal'!J155/1000</f>
        <v>76.076560397999998</v>
      </c>
      <c r="O155" s="1124">
        <f>12*$K155*'Crono Pessoal'!K155/1000</f>
        <v>76.076560397999998</v>
      </c>
      <c r="P155" s="1124">
        <f>12*$K155*'Crono Pessoal'!L155/1000</f>
        <v>76.076560397999998</v>
      </c>
      <c r="Q155" s="1124">
        <f>12*$K155*'Crono Pessoal'!M155/1000</f>
        <v>76.076560397999998</v>
      </c>
      <c r="R155" s="1124">
        <f>12*$K155*'Crono Pessoal'!N155/1000</f>
        <v>76.076560397999998</v>
      </c>
      <c r="S155" s="1124">
        <f>12*$K155*'Crono Pessoal'!O155/1000</f>
        <v>76.076560397999998</v>
      </c>
      <c r="T155" s="1124">
        <f>12*$K155*'Crono Pessoal'!P155/1000</f>
        <v>76.076560397999998</v>
      </c>
      <c r="U155" s="1124">
        <f>12*$K155*'Crono Pessoal'!Q155/1000</f>
        <v>76.076560397999998</v>
      </c>
      <c r="V155" s="1124">
        <f>12*$K155*'Crono Pessoal'!R155/1000</f>
        <v>76.076560397999998</v>
      </c>
      <c r="W155" s="1124">
        <f>12*$K155*'Crono Pessoal'!S155/1000</f>
        <v>76.076560397999998</v>
      </c>
      <c r="X155" s="1124">
        <f>12*$K155*'Crono Pessoal'!T155/1000</f>
        <v>76.076560397999998</v>
      </c>
      <c r="Y155" s="1124">
        <f>12*$K155*'Crono Pessoal'!U155/1000</f>
        <v>76.076560397999998</v>
      </c>
      <c r="Z155" s="1124">
        <f>12*$K155*'Crono Pessoal'!V155/1000</f>
        <v>76.076560397999998</v>
      </c>
      <c r="AA155" s="1124">
        <f>12*$K155*'Crono Pessoal'!W155/1000</f>
        <v>76.076560397999998</v>
      </c>
      <c r="AB155" s="1124">
        <f>12*$K155*'Crono Pessoal'!X155/1000</f>
        <v>76.076560397999998</v>
      </c>
      <c r="AC155" s="1124">
        <f>12*$K155*'Crono Pessoal'!Y155/1000</f>
        <v>76.076560397999998</v>
      </c>
      <c r="AD155" s="1124">
        <f>12*$K155*'Crono Pessoal'!Z155/1000</f>
        <v>76.076560397999998</v>
      </c>
      <c r="AE155" s="1124">
        <f>12*$K155*'Crono Pessoal'!AA155/1000</f>
        <v>76.076560397999998</v>
      </c>
      <c r="AF155" s="1124">
        <f>12*$K155*'Crono Pessoal'!AB155/1000</f>
        <v>76.076560397999998</v>
      </c>
      <c r="AG155" s="1124">
        <f>12*$K155*'Crono Pessoal'!AC155/1000</f>
        <v>76.076560397999998</v>
      </c>
      <c r="AH155" s="1124">
        <f>12*$K155*'Crono Pessoal'!AD155/1000</f>
        <v>76.076560397999998</v>
      </c>
      <c r="AI155" s="1124">
        <f>12*$K155*'Crono Pessoal'!AE155/1000</f>
        <v>76.076560397999998</v>
      </c>
      <c r="AJ155" s="1124">
        <f>12*$K155*'Crono Pessoal'!AF155/1000</f>
        <v>76.076560397999998</v>
      </c>
      <c r="AK155" s="1124">
        <f>12*$K155*'Crono Pessoal'!AG155/1000</f>
        <v>76.076560397999998</v>
      </c>
      <c r="AL155" s="1124">
        <f>12*$K155*'Crono Pessoal'!AH155/1000</f>
        <v>76.076560397999998</v>
      </c>
      <c r="AM155" s="1124">
        <f>12*$K155*'Crono Pessoal'!AI155/1000</f>
        <v>76.076560397999998</v>
      </c>
      <c r="AN155" s="1124">
        <f>12*$K155*'Crono Pessoal'!AJ155/1000</f>
        <v>76.076560397999998</v>
      </c>
      <c r="AO155" s="1124">
        <f>12*$K155*'Crono Pessoal'!AK155/1000</f>
        <v>76.076560397999998</v>
      </c>
      <c r="AP155" s="1124">
        <f>12*$K155*'Crono Pessoal'!AL155/1000</f>
        <v>76.076560397999998</v>
      </c>
    </row>
    <row r="156" spans="1:42">
      <c r="A156" s="595"/>
      <c r="B156" s="598"/>
      <c r="C156" s="599"/>
      <c r="D156" s="260" t="s">
        <v>878</v>
      </c>
      <c r="E156" s="260">
        <v>5</v>
      </c>
      <c r="F156" s="1129" t="s">
        <v>880</v>
      </c>
      <c r="G156" s="1132" t="str">
        <f>VLOOKUP($F156,SALARIOSS!$D$6:$H$203,2,0)</f>
        <v>Atendente S.A.U</v>
      </c>
      <c r="H156" s="1121">
        <f>VLOOKUP($F156,SALARIOSS!$D$6:$I$203,6,0)</f>
        <v>1483.4880000000003</v>
      </c>
      <c r="I156" s="1121">
        <f>VLOOKUP($F156,Funções!$D$9:$K$200,5,0)+VLOOKUP($F156,Funções!$D$9:$K$200,6,0)</f>
        <v>2152.9330400000003</v>
      </c>
      <c r="J156" s="1121">
        <f>VLOOKUP($F156,Funções!$D$9:$K$200,7,0)</f>
        <v>95</v>
      </c>
      <c r="K156" s="1122">
        <f t="shared" si="9"/>
        <v>3731.4210400000006</v>
      </c>
      <c r="L156" s="1123">
        <f t="shared" si="10"/>
        <v>30896.166211200001</v>
      </c>
      <c r="M156" s="1124">
        <f>12*$K156*'Crono Pessoal'!I156/1000</f>
        <v>1029.8722070400001</v>
      </c>
      <c r="N156" s="1124">
        <f>12*$K156*'Crono Pessoal'!J156/1000</f>
        <v>1029.8722070400001</v>
      </c>
      <c r="O156" s="1124">
        <f>12*$K156*'Crono Pessoal'!K156/1000</f>
        <v>1029.8722070400001</v>
      </c>
      <c r="P156" s="1124">
        <f>12*$K156*'Crono Pessoal'!L156/1000</f>
        <v>1029.8722070400001</v>
      </c>
      <c r="Q156" s="1124">
        <f>12*$K156*'Crono Pessoal'!M156/1000</f>
        <v>1029.8722070400001</v>
      </c>
      <c r="R156" s="1124">
        <f>12*$K156*'Crono Pessoal'!N156/1000</f>
        <v>1029.8722070400001</v>
      </c>
      <c r="S156" s="1124">
        <f>12*$K156*'Crono Pessoal'!O156/1000</f>
        <v>1029.8722070400001</v>
      </c>
      <c r="T156" s="1124">
        <f>12*$K156*'Crono Pessoal'!P156/1000</f>
        <v>1029.8722070400001</v>
      </c>
      <c r="U156" s="1124">
        <f>12*$K156*'Crono Pessoal'!Q156/1000</f>
        <v>1029.8722070400001</v>
      </c>
      <c r="V156" s="1124">
        <f>12*$K156*'Crono Pessoal'!R156/1000</f>
        <v>1029.8722070400001</v>
      </c>
      <c r="W156" s="1124">
        <f>12*$K156*'Crono Pessoal'!S156/1000</f>
        <v>1029.8722070400001</v>
      </c>
      <c r="X156" s="1124">
        <f>12*$K156*'Crono Pessoal'!T156/1000</f>
        <v>1029.8722070400001</v>
      </c>
      <c r="Y156" s="1124">
        <f>12*$K156*'Crono Pessoal'!U156/1000</f>
        <v>1029.8722070400001</v>
      </c>
      <c r="Z156" s="1124">
        <f>12*$K156*'Crono Pessoal'!V156/1000</f>
        <v>1029.8722070400001</v>
      </c>
      <c r="AA156" s="1124">
        <f>12*$K156*'Crono Pessoal'!W156/1000</f>
        <v>1029.8722070400001</v>
      </c>
      <c r="AB156" s="1124">
        <f>12*$K156*'Crono Pessoal'!X156/1000</f>
        <v>1029.8722070400001</v>
      </c>
      <c r="AC156" s="1124">
        <f>12*$K156*'Crono Pessoal'!Y156/1000</f>
        <v>1029.8722070400001</v>
      </c>
      <c r="AD156" s="1124">
        <f>12*$K156*'Crono Pessoal'!Z156/1000</f>
        <v>1029.8722070400001</v>
      </c>
      <c r="AE156" s="1124">
        <f>12*$K156*'Crono Pessoal'!AA156/1000</f>
        <v>1029.8722070400001</v>
      </c>
      <c r="AF156" s="1124">
        <f>12*$K156*'Crono Pessoal'!AB156/1000</f>
        <v>1029.8722070400001</v>
      </c>
      <c r="AG156" s="1124">
        <f>12*$K156*'Crono Pessoal'!AC156/1000</f>
        <v>1029.8722070400001</v>
      </c>
      <c r="AH156" s="1124">
        <f>12*$K156*'Crono Pessoal'!AD156/1000</f>
        <v>1029.8722070400001</v>
      </c>
      <c r="AI156" s="1124">
        <f>12*$K156*'Crono Pessoal'!AE156/1000</f>
        <v>1029.8722070400001</v>
      </c>
      <c r="AJ156" s="1124">
        <f>12*$K156*'Crono Pessoal'!AF156/1000</f>
        <v>1029.8722070400001</v>
      </c>
      <c r="AK156" s="1124">
        <f>12*$K156*'Crono Pessoal'!AG156/1000</f>
        <v>1029.8722070400001</v>
      </c>
      <c r="AL156" s="1124">
        <f>12*$K156*'Crono Pessoal'!AH156/1000</f>
        <v>1029.8722070400001</v>
      </c>
      <c r="AM156" s="1124">
        <f>12*$K156*'Crono Pessoal'!AI156/1000</f>
        <v>1029.8722070400001</v>
      </c>
      <c r="AN156" s="1124">
        <f>12*$K156*'Crono Pessoal'!AJ156/1000</f>
        <v>1029.8722070400001</v>
      </c>
      <c r="AO156" s="1124">
        <f>12*$K156*'Crono Pessoal'!AK156/1000</f>
        <v>1029.8722070400001</v>
      </c>
      <c r="AP156" s="1124">
        <f>12*$K156*'Crono Pessoal'!AL156/1000</f>
        <v>1029.8722070400001</v>
      </c>
    </row>
    <row r="157" spans="1:42">
      <c r="A157" s="595"/>
      <c r="B157" s="598"/>
      <c r="C157" s="599"/>
      <c r="D157" s="260" t="s">
        <v>881</v>
      </c>
      <c r="E157" s="260">
        <v>5</v>
      </c>
      <c r="F157" s="1129" t="s">
        <v>765</v>
      </c>
      <c r="G157" s="1132" t="str">
        <f>VLOOKUP($F157,SALARIOSS!$D$6:$H$203,2,0)</f>
        <v>Assistente de Comunicação</v>
      </c>
      <c r="H157" s="1121">
        <f>VLOOKUP($F157,SALARIOSS!$D$6:$I$203,6,0)</f>
        <v>1545.6636000000001</v>
      </c>
      <c r="I157" s="1121">
        <f>VLOOKUP($F157,Funções!$D$9:$K$200,5,0)+VLOOKUP($F157,Funções!$D$9:$K$200,6,0)</f>
        <v>2208.424763</v>
      </c>
      <c r="J157" s="1121">
        <f>VLOOKUP($F157,Funções!$D$9:$K$200,7,0)</f>
        <v>95</v>
      </c>
      <c r="K157" s="1122">
        <f t="shared" si="9"/>
        <v>3849.0883629999998</v>
      </c>
      <c r="L157" s="1123">
        <f t="shared" si="10"/>
        <v>0</v>
      </c>
      <c r="M157" s="1124">
        <f>12*$K157*'Crono Pessoal'!I157/1000</f>
        <v>0</v>
      </c>
      <c r="N157" s="1124">
        <f>12*$K157*'Crono Pessoal'!J157/1000</f>
        <v>0</v>
      </c>
      <c r="O157" s="1124">
        <f>12*$K157*'Crono Pessoal'!K157/1000</f>
        <v>0</v>
      </c>
      <c r="P157" s="1124">
        <f>12*$K157*'Crono Pessoal'!L157/1000</f>
        <v>0</v>
      </c>
      <c r="Q157" s="1124">
        <f>12*$K157*'Crono Pessoal'!M157/1000</f>
        <v>0</v>
      </c>
      <c r="R157" s="1124">
        <f>12*$K157*'Crono Pessoal'!N157/1000</f>
        <v>0</v>
      </c>
      <c r="S157" s="1124">
        <f>12*$K157*'Crono Pessoal'!O157/1000</f>
        <v>0</v>
      </c>
      <c r="T157" s="1124">
        <f>12*$K157*'Crono Pessoal'!P157/1000</f>
        <v>0</v>
      </c>
      <c r="U157" s="1124">
        <f>12*$K157*'Crono Pessoal'!Q157/1000</f>
        <v>0</v>
      </c>
      <c r="V157" s="1124">
        <f>12*$K157*'Crono Pessoal'!R157/1000</f>
        <v>0</v>
      </c>
      <c r="W157" s="1124">
        <f>12*$K157*'Crono Pessoal'!S157/1000</f>
        <v>0</v>
      </c>
      <c r="X157" s="1124">
        <f>12*$K157*'Crono Pessoal'!T157/1000</f>
        <v>0</v>
      </c>
      <c r="Y157" s="1124">
        <f>12*$K157*'Crono Pessoal'!U157/1000</f>
        <v>0</v>
      </c>
      <c r="Z157" s="1124">
        <f>12*$K157*'Crono Pessoal'!V157/1000</f>
        <v>0</v>
      </c>
      <c r="AA157" s="1124">
        <f>12*$K157*'Crono Pessoal'!W157/1000</f>
        <v>0</v>
      </c>
      <c r="AB157" s="1124">
        <f>12*$K157*'Crono Pessoal'!X157/1000</f>
        <v>0</v>
      </c>
      <c r="AC157" s="1124">
        <f>12*$K157*'Crono Pessoal'!Y157/1000</f>
        <v>0</v>
      </c>
      <c r="AD157" s="1124">
        <f>12*$K157*'Crono Pessoal'!Z157/1000</f>
        <v>0</v>
      </c>
      <c r="AE157" s="1124">
        <f>12*$K157*'Crono Pessoal'!AA157/1000</f>
        <v>0</v>
      </c>
      <c r="AF157" s="1124">
        <f>12*$K157*'Crono Pessoal'!AB157/1000</f>
        <v>0</v>
      </c>
      <c r="AG157" s="1124">
        <f>12*$K157*'Crono Pessoal'!AC157/1000</f>
        <v>0</v>
      </c>
      <c r="AH157" s="1124">
        <f>12*$K157*'Crono Pessoal'!AD157/1000</f>
        <v>0</v>
      </c>
      <c r="AI157" s="1124">
        <f>12*$K157*'Crono Pessoal'!AE157/1000</f>
        <v>0</v>
      </c>
      <c r="AJ157" s="1124">
        <f>12*$K157*'Crono Pessoal'!AF157/1000</f>
        <v>0</v>
      </c>
      <c r="AK157" s="1124">
        <f>12*$K157*'Crono Pessoal'!AG157/1000</f>
        <v>0</v>
      </c>
      <c r="AL157" s="1124">
        <f>12*$K157*'Crono Pessoal'!AH157/1000</f>
        <v>0</v>
      </c>
      <c r="AM157" s="1124">
        <f>12*$K157*'Crono Pessoal'!AI157/1000</f>
        <v>0</v>
      </c>
      <c r="AN157" s="1124">
        <f>12*$K157*'Crono Pessoal'!AJ157/1000</f>
        <v>0</v>
      </c>
      <c r="AO157" s="1124">
        <f>12*$K157*'Crono Pessoal'!AK157/1000</f>
        <v>0</v>
      </c>
      <c r="AP157" s="1124">
        <f>12*$K157*'Crono Pessoal'!AL157/1000</f>
        <v>0</v>
      </c>
    </row>
    <row r="158" spans="1:42">
      <c r="A158" s="595"/>
      <c r="B158" s="598"/>
      <c r="C158" s="599"/>
      <c r="D158" s="260" t="s">
        <v>882</v>
      </c>
      <c r="E158" s="260">
        <v>6</v>
      </c>
      <c r="F158" s="1136" t="s">
        <v>810</v>
      </c>
      <c r="G158" s="1132" t="str">
        <f>VLOOKUP($F158,SALARIOSS!$D$6:$H$203,2,0)</f>
        <v>Médico</v>
      </c>
      <c r="H158" s="1121">
        <f>VLOOKUP($F158,SALARIOSS!$D$6:$I$203,6,0)</f>
        <v>5985.1786949999996</v>
      </c>
      <c r="I158" s="1121">
        <f>VLOOKUP($F158,Funções!$D$9:$K$200,5,0)+VLOOKUP($F158,Funções!$D$9:$K$200,6,0)</f>
        <v>6170.6919852874998</v>
      </c>
      <c r="J158" s="1121">
        <f>VLOOKUP($F158,Funções!$D$9:$K$200,7,0)</f>
        <v>95</v>
      </c>
      <c r="K158" s="1122">
        <f t="shared" si="9"/>
        <v>12250.870680287499</v>
      </c>
      <c r="L158" s="1123">
        <f t="shared" si="10"/>
        <v>0</v>
      </c>
      <c r="M158" s="1124">
        <f>12*$K158*'Crono Pessoal'!I158/1000</f>
        <v>0</v>
      </c>
      <c r="N158" s="1124">
        <f>12*$K158*'Crono Pessoal'!J158/1000</f>
        <v>0</v>
      </c>
      <c r="O158" s="1124">
        <f>12*$K158*'Crono Pessoal'!K158/1000</f>
        <v>0</v>
      </c>
      <c r="P158" s="1124">
        <f>12*$K158*'Crono Pessoal'!L158/1000</f>
        <v>0</v>
      </c>
      <c r="Q158" s="1124">
        <f>12*$K158*'Crono Pessoal'!M158/1000</f>
        <v>0</v>
      </c>
      <c r="R158" s="1124">
        <f>12*$K158*'Crono Pessoal'!N158/1000</f>
        <v>0</v>
      </c>
      <c r="S158" s="1124">
        <f>12*$K158*'Crono Pessoal'!O158/1000</f>
        <v>0</v>
      </c>
      <c r="T158" s="1124">
        <f>12*$K158*'Crono Pessoal'!P158/1000</f>
        <v>0</v>
      </c>
      <c r="U158" s="1124">
        <f>12*$K158*'Crono Pessoal'!Q158/1000</f>
        <v>0</v>
      </c>
      <c r="V158" s="1124">
        <f>12*$K158*'Crono Pessoal'!R158/1000</f>
        <v>0</v>
      </c>
      <c r="W158" s="1124">
        <f>12*$K158*'Crono Pessoal'!S158/1000</f>
        <v>0</v>
      </c>
      <c r="X158" s="1124">
        <f>12*$K158*'Crono Pessoal'!T158/1000</f>
        <v>0</v>
      </c>
      <c r="Y158" s="1124">
        <f>12*$K158*'Crono Pessoal'!U158/1000</f>
        <v>0</v>
      </c>
      <c r="Z158" s="1124">
        <f>12*$K158*'Crono Pessoal'!V158/1000</f>
        <v>0</v>
      </c>
      <c r="AA158" s="1124">
        <f>12*$K158*'Crono Pessoal'!W158/1000</f>
        <v>0</v>
      </c>
      <c r="AB158" s="1124">
        <f>12*$K158*'Crono Pessoal'!X158/1000</f>
        <v>0</v>
      </c>
      <c r="AC158" s="1124">
        <f>12*$K158*'Crono Pessoal'!Y158/1000</f>
        <v>0</v>
      </c>
      <c r="AD158" s="1124">
        <f>12*$K158*'Crono Pessoal'!Z158/1000</f>
        <v>0</v>
      </c>
      <c r="AE158" s="1124">
        <f>12*$K158*'Crono Pessoal'!AA158/1000</f>
        <v>0</v>
      </c>
      <c r="AF158" s="1124">
        <f>12*$K158*'Crono Pessoal'!AB158/1000</f>
        <v>0</v>
      </c>
      <c r="AG158" s="1124">
        <f>12*$K158*'Crono Pessoal'!AC158/1000</f>
        <v>0</v>
      </c>
      <c r="AH158" s="1124">
        <f>12*$K158*'Crono Pessoal'!AD158/1000</f>
        <v>0</v>
      </c>
      <c r="AI158" s="1124">
        <f>12*$K158*'Crono Pessoal'!AE158/1000</f>
        <v>0</v>
      </c>
      <c r="AJ158" s="1124">
        <f>12*$K158*'Crono Pessoal'!AF158/1000</f>
        <v>0</v>
      </c>
      <c r="AK158" s="1124">
        <f>12*$K158*'Crono Pessoal'!AG158/1000</f>
        <v>0</v>
      </c>
      <c r="AL158" s="1124">
        <f>12*$K158*'Crono Pessoal'!AH158/1000</f>
        <v>0</v>
      </c>
      <c r="AM158" s="1124">
        <f>12*$K158*'Crono Pessoal'!AI158/1000</f>
        <v>0</v>
      </c>
      <c r="AN158" s="1124">
        <f>12*$K158*'Crono Pessoal'!AJ158/1000</f>
        <v>0</v>
      </c>
      <c r="AO158" s="1124">
        <f>12*$K158*'Crono Pessoal'!AK158/1000</f>
        <v>0</v>
      </c>
      <c r="AP158" s="1124">
        <f>12*$K158*'Crono Pessoal'!AL158/1000</f>
        <v>0</v>
      </c>
    </row>
    <row r="159" spans="1:42">
      <c r="A159" s="595"/>
      <c r="B159" s="598"/>
      <c r="C159" s="599"/>
      <c r="D159" s="260" t="s">
        <v>882</v>
      </c>
      <c r="E159" s="260">
        <v>5</v>
      </c>
      <c r="F159" s="1136" t="s">
        <v>810</v>
      </c>
      <c r="G159" s="1132" t="str">
        <f>VLOOKUP($F159,SALARIOSS!$D$6:$H$203,2,0)</f>
        <v>Médico</v>
      </c>
      <c r="H159" s="1121">
        <f>VLOOKUP($F159,SALARIOSS!$D$6:$I$203,6,0)</f>
        <v>5985.1786949999996</v>
      </c>
      <c r="I159" s="1121">
        <f>VLOOKUP($F159,Funções!$D$9:$K$200,5,0)+VLOOKUP($F159,Funções!$D$9:$K$200,6,0)</f>
        <v>6170.6919852874998</v>
      </c>
      <c r="J159" s="1121">
        <f>VLOOKUP($F159,Funções!$D$9:$K$200,7,0)</f>
        <v>95</v>
      </c>
      <c r="K159" s="1122">
        <f t="shared" ref="K159" si="11">SUM(H159:J159)</f>
        <v>12250.870680287499</v>
      </c>
      <c r="L159" s="1123">
        <f t="shared" si="10"/>
        <v>0</v>
      </c>
      <c r="M159" s="1124">
        <f>12*$K159*'Crono Pessoal'!I159/1000</f>
        <v>0</v>
      </c>
      <c r="N159" s="1124">
        <f>12*$K159*'Crono Pessoal'!J159/1000</f>
        <v>0</v>
      </c>
      <c r="O159" s="1124">
        <f>12*$K159*'Crono Pessoal'!K159/1000</f>
        <v>0</v>
      </c>
      <c r="P159" s="1124">
        <f>12*$K159*'Crono Pessoal'!L159/1000</f>
        <v>0</v>
      </c>
      <c r="Q159" s="1124">
        <f>12*$K159*'Crono Pessoal'!M159/1000</f>
        <v>0</v>
      </c>
      <c r="R159" s="1124">
        <f>12*$K159*'Crono Pessoal'!N159/1000</f>
        <v>0</v>
      </c>
      <c r="S159" s="1124">
        <f>12*$K159*'Crono Pessoal'!O159/1000</f>
        <v>0</v>
      </c>
      <c r="T159" s="1124">
        <f>12*$K159*'Crono Pessoal'!P159/1000</f>
        <v>0</v>
      </c>
      <c r="U159" s="1124">
        <f>12*$K159*'Crono Pessoal'!Q159/1000</f>
        <v>0</v>
      </c>
      <c r="V159" s="1124">
        <f>12*$K159*'Crono Pessoal'!R159/1000</f>
        <v>0</v>
      </c>
      <c r="W159" s="1124">
        <f>12*$K159*'Crono Pessoal'!S159/1000</f>
        <v>0</v>
      </c>
      <c r="X159" s="1124">
        <f>12*$K159*'Crono Pessoal'!T159/1000</f>
        <v>0</v>
      </c>
      <c r="Y159" s="1124">
        <f>12*$K159*'Crono Pessoal'!U159/1000</f>
        <v>0</v>
      </c>
      <c r="Z159" s="1124">
        <f>12*$K159*'Crono Pessoal'!V159/1000</f>
        <v>0</v>
      </c>
      <c r="AA159" s="1124">
        <f>12*$K159*'Crono Pessoal'!W159/1000</f>
        <v>0</v>
      </c>
      <c r="AB159" s="1124">
        <f>12*$K159*'Crono Pessoal'!X159/1000</f>
        <v>0</v>
      </c>
      <c r="AC159" s="1124">
        <f>12*$K159*'Crono Pessoal'!Y159/1000</f>
        <v>0</v>
      </c>
      <c r="AD159" s="1124">
        <f>12*$K159*'Crono Pessoal'!Z159/1000</f>
        <v>0</v>
      </c>
      <c r="AE159" s="1124">
        <f>12*$K159*'Crono Pessoal'!AA159/1000</f>
        <v>0</v>
      </c>
      <c r="AF159" s="1124">
        <f>12*$K159*'Crono Pessoal'!AB159/1000</f>
        <v>0</v>
      </c>
      <c r="AG159" s="1124">
        <f>12*$K159*'Crono Pessoal'!AC159/1000</f>
        <v>0</v>
      </c>
      <c r="AH159" s="1124">
        <f>12*$K159*'Crono Pessoal'!AD159/1000</f>
        <v>0</v>
      </c>
      <c r="AI159" s="1124">
        <f>12*$K159*'Crono Pessoal'!AE159/1000</f>
        <v>0</v>
      </c>
      <c r="AJ159" s="1124">
        <f>12*$K159*'Crono Pessoal'!AF159/1000</f>
        <v>0</v>
      </c>
      <c r="AK159" s="1124">
        <f>12*$K159*'Crono Pessoal'!AG159/1000</f>
        <v>0</v>
      </c>
      <c r="AL159" s="1124">
        <f>12*$K159*'Crono Pessoal'!AH159/1000</f>
        <v>0</v>
      </c>
      <c r="AM159" s="1124">
        <f>12*$K159*'Crono Pessoal'!AI159/1000</f>
        <v>0</v>
      </c>
      <c r="AN159" s="1124">
        <f>12*$K159*'Crono Pessoal'!AJ159/1000</f>
        <v>0</v>
      </c>
      <c r="AO159" s="1124">
        <f>12*$K159*'Crono Pessoal'!AK159/1000</f>
        <v>0</v>
      </c>
      <c r="AP159" s="1124">
        <f>12*$K159*'Crono Pessoal'!AL159/1000</f>
        <v>0</v>
      </c>
    </row>
    <row r="160" spans="1:42">
      <c r="A160" s="595"/>
      <c r="B160" s="598"/>
      <c r="C160" s="599"/>
      <c r="D160" s="260" t="s">
        <v>882</v>
      </c>
      <c r="E160" s="260">
        <v>6</v>
      </c>
      <c r="F160" s="1129" t="s">
        <v>883</v>
      </c>
      <c r="G160" s="1132" t="str">
        <f>VLOOKUP($F160,SALARIOSS!$D$6:$H$203,2,0)</f>
        <v>Técnico de Enfermagem</v>
      </c>
      <c r="H160" s="1121">
        <f>VLOOKUP($F160,SALARIOSS!$D$6:$I$203,6,0)</f>
        <v>2243.2302000000004</v>
      </c>
      <c r="I160" s="1121">
        <f>VLOOKUP($F160,Funções!$D$9:$K$200,5,0)+VLOOKUP($F160,Funções!$D$9:$K$200,6,0)</f>
        <v>2831.0029535000008</v>
      </c>
      <c r="J160" s="1121">
        <f>VLOOKUP($F160,Funções!$D$9:$K$200,7,0)</f>
        <v>95</v>
      </c>
      <c r="K160" s="1122">
        <f t="shared" si="9"/>
        <v>5169.2331535000012</v>
      </c>
      <c r="L160" s="1123">
        <f t="shared" si="10"/>
        <v>0</v>
      </c>
      <c r="M160" s="1124">
        <f>12*$K160*'Crono Pessoal'!I160/1000</f>
        <v>0</v>
      </c>
      <c r="N160" s="1124">
        <f>12*$K160*'Crono Pessoal'!J160/1000</f>
        <v>0</v>
      </c>
      <c r="O160" s="1124">
        <f>12*$K160*'Crono Pessoal'!K160/1000</f>
        <v>0</v>
      </c>
      <c r="P160" s="1124">
        <f>12*$K160*'Crono Pessoal'!L160/1000</f>
        <v>0</v>
      </c>
      <c r="Q160" s="1124">
        <f>12*$K160*'Crono Pessoal'!M160/1000</f>
        <v>0</v>
      </c>
      <c r="R160" s="1124">
        <f>12*$K160*'Crono Pessoal'!N160/1000</f>
        <v>0</v>
      </c>
      <c r="S160" s="1124">
        <f>12*$K160*'Crono Pessoal'!O160/1000</f>
        <v>0</v>
      </c>
      <c r="T160" s="1124">
        <f>12*$K160*'Crono Pessoal'!P160/1000</f>
        <v>0</v>
      </c>
      <c r="U160" s="1124">
        <f>12*$K160*'Crono Pessoal'!Q160/1000</f>
        <v>0</v>
      </c>
      <c r="V160" s="1124">
        <f>12*$K160*'Crono Pessoal'!R160/1000</f>
        <v>0</v>
      </c>
      <c r="W160" s="1124">
        <f>12*$K160*'Crono Pessoal'!S160/1000</f>
        <v>0</v>
      </c>
      <c r="X160" s="1124">
        <f>12*$K160*'Crono Pessoal'!T160/1000</f>
        <v>0</v>
      </c>
      <c r="Y160" s="1124">
        <f>12*$K160*'Crono Pessoal'!U160/1000</f>
        <v>0</v>
      </c>
      <c r="Z160" s="1124">
        <f>12*$K160*'Crono Pessoal'!V160/1000</f>
        <v>0</v>
      </c>
      <c r="AA160" s="1124">
        <f>12*$K160*'Crono Pessoal'!W160/1000</f>
        <v>0</v>
      </c>
      <c r="AB160" s="1124">
        <f>12*$K160*'Crono Pessoal'!X160/1000</f>
        <v>0</v>
      </c>
      <c r="AC160" s="1124">
        <f>12*$K160*'Crono Pessoal'!Y160/1000</f>
        <v>0</v>
      </c>
      <c r="AD160" s="1124">
        <f>12*$K160*'Crono Pessoal'!Z160/1000</f>
        <v>0</v>
      </c>
      <c r="AE160" s="1124">
        <f>12*$K160*'Crono Pessoal'!AA160/1000</f>
        <v>0</v>
      </c>
      <c r="AF160" s="1124">
        <f>12*$K160*'Crono Pessoal'!AB160/1000</f>
        <v>0</v>
      </c>
      <c r="AG160" s="1124">
        <f>12*$K160*'Crono Pessoal'!AC160/1000</f>
        <v>0</v>
      </c>
      <c r="AH160" s="1124">
        <f>12*$K160*'Crono Pessoal'!AD160/1000</f>
        <v>0</v>
      </c>
      <c r="AI160" s="1124">
        <f>12*$K160*'Crono Pessoal'!AE160/1000</f>
        <v>0</v>
      </c>
      <c r="AJ160" s="1124">
        <f>12*$K160*'Crono Pessoal'!AF160/1000</f>
        <v>0</v>
      </c>
      <c r="AK160" s="1124">
        <f>12*$K160*'Crono Pessoal'!AG160/1000</f>
        <v>0</v>
      </c>
      <c r="AL160" s="1124">
        <f>12*$K160*'Crono Pessoal'!AH160/1000</f>
        <v>0</v>
      </c>
      <c r="AM160" s="1124">
        <f>12*$K160*'Crono Pessoal'!AI160/1000</f>
        <v>0</v>
      </c>
      <c r="AN160" s="1124">
        <f>12*$K160*'Crono Pessoal'!AJ160/1000</f>
        <v>0</v>
      </c>
      <c r="AO160" s="1124">
        <f>12*$K160*'Crono Pessoal'!AK160/1000</f>
        <v>0</v>
      </c>
      <c r="AP160" s="1124">
        <f>12*$K160*'Crono Pessoal'!AL160/1000</f>
        <v>0</v>
      </c>
    </row>
    <row r="161" spans="1:42">
      <c r="A161" s="595"/>
      <c r="B161" s="598"/>
      <c r="C161" s="599"/>
      <c r="D161" s="260" t="s">
        <v>882</v>
      </c>
      <c r="E161" s="260">
        <v>6</v>
      </c>
      <c r="F161" s="1129" t="s">
        <v>884</v>
      </c>
      <c r="G161" s="1132" t="str">
        <f>VLOOKUP($F161,SALARIOSS!$D$6:$H$203,2,0)</f>
        <v>Resgatista</v>
      </c>
      <c r="H161" s="1121">
        <f>VLOOKUP($F161,SALARIOSS!$D$6:$I$203,6,0)</f>
        <v>1690.71273</v>
      </c>
      <c r="I161" s="1121">
        <f>VLOOKUP($F161,Funções!$D$9:$K$200,5,0)+VLOOKUP($F161,Funções!$D$9:$K$200,6,0)</f>
        <v>2337.8811115250001</v>
      </c>
      <c r="J161" s="1121">
        <f>VLOOKUP($F161,Funções!$D$9:$K$200,7,0)</f>
        <v>95</v>
      </c>
      <c r="K161" s="1122">
        <f t="shared" si="9"/>
        <v>4123.5938415250002</v>
      </c>
      <c r="L161" s="1123">
        <f t="shared" si="10"/>
        <v>0</v>
      </c>
      <c r="M161" s="1124">
        <f>12*$K161*'Crono Pessoal'!I161/1000</f>
        <v>0</v>
      </c>
      <c r="N161" s="1124">
        <f>12*$K161*'Crono Pessoal'!J161/1000</f>
        <v>0</v>
      </c>
      <c r="O161" s="1124">
        <f>12*$K161*'Crono Pessoal'!K161/1000</f>
        <v>0</v>
      </c>
      <c r="P161" s="1124">
        <f>12*$K161*'Crono Pessoal'!L161/1000</f>
        <v>0</v>
      </c>
      <c r="Q161" s="1124">
        <f>12*$K161*'Crono Pessoal'!M161/1000</f>
        <v>0</v>
      </c>
      <c r="R161" s="1124">
        <f>12*$K161*'Crono Pessoal'!N161/1000</f>
        <v>0</v>
      </c>
      <c r="S161" s="1124">
        <f>12*$K161*'Crono Pessoal'!O161/1000</f>
        <v>0</v>
      </c>
      <c r="T161" s="1124">
        <f>12*$K161*'Crono Pessoal'!P161/1000</f>
        <v>0</v>
      </c>
      <c r="U161" s="1124">
        <f>12*$K161*'Crono Pessoal'!Q161/1000</f>
        <v>0</v>
      </c>
      <c r="V161" s="1124">
        <f>12*$K161*'Crono Pessoal'!R161/1000</f>
        <v>0</v>
      </c>
      <c r="W161" s="1124">
        <f>12*$K161*'Crono Pessoal'!S161/1000</f>
        <v>0</v>
      </c>
      <c r="X161" s="1124">
        <f>12*$K161*'Crono Pessoal'!T161/1000</f>
        <v>0</v>
      </c>
      <c r="Y161" s="1124">
        <f>12*$K161*'Crono Pessoal'!U161/1000</f>
        <v>0</v>
      </c>
      <c r="Z161" s="1124">
        <f>12*$K161*'Crono Pessoal'!V161/1000</f>
        <v>0</v>
      </c>
      <c r="AA161" s="1124">
        <f>12*$K161*'Crono Pessoal'!W161/1000</f>
        <v>0</v>
      </c>
      <c r="AB161" s="1124">
        <f>12*$K161*'Crono Pessoal'!X161/1000</f>
        <v>0</v>
      </c>
      <c r="AC161" s="1124">
        <f>12*$K161*'Crono Pessoal'!Y161/1000</f>
        <v>0</v>
      </c>
      <c r="AD161" s="1124">
        <f>12*$K161*'Crono Pessoal'!Z161/1000</f>
        <v>0</v>
      </c>
      <c r="AE161" s="1124">
        <f>12*$K161*'Crono Pessoal'!AA161/1000</f>
        <v>0</v>
      </c>
      <c r="AF161" s="1124">
        <f>12*$K161*'Crono Pessoal'!AB161/1000</f>
        <v>0</v>
      </c>
      <c r="AG161" s="1124">
        <f>12*$K161*'Crono Pessoal'!AC161/1000</f>
        <v>0</v>
      </c>
      <c r="AH161" s="1124">
        <f>12*$K161*'Crono Pessoal'!AD161/1000</f>
        <v>0</v>
      </c>
      <c r="AI161" s="1124">
        <f>12*$K161*'Crono Pessoal'!AE161/1000</f>
        <v>0</v>
      </c>
      <c r="AJ161" s="1124">
        <f>12*$K161*'Crono Pessoal'!AF161/1000</f>
        <v>0</v>
      </c>
      <c r="AK161" s="1124">
        <f>12*$K161*'Crono Pessoal'!AG161/1000</f>
        <v>0</v>
      </c>
      <c r="AL161" s="1124">
        <f>12*$K161*'Crono Pessoal'!AH161/1000</f>
        <v>0</v>
      </c>
      <c r="AM161" s="1124">
        <f>12*$K161*'Crono Pessoal'!AI161/1000</f>
        <v>0</v>
      </c>
      <c r="AN161" s="1124">
        <f>12*$K161*'Crono Pessoal'!AJ161/1000</f>
        <v>0</v>
      </c>
      <c r="AO161" s="1124">
        <f>12*$K161*'Crono Pessoal'!AK161/1000</f>
        <v>0</v>
      </c>
      <c r="AP161" s="1124">
        <f>12*$K161*'Crono Pessoal'!AL161/1000</f>
        <v>0</v>
      </c>
    </row>
    <row r="162" spans="1:42">
      <c r="A162" s="595"/>
      <c r="B162" s="598"/>
      <c r="C162" s="599"/>
      <c r="D162" s="260" t="s">
        <v>882</v>
      </c>
      <c r="E162" s="260">
        <v>6</v>
      </c>
      <c r="F162" s="1129" t="s">
        <v>885</v>
      </c>
      <c r="G162" s="1132" t="str">
        <f>VLOOKUP($F162,SALARIOSS!$D$6:$H$203,2,0)</f>
        <v>Motorista de Ambulância</v>
      </c>
      <c r="H162" s="1121">
        <f>VLOOKUP($F162,SALARIOSS!$D$6:$I$203,6,0)</f>
        <v>2292.8616000000002</v>
      </c>
      <c r="I162" s="1121">
        <f>VLOOKUP($F162,Funções!$D$9:$K$200,5,0)+VLOOKUP($F162,Funções!$D$9:$K$200,6,0)</f>
        <v>2875.2989779999998</v>
      </c>
      <c r="J162" s="1121">
        <f>VLOOKUP($F162,Funções!$D$9:$K$200,7,0)</f>
        <v>95</v>
      </c>
      <c r="K162" s="1122">
        <f t="shared" si="9"/>
        <v>5263.160578</v>
      </c>
      <c r="L162" s="1123">
        <f t="shared" si="10"/>
        <v>0</v>
      </c>
      <c r="M162" s="1124">
        <f>12*$K162*'Crono Pessoal'!I162/1000</f>
        <v>0</v>
      </c>
      <c r="N162" s="1124">
        <f>12*$K162*'Crono Pessoal'!J162/1000</f>
        <v>0</v>
      </c>
      <c r="O162" s="1124">
        <f>12*$K162*'Crono Pessoal'!K162/1000</f>
        <v>0</v>
      </c>
      <c r="P162" s="1124">
        <f>12*$K162*'Crono Pessoal'!L162/1000</f>
        <v>0</v>
      </c>
      <c r="Q162" s="1124">
        <f>12*$K162*'Crono Pessoal'!M162/1000</f>
        <v>0</v>
      </c>
      <c r="R162" s="1124">
        <f>12*$K162*'Crono Pessoal'!N162/1000</f>
        <v>0</v>
      </c>
      <c r="S162" s="1124">
        <f>12*$K162*'Crono Pessoal'!O162/1000</f>
        <v>0</v>
      </c>
      <c r="T162" s="1124">
        <f>12*$K162*'Crono Pessoal'!P162/1000</f>
        <v>0</v>
      </c>
      <c r="U162" s="1124">
        <f>12*$K162*'Crono Pessoal'!Q162/1000</f>
        <v>0</v>
      </c>
      <c r="V162" s="1124">
        <f>12*$K162*'Crono Pessoal'!R162/1000</f>
        <v>0</v>
      </c>
      <c r="W162" s="1124">
        <f>12*$K162*'Crono Pessoal'!S162/1000</f>
        <v>0</v>
      </c>
      <c r="X162" s="1124">
        <f>12*$K162*'Crono Pessoal'!T162/1000</f>
        <v>0</v>
      </c>
      <c r="Y162" s="1124">
        <f>12*$K162*'Crono Pessoal'!U162/1000</f>
        <v>0</v>
      </c>
      <c r="Z162" s="1124">
        <f>12*$K162*'Crono Pessoal'!V162/1000</f>
        <v>0</v>
      </c>
      <c r="AA162" s="1124">
        <f>12*$K162*'Crono Pessoal'!W162/1000</f>
        <v>0</v>
      </c>
      <c r="AB162" s="1124">
        <f>12*$K162*'Crono Pessoal'!X162/1000</f>
        <v>0</v>
      </c>
      <c r="AC162" s="1124">
        <f>12*$K162*'Crono Pessoal'!Y162/1000</f>
        <v>0</v>
      </c>
      <c r="AD162" s="1124">
        <f>12*$K162*'Crono Pessoal'!Z162/1000</f>
        <v>0</v>
      </c>
      <c r="AE162" s="1124">
        <f>12*$K162*'Crono Pessoal'!AA162/1000</f>
        <v>0</v>
      </c>
      <c r="AF162" s="1124">
        <f>12*$K162*'Crono Pessoal'!AB162/1000</f>
        <v>0</v>
      </c>
      <c r="AG162" s="1124">
        <f>12*$K162*'Crono Pessoal'!AC162/1000</f>
        <v>0</v>
      </c>
      <c r="AH162" s="1124">
        <f>12*$K162*'Crono Pessoal'!AD162/1000</f>
        <v>0</v>
      </c>
      <c r="AI162" s="1124">
        <f>12*$K162*'Crono Pessoal'!AE162/1000</f>
        <v>0</v>
      </c>
      <c r="AJ162" s="1124">
        <f>12*$K162*'Crono Pessoal'!AF162/1000</f>
        <v>0</v>
      </c>
      <c r="AK162" s="1124">
        <f>12*$K162*'Crono Pessoal'!AG162/1000</f>
        <v>0</v>
      </c>
      <c r="AL162" s="1124">
        <f>12*$K162*'Crono Pessoal'!AH162/1000</f>
        <v>0</v>
      </c>
      <c r="AM162" s="1124">
        <f>12*$K162*'Crono Pessoal'!AI162/1000</f>
        <v>0</v>
      </c>
      <c r="AN162" s="1124">
        <f>12*$K162*'Crono Pessoal'!AJ162/1000</f>
        <v>0</v>
      </c>
      <c r="AO162" s="1124">
        <f>12*$K162*'Crono Pessoal'!AK162/1000</f>
        <v>0</v>
      </c>
      <c r="AP162" s="1124">
        <f>12*$K162*'Crono Pessoal'!AL162/1000</f>
        <v>0</v>
      </c>
    </row>
    <row r="163" spans="1:42">
      <c r="A163" s="595"/>
      <c r="B163" s="598"/>
      <c r="C163" s="599"/>
      <c r="D163" s="260" t="s">
        <v>886</v>
      </c>
      <c r="E163" s="260">
        <v>7</v>
      </c>
      <c r="F163" s="1130" t="s">
        <v>887</v>
      </c>
      <c r="G163" s="1132" t="str">
        <f>VLOOKUP($F163,SALARIOSS!$D$6:$H$203,2,0)</f>
        <v>Operador de Guincho Leve</v>
      </c>
      <c r="H163" s="1121">
        <f>VLOOKUP($F163,SALARIOSS!$D$6:$I$203,6,0)</f>
        <v>1747.8706500000003</v>
      </c>
      <c r="I163" s="1121">
        <f>VLOOKUP($F163,Funções!$D$9:$K$200,5,0)+VLOOKUP($F163,Funções!$D$9:$K$200,6,0)</f>
        <v>2388.8945551250008</v>
      </c>
      <c r="J163" s="1121">
        <f>VLOOKUP($F163,Funções!$D$9:$K$200,7,0)</f>
        <v>95</v>
      </c>
      <c r="K163" s="1122">
        <f t="shared" si="9"/>
        <v>4231.7652051250006</v>
      </c>
      <c r="L163" s="1123">
        <f t="shared" si="10"/>
        <v>0</v>
      </c>
      <c r="M163" s="1124">
        <f>12*$K163*'Crono Pessoal'!I163/1000</f>
        <v>0</v>
      </c>
      <c r="N163" s="1124">
        <f>12*$K163*'Crono Pessoal'!J163/1000</f>
        <v>0</v>
      </c>
      <c r="O163" s="1124">
        <f>12*$K163*'Crono Pessoal'!K163/1000</f>
        <v>0</v>
      </c>
      <c r="P163" s="1124">
        <f>12*$K163*'Crono Pessoal'!L163/1000</f>
        <v>0</v>
      </c>
      <c r="Q163" s="1124">
        <f>12*$K163*'Crono Pessoal'!M163/1000</f>
        <v>0</v>
      </c>
      <c r="R163" s="1124">
        <f>12*$K163*'Crono Pessoal'!N163/1000</f>
        <v>0</v>
      </c>
      <c r="S163" s="1124">
        <f>12*$K163*'Crono Pessoal'!O163/1000</f>
        <v>0</v>
      </c>
      <c r="T163" s="1124">
        <f>12*$K163*'Crono Pessoal'!P163/1000</f>
        <v>0</v>
      </c>
      <c r="U163" s="1124">
        <f>12*$K163*'Crono Pessoal'!Q163/1000</f>
        <v>0</v>
      </c>
      <c r="V163" s="1124">
        <f>12*$K163*'Crono Pessoal'!R163/1000</f>
        <v>0</v>
      </c>
      <c r="W163" s="1124">
        <f>12*$K163*'Crono Pessoal'!S163/1000</f>
        <v>0</v>
      </c>
      <c r="X163" s="1124">
        <f>12*$K163*'Crono Pessoal'!T163/1000</f>
        <v>0</v>
      </c>
      <c r="Y163" s="1124">
        <f>12*$K163*'Crono Pessoal'!U163/1000</f>
        <v>0</v>
      </c>
      <c r="Z163" s="1124">
        <f>12*$K163*'Crono Pessoal'!V163/1000</f>
        <v>0</v>
      </c>
      <c r="AA163" s="1124">
        <f>12*$K163*'Crono Pessoal'!W163/1000</f>
        <v>0</v>
      </c>
      <c r="AB163" s="1124">
        <f>12*$K163*'Crono Pessoal'!X163/1000</f>
        <v>0</v>
      </c>
      <c r="AC163" s="1124">
        <f>12*$K163*'Crono Pessoal'!Y163/1000</f>
        <v>0</v>
      </c>
      <c r="AD163" s="1124">
        <f>12*$K163*'Crono Pessoal'!Z163/1000</f>
        <v>0</v>
      </c>
      <c r="AE163" s="1124">
        <f>12*$K163*'Crono Pessoal'!AA163/1000</f>
        <v>0</v>
      </c>
      <c r="AF163" s="1124">
        <f>12*$K163*'Crono Pessoal'!AB163/1000</f>
        <v>0</v>
      </c>
      <c r="AG163" s="1124">
        <f>12*$K163*'Crono Pessoal'!AC163/1000</f>
        <v>0</v>
      </c>
      <c r="AH163" s="1124">
        <f>12*$K163*'Crono Pessoal'!AD163/1000</f>
        <v>0</v>
      </c>
      <c r="AI163" s="1124">
        <f>12*$K163*'Crono Pessoal'!AE163/1000</f>
        <v>0</v>
      </c>
      <c r="AJ163" s="1124">
        <f>12*$K163*'Crono Pessoal'!AF163/1000</f>
        <v>0</v>
      </c>
      <c r="AK163" s="1124">
        <f>12*$K163*'Crono Pessoal'!AG163/1000</f>
        <v>0</v>
      </c>
      <c r="AL163" s="1124">
        <f>12*$K163*'Crono Pessoal'!AH163/1000</f>
        <v>0</v>
      </c>
      <c r="AM163" s="1124">
        <f>12*$K163*'Crono Pessoal'!AI163/1000</f>
        <v>0</v>
      </c>
      <c r="AN163" s="1124">
        <f>12*$K163*'Crono Pessoal'!AJ163/1000</f>
        <v>0</v>
      </c>
      <c r="AO163" s="1124">
        <f>12*$K163*'Crono Pessoal'!AK163/1000</f>
        <v>0</v>
      </c>
      <c r="AP163" s="1124">
        <f>12*$K163*'Crono Pessoal'!AL163/1000</f>
        <v>0</v>
      </c>
    </row>
    <row r="164" spans="1:42">
      <c r="A164" s="595"/>
      <c r="B164" s="598"/>
      <c r="C164" s="599"/>
      <c r="D164" s="260" t="s">
        <v>886</v>
      </c>
      <c r="E164" s="260">
        <v>7</v>
      </c>
      <c r="F164" s="1130" t="s">
        <v>888</v>
      </c>
      <c r="G164" s="1132" t="str">
        <f>VLOOKUP($F164,SALARIOSS!$D$6:$H$203,2,0)</f>
        <v>Operador de Guincho Pesado</v>
      </c>
      <c r="H164" s="1121">
        <f>VLOOKUP($F164,SALARIOSS!$D$6:$I$203,6,0)</f>
        <v>2471.7528000000002</v>
      </c>
      <c r="I164" s="1121">
        <f>VLOOKUP($F164,Funções!$D$9:$K$200,5,0)+VLOOKUP($F164,Funções!$D$9:$K$200,6,0)</f>
        <v>3034.9593740000005</v>
      </c>
      <c r="J164" s="1121">
        <f>VLOOKUP($F164,Funções!$D$9:$K$200,7,0)</f>
        <v>95</v>
      </c>
      <c r="K164" s="1122">
        <f t="shared" si="9"/>
        <v>5601.7121740000002</v>
      </c>
      <c r="L164" s="1123">
        <f t="shared" si="10"/>
        <v>0</v>
      </c>
      <c r="M164" s="1124">
        <f>12*$K164*'Crono Pessoal'!I164/1000</f>
        <v>0</v>
      </c>
      <c r="N164" s="1124">
        <f>12*$K164*'Crono Pessoal'!J164/1000</f>
        <v>0</v>
      </c>
      <c r="O164" s="1124">
        <f>12*$K164*'Crono Pessoal'!K164/1000</f>
        <v>0</v>
      </c>
      <c r="P164" s="1124">
        <f>12*$K164*'Crono Pessoal'!L164/1000</f>
        <v>0</v>
      </c>
      <c r="Q164" s="1124">
        <f>12*$K164*'Crono Pessoal'!M164/1000</f>
        <v>0</v>
      </c>
      <c r="R164" s="1124">
        <f>12*$K164*'Crono Pessoal'!N164/1000</f>
        <v>0</v>
      </c>
      <c r="S164" s="1124">
        <f>12*$K164*'Crono Pessoal'!O164/1000</f>
        <v>0</v>
      </c>
      <c r="T164" s="1124">
        <f>12*$K164*'Crono Pessoal'!P164/1000</f>
        <v>0</v>
      </c>
      <c r="U164" s="1124">
        <f>12*$K164*'Crono Pessoal'!Q164/1000</f>
        <v>0</v>
      </c>
      <c r="V164" s="1124">
        <f>12*$K164*'Crono Pessoal'!R164/1000</f>
        <v>0</v>
      </c>
      <c r="W164" s="1124">
        <f>12*$K164*'Crono Pessoal'!S164/1000</f>
        <v>0</v>
      </c>
      <c r="X164" s="1124">
        <f>12*$K164*'Crono Pessoal'!T164/1000</f>
        <v>0</v>
      </c>
      <c r="Y164" s="1124">
        <f>12*$K164*'Crono Pessoal'!U164/1000</f>
        <v>0</v>
      </c>
      <c r="Z164" s="1124">
        <f>12*$K164*'Crono Pessoal'!V164/1000</f>
        <v>0</v>
      </c>
      <c r="AA164" s="1124">
        <f>12*$K164*'Crono Pessoal'!W164/1000</f>
        <v>0</v>
      </c>
      <c r="AB164" s="1124">
        <f>12*$K164*'Crono Pessoal'!X164/1000</f>
        <v>0</v>
      </c>
      <c r="AC164" s="1124">
        <f>12*$K164*'Crono Pessoal'!Y164/1000</f>
        <v>0</v>
      </c>
      <c r="AD164" s="1124">
        <f>12*$K164*'Crono Pessoal'!Z164/1000</f>
        <v>0</v>
      </c>
      <c r="AE164" s="1124">
        <f>12*$K164*'Crono Pessoal'!AA164/1000</f>
        <v>0</v>
      </c>
      <c r="AF164" s="1124">
        <f>12*$K164*'Crono Pessoal'!AB164/1000</f>
        <v>0</v>
      </c>
      <c r="AG164" s="1124">
        <f>12*$K164*'Crono Pessoal'!AC164/1000</f>
        <v>0</v>
      </c>
      <c r="AH164" s="1124">
        <f>12*$K164*'Crono Pessoal'!AD164/1000</f>
        <v>0</v>
      </c>
      <c r="AI164" s="1124">
        <f>12*$K164*'Crono Pessoal'!AE164/1000</f>
        <v>0</v>
      </c>
      <c r="AJ164" s="1124">
        <f>12*$K164*'Crono Pessoal'!AF164/1000</f>
        <v>0</v>
      </c>
      <c r="AK164" s="1124">
        <f>12*$K164*'Crono Pessoal'!AG164/1000</f>
        <v>0</v>
      </c>
      <c r="AL164" s="1124">
        <f>12*$K164*'Crono Pessoal'!AH164/1000</f>
        <v>0</v>
      </c>
      <c r="AM164" s="1124">
        <f>12*$K164*'Crono Pessoal'!AI164/1000</f>
        <v>0</v>
      </c>
      <c r="AN164" s="1124">
        <f>12*$K164*'Crono Pessoal'!AJ164/1000</f>
        <v>0</v>
      </c>
      <c r="AO164" s="1124">
        <f>12*$K164*'Crono Pessoal'!AK164/1000</f>
        <v>0</v>
      </c>
      <c r="AP164" s="1124">
        <f>12*$K164*'Crono Pessoal'!AL164/1000</f>
        <v>0</v>
      </c>
    </row>
    <row r="165" spans="1:42">
      <c r="A165" s="595"/>
      <c r="B165" s="598"/>
      <c r="C165" s="599"/>
      <c r="D165" s="260" t="s">
        <v>889</v>
      </c>
      <c r="E165" s="260">
        <v>8</v>
      </c>
      <c r="F165" s="1129" t="s">
        <v>890</v>
      </c>
      <c r="G165" s="1132" t="str">
        <f>VLOOKUP($F165,SALARIOSS!$D$6:$H$203,2,0)</f>
        <v>Motorista Caminhão Pipa</v>
      </c>
      <c r="H165" s="1121">
        <f>VLOOKUP($F165,SALARIOSS!$D$6:$I$203,6,0)</f>
        <v>2292.8616000000002</v>
      </c>
      <c r="I165" s="1121">
        <f>VLOOKUP($F165,Funções!$D$9:$K$200,5,0)+VLOOKUP($F165,Funções!$D$9:$K$200,6,0)</f>
        <v>2875.2989779999998</v>
      </c>
      <c r="J165" s="1121">
        <f>VLOOKUP($F165,Funções!$D$9:$K$200,7,0)</f>
        <v>95</v>
      </c>
      <c r="K165" s="1122">
        <f t="shared" si="9"/>
        <v>5263.160578</v>
      </c>
      <c r="L165" s="1123">
        <f t="shared" si="10"/>
        <v>0</v>
      </c>
      <c r="M165" s="1124">
        <f>12*$K165*'Crono Pessoal'!I165/1000*0.8</f>
        <v>0</v>
      </c>
      <c r="N165" s="1124">
        <f>12*$K165*'Crono Pessoal'!J165/1000*0.8</f>
        <v>0</v>
      </c>
      <c r="O165" s="1124">
        <f>12*$K165*'Crono Pessoal'!K165/1000*0.8</f>
        <v>0</v>
      </c>
      <c r="P165" s="1124">
        <f>12*$K165*'Crono Pessoal'!L165/1000*0.8</f>
        <v>0</v>
      </c>
      <c r="Q165" s="1124">
        <f>12*$K165*'Crono Pessoal'!M165/1000*0.8</f>
        <v>0</v>
      </c>
      <c r="R165" s="1124">
        <f>12*$K165*'Crono Pessoal'!N165/1000*0.8</f>
        <v>0</v>
      </c>
      <c r="S165" s="1124">
        <f>12*$K165*'Crono Pessoal'!O165/1000*0.8</f>
        <v>0</v>
      </c>
      <c r="T165" s="1124">
        <f>12*$K165*'Crono Pessoal'!P165/1000*0.8</f>
        <v>0</v>
      </c>
      <c r="U165" s="1124">
        <f>12*$K165*'Crono Pessoal'!Q165/1000*0.8</f>
        <v>0</v>
      </c>
      <c r="V165" s="1124">
        <f>12*$K165*'Crono Pessoal'!R165/1000*0.8</f>
        <v>0</v>
      </c>
      <c r="W165" s="1124">
        <f>12*$K165*'Crono Pessoal'!S165/1000*0.8</f>
        <v>0</v>
      </c>
      <c r="X165" s="1124">
        <f>12*$K165*'Crono Pessoal'!T165/1000*0.8</f>
        <v>0</v>
      </c>
      <c r="Y165" s="1124">
        <f>12*$K165*'Crono Pessoal'!U165/1000*0.8</f>
        <v>0</v>
      </c>
      <c r="Z165" s="1124">
        <f>12*$K165*'Crono Pessoal'!V165/1000*0.8</f>
        <v>0</v>
      </c>
      <c r="AA165" s="1124">
        <f>12*$K165*'Crono Pessoal'!W165/1000*0.8</f>
        <v>0</v>
      </c>
      <c r="AB165" s="1124">
        <f>12*$K165*'Crono Pessoal'!X165/1000*0.8</f>
        <v>0</v>
      </c>
      <c r="AC165" s="1124">
        <f>12*$K165*'Crono Pessoal'!Y165/1000*0.8</f>
        <v>0</v>
      </c>
      <c r="AD165" s="1124">
        <f>12*$K165*'Crono Pessoal'!Z165/1000*0.8</f>
        <v>0</v>
      </c>
      <c r="AE165" s="1124">
        <f>12*$K165*'Crono Pessoal'!AA165/1000*0.8</f>
        <v>0</v>
      </c>
      <c r="AF165" s="1124">
        <f>12*$K165*'Crono Pessoal'!AB165/1000*0.8</f>
        <v>0</v>
      </c>
      <c r="AG165" s="1124">
        <f>12*$K165*'Crono Pessoal'!AC165/1000*0.8</f>
        <v>0</v>
      </c>
      <c r="AH165" s="1124">
        <f>12*$K165*'Crono Pessoal'!AD165/1000*0.8</f>
        <v>0</v>
      </c>
      <c r="AI165" s="1124">
        <f>12*$K165*'Crono Pessoal'!AE165/1000*0.8</f>
        <v>0</v>
      </c>
      <c r="AJ165" s="1124">
        <f>12*$K165*'Crono Pessoal'!AF165/1000*0.8</f>
        <v>0</v>
      </c>
      <c r="AK165" s="1124">
        <f>12*$K165*'Crono Pessoal'!AG165/1000*0.8</f>
        <v>0</v>
      </c>
      <c r="AL165" s="1124">
        <f>12*$K165*'Crono Pessoal'!AH165/1000*0.8</f>
        <v>0</v>
      </c>
      <c r="AM165" s="1124">
        <f>12*$K165*'Crono Pessoal'!AI165/1000*0.8</f>
        <v>0</v>
      </c>
      <c r="AN165" s="1124">
        <f>12*$K165*'Crono Pessoal'!AJ165/1000*0.8</f>
        <v>0</v>
      </c>
      <c r="AO165" s="1124">
        <f>12*$K165*'Crono Pessoal'!AK165/1000*0.8</f>
        <v>0</v>
      </c>
      <c r="AP165" s="1124">
        <f>12*$K165*'Crono Pessoal'!AL165/1000*0.8</f>
        <v>0</v>
      </c>
    </row>
    <row r="166" spans="1:42">
      <c r="A166" s="595"/>
      <c r="B166" s="598"/>
      <c r="C166" s="599"/>
      <c r="D166" s="260" t="s">
        <v>889</v>
      </c>
      <c r="E166" s="260">
        <v>8</v>
      </c>
      <c r="F166" s="1129" t="s">
        <v>891</v>
      </c>
      <c r="G166" s="1132" t="str">
        <f>VLOOKUP($F166,SALARIOSS!$D$6:$H$203,2,0)</f>
        <v>Motorista Caminhão Boiadeiro</v>
      </c>
      <c r="H166" s="1121">
        <f>VLOOKUP($F166,SALARIOSS!$D$6:$I$203,6,0)</f>
        <v>2292.8616000000002</v>
      </c>
      <c r="I166" s="1121">
        <f>VLOOKUP($F166,Funções!$D$9:$K$200,5,0)+VLOOKUP($F166,Funções!$D$9:$K$200,6,0)</f>
        <v>2875.2989779999998</v>
      </c>
      <c r="J166" s="1121">
        <f>VLOOKUP($F166,Funções!$D$9:$K$200,7,0)</f>
        <v>95</v>
      </c>
      <c r="K166" s="1122">
        <f t="shared" si="9"/>
        <v>5263.160578</v>
      </c>
      <c r="L166" s="1123">
        <f t="shared" si="10"/>
        <v>0</v>
      </c>
      <c r="M166" s="1124">
        <f>12*$K166*'Crono Pessoal'!I166/1000*0.8</f>
        <v>0</v>
      </c>
      <c r="N166" s="1124">
        <f>12*$K166*'Crono Pessoal'!J166/1000*0.8</f>
        <v>0</v>
      </c>
      <c r="O166" s="1124">
        <f>12*$K166*'Crono Pessoal'!K166/1000*0.8</f>
        <v>0</v>
      </c>
      <c r="P166" s="1124">
        <f>12*$K166*'Crono Pessoal'!L166/1000*0.8</f>
        <v>0</v>
      </c>
      <c r="Q166" s="1124">
        <f>12*$K166*'Crono Pessoal'!M166/1000*0.8</f>
        <v>0</v>
      </c>
      <c r="R166" s="1124">
        <f>12*$K166*'Crono Pessoal'!N166/1000*0.8</f>
        <v>0</v>
      </c>
      <c r="S166" s="1124">
        <f>12*$K166*'Crono Pessoal'!O166/1000*0.8</f>
        <v>0</v>
      </c>
      <c r="T166" s="1124">
        <f>12*$K166*'Crono Pessoal'!P166/1000*0.8</f>
        <v>0</v>
      </c>
      <c r="U166" s="1124">
        <f>12*$K166*'Crono Pessoal'!Q166/1000*0.8</f>
        <v>0</v>
      </c>
      <c r="V166" s="1124">
        <f>12*$K166*'Crono Pessoal'!R166/1000*0.8</f>
        <v>0</v>
      </c>
      <c r="W166" s="1124">
        <f>12*$K166*'Crono Pessoal'!S166/1000*0.8</f>
        <v>0</v>
      </c>
      <c r="X166" s="1124">
        <f>12*$K166*'Crono Pessoal'!T166/1000*0.8</f>
        <v>0</v>
      </c>
      <c r="Y166" s="1124">
        <f>12*$K166*'Crono Pessoal'!U166/1000*0.8</f>
        <v>0</v>
      </c>
      <c r="Z166" s="1124">
        <f>12*$K166*'Crono Pessoal'!V166/1000*0.8</f>
        <v>0</v>
      </c>
      <c r="AA166" s="1124">
        <f>12*$K166*'Crono Pessoal'!W166/1000*0.8</f>
        <v>0</v>
      </c>
      <c r="AB166" s="1124">
        <f>12*$K166*'Crono Pessoal'!X166/1000*0.8</f>
        <v>0</v>
      </c>
      <c r="AC166" s="1124">
        <f>12*$K166*'Crono Pessoal'!Y166/1000*0.8</f>
        <v>0</v>
      </c>
      <c r="AD166" s="1124">
        <f>12*$K166*'Crono Pessoal'!Z166/1000*0.8</f>
        <v>0</v>
      </c>
      <c r="AE166" s="1124">
        <f>12*$K166*'Crono Pessoal'!AA166/1000*0.8</f>
        <v>0</v>
      </c>
      <c r="AF166" s="1124">
        <f>12*$K166*'Crono Pessoal'!AB166/1000*0.8</f>
        <v>0</v>
      </c>
      <c r="AG166" s="1124">
        <f>12*$K166*'Crono Pessoal'!AC166/1000*0.8</f>
        <v>0</v>
      </c>
      <c r="AH166" s="1124">
        <f>12*$K166*'Crono Pessoal'!AD166/1000*0.8</f>
        <v>0</v>
      </c>
      <c r="AI166" s="1124">
        <f>12*$K166*'Crono Pessoal'!AE166/1000*0.8</f>
        <v>0</v>
      </c>
      <c r="AJ166" s="1124">
        <f>12*$K166*'Crono Pessoal'!AF166/1000*0.8</f>
        <v>0</v>
      </c>
      <c r="AK166" s="1124">
        <f>12*$K166*'Crono Pessoal'!AG166/1000*0.8</f>
        <v>0</v>
      </c>
      <c r="AL166" s="1124">
        <f>12*$K166*'Crono Pessoal'!AH166/1000*0.8</f>
        <v>0</v>
      </c>
      <c r="AM166" s="1124">
        <f>12*$K166*'Crono Pessoal'!AI166/1000*0.8</f>
        <v>0</v>
      </c>
      <c r="AN166" s="1124">
        <f>12*$K166*'Crono Pessoal'!AJ166/1000*0.8</f>
        <v>0</v>
      </c>
      <c r="AO166" s="1124">
        <f>12*$K166*'Crono Pessoal'!AK166/1000*0.8</f>
        <v>0</v>
      </c>
      <c r="AP166" s="1124">
        <f>12*$K166*'Crono Pessoal'!AL166/1000*0.8</f>
        <v>0</v>
      </c>
    </row>
    <row r="167" spans="1:42">
      <c r="A167" s="595"/>
      <c r="B167" s="598"/>
      <c r="C167" s="599"/>
      <c r="D167" s="260" t="s">
        <v>886</v>
      </c>
      <c r="E167" s="260">
        <v>8</v>
      </c>
      <c r="F167" s="1129" t="s">
        <v>892</v>
      </c>
      <c r="G167" s="1132" t="str">
        <f>VLOOKUP($F167,SALARIOSS!$D$6:$H$203,2,0)</f>
        <v>Mecânico</v>
      </c>
      <c r="H167" s="1121">
        <f>VLOOKUP($F167,SALARIOSS!$D$6:$I$203,6,0)</f>
        <v>2292.8616000000002</v>
      </c>
      <c r="I167" s="1121">
        <f>VLOOKUP($F167,Funções!$D$9:$K$200,5,0)+VLOOKUP($F167,Funções!$D$9:$K$200,6,0)</f>
        <v>2875.2989779999998</v>
      </c>
      <c r="J167" s="1121">
        <f>VLOOKUP($F167,Funções!$D$9:$K$200,7,0)</f>
        <v>95</v>
      </c>
      <c r="K167" s="1122">
        <f t="shared" si="9"/>
        <v>5263.160578</v>
      </c>
      <c r="L167" s="1123">
        <f t="shared" si="10"/>
        <v>0</v>
      </c>
      <c r="M167" s="1124">
        <f>12*$K167*'Crono Pessoal'!I167/1000</f>
        <v>0</v>
      </c>
      <c r="N167" s="1124">
        <f>12*$K167*'Crono Pessoal'!J167/1000</f>
        <v>0</v>
      </c>
      <c r="O167" s="1124">
        <f>12*$K167*'Crono Pessoal'!K167/1000</f>
        <v>0</v>
      </c>
      <c r="P167" s="1124">
        <f>12*$K167*'Crono Pessoal'!L167/1000</f>
        <v>0</v>
      </c>
      <c r="Q167" s="1124">
        <f>12*$K167*'Crono Pessoal'!M167/1000</f>
        <v>0</v>
      </c>
      <c r="R167" s="1124">
        <f>12*$K167*'Crono Pessoal'!N167/1000</f>
        <v>0</v>
      </c>
      <c r="S167" s="1124">
        <f>12*$K167*'Crono Pessoal'!O167/1000</f>
        <v>0</v>
      </c>
      <c r="T167" s="1124">
        <f>12*$K167*'Crono Pessoal'!P167/1000</f>
        <v>0</v>
      </c>
      <c r="U167" s="1124">
        <f>12*$K167*'Crono Pessoal'!Q167/1000</f>
        <v>0</v>
      </c>
      <c r="V167" s="1124">
        <f>12*$K167*'Crono Pessoal'!R167/1000</f>
        <v>0</v>
      </c>
      <c r="W167" s="1124">
        <f>12*$K167*'Crono Pessoal'!S167/1000</f>
        <v>0</v>
      </c>
      <c r="X167" s="1124">
        <f>12*$K167*'Crono Pessoal'!T167/1000</f>
        <v>0</v>
      </c>
      <c r="Y167" s="1124">
        <f>12*$K167*'Crono Pessoal'!U167/1000</f>
        <v>0</v>
      </c>
      <c r="Z167" s="1124">
        <f>12*$K167*'Crono Pessoal'!V167/1000</f>
        <v>0</v>
      </c>
      <c r="AA167" s="1124">
        <f>12*$K167*'Crono Pessoal'!W167/1000</f>
        <v>0</v>
      </c>
      <c r="AB167" s="1124">
        <f>12*$K167*'Crono Pessoal'!X167/1000</f>
        <v>0</v>
      </c>
      <c r="AC167" s="1124">
        <f>12*$K167*'Crono Pessoal'!Y167/1000</f>
        <v>0</v>
      </c>
      <c r="AD167" s="1124">
        <f>12*$K167*'Crono Pessoal'!Z167/1000</f>
        <v>0</v>
      </c>
      <c r="AE167" s="1124">
        <f>12*$K167*'Crono Pessoal'!AA167/1000</f>
        <v>0</v>
      </c>
      <c r="AF167" s="1124">
        <f>12*$K167*'Crono Pessoal'!AB167/1000</f>
        <v>0</v>
      </c>
      <c r="AG167" s="1124">
        <f>12*$K167*'Crono Pessoal'!AC167/1000</f>
        <v>0</v>
      </c>
      <c r="AH167" s="1124">
        <f>12*$K167*'Crono Pessoal'!AD167/1000</f>
        <v>0</v>
      </c>
      <c r="AI167" s="1124">
        <f>12*$K167*'Crono Pessoal'!AE167/1000</f>
        <v>0</v>
      </c>
      <c r="AJ167" s="1124">
        <f>12*$K167*'Crono Pessoal'!AF167/1000</f>
        <v>0</v>
      </c>
      <c r="AK167" s="1124">
        <f>12*$K167*'Crono Pessoal'!AG167/1000</f>
        <v>0</v>
      </c>
      <c r="AL167" s="1124">
        <f>12*$K167*'Crono Pessoal'!AH167/1000</f>
        <v>0</v>
      </c>
      <c r="AM167" s="1124">
        <f>12*$K167*'Crono Pessoal'!AI167/1000</f>
        <v>0</v>
      </c>
      <c r="AN167" s="1124">
        <f>12*$K167*'Crono Pessoal'!AJ167/1000</f>
        <v>0</v>
      </c>
      <c r="AO167" s="1124">
        <f>12*$K167*'Crono Pessoal'!AK167/1000</f>
        <v>0</v>
      </c>
      <c r="AP167" s="1124">
        <f>12*$K167*'Crono Pessoal'!AL167/1000</f>
        <v>0</v>
      </c>
    </row>
    <row r="168" spans="1:42">
      <c r="A168" s="595"/>
      <c r="B168" s="598"/>
      <c r="C168" s="599"/>
      <c r="D168" s="260"/>
      <c r="E168" s="260">
        <v>9</v>
      </c>
      <c r="F168" s="1129"/>
      <c r="G168" s="1126" t="s">
        <v>893</v>
      </c>
      <c r="H168" s="1121"/>
      <c r="I168" s="1121"/>
      <c r="J168" s="1121"/>
      <c r="K168" s="1122"/>
      <c r="L168" s="1123"/>
      <c r="M168" s="1124"/>
      <c r="N168" s="1124"/>
      <c r="O168" s="1124"/>
      <c r="P168" s="1124"/>
      <c r="Q168" s="1124"/>
      <c r="R168" s="1124"/>
      <c r="S168" s="1124"/>
      <c r="T168" s="1124"/>
      <c r="U168" s="1124"/>
      <c r="V168" s="1124"/>
      <c r="W168" s="1124"/>
      <c r="X168" s="1124"/>
      <c r="Y168" s="1124"/>
      <c r="Z168" s="1124"/>
      <c r="AA168" s="1124"/>
      <c r="AB168" s="1124"/>
      <c r="AC168" s="1124"/>
      <c r="AD168" s="1124"/>
      <c r="AE168" s="1124"/>
      <c r="AF168" s="1124"/>
      <c r="AG168" s="1124"/>
      <c r="AH168" s="1124"/>
      <c r="AI168" s="1124"/>
      <c r="AJ168" s="1124"/>
      <c r="AK168" s="1124"/>
      <c r="AL168" s="1124"/>
      <c r="AM168" s="1124"/>
      <c r="AN168" s="1124"/>
      <c r="AO168" s="1124"/>
      <c r="AP168" s="1124"/>
    </row>
    <row r="169" spans="1:42">
      <c r="A169" s="595"/>
      <c r="B169" s="598"/>
      <c r="C169" s="599"/>
      <c r="D169" s="260" t="s">
        <v>894</v>
      </c>
      <c r="E169" s="260">
        <v>9</v>
      </c>
      <c r="F169" s="1129" t="s">
        <v>791</v>
      </c>
      <c r="G169" s="1132" t="str">
        <f>VLOOKUP($F169,SALARIOSS!$D$6:$H$203,2,0)</f>
        <v>Encarregado de Patrimônio</v>
      </c>
      <c r="H169" s="1121">
        <f>VLOOKUP($F169,SALARIOSS!$D$6:$I$203,6,0)</f>
        <v>5273.4726000000001</v>
      </c>
      <c r="I169" s="1121">
        <f>VLOOKUP($F169,Funções!$D$9:$K$200,5,0)+VLOOKUP($F169,Funções!$D$9:$K$200,6,0)</f>
        <v>5535.4942955000006</v>
      </c>
      <c r="J169" s="1121">
        <f>VLOOKUP($F169,Funções!$D$9:$K$200,7,0)</f>
        <v>95</v>
      </c>
      <c r="K169" s="1122">
        <f>SUM(H169:J169)</f>
        <v>10903.966895500002</v>
      </c>
      <c r="L169" s="1123">
        <f>SUM(M169:AP169)</f>
        <v>3925.4280823800027</v>
      </c>
      <c r="M169" s="1124">
        <f>12*$K169*'Crono Pessoal'!I169/1000</f>
        <v>130.84760274600001</v>
      </c>
      <c r="N169" s="1124">
        <f>12*$K169*'Crono Pessoal'!J169/1000</f>
        <v>130.84760274600001</v>
      </c>
      <c r="O169" s="1124">
        <f>12*$K169*'Crono Pessoal'!K169/1000</f>
        <v>130.84760274600001</v>
      </c>
      <c r="P169" s="1124">
        <f>12*$K169*'Crono Pessoal'!L169/1000</f>
        <v>130.84760274600001</v>
      </c>
      <c r="Q169" s="1124">
        <f>12*$K169*'Crono Pessoal'!M169/1000</f>
        <v>130.84760274600001</v>
      </c>
      <c r="R169" s="1124">
        <f>12*$K169*'Crono Pessoal'!N169/1000</f>
        <v>130.84760274600001</v>
      </c>
      <c r="S169" s="1124">
        <f>12*$K169*'Crono Pessoal'!O169/1000</f>
        <v>130.84760274600001</v>
      </c>
      <c r="T169" s="1124">
        <f>12*$K169*'Crono Pessoal'!P169/1000</f>
        <v>130.84760274600001</v>
      </c>
      <c r="U169" s="1124">
        <f>12*$K169*'Crono Pessoal'!Q169/1000</f>
        <v>130.84760274600001</v>
      </c>
      <c r="V169" s="1124">
        <f>12*$K169*'Crono Pessoal'!R169/1000</f>
        <v>130.84760274600001</v>
      </c>
      <c r="W169" s="1124">
        <f>12*$K169*'Crono Pessoal'!S169/1000</f>
        <v>130.84760274600001</v>
      </c>
      <c r="X169" s="1124">
        <f>12*$K169*'Crono Pessoal'!T169/1000</f>
        <v>130.84760274600001</v>
      </c>
      <c r="Y169" s="1124">
        <f>12*$K169*'Crono Pessoal'!U169/1000</f>
        <v>130.84760274600001</v>
      </c>
      <c r="Z169" s="1124">
        <f>12*$K169*'Crono Pessoal'!V169/1000</f>
        <v>130.84760274600001</v>
      </c>
      <c r="AA169" s="1124">
        <f>12*$K169*'Crono Pessoal'!W169/1000</f>
        <v>130.84760274600001</v>
      </c>
      <c r="AB169" s="1124">
        <f>12*$K169*'Crono Pessoal'!X169/1000</f>
        <v>130.84760274600001</v>
      </c>
      <c r="AC169" s="1124">
        <f>12*$K169*'Crono Pessoal'!Y169/1000</f>
        <v>130.84760274600001</v>
      </c>
      <c r="AD169" s="1124">
        <f>12*$K169*'Crono Pessoal'!Z169/1000</f>
        <v>130.84760274600001</v>
      </c>
      <c r="AE169" s="1124">
        <f>12*$K169*'Crono Pessoal'!AA169/1000</f>
        <v>130.84760274600001</v>
      </c>
      <c r="AF169" s="1124">
        <f>12*$K169*'Crono Pessoal'!AB169/1000</f>
        <v>130.84760274600001</v>
      </c>
      <c r="AG169" s="1124">
        <f>12*$K169*'Crono Pessoal'!AC169/1000</f>
        <v>130.84760274600001</v>
      </c>
      <c r="AH169" s="1124">
        <f>12*$K169*'Crono Pessoal'!AD169/1000</f>
        <v>130.84760274600001</v>
      </c>
      <c r="AI169" s="1124">
        <f>12*$K169*'Crono Pessoal'!AE169/1000</f>
        <v>130.84760274600001</v>
      </c>
      <c r="AJ169" s="1124">
        <f>12*$K169*'Crono Pessoal'!AF169/1000</f>
        <v>130.84760274600001</v>
      </c>
      <c r="AK169" s="1124">
        <f>12*$K169*'Crono Pessoal'!AG169/1000</f>
        <v>130.84760274600001</v>
      </c>
      <c r="AL169" s="1124">
        <f>12*$K169*'Crono Pessoal'!AH169/1000</f>
        <v>130.84760274600001</v>
      </c>
      <c r="AM169" s="1124">
        <f>12*$K169*'Crono Pessoal'!AI169/1000</f>
        <v>130.84760274600001</v>
      </c>
      <c r="AN169" s="1124">
        <f>12*$K169*'Crono Pessoal'!AJ169/1000</f>
        <v>130.84760274600001</v>
      </c>
      <c r="AO169" s="1124">
        <f>12*$K169*'Crono Pessoal'!AK169/1000</f>
        <v>130.84760274600001</v>
      </c>
      <c r="AP169" s="1124">
        <f>12*$K169*'Crono Pessoal'!AL169/1000</f>
        <v>130.84760274600001</v>
      </c>
    </row>
    <row r="170" spans="1:42">
      <c r="A170" s="595"/>
      <c r="B170" s="598"/>
      <c r="C170" s="599"/>
      <c r="D170" s="260" t="s">
        <v>894</v>
      </c>
      <c r="E170" s="260">
        <v>9</v>
      </c>
      <c r="F170" s="1129" t="s">
        <v>895</v>
      </c>
      <c r="G170" s="1132" t="str">
        <f>VLOOKUP($F170,SALARIOSS!$D$6:$H$203,2,0)</f>
        <v>Vigia</v>
      </c>
      <c r="H170" s="1121">
        <f>VLOOKUP($F170,SALARIOSS!$D$6:$I$203,6,0)</f>
        <v>1432.9021500000003</v>
      </c>
      <c r="I170" s="1121">
        <f>VLOOKUP($F170,Funções!$D$9:$K$200,5,0)+VLOOKUP($F170,Funções!$D$9:$K$200,6,0)</f>
        <v>2107.7851688750006</v>
      </c>
      <c r="J170" s="1121">
        <f>VLOOKUP($F170,Funções!$D$9:$K$200,7,0)</f>
        <v>95</v>
      </c>
      <c r="K170" s="1122">
        <f>SUM(H170:J170)</f>
        <v>3635.687318875001</v>
      </c>
      <c r="L170" s="1123">
        <f>SUM(M170:AP170)</f>
        <v>65442.371739750015</v>
      </c>
      <c r="M170" s="1124">
        <f>12*$K170*'Crono Pessoal'!I170/1000</f>
        <v>2181.4123913250005</v>
      </c>
      <c r="N170" s="1124">
        <f>12*$K170*'Crono Pessoal'!J170/1000</f>
        <v>2181.4123913250005</v>
      </c>
      <c r="O170" s="1124">
        <f>12*$K170*'Crono Pessoal'!K170/1000</f>
        <v>2181.4123913250005</v>
      </c>
      <c r="P170" s="1124">
        <f>12*$K170*'Crono Pessoal'!L170/1000</f>
        <v>2181.4123913250005</v>
      </c>
      <c r="Q170" s="1124">
        <f>12*$K170*'Crono Pessoal'!M170/1000</f>
        <v>2181.4123913250005</v>
      </c>
      <c r="R170" s="1124">
        <f>12*$K170*'Crono Pessoal'!N170/1000</f>
        <v>2181.4123913250005</v>
      </c>
      <c r="S170" s="1124">
        <f>12*$K170*'Crono Pessoal'!O170/1000</f>
        <v>2181.4123913250005</v>
      </c>
      <c r="T170" s="1124">
        <f>12*$K170*'Crono Pessoal'!P170/1000</f>
        <v>2181.4123913250005</v>
      </c>
      <c r="U170" s="1124">
        <f>12*$K170*'Crono Pessoal'!Q170/1000</f>
        <v>2181.4123913250005</v>
      </c>
      <c r="V170" s="1124">
        <f>12*$K170*'Crono Pessoal'!R170/1000</f>
        <v>2181.4123913250005</v>
      </c>
      <c r="W170" s="1124">
        <f>12*$K170*'Crono Pessoal'!S170/1000</f>
        <v>2181.4123913250005</v>
      </c>
      <c r="X170" s="1124">
        <f>12*$K170*'Crono Pessoal'!T170/1000</f>
        <v>2181.4123913250005</v>
      </c>
      <c r="Y170" s="1124">
        <f>12*$K170*'Crono Pessoal'!U170/1000</f>
        <v>2181.4123913250005</v>
      </c>
      <c r="Z170" s="1124">
        <f>12*$K170*'Crono Pessoal'!V170/1000</f>
        <v>2181.4123913250005</v>
      </c>
      <c r="AA170" s="1124">
        <f>12*$K170*'Crono Pessoal'!W170/1000</f>
        <v>2181.4123913250005</v>
      </c>
      <c r="AB170" s="1124">
        <f>12*$K170*'Crono Pessoal'!X170/1000</f>
        <v>2181.4123913250005</v>
      </c>
      <c r="AC170" s="1124">
        <f>12*$K170*'Crono Pessoal'!Y170/1000</f>
        <v>2181.4123913250005</v>
      </c>
      <c r="AD170" s="1124">
        <f>12*$K170*'Crono Pessoal'!Z170/1000</f>
        <v>2181.4123913250005</v>
      </c>
      <c r="AE170" s="1124">
        <f>12*$K170*'Crono Pessoal'!AA170/1000</f>
        <v>2181.4123913250005</v>
      </c>
      <c r="AF170" s="1124">
        <f>12*$K170*'Crono Pessoal'!AB170/1000</f>
        <v>2181.4123913250005</v>
      </c>
      <c r="AG170" s="1124">
        <f>12*$K170*'Crono Pessoal'!AC170/1000</f>
        <v>2181.4123913250005</v>
      </c>
      <c r="AH170" s="1124">
        <f>12*$K170*'Crono Pessoal'!AD170/1000</f>
        <v>2181.4123913250005</v>
      </c>
      <c r="AI170" s="1124">
        <f>12*$K170*'Crono Pessoal'!AE170/1000</f>
        <v>2181.4123913250005</v>
      </c>
      <c r="AJ170" s="1124">
        <f>12*$K170*'Crono Pessoal'!AF170/1000</f>
        <v>2181.4123913250005</v>
      </c>
      <c r="AK170" s="1124">
        <f>12*$K170*'Crono Pessoal'!AG170/1000</f>
        <v>2181.4123913250005</v>
      </c>
      <c r="AL170" s="1124">
        <f>12*$K170*'Crono Pessoal'!AH170/1000</f>
        <v>2181.4123913250005</v>
      </c>
      <c r="AM170" s="1124">
        <f>12*$K170*'Crono Pessoal'!AI170/1000</f>
        <v>2181.4123913250005</v>
      </c>
      <c r="AN170" s="1124">
        <f>12*$K170*'Crono Pessoal'!AJ170/1000</f>
        <v>2181.4123913250005</v>
      </c>
      <c r="AO170" s="1124">
        <f>12*$K170*'Crono Pessoal'!AK170/1000</f>
        <v>2181.4123913250005</v>
      </c>
      <c r="AP170" s="1124">
        <f>12*$K170*'Crono Pessoal'!AL170/1000</f>
        <v>2181.4123913250005</v>
      </c>
    </row>
    <row r="171" spans="1:42">
      <c r="A171" s="595"/>
      <c r="B171" s="598"/>
      <c r="C171" s="599"/>
      <c r="D171" s="260" t="s">
        <v>894</v>
      </c>
      <c r="E171" s="260">
        <v>9</v>
      </c>
      <c r="F171" s="1129" t="s">
        <v>896</v>
      </c>
      <c r="G171" s="1132" t="str">
        <f>VLOOKUP($F171,SALARIOSS!$D$6:$H$203,2,0)</f>
        <v>Porteiro</v>
      </c>
      <c r="H171" s="1121">
        <f>VLOOKUP($F171,SALARIOSS!$D$6:$I$203,6,0)</f>
        <v>1432.9021500000003</v>
      </c>
      <c r="I171" s="1121">
        <f>VLOOKUP($F171,Funções!$D$9:$K$200,5,0)+VLOOKUP($F171,Funções!$D$9:$K$200,6,0)</f>
        <v>2107.7851688750006</v>
      </c>
      <c r="J171" s="1121">
        <f>VLOOKUP($F171,Funções!$D$9:$K$200,7,0)</f>
        <v>95</v>
      </c>
      <c r="K171" s="1122">
        <f>SUM(H171:J171)</f>
        <v>3635.687318875001</v>
      </c>
      <c r="L171" s="1123">
        <f>SUM(M171:AP171)</f>
        <v>1308.8474347950003</v>
      </c>
      <c r="M171" s="1124">
        <f>12*$K171*'Crono Pessoal'!I171/1000</f>
        <v>43.628247826500008</v>
      </c>
      <c r="N171" s="1124">
        <f>12*$K171*'Crono Pessoal'!J171/1000</f>
        <v>43.628247826500008</v>
      </c>
      <c r="O171" s="1124">
        <f>12*$K171*'Crono Pessoal'!K171/1000</f>
        <v>43.628247826500008</v>
      </c>
      <c r="P171" s="1124">
        <f>12*$K171*'Crono Pessoal'!L171/1000</f>
        <v>43.628247826500008</v>
      </c>
      <c r="Q171" s="1124">
        <f>12*$K171*'Crono Pessoal'!M171/1000</f>
        <v>43.628247826500008</v>
      </c>
      <c r="R171" s="1124">
        <f>12*$K171*'Crono Pessoal'!N171/1000</f>
        <v>43.628247826500008</v>
      </c>
      <c r="S171" s="1124">
        <f>12*$K171*'Crono Pessoal'!O171/1000</f>
        <v>43.628247826500008</v>
      </c>
      <c r="T171" s="1124">
        <f>12*$K171*'Crono Pessoal'!P171/1000</f>
        <v>43.628247826500008</v>
      </c>
      <c r="U171" s="1124">
        <f>12*$K171*'Crono Pessoal'!Q171/1000</f>
        <v>43.628247826500008</v>
      </c>
      <c r="V171" s="1124">
        <f>12*$K171*'Crono Pessoal'!R171/1000</f>
        <v>43.628247826500008</v>
      </c>
      <c r="W171" s="1124">
        <f>12*$K171*'Crono Pessoal'!S171/1000</f>
        <v>43.628247826500008</v>
      </c>
      <c r="X171" s="1124">
        <f>12*$K171*'Crono Pessoal'!T171/1000</f>
        <v>43.628247826500008</v>
      </c>
      <c r="Y171" s="1124">
        <f>12*$K171*'Crono Pessoal'!U171/1000</f>
        <v>43.628247826500008</v>
      </c>
      <c r="Z171" s="1124">
        <f>12*$K171*'Crono Pessoal'!V171/1000</f>
        <v>43.628247826500008</v>
      </c>
      <c r="AA171" s="1124">
        <f>12*$K171*'Crono Pessoal'!W171/1000</f>
        <v>43.628247826500008</v>
      </c>
      <c r="AB171" s="1124">
        <f>12*$K171*'Crono Pessoal'!X171/1000</f>
        <v>43.628247826500008</v>
      </c>
      <c r="AC171" s="1124">
        <f>12*$K171*'Crono Pessoal'!Y171/1000</f>
        <v>43.628247826500008</v>
      </c>
      <c r="AD171" s="1124">
        <f>12*$K171*'Crono Pessoal'!Z171/1000</f>
        <v>43.628247826500008</v>
      </c>
      <c r="AE171" s="1124">
        <f>12*$K171*'Crono Pessoal'!AA171/1000</f>
        <v>43.628247826500008</v>
      </c>
      <c r="AF171" s="1124">
        <f>12*$K171*'Crono Pessoal'!AB171/1000</f>
        <v>43.628247826500008</v>
      </c>
      <c r="AG171" s="1124">
        <f>12*$K171*'Crono Pessoal'!AC171/1000</f>
        <v>43.628247826500008</v>
      </c>
      <c r="AH171" s="1124">
        <f>12*$K171*'Crono Pessoal'!AD171/1000</f>
        <v>43.628247826500008</v>
      </c>
      <c r="AI171" s="1124">
        <f>12*$K171*'Crono Pessoal'!AE171/1000</f>
        <v>43.628247826500008</v>
      </c>
      <c r="AJ171" s="1124">
        <f>12*$K171*'Crono Pessoal'!AF171/1000</f>
        <v>43.628247826500008</v>
      </c>
      <c r="AK171" s="1124">
        <f>12*$K171*'Crono Pessoal'!AG171/1000</f>
        <v>43.628247826500008</v>
      </c>
      <c r="AL171" s="1124">
        <f>12*$K171*'Crono Pessoal'!AH171/1000</f>
        <v>43.628247826500008</v>
      </c>
      <c r="AM171" s="1124">
        <f>12*$K171*'Crono Pessoal'!AI171/1000</f>
        <v>43.628247826500008</v>
      </c>
      <c r="AN171" s="1124">
        <f>12*$K171*'Crono Pessoal'!AJ171/1000</f>
        <v>43.628247826500008</v>
      </c>
      <c r="AO171" s="1124">
        <f>12*$K171*'Crono Pessoal'!AK171/1000</f>
        <v>43.628247826500008</v>
      </c>
      <c r="AP171" s="1124">
        <f>12*$K171*'Crono Pessoal'!AL171/1000</f>
        <v>43.628247826500008</v>
      </c>
    </row>
    <row r="172" spans="1:42">
      <c r="A172" s="595"/>
      <c r="B172" s="598"/>
      <c r="C172" s="599"/>
      <c r="D172" s="260" t="s">
        <v>894</v>
      </c>
      <c r="E172" s="260">
        <v>9</v>
      </c>
      <c r="F172" s="1129" t="s">
        <v>795</v>
      </c>
      <c r="G172" s="1132" t="str">
        <f>VLOOKUP($F172,SALARIOSS!$D$6:$H$203,2,0)</f>
        <v>Auxiliar Administrativo I</v>
      </c>
      <c r="H172" s="1121">
        <f>VLOOKUP($F172,SALARIOSS!$D$6:$I$203,6,0)</f>
        <v>1483.4880000000003</v>
      </c>
      <c r="I172" s="1121">
        <f>VLOOKUP($F172,Funções!$D$9:$K$200,5,0)+VLOOKUP($F172,Funções!$D$9:$K$200,6,0)</f>
        <v>2152.9330400000003</v>
      </c>
      <c r="J172" s="1121">
        <f>VLOOKUP($F172,Funções!$D$9:$K$200,7,0)</f>
        <v>95</v>
      </c>
      <c r="K172" s="1122">
        <f>SUM(H172:J172)</f>
        <v>3731.4210400000006</v>
      </c>
      <c r="L172" s="1123">
        <f>SUM(M172:AP172)</f>
        <v>0</v>
      </c>
      <c r="M172" s="1124">
        <f>12*$K172*'Crono Pessoal'!I172/1000</f>
        <v>0</v>
      </c>
      <c r="N172" s="1124">
        <f>12*$K172*'Crono Pessoal'!J172/1000</f>
        <v>0</v>
      </c>
      <c r="O172" s="1124">
        <f>12*$K172*'Crono Pessoal'!K172/1000</f>
        <v>0</v>
      </c>
      <c r="P172" s="1124">
        <f>12*$K172*'Crono Pessoal'!L172/1000</f>
        <v>0</v>
      </c>
      <c r="Q172" s="1124">
        <f>12*$K172*'Crono Pessoal'!M172/1000</f>
        <v>0</v>
      </c>
      <c r="R172" s="1124">
        <f>12*$K172*'Crono Pessoal'!N172/1000</f>
        <v>0</v>
      </c>
      <c r="S172" s="1124">
        <f>12*$K172*'Crono Pessoal'!O172/1000</f>
        <v>0</v>
      </c>
      <c r="T172" s="1124">
        <f>12*$K172*'Crono Pessoal'!P172/1000</f>
        <v>0</v>
      </c>
      <c r="U172" s="1124">
        <f>12*$K172*'Crono Pessoal'!Q172/1000</f>
        <v>0</v>
      </c>
      <c r="V172" s="1124">
        <f>12*$K172*'Crono Pessoal'!R172/1000</f>
        <v>0</v>
      </c>
      <c r="W172" s="1124">
        <f>12*$K172*'Crono Pessoal'!S172/1000</f>
        <v>0</v>
      </c>
      <c r="X172" s="1124">
        <f>12*$K172*'Crono Pessoal'!T172/1000</f>
        <v>0</v>
      </c>
      <c r="Y172" s="1124">
        <f>12*$K172*'Crono Pessoal'!U172/1000</f>
        <v>0</v>
      </c>
      <c r="Z172" s="1124">
        <f>12*$K172*'Crono Pessoal'!V172/1000</f>
        <v>0</v>
      </c>
      <c r="AA172" s="1124">
        <f>12*$K172*'Crono Pessoal'!W172/1000</f>
        <v>0</v>
      </c>
      <c r="AB172" s="1124">
        <f>12*$K172*'Crono Pessoal'!X172/1000</f>
        <v>0</v>
      </c>
      <c r="AC172" s="1124">
        <f>12*$K172*'Crono Pessoal'!Y172/1000</f>
        <v>0</v>
      </c>
      <c r="AD172" s="1124">
        <f>12*$K172*'Crono Pessoal'!Z172/1000</f>
        <v>0</v>
      </c>
      <c r="AE172" s="1124">
        <f>12*$K172*'Crono Pessoal'!AA172/1000</f>
        <v>0</v>
      </c>
      <c r="AF172" s="1124">
        <f>12*$K172*'Crono Pessoal'!AB172/1000</f>
        <v>0</v>
      </c>
      <c r="AG172" s="1124">
        <f>12*$K172*'Crono Pessoal'!AC172/1000</f>
        <v>0</v>
      </c>
      <c r="AH172" s="1124">
        <f>12*$K172*'Crono Pessoal'!AD172/1000</f>
        <v>0</v>
      </c>
      <c r="AI172" s="1124">
        <f>12*$K172*'Crono Pessoal'!AE172/1000</f>
        <v>0</v>
      </c>
      <c r="AJ172" s="1124">
        <f>12*$K172*'Crono Pessoal'!AF172/1000</f>
        <v>0</v>
      </c>
      <c r="AK172" s="1124">
        <f>12*$K172*'Crono Pessoal'!AG172/1000</f>
        <v>0</v>
      </c>
      <c r="AL172" s="1124">
        <f>12*$K172*'Crono Pessoal'!AH172/1000</f>
        <v>0</v>
      </c>
      <c r="AM172" s="1124">
        <f>12*$K172*'Crono Pessoal'!AI172/1000</f>
        <v>0</v>
      </c>
      <c r="AN172" s="1124">
        <f>12*$K172*'Crono Pessoal'!AJ172/1000</f>
        <v>0</v>
      </c>
      <c r="AO172" s="1124">
        <f>12*$K172*'Crono Pessoal'!AK172/1000</f>
        <v>0</v>
      </c>
      <c r="AP172" s="1124">
        <f>12*$K172*'Crono Pessoal'!AL172/1000</f>
        <v>0</v>
      </c>
    </row>
    <row r="173" spans="1:42">
      <c r="A173" s="595"/>
      <c r="B173" s="598"/>
      <c r="C173" s="599"/>
      <c r="D173" s="260" t="s">
        <v>894</v>
      </c>
      <c r="E173" s="260">
        <v>9</v>
      </c>
      <c r="F173" s="1129" t="s">
        <v>757</v>
      </c>
      <c r="G173" s="1132" t="str">
        <f>VLOOKUP($F173,SALARIOSS!$D$6:$H$203,2,0)</f>
        <v>Motorista</v>
      </c>
      <c r="H173" s="1121">
        <f>VLOOKUP($F173,SALARIOSS!$D$6:$I$203,6,0)</f>
        <v>1781.2764000000004</v>
      </c>
      <c r="I173" s="1121">
        <f>VLOOKUP($F173,Funções!$D$9:$K$200,5,0)+VLOOKUP($F173,Funções!$D$9:$K$200,6,0)</f>
        <v>2418.7091870000004</v>
      </c>
      <c r="J173" s="1121">
        <f>VLOOKUP($F173,Funções!$D$9:$K$200,7,0)</f>
        <v>95</v>
      </c>
      <c r="K173" s="1122">
        <f>SUM(H173:J173)</f>
        <v>4294.985587000001</v>
      </c>
      <c r="L173" s="1123">
        <f>SUM(M173:AP173)</f>
        <v>0</v>
      </c>
      <c r="M173" s="1124">
        <f>12*$K173*'Crono Pessoal'!I173/1000</f>
        <v>0</v>
      </c>
      <c r="N173" s="1124">
        <f>12*$K173*'Crono Pessoal'!J173/1000</f>
        <v>0</v>
      </c>
      <c r="O173" s="1124">
        <f>12*$K173*'Crono Pessoal'!K173/1000</f>
        <v>0</v>
      </c>
      <c r="P173" s="1124">
        <f>12*$K173*'Crono Pessoal'!L173/1000</f>
        <v>0</v>
      </c>
      <c r="Q173" s="1124">
        <f>12*$K173*'Crono Pessoal'!M173/1000</f>
        <v>0</v>
      </c>
      <c r="R173" s="1124">
        <f>12*$K173*'Crono Pessoal'!N173/1000</f>
        <v>0</v>
      </c>
      <c r="S173" s="1124">
        <f>12*$K173*'Crono Pessoal'!O173/1000</f>
        <v>0</v>
      </c>
      <c r="T173" s="1124">
        <f>12*$K173*'Crono Pessoal'!P173/1000</f>
        <v>0</v>
      </c>
      <c r="U173" s="1124">
        <f>12*$K173*'Crono Pessoal'!Q173/1000</f>
        <v>0</v>
      </c>
      <c r="V173" s="1124">
        <f>12*$K173*'Crono Pessoal'!R173/1000</f>
        <v>0</v>
      </c>
      <c r="W173" s="1124">
        <f>12*$K173*'Crono Pessoal'!S173/1000</f>
        <v>0</v>
      </c>
      <c r="X173" s="1124">
        <f>12*$K173*'Crono Pessoal'!T173/1000</f>
        <v>0</v>
      </c>
      <c r="Y173" s="1124">
        <f>12*$K173*'Crono Pessoal'!U173/1000</f>
        <v>0</v>
      </c>
      <c r="Z173" s="1124">
        <f>12*$K173*'Crono Pessoal'!V173/1000</f>
        <v>0</v>
      </c>
      <c r="AA173" s="1124">
        <f>12*$K173*'Crono Pessoal'!W173/1000</f>
        <v>0</v>
      </c>
      <c r="AB173" s="1124">
        <f>12*$K173*'Crono Pessoal'!X173/1000</f>
        <v>0</v>
      </c>
      <c r="AC173" s="1124">
        <f>12*$K173*'Crono Pessoal'!Y173/1000</f>
        <v>0</v>
      </c>
      <c r="AD173" s="1124">
        <f>12*$K173*'Crono Pessoal'!Z173/1000</f>
        <v>0</v>
      </c>
      <c r="AE173" s="1124">
        <f>12*$K173*'Crono Pessoal'!AA173/1000</f>
        <v>0</v>
      </c>
      <c r="AF173" s="1124">
        <f>12*$K173*'Crono Pessoal'!AB173/1000</f>
        <v>0</v>
      </c>
      <c r="AG173" s="1124">
        <f>12*$K173*'Crono Pessoal'!AC173/1000</f>
        <v>0</v>
      </c>
      <c r="AH173" s="1124">
        <f>12*$K173*'Crono Pessoal'!AD173/1000</f>
        <v>0</v>
      </c>
      <c r="AI173" s="1124">
        <f>12*$K173*'Crono Pessoal'!AE173/1000</f>
        <v>0</v>
      </c>
      <c r="AJ173" s="1124">
        <f>12*$K173*'Crono Pessoal'!AF173/1000</f>
        <v>0</v>
      </c>
      <c r="AK173" s="1124">
        <f>12*$K173*'Crono Pessoal'!AG173/1000</f>
        <v>0</v>
      </c>
      <c r="AL173" s="1124">
        <f>12*$K173*'Crono Pessoal'!AH173/1000</f>
        <v>0</v>
      </c>
      <c r="AM173" s="1124">
        <f>12*$K173*'Crono Pessoal'!AI173/1000</f>
        <v>0</v>
      </c>
      <c r="AN173" s="1124">
        <f>12*$K173*'Crono Pessoal'!AJ173/1000</f>
        <v>0</v>
      </c>
      <c r="AO173" s="1124">
        <f>12*$K173*'Crono Pessoal'!AK173/1000</f>
        <v>0</v>
      </c>
      <c r="AP173" s="1124">
        <f>12*$K173*'Crono Pessoal'!AL173/1000</f>
        <v>0</v>
      </c>
    </row>
    <row r="174" spans="1:42">
      <c r="A174" s="595"/>
      <c r="B174" s="598"/>
      <c r="C174" s="599"/>
      <c r="D174" s="258"/>
      <c r="E174" s="258"/>
      <c r="F174" s="1129"/>
      <c r="G174" s="1137" t="s">
        <v>897</v>
      </c>
      <c r="H174" s="1121"/>
      <c r="I174" s="1121"/>
      <c r="J174" s="1121"/>
      <c r="K174" s="1122"/>
      <c r="L174" s="1123"/>
      <c r="M174" s="1124"/>
      <c r="N174" s="1124"/>
      <c r="O174" s="1124"/>
      <c r="P174" s="1124"/>
      <c r="Q174" s="1124"/>
      <c r="R174" s="1124"/>
      <c r="S174" s="1124"/>
      <c r="T174" s="1124"/>
      <c r="U174" s="1124"/>
      <c r="V174" s="1124"/>
      <c r="W174" s="1124"/>
      <c r="X174" s="1124"/>
      <c r="Y174" s="1124"/>
      <c r="Z174" s="1124"/>
      <c r="AA174" s="1124"/>
      <c r="AB174" s="1124"/>
      <c r="AC174" s="1124"/>
      <c r="AD174" s="1124"/>
      <c r="AE174" s="1124"/>
      <c r="AF174" s="1124"/>
      <c r="AG174" s="1124"/>
      <c r="AH174" s="1124"/>
      <c r="AI174" s="1124"/>
      <c r="AJ174" s="1124"/>
      <c r="AK174" s="1124"/>
      <c r="AL174" s="1124"/>
      <c r="AM174" s="1124"/>
      <c r="AN174" s="1124"/>
      <c r="AO174" s="1124"/>
      <c r="AP174" s="1124"/>
    </row>
    <row r="175" spans="1:42">
      <c r="A175" s="595"/>
      <c r="B175" s="598"/>
      <c r="C175" s="599"/>
      <c r="D175" s="258" t="s">
        <v>898</v>
      </c>
      <c r="E175" s="258">
        <v>1</v>
      </c>
      <c r="F175" s="1129" t="s">
        <v>899</v>
      </c>
      <c r="G175" s="1132" t="str">
        <f>VLOOKUP($F175,SALARIOSS!$D$6:$H$203,2,0)</f>
        <v>Encarregado de Transportes</v>
      </c>
      <c r="H175" s="1121">
        <f>VLOOKUP($F175,SALARIOSS!$D$6:$I$203,6,0)</f>
        <v>2771.7228000000005</v>
      </c>
      <c r="I175" s="1121">
        <f>VLOOKUP($F175,Funções!$D$9:$K$200,5,0)+VLOOKUP($F175,Funções!$D$9:$K$200,6,0)</f>
        <v>3302.6825990000007</v>
      </c>
      <c r="J175" s="1121">
        <f>VLOOKUP($F175,Funções!$D$9:$K$200,7,0)</f>
        <v>95</v>
      </c>
      <c r="K175" s="1122">
        <f t="shared" ref="K175:K183" si="12">SUM(H175:J175)</f>
        <v>6169.4053990000011</v>
      </c>
      <c r="L175" s="1123">
        <f t="shared" ref="L175:L183" si="13">SUM(M175:AP175)</f>
        <v>2220.9859436400016</v>
      </c>
      <c r="M175" s="1124">
        <f>12*$K175*'Crono Pessoal'!I175/1000</f>
        <v>74.032864788000012</v>
      </c>
      <c r="N175" s="1124">
        <f>12*$K175*'Crono Pessoal'!J175/1000</f>
        <v>74.032864788000012</v>
      </c>
      <c r="O175" s="1124">
        <f>12*$K175*'Crono Pessoal'!K175/1000</f>
        <v>74.032864788000012</v>
      </c>
      <c r="P175" s="1124">
        <f>12*$K175*'Crono Pessoal'!L175/1000</f>
        <v>74.032864788000012</v>
      </c>
      <c r="Q175" s="1124">
        <f>12*$K175*'Crono Pessoal'!M175/1000</f>
        <v>74.032864788000012</v>
      </c>
      <c r="R175" s="1124">
        <f>12*$K175*'Crono Pessoal'!N175/1000</f>
        <v>74.032864788000012</v>
      </c>
      <c r="S175" s="1124">
        <f>12*$K175*'Crono Pessoal'!O175/1000</f>
        <v>74.032864788000012</v>
      </c>
      <c r="T175" s="1124">
        <f>12*$K175*'Crono Pessoal'!P175/1000</f>
        <v>74.032864788000012</v>
      </c>
      <c r="U175" s="1124">
        <f>12*$K175*'Crono Pessoal'!Q175/1000</f>
        <v>74.032864788000012</v>
      </c>
      <c r="V175" s="1124">
        <f>12*$K175*'Crono Pessoal'!R175/1000</f>
        <v>74.032864788000012</v>
      </c>
      <c r="W175" s="1124">
        <f>12*$K175*'Crono Pessoal'!S175/1000</f>
        <v>74.032864788000012</v>
      </c>
      <c r="X175" s="1124">
        <f>12*$K175*'Crono Pessoal'!T175/1000</f>
        <v>74.032864788000012</v>
      </c>
      <c r="Y175" s="1124">
        <f>12*$K175*'Crono Pessoal'!U175/1000</f>
        <v>74.032864788000012</v>
      </c>
      <c r="Z175" s="1124">
        <f>12*$K175*'Crono Pessoal'!V175/1000</f>
        <v>74.032864788000012</v>
      </c>
      <c r="AA175" s="1124">
        <f>12*$K175*'Crono Pessoal'!W175/1000</f>
        <v>74.032864788000012</v>
      </c>
      <c r="AB175" s="1124">
        <f>12*$K175*'Crono Pessoal'!X175/1000</f>
        <v>74.032864788000012</v>
      </c>
      <c r="AC175" s="1124">
        <f>12*$K175*'Crono Pessoal'!Y175/1000</f>
        <v>74.032864788000012</v>
      </c>
      <c r="AD175" s="1124">
        <f>12*$K175*'Crono Pessoal'!Z175/1000</f>
        <v>74.032864788000012</v>
      </c>
      <c r="AE175" s="1124">
        <f>12*$K175*'Crono Pessoal'!AA175/1000</f>
        <v>74.032864788000012</v>
      </c>
      <c r="AF175" s="1124">
        <f>12*$K175*'Crono Pessoal'!AB175/1000</f>
        <v>74.032864788000012</v>
      </c>
      <c r="AG175" s="1124">
        <f>12*$K175*'Crono Pessoal'!AC175/1000</f>
        <v>74.032864788000012</v>
      </c>
      <c r="AH175" s="1124">
        <f>12*$K175*'Crono Pessoal'!AD175/1000</f>
        <v>74.032864788000012</v>
      </c>
      <c r="AI175" s="1124">
        <f>12*$K175*'Crono Pessoal'!AE175/1000</f>
        <v>74.032864788000012</v>
      </c>
      <c r="AJ175" s="1124">
        <f>12*$K175*'Crono Pessoal'!AF175/1000</f>
        <v>74.032864788000012</v>
      </c>
      <c r="AK175" s="1124">
        <f>12*$K175*'Crono Pessoal'!AG175/1000</f>
        <v>74.032864788000012</v>
      </c>
      <c r="AL175" s="1124">
        <f>12*$K175*'Crono Pessoal'!AH175/1000</f>
        <v>74.032864788000012</v>
      </c>
      <c r="AM175" s="1124">
        <f>12*$K175*'Crono Pessoal'!AI175/1000</f>
        <v>74.032864788000012</v>
      </c>
      <c r="AN175" s="1124">
        <f>12*$K175*'Crono Pessoal'!AJ175/1000</f>
        <v>74.032864788000012</v>
      </c>
      <c r="AO175" s="1124">
        <f>12*$K175*'Crono Pessoal'!AK175/1000</f>
        <v>74.032864788000012</v>
      </c>
      <c r="AP175" s="1124">
        <f>12*$K175*'Crono Pessoal'!AL175/1000</f>
        <v>74.032864788000012</v>
      </c>
    </row>
    <row r="176" spans="1:42">
      <c r="A176" s="595"/>
      <c r="B176" s="598"/>
      <c r="C176" s="599"/>
      <c r="D176" s="258" t="s">
        <v>898</v>
      </c>
      <c r="E176" s="258">
        <v>1</v>
      </c>
      <c r="F176" s="1130" t="s">
        <v>900</v>
      </c>
      <c r="G176" s="1132" t="str">
        <f>VLOOKUP($F176,SALARIOSS!$D$6:$H$203,2,0)</f>
        <v>Técnico de Manutenção</v>
      </c>
      <c r="H176" s="1121">
        <f>VLOOKUP($F176,SALARIOSS!$D$6:$I$203,6,0)</f>
        <v>2243.2302000000004</v>
      </c>
      <c r="I176" s="1121">
        <f>VLOOKUP($F176,Funções!$D$9:$K$200,5,0)+VLOOKUP($F176,Funções!$D$9:$K$200,6,0)</f>
        <v>2831.0029535000008</v>
      </c>
      <c r="J176" s="1121">
        <f>VLOOKUP($F176,Funções!$D$9:$K$200,7,0)</f>
        <v>95</v>
      </c>
      <c r="K176" s="1122">
        <f t="shared" si="12"/>
        <v>5169.2331535000012</v>
      </c>
      <c r="L176" s="1123">
        <f t="shared" si="13"/>
        <v>0</v>
      </c>
      <c r="M176" s="1124">
        <f>12*$K176*'Crono Pessoal'!I176/1000</f>
        <v>0</v>
      </c>
      <c r="N176" s="1124">
        <f>12*$K176*'Crono Pessoal'!J176/1000</f>
        <v>0</v>
      </c>
      <c r="O176" s="1124">
        <f>12*$K176*'Crono Pessoal'!K176/1000</f>
        <v>0</v>
      </c>
      <c r="P176" s="1124">
        <f>12*$K176*'Crono Pessoal'!L176/1000</f>
        <v>0</v>
      </c>
      <c r="Q176" s="1124">
        <f>12*$K176*'Crono Pessoal'!M176/1000</f>
        <v>0</v>
      </c>
      <c r="R176" s="1124">
        <f>12*$K176*'Crono Pessoal'!N176/1000</f>
        <v>0</v>
      </c>
      <c r="S176" s="1124">
        <f>12*$K176*'Crono Pessoal'!O176/1000</f>
        <v>0</v>
      </c>
      <c r="T176" s="1124">
        <f>12*$K176*'Crono Pessoal'!P176/1000</f>
        <v>0</v>
      </c>
      <c r="U176" s="1124">
        <f>12*$K176*'Crono Pessoal'!Q176/1000</f>
        <v>0</v>
      </c>
      <c r="V176" s="1124">
        <f>12*$K176*'Crono Pessoal'!R176/1000</f>
        <v>0</v>
      </c>
      <c r="W176" s="1124">
        <f>12*$K176*'Crono Pessoal'!S176/1000</f>
        <v>0</v>
      </c>
      <c r="X176" s="1124">
        <f>12*$K176*'Crono Pessoal'!T176/1000</f>
        <v>0</v>
      </c>
      <c r="Y176" s="1124">
        <f>12*$K176*'Crono Pessoal'!U176/1000</f>
        <v>0</v>
      </c>
      <c r="Z176" s="1124">
        <f>12*$K176*'Crono Pessoal'!V176/1000</f>
        <v>0</v>
      </c>
      <c r="AA176" s="1124">
        <f>12*$K176*'Crono Pessoal'!W176/1000</f>
        <v>0</v>
      </c>
      <c r="AB176" s="1124">
        <f>12*$K176*'Crono Pessoal'!X176/1000</f>
        <v>0</v>
      </c>
      <c r="AC176" s="1124">
        <f>12*$K176*'Crono Pessoal'!Y176/1000</f>
        <v>0</v>
      </c>
      <c r="AD176" s="1124">
        <f>12*$K176*'Crono Pessoal'!Z176/1000</f>
        <v>0</v>
      </c>
      <c r="AE176" s="1124">
        <f>12*$K176*'Crono Pessoal'!AA176/1000</f>
        <v>0</v>
      </c>
      <c r="AF176" s="1124">
        <f>12*$K176*'Crono Pessoal'!AB176/1000</f>
        <v>0</v>
      </c>
      <c r="AG176" s="1124">
        <f>12*$K176*'Crono Pessoal'!AC176/1000</f>
        <v>0</v>
      </c>
      <c r="AH176" s="1124">
        <f>12*$K176*'Crono Pessoal'!AD176/1000</f>
        <v>0</v>
      </c>
      <c r="AI176" s="1124">
        <f>12*$K176*'Crono Pessoal'!AE176/1000</f>
        <v>0</v>
      </c>
      <c r="AJ176" s="1124">
        <f>12*$K176*'Crono Pessoal'!AF176/1000</f>
        <v>0</v>
      </c>
      <c r="AK176" s="1124">
        <f>12*$K176*'Crono Pessoal'!AG176/1000</f>
        <v>0</v>
      </c>
      <c r="AL176" s="1124">
        <f>12*$K176*'Crono Pessoal'!AH176/1000</f>
        <v>0</v>
      </c>
      <c r="AM176" s="1124">
        <f>12*$K176*'Crono Pessoal'!AI176/1000</f>
        <v>0</v>
      </c>
      <c r="AN176" s="1124">
        <f>12*$K176*'Crono Pessoal'!AJ176/1000</f>
        <v>0</v>
      </c>
      <c r="AO176" s="1124">
        <f>12*$K176*'Crono Pessoal'!AK176/1000</f>
        <v>0</v>
      </c>
      <c r="AP176" s="1124">
        <f>12*$K176*'Crono Pessoal'!AL176/1000</f>
        <v>0</v>
      </c>
    </row>
    <row r="177" spans="1:66">
      <c r="A177" s="595"/>
      <c r="B177" s="598"/>
      <c r="C177" s="599"/>
      <c r="D177" s="258" t="s">
        <v>898</v>
      </c>
      <c r="E177" s="258">
        <v>1</v>
      </c>
      <c r="F177" s="1129" t="s">
        <v>892</v>
      </c>
      <c r="G177" s="1132" t="str">
        <f>VLOOKUP($F177,SALARIOSS!$D$6:$H$203,2,0)</f>
        <v>Mecânico</v>
      </c>
      <c r="H177" s="1121">
        <f>VLOOKUP($F177,SALARIOSS!$D$6:$I$203,6,0)</f>
        <v>2292.8616000000002</v>
      </c>
      <c r="I177" s="1121">
        <f>VLOOKUP($F177,Funções!$D$9:$K$200,5,0)+VLOOKUP($F177,Funções!$D$9:$K$200,6,0)</f>
        <v>2875.2989779999998</v>
      </c>
      <c r="J177" s="1121">
        <f>VLOOKUP($F177,Funções!$D$9:$K$200,7,0)</f>
        <v>95</v>
      </c>
      <c r="K177" s="1122">
        <f t="shared" si="12"/>
        <v>5263.160578</v>
      </c>
      <c r="L177" s="1123">
        <f t="shared" si="13"/>
        <v>1894.7378080799995</v>
      </c>
      <c r="M177" s="1124">
        <f>12*$K177*'Crono Pessoal'!I177/1000</f>
        <v>63.157926936000003</v>
      </c>
      <c r="N177" s="1124">
        <f>12*$K177*'Crono Pessoal'!J177/1000</f>
        <v>63.157926936000003</v>
      </c>
      <c r="O177" s="1124">
        <f>12*$K177*'Crono Pessoal'!K177/1000</f>
        <v>63.157926936000003</v>
      </c>
      <c r="P177" s="1124">
        <f>12*$K177*'Crono Pessoal'!L177/1000</f>
        <v>63.157926936000003</v>
      </c>
      <c r="Q177" s="1124">
        <f>12*$K177*'Crono Pessoal'!M177/1000</f>
        <v>63.157926936000003</v>
      </c>
      <c r="R177" s="1124">
        <f>12*$K177*'Crono Pessoal'!N177/1000</f>
        <v>63.157926936000003</v>
      </c>
      <c r="S177" s="1124">
        <f>12*$K177*'Crono Pessoal'!O177/1000</f>
        <v>63.157926936000003</v>
      </c>
      <c r="T177" s="1124">
        <f>12*$K177*'Crono Pessoal'!P177/1000</f>
        <v>63.157926936000003</v>
      </c>
      <c r="U177" s="1124">
        <f>12*$K177*'Crono Pessoal'!Q177/1000</f>
        <v>63.157926936000003</v>
      </c>
      <c r="V177" s="1124">
        <f>12*$K177*'Crono Pessoal'!R177/1000</f>
        <v>63.157926936000003</v>
      </c>
      <c r="W177" s="1124">
        <f>12*$K177*'Crono Pessoal'!S177/1000</f>
        <v>63.157926936000003</v>
      </c>
      <c r="X177" s="1124">
        <f>12*$K177*'Crono Pessoal'!T177/1000</f>
        <v>63.157926936000003</v>
      </c>
      <c r="Y177" s="1124">
        <f>12*$K177*'Crono Pessoal'!U177/1000</f>
        <v>63.157926936000003</v>
      </c>
      <c r="Z177" s="1124">
        <f>12*$K177*'Crono Pessoal'!V177/1000</f>
        <v>63.157926936000003</v>
      </c>
      <c r="AA177" s="1124">
        <f>12*$K177*'Crono Pessoal'!W177/1000</f>
        <v>63.157926936000003</v>
      </c>
      <c r="AB177" s="1124">
        <f>12*$K177*'Crono Pessoal'!X177/1000</f>
        <v>63.157926936000003</v>
      </c>
      <c r="AC177" s="1124">
        <f>12*$K177*'Crono Pessoal'!Y177/1000</f>
        <v>63.157926936000003</v>
      </c>
      <c r="AD177" s="1124">
        <f>12*$K177*'Crono Pessoal'!Z177/1000</f>
        <v>63.157926936000003</v>
      </c>
      <c r="AE177" s="1124">
        <f>12*$K177*'Crono Pessoal'!AA177/1000</f>
        <v>63.157926936000003</v>
      </c>
      <c r="AF177" s="1124">
        <f>12*$K177*'Crono Pessoal'!AB177/1000</f>
        <v>63.157926936000003</v>
      </c>
      <c r="AG177" s="1124">
        <f>12*$K177*'Crono Pessoal'!AC177/1000</f>
        <v>63.157926936000003</v>
      </c>
      <c r="AH177" s="1124">
        <f>12*$K177*'Crono Pessoal'!AD177/1000</f>
        <v>63.157926936000003</v>
      </c>
      <c r="AI177" s="1124">
        <f>12*$K177*'Crono Pessoal'!AE177/1000</f>
        <v>63.157926936000003</v>
      </c>
      <c r="AJ177" s="1124">
        <f>12*$K177*'Crono Pessoal'!AF177/1000</f>
        <v>63.157926936000003</v>
      </c>
      <c r="AK177" s="1124">
        <f>12*$K177*'Crono Pessoal'!AG177/1000</f>
        <v>63.157926936000003</v>
      </c>
      <c r="AL177" s="1124">
        <f>12*$K177*'Crono Pessoal'!AH177/1000</f>
        <v>63.157926936000003</v>
      </c>
      <c r="AM177" s="1124">
        <f>12*$K177*'Crono Pessoal'!AI177/1000</f>
        <v>63.157926936000003</v>
      </c>
      <c r="AN177" s="1124">
        <f>12*$K177*'Crono Pessoal'!AJ177/1000</f>
        <v>63.157926936000003</v>
      </c>
      <c r="AO177" s="1124">
        <f>12*$K177*'Crono Pessoal'!AK177/1000</f>
        <v>63.157926936000003</v>
      </c>
      <c r="AP177" s="1124">
        <f>12*$K177*'Crono Pessoal'!AL177/1000</f>
        <v>63.157926936000003</v>
      </c>
      <c r="AQ177" s="1108"/>
      <c r="AR177" s="1108"/>
      <c r="AS177" s="1108"/>
      <c r="AT177" s="1108"/>
      <c r="AU177" s="1108"/>
      <c r="AV177" s="1108"/>
      <c r="AW177" s="1108"/>
      <c r="AX177" s="1108"/>
      <c r="AY177" s="1108"/>
      <c r="AZ177" s="1108"/>
      <c r="BA177" s="1108"/>
      <c r="BB177" s="1108"/>
      <c r="BC177" s="1108"/>
      <c r="BD177" s="1108"/>
      <c r="BE177" s="1108"/>
      <c r="BF177" s="1108"/>
      <c r="BG177" s="1108"/>
      <c r="BH177" s="1108"/>
      <c r="BI177" s="1108"/>
      <c r="BJ177" s="1108"/>
      <c r="BK177" s="1108"/>
      <c r="BL177" s="1108"/>
      <c r="BM177" s="1108"/>
      <c r="BN177" s="1108"/>
    </row>
    <row r="178" spans="1:66">
      <c r="A178" s="595"/>
      <c r="B178" s="598"/>
      <c r="C178" s="599"/>
      <c r="D178" s="258" t="s">
        <v>898</v>
      </c>
      <c r="E178" s="258">
        <v>1</v>
      </c>
      <c r="F178" s="1129" t="s">
        <v>901</v>
      </c>
      <c r="G178" s="1132" t="str">
        <f>VLOOKUP($F178,SALARIOSS!$D$6:$H$203,2,0)</f>
        <v>Auxiliar de Mecânico</v>
      </c>
      <c r="H178" s="1121">
        <f>VLOOKUP($F178,SALARIOSS!$D$6:$I$203,6,0)</f>
        <v>1800.2290499999999</v>
      </c>
      <c r="I178" s="1121">
        <f>VLOOKUP($F178,Funções!$D$9:$K$200,5,0)+VLOOKUP($F178,Funções!$D$9:$K$200,6,0)</f>
        <v>2435.6244271249998</v>
      </c>
      <c r="J178" s="1121">
        <f>VLOOKUP($F178,Funções!$D$9:$K$200,7,0)</f>
        <v>95</v>
      </c>
      <c r="K178" s="1122">
        <f t="shared" si="12"/>
        <v>4330.8534771249997</v>
      </c>
      <c r="L178" s="1123">
        <f t="shared" si="13"/>
        <v>1559.1072517650009</v>
      </c>
      <c r="M178" s="1124">
        <f>12*$K178*'Crono Pessoal'!I178/1000</f>
        <v>51.970241725499996</v>
      </c>
      <c r="N178" s="1124">
        <f>12*$K178*'Crono Pessoal'!J178/1000</f>
        <v>51.970241725499996</v>
      </c>
      <c r="O178" s="1124">
        <f>12*$K178*'Crono Pessoal'!K178/1000</f>
        <v>51.970241725499996</v>
      </c>
      <c r="P178" s="1124">
        <f>12*$K178*'Crono Pessoal'!L178/1000</f>
        <v>51.970241725499996</v>
      </c>
      <c r="Q178" s="1124">
        <f>12*$K178*'Crono Pessoal'!M178/1000</f>
        <v>51.970241725499996</v>
      </c>
      <c r="R178" s="1124">
        <f>12*$K178*'Crono Pessoal'!N178/1000</f>
        <v>51.970241725499996</v>
      </c>
      <c r="S178" s="1124">
        <f>12*$K178*'Crono Pessoal'!O178/1000</f>
        <v>51.970241725499996</v>
      </c>
      <c r="T178" s="1124">
        <f>12*$K178*'Crono Pessoal'!P178/1000</f>
        <v>51.970241725499996</v>
      </c>
      <c r="U178" s="1124">
        <f>12*$K178*'Crono Pessoal'!Q178/1000</f>
        <v>51.970241725499996</v>
      </c>
      <c r="V178" s="1124">
        <f>12*$K178*'Crono Pessoal'!R178/1000</f>
        <v>51.970241725499996</v>
      </c>
      <c r="W178" s="1124">
        <f>12*$K178*'Crono Pessoal'!S178/1000</f>
        <v>51.970241725499996</v>
      </c>
      <c r="X178" s="1124">
        <f>12*$K178*'Crono Pessoal'!T178/1000</f>
        <v>51.970241725499996</v>
      </c>
      <c r="Y178" s="1124">
        <f>12*$K178*'Crono Pessoal'!U178/1000</f>
        <v>51.970241725499996</v>
      </c>
      <c r="Z178" s="1124">
        <f>12*$K178*'Crono Pessoal'!V178/1000</f>
        <v>51.970241725499996</v>
      </c>
      <c r="AA178" s="1124">
        <f>12*$K178*'Crono Pessoal'!W178/1000</f>
        <v>51.970241725499996</v>
      </c>
      <c r="AB178" s="1124">
        <f>12*$K178*'Crono Pessoal'!X178/1000</f>
        <v>51.970241725499996</v>
      </c>
      <c r="AC178" s="1124">
        <f>12*$K178*'Crono Pessoal'!Y178/1000</f>
        <v>51.970241725499996</v>
      </c>
      <c r="AD178" s="1124">
        <f>12*$K178*'Crono Pessoal'!Z178/1000</f>
        <v>51.970241725499996</v>
      </c>
      <c r="AE178" s="1124">
        <f>12*$K178*'Crono Pessoal'!AA178/1000</f>
        <v>51.970241725499996</v>
      </c>
      <c r="AF178" s="1124">
        <f>12*$K178*'Crono Pessoal'!AB178/1000</f>
        <v>51.970241725499996</v>
      </c>
      <c r="AG178" s="1124">
        <f>12*$K178*'Crono Pessoal'!AC178/1000</f>
        <v>51.970241725499996</v>
      </c>
      <c r="AH178" s="1124">
        <f>12*$K178*'Crono Pessoal'!AD178/1000</f>
        <v>51.970241725499996</v>
      </c>
      <c r="AI178" s="1124">
        <f>12*$K178*'Crono Pessoal'!AE178/1000</f>
        <v>51.970241725499996</v>
      </c>
      <c r="AJ178" s="1124">
        <f>12*$K178*'Crono Pessoal'!AF178/1000</f>
        <v>51.970241725499996</v>
      </c>
      <c r="AK178" s="1124">
        <f>12*$K178*'Crono Pessoal'!AG178/1000</f>
        <v>51.970241725499996</v>
      </c>
      <c r="AL178" s="1124">
        <f>12*$K178*'Crono Pessoal'!AH178/1000</f>
        <v>51.970241725499996</v>
      </c>
      <c r="AM178" s="1124">
        <f>12*$K178*'Crono Pessoal'!AI178/1000</f>
        <v>51.970241725499996</v>
      </c>
      <c r="AN178" s="1124">
        <f>12*$K178*'Crono Pessoal'!AJ178/1000</f>
        <v>51.970241725499996</v>
      </c>
      <c r="AO178" s="1124">
        <f>12*$K178*'Crono Pessoal'!AK178/1000</f>
        <v>51.970241725499996</v>
      </c>
      <c r="AP178" s="1124">
        <f>12*$K178*'Crono Pessoal'!AL178/1000</f>
        <v>51.970241725499996</v>
      </c>
      <c r="AQ178" s="1108"/>
      <c r="AR178" s="1108"/>
      <c r="AS178" s="1108"/>
      <c r="AT178" s="1108"/>
      <c r="AU178" s="1108"/>
      <c r="AV178" s="1108"/>
      <c r="AW178" s="1108"/>
      <c r="AX178" s="1108"/>
      <c r="AY178" s="1108"/>
      <c r="AZ178" s="1108"/>
      <c r="BA178" s="1108"/>
      <c r="BB178" s="1108"/>
      <c r="BC178" s="1108"/>
      <c r="BD178" s="1108"/>
      <c r="BE178" s="1108"/>
      <c r="BF178" s="1108"/>
      <c r="BG178" s="1108"/>
      <c r="BH178" s="1108"/>
      <c r="BI178" s="1108"/>
      <c r="BJ178" s="1108"/>
      <c r="BK178" s="1108"/>
      <c r="BL178" s="1108"/>
      <c r="BM178" s="1108"/>
      <c r="BN178" s="1108"/>
    </row>
    <row r="179" spans="1:66">
      <c r="A179" s="595"/>
      <c r="B179" s="598"/>
      <c r="C179" s="599"/>
      <c r="D179" s="258" t="s">
        <v>898</v>
      </c>
      <c r="E179" s="258">
        <v>1</v>
      </c>
      <c r="F179" s="1129" t="s">
        <v>902</v>
      </c>
      <c r="G179" s="1132" t="str">
        <f>VLOOKUP($F179,SALARIOSS!$D$6:$H$203,2,0)</f>
        <v>Eletricista CC</v>
      </c>
      <c r="H179" s="1121">
        <f>VLOOKUP($F179,SALARIOSS!$D$6:$I$203,6,0)</f>
        <v>2292.8616000000002</v>
      </c>
      <c r="I179" s="1121">
        <f>VLOOKUP($F179,Funções!$D$9:$K$200,5,0)+VLOOKUP($F179,Funções!$D$9:$K$200,6,0)</f>
        <v>2875.2989779999998</v>
      </c>
      <c r="J179" s="1121">
        <f>VLOOKUP($F179,Funções!$D$9:$K$200,7,0)</f>
        <v>95</v>
      </c>
      <c r="K179" s="1122">
        <f t="shared" si="12"/>
        <v>5263.160578</v>
      </c>
      <c r="L179" s="1123">
        <f t="shared" si="13"/>
        <v>0</v>
      </c>
      <c r="M179" s="1124">
        <f>12*$K179*'Crono Pessoal'!I179/1000</f>
        <v>0</v>
      </c>
      <c r="N179" s="1124">
        <f>12*$K179*'Crono Pessoal'!J179/1000</f>
        <v>0</v>
      </c>
      <c r="O179" s="1124">
        <f>12*$K179*'Crono Pessoal'!K179/1000</f>
        <v>0</v>
      </c>
      <c r="P179" s="1124">
        <f>12*$K179*'Crono Pessoal'!L179/1000</f>
        <v>0</v>
      </c>
      <c r="Q179" s="1124">
        <f>12*$K179*'Crono Pessoal'!M179/1000</f>
        <v>0</v>
      </c>
      <c r="R179" s="1124">
        <f>12*$K179*'Crono Pessoal'!N179/1000</f>
        <v>0</v>
      </c>
      <c r="S179" s="1124">
        <f>12*$K179*'Crono Pessoal'!O179/1000</f>
        <v>0</v>
      </c>
      <c r="T179" s="1124">
        <f>12*$K179*'Crono Pessoal'!P179/1000</f>
        <v>0</v>
      </c>
      <c r="U179" s="1124">
        <f>12*$K179*'Crono Pessoal'!Q179/1000</f>
        <v>0</v>
      </c>
      <c r="V179" s="1124">
        <f>12*$K179*'Crono Pessoal'!R179/1000</f>
        <v>0</v>
      </c>
      <c r="W179" s="1124">
        <f>12*$K179*'Crono Pessoal'!S179/1000</f>
        <v>0</v>
      </c>
      <c r="X179" s="1124">
        <f>12*$K179*'Crono Pessoal'!T179/1000</f>
        <v>0</v>
      </c>
      <c r="Y179" s="1124">
        <f>12*$K179*'Crono Pessoal'!U179/1000</f>
        <v>0</v>
      </c>
      <c r="Z179" s="1124">
        <f>12*$K179*'Crono Pessoal'!V179/1000</f>
        <v>0</v>
      </c>
      <c r="AA179" s="1124">
        <f>12*$K179*'Crono Pessoal'!W179/1000</f>
        <v>0</v>
      </c>
      <c r="AB179" s="1124">
        <f>12*$K179*'Crono Pessoal'!X179/1000</f>
        <v>0</v>
      </c>
      <c r="AC179" s="1124">
        <f>12*$K179*'Crono Pessoal'!Y179/1000</f>
        <v>0</v>
      </c>
      <c r="AD179" s="1124">
        <f>12*$K179*'Crono Pessoal'!Z179/1000</f>
        <v>0</v>
      </c>
      <c r="AE179" s="1124">
        <f>12*$K179*'Crono Pessoal'!AA179/1000</f>
        <v>0</v>
      </c>
      <c r="AF179" s="1124">
        <f>12*$K179*'Crono Pessoal'!AB179/1000</f>
        <v>0</v>
      </c>
      <c r="AG179" s="1124">
        <f>12*$K179*'Crono Pessoal'!AC179/1000</f>
        <v>0</v>
      </c>
      <c r="AH179" s="1124">
        <f>12*$K179*'Crono Pessoal'!AD179/1000</f>
        <v>0</v>
      </c>
      <c r="AI179" s="1124">
        <f>12*$K179*'Crono Pessoal'!AE179/1000</f>
        <v>0</v>
      </c>
      <c r="AJ179" s="1124">
        <f>12*$K179*'Crono Pessoal'!AF179/1000</f>
        <v>0</v>
      </c>
      <c r="AK179" s="1124">
        <f>12*$K179*'Crono Pessoal'!AG179/1000</f>
        <v>0</v>
      </c>
      <c r="AL179" s="1124">
        <f>12*$K179*'Crono Pessoal'!AH179/1000</f>
        <v>0</v>
      </c>
      <c r="AM179" s="1124">
        <f>12*$K179*'Crono Pessoal'!AI179/1000</f>
        <v>0</v>
      </c>
      <c r="AN179" s="1124">
        <f>12*$K179*'Crono Pessoal'!AJ179/1000</f>
        <v>0</v>
      </c>
      <c r="AO179" s="1124">
        <f>12*$K179*'Crono Pessoal'!AK179/1000</f>
        <v>0</v>
      </c>
      <c r="AP179" s="1124">
        <f>12*$K179*'Crono Pessoal'!AL179/1000</f>
        <v>0</v>
      </c>
      <c r="AQ179" s="1108"/>
      <c r="AR179" s="1108"/>
      <c r="AS179" s="1108"/>
      <c r="AT179" s="1108"/>
      <c r="AU179" s="1108"/>
      <c r="AV179" s="1108"/>
      <c r="AW179" s="1108"/>
      <c r="AX179" s="1108"/>
      <c r="AY179" s="1108"/>
      <c r="AZ179" s="1108"/>
      <c r="BA179" s="1108"/>
      <c r="BB179" s="1108"/>
      <c r="BC179" s="1108"/>
      <c r="BD179" s="1108"/>
      <c r="BE179" s="1108"/>
      <c r="BF179" s="1108"/>
      <c r="BG179" s="1108"/>
      <c r="BH179" s="1108"/>
      <c r="BI179" s="1108"/>
      <c r="BJ179" s="1108"/>
      <c r="BK179" s="1108"/>
      <c r="BL179" s="1108"/>
      <c r="BM179" s="1108"/>
      <c r="BN179" s="1108"/>
    </row>
    <row r="180" spans="1:66">
      <c r="A180" s="595"/>
      <c r="B180" s="598"/>
      <c r="C180" s="599"/>
      <c r="D180" s="258" t="s">
        <v>898</v>
      </c>
      <c r="E180" s="258">
        <v>1</v>
      </c>
      <c r="F180" s="1129" t="s">
        <v>903</v>
      </c>
      <c r="G180" s="1132" t="str">
        <f>VLOOKUP($F180,SALARIOSS!$D$6:$H$203,2,0)</f>
        <v>Eletricista CA</v>
      </c>
      <c r="H180" s="1121">
        <f>VLOOKUP($F180,SALARIOSS!$D$6:$I$203,6,0)</f>
        <v>2292.8616000000002</v>
      </c>
      <c r="I180" s="1121">
        <f>VLOOKUP($F180,Funções!$D$9:$K$200,5,0)+VLOOKUP($F180,Funções!$D$9:$K$200,6,0)</f>
        <v>2875.2989779999998</v>
      </c>
      <c r="J180" s="1121">
        <f>VLOOKUP($F180,Funções!$D$9:$K$200,7,0)</f>
        <v>95</v>
      </c>
      <c r="K180" s="1122">
        <f t="shared" si="12"/>
        <v>5263.160578</v>
      </c>
      <c r="L180" s="1123">
        <f t="shared" si="13"/>
        <v>0</v>
      </c>
      <c r="M180" s="1124">
        <f>12*$K180*'Crono Pessoal'!I180/1000</f>
        <v>0</v>
      </c>
      <c r="N180" s="1124">
        <f>12*$K180*'Crono Pessoal'!J180/1000</f>
        <v>0</v>
      </c>
      <c r="O180" s="1124">
        <f>12*$K180*'Crono Pessoal'!K180/1000</f>
        <v>0</v>
      </c>
      <c r="P180" s="1124">
        <f>12*$K180*'Crono Pessoal'!L180/1000</f>
        <v>0</v>
      </c>
      <c r="Q180" s="1124">
        <f>12*$K180*'Crono Pessoal'!M180/1000</f>
        <v>0</v>
      </c>
      <c r="R180" s="1124">
        <f>12*$K180*'Crono Pessoal'!N180/1000</f>
        <v>0</v>
      </c>
      <c r="S180" s="1124">
        <f>12*$K180*'Crono Pessoal'!O180/1000</f>
        <v>0</v>
      </c>
      <c r="T180" s="1124">
        <f>12*$K180*'Crono Pessoal'!P180/1000</f>
        <v>0</v>
      </c>
      <c r="U180" s="1124">
        <f>12*$K180*'Crono Pessoal'!Q180/1000</f>
        <v>0</v>
      </c>
      <c r="V180" s="1124">
        <f>12*$K180*'Crono Pessoal'!R180/1000</f>
        <v>0</v>
      </c>
      <c r="W180" s="1124">
        <f>12*$K180*'Crono Pessoal'!S180/1000</f>
        <v>0</v>
      </c>
      <c r="X180" s="1124">
        <f>12*$K180*'Crono Pessoal'!T180/1000</f>
        <v>0</v>
      </c>
      <c r="Y180" s="1124">
        <f>12*$K180*'Crono Pessoal'!U180/1000</f>
        <v>0</v>
      </c>
      <c r="Z180" s="1124">
        <f>12*$K180*'Crono Pessoal'!V180/1000</f>
        <v>0</v>
      </c>
      <c r="AA180" s="1124">
        <f>12*$K180*'Crono Pessoal'!W180/1000</f>
        <v>0</v>
      </c>
      <c r="AB180" s="1124">
        <f>12*$K180*'Crono Pessoal'!X180/1000</f>
        <v>0</v>
      </c>
      <c r="AC180" s="1124">
        <f>12*$K180*'Crono Pessoal'!Y180/1000</f>
        <v>0</v>
      </c>
      <c r="AD180" s="1124">
        <f>12*$K180*'Crono Pessoal'!Z180/1000</f>
        <v>0</v>
      </c>
      <c r="AE180" s="1124">
        <f>12*$K180*'Crono Pessoal'!AA180/1000</f>
        <v>0</v>
      </c>
      <c r="AF180" s="1124">
        <f>12*$K180*'Crono Pessoal'!AB180/1000</f>
        <v>0</v>
      </c>
      <c r="AG180" s="1124">
        <f>12*$K180*'Crono Pessoal'!AC180/1000</f>
        <v>0</v>
      </c>
      <c r="AH180" s="1124">
        <f>12*$K180*'Crono Pessoal'!AD180/1000</f>
        <v>0</v>
      </c>
      <c r="AI180" s="1124">
        <f>12*$K180*'Crono Pessoal'!AE180/1000</f>
        <v>0</v>
      </c>
      <c r="AJ180" s="1124">
        <f>12*$K180*'Crono Pessoal'!AF180/1000</f>
        <v>0</v>
      </c>
      <c r="AK180" s="1124">
        <f>12*$K180*'Crono Pessoal'!AG180/1000</f>
        <v>0</v>
      </c>
      <c r="AL180" s="1124">
        <f>12*$K180*'Crono Pessoal'!AH180/1000</f>
        <v>0</v>
      </c>
      <c r="AM180" s="1124">
        <f>12*$K180*'Crono Pessoal'!AI180/1000</f>
        <v>0</v>
      </c>
      <c r="AN180" s="1124">
        <f>12*$K180*'Crono Pessoal'!AJ180/1000</f>
        <v>0</v>
      </c>
      <c r="AO180" s="1124">
        <f>12*$K180*'Crono Pessoal'!AK180/1000</f>
        <v>0</v>
      </c>
      <c r="AP180" s="1124">
        <f>12*$K180*'Crono Pessoal'!AL180/1000</f>
        <v>0</v>
      </c>
      <c r="AQ180" s="1108"/>
      <c r="AR180" s="1108"/>
      <c r="AS180" s="1108"/>
      <c r="AT180" s="1108"/>
      <c r="AU180" s="1108"/>
      <c r="AV180" s="1108"/>
      <c r="AW180" s="1108"/>
      <c r="AX180" s="1108"/>
      <c r="AY180" s="1108"/>
      <c r="AZ180" s="1108"/>
      <c r="BA180" s="1108"/>
      <c r="BB180" s="1108"/>
      <c r="BC180" s="1108"/>
      <c r="BD180" s="1108"/>
      <c r="BE180" s="1108"/>
      <c r="BF180" s="1108"/>
      <c r="BG180" s="1108"/>
      <c r="BH180" s="1108"/>
      <c r="BI180" s="1108"/>
      <c r="BJ180" s="1108"/>
      <c r="BK180" s="1108"/>
      <c r="BL180" s="1108"/>
      <c r="BM180" s="1108"/>
      <c r="BN180" s="1108"/>
    </row>
    <row r="181" spans="1:66">
      <c r="A181" s="595"/>
      <c r="B181" s="598"/>
      <c r="C181" s="599"/>
      <c r="D181" s="258"/>
      <c r="E181" s="258"/>
      <c r="F181" s="1136"/>
      <c r="G181" s="1133" t="s">
        <v>273</v>
      </c>
      <c r="H181" s="1121"/>
      <c r="I181" s="1121"/>
      <c r="J181" s="1121"/>
      <c r="K181" s="1122"/>
      <c r="L181" s="1123">
        <f t="shared" si="13"/>
        <v>0</v>
      </c>
      <c r="M181" s="1124">
        <f>12*$K181*'Crono Pessoal'!I181/1000</f>
        <v>0</v>
      </c>
      <c r="N181" s="1124">
        <f>12*$K181*'Crono Pessoal'!J181/1000</f>
        <v>0</v>
      </c>
      <c r="O181" s="1124">
        <f>12*$K181*'Crono Pessoal'!K181/1000</f>
        <v>0</v>
      </c>
      <c r="P181" s="1124">
        <f>12*$K181*'Crono Pessoal'!L181/1000</f>
        <v>0</v>
      </c>
      <c r="Q181" s="1124">
        <f>12*$K181*'Crono Pessoal'!M181/1000</f>
        <v>0</v>
      </c>
      <c r="R181" s="1124">
        <f>12*$K181*'Crono Pessoal'!N181/1000</f>
        <v>0</v>
      </c>
      <c r="S181" s="1124">
        <f>12*$K181*'Crono Pessoal'!O181/1000</f>
        <v>0</v>
      </c>
      <c r="T181" s="1124">
        <f>12*$K181*'Crono Pessoal'!P181/1000</f>
        <v>0</v>
      </c>
      <c r="U181" s="1124">
        <f>12*$K181*'Crono Pessoal'!Q181/1000</f>
        <v>0</v>
      </c>
      <c r="V181" s="1124">
        <f>12*$K181*'Crono Pessoal'!R181/1000</f>
        <v>0</v>
      </c>
      <c r="W181" s="1124">
        <f>12*$K181*'Crono Pessoal'!S181/1000</f>
        <v>0</v>
      </c>
      <c r="X181" s="1124">
        <f>12*$K181*'Crono Pessoal'!T181/1000</f>
        <v>0</v>
      </c>
      <c r="Y181" s="1124">
        <f>12*$K181*'Crono Pessoal'!U181/1000</f>
        <v>0</v>
      </c>
      <c r="Z181" s="1124">
        <f>12*$K181*'Crono Pessoal'!V181/1000</f>
        <v>0</v>
      </c>
      <c r="AA181" s="1124">
        <f>12*$K181*'Crono Pessoal'!W181/1000</f>
        <v>0</v>
      </c>
      <c r="AB181" s="1124">
        <f>12*$K181*'Crono Pessoal'!X181/1000</f>
        <v>0</v>
      </c>
      <c r="AC181" s="1124">
        <f>12*$K181*'Crono Pessoal'!Y181/1000</f>
        <v>0</v>
      </c>
      <c r="AD181" s="1124">
        <f>12*$K181*'Crono Pessoal'!Z181/1000</f>
        <v>0</v>
      </c>
      <c r="AE181" s="1124">
        <f>12*$K181*'Crono Pessoal'!AA181/1000</f>
        <v>0</v>
      </c>
      <c r="AF181" s="1124">
        <f>12*$K181*'Crono Pessoal'!AB181/1000</f>
        <v>0</v>
      </c>
      <c r="AG181" s="1124">
        <f>12*$K181*'Crono Pessoal'!AC181/1000</f>
        <v>0</v>
      </c>
      <c r="AH181" s="1124">
        <f>12*$K181*'Crono Pessoal'!AD181/1000</f>
        <v>0</v>
      </c>
      <c r="AI181" s="1124">
        <f>12*$K181*'Crono Pessoal'!AE181/1000</f>
        <v>0</v>
      </c>
      <c r="AJ181" s="1124">
        <f>12*$K181*'Crono Pessoal'!AF181/1000</f>
        <v>0</v>
      </c>
      <c r="AK181" s="1124">
        <f>12*$K181*'Crono Pessoal'!AG181/1000</f>
        <v>0</v>
      </c>
      <c r="AL181" s="1124">
        <f>12*$K181*'Crono Pessoal'!AH181/1000</f>
        <v>0</v>
      </c>
      <c r="AM181" s="1124">
        <f>12*$K181*'Crono Pessoal'!AI181/1000</f>
        <v>0</v>
      </c>
      <c r="AN181" s="1124">
        <f>12*$K181*'Crono Pessoal'!AJ181/1000</f>
        <v>0</v>
      </c>
      <c r="AO181" s="1124">
        <f>12*$K181*'Crono Pessoal'!AK181/1000</f>
        <v>0</v>
      </c>
      <c r="AP181" s="1124">
        <f>12*$K181*'Crono Pessoal'!AL181/1000</f>
        <v>0</v>
      </c>
      <c r="AQ181" s="1108"/>
      <c r="AR181" s="1108"/>
      <c r="AS181" s="1108"/>
      <c r="AT181" s="1108"/>
      <c r="AU181" s="1108"/>
      <c r="AV181" s="1108"/>
      <c r="AW181" s="1108"/>
      <c r="AX181" s="1108"/>
      <c r="AY181" s="1108"/>
      <c r="AZ181" s="1108"/>
      <c r="BA181" s="1108"/>
      <c r="BB181" s="1108"/>
      <c r="BC181" s="1108"/>
      <c r="BD181" s="1108"/>
      <c r="BE181" s="1108"/>
      <c r="BF181" s="1108"/>
      <c r="BG181" s="1108"/>
      <c r="BH181" s="1108"/>
      <c r="BI181" s="1108"/>
      <c r="BJ181" s="1108"/>
      <c r="BK181" s="1108"/>
      <c r="BL181" s="1108"/>
      <c r="BM181" s="1108"/>
      <c r="BN181" s="1108"/>
    </row>
    <row r="182" spans="1:66">
      <c r="A182" s="595"/>
      <c r="B182" s="598"/>
      <c r="C182" s="599"/>
      <c r="D182" s="258" t="s">
        <v>898</v>
      </c>
      <c r="E182" s="258">
        <v>10</v>
      </c>
      <c r="F182" s="1129" t="s">
        <v>856</v>
      </c>
      <c r="G182" s="1132" t="str">
        <f>VLOOKUP($F182,SALARIOSS!$D$6:$H$203,2,0)</f>
        <v>Supervisor de Tráfego</v>
      </c>
      <c r="H182" s="1121">
        <f>VLOOKUP($F182,SALARIOSS!$D$6:$I$203,6,0)</f>
        <v>2861.7138</v>
      </c>
      <c r="I182" s="1121">
        <f>VLOOKUP($F182,Funções!$D$9:$K$200,5,0)+VLOOKUP($F182,Funções!$D$9:$K$200,6,0)</f>
        <v>3382.9995665000001</v>
      </c>
      <c r="J182" s="1121">
        <f>VLOOKUP($F182,Funções!$D$9:$K$200,7,0)</f>
        <v>95</v>
      </c>
      <c r="K182" s="1122">
        <f t="shared" si="12"/>
        <v>6339.7133665000001</v>
      </c>
      <c r="L182" s="1123">
        <f t="shared" si="13"/>
        <v>2282.2968119400002</v>
      </c>
      <c r="M182" s="1124">
        <f>12*$K182*'Crono Pessoal'!I182/1000</f>
        <v>76.076560397999998</v>
      </c>
      <c r="N182" s="1124">
        <f>12*$K182*'Crono Pessoal'!J182/1000</f>
        <v>76.076560397999998</v>
      </c>
      <c r="O182" s="1124">
        <f>12*$K182*'Crono Pessoal'!K182/1000</f>
        <v>76.076560397999998</v>
      </c>
      <c r="P182" s="1124">
        <f>12*$K182*'Crono Pessoal'!L182/1000</f>
        <v>76.076560397999998</v>
      </c>
      <c r="Q182" s="1124">
        <f>12*$K182*'Crono Pessoal'!M182/1000</f>
        <v>76.076560397999998</v>
      </c>
      <c r="R182" s="1124">
        <f>12*$K182*'Crono Pessoal'!N182/1000</f>
        <v>76.076560397999998</v>
      </c>
      <c r="S182" s="1124">
        <f>12*$K182*'Crono Pessoal'!O182/1000</f>
        <v>76.076560397999998</v>
      </c>
      <c r="T182" s="1124">
        <f>12*$K182*'Crono Pessoal'!P182/1000</f>
        <v>76.076560397999998</v>
      </c>
      <c r="U182" s="1124">
        <f>12*$K182*'Crono Pessoal'!Q182/1000</f>
        <v>76.076560397999998</v>
      </c>
      <c r="V182" s="1124">
        <f>12*$K182*'Crono Pessoal'!R182/1000</f>
        <v>76.076560397999998</v>
      </c>
      <c r="W182" s="1124">
        <f>12*$K182*'Crono Pessoal'!S182/1000</f>
        <v>76.076560397999998</v>
      </c>
      <c r="X182" s="1124">
        <f>12*$K182*'Crono Pessoal'!T182/1000</f>
        <v>76.076560397999998</v>
      </c>
      <c r="Y182" s="1124">
        <f>12*$K182*'Crono Pessoal'!U182/1000</f>
        <v>76.076560397999998</v>
      </c>
      <c r="Z182" s="1124">
        <f>12*$K182*'Crono Pessoal'!V182/1000</f>
        <v>76.076560397999998</v>
      </c>
      <c r="AA182" s="1124">
        <f>12*$K182*'Crono Pessoal'!W182/1000</f>
        <v>76.076560397999998</v>
      </c>
      <c r="AB182" s="1124">
        <f>12*$K182*'Crono Pessoal'!X182/1000</f>
        <v>76.076560397999998</v>
      </c>
      <c r="AC182" s="1124">
        <f>12*$K182*'Crono Pessoal'!Y182/1000</f>
        <v>76.076560397999998</v>
      </c>
      <c r="AD182" s="1124">
        <f>12*$K182*'Crono Pessoal'!Z182/1000</f>
        <v>76.076560397999998</v>
      </c>
      <c r="AE182" s="1124">
        <f>12*$K182*'Crono Pessoal'!AA182/1000</f>
        <v>76.076560397999998</v>
      </c>
      <c r="AF182" s="1124">
        <f>12*$K182*'Crono Pessoal'!AB182/1000</f>
        <v>76.076560397999998</v>
      </c>
      <c r="AG182" s="1124">
        <f>12*$K182*'Crono Pessoal'!AC182/1000</f>
        <v>76.076560397999998</v>
      </c>
      <c r="AH182" s="1124">
        <f>12*$K182*'Crono Pessoal'!AD182/1000</f>
        <v>76.076560397999998</v>
      </c>
      <c r="AI182" s="1124">
        <f>12*$K182*'Crono Pessoal'!AE182/1000</f>
        <v>76.076560397999998</v>
      </c>
      <c r="AJ182" s="1124">
        <f>12*$K182*'Crono Pessoal'!AF182/1000</f>
        <v>76.076560397999998</v>
      </c>
      <c r="AK182" s="1124">
        <f>12*$K182*'Crono Pessoal'!AG182/1000</f>
        <v>76.076560397999998</v>
      </c>
      <c r="AL182" s="1124">
        <f>12*$K182*'Crono Pessoal'!AH182/1000</f>
        <v>76.076560397999998</v>
      </c>
      <c r="AM182" s="1124">
        <f>12*$K182*'Crono Pessoal'!AI182/1000</f>
        <v>76.076560397999998</v>
      </c>
      <c r="AN182" s="1124">
        <f>12*$K182*'Crono Pessoal'!AJ182/1000</f>
        <v>76.076560397999998</v>
      </c>
      <c r="AO182" s="1124">
        <f>12*$K182*'Crono Pessoal'!AK182/1000</f>
        <v>76.076560397999998</v>
      </c>
      <c r="AP182" s="1124">
        <f>12*$K182*'Crono Pessoal'!AL182/1000</f>
        <v>76.076560397999998</v>
      </c>
      <c r="AQ182" s="1108"/>
      <c r="AR182" s="1108"/>
      <c r="AS182" s="1108"/>
      <c r="AT182" s="1108"/>
      <c r="AU182" s="1108"/>
      <c r="AV182" s="1108"/>
      <c r="AW182" s="1108"/>
      <c r="AX182" s="1108"/>
      <c r="AY182" s="1108"/>
      <c r="AZ182" s="1108"/>
      <c r="BA182" s="1108"/>
      <c r="BB182" s="1108"/>
      <c r="BC182" s="1108"/>
      <c r="BD182" s="1108"/>
      <c r="BE182" s="1108"/>
      <c r="BF182" s="1108"/>
      <c r="BG182" s="1108"/>
      <c r="BH182" s="1108"/>
      <c r="BI182" s="1108"/>
      <c r="BJ182" s="1108"/>
      <c r="BK182" s="1108"/>
      <c r="BL182" s="1108"/>
      <c r="BM182" s="1108"/>
      <c r="BN182" s="1108"/>
    </row>
    <row r="183" spans="1:66">
      <c r="A183" s="595"/>
      <c r="B183" s="598"/>
      <c r="C183" s="599"/>
      <c r="D183" s="258" t="s">
        <v>898</v>
      </c>
      <c r="E183" s="258">
        <v>10</v>
      </c>
      <c r="F183" s="1129" t="s">
        <v>859</v>
      </c>
      <c r="G183" s="1132" t="str">
        <f>VLOOKUP($F183,SALARIOSS!$D$6:$H$203,2,0)</f>
        <v>Auxiliar de Pista</v>
      </c>
      <c r="H183" s="1121">
        <f>VLOOKUP($F183,SALARIOSS!$D$6:$I$203,6,0)</f>
        <v>1483.4880000000003</v>
      </c>
      <c r="I183" s="1121">
        <f>VLOOKUP($F183,Funções!$D$9:$K$200,5,0)+VLOOKUP($F183,Funções!$D$9:$K$200,6,0)</f>
        <v>2152.9330400000003</v>
      </c>
      <c r="J183" s="1121">
        <f>VLOOKUP($F183,Funções!$D$9:$K$200,7,0)</f>
        <v>95</v>
      </c>
      <c r="K183" s="1122">
        <f t="shared" si="12"/>
        <v>3731.4210400000006</v>
      </c>
      <c r="L183" s="1123">
        <f t="shared" si="13"/>
        <v>2417.9608339199999</v>
      </c>
      <c r="M183" s="1124">
        <f>12*$K183*'Crono Pessoal'!I183/1000</f>
        <v>223.88526240000004</v>
      </c>
      <c r="N183" s="1124">
        <f>12*$K183*'Crono Pessoal'!J183/1000</f>
        <v>223.88526240000004</v>
      </c>
      <c r="O183" s="1124">
        <f>12*$K183*'Crono Pessoal'!K183/1000</f>
        <v>223.88526240000004</v>
      </c>
      <c r="P183" s="1124">
        <f>12*$K183*'Crono Pessoal'!L183/1000</f>
        <v>223.88526240000004</v>
      </c>
      <c r="Q183" s="1124">
        <f>12*$K183*'Crono Pessoal'!M183/1000</f>
        <v>223.88526240000004</v>
      </c>
      <c r="R183" s="1124">
        <f>12*$K183*'Crono Pessoal'!N183/1000</f>
        <v>223.88526240000004</v>
      </c>
      <c r="S183" s="1124">
        <f>12*$K183*'Crono Pessoal'!O183/1000</f>
        <v>44.777052480000009</v>
      </c>
      <c r="T183" s="1124">
        <f>12*$K183*'Crono Pessoal'!P183/1000</f>
        <v>44.777052480000009</v>
      </c>
      <c r="U183" s="1124">
        <f>12*$K183*'Crono Pessoal'!Q183/1000</f>
        <v>44.777052480000009</v>
      </c>
      <c r="V183" s="1124">
        <f>12*$K183*'Crono Pessoal'!R183/1000</f>
        <v>44.777052480000009</v>
      </c>
      <c r="W183" s="1124">
        <f>12*$K183*'Crono Pessoal'!S183/1000</f>
        <v>44.777052480000009</v>
      </c>
      <c r="X183" s="1124">
        <f>12*$K183*'Crono Pessoal'!T183/1000</f>
        <v>44.777052480000009</v>
      </c>
      <c r="Y183" s="1124">
        <f>12*$K183*'Crono Pessoal'!U183/1000</f>
        <v>44.777052480000009</v>
      </c>
      <c r="Z183" s="1124">
        <f>12*$K183*'Crono Pessoal'!V183/1000</f>
        <v>44.777052480000009</v>
      </c>
      <c r="AA183" s="1124">
        <f>12*$K183*'Crono Pessoal'!W183/1000</f>
        <v>44.777052480000009</v>
      </c>
      <c r="AB183" s="1124">
        <f>12*$K183*'Crono Pessoal'!X183/1000</f>
        <v>44.777052480000009</v>
      </c>
      <c r="AC183" s="1124">
        <f>12*$K183*'Crono Pessoal'!Y183/1000</f>
        <v>44.777052480000009</v>
      </c>
      <c r="AD183" s="1124">
        <f>12*$K183*'Crono Pessoal'!Z183/1000</f>
        <v>44.777052480000009</v>
      </c>
      <c r="AE183" s="1124">
        <f>12*$K183*'Crono Pessoal'!AA183/1000</f>
        <v>44.777052480000009</v>
      </c>
      <c r="AF183" s="1124">
        <f>12*$K183*'Crono Pessoal'!AB183/1000</f>
        <v>44.777052480000009</v>
      </c>
      <c r="AG183" s="1124">
        <f>12*$K183*'Crono Pessoal'!AC183/1000</f>
        <v>44.777052480000009</v>
      </c>
      <c r="AH183" s="1124">
        <f>12*$K183*'Crono Pessoal'!AD183/1000</f>
        <v>44.777052480000009</v>
      </c>
      <c r="AI183" s="1124">
        <f>12*$K183*'Crono Pessoal'!AE183/1000</f>
        <v>44.777052480000009</v>
      </c>
      <c r="AJ183" s="1124">
        <f>12*$K183*'Crono Pessoal'!AF183/1000</f>
        <v>44.777052480000009</v>
      </c>
      <c r="AK183" s="1124">
        <f>12*$K183*'Crono Pessoal'!AG183/1000</f>
        <v>44.777052480000009</v>
      </c>
      <c r="AL183" s="1124">
        <f>12*$K183*'Crono Pessoal'!AH183/1000</f>
        <v>44.777052480000009</v>
      </c>
      <c r="AM183" s="1124">
        <f>12*$K183*'Crono Pessoal'!AI183/1000</f>
        <v>44.777052480000009</v>
      </c>
      <c r="AN183" s="1124">
        <f>12*$K183*'Crono Pessoal'!AJ183/1000</f>
        <v>44.777052480000009</v>
      </c>
      <c r="AO183" s="1124">
        <f>12*$K183*'Crono Pessoal'!AK183/1000</f>
        <v>44.777052480000009</v>
      </c>
      <c r="AP183" s="1124">
        <f>12*$K183*'Crono Pessoal'!AL183/1000</f>
        <v>44.777052480000009</v>
      </c>
      <c r="AQ183" s="1108"/>
      <c r="AR183" s="1108"/>
      <c r="AS183" s="1108"/>
      <c r="AT183" s="1108"/>
      <c r="AU183" s="1108"/>
      <c r="AV183" s="1108"/>
      <c r="AW183" s="1108"/>
      <c r="AX183" s="1108"/>
      <c r="AY183" s="1108"/>
      <c r="AZ183" s="1108"/>
      <c r="BA183" s="1108"/>
      <c r="BB183" s="1108"/>
      <c r="BC183" s="1108"/>
      <c r="BD183" s="1108"/>
      <c r="BE183" s="1108"/>
      <c r="BF183" s="1108"/>
      <c r="BG183" s="1108"/>
      <c r="BH183" s="1108"/>
      <c r="BI183" s="1108"/>
      <c r="BJ183" s="1108"/>
      <c r="BK183" s="1108"/>
      <c r="BL183" s="1108"/>
      <c r="BM183" s="1108"/>
      <c r="BN183" s="1108"/>
    </row>
    <row r="184" spans="1:66">
      <c r="A184" s="595"/>
      <c r="B184" s="598"/>
      <c r="C184" s="599"/>
      <c r="D184" s="264"/>
      <c r="E184" s="264"/>
      <c r="F184" s="1119"/>
      <c r="G184" s="1132"/>
      <c r="H184" s="1121"/>
      <c r="I184" s="1121"/>
      <c r="J184" s="1121"/>
      <c r="K184" s="1122"/>
      <c r="L184" s="1122"/>
      <c r="M184" s="1124"/>
      <c r="N184" s="1124"/>
      <c r="O184" s="1124"/>
      <c r="P184" s="1124"/>
      <c r="Q184" s="1124"/>
      <c r="R184" s="1124"/>
      <c r="S184" s="1124"/>
      <c r="T184" s="1124"/>
      <c r="U184" s="1124"/>
      <c r="V184" s="1124"/>
      <c r="W184" s="1124"/>
      <c r="X184" s="1124"/>
      <c r="Y184" s="1124"/>
      <c r="Z184" s="1124"/>
      <c r="AA184" s="1124"/>
      <c r="AB184" s="1124"/>
      <c r="AC184" s="1124"/>
      <c r="AD184" s="1124"/>
      <c r="AE184" s="1124"/>
      <c r="AF184" s="1124"/>
      <c r="AG184" s="1124"/>
      <c r="AH184" s="1124"/>
      <c r="AI184" s="1124"/>
      <c r="AJ184" s="1124"/>
      <c r="AK184" s="1124"/>
      <c r="AL184" s="1124"/>
      <c r="AM184" s="1124"/>
      <c r="AN184" s="1124"/>
      <c r="AO184" s="1124"/>
      <c r="AP184" s="1124"/>
      <c r="AQ184" s="1108"/>
      <c r="AR184" s="1108"/>
      <c r="AS184" s="1108"/>
      <c r="AT184" s="1108"/>
      <c r="AU184" s="1108"/>
      <c r="AV184" s="1108"/>
      <c r="AW184" s="1108"/>
      <c r="AX184" s="1108"/>
      <c r="AY184" s="1108"/>
      <c r="AZ184" s="1108"/>
      <c r="BA184" s="1108"/>
      <c r="BB184" s="1108"/>
      <c r="BC184" s="1108"/>
      <c r="BD184" s="1108"/>
      <c r="BE184" s="1108"/>
      <c r="BF184" s="1108"/>
      <c r="BG184" s="1108"/>
      <c r="BH184" s="1108"/>
      <c r="BI184" s="1108"/>
      <c r="BJ184" s="1108"/>
      <c r="BK184" s="1108"/>
      <c r="BL184" s="1108"/>
      <c r="BM184" s="1108"/>
      <c r="BN184" s="1108"/>
    </row>
    <row r="185" spans="1:66" s="624" customFormat="1" ht="18.75" customHeight="1">
      <c r="A185" s="609"/>
      <c r="B185" s="610"/>
      <c r="C185" s="611"/>
      <c r="D185" s="627"/>
      <c r="E185" s="627"/>
      <c r="F185" s="1125"/>
      <c r="G185" s="1113" t="s">
        <v>904</v>
      </c>
      <c r="H185" s="1138"/>
      <c r="I185" s="1138"/>
      <c r="J185" s="1138"/>
      <c r="K185" s="1138"/>
      <c r="L185" s="1118">
        <f t="shared" ref="L185:AJ185" si="14">SUBTOTAL(9,L8:L184)</f>
        <v>561449.27572460682</v>
      </c>
      <c r="M185" s="1118">
        <f t="shared" si="14"/>
        <v>17738.049265738198</v>
      </c>
      <c r="N185" s="1118">
        <f t="shared" si="14"/>
        <v>18958.637781246296</v>
      </c>
      <c r="O185" s="1118">
        <f t="shared" si="14"/>
        <v>18958.637781246296</v>
      </c>
      <c r="P185" s="1118">
        <f t="shared" si="14"/>
        <v>18958.637781246296</v>
      </c>
      <c r="Q185" s="1118">
        <f t="shared" si="14"/>
        <v>18958.637781246296</v>
      </c>
      <c r="R185" s="1118">
        <f t="shared" si="14"/>
        <v>18887.010894878549</v>
      </c>
      <c r="S185" s="1118">
        <f t="shared" si="14"/>
        <v>18707.90268495855</v>
      </c>
      <c r="T185" s="1118">
        <f t="shared" si="14"/>
        <v>18707.90268495855</v>
      </c>
      <c r="U185" s="1118">
        <f t="shared" si="14"/>
        <v>18707.90268495855</v>
      </c>
      <c r="V185" s="1118">
        <f t="shared" si="14"/>
        <v>18707.90268495855</v>
      </c>
      <c r="W185" s="1118">
        <f t="shared" si="14"/>
        <v>18707.90268495855</v>
      </c>
      <c r="X185" s="1118">
        <f t="shared" si="14"/>
        <v>18707.90268495855</v>
      </c>
      <c r="Y185" s="1118">
        <f t="shared" si="14"/>
        <v>18707.90268495855</v>
      </c>
      <c r="Z185" s="1118">
        <f t="shared" si="14"/>
        <v>18707.90268495855</v>
      </c>
      <c r="AA185" s="1118">
        <f t="shared" si="14"/>
        <v>18707.90268495855</v>
      </c>
      <c r="AB185" s="1118">
        <f t="shared" si="14"/>
        <v>18707.90268495855</v>
      </c>
      <c r="AC185" s="1118">
        <f t="shared" si="14"/>
        <v>18707.90268495855</v>
      </c>
      <c r="AD185" s="1118">
        <f t="shared" si="14"/>
        <v>18707.90268495855</v>
      </c>
      <c r="AE185" s="1118">
        <f t="shared" si="14"/>
        <v>18707.90268495855</v>
      </c>
      <c r="AF185" s="1118">
        <f t="shared" si="14"/>
        <v>18707.90268495855</v>
      </c>
      <c r="AG185" s="1118">
        <f t="shared" si="14"/>
        <v>18707.90268495855</v>
      </c>
      <c r="AH185" s="1118">
        <f t="shared" si="14"/>
        <v>18707.90268495855</v>
      </c>
      <c r="AI185" s="1118">
        <f t="shared" si="14"/>
        <v>18707.90268495855</v>
      </c>
      <c r="AJ185" s="1118">
        <f t="shared" si="14"/>
        <v>18707.90268495855</v>
      </c>
      <c r="AK185" s="1118">
        <f t="shared" ref="AK185:AP185" si="15">SUBTOTAL(9,AK8:AK184)</f>
        <v>18707.90268495855</v>
      </c>
      <c r="AL185" s="1118">
        <f t="shared" si="15"/>
        <v>18707.90268495855</v>
      </c>
      <c r="AM185" s="1118">
        <f t="shared" si="15"/>
        <v>18707.90268495855</v>
      </c>
      <c r="AN185" s="1118">
        <f t="shared" si="15"/>
        <v>18707.90268495855</v>
      </c>
      <c r="AO185" s="1118">
        <f t="shared" si="15"/>
        <v>18707.90268495855</v>
      </c>
      <c r="AP185" s="1118">
        <f t="shared" si="15"/>
        <v>18707.90268495855</v>
      </c>
    </row>
    <row r="186" spans="1:66">
      <c r="A186" s="595"/>
      <c r="B186" s="598"/>
      <c r="C186" s="599"/>
      <c r="D186" s="264"/>
      <c r="E186" s="264"/>
      <c r="F186" s="264"/>
      <c r="G186" s="265" t="s">
        <v>905</v>
      </c>
      <c r="H186" s="265"/>
      <c r="I186" s="265"/>
      <c r="J186" s="265"/>
      <c r="K186" s="265"/>
      <c r="L186" s="265"/>
      <c r="M186" s="265">
        <f>M185*Funções!$G$196</f>
        <v>0</v>
      </c>
      <c r="N186" s="265">
        <f>N185*Funções!$G$196</f>
        <v>0</v>
      </c>
      <c r="O186" s="265">
        <f>O185*Funções!$G$196</f>
        <v>0</v>
      </c>
      <c r="P186" s="265">
        <f>P185*Funções!$G$196</f>
        <v>0</v>
      </c>
      <c r="Q186" s="265">
        <f>Q185*Funções!$G$196</f>
        <v>0</v>
      </c>
      <c r="R186" s="265">
        <f>R185*Funções!$G$196</f>
        <v>0</v>
      </c>
      <c r="S186" s="265">
        <f>S185*Funções!$G$196</f>
        <v>0</v>
      </c>
      <c r="T186" s="265">
        <f>T185*Funções!$G$196</f>
        <v>0</v>
      </c>
      <c r="U186" s="265">
        <f>U185*Funções!$G$196</f>
        <v>0</v>
      </c>
      <c r="V186" s="265">
        <f>V185*Funções!$G$196</f>
        <v>0</v>
      </c>
      <c r="W186" s="265">
        <f>W185*Funções!$G$196</f>
        <v>0</v>
      </c>
      <c r="X186" s="265">
        <f>X185*Funções!$G$196</f>
        <v>0</v>
      </c>
      <c r="Y186" s="265">
        <f>Y185*Funções!$G$196</f>
        <v>0</v>
      </c>
      <c r="Z186" s="265">
        <f>Z185*Funções!$G$196</f>
        <v>0</v>
      </c>
      <c r="AA186" s="265">
        <f>AA185*Funções!$G$196</f>
        <v>0</v>
      </c>
      <c r="AB186" s="265">
        <f>AB185*Funções!$G$196</f>
        <v>0</v>
      </c>
      <c r="AC186" s="265">
        <f>AC185*Funções!$G$196</f>
        <v>0</v>
      </c>
      <c r="AD186" s="265">
        <f>AD185*Funções!$G$196</f>
        <v>0</v>
      </c>
      <c r="AE186" s="265">
        <f>AE185*Funções!$G$196</f>
        <v>0</v>
      </c>
      <c r="AF186" s="265">
        <f>AF185*Funções!$G$196</f>
        <v>0</v>
      </c>
      <c r="AG186" s="265">
        <f>AG185*Funções!$G$196</f>
        <v>0</v>
      </c>
      <c r="AH186" s="265">
        <f>AH185*Funções!$G$196</f>
        <v>0</v>
      </c>
      <c r="AI186" s="265">
        <f>AI185*Funções!$G$196</f>
        <v>0</v>
      </c>
      <c r="AJ186" s="265">
        <f>AJ185*Funções!$G$196</f>
        <v>0</v>
      </c>
      <c r="AK186" s="265">
        <f>AK185*Funções!$G$196</f>
        <v>0</v>
      </c>
      <c r="AL186" s="265">
        <f>AL185*Funções!$G$196</f>
        <v>0</v>
      </c>
      <c r="AM186" s="265">
        <f>AM185*Funções!$G$196</f>
        <v>0</v>
      </c>
      <c r="AN186" s="265">
        <f>AN185*Funções!$G$196</f>
        <v>0</v>
      </c>
      <c r="AO186" s="265">
        <f>AO185*Funções!$G$196</f>
        <v>0</v>
      </c>
      <c r="AP186" s="265">
        <f>AP185*Funções!$G$196</f>
        <v>0</v>
      </c>
      <c r="AQ186" s="265"/>
      <c r="AR186" s="265"/>
      <c r="AS186" s="265"/>
      <c r="AT186" s="265"/>
      <c r="AU186" s="265"/>
      <c r="AV186" s="265"/>
      <c r="AW186" s="265"/>
      <c r="AX186" s="265"/>
      <c r="AY186" s="265"/>
      <c r="AZ186" s="265"/>
      <c r="BA186" s="265"/>
      <c r="BB186" s="265"/>
      <c r="BC186" s="265"/>
      <c r="BD186" s="265"/>
      <c r="BE186" s="265"/>
      <c r="BF186" s="265"/>
      <c r="BG186" s="265"/>
      <c r="BH186" s="265"/>
      <c r="BI186" s="265"/>
      <c r="BJ186" s="265"/>
      <c r="BK186" s="265"/>
      <c r="BL186" s="265"/>
      <c r="BM186" s="265"/>
      <c r="BN186" s="265"/>
    </row>
    <row r="187" spans="1:66">
      <c r="A187" s="595"/>
      <c r="B187" s="598"/>
      <c r="C187" s="599"/>
      <c r="D187" s="264"/>
      <c r="E187" s="264"/>
      <c r="F187" s="264"/>
      <c r="G187" s="265"/>
      <c r="H187" s="265"/>
      <c r="I187" s="265"/>
      <c r="J187" s="265"/>
      <c r="K187" s="265"/>
      <c r="L187" s="265"/>
      <c r="M187" s="265"/>
      <c r="N187" s="265"/>
      <c r="O187" s="265"/>
      <c r="P187" s="265"/>
      <c r="Q187" s="265"/>
      <c r="R187" s="265"/>
      <c r="S187" s="265"/>
      <c r="T187" s="265"/>
      <c r="U187" s="265"/>
      <c r="V187" s="265"/>
      <c r="W187" s="265"/>
      <c r="X187" s="265"/>
      <c r="Y187" s="265"/>
      <c r="Z187" s="265"/>
      <c r="AA187" s="265"/>
      <c r="AB187" s="265"/>
      <c r="AC187" s="265"/>
      <c r="AD187" s="265"/>
      <c r="AE187" s="265"/>
      <c r="AF187" s="265"/>
      <c r="AG187" s="265"/>
      <c r="AH187" s="265"/>
      <c r="AI187" s="265"/>
      <c r="AJ187" s="265"/>
      <c r="AK187" s="265"/>
      <c r="AL187" s="265"/>
      <c r="AM187" s="265"/>
      <c r="AN187" s="265"/>
      <c r="AO187" s="265"/>
      <c r="AP187" s="265"/>
      <c r="AQ187" s="265"/>
      <c r="AR187" s="265"/>
      <c r="AS187" s="265"/>
      <c r="AT187" s="265"/>
      <c r="AU187" s="265"/>
      <c r="AV187" s="265"/>
      <c r="AW187" s="265"/>
      <c r="AX187" s="265"/>
      <c r="AY187" s="265"/>
      <c r="AZ187" s="265"/>
      <c r="BA187" s="265"/>
      <c r="BB187" s="265"/>
      <c r="BC187" s="265"/>
      <c r="BD187" s="265"/>
      <c r="BE187" s="265"/>
      <c r="BF187" s="265"/>
      <c r="BG187" s="265"/>
      <c r="BH187" s="265"/>
      <c r="BI187" s="265"/>
      <c r="BJ187" s="265"/>
      <c r="BK187" s="265"/>
      <c r="BL187" s="265"/>
      <c r="BM187" s="265"/>
      <c r="BN187" s="265"/>
    </row>
    <row r="188" spans="1:66" hidden="1">
      <c r="A188" s="595"/>
      <c r="B188" s="598"/>
      <c r="C188" s="599"/>
      <c r="D188" s="260" t="s">
        <v>750</v>
      </c>
      <c r="E188" s="260"/>
      <c r="F188" s="264"/>
      <c r="G188" s="265"/>
      <c r="H188" s="265"/>
      <c r="I188" s="265"/>
      <c r="J188" s="265"/>
      <c r="K188" s="265"/>
      <c r="L188" s="265"/>
      <c r="M188" s="1107">
        <f t="shared" ref="M188:AP188" si="16">SUMIF($D$9:$D$184,$D188,M$9:M$184)/SUMIF($D$9:$D$184,$D188,$L$9:$L$184)</f>
        <v>3.1887988974459415E-2</v>
      </c>
      <c r="N188" s="1107">
        <f t="shared" si="16"/>
        <v>3.3552079070619752E-2</v>
      </c>
      <c r="O188" s="1107">
        <f t="shared" si="16"/>
        <v>3.3552079070619752E-2</v>
      </c>
      <c r="P188" s="1107">
        <f t="shared" si="16"/>
        <v>3.3552079070619752E-2</v>
      </c>
      <c r="Q188" s="1107">
        <f t="shared" si="16"/>
        <v>3.3552079070619752E-2</v>
      </c>
      <c r="R188" s="1107">
        <f t="shared" si="16"/>
        <v>3.3356147789722471E-2</v>
      </c>
      <c r="S188" s="1107">
        <f t="shared" si="16"/>
        <v>3.3356147789722471E-2</v>
      </c>
      <c r="T188" s="1107">
        <f t="shared" si="16"/>
        <v>3.3356147789722471E-2</v>
      </c>
      <c r="U188" s="1107">
        <f t="shared" si="16"/>
        <v>3.3356147789722471E-2</v>
      </c>
      <c r="V188" s="1107">
        <f t="shared" si="16"/>
        <v>3.3356147789722471E-2</v>
      </c>
      <c r="W188" s="1107">
        <f t="shared" si="16"/>
        <v>3.3356147789722471E-2</v>
      </c>
      <c r="X188" s="1107">
        <f t="shared" si="16"/>
        <v>3.3356147789722471E-2</v>
      </c>
      <c r="Y188" s="1107">
        <f t="shared" si="16"/>
        <v>3.3356147789722471E-2</v>
      </c>
      <c r="Z188" s="1107">
        <f t="shared" si="16"/>
        <v>3.3356147789722471E-2</v>
      </c>
      <c r="AA188" s="1107">
        <f t="shared" si="16"/>
        <v>3.3356147789722471E-2</v>
      </c>
      <c r="AB188" s="1107">
        <f t="shared" si="16"/>
        <v>3.3356147789722471E-2</v>
      </c>
      <c r="AC188" s="1107">
        <f t="shared" si="16"/>
        <v>3.3356147789722471E-2</v>
      </c>
      <c r="AD188" s="1107">
        <f t="shared" si="16"/>
        <v>3.3356147789722471E-2</v>
      </c>
      <c r="AE188" s="1107">
        <f t="shared" si="16"/>
        <v>3.3356147789722471E-2</v>
      </c>
      <c r="AF188" s="1107">
        <f t="shared" si="16"/>
        <v>3.3356147789722471E-2</v>
      </c>
      <c r="AG188" s="1107">
        <f t="shared" si="16"/>
        <v>3.3356147789722471E-2</v>
      </c>
      <c r="AH188" s="1107">
        <f t="shared" si="16"/>
        <v>3.3356147789722471E-2</v>
      </c>
      <c r="AI188" s="1107">
        <f t="shared" si="16"/>
        <v>3.3356147789722471E-2</v>
      </c>
      <c r="AJ188" s="1107">
        <f t="shared" si="16"/>
        <v>3.3356147789722471E-2</v>
      </c>
      <c r="AK188" s="1107"/>
      <c r="AL188" s="1107"/>
      <c r="AM188" s="1107"/>
      <c r="AN188" s="1107"/>
      <c r="AO188" s="1107"/>
      <c r="AP188" s="1107">
        <f t="shared" si="16"/>
        <v>3.3356147789722471E-2</v>
      </c>
      <c r="AQ188" s="265"/>
      <c r="AR188" s="265"/>
      <c r="AS188" s="265"/>
      <c r="AT188" s="265"/>
      <c r="AU188" s="265"/>
      <c r="AV188" s="265"/>
      <c r="AW188" s="265"/>
      <c r="AX188" s="265"/>
      <c r="AY188" s="265"/>
      <c r="AZ188" s="265"/>
      <c r="BA188" s="265"/>
      <c r="BB188" s="265"/>
      <c r="BC188" s="265"/>
      <c r="BD188" s="265"/>
      <c r="BE188" s="265"/>
      <c r="BF188" s="265"/>
      <c r="BG188" s="265"/>
      <c r="BH188" s="265"/>
      <c r="BI188" s="265"/>
      <c r="BJ188" s="265"/>
      <c r="BK188" s="265"/>
      <c r="BL188" s="265"/>
      <c r="BM188" s="265"/>
      <c r="BN188" s="265"/>
    </row>
    <row r="189" spans="1:66" hidden="1">
      <c r="A189" s="595"/>
      <c r="B189" s="598"/>
      <c r="C189" s="599"/>
      <c r="D189" s="260" t="s">
        <v>850</v>
      </c>
      <c r="E189" s="260"/>
      <c r="F189" s="264"/>
      <c r="G189" s="265"/>
      <c r="H189" s="265"/>
      <c r="I189" s="265"/>
      <c r="J189" s="265"/>
      <c r="K189" s="265"/>
      <c r="L189" s="265"/>
      <c r="M189" s="1107" t="e">
        <f t="shared" ref="M189:V199" si="17">SUMIF($D$9:$D$184,$D189,M$9:M$184)/$L189</f>
        <v>#DIV/0!</v>
      </c>
      <c r="N189" s="1107" t="e">
        <f t="shared" si="17"/>
        <v>#DIV/0!</v>
      </c>
      <c r="O189" s="1107" t="e">
        <f t="shared" si="17"/>
        <v>#DIV/0!</v>
      </c>
      <c r="P189" s="1107" t="e">
        <f t="shared" si="17"/>
        <v>#DIV/0!</v>
      </c>
      <c r="Q189" s="1107" t="e">
        <f t="shared" si="17"/>
        <v>#DIV/0!</v>
      </c>
      <c r="R189" s="1107" t="e">
        <f t="shared" si="17"/>
        <v>#DIV/0!</v>
      </c>
      <c r="S189" s="1107" t="e">
        <f t="shared" si="17"/>
        <v>#DIV/0!</v>
      </c>
      <c r="T189" s="1107" t="e">
        <f t="shared" si="17"/>
        <v>#DIV/0!</v>
      </c>
      <c r="U189" s="1107" t="e">
        <f t="shared" si="17"/>
        <v>#DIV/0!</v>
      </c>
      <c r="V189" s="1107" t="e">
        <f t="shared" si="17"/>
        <v>#DIV/0!</v>
      </c>
      <c r="W189" s="1107" t="e">
        <f t="shared" ref="W189:AP199" si="18">SUMIF($D$9:$D$184,$D189,W$9:W$184)/$L189</f>
        <v>#DIV/0!</v>
      </c>
      <c r="X189" s="1107" t="e">
        <f t="shared" si="18"/>
        <v>#DIV/0!</v>
      </c>
      <c r="Y189" s="1107" t="e">
        <f t="shared" si="18"/>
        <v>#DIV/0!</v>
      </c>
      <c r="Z189" s="1107" t="e">
        <f t="shared" si="18"/>
        <v>#DIV/0!</v>
      </c>
      <c r="AA189" s="1107" t="e">
        <f t="shared" si="18"/>
        <v>#DIV/0!</v>
      </c>
      <c r="AB189" s="1107" t="e">
        <f t="shared" si="18"/>
        <v>#DIV/0!</v>
      </c>
      <c r="AC189" s="1107" t="e">
        <f t="shared" si="18"/>
        <v>#DIV/0!</v>
      </c>
      <c r="AD189" s="1107" t="e">
        <f t="shared" si="18"/>
        <v>#DIV/0!</v>
      </c>
      <c r="AE189" s="1107" t="e">
        <f t="shared" si="18"/>
        <v>#DIV/0!</v>
      </c>
      <c r="AF189" s="1107" t="e">
        <f t="shared" si="18"/>
        <v>#DIV/0!</v>
      </c>
      <c r="AG189" s="1107" t="e">
        <f t="shared" si="18"/>
        <v>#DIV/0!</v>
      </c>
      <c r="AH189" s="1107" t="e">
        <f t="shared" si="18"/>
        <v>#DIV/0!</v>
      </c>
      <c r="AI189" s="1107" t="e">
        <f t="shared" si="18"/>
        <v>#DIV/0!</v>
      </c>
      <c r="AJ189" s="1107" t="e">
        <f t="shared" si="18"/>
        <v>#DIV/0!</v>
      </c>
      <c r="AK189" s="1107"/>
      <c r="AL189" s="1107"/>
      <c r="AM189" s="1107"/>
      <c r="AN189" s="1107"/>
      <c r="AO189" s="1107"/>
      <c r="AP189" s="1107" t="e">
        <f t="shared" si="18"/>
        <v>#DIV/0!</v>
      </c>
      <c r="AQ189" s="265"/>
      <c r="AR189" s="265"/>
      <c r="AS189" s="265"/>
      <c r="AT189" s="265"/>
      <c r="AU189" s="265"/>
      <c r="AV189" s="265"/>
      <c r="AW189" s="265"/>
      <c r="AX189" s="265"/>
      <c r="AY189" s="265"/>
      <c r="AZ189" s="265"/>
      <c r="BA189" s="265"/>
      <c r="BB189" s="265"/>
      <c r="BC189" s="265"/>
      <c r="BD189" s="265"/>
      <c r="BE189" s="265"/>
      <c r="BF189" s="265"/>
      <c r="BG189" s="265"/>
      <c r="BH189" s="265"/>
      <c r="BI189" s="265"/>
      <c r="BJ189" s="265"/>
      <c r="BK189" s="265"/>
      <c r="BL189" s="265"/>
      <c r="BM189" s="265"/>
      <c r="BN189" s="265"/>
    </row>
    <row r="190" spans="1:66" hidden="1">
      <c r="A190" s="595"/>
      <c r="B190" s="598"/>
      <c r="C190" s="599"/>
      <c r="D190" s="260" t="s">
        <v>855</v>
      </c>
      <c r="E190" s="260"/>
      <c r="F190" s="264"/>
      <c r="G190" s="265"/>
      <c r="H190" s="265"/>
      <c r="I190" s="265"/>
      <c r="J190" s="265"/>
      <c r="K190" s="265"/>
      <c r="L190" s="265"/>
      <c r="M190" s="1107" t="e">
        <f t="shared" si="17"/>
        <v>#DIV/0!</v>
      </c>
      <c r="N190" s="1107" t="e">
        <f t="shared" si="17"/>
        <v>#DIV/0!</v>
      </c>
      <c r="O190" s="1107" t="e">
        <f t="shared" si="17"/>
        <v>#DIV/0!</v>
      </c>
      <c r="P190" s="1107" t="e">
        <f t="shared" si="17"/>
        <v>#DIV/0!</v>
      </c>
      <c r="Q190" s="1107" t="e">
        <f t="shared" si="17"/>
        <v>#DIV/0!</v>
      </c>
      <c r="R190" s="1107" t="e">
        <f t="shared" si="17"/>
        <v>#DIV/0!</v>
      </c>
      <c r="S190" s="1107" t="e">
        <f t="shared" si="17"/>
        <v>#DIV/0!</v>
      </c>
      <c r="T190" s="1107" t="e">
        <f t="shared" si="17"/>
        <v>#DIV/0!</v>
      </c>
      <c r="U190" s="1107" t="e">
        <f t="shared" si="17"/>
        <v>#DIV/0!</v>
      </c>
      <c r="V190" s="1107" t="e">
        <f t="shared" si="17"/>
        <v>#DIV/0!</v>
      </c>
      <c r="W190" s="1107" t="e">
        <f t="shared" si="18"/>
        <v>#DIV/0!</v>
      </c>
      <c r="X190" s="1107" t="e">
        <f t="shared" si="18"/>
        <v>#DIV/0!</v>
      </c>
      <c r="Y190" s="1107" t="e">
        <f t="shared" si="18"/>
        <v>#DIV/0!</v>
      </c>
      <c r="Z190" s="1107" t="e">
        <f t="shared" si="18"/>
        <v>#DIV/0!</v>
      </c>
      <c r="AA190" s="1107" t="e">
        <f t="shared" si="18"/>
        <v>#DIV/0!</v>
      </c>
      <c r="AB190" s="1107" t="e">
        <f t="shared" si="18"/>
        <v>#DIV/0!</v>
      </c>
      <c r="AC190" s="1107" t="e">
        <f t="shared" si="18"/>
        <v>#DIV/0!</v>
      </c>
      <c r="AD190" s="1107" t="e">
        <f t="shared" si="18"/>
        <v>#DIV/0!</v>
      </c>
      <c r="AE190" s="1107" t="e">
        <f t="shared" si="18"/>
        <v>#DIV/0!</v>
      </c>
      <c r="AF190" s="1107" t="e">
        <f t="shared" si="18"/>
        <v>#DIV/0!</v>
      </c>
      <c r="AG190" s="1107" t="e">
        <f t="shared" si="18"/>
        <v>#DIV/0!</v>
      </c>
      <c r="AH190" s="1107" t="e">
        <f t="shared" si="18"/>
        <v>#DIV/0!</v>
      </c>
      <c r="AI190" s="1107" t="e">
        <f t="shared" si="18"/>
        <v>#DIV/0!</v>
      </c>
      <c r="AJ190" s="1107" t="e">
        <f t="shared" si="18"/>
        <v>#DIV/0!</v>
      </c>
      <c r="AK190" s="1107"/>
      <c r="AL190" s="1107"/>
      <c r="AM190" s="1107"/>
      <c r="AN190" s="1107"/>
      <c r="AO190" s="1107"/>
      <c r="AP190" s="1107" t="e">
        <f t="shared" si="18"/>
        <v>#DIV/0!</v>
      </c>
      <c r="AQ190" s="265"/>
      <c r="AR190" s="265"/>
      <c r="AS190" s="265"/>
      <c r="AT190" s="265"/>
      <c r="AU190" s="265"/>
      <c r="AV190" s="265"/>
      <c r="AW190" s="265"/>
      <c r="AX190" s="265"/>
      <c r="AY190" s="265"/>
      <c r="AZ190" s="265"/>
      <c r="BA190" s="265"/>
      <c r="BB190" s="265"/>
      <c r="BC190" s="265"/>
      <c r="BD190" s="265"/>
      <c r="BE190" s="265"/>
      <c r="BF190" s="265"/>
      <c r="BG190" s="265"/>
      <c r="BH190" s="265"/>
      <c r="BI190" s="265"/>
      <c r="BJ190" s="265"/>
      <c r="BK190" s="265"/>
      <c r="BL190" s="265"/>
      <c r="BM190" s="265"/>
      <c r="BN190" s="265"/>
    </row>
    <row r="191" spans="1:66" hidden="1">
      <c r="A191" s="595"/>
      <c r="B191" s="598"/>
      <c r="C191" s="599"/>
      <c r="D191" s="260" t="s">
        <v>861</v>
      </c>
      <c r="E191" s="260"/>
      <c r="F191" s="264"/>
      <c r="G191" s="265"/>
      <c r="H191" s="265"/>
      <c r="I191" s="265"/>
      <c r="J191" s="265"/>
      <c r="K191" s="265"/>
      <c r="L191" s="265"/>
      <c r="M191" s="1107" t="e">
        <f t="shared" si="17"/>
        <v>#DIV/0!</v>
      </c>
      <c r="N191" s="1107" t="e">
        <f t="shared" si="17"/>
        <v>#DIV/0!</v>
      </c>
      <c r="O191" s="1107" t="e">
        <f t="shared" si="17"/>
        <v>#DIV/0!</v>
      </c>
      <c r="P191" s="1107" t="e">
        <f t="shared" si="17"/>
        <v>#DIV/0!</v>
      </c>
      <c r="Q191" s="1107" t="e">
        <f t="shared" si="17"/>
        <v>#DIV/0!</v>
      </c>
      <c r="R191" s="1107" t="e">
        <f t="shared" si="17"/>
        <v>#DIV/0!</v>
      </c>
      <c r="S191" s="1107" t="e">
        <f t="shared" si="17"/>
        <v>#DIV/0!</v>
      </c>
      <c r="T191" s="1107" t="e">
        <f t="shared" si="17"/>
        <v>#DIV/0!</v>
      </c>
      <c r="U191" s="1107" t="e">
        <f t="shared" si="17"/>
        <v>#DIV/0!</v>
      </c>
      <c r="V191" s="1107" t="e">
        <f t="shared" si="17"/>
        <v>#DIV/0!</v>
      </c>
      <c r="W191" s="1107" t="e">
        <f t="shared" si="18"/>
        <v>#DIV/0!</v>
      </c>
      <c r="X191" s="1107" t="e">
        <f t="shared" si="18"/>
        <v>#DIV/0!</v>
      </c>
      <c r="Y191" s="1107" t="e">
        <f t="shared" si="18"/>
        <v>#DIV/0!</v>
      </c>
      <c r="Z191" s="1107" t="e">
        <f t="shared" si="18"/>
        <v>#DIV/0!</v>
      </c>
      <c r="AA191" s="1107" t="e">
        <f t="shared" si="18"/>
        <v>#DIV/0!</v>
      </c>
      <c r="AB191" s="1107" t="e">
        <f t="shared" si="18"/>
        <v>#DIV/0!</v>
      </c>
      <c r="AC191" s="1107" t="e">
        <f t="shared" si="18"/>
        <v>#DIV/0!</v>
      </c>
      <c r="AD191" s="1107" t="e">
        <f t="shared" si="18"/>
        <v>#DIV/0!</v>
      </c>
      <c r="AE191" s="1107" t="e">
        <f t="shared" si="18"/>
        <v>#DIV/0!</v>
      </c>
      <c r="AF191" s="1107" t="e">
        <f t="shared" si="18"/>
        <v>#DIV/0!</v>
      </c>
      <c r="AG191" s="1107" t="e">
        <f t="shared" si="18"/>
        <v>#DIV/0!</v>
      </c>
      <c r="AH191" s="1107" t="e">
        <f t="shared" si="18"/>
        <v>#DIV/0!</v>
      </c>
      <c r="AI191" s="1107" t="e">
        <f t="shared" si="18"/>
        <v>#DIV/0!</v>
      </c>
      <c r="AJ191" s="1107" t="e">
        <f t="shared" si="18"/>
        <v>#DIV/0!</v>
      </c>
      <c r="AK191" s="1107"/>
      <c r="AL191" s="1107"/>
      <c r="AM191" s="1107"/>
      <c r="AN191" s="1107"/>
      <c r="AO191" s="1107"/>
      <c r="AP191" s="1107" t="e">
        <f t="shared" si="18"/>
        <v>#DIV/0!</v>
      </c>
      <c r="AQ191" s="265"/>
      <c r="AR191" s="265"/>
      <c r="AS191" s="265"/>
      <c r="AT191" s="265"/>
      <c r="AU191" s="265"/>
      <c r="AV191" s="265"/>
      <c r="AW191" s="265"/>
      <c r="AX191" s="265"/>
      <c r="AY191" s="265"/>
      <c r="AZ191" s="265"/>
      <c r="BA191" s="265"/>
      <c r="BB191" s="265"/>
      <c r="BC191" s="265"/>
      <c r="BD191" s="265"/>
      <c r="BE191" s="265"/>
      <c r="BF191" s="265"/>
      <c r="BG191" s="265"/>
      <c r="BH191" s="265"/>
      <c r="BI191" s="265"/>
      <c r="BJ191" s="265"/>
      <c r="BK191" s="265"/>
      <c r="BL191" s="265"/>
      <c r="BM191" s="265"/>
      <c r="BN191" s="265"/>
    </row>
    <row r="192" spans="1:66" hidden="1">
      <c r="A192" s="595"/>
      <c r="B192" s="598"/>
      <c r="C192" s="599"/>
      <c r="D192" s="260" t="s">
        <v>867</v>
      </c>
      <c r="E192" s="260"/>
      <c r="F192" s="264"/>
      <c r="G192" s="265"/>
      <c r="H192" s="265"/>
      <c r="I192" s="265"/>
      <c r="J192" s="265"/>
      <c r="K192" s="265"/>
      <c r="L192" s="265"/>
      <c r="M192" s="1107" t="e">
        <f t="shared" si="17"/>
        <v>#DIV/0!</v>
      </c>
      <c r="N192" s="1107" t="e">
        <f t="shared" si="17"/>
        <v>#DIV/0!</v>
      </c>
      <c r="O192" s="1107" t="e">
        <f t="shared" si="17"/>
        <v>#DIV/0!</v>
      </c>
      <c r="P192" s="1107" t="e">
        <f t="shared" si="17"/>
        <v>#DIV/0!</v>
      </c>
      <c r="Q192" s="1107" t="e">
        <f t="shared" si="17"/>
        <v>#DIV/0!</v>
      </c>
      <c r="R192" s="1107" t="e">
        <f t="shared" si="17"/>
        <v>#DIV/0!</v>
      </c>
      <c r="S192" s="1107" t="e">
        <f t="shared" si="17"/>
        <v>#DIV/0!</v>
      </c>
      <c r="T192" s="1107" t="e">
        <f t="shared" si="17"/>
        <v>#DIV/0!</v>
      </c>
      <c r="U192" s="1107" t="e">
        <f t="shared" si="17"/>
        <v>#DIV/0!</v>
      </c>
      <c r="V192" s="1107" t="e">
        <f t="shared" si="17"/>
        <v>#DIV/0!</v>
      </c>
      <c r="W192" s="1107" t="e">
        <f t="shared" si="18"/>
        <v>#DIV/0!</v>
      </c>
      <c r="X192" s="1107" t="e">
        <f t="shared" si="18"/>
        <v>#DIV/0!</v>
      </c>
      <c r="Y192" s="1107" t="e">
        <f t="shared" si="18"/>
        <v>#DIV/0!</v>
      </c>
      <c r="Z192" s="1107" t="e">
        <f t="shared" si="18"/>
        <v>#DIV/0!</v>
      </c>
      <c r="AA192" s="1107" t="e">
        <f t="shared" si="18"/>
        <v>#DIV/0!</v>
      </c>
      <c r="AB192" s="1107" t="e">
        <f t="shared" si="18"/>
        <v>#DIV/0!</v>
      </c>
      <c r="AC192" s="1107" t="e">
        <f t="shared" si="18"/>
        <v>#DIV/0!</v>
      </c>
      <c r="AD192" s="1107" t="e">
        <f t="shared" si="18"/>
        <v>#DIV/0!</v>
      </c>
      <c r="AE192" s="1107" t="e">
        <f t="shared" si="18"/>
        <v>#DIV/0!</v>
      </c>
      <c r="AF192" s="1107" t="e">
        <f t="shared" si="18"/>
        <v>#DIV/0!</v>
      </c>
      <c r="AG192" s="1107" t="e">
        <f t="shared" si="18"/>
        <v>#DIV/0!</v>
      </c>
      <c r="AH192" s="1107" t="e">
        <f t="shared" si="18"/>
        <v>#DIV/0!</v>
      </c>
      <c r="AI192" s="1107" t="e">
        <f t="shared" si="18"/>
        <v>#DIV/0!</v>
      </c>
      <c r="AJ192" s="1107" t="e">
        <f t="shared" si="18"/>
        <v>#DIV/0!</v>
      </c>
      <c r="AK192" s="1107"/>
      <c r="AL192" s="1107"/>
      <c r="AM192" s="1107"/>
      <c r="AN192" s="1107"/>
      <c r="AO192" s="1107"/>
      <c r="AP192" s="1107" t="e">
        <f t="shared" si="18"/>
        <v>#DIV/0!</v>
      </c>
      <c r="AQ192" s="265"/>
      <c r="AR192" s="265"/>
      <c r="AS192" s="265"/>
      <c r="AT192" s="265"/>
      <c r="AU192" s="265"/>
      <c r="AV192" s="265"/>
      <c r="AW192" s="265"/>
      <c r="AX192" s="265"/>
      <c r="AY192" s="265"/>
      <c r="AZ192" s="265"/>
      <c r="BA192" s="265"/>
      <c r="BB192" s="265"/>
      <c r="BC192" s="265"/>
      <c r="BD192" s="265"/>
      <c r="BE192" s="265"/>
      <c r="BF192" s="265"/>
      <c r="BG192" s="265"/>
      <c r="BH192" s="265"/>
      <c r="BI192" s="265"/>
      <c r="BJ192" s="265"/>
      <c r="BK192" s="265"/>
      <c r="BL192" s="265"/>
      <c r="BM192" s="265"/>
      <c r="BN192" s="265"/>
    </row>
    <row r="193" spans="1:66" hidden="1">
      <c r="A193" s="595"/>
      <c r="B193" s="598"/>
      <c r="C193" s="599"/>
      <c r="D193" s="260" t="s">
        <v>872</v>
      </c>
      <c r="E193" s="260"/>
      <c r="F193" s="264"/>
      <c r="G193" s="265"/>
      <c r="H193" s="265"/>
      <c r="I193" s="265"/>
      <c r="J193" s="265"/>
      <c r="K193" s="265"/>
      <c r="L193" s="265"/>
      <c r="M193" s="1107" t="e">
        <f t="shared" si="17"/>
        <v>#DIV/0!</v>
      </c>
      <c r="N193" s="1107" t="e">
        <f t="shared" si="17"/>
        <v>#DIV/0!</v>
      </c>
      <c r="O193" s="1107" t="e">
        <f t="shared" si="17"/>
        <v>#DIV/0!</v>
      </c>
      <c r="P193" s="1107" t="e">
        <f t="shared" si="17"/>
        <v>#DIV/0!</v>
      </c>
      <c r="Q193" s="1107" t="e">
        <f t="shared" si="17"/>
        <v>#DIV/0!</v>
      </c>
      <c r="R193" s="1107" t="e">
        <f t="shared" si="17"/>
        <v>#DIV/0!</v>
      </c>
      <c r="S193" s="1107" t="e">
        <f t="shared" si="17"/>
        <v>#DIV/0!</v>
      </c>
      <c r="T193" s="1107" t="e">
        <f t="shared" si="17"/>
        <v>#DIV/0!</v>
      </c>
      <c r="U193" s="1107" t="e">
        <f t="shared" si="17"/>
        <v>#DIV/0!</v>
      </c>
      <c r="V193" s="1107" t="e">
        <f t="shared" si="17"/>
        <v>#DIV/0!</v>
      </c>
      <c r="W193" s="1107" t="e">
        <f t="shared" si="18"/>
        <v>#DIV/0!</v>
      </c>
      <c r="X193" s="1107" t="e">
        <f t="shared" si="18"/>
        <v>#DIV/0!</v>
      </c>
      <c r="Y193" s="1107" t="e">
        <f t="shared" si="18"/>
        <v>#DIV/0!</v>
      </c>
      <c r="Z193" s="1107" t="e">
        <f t="shared" si="18"/>
        <v>#DIV/0!</v>
      </c>
      <c r="AA193" s="1107" t="e">
        <f t="shared" si="18"/>
        <v>#DIV/0!</v>
      </c>
      <c r="AB193" s="1107" t="e">
        <f t="shared" si="18"/>
        <v>#DIV/0!</v>
      </c>
      <c r="AC193" s="1107" t="e">
        <f t="shared" si="18"/>
        <v>#DIV/0!</v>
      </c>
      <c r="AD193" s="1107" t="e">
        <f t="shared" si="18"/>
        <v>#DIV/0!</v>
      </c>
      <c r="AE193" s="1107" t="e">
        <f t="shared" si="18"/>
        <v>#DIV/0!</v>
      </c>
      <c r="AF193" s="1107" t="e">
        <f t="shared" si="18"/>
        <v>#DIV/0!</v>
      </c>
      <c r="AG193" s="1107" t="e">
        <f t="shared" si="18"/>
        <v>#DIV/0!</v>
      </c>
      <c r="AH193" s="1107" t="e">
        <f t="shared" si="18"/>
        <v>#DIV/0!</v>
      </c>
      <c r="AI193" s="1107" t="e">
        <f t="shared" si="18"/>
        <v>#DIV/0!</v>
      </c>
      <c r="AJ193" s="1107" t="e">
        <f t="shared" si="18"/>
        <v>#DIV/0!</v>
      </c>
      <c r="AK193" s="1107"/>
      <c r="AL193" s="1107"/>
      <c r="AM193" s="1107"/>
      <c r="AN193" s="1107"/>
      <c r="AO193" s="1107"/>
      <c r="AP193" s="1107" t="e">
        <f t="shared" si="18"/>
        <v>#DIV/0!</v>
      </c>
      <c r="AQ193" s="265"/>
      <c r="AR193" s="265"/>
      <c r="AS193" s="265"/>
      <c r="AT193" s="265"/>
      <c r="AU193" s="265"/>
      <c r="AV193" s="265"/>
      <c r="AW193" s="265"/>
      <c r="AX193" s="265"/>
      <c r="AY193" s="265"/>
      <c r="AZ193" s="265"/>
      <c r="BA193" s="265"/>
      <c r="BB193" s="265"/>
      <c r="BC193" s="265"/>
      <c r="BD193" s="265"/>
      <c r="BE193" s="265"/>
      <c r="BF193" s="265"/>
      <c r="BG193" s="265"/>
      <c r="BH193" s="265"/>
      <c r="BI193" s="265"/>
      <c r="BJ193" s="265"/>
      <c r="BK193" s="265"/>
      <c r="BL193" s="265"/>
      <c r="BM193" s="265"/>
      <c r="BN193" s="265"/>
    </row>
    <row r="194" spans="1:66" hidden="1">
      <c r="A194" s="595"/>
      <c r="B194" s="598"/>
      <c r="C194" s="599"/>
      <c r="D194" s="260" t="s">
        <v>878</v>
      </c>
      <c r="E194" s="260"/>
      <c r="F194" s="264"/>
      <c r="G194" s="265"/>
      <c r="H194" s="265"/>
      <c r="I194" s="265"/>
      <c r="J194" s="265"/>
      <c r="K194" s="265"/>
      <c r="L194" s="265"/>
      <c r="M194" s="1107" t="e">
        <f t="shared" si="17"/>
        <v>#DIV/0!</v>
      </c>
      <c r="N194" s="1107" t="e">
        <f t="shared" si="17"/>
        <v>#DIV/0!</v>
      </c>
      <c r="O194" s="1107" t="e">
        <f t="shared" si="17"/>
        <v>#DIV/0!</v>
      </c>
      <c r="P194" s="1107" t="e">
        <f t="shared" si="17"/>
        <v>#DIV/0!</v>
      </c>
      <c r="Q194" s="1107" t="e">
        <f t="shared" si="17"/>
        <v>#DIV/0!</v>
      </c>
      <c r="R194" s="1107" t="e">
        <f t="shared" si="17"/>
        <v>#DIV/0!</v>
      </c>
      <c r="S194" s="1107" t="e">
        <f t="shared" si="17"/>
        <v>#DIV/0!</v>
      </c>
      <c r="T194" s="1107" t="e">
        <f t="shared" si="17"/>
        <v>#DIV/0!</v>
      </c>
      <c r="U194" s="1107" t="e">
        <f t="shared" si="17"/>
        <v>#DIV/0!</v>
      </c>
      <c r="V194" s="1107" t="e">
        <f t="shared" si="17"/>
        <v>#DIV/0!</v>
      </c>
      <c r="W194" s="1107" t="e">
        <f t="shared" si="18"/>
        <v>#DIV/0!</v>
      </c>
      <c r="X194" s="1107" t="e">
        <f t="shared" si="18"/>
        <v>#DIV/0!</v>
      </c>
      <c r="Y194" s="1107" t="e">
        <f t="shared" si="18"/>
        <v>#DIV/0!</v>
      </c>
      <c r="Z194" s="1107" t="e">
        <f t="shared" si="18"/>
        <v>#DIV/0!</v>
      </c>
      <c r="AA194" s="1107" t="e">
        <f t="shared" si="18"/>
        <v>#DIV/0!</v>
      </c>
      <c r="AB194" s="1107" t="e">
        <f t="shared" si="18"/>
        <v>#DIV/0!</v>
      </c>
      <c r="AC194" s="1107" t="e">
        <f t="shared" si="18"/>
        <v>#DIV/0!</v>
      </c>
      <c r="AD194" s="1107" t="e">
        <f t="shared" si="18"/>
        <v>#DIV/0!</v>
      </c>
      <c r="AE194" s="1107" t="e">
        <f t="shared" si="18"/>
        <v>#DIV/0!</v>
      </c>
      <c r="AF194" s="1107" t="e">
        <f t="shared" si="18"/>
        <v>#DIV/0!</v>
      </c>
      <c r="AG194" s="1107" t="e">
        <f t="shared" si="18"/>
        <v>#DIV/0!</v>
      </c>
      <c r="AH194" s="1107" t="e">
        <f t="shared" si="18"/>
        <v>#DIV/0!</v>
      </c>
      <c r="AI194" s="1107" t="e">
        <f t="shared" si="18"/>
        <v>#DIV/0!</v>
      </c>
      <c r="AJ194" s="1107" t="e">
        <f t="shared" si="18"/>
        <v>#DIV/0!</v>
      </c>
      <c r="AK194" s="1107"/>
      <c r="AL194" s="1107"/>
      <c r="AM194" s="1107"/>
      <c r="AN194" s="1107"/>
      <c r="AO194" s="1107"/>
      <c r="AP194" s="1107" t="e">
        <f t="shared" si="18"/>
        <v>#DIV/0!</v>
      </c>
      <c r="AQ194" s="265"/>
      <c r="AR194" s="265"/>
      <c r="AS194" s="265"/>
      <c r="AT194" s="265"/>
      <c r="AU194" s="265"/>
      <c r="AV194" s="265"/>
      <c r="AW194" s="265"/>
      <c r="AX194" s="265"/>
      <c r="AY194" s="265"/>
      <c r="AZ194" s="265"/>
      <c r="BA194" s="265"/>
      <c r="BB194" s="265"/>
      <c r="BC194" s="265"/>
      <c r="BD194" s="265"/>
      <c r="BE194" s="265"/>
      <c r="BF194" s="265"/>
      <c r="BG194" s="265"/>
      <c r="BH194" s="265"/>
      <c r="BI194" s="265"/>
      <c r="BJ194" s="265"/>
      <c r="BK194" s="265"/>
      <c r="BL194" s="265"/>
      <c r="BM194" s="265"/>
      <c r="BN194" s="265"/>
    </row>
    <row r="195" spans="1:66" hidden="1">
      <c r="A195" s="595"/>
      <c r="B195" s="598"/>
      <c r="C195" s="599"/>
      <c r="D195" s="260" t="s">
        <v>881</v>
      </c>
      <c r="E195" s="260"/>
      <c r="F195" s="264"/>
      <c r="G195" s="265"/>
      <c r="H195" s="265"/>
      <c r="I195" s="265"/>
      <c r="J195" s="265"/>
      <c r="K195" s="265"/>
      <c r="L195" s="265"/>
      <c r="M195" s="1107" t="e">
        <f t="shared" si="17"/>
        <v>#DIV/0!</v>
      </c>
      <c r="N195" s="1107" t="e">
        <f t="shared" si="17"/>
        <v>#DIV/0!</v>
      </c>
      <c r="O195" s="1107" t="e">
        <f t="shared" si="17"/>
        <v>#DIV/0!</v>
      </c>
      <c r="P195" s="1107" t="e">
        <f t="shared" si="17"/>
        <v>#DIV/0!</v>
      </c>
      <c r="Q195" s="1107" t="e">
        <f t="shared" si="17"/>
        <v>#DIV/0!</v>
      </c>
      <c r="R195" s="1107" t="e">
        <f t="shared" si="17"/>
        <v>#DIV/0!</v>
      </c>
      <c r="S195" s="1107" t="e">
        <f t="shared" si="17"/>
        <v>#DIV/0!</v>
      </c>
      <c r="T195" s="1107" t="e">
        <f t="shared" si="17"/>
        <v>#DIV/0!</v>
      </c>
      <c r="U195" s="1107" t="e">
        <f t="shared" si="17"/>
        <v>#DIV/0!</v>
      </c>
      <c r="V195" s="1107" t="e">
        <f t="shared" si="17"/>
        <v>#DIV/0!</v>
      </c>
      <c r="W195" s="1107" t="e">
        <f t="shared" si="18"/>
        <v>#DIV/0!</v>
      </c>
      <c r="X195" s="1107" t="e">
        <f t="shared" si="18"/>
        <v>#DIV/0!</v>
      </c>
      <c r="Y195" s="1107" t="e">
        <f t="shared" si="18"/>
        <v>#DIV/0!</v>
      </c>
      <c r="Z195" s="1107" t="e">
        <f t="shared" si="18"/>
        <v>#DIV/0!</v>
      </c>
      <c r="AA195" s="1107" t="e">
        <f t="shared" si="18"/>
        <v>#DIV/0!</v>
      </c>
      <c r="AB195" s="1107" t="e">
        <f t="shared" si="18"/>
        <v>#DIV/0!</v>
      </c>
      <c r="AC195" s="1107" t="e">
        <f t="shared" si="18"/>
        <v>#DIV/0!</v>
      </c>
      <c r="AD195" s="1107" t="e">
        <f t="shared" si="18"/>
        <v>#DIV/0!</v>
      </c>
      <c r="AE195" s="1107" t="e">
        <f t="shared" si="18"/>
        <v>#DIV/0!</v>
      </c>
      <c r="AF195" s="1107" t="e">
        <f t="shared" si="18"/>
        <v>#DIV/0!</v>
      </c>
      <c r="AG195" s="1107" t="e">
        <f t="shared" si="18"/>
        <v>#DIV/0!</v>
      </c>
      <c r="AH195" s="1107" t="e">
        <f t="shared" si="18"/>
        <v>#DIV/0!</v>
      </c>
      <c r="AI195" s="1107" t="e">
        <f t="shared" si="18"/>
        <v>#DIV/0!</v>
      </c>
      <c r="AJ195" s="1107" t="e">
        <f t="shared" si="18"/>
        <v>#DIV/0!</v>
      </c>
      <c r="AK195" s="1107"/>
      <c r="AL195" s="1107"/>
      <c r="AM195" s="1107"/>
      <c r="AN195" s="1107"/>
      <c r="AO195" s="1107"/>
      <c r="AP195" s="1107" t="e">
        <f t="shared" si="18"/>
        <v>#DIV/0!</v>
      </c>
      <c r="AQ195" s="265"/>
      <c r="AR195" s="265"/>
      <c r="AS195" s="265"/>
      <c r="AT195" s="265"/>
      <c r="AU195" s="265"/>
      <c r="AV195" s="265"/>
      <c r="AW195" s="265"/>
      <c r="AX195" s="265"/>
      <c r="AY195" s="265"/>
      <c r="AZ195" s="265"/>
      <c r="BA195" s="265"/>
      <c r="BB195" s="265"/>
      <c r="BC195" s="265"/>
      <c r="BD195" s="265"/>
      <c r="BE195" s="265"/>
      <c r="BF195" s="265"/>
      <c r="BG195" s="265"/>
      <c r="BH195" s="265"/>
      <c r="BI195" s="265"/>
      <c r="BJ195" s="265"/>
      <c r="BK195" s="265"/>
      <c r="BL195" s="265"/>
      <c r="BM195" s="265"/>
      <c r="BN195" s="265"/>
    </row>
    <row r="196" spans="1:66" hidden="1">
      <c r="A196" s="595"/>
      <c r="B196" s="598"/>
      <c r="C196" s="599"/>
      <c r="D196" s="260" t="s">
        <v>882</v>
      </c>
      <c r="E196" s="260"/>
      <c r="F196" s="264"/>
      <c r="G196" s="265"/>
      <c r="H196" s="265"/>
      <c r="I196" s="265"/>
      <c r="J196" s="265"/>
      <c r="K196" s="265"/>
      <c r="L196" s="265"/>
      <c r="M196" s="1107" t="e">
        <f t="shared" si="17"/>
        <v>#DIV/0!</v>
      </c>
      <c r="N196" s="1107" t="e">
        <f t="shared" si="17"/>
        <v>#DIV/0!</v>
      </c>
      <c r="O196" s="1107" t="e">
        <f t="shared" si="17"/>
        <v>#DIV/0!</v>
      </c>
      <c r="P196" s="1107" t="e">
        <f t="shared" si="17"/>
        <v>#DIV/0!</v>
      </c>
      <c r="Q196" s="1107" t="e">
        <f t="shared" si="17"/>
        <v>#DIV/0!</v>
      </c>
      <c r="R196" s="1107" t="e">
        <f t="shared" si="17"/>
        <v>#DIV/0!</v>
      </c>
      <c r="S196" s="1107" t="e">
        <f t="shared" si="17"/>
        <v>#DIV/0!</v>
      </c>
      <c r="T196" s="1107" t="e">
        <f t="shared" si="17"/>
        <v>#DIV/0!</v>
      </c>
      <c r="U196" s="1107" t="e">
        <f t="shared" si="17"/>
        <v>#DIV/0!</v>
      </c>
      <c r="V196" s="1107" t="e">
        <f t="shared" si="17"/>
        <v>#DIV/0!</v>
      </c>
      <c r="W196" s="1107" t="e">
        <f t="shared" si="18"/>
        <v>#DIV/0!</v>
      </c>
      <c r="X196" s="1107" t="e">
        <f t="shared" si="18"/>
        <v>#DIV/0!</v>
      </c>
      <c r="Y196" s="1107" t="e">
        <f t="shared" si="18"/>
        <v>#DIV/0!</v>
      </c>
      <c r="Z196" s="1107" t="e">
        <f t="shared" si="18"/>
        <v>#DIV/0!</v>
      </c>
      <c r="AA196" s="1107" t="e">
        <f t="shared" si="18"/>
        <v>#DIV/0!</v>
      </c>
      <c r="AB196" s="1107" t="e">
        <f t="shared" si="18"/>
        <v>#DIV/0!</v>
      </c>
      <c r="AC196" s="1107" t="e">
        <f t="shared" si="18"/>
        <v>#DIV/0!</v>
      </c>
      <c r="AD196" s="1107" t="e">
        <f t="shared" si="18"/>
        <v>#DIV/0!</v>
      </c>
      <c r="AE196" s="1107" t="e">
        <f t="shared" si="18"/>
        <v>#DIV/0!</v>
      </c>
      <c r="AF196" s="1107" t="e">
        <f t="shared" si="18"/>
        <v>#DIV/0!</v>
      </c>
      <c r="AG196" s="1107" t="e">
        <f t="shared" si="18"/>
        <v>#DIV/0!</v>
      </c>
      <c r="AH196" s="1107" t="e">
        <f t="shared" si="18"/>
        <v>#DIV/0!</v>
      </c>
      <c r="AI196" s="1107" t="e">
        <f t="shared" si="18"/>
        <v>#DIV/0!</v>
      </c>
      <c r="AJ196" s="1107" t="e">
        <f t="shared" si="18"/>
        <v>#DIV/0!</v>
      </c>
      <c r="AK196" s="1107"/>
      <c r="AL196" s="1107"/>
      <c r="AM196" s="1107"/>
      <c r="AN196" s="1107"/>
      <c r="AO196" s="1107"/>
      <c r="AP196" s="1107" t="e">
        <f t="shared" si="18"/>
        <v>#DIV/0!</v>
      </c>
      <c r="AQ196" s="265"/>
      <c r="AR196" s="265"/>
      <c r="AS196" s="265"/>
      <c r="AT196" s="265"/>
      <c r="AU196" s="265"/>
      <c r="AV196" s="265"/>
      <c r="AW196" s="265"/>
      <c r="AX196" s="265"/>
      <c r="AY196" s="265"/>
      <c r="AZ196" s="265"/>
      <c r="BA196" s="265"/>
      <c r="BB196" s="265"/>
      <c r="BC196" s="265"/>
      <c r="BD196" s="265"/>
      <c r="BE196" s="265"/>
      <c r="BF196" s="265"/>
      <c r="BG196" s="265"/>
      <c r="BH196" s="265"/>
      <c r="BI196" s="265"/>
      <c r="BJ196" s="265"/>
      <c r="BK196" s="265"/>
      <c r="BL196" s="265"/>
      <c r="BM196" s="265"/>
      <c r="BN196" s="265"/>
    </row>
    <row r="197" spans="1:66" hidden="1">
      <c r="A197" s="595"/>
      <c r="B197" s="598"/>
      <c r="C197" s="599"/>
      <c r="D197" s="260" t="s">
        <v>886</v>
      </c>
      <c r="E197" s="260"/>
      <c r="F197" s="264"/>
      <c r="G197" s="265"/>
      <c r="H197" s="265"/>
      <c r="I197" s="265"/>
      <c r="J197" s="265"/>
      <c r="K197" s="265"/>
      <c r="L197" s="265"/>
      <c r="M197" s="1107" t="e">
        <f t="shared" si="17"/>
        <v>#DIV/0!</v>
      </c>
      <c r="N197" s="1107" t="e">
        <f t="shared" si="17"/>
        <v>#DIV/0!</v>
      </c>
      <c r="O197" s="1107" t="e">
        <f t="shared" si="17"/>
        <v>#DIV/0!</v>
      </c>
      <c r="P197" s="1107" t="e">
        <f t="shared" si="17"/>
        <v>#DIV/0!</v>
      </c>
      <c r="Q197" s="1107" t="e">
        <f t="shared" si="17"/>
        <v>#DIV/0!</v>
      </c>
      <c r="R197" s="1107" t="e">
        <f t="shared" si="17"/>
        <v>#DIV/0!</v>
      </c>
      <c r="S197" s="1107" t="e">
        <f t="shared" si="17"/>
        <v>#DIV/0!</v>
      </c>
      <c r="T197" s="1107" t="e">
        <f t="shared" si="17"/>
        <v>#DIV/0!</v>
      </c>
      <c r="U197" s="1107" t="e">
        <f t="shared" si="17"/>
        <v>#DIV/0!</v>
      </c>
      <c r="V197" s="1107" t="e">
        <f t="shared" si="17"/>
        <v>#DIV/0!</v>
      </c>
      <c r="W197" s="1107" t="e">
        <f t="shared" si="18"/>
        <v>#DIV/0!</v>
      </c>
      <c r="X197" s="1107" t="e">
        <f t="shared" si="18"/>
        <v>#DIV/0!</v>
      </c>
      <c r="Y197" s="1107" t="e">
        <f t="shared" si="18"/>
        <v>#DIV/0!</v>
      </c>
      <c r="Z197" s="1107" t="e">
        <f t="shared" si="18"/>
        <v>#DIV/0!</v>
      </c>
      <c r="AA197" s="1107" t="e">
        <f t="shared" si="18"/>
        <v>#DIV/0!</v>
      </c>
      <c r="AB197" s="1107" t="e">
        <f t="shared" si="18"/>
        <v>#DIV/0!</v>
      </c>
      <c r="AC197" s="1107" t="e">
        <f t="shared" si="18"/>
        <v>#DIV/0!</v>
      </c>
      <c r="AD197" s="1107" t="e">
        <f t="shared" si="18"/>
        <v>#DIV/0!</v>
      </c>
      <c r="AE197" s="1107" t="e">
        <f t="shared" si="18"/>
        <v>#DIV/0!</v>
      </c>
      <c r="AF197" s="1107" t="e">
        <f t="shared" si="18"/>
        <v>#DIV/0!</v>
      </c>
      <c r="AG197" s="1107" t="e">
        <f t="shared" si="18"/>
        <v>#DIV/0!</v>
      </c>
      <c r="AH197" s="1107" t="e">
        <f t="shared" si="18"/>
        <v>#DIV/0!</v>
      </c>
      <c r="AI197" s="1107" t="e">
        <f t="shared" si="18"/>
        <v>#DIV/0!</v>
      </c>
      <c r="AJ197" s="1107" t="e">
        <f t="shared" si="18"/>
        <v>#DIV/0!</v>
      </c>
      <c r="AK197" s="1107"/>
      <c r="AL197" s="1107"/>
      <c r="AM197" s="1107"/>
      <c r="AN197" s="1107"/>
      <c r="AO197" s="1107"/>
      <c r="AP197" s="1107" t="e">
        <f t="shared" si="18"/>
        <v>#DIV/0!</v>
      </c>
      <c r="AQ197" s="265"/>
      <c r="AR197" s="265"/>
      <c r="AS197" s="265"/>
      <c r="AT197" s="265"/>
      <c r="AU197" s="265"/>
      <c r="AV197" s="265"/>
      <c r="AW197" s="265"/>
      <c r="AX197" s="265"/>
      <c r="AY197" s="265"/>
      <c r="AZ197" s="265"/>
      <c r="BA197" s="265"/>
      <c r="BB197" s="265"/>
      <c r="BC197" s="265"/>
      <c r="BD197" s="265"/>
      <c r="BE197" s="265"/>
      <c r="BF197" s="265"/>
      <c r="BG197" s="265"/>
      <c r="BH197" s="265"/>
      <c r="BI197" s="265"/>
      <c r="BJ197" s="265"/>
      <c r="BK197" s="265"/>
      <c r="BL197" s="265"/>
      <c r="BM197" s="265"/>
      <c r="BN197" s="265"/>
    </row>
    <row r="198" spans="1:66" hidden="1">
      <c r="A198" s="595"/>
      <c r="B198" s="598"/>
      <c r="C198" s="599"/>
      <c r="D198" s="260" t="s">
        <v>889</v>
      </c>
      <c r="E198" s="260"/>
      <c r="F198" s="264"/>
      <c r="G198" s="265"/>
      <c r="H198" s="265"/>
      <c r="I198" s="265"/>
      <c r="J198" s="265"/>
      <c r="K198" s="265"/>
      <c r="L198" s="265"/>
      <c r="M198" s="1107" t="e">
        <f t="shared" si="17"/>
        <v>#DIV/0!</v>
      </c>
      <c r="N198" s="1107" t="e">
        <f t="shared" si="17"/>
        <v>#DIV/0!</v>
      </c>
      <c r="O198" s="1107" t="e">
        <f t="shared" si="17"/>
        <v>#DIV/0!</v>
      </c>
      <c r="P198" s="1107" t="e">
        <f t="shared" si="17"/>
        <v>#DIV/0!</v>
      </c>
      <c r="Q198" s="1107" t="e">
        <f t="shared" si="17"/>
        <v>#DIV/0!</v>
      </c>
      <c r="R198" s="1107" t="e">
        <f t="shared" si="17"/>
        <v>#DIV/0!</v>
      </c>
      <c r="S198" s="1107" t="e">
        <f t="shared" si="17"/>
        <v>#DIV/0!</v>
      </c>
      <c r="T198" s="1107" t="e">
        <f t="shared" si="17"/>
        <v>#DIV/0!</v>
      </c>
      <c r="U198" s="1107" t="e">
        <f t="shared" si="17"/>
        <v>#DIV/0!</v>
      </c>
      <c r="V198" s="1107" t="e">
        <f t="shared" si="17"/>
        <v>#DIV/0!</v>
      </c>
      <c r="W198" s="1107" t="e">
        <f t="shared" si="18"/>
        <v>#DIV/0!</v>
      </c>
      <c r="X198" s="1107" t="e">
        <f t="shared" si="18"/>
        <v>#DIV/0!</v>
      </c>
      <c r="Y198" s="1107" t="e">
        <f t="shared" si="18"/>
        <v>#DIV/0!</v>
      </c>
      <c r="Z198" s="1107" t="e">
        <f t="shared" si="18"/>
        <v>#DIV/0!</v>
      </c>
      <c r="AA198" s="1107" t="e">
        <f t="shared" si="18"/>
        <v>#DIV/0!</v>
      </c>
      <c r="AB198" s="1107" t="e">
        <f t="shared" si="18"/>
        <v>#DIV/0!</v>
      </c>
      <c r="AC198" s="1107" t="e">
        <f t="shared" si="18"/>
        <v>#DIV/0!</v>
      </c>
      <c r="AD198" s="1107" t="e">
        <f t="shared" si="18"/>
        <v>#DIV/0!</v>
      </c>
      <c r="AE198" s="1107" t="e">
        <f t="shared" si="18"/>
        <v>#DIV/0!</v>
      </c>
      <c r="AF198" s="1107" t="e">
        <f t="shared" si="18"/>
        <v>#DIV/0!</v>
      </c>
      <c r="AG198" s="1107" t="e">
        <f t="shared" si="18"/>
        <v>#DIV/0!</v>
      </c>
      <c r="AH198" s="1107" t="e">
        <f t="shared" si="18"/>
        <v>#DIV/0!</v>
      </c>
      <c r="AI198" s="1107" t="e">
        <f t="shared" si="18"/>
        <v>#DIV/0!</v>
      </c>
      <c r="AJ198" s="1107" t="e">
        <f t="shared" si="18"/>
        <v>#DIV/0!</v>
      </c>
      <c r="AK198" s="1107"/>
      <c r="AL198" s="1107"/>
      <c r="AM198" s="1107"/>
      <c r="AN198" s="1107"/>
      <c r="AO198" s="1107"/>
      <c r="AP198" s="1107" t="e">
        <f t="shared" si="18"/>
        <v>#DIV/0!</v>
      </c>
      <c r="AQ198" s="265"/>
      <c r="AR198" s="265"/>
      <c r="AS198" s="265"/>
      <c r="AT198" s="265"/>
      <c r="AU198" s="265"/>
      <c r="AV198" s="265"/>
      <c r="AW198" s="265"/>
      <c r="AX198" s="265"/>
      <c r="AY198" s="265"/>
      <c r="AZ198" s="265"/>
      <c r="BA198" s="265"/>
      <c r="BB198" s="265"/>
      <c r="BC198" s="265"/>
      <c r="BD198" s="265"/>
      <c r="BE198" s="265"/>
      <c r="BF198" s="265"/>
      <c r="BG198" s="265"/>
      <c r="BH198" s="265"/>
      <c r="BI198" s="265"/>
      <c r="BJ198" s="265"/>
      <c r="BK198" s="265"/>
      <c r="BL198" s="265"/>
      <c r="BM198" s="265"/>
      <c r="BN198" s="265"/>
    </row>
    <row r="199" spans="1:66" hidden="1">
      <c r="A199" s="595"/>
      <c r="B199" s="598"/>
      <c r="C199" s="599"/>
      <c r="D199" s="260" t="s">
        <v>894</v>
      </c>
      <c r="E199" s="260"/>
      <c r="F199" s="264"/>
      <c r="G199" s="265"/>
      <c r="H199" s="265"/>
      <c r="I199" s="265"/>
      <c r="J199" s="265"/>
      <c r="K199" s="265"/>
      <c r="L199" s="265"/>
      <c r="M199" s="1107" t="e">
        <f t="shared" si="17"/>
        <v>#DIV/0!</v>
      </c>
      <c r="N199" s="1107" t="e">
        <f t="shared" si="17"/>
        <v>#DIV/0!</v>
      </c>
      <c r="O199" s="1107" t="e">
        <f t="shared" si="17"/>
        <v>#DIV/0!</v>
      </c>
      <c r="P199" s="1107" t="e">
        <f t="shared" si="17"/>
        <v>#DIV/0!</v>
      </c>
      <c r="Q199" s="1107" t="e">
        <f t="shared" si="17"/>
        <v>#DIV/0!</v>
      </c>
      <c r="R199" s="1107" t="e">
        <f t="shared" si="17"/>
        <v>#DIV/0!</v>
      </c>
      <c r="S199" s="1107" t="e">
        <f t="shared" si="17"/>
        <v>#DIV/0!</v>
      </c>
      <c r="T199" s="1107" t="e">
        <f t="shared" si="17"/>
        <v>#DIV/0!</v>
      </c>
      <c r="U199" s="1107" t="e">
        <f t="shared" si="17"/>
        <v>#DIV/0!</v>
      </c>
      <c r="V199" s="1107" t="e">
        <f t="shared" si="17"/>
        <v>#DIV/0!</v>
      </c>
      <c r="W199" s="1107" t="e">
        <f t="shared" si="18"/>
        <v>#DIV/0!</v>
      </c>
      <c r="X199" s="1107" t="e">
        <f t="shared" si="18"/>
        <v>#DIV/0!</v>
      </c>
      <c r="Y199" s="1107" t="e">
        <f t="shared" si="18"/>
        <v>#DIV/0!</v>
      </c>
      <c r="Z199" s="1107" t="e">
        <f t="shared" si="18"/>
        <v>#DIV/0!</v>
      </c>
      <c r="AA199" s="1107" t="e">
        <f t="shared" si="18"/>
        <v>#DIV/0!</v>
      </c>
      <c r="AB199" s="1107" t="e">
        <f t="shared" si="18"/>
        <v>#DIV/0!</v>
      </c>
      <c r="AC199" s="1107" t="e">
        <f t="shared" si="18"/>
        <v>#DIV/0!</v>
      </c>
      <c r="AD199" s="1107" t="e">
        <f t="shared" si="18"/>
        <v>#DIV/0!</v>
      </c>
      <c r="AE199" s="1107" t="e">
        <f t="shared" si="18"/>
        <v>#DIV/0!</v>
      </c>
      <c r="AF199" s="1107" t="e">
        <f t="shared" si="18"/>
        <v>#DIV/0!</v>
      </c>
      <c r="AG199" s="1107" t="e">
        <f t="shared" si="18"/>
        <v>#DIV/0!</v>
      </c>
      <c r="AH199" s="1107" t="e">
        <f t="shared" si="18"/>
        <v>#DIV/0!</v>
      </c>
      <c r="AI199" s="1107" t="e">
        <f t="shared" si="18"/>
        <v>#DIV/0!</v>
      </c>
      <c r="AJ199" s="1107" t="e">
        <f t="shared" si="18"/>
        <v>#DIV/0!</v>
      </c>
      <c r="AK199" s="1107"/>
      <c r="AL199" s="1107"/>
      <c r="AM199" s="1107"/>
      <c r="AN199" s="1107"/>
      <c r="AO199" s="1107"/>
      <c r="AP199" s="1107" t="e">
        <f t="shared" si="18"/>
        <v>#DIV/0!</v>
      </c>
      <c r="AQ199" s="265"/>
      <c r="AR199" s="265"/>
      <c r="AS199" s="265"/>
      <c r="AT199" s="265"/>
      <c r="AU199" s="265"/>
      <c r="AV199" s="265"/>
      <c r="AW199" s="265"/>
      <c r="AX199" s="265"/>
      <c r="AY199" s="265"/>
      <c r="AZ199" s="265"/>
      <c r="BA199" s="265"/>
      <c r="BB199" s="265"/>
      <c r="BC199" s="265"/>
      <c r="BD199" s="265"/>
      <c r="BE199" s="265"/>
      <c r="BF199" s="265"/>
      <c r="BG199" s="265"/>
      <c r="BH199" s="265"/>
      <c r="BI199" s="265"/>
      <c r="BJ199" s="265"/>
      <c r="BK199" s="265"/>
      <c r="BL199" s="265"/>
      <c r="BM199" s="265"/>
      <c r="BN199" s="265"/>
    </row>
    <row r="200" spans="1:66" hidden="1">
      <c r="A200" s="595"/>
      <c r="B200" s="598"/>
      <c r="C200" s="599"/>
      <c r="D200" s="264"/>
      <c r="E200" s="264"/>
      <c r="F200" s="264"/>
      <c r="G200" s="265"/>
      <c r="H200" s="265"/>
      <c r="I200" s="265"/>
      <c r="J200" s="265"/>
      <c r="K200" s="265"/>
      <c r="L200" s="265"/>
      <c r="M200" s="265"/>
      <c r="N200" s="265"/>
      <c r="O200" s="265"/>
      <c r="P200" s="265"/>
      <c r="Q200" s="265"/>
      <c r="R200" s="265"/>
      <c r="S200" s="265"/>
      <c r="T200" s="265"/>
      <c r="U200" s="265"/>
      <c r="V200" s="265"/>
      <c r="W200" s="265"/>
      <c r="X200" s="265"/>
      <c r="Y200" s="265"/>
      <c r="Z200" s="265"/>
      <c r="AA200" s="265"/>
      <c r="AB200" s="265"/>
      <c r="AC200" s="265"/>
      <c r="AD200" s="265"/>
      <c r="AE200" s="265"/>
      <c r="AF200" s="265"/>
      <c r="AG200" s="265"/>
      <c r="AH200" s="265"/>
      <c r="AI200" s="265"/>
      <c r="AJ200" s="265"/>
      <c r="AK200" s="265"/>
      <c r="AL200" s="265"/>
      <c r="AM200" s="265"/>
      <c r="AN200" s="265"/>
      <c r="AO200" s="265"/>
      <c r="AP200" s="265"/>
      <c r="AQ200" s="265"/>
      <c r="AR200" s="265"/>
      <c r="AS200" s="265"/>
      <c r="AT200" s="265"/>
      <c r="AU200" s="265"/>
      <c r="AV200" s="265"/>
      <c r="AW200" s="265"/>
      <c r="AX200" s="265"/>
      <c r="AY200" s="265"/>
      <c r="AZ200" s="265"/>
      <c r="BA200" s="265"/>
      <c r="BB200" s="265"/>
      <c r="BC200" s="265"/>
      <c r="BD200" s="265"/>
      <c r="BE200" s="265"/>
      <c r="BF200" s="265"/>
      <c r="BG200" s="265"/>
      <c r="BH200" s="265"/>
      <c r="BI200" s="265"/>
      <c r="BJ200" s="265"/>
      <c r="BK200" s="265"/>
      <c r="BL200" s="265"/>
      <c r="BM200" s="265"/>
      <c r="BN200" s="265"/>
    </row>
    <row r="201" spans="1:66">
      <c r="A201" s="595"/>
      <c r="B201" s="598"/>
      <c r="C201" s="599"/>
      <c r="D201" s="264"/>
      <c r="E201" s="264"/>
      <c r="F201" s="264"/>
      <c r="G201" s="265"/>
      <c r="H201" s="265"/>
      <c r="I201" s="265"/>
      <c r="J201" s="265"/>
      <c r="K201" s="265"/>
      <c r="L201" s="265"/>
      <c r="M201" s="265"/>
      <c r="N201" s="265"/>
      <c r="O201" s="265"/>
      <c r="P201" s="265"/>
      <c r="Q201" s="265"/>
      <c r="R201" s="265"/>
      <c r="S201" s="265"/>
      <c r="T201" s="265"/>
      <c r="U201" s="265"/>
      <c r="V201" s="265"/>
      <c r="W201" s="265"/>
      <c r="X201" s="265"/>
      <c r="Y201" s="265"/>
      <c r="Z201" s="265"/>
      <c r="AA201" s="265"/>
      <c r="AB201" s="265"/>
      <c r="AC201" s="265"/>
      <c r="AD201" s="265"/>
      <c r="AE201" s="265"/>
      <c r="AF201" s="265"/>
      <c r="AG201" s="265"/>
      <c r="AH201" s="265"/>
      <c r="AI201" s="265"/>
      <c r="AJ201" s="265"/>
      <c r="AK201" s="265"/>
      <c r="AL201" s="265"/>
      <c r="AM201" s="265"/>
      <c r="AN201" s="265"/>
      <c r="AO201" s="265"/>
      <c r="AP201" s="265"/>
      <c r="AQ201" s="265"/>
      <c r="AR201" s="265"/>
      <c r="AS201" s="265"/>
      <c r="AT201" s="265"/>
      <c r="AU201" s="265"/>
      <c r="AV201" s="265"/>
      <c r="AW201" s="265"/>
      <c r="AX201" s="265"/>
      <c r="AY201" s="265"/>
      <c r="AZ201" s="265"/>
      <c r="BA201" s="265"/>
      <c r="BB201" s="265"/>
      <c r="BC201" s="265"/>
      <c r="BD201" s="265"/>
      <c r="BE201" s="265"/>
      <c r="BF201" s="265"/>
      <c r="BG201" s="265"/>
      <c r="BH201" s="265"/>
      <c r="BI201" s="265"/>
      <c r="BJ201" s="265"/>
      <c r="BK201" s="265"/>
      <c r="BL201" s="265"/>
      <c r="BM201" s="265"/>
      <c r="BN201" s="265"/>
    </row>
    <row r="202" spans="1:66">
      <c r="A202" s="595"/>
      <c r="B202" s="598"/>
      <c r="C202" s="599"/>
      <c r="D202" s="264"/>
      <c r="E202" s="261" t="s">
        <v>3</v>
      </c>
      <c r="F202" s="261" t="s">
        <v>906</v>
      </c>
      <c r="G202" s="262" t="s">
        <v>4</v>
      </c>
      <c r="H202" s="265"/>
      <c r="I202" s="265"/>
      <c r="J202" s="265"/>
      <c r="K202" s="265"/>
      <c r="L202" s="265"/>
      <c r="M202" s="265"/>
      <c r="N202" s="265"/>
      <c r="O202" s="265"/>
      <c r="P202" s="265"/>
      <c r="Q202" s="265"/>
      <c r="R202" s="265"/>
      <c r="S202" s="265"/>
      <c r="T202" s="265"/>
      <c r="U202" s="265"/>
      <c r="V202" s="265"/>
      <c r="W202" s="265"/>
      <c r="X202" s="265"/>
      <c r="Y202" s="265"/>
      <c r="Z202" s="265"/>
      <c r="AA202" s="265"/>
      <c r="AB202" s="265"/>
      <c r="AC202" s="265"/>
      <c r="AD202" s="265"/>
      <c r="AE202" s="265"/>
      <c r="AF202" s="265"/>
      <c r="AG202" s="265"/>
      <c r="AH202" s="265"/>
      <c r="AI202" s="265"/>
      <c r="AJ202" s="265"/>
      <c r="AK202" s="265"/>
      <c r="AL202" s="265"/>
      <c r="AM202" s="265"/>
      <c r="AN202" s="265"/>
      <c r="AO202" s="265"/>
      <c r="AP202" s="265"/>
      <c r="AQ202" s="265"/>
      <c r="AR202" s="265"/>
      <c r="AS202" s="265"/>
      <c r="AT202" s="265"/>
      <c r="AU202" s="265"/>
      <c r="AV202" s="265"/>
      <c r="AW202" s="265"/>
      <c r="AX202" s="265"/>
      <c r="AY202" s="265"/>
      <c r="AZ202" s="265"/>
      <c r="BA202" s="265"/>
      <c r="BB202" s="265"/>
      <c r="BC202" s="265"/>
      <c r="BD202" s="265"/>
      <c r="BE202" s="265"/>
      <c r="BF202" s="265"/>
      <c r="BG202" s="265"/>
      <c r="BH202" s="265"/>
      <c r="BI202" s="265"/>
      <c r="BJ202" s="265"/>
      <c r="BK202" s="265"/>
      <c r="BL202" s="265"/>
      <c r="BM202" s="265"/>
      <c r="BN202" s="265"/>
    </row>
    <row r="203" spans="1:66">
      <c r="A203" s="595"/>
      <c r="B203" s="598"/>
      <c r="C203" s="599"/>
      <c r="D203" s="264"/>
      <c r="E203" s="260">
        <v>0</v>
      </c>
      <c r="F203" s="264"/>
      <c r="G203" s="265"/>
      <c r="H203" s="265"/>
      <c r="I203" s="265"/>
      <c r="J203" s="265"/>
      <c r="K203" s="263"/>
      <c r="L203" s="265">
        <f t="shared" ref="L203:AA214" si="19">SUMIF($E$9:$E$183,$E203,L$9:L$183)</f>
        <v>0</v>
      </c>
      <c r="M203" s="265">
        <f t="shared" si="19"/>
        <v>0</v>
      </c>
      <c r="N203" s="265">
        <f t="shared" si="19"/>
        <v>0</v>
      </c>
      <c r="O203" s="265">
        <f t="shared" si="19"/>
        <v>0</v>
      </c>
      <c r="P203" s="265">
        <f t="shared" si="19"/>
        <v>0</v>
      </c>
      <c r="Q203" s="265">
        <f t="shared" si="19"/>
        <v>0</v>
      </c>
      <c r="R203" s="265">
        <f t="shared" si="19"/>
        <v>0</v>
      </c>
      <c r="S203" s="265">
        <f t="shared" si="19"/>
        <v>0</v>
      </c>
      <c r="T203" s="265">
        <f t="shared" si="19"/>
        <v>0</v>
      </c>
      <c r="U203" s="265">
        <f t="shared" si="19"/>
        <v>0</v>
      </c>
      <c r="V203" s="265">
        <f t="shared" si="19"/>
        <v>0</v>
      </c>
      <c r="W203" s="265">
        <f t="shared" si="19"/>
        <v>0</v>
      </c>
      <c r="X203" s="265">
        <f t="shared" si="19"/>
        <v>0</v>
      </c>
      <c r="Y203" s="265">
        <f t="shared" si="19"/>
        <v>0</v>
      </c>
      <c r="Z203" s="265">
        <f t="shared" si="19"/>
        <v>0</v>
      </c>
      <c r="AA203" s="265">
        <f t="shared" si="19"/>
        <v>0</v>
      </c>
      <c r="AB203" s="265">
        <f t="shared" ref="AB203:AK203" si="20">SUMIF($E$9:$E$183,$E203,AB$9:AB$183)</f>
        <v>0</v>
      </c>
      <c r="AC203" s="265">
        <f t="shared" si="20"/>
        <v>0</v>
      </c>
      <c r="AD203" s="265">
        <f t="shared" si="20"/>
        <v>0</v>
      </c>
      <c r="AE203" s="265">
        <f t="shared" si="20"/>
        <v>0</v>
      </c>
      <c r="AF203" s="265">
        <f t="shared" si="20"/>
        <v>0</v>
      </c>
      <c r="AG203" s="265">
        <f t="shared" si="20"/>
        <v>0</v>
      </c>
      <c r="AH203" s="265">
        <f t="shared" si="20"/>
        <v>0</v>
      </c>
      <c r="AI203" s="265">
        <f t="shared" si="20"/>
        <v>0</v>
      </c>
      <c r="AJ203" s="265">
        <f t="shared" si="20"/>
        <v>0</v>
      </c>
      <c r="AK203" s="265">
        <f t="shared" si="20"/>
        <v>0</v>
      </c>
      <c r="AL203" s="265">
        <f t="shared" ref="AK203:AP209" si="21">SUMIF($E$9:$E$183,$E203,AL$9:AL$183)</f>
        <v>0</v>
      </c>
      <c r="AM203" s="265">
        <f t="shared" si="21"/>
        <v>0</v>
      </c>
      <c r="AN203" s="265">
        <f t="shared" si="21"/>
        <v>0</v>
      </c>
      <c r="AO203" s="265">
        <f t="shared" si="21"/>
        <v>0</v>
      </c>
      <c r="AP203" s="265">
        <f t="shared" si="21"/>
        <v>0</v>
      </c>
      <c r="AQ203" s="265"/>
      <c r="AR203" s="265"/>
      <c r="AS203" s="265"/>
      <c r="AT203" s="265"/>
      <c r="AU203" s="265"/>
      <c r="AV203" s="265"/>
      <c r="AW203" s="265"/>
      <c r="AX203" s="265"/>
      <c r="AY203" s="265"/>
      <c r="AZ203" s="265"/>
      <c r="BA203" s="265"/>
      <c r="BB203" s="265"/>
      <c r="BC203" s="265"/>
      <c r="BD203" s="265"/>
      <c r="BE203" s="265"/>
      <c r="BF203" s="265"/>
      <c r="BG203" s="265"/>
      <c r="BH203" s="265"/>
      <c r="BI203" s="265"/>
      <c r="BJ203" s="265"/>
      <c r="BK203" s="265"/>
      <c r="BL203" s="265"/>
      <c r="BM203" s="265"/>
      <c r="BN203" s="265"/>
    </row>
    <row r="204" spans="1:66">
      <c r="A204" s="595"/>
      <c r="B204" s="598"/>
      <c r="C204" s="599"/>
      <c r="D204" s="264"/>
      <c r="E204" s="260">
        <v>1</v>
      </c>
      <c r="F204" s="264"/>
      <c r="G204" s="265" t="s">
        <v>254</v>
      </c>
      <c r="H204" s="265"/>
      <c r="I204" s="265"/>
      <c r="J204" s="265"/>
      <c r="K204" s="263">
        <v>1</v>
      </c>
      <c r="L204" s="265">
        <f t="shared" si="19"/>
        <v>356185.99305330898</v>
      </c>
      <c r="M204" s="265">
        <f t="shared" si="19"/>
        <v>11344.489773245848</v>
      </c>
      <c r="N204" s="265">
        <f t="shared" si="19"/>
        <v>11952.833635836449</v>
      </c>
      <c r="O204" s="265">
        <f t="shared" si="19"/>
        <v>11952.833635836449</v>
      </c>
      <c r="P204" s="265">
        <f t="shared" si="19"/>
        <v>11952.833635836449</v>
      </c>
      <c r="Q204" s="265">
        <f t="shared" si="19"/>
        <v>11952.833635836449</v>
      </c>
      <c r="R204" s="265">
        <f t="shared" si="19"/>
        <v>11881.206749468698</v>
      </c>
      <c r="S204" s="265">
        <f t="shared" si="19"/>
        <v>11881.206749468698</v>
      </c>
      <c r="T204" s="265">
        <f t="shared" si="19"/>
        <v>11881.206749468698</v>
      </c>
      <c r="U204" s="265">
        <f t="shared" si="19"/>
        <v>11881.206749468698</v>
      </c>
      <c r="V204" s="265">
        <f t="shared" si="19"/>
        <v>11881.206749468698</v>
      </c>
      <c r="W204" s="265">
        <f t="shared" si="19"/>
        <v>11881.206749468698</v>
      </c>
      <c r="X204" s="265">
        <f t="shared" si="19"/>
        <v>11881.206749468698</v>
      </c>
      <c r="Y204" s="265">
        <f t="shared" si="19"/>
        <v>11881.206749468698</v>
      </c>
      <c r="Z204" s="265">
        <f t="shared" si="19"/>
        <v>11881.206749468698</v>
      </c>
      <c r="AA204" s="265">
        <f t="shared" si="19"/>
        <v>11881.206749468698</v>
      </c>
      <c r="AB204" s="265">
        <f t="shared" ref="M204:AK214" si="22">SUMIF($E$9:$E$183,$E204,AB$9:AB$183)</f>
        <v>11881.206749468698</v>
      </c>
      <c r="AC204" s="265">
        <f t="shared" si="22"/>
        <v>11881.206749468698</v>
      </c>
      <c r="AD204" s="265">
        <f t="shared" si="22"/>
        <v>11881.206749468698</v>
      </c>
      <c r="AE204" s="265">
        <f t="shared" si="22"/>
        <v>11881.206749468698</v>
      </c>
      <c r="AF204" s="265">
        <f t="shared" si="22"/>
        <v>11881.206749468698</v>
      </c>
      <c r="AG204" s="265">
        <f t="shared" si="22"/>
        <v>11881.206749468698</v>
      </c>
      <c r="AH204" s="265">
        <f t="shared" si="22"/>
        <v>11881.206749468698</v>
      </c>
      <c r="AI204" s="265">
        <f t="shared" si="22"/>
        <v>11881.206749468698</v>
      </c>
      <c r="AJ204" s="265">
        <f t="shared" si="22"/>
        <v>11881.206749468698</v>
      </c>
      <c r="AK204" s="265">
        <f t="shared" si="22"/>
        <v>11881.206749468698</v>
      </c>
      <c r="AL204" s="265">
        <f t="shared" si="21"/>
        <v>11881.206749468698</v>
      </c>
      <c r="AM204" s="265">
        <f t="shared" si="21"/>
        <v>11881.206749468698</v>
      </c>
      <c r="AN204" s="265">
        <f t="shared" si="21"/>
        <v>11881.206749468698</v>
      </c>
      <c r="AO204" s="265">
        <f t="shared" si="21"/>
        <v>11881.206749468698</v>
      </c>
      <c r="AP204" s="265">
        <f t="shared" si="21"/>
        <v>11881.206749468698</v>
      </c>
      <c r="AQ204" s="265"/>
      <c r="AR204" s="265"/>
      <c r="AS204" s="265"/>
      <c r="AT204" s="265"/>
      <c r="AU204" s="265"/>
      <c r="AV204" s="265"/>
      <c r="AW204" s="265"/>
      <c r="AX204" s="265"/>
      <c r="AY204" s="265"/>
      <c r="AZ204" s="265"/>
      <c r="BA204" s="265"/>
      <c r="BB204" s="265"/>
      <c r="BC204" s="265"/>
      <c r="BD204" s="265"/>
      <c r="BE204" s="265"/>
      <c r="BF204" s="265"/>
      <c r="BG204" s="265"/>
      <c r="BH204" s="265"/>
      <c r="BI204" s="265"/>
      <c r="BJ204" s="265"/>
      <c r="BK204" s="265"/>
      <c r="BL204" s="265"/>
      <c r="BM204" s="265"/>
      <c r="BN204" s="265"/>
    </row>
    <row r="205" spans="1:66">
      <c r="A205" s="595"/>
      <c r="B205" s="598"/>
      <c r="C205" s="599"/>
      <c r="D205" s="264"/>
      <c r="E205" s="260">
        <v>2</v>
      </c>
      <c r="F205" s="264"/>
      <c r="G205" s="265" t="s">
        <v>255</v>
      </c>
      <c r="H205" s="265"/>
      <c r="I205" s="265"/>
      <c r="J205" s="265"/>
      <c r="K205" s="263">
        <v>2</v>
      </c>
      <c r="L205" s="265">
        <f t="shared" si="19"/>
        <v>42500.539694700004</v>
      </c>
      <c r="M205" s="265">
        <f>SUMIF($E$9:$E$183,$E205,M$9:M$183)</f>
        <v>1416.6846564900004</v>
      </c>
      <c r="N205" s="265">
        <f t="shared" si="22"/>
        <v>1416.6846564900004</v>
      </c>
      <c r="O205" s="265">
        <f t="shared" si="22"/>
        <v>1416.6846564900004</v>
      </c>
      <c r="P205" s="265">
        <f t="shared" si="22"/>
        <v>1416.6846564900004</v>
      </c>
      <c r="Q205" s="265">
        <f t="shared" si="22"/>
        <v>1416.6846564900004</v>
      </c>
      <c r="R205" s="265">
        <f t="shared" si="22"/>
        <v>1416.6846564900004</v>
      </c>
      <c r="S205" s="265">
        <f t="shared" si="22"/>
        <v>1416.6846564900004</v>
      </c>
      <c r="T205" s="265">
        <f t="shared" si="22"/>
        <v>1416.6846564900004</v>
      </c>
      <c r="U205" s="265">
        <f t="shared" si="22"/>
        <v>1416.6846564900004</v>
      </c>
      <c r="V205" s="265">
        <f t="shared" si="22"/>
        <v>1416.6846564900004</v>
      </c>
      <c r="W205" s="265">
        <f t="shared" si="22"/>
        <v>1416.6846564900004</v>
      </c>
      <c r="X205" s="265">
        <f t="shared" si="22"/>
        <v>1416.6846564900004</v>
      </c>
      <c r="Y205" s="265">
        <f t="shared" si="22"/>
        <v>1416.6846564900004</v>
      </c>
      <c r="Z205" s="265">
        <f t="shared" si="22"/>
        <v>1416.6846564900004</v>
      </c>
      <c r="AA205" s="265">
        <f t="shared" si="22"/>
        <v>1416.6846564900004</v>
      </c>
      <c r="AB205" s="265">
        <f t="shared" si="22"/>
        <v>1416.6846564900004</v>
      </c>
      <c r="AC205" s="265">
        <f t="shared" si="22"/>
        <v>1416.6846564900004</v>
      </c>
      <c r="AD205" s="265">
        <f t="shared" si="22"/>
        <v>1416.6846564900004</v>
      </c>
      <c r="AE205" s="265">
        <f t="shared" si="22"/>
        <v>1416.6846564900004</v>
      </c>
      <c r="AF205" s="265">
        <f t="shared" si="22"/>
        <v>1416.6846564900004</v>
      </c>
      <c r="AG205" s="265">
        <f t="shared" si="22"/>
        <v>1416.6846564900004</v>
      </c>
      <c r="AH205" s="265">
        <f t="shared" si="22"/>
        <v>1416.6846564900004</v>
      </c>
      <c r="AI205" s="265">
        <f t="shared" si="22"/>
        <v>1416.6846564900004</v>
      </c>
      <c r="AJ205" s="265">
        <f t="shared" si="22"/>
        <v>1416.6846564900004</v>
      </c>
      <c r="AK205" s="265">
        <f t="shared" si="21"/>
        <v>1416.6846564900004</v>
      </c>
      <c r="AL205" s="265">
        <f t="shared" si="21"/>
        <v>1416.6846564900004</v>
      </c>
      <c r="AM205" s="265">
        <f t="shared" si="21"/>
        <v>1416.6846564900004</v>
      </c>
      <c r="AN205" s="265">
        <f t="shared" si="21"/>
        <v>1416.6846564900004</v>
      </c>
      <c r="AO205" s="265">
        <f t="shared" si="21"/>
        <v>1416.6846564900004</v>
      </c>
      <c r="AP205" s="265">
        <f t="shared" si="21"/>
        <v>1416.6846564900004</v>
      </c>
      <c r="AQ205" s="265"/>
      <c r="AR205" s="265"/>
      <c r="AS205" s="265"/>
      <c r="AT205" s="265"/>
      <c r="AU205" s="265"/>
      <c r="AV205" s="265"/>
      <c r="AW205" s="265"/>
      <c r="AX205" s="265"/>
      <c r="AY205" s="265"/>
      <c r="AZ205" s="265"/>
      <c r="BA205" s="265"/>
      <c r="BB205" s="265"/>
      <c r="BC205" s="265"/>
      <c r="BD205" s="265"/>
      <c r="BE205" s="265"/>
      <c r="BF205" s="265"/>
      <c r="BG205" s="265"/>
      <c r="BH205" s="265"/>
      <c r="BI205" s="265"/>
      <c r="BJ205" s="265"/>
      <c r="BK205" s="265"/>
      <c r="BL205" s="265"/>
      <c r="BM205" s="265"/>
      <c r="BN205" s="265"/>
    </row>
    <row r="206" spans="1:66">
      <c r="A206" s="595"/>
      <c r="B206" s="598"/>
      <c r="C206" s="599"/>
      <c r="D206" s="264"/>
      <c r="E206" s="260">
        <v>3</v>
      </c>
      <c r="F206" s="264"/>
      <c r="G206" s="265" t="s">
        <v>256</v>
      </c>
      <c r="H206" s="265"/>
      <c r="I206" s="265"/>
      <c r="J206" s="265"/>
      <c r="K206" s="263">
        <v>3</v>
      </c>
      <c r="L206" s="265">
        <f t="shared" si="19"/>
        <v>27285.318009400326</v>
      </c>
      <c r="M206" s="265">
        <f t="shared" si="19"/>
        <v>909.51060031334407</v>
      </c>
      <c r="N206" s="265">
        <f t="shared" si="22"/>
        <v>909.51060031334407</v>
      </c>
      <c r="O206" s="265">
        <f t="shared" si="22"/>
        <v>909.51060031334407</v>
      </c>
      <c r="P206" s="265">
        <f t="shared" si="22"/>
        <v>909.51060031334407</v>
      </c>
      <c r="Q206" s="265">
        <f t="shared" si="22"/>
        <v>909.51060031334407</v>
      </c>
      <c r="R206" s="265">
        <f t="shared" si="22"/>
        <v>909.51060031334407</v>
      </c>
      <c r="S206" s="265">
        <f t="shared" si="22"/>
        <v>909.51060031334407</v>
      </c>
      <c r="T206" s="265">
        <f t="shared" si="22"/>
        <v>909.51060031334407</v>
      </c>
      <c r="U206" s="265">
        <f t="shared" si="22"/>
        <v>909.51060031334407</v>
      </c>
      <c r="V206" s="265">
        <f t="shared" si="22"/>
        <v>909.51060031334407</v>
      </c>
      <c r="W206" s="265">
        <f t="shared" si="22"/>
        <v>909.51060031334407</v>
      </c>
      <c r="X206" s="265">
        <f t="shared" si="22"/>
        <v>909.51060031334407</v>
      </c>
      <c r="Y206" s="265">
        <f t="shared" si="22"/>
        <v>909.51060031334407</v>
      </c>
      <c r="Z206" s="265">
        <f t="shared" si="22"/>
        <v>909.51060031334407</v>
      </c>
      <c r="AA206" s="265">
        <f t="shared" si="22"/>
        <v>909.51060031334407</v>
      </c>
      <c r="AB206" s="265">
        <f t="shared" si="22"/>
        <v>909.51060031334407</v>
      </c>
      <c r="AC206" s="265">
        <f t="shared" si="22"/>
        <v>909.51060031334407</v>
      </c>
      <c r="AD206" s="265">
        <f t="shared" si="22"/>
        <v>909.51060031334407</v>
      </c>
      <c r="AE206" s="265">
        <f t="shared" si="22"/>
        <v>909.51060031334407</v>
      </c>
      <c r="AF206" s="265">
        <f t="shared" si="22"/>
        <v>909.51060031334407</v>
      </c>
      <c r="AG206" s="265">
        <f t="shared" si="22"/>
        <v>909.51060031334407</v>
      </c>
      <c r="AH206" s="265">
        <f t="shared" si="22"/>
        <v>909.51060031334407</v>
      </c>
      <c r="AI206" s="265">
        <f t="shared" ref="AI206:AJ206" si="23">SUMIF($E$9:$E$183,$E206,AI$9:AI$183)</f>
        <v>909.51060031334407</v>
      </c>
      <c r="AJ206" s="265">
        <f t="shared" si="23"/>
        <v>909.51060031334407</v>
      </c>
      <c r="AK206" s="265">
        <f t="shared" si="21"/>
        <v>909.51060031334407</v>
      </c>
      <c r="AL206" s="265">
        <f t="shared" si="21"/>
        <v>909.51060031334407</v>
      </c>
      <c r="AM206" s="265">
        <f t="shared" si="21"/>
        <v>909.51060031334407</v>
      </c>
      <c r="AN206" s="265">
        <f t="shared" si="21"/>
        <v>909.51060031334407</v>
      </c>
      <c r="AO206" s="265">
        <f t="shared" si="21"/>
        <v>909.51060031334407</v>
      </c>
      <c r="AP206" s="265">
        <f t="shared" si="21"/>
        <v>909.51060031334407</v>
      </c>
      <c r="AQ206" s="265"/>
      <c r="AR206" s="265"/>
      <c r="AS206" s="265"/>
      <c r="AT206" s="265"/>
      <c r="AU206" s="265"/>
      <c r="AV206" s="265"/>
      <c r="AW206" s="265"/>
      <c r="AX206" s="265"/>
      <c r="AY206" s="265"/>
      <c r="AZ206" s="265"/>
      <c r="BA206" s="265"/>
      <c r="BB206" s="265"/>
      <c r="BC206" s="265"/>
      <c r="BD206" s="265"/>
      <c r="BE206" s="265"/>
      <c r="BF206" s="265"/>
      <c r="BG206" s="265"/>
      <c r="BH206" s="265"/>
      <c r="BI206" s="265"/>
      <c r="BJ206" s="265"/>
      <c r="BK206" s="265"/>
      <c r="BL206" s="265"/>
      <c r="BM206" s="265"/>
      <c r="BN206" s="265"/>
    </row>
    <row r="207" spans="1:66">
      <c r="A207" s="595"/>
      <c r="B207" s="598"/>
      <c r="C207" s="599"/>
      <c r="D207" s="264"/>
      <c r="E207" s="260">
        <v>4</v>
      </c>
      <c r="F207" s="264"/>
      <c r="G207" s="265" t="s">
        <v>257</v>
      </c>
      <c r="H207" s="265"/>
      <c r="I207" s="265"/>
      <c r="J207" s="265"/>
      <c r="K207" s="263">
        <v>4</v>
      </c>
      <c r="L207" s="265">
        <f t="shared" si="19"/>
        <v>19062.878727416995</v>
      </c>
      <c r="M207" s="265">
        <f t="shared" si="19"/>
        <v>0</v>
      </c>
      <c r="N207" s="265">
        <f t="shared" ref="N207:AJ207" si="24">SUMIF($E$9:$E$183,$E207,N$9:N$183)</f>
        <v>657.34064577300001</v>
      </c>
      <c r="O207" s="265">
        <f t="shared" si="24"/>
        <v>657.34064577300001</v>
      </c>
      <c r="P207" s="265">
        <f t="shared" si="24"/>
        <v>657.34064577300001</v>
      </c>
      <c r="Q207" s="265">
        <f t="shared" si="24"/>
        <v>657.34064577300001</v>
      </c>
      <c r="R207" s="265">
        <f t="shared" si="24"/>
        <v>657.34064577300001</v>
      </c>
      <c r="S207" s="265">
        <f t="shared" si="24"/>
        <v>657.34064577300001</v>
      </c>
      <c r="T207" s="265">
        <f t="shared" si="24"/>
        <v>657.34064577300001</v>
      </c>
      <c r="U207" s="265">
        <f t="shared" si="24"/>
        <v>657.34064577300001</v>
      </c>
      <c r="V207" s="265">
        <f t="shared" si="24"/>
        <v>657.34064577300001</v>
      </c>
      <c r="W207" s="265">
        <f t="shared" si="24"/>
        <v>657.34064577300001</v>
      </c>
      <c r="X207" s="265">
        <f t="shared" si="24"/>
        <v>657.34064577300001</v>
      </c>
      <c r="Y207" s="265">
        <f t="shared" si="24"/>
        <v>657.34064577300001</v>
      </c>
      <c r="Z207" s="265">
        <f t="shared" si="24"/>
        <v>657.34064577300001</v>
      </c>
      <c r="AA207" s="265">
        <f t="shared" si="24"/>
        <v>657.34064577300001</v>
      </c>
      <c r="AB207" s="265">
        <f t="shared" si="24"/>
        <v>657.34064577300001</v>
      </c>
      <c r="AC207" s="265">
        <f t="shared" si="24"/>
        <v>657.34064577300001</v>
      </c>
      <c r="AD207" s="265">
        <f t="shared" si="24"/>
        <v>657.34064577300001</v>
      </c>
      <c r="AE207" s="265">
        <f t="shared" si="24"/>
        <v>657.34064577300001</v>
      </c>
      <c r="AF207" s="265">
        <f t="shared" si="24"/>
        <v>657.34064577300001</v>
      </c>
      <c r="AG207" s="265">
        <f t="shared" si="24"/>
        <v>657.34064577300001</v>
      </c>
      <c r="AH207" s="265">
        <f t="shared" si="24"/>
        <v>657.34064577300001</v>
      </c>
      <c r="AI207" s="265">
        <f t="shared" si="24"/>
        <v>657.34064577300001</v>
      </c>
      <c r="AJ207" s="265">
        <f t="shared" si="24"/>
        <v>657.34064577300001</v>
      </c>
      <c r="AK207" s="265">
        <f t="shared" si="21"/>
        <v>657.34064577300001</v>
      </c>
      <c r="AL207" s="265">
        <f t="shared" si="21"/>
        <v>657.34064577300001</v>
      </c>
      <c r="AM207" s="265">
        <f t="shared" si="21"/>
        <v>657.34064577300001</v>
      </c>
      <c r="AN207" s="265">
        <f t="shared" si="21"/>
        <v>657.34064577300001</v>
      </c>
      <c r="AO207" s="265">
        <f t="shared" si="21"/>
        <v>657.34064577300001</v>
      </c>
      <c r="AP207" s="265">
        <f t="shared" si="21"/>
        <v>657.34064577300001</v>
      </c>
      <c r="AQ207" s="265"/>
      <c r="AR207" s="265"/>
      <c r="AS207" s="265"/>
      <c r="AT207" s="265"/>
      <c r="AU207" s="265"/>
      <c r="AV207" s="265"/>
      <c r="AW207" s="265"/>
      <c r="AX207" s="265"/>
      <c r="AY207" s="265"/>
      <c r="AZ207" s="265"/>
      <c r="BA207" s="265"/>
      <c r="BB207" s="265"/>
      <c r="BC207" s="265"/>
      <c r="BD207" s="265"/>
      <c r="BE207" s="265"/>
      <c r="BF207" s="265"/>
      <c r="BG207" s="265"/>
      <c r="BH207" s="265"/>
      <c r="BI207" s="265"/>
      <c r="BJ207" s="265"/>
      <c r="BK207" s="265"/>
      <c r="BL207" s="265"/>
      <c r="BM207" s="265"/>
      <c r="BN207" s="265"/>
    </row>
    <row r="208" spans="1:66">
      <c r="A208" s="595"/>
      <c r="B208" s="598"/>
      <c r="C208" s="599"/>
      <c r="D208" s="264"/>
      <c r="E208" s="260">
        <v>5</v>
      </c>
      <c r="F208" s="264"/>
      <c r="G208" s="265" t="s">
        <v>258</v>
      </c>
      <c r="H208" s="265"/>
      <c r="I208" s="265"/>
      <c r="J208" s="265"/>
      <c r="K208" s="263">
        <v>5</v>
      </c>
      <c r="L208" s="265">
        <f t="shared" si="19"/>
        <v>33178.463023140001</v>
      </c>
      <c r="M208" s="265">
        <f t="shared" si="19"/>
        <v>1105.9487674380002</v>
      </c>
      <c r="N208" s="265">
        <f t="shared" si="19"/>
        <v>1105.9487674380002</v>
      </c>
      <c r="O208" s="265">
        <f t="shared" si="19"/>
        <v>1105.9487674380002</v>
      </c>
      <c r="P208" s="265">
        <f t="shared" si="19"/>
        <v>1105.9487674380002</v>
      </c>
      <c r="Q208" s="265">
        <f t="shared" si="19"/>
        <v>1105.9487674380002</v>
      </c>
      <c r="R208" s="265">
        <f t="shared" si="19"/>
        <v>1105.9487674380002</v>
      </c>
      <c r="S208" s="265">
        <f t="shared" si="19"/>
        <v>1105.9487674380002</v>
      </c>
      <c r="T208" s="265">
        <f t="shared" si="19"/>
        <v>1105.9487674380002</v>
      </c>
      <c r="U208" s="265">
        <f t="shared" si="19"/>
        <v>1105.9487674380002</v>
      </c>
      <c r="V208" s="265">
        <f t="shared" si="19"/>
        <v>1105.9487674380002</v>
      </c>
      <c r="W208" s="265">
        <f t="shared" si="19"/>
        <v>1105.9487674380002</v>
      </c>
      <c r="X208" s="265">
        <f t="shared" si="19"/>
        <v>1105.9487674380002</v>
      </c>
      <c r="Y208" s="265">
        <f t="shared" si="19"/>
        <v>1105.9487674380002</v>
      </c>
      <c r="Z208" s="265">
        <f t="shared" si="19"/>
        <v>1105.9487674380002</v>
      </c>
      <c r="AA208" s="265">
        <f t="shared" si="19"/>
        <v>1105.9487674380002</v>
      </c>
      <c r="AB208" s="265">
        <f t="shared" ref="AB208:AJ208" si="25">SUMIF($E$9:$E$183,$E208,AB$9:AB$183)</f>
        <v>1105.9487674380002</v>
      </c>
      <c r="AC208" s="265">
        <f t="shared" si="25"/>
        <v>1105.9487674380002</v>
      </c>
      <c r="AD208" s="265">
        <f t="shared" si="25"/>
        <v>1105.9487674380002</v>
      </c>
      <c r="AE208" s="265">
        <f t="shared" si="25"/>
        <v>1105.9487674380002</v>
      </c>
      <c r="AF208" s="265">
        <f t="shared" si="25"/>
        <v>1105.9487674380002</v>
      </c>
      <c r="AG208" s="265">
        <f t="shared" si="25"/>
        <v>1105.9487674380002</v>
      </c>
      <c r="AH208" s="265">
        <f t="shared" si="25"/>
        <v>1105.9487674380002</v>
      </c>
      <c r="AI208" s="265">
        <f t="shared" si="25"/>
        <v>1105.9487674380002</v>
      </c>
      <c r="AJ208" s="265">
        <f t="shared" si="25"/>
        <v>1105.9487674380002</v>
      </c>
      <c r="AK208" s="265">
        <f t="shared" si="21"/>
        <v>1105.9487674380002</v>
      </c>
      <c r="AL208" s="265">
        <f t="shared" si="21"/>
        <v>1105.9487674380002</v>
      </c>
      <c r="AM208" s="265">
        <f t="shared" si="21"/>
        <v>1105.9487674380002</v>
      </c>
      <c r="AN208" s="265">
        <f t="shared" si="21"/>
        <v>1105.9487674380002</v>
      </c>
      <c r="AO208" s="265">
        <f t="shared" si="21"/>
        <v>1105.9487674380002</v>
      </c>
      <c r="AP208" s="265">
        <f t="shared" si="21"/>
        <v>1105.9487674380002</v>
      </c>
      <c r="AQ208" s="265"/>
      <c r="AR208" s="265"/>
      <c r="AS208" s="265"/>
      <c r="AT208" s="265"/>
      <c r="AU208" s="265"/>
      <c r="AV208" s="265"/>
      <c r="AW208" s="265"/>
      <c r="AX208" s="265"/>
      <c r="AY208" s="265"/>
      <c r="AZ208" s="265"/>
      <c r="BA208" s="265"/>
      <c r="BB208" s="265"/>
      <c r="BC208" s="265"/>
      <c r="BD208" s="265"/>
      <c r="BE208" s="265"/>
      <c r="BF208" s="265"/>
      <c r="BG208" s="265"/>
      <c r="BH208" s="265"/>
      <c r="BI208" s="265"/>
      <c r="BJ208" s="265"/>
      <c r="BK208" s="265"/>
      <c r="BL208" s="265"/>
      <c r="BM208" s="265"/>
      <c r="BN208" s="265"/>
    </row>
    <row r="209" spans="1:66">
      <c r="A209" s="595"/>
      <c r="B209" s="598"/>
      <c r="C209" s="599"/>
      <c r="D209" s="264"/>
      <c r="E209" s="260">
        <v>6</v>
      </c>
      <c r="F209" s="260"/>
      <c r="G209" s="265" t="s">
        <v>259</v>
      </c>
      <c r="H209" s="265"/>
      <c r="I209" s="265"/>
      <c r="J209" s="265"/>
      <c r="K209" s="263">
        <v>6</v>
      </c>
      <c r="L209" s="265">
        <f t="shared" si="19"/>
        <v>0</v>
      </c>
      <c r="M209" s="265">
        <f t="shared" si="22"/>
        <v>0</v>
      </c>
      <c r="N209" s="265">
        <f t="shared" si="22"/>
        <v>0</v>
      </c>
      <c r="O209" s="265">
        <f t="shared" si="22"/>
        <v>0</v>
      </c>
      <c r="P209" s="265">
        <f t="shared" si="22"/>
        <v>0</v>
      </c>
      <c r="Q209" s="265">
        <f t="shared" si="22"/>
        <v>0</v>
      </c>
      <c r="R209" s="265">
        <f t="shared" si="22"/>
        <v>0</v>
      </c>
      <c r="S209" s="265">
        <f t="shared" si="22"/>
        <v>0</v>
      </c>
      <c r="T209" s="265">
        <f t="shared" si="22"/>
        <v>0</v>
      </c>
      <c r="U209" s="265">
        <f t="shared" si="22"/>
        <v>0</v>
      </c>
      <c r="V209" s="265">
        <f t="shared" si="22"/>
        <v>0</v>
      </c>
      <c r="W209" s="265">
        <f t="shared" si="22"/>
        <v>0</v>
      </c>
      <c r="X209" s="265">
        <f t="shared" si="22"/>
        <v>0</v>
      </c>
      <c r="Y209" s="265">
        <f t="shared" si="22"/>
        <v>0</v>
      </c>
      <c r="Z209" s="265">
        <f t="shared" si="22"/>
        <v>0</v>
      </c>
      <c r="AA209" s="265">
        <f t="shared" si="22"/>
        <v>0</v>
      </c>
      <c r="AB209" s="265">
        <f t="shared" si="22"/>
        <v>0</v>
      </c>
      <c r="AC209" s="265">
        <f t="shared" si="22"/>
        <v>0</v>
      </c>
      <c r="AD209" s="265">
        <f t="shared" si="22"/>
        <v>0</v>
      </c>
      <c r="AE209" s="265">
        <f t="shared" si="22"/>
        <v>0</v>
      </c>
      <c r="AF209" s="265">
        <f t="shared" si="22"/>
        <v>0</v>
      </c>
      <c r="AG209" s="265">
        <f t="shared" si="22"/>
        <v>0</v>
      </c>
      <c r="AH209" s="265">
        <f t="shared" si="22"/>
        <v>0</v>
      </c>
      <c r="AI209" s="265">
        <f t="shared" si="22"/>
        <v>0</v>
      </c>
      <c r="AJ209" s="265">
        <f t="shared" si="22"/>
        <v>0</v>
      </c>
      <c r="AK209" s="265">
        <f t="shared" si="21"/>
        <v>0</v>
      </c>
      <c r="AL209" s="265">
        <f t="shared" si="21"/>
        <v>0</v>
      </c>
      <c r="AM209" s="265">
        <f t="shared" si="21"/>
        <v>0</v>
      </c>
      <c r="AN209" s="265">
        <f t="shared" si="21"/>
        <v>0</v>
      </c>
      <c r="AO209" s="265">
        <f t="shared" si="21"/>
        <v>0</v>
      </c>
      <c r="AP209" s="265">
        <f t="shared" si="21"/>
        <v>0</v>
      </c>
      <c r="AQ209" s="265"/>
      <c r="AR209" s="265"/>
      <c r="AS209" s="265"/>
      <c r="AT209" s="265"/>
      <c r="AU209" s="265"/>
      <c r="AV209" s="265"/>
      <c r="AW209" s="265"/>
      <c r="AX209" s="265"/>
      <c r="AY209" s="265"/>
      <c r="AZ209" s="265"/>
      <c r="BA209" s="265"/>
      <c r="BB209" s="265"/>
      <c r="BC209" s="265"/>
      <c r="BD209" s="265"/>
      <c r="BE209" s="265"/>
      <c r="BF209" s="265"/>
      <c r="BG209" s="265"/>
      <c r="BH209" s="265"/>
      <c r="BI209" s="265"/>
      <c r="BJ209" s="265"/>
      <c r="BK209" s="265"/>
      <c r="BL209" s="265"/>
      <c r="BM209" s="265"/>
      <c r="BN209" s="265"/>
    </row>
    <row r="210" spans="1:66">
      <c r="A210" s="595"/>
      <c r="B210" s="598"/>
      <c r="C210" s="599"/>
      <c r="D210" s="264"/>
      <c r="E210" s="260">
        <v>7</v>
      </c>
      <c r="F210" s="260"/>
      <c r="G210" s="265" t="s">
        <v>260</v>
      </c>
      <c r="H210" s="265"/>
      <c r="I210" s="265"/>
      <c r="J210" s="265"/>
      <c r="K210" s="263">
        <v>7</v>
      </c>
      <c r="L210" s="265">
        <f t="shared" si="19"/>
        <v>0</v>
      </c>
      <c r="M210" s="265">
        <f t="shared" si="22"/>
        <v>0</v>
      </c>
      <c r="N210" s="265">
        <f t="shared" si="22"/>
        <v>0</v>
      </c>
      <c r="O210" s="265">
        <f t="shared" si="22"/>
        <v>0</v>
      </c>
      <c r="P210" s="265">
        <f t="shared" si="22"/>
        <v>0</v>
      </c>
      <c r="Q210" s="265">
        <f t="shared" si="22"/>
        <v>0</v>
      </c>
      <c r="R210" s="265">
        <f t="shared" si="22"/>
        <v>0</v>
      </c>
      <c r="S210" s="265">
        <f t="shared" si="22"/>
        <v>0</v>
      </c>
      <c r="T210" s="265">
        <f t="shared" si="22"/>
        <v>0</v>
      </c>
      <c r="U210" s="265">
        <f t="shared" si="22"/>
        <v>0</v>
      </c>
      <c r="V210" s="265">
        <f t="shared" si="22"/>
        <v>0</v>
      </c>
      <c r="W210" s="265">
        <f t="shared" si="22"/>
        <v>0</v>
      </c>
      <c r="X210" s="265">
        <f t="shared" si="22"/>
        <v>0</v>
      </c>
      <c r="Y210" s="265">
        <f t="shared" si="22"/>
        <v>0</v>
      </c>
      <c r="Z210" s="265">
        <f t="shared" si="22"/>
        <v>0</v>
      </c>
      <c r="AA210" s="265">
        <f t="shared" si="22"/>
        <v>0</v>
      </c>
      <c r="AB210" s="265">
        <f t="shared" si="22"/>
        <v>0</v>
      </c>
      <c r="AC210" s="265">
        <f t="shared" si="22"/>
        <v>0</v>
      </c>
      <c r="AD210" s="265">
        <f t="shared" si="22"/>
        <v>0</v>
      </c>
      <c r="AE210" s="265">
        <f t="shared" si="22"/>
        <v>0</v>
      </c>
      <c r="AF210" s="265">
        <f t="shared" si="22"/>
        <v>0</v>
      </c>
      <c r="AG210" s="265">
        <f t="shared" si="22"/>
        <v>0</v>
      </c>
      <c r="AH210" s="265">
        <f t="shared" si="22"/>
        <v>0</v>
      </c>
      <c r="AI210" s="265">
        <f t="shared" si="22"/>
        <v>0</v>
      </c>
      <c r="AJ210" s="265">
        <f t="shared" si="22"/>
        <v>0</v>
      </c>
      <c r="AK210" s="265">
        <f t="shared" ref="AK210:AP214" si="26">SUMIF($E$9:$E$183,$E210,AK$9:AK$183)</f>
        <v>0</v>
      </c>
      <c r="AL210" s="265">
        <f t="shared" si="26"/>
        <v>0</v>
      </c>
      <c r="AM210" s="265">
        <f t="shared" si="26"/>
        <v>0</v>
      </c>
      <c r="AN210" s="265">
        <f t="shared" si="26"/>
        <v>0</v>
      </c>
      <c r="AO210" s="265">
        <f t="shared" si="26"/>
        <v>0</v>
      </c>
      <c r="AP210" s="265">
        <f t="shared" si="26"/>
        <v>0</v>
      </c>
      <c r="AQ210" s="265"/>
      <c r="AR210" s="265"/>
      <c r="AS210" s="265"/>
      <c r="AT210" s="265"/>
      <c r="AU210" s="265"/>
      <c r="AV210" s="265"/>
      <c r="AW210" s="265"/>
      <c r="AX210" s="265"/>
      <c r="AY210" s="265"/>
      <c r="AZ210" s="265"/>
      <c r="BA210" s="265"/>
      <c r="BB210" s="265"/>
      <c r="BC210" s="265"/>
      <c r="BD210" s="265"/>
      <c r="BE210" s="265"/>
      <c r="BF210" s="265"/>
      <c r="BG210" s="265"/>
      <c r="BH210" s="265"/>
      <c r="BI210" s="265"/>
      <c r="BJ210" s="265"/>
      <c r="BK210" s="265"/>
      <c r="BL210" s="265"/>
      <c r="BM210" s="265"/>
      <c r="BN210" s="265"/>
    </row>
    <row r="211" spans="1:66">
      <c r="A211" s="595"/>
      <c r="B211" s="598"/>
      <c r="C211" s="599"/>
      <c r="D211" s="264"/>
      <c r="E211" s="260">
        <v>8</v>
      </c>
      <c r="F211" s="260"/>
      <c r="G211" s="265" t="s">
        <v>261</v>
      </c>
      <c r="H211" s="265"/>
      <c r="I211" s="265"/>
      <c r="J211" s="265"/>
      <c r="K211" s="263">
        <v>8</v>
      </c>
      <c r="L211" s="265">
        <f t="shared" si="19"/>
        <v>0</v>
      </c>
      <c r="M211" s="265">
        <f t="shared" si="22"/>
        <v>0</v>
      </c>
      <c r="N211" s="265">
        <f t="shared" si="22"/>
        <v>0</v>
      </c>
      <c r="O211" s="265">
        <f t="shared" si="22"/>
        <v>0</v>
      </c>
      <c r="P211" s="265">
        <f t="shared" si="22"/>
        <v>0</v>
      </c>
      <c r="Q211" s="265">
        <f t="shared" si="22"/>
        <v>0</v>
      </c>
      <c r="R211" s="265">
        <f t="shared" si="22"/>
        <v>0</v>
      </c>
      <c r="S211" s="265">
        <f t="shared" si="22"/>
        <v>0</v>
      </c>
      <c r="T211" s="265">
        <f t="shared" si="22"/>
        <v>0</v>
      </c>
      <c r="U211" s="265">
        <f t="shared" si="22"/>
        <v>0</v>
      </c>
      <c r="V211" s="265">
        <f t="shared" si="22"/>
        <v>0</v>
      </c>
      <c r="W211" s="265">
        <f t="shared" si="22"/>
        <v>0</v>
      </c>
      <c r="X211" s="265">
        <f t="shared" si="22"/>
        <v>0</v>
      </c>
      <c r="Y211" s="265">
        <f t="shared" si="22"/>
        <v>0</v>
      </c>
      <c r="Z211" s="265">
        <f t="shared" si="22"/>
        <v>0</v>
      </c>
      <c r="AA211" s="265">
        <f t="shared" si="22"/>
        <v>0</v>
      </c>
      <c r="AB211" s="265">
        <f t="shared" si="22"/>
        <v>0</v>
      </c>
      <c r="AC211" s="265">
        <f t="shared" si="22"/>
        <v>0</v>
      </c>
      <c r="AD211" s="265">
        <f t="shared" si="22"/>
        <v>0</v>
      </c>
      <c r="AE211" s="265">
        <f t="shared" si="22"/>
        <v>0</v>
      </c>
      <c r="AF211" s="265">
        <f t="shared" si="22"/>
        <v>0</v>
      </c>
      <c r="AG211" s="265">
        <f t="shared" si="22"/>
        <v>0</v>
      </c>
      <c r="AH211" s="265">
        <f t="shared" si="22"/>
        <v>0</v>
      </c>
      <c r="AI211" s="265">
        <f t="shared" si="22"/>
        <v>0</v>
      </c>
      <c r="AJ211" s="265">
        <f t="shared" si="22"/>
        <v>0</v>
      </c>
      <c r="AK211" s="265">
        <f t="shared" si="26"/>
        <v>0</v>
      </c>
      <c r="AL211" s="265">
        <f t="shared" si="26"/>
        <v>0</v>
      </c>
      <c r="AM211" s="265">
        <f t="shared" si="26"/>
        <v>0</v>
      </c>
      <c r="AN211" s="265">
        <f t="shared" si="26"/>
        <v>0</v>
      </c>
      <c r="AO211" s="265">
        <f t="shared" si="26"/>
        <v>0</v>
      </c>
      <c r="AP211" s="265">
        <f t="shared" si="26"/>
        <v>0</v>
      </c>
      <c r="AQ211" s="265"/>
      <c r="AR211" s="265"/>
      <c r="AS211" s="265"/>
      <c r="AT211" s="265"/>
      <c r="AU211" s="265"/>
      <c r="AV211" s="265"/>
      <c r="AW211" s="265"/>
      <c r="AX211" s="265"/>
      <c r="AY211" s="265"/>
      <c r="AZ211" s="265"/>
      <c r="BA211" s="265"/>
      <c r="BB211" s="265"/>
      <c r="BC211" s="265"/>
      <c r="BD211" s="265"/>
      <c r="BE211" s="265"/>
      <c r="BF211" s="265"/>
      <c r="BG211" s="265"/>
      <c r="BH211" s="265"/>
      <c r="BI211" s="265"/>
      <c r="BJ211" s="265"/>
      <c r="BK211" s="265"/>
      <c r="BL211" s="265"/>
      <c r="BM211" s="265"/>
      <c r="BN211" s="265"/>
    </row>
    <row r="212" spans="1:66">
      <c r="A212" s="595"/>
      <c r="B212" s="598"/>
      <c r="C212" s="599"/>
      <c r="D212" s="264"/>
      <c r="E212" s="260">
        <v>9</v>
      </c>
      <c r="F212" s="260"/>
      <c r="G212" s="265" t="s">
        <v>262</v>
      </c>
      <c r="H212" s="265"/>
      <c r="I212" s="265"/>
      <c r="J212" s="265"/>
      <c r="K212" s="263">
        <v>9</v>
      </c>
      <c r="L212" s="265">
        <f t="shared" si="19"/>
        <v>70676.647256925018</v>
      </c>
      <c r="M212" s="265">
        <f t="shared" si="19"/>
        <v>2355.8882418975008</v>
      </c>
      <c r="N212" s="265">
        <f t="shared" si="22"/>
        <v>2355.8882418975008</v>
      </c>
      <c r="O212" s="265">
        <f t="shared" si="22"/>
        <v>2355.8882418975008</v>
      </c>
      <c r="P212" s="265">
        <f t="shared" si="22"/>
        <v>2355.8882418975008</v>
      </c>
      <c r="Q212" s="265">
        <f t="shared" si="22"/>
        <v>2355.8882418975008</v>
      </c>
      <c r="R212" s="265">
        <f t="shared" si="22"/>
        <v>2355.8882418975008</v>
      </c>
      <c r="S212" s="265">
        <f t="shared" si="22"/>
        <v>2355.8882418975008</v>
      </c>
      <c r="T212" s="265">
        <f t="shared" si="22"/>
        <v>2355.8882418975008</v>
      </c>
      <c r="U212" s="265">
        <f t="shared" si="22"/>
        <v>2355.8882418975008</v>
      </c>
      <c r="V212" s="265">
        <f t="shared" si="22"/>
        <v>2355.8882418975008</v>
      </c>
      <c r="W212" s="265">
        <f t="shared" si="22"/>
        <v>2355.8882418975008</v>
      </c>
      <c r="X212" s="265">
        <f t="shared" si="22"/>
        <v>2355.8882418975008</v>
      </c>
      <c r="Y212" s="265">
        <f t="shared" si="22"/>
        <v>2355.8882418975008</v>
      </c>
      <c r="Z212" s="265">
        <f t="shared" si="22"/>
        <v>2355.8882418975008</v>
      </c>
      <c r="AA212" s="265">
        <f t="shared" si="22"/>
        <v>2355.8882418975008</v>
      </c>
      <c r="AB212" s="265">
        <f t="shared" si="22"/>
        <v>2355.8882418975008</v>
      </c>
      <c r="AC212" s="265">
        <f t="shared" si="22"/>
        <v>2355.8882418975008</v>
      </c>
      <c r="AD212" s="265">
        <f t="shared" si="22"/>
        <v>2355.8882418975008</v>
      </c>
      <c r="AE212" s="265">
        <f t="shared" si="22"/>
        <v>2355.8882418975008</v>
      </c>
      <c r="AF212" s="265">
        <f t="shared" si="22"/>
        <v>2355.8882418975008</v>
      </c>
      <c r="AG212" s="265">
        <f t="shared" si="22"/>
        <v>2355.8882418975008</v>
      </c>
      <c r="AH212" s="265">
        <f t="shared" si="22"/>
        <v>2355.8882418975008</v>
      </c>
      <c r="AI212" s="265">
        <f t="shared" si="22"/>
        <v>2355.8882418975008</v>
      </c>
      <c r="AJ212" s="265">
        <f t="shared" si="22"/>
        <v>2355.8882418975008</v>
      </c>
      <c r="AK212" s="265">
        <f t="shared" si="26"/>
        <v>2355.8882418975008</v>
      </c>
      <c r="AL212" s="265">
        <f t="shared" si="26"/>
        <v>2355.8882418975008</v>
      </c>
      <c r="AM212" s="265">
        <f t="shared" si="26"/>
        <v>2355.8882418975008</v>
      </c>
      <c r="AN212" s="265">
        <f t="shared" si="26"/>
        <v>2355.8882418975008</v>
      </c>
      <c r="AO212" s="265">
        <f t="shared" si="26"/>
        <v>2355.8882418975008</v>
      </c>
      <c r="AP212" s="265">
        <f t="shared" si="26"/>
        <v>2355.8882418975008</v>
      </c>
      <c r="AQ212" s="265"/>
      <c r="AR212" s="265"/>
      <c r="AS212" s="265"/>
      <c r="AT212" s="265"/>
      <c r="AU212" s="265"/>
      <c r="AV212" s="265"/>
      <c r="AW212" s="265"/>
      <c r="AX212" s="265"/>
      <c r="AY212" s="265"/>
      <c r="AZ212" s="265"/>
      <c r="BA212" s="265"/>
      <c r="BB212" s="265"/>
      <c r="BC212" s="265"/>
      <c r="BD212" s="265"/>
      <c r="BE212" s="265"/>
      <c r="BF212" s="265"/>
      <c r="BG212" s="265"/>
      <c r="BH212" s="265"/>
      <c r="BI212" s="265"/>
      <c r="BJ212" s="265"/>
      <c r="BK212" s="265"/>
      <c r="BL212" s="265"/>
      <c r="BM212" s="265"/>
      <c r="BN212" s="265"/>
    </row>
    <row r="213" spans="1:66">
      <c r="A213" s="595"/>
      <c r="B213" s="598"/>
      <c r="C213" s="599"/>
      <c r="D213" s="264"/>
      <c r="E213" s="260">
        <v>10</v>
      </c>
      <c r="F213" s="260"/>
      <c r="G213" s="265" t="s">
        <v>263</v>
      </c>
      <c r="H213" s="265"/>
      <c r="I213" s="265"/>
      <c r="J213" s="265"/>
      <c r="K213" s="263">
        <v>10</v>
      </c>
      <c r="L213" s="265">
        <f>SUMIF($E$9:$E$183,$E213,L$9:L$183)</f>
        <v>4700.2576458599997</v>
      </c>
      <c r="M213" s="265">
        <f t="shared" si="19"/>
        <v>299.96182279800007</v>
      </c>
      <c r="N213" s="265">
        <f t="shared" si="22"/>
        <v>299.96182279800007</v>
      </c>
      <c r="O213" s="265">
        <f t="shared" si="22"/>
        <v>299.96182279800007</v>
      </c>
      <c r="P213" s="265">
        <f t="shared" si="22"/>
        <v>299.96182279800007</v>
      </c>
      <c r="Q213" s="265">
        <f t="shared" si="22"/>
        <v>299.96182279800007</v>
      </c>
      <c r="R213" s="265">
        <f t="shared" si="22"/>
        <v>299.96182279800007</v>
      </c>
      <c r="S213" s="265">
        <f t="shared" si="22"/>
        <v>120.85361287800001</v>
      </c>
      <c r="T213" s="265">
        <f t="shared" si="22"/>
        <v>120.85361287800001</v>
      </c>
      <c r="U213" s="265">
        <f t="shared" si="22"/>
        <v>120.85361287800001</v>
      </c>
      <c r="V213" s="265">
        <f t="shared" si="22"/>
        <v>120.85361287800001</v>
      </c>
      <c r="W213" s="265">
        <f t="shared" si="22"/>
        <v>120.85361287800001</v>
      </c>
      <c r="X213" s="265">
        <f t="shared" si="22"/>
        <v>120.85361287800001</v>
      </c>
      <c r="Y213" s="265">
        <f t="shared" si="22"/>
        <v>120.85361287800001</v>
      </c>
      <c r="Z213" s="265">
        <f t="shared" si="22"/>
        <v>120.85361287800001</v>
      </c>
      <c r="AA213" s="265">
        <f t="shared" si="22"/>
        <v>120.85361287800001</v>
      </c>
      <c r="AB213" s="265">
        <f t="shared" si="22"/>
        <v>120.85361287800001</v>
      </c>
      <c r="AC213" s="265">
        <f t="shared" si="22"/>
        <v>120.85361287800001</v>
      </c>
      <c r="AD213" s="265">
        <f t="shared" si="22"/>
        <v>120.85361287800001</v>
      </c>
      <c r="AE213" s="265">
        <f t="shared" si="22"/>
        <v>120.85361287800001</v>
      </c>
      <c r="AF213" s="265">
        <f t="shared" si="22"/>
        <v>120.85361287800001</v>
      </c>
      <c r="AG213" s="265">
        <f t="shared" si="22"/>
        <v>120.85361287800001</v>
      </c>
      <c r="AH213" s="265">
        <f t="shared" si="22"/>
        <v>120.85361287800001</v>
      </c>
      <c r="AI213" s="265">
        <f t="shared" si="22"/>
        <v>120.85361287800001</v>
      </c>
      <c r="AJ213" s="265">
        <f t="shared" si="22"/>
        <v>120.85361287800001</v>
      </c>
      <c r="AK213" s="265">
        <f t="shared" si="26"/>
        <v>120.85361287800001</v>
      </c>
      <c r="AL213" s="265">
        <f t="shared" si="26"/>
        <v>120.85361287800001</v>
      </c>
      <c r="AM213" s="265">
        <f t="shared" si="26"/>
        <v>120.85361287800001</v>
      </c>
      <c r="AN213" s="265">
        <f t="shared" si="26"/>
        <v>120.85361287800001</v>
      </c>
      <c r="AO213" s="265">
        <f t="shared" si="26"/>
        <v>120.85361287800001</v>
      </c>
      <c r="AP213" s="265">
        <f t="shared" si="26"/>
        <v>120.85361287800001</v>
      </c>
      <c r="AQ213" s="265"/>
      <c r="AR213" s="265"/>
      <c r="AS213" s="265"/>
      <c r="AT213" s="265"/>
      <c r="AU213" s="265"/>
      <c r="AV213" s="265"/>
      <c r="AW213" s="265"/>
      <c r="AX213" s="265"/>
      <c r="AY213" s="265"/>
      <c r="AZ213" s="265"/>
      <c r="BA213" s="265"/>
      <c r="BB213" s="265"/>
      <c r="BC213" s="265"/>
      <c r="BD213" s="265"/>
      <c r="BE213" s="265"/>
      <c r="BF213" s="265"/>
      <c r="BG213" s="265"/>
      <c r="BH213" s="265"/>
      <c r="BI213" s="265"/>
      <c r="BJ213" s="265"/>
      <c r="BK213" s="265"/>
      <c r="BL213" s="265"/>
      <c r="BM213" s="265"/>
      <c r="BN213" s="265"/>
    </row>
    <row r="214" spans="1:66">
      <c r="A214" s="595"/>
      <c r="B214" s="598"/>
      <c r="C214" s="599"/>
      <c r="D214" s="264"/>
      <c r="E214" s="260">
        <v>11</v>
      </c>
      <c r="F214" s="260"/>
      <c r="G214" s="265" t="s">
        <v>264</v>
      </c>
      <c r="H214" s="265"/>
      <c r="I214" s="265"/>
      <c r="J214" s="265"/>
      <c r="K214" s="263">
        <v>11</v>
      </c>
      <c r="L214" s="265">
        <f>SUMIF($E$9:$E$183,$E214,L$9:L$183)</f>
        <v>0</v>
      </c>
      <c r="M214" s="265">
        <f t="shared" si="19"/>
        <v>0</v>
      </c>
      <c r="N214" s="265">
        <f t="shared" si="22"/>
        <v>0</v>
      </c>
      <c r="O214" s="265">
        <f t="shared" si="22"/>
        <v>0</v>
      </c>
      <c r="P214" s="265">
        <f t="shared" si="22"/>
        <v>0</v>
      </c>
      <c r="Q214" s="265">
        <f t="shared" si="22"/>
        <v>0</v>
      </c>
      <c r="R214" s="265">
        <f t="shared" si="22"/>
        <v>0</v>
      </c>
      <c r="S214" s="265">
        <f t="shared" si="22"/>
        <v>0</v>
      </c>
      <c r="T214" s="265">
        <f t="shared" si="22"/>
        <v>0</v>
      </c>
      <c r="U214" s="265">
        <f t="shared" si="22"/>
        <v>0</v>
      </c>
      <c r="V214" s="265">
        <f t="shared" si="22"/>
        <v>0</v>
      </c>
      <c r="W214" s="265">
        <f t="shared" si="22"/>
        <v>0</v>
      </c>
      <c r="X214" s="265">
        <f t="shared" si="22"/>
        <v>0</v>
      </c>
      <c r="Y214" s="265">
        <f t="shared" si="22"/>
        <v>0</v>
      </c>
      <c r="Z214" s="265">
        <f t="shared" si="22"/>
        <v>0</v>
      </c>
      <c r="AA214" s="265">
        <f t="shared" si="22"/>
        <v>0</v>
      </c>
      <c r="AB214" s="265">
        <f t="shared" si="22"/>
        <v>0</v>
      </c>
      <c r="AC214" s="265">
        <f t="shared" si="22"/>
        <v>0</v>
      </c>
      <c r="AD214" s="265">
        <f t="shared" si="22"/>
        <v>0</v>
      </c>
      <c r="AE214" s="265">
        <f t="shared" si="22"/>
        <v>0</v>
      </c>
      <c r="AF214" s="265">
        <f t="shared" si="22"/>
        <v>0</v>
      </c>
      <c r="AG214" s="265">
        <f t="shared" si="22"/>
        <v>0</v>
      </c>
      <c r="AH214" s="265">
        <f t="shared" si="22"/>
        <v>0</v>
      </c>
      <c r="AI214" s="265">
        <f t="shared" si="22"/>
        <v>0</v>
      </c>
      <c r="AJ214" s="265">
        <f t="shared" si="22"/>
        <v>0</v>
      </c>
      <c r="AK214" s="265">
        <f t="shared" si="26"/>
        <v>0</v>
      </c>
      <c r="AL214" s="265">
        <f t="shared" si="26"/>
        <v>0</v>
      </c>
      <c r="AM214" s="265">
        <f t="shared" si="26"/>
        <v>0</v>
      </c>
      <c r="AN214" s="265">
        <f t="shared" si="26"/>
        <v>0</v>
      </c>
      <c r="AO214" s="265">
        <f t="shared" si="26"/>
        <v>0</v>
      </c>
      <c r="AP214" s="265">
        <f t="shared" si="26"/>
        <v>0</v>
      </c>
      <c r="AQ214" s="265"/>
      <c r="AR214" s="265"/>
      <c r="AS214" s="265"/>
      <c r="AT214" s="265"/>
      <c r="AU214" s="265"/>
      <c r="AV214" s="265"/>
      <c r="AW214" s="265"/>
      <c r="AX214" s="265"/>
      <c r="AY214" s="265"/>
      <c r="AZ214" s="265"/>
      <c r="BA214" s="265"/>
      <c r="BB214" s="265"/>
      <c r="BC214" s="265"/>
      <c r="BD214" s="265"/>
      <c r="BE214" s="265"/>
      <c r="BF214" s="265"/>
      <c r="BG214" s="265"/>
      <c r="BH214" s="265"/>
      <c r="BI214" s="265"/>
      <c r="BJ214" s="265"/>
      <c r="BK214" s="265"/>
      <c r="BL214" s="265"/>
      <c r="BM214" s="265"/>
      <c r="BN214" s="265"/>
    </row>
    <row r="215" spans="1:66">
      <c r="A215" s="595"/>
      <c r="B215" s="598"/>
      <c r="C215" s="599"/>
      <c r="D215" s="264"/>
      <c r="E215" s="260">
        <v>12</v>
      </c>
      <c r="F215" s="260"/>
      <c r="G215" s="265" t="s">
        <v>265</v>
      </c>
      <c r="H215" s="265" t="s">
        <v>907</v>
      </c>
      <c r="I215" s="265"/>
      <c r="J215" s="265"/>
      <c r="K215" s="263">
        <v>12</v>
      </c>
      <c r="L215" s="265">
        <f>SUM(M215:AP215)</f>
        <v>13889.372921999997</v>
      </c>
      <c r="M215" s="265">
        <f>Monitoração!M55/1000</f>
        <v>0</v>
      </c>
      <c r="N215" s="265">
        <f>Monitoração!N55/1000</f>
        <v>461.67561800000004</v>
      </c>
      <c r="O215" s="265">
        <f>Monitoração!O55/1000</f>
        <v>461.67561800000004</v>
      </c>
      <c r="P215" s="265">
        <f>Monitoração!P55/1000</f>
        <v>461.67561800000004</v>
      </c>
      <c r="Q215" s="265">
        <f>Monitoração!Q55/1000</f>
        <v>561.83161800000005</v>
      </c>
      <c r="R215" s="265">
        <f>Monitoração!R55/1000</f>
        <v>461.67561800000004</v>
      </c>
      <c r="S215" s="265">
        <f>Monitoração!S55/1000</f>
        <v>461.67561800000004</v>
      </c>
      <c r="T215" s="265">
        <f>Monitoração!T55/1000</f>
        <v>461.67561800000004</v>
      </c>
      <c r="U215" s="265">
        <f>Monitoração!U55/1000</f>
        <v>461.67561800000004</v>
      </c>
      <c r="V215" s="265">
        <f>Monitoração!V55/1000</f>
        <v>461.67561800000004</v>
      </c>
      <c r="W215" s="265">
        <f>Monitoração!W55/1000</f>
        <v>561.83161800000005</v>
      </c>
      <c r="X215" s="265">
        <f>Monitoração!X55/1000</f>
        <v>461.67561800000004</v>
      </c>
      <c r="Y215" s="265">
        <f>Monitoração!Y55/1000</f>
        <v>461.67561800000004</v>
      </c>
      <c r="Z215" s="265">
        <f>Monitoração!Z55/1000</f>
        <v>461.67561800000004</v>
      </c>
      <c r="AA215" s="265">
        <f>Monitoração!AA55/1000</f>
        <v>461.67561800000004</v>
      </c>
      <c r="AB215" s="265">
        <f>Monitoração!AB55/1000</f>
        <v>461.67561800000004</v>
      </c>
      <c r="AC215" s="265">
        <f>Monitoração!AC55/1000</f>
        <v>561.83161800000005</v>
      </c>
      <c r="AD215" s="265">
        <f>Monitoração!AD55/1000</f>
        <v>461.67561800000004</v>
      </c>
      <c r="AE215" s="265">
        <f>Monitoração!AE55/1000</f>
        <v>461.67561800000004</v>
      </c>
      <c r="AF215" s="265">
        <f>Monitoração!AF55/1000</f>
        <v>461.67561800000004</v>
      </c>
      <c r="AG215" s="265">
        <f>Monitoração!AG55/1000</f>
        <v>461.67561800000004</v>
      </c>
      <c r="AH215" s="265">
        <f>Monitoração!AH55/1000</f>
        <v>461.67561800000004</v>
      </c>
      <c r="AI215" s="265">
        <f>Monitoração!AI55/1000</f>
        <v>561.83161800000005</v>
      </c>
      <c r="AJ215" s="265">
        <f>Monitoração!AJ55/1000</f>
        <v>461.67561800000004</v>
      </c>
      <c r="AK215" s="265">
        <f>Monitoração!AK55/1000</f>
        <v>461.67561800000004</v>
      </c>
      <c r="AL215" s="265">
        <f>Monitoração!AL55/1000</f>
        <v>461.67561800000004</v>
      </c>
      <c r="AM215" s="265">
        <f>Monitoração!AM55/1000</f>
        <v>461.67561800000004</v>
      </c>
      <c r="AN215" s="265">
        <f>Monitoração!AN55/1000</f>
        <v>461.67561800000004</v>
      </c>
      <c r="AO215" s="265">
        <f>Monitoração!AO55/1000</f>
        <v>561.83161800000005</v>
      </c>
      <c r="AP215" s="265">
        <f>Monitoração!AP55/1000</f>
        <v>461.67561800000004</v>
      </c>
      <c r="AQ215" s="265"/>
      <c r="AR215" s="265"/>
      <c r="AS215" s="265"/>
      <c r="AT215" s="265"/>
      <c r="AU215" s="265"/>
      <c r="AV215" s="265"/>
      <c r="AW215" s="265"/>
      <c r="AX215" s="265"/>
      <c r="AY215" s="265"/>
      <c r="AZ215" s="265"/>
      <c r="BA215" s="265"/>
      <c r="BB215" s="265"/>
      <c r="BC215" s="265"/>
      <c r="BD215" s="265"/>
      <c r="BE215" s="265"/>
      <c r="BF215" s="265"/>
      <c r="BG215" s="265"/>
      <c r="BH215" s="265"/>
      <c r="BI215" s="265"/>
      <c r="BJ215" s="265"/>
      <c r="BK215" s="265"/>
      <c r="BL215" s="265"/>
      <c r="BM215" s="265"/>
      <c r="BN215" s="265"/>
    </row>
    <row r="216" spans="1:66">
      <c r="A216" s="595"/>
      <c r="B216" s="598"/>
      <c r="C216" s="599"/>
      <c r="D216" s="264"/>
      <c r="E216" s="260">
        <v>13</v>
      </c>
      <c r="F216" s="260"/>
      <c r="G216" s="265" t="s">
        <v>266</v>
      </c>
      <c r="H216" s="265" t="s">
        <v>907</v>
      </c>
      <c r="I216" s="265"/>
      <c r="J216" s="265"/>
      <c r="K216" s="263">
        <v>13</v>
      </c>
      <c r="L216" s="265">
        <f>SUM(M216:AP216)</f>
        <v>40139.510399999992</v>
      </c>
      <c r="M216" s="265">
        <f>'Despesas Diversas'!K54/1000</f>
        <v>2034.8663466666667</v>
      </c>
      <c r="N216" s="265">
        <f>'Despesas Diversas'!L54/1000</f>
        <v>2170.0343466666668</v>
      </c>
      <c r="O216" s="265">
        <f>'Despesas Diversas'!M54/1000</f>
        <v>1407.6343466666667</v>
      </c>
      <c r="P216" s="265">
        <f>'Despesas Diversas'!N54/1000</f>
        <v>1620.0343466666666</v>
      </c>
      <c r="Q216" s="265">
        <f>'Despesas Diversas'!O54/1000</f>
        <v>1407.6343466666667</v>
      </c>
      <c r="R216" s="265">
        <f>'Despesas Diversas'!P54/1000</f>
        <v>1370.0343466666666</v>
      </c>
      <c r="S216" s="265">
        <f>'Despesas Diversas'!Q54/1000</f>
        <v>1149.1863466666666</v>
      </c>
      <c r="T216" s="265">
        <f>'Despesas Diversas'!R54/1000</f>
        <v>1361.5863466666667</v>
      </c>
      <c r="U216" s="265">
        <f>'Despesas Diversas'!S54/1000</f>
        <v>1149.1863466666666</v>
      </c>
      <c r="V216" s="265">
        <f>'Despesas Diversas'!T54/1000</f>
        <v>1361.5863466666667</v>
      </c>
      <c r="W216" s="265">
        <f>'Despesas Diversas'!U54/1000</f>
        <v>1149.1863466666666</v>
      </c>
      <c r="X216" s="265">
        <f>'Despesas Diversas'!V54/1000</f>
        <v>1361.5863466666667</v>
      </c>
      <c r="Y216" s="265">
        <f>'Despesas Diversas'!W54/1000</f>
        <v>1149.1863466666666</v>
      </c>
      <c r="Z216" s="265">
        <f>'Despesas Diversas'!X54/1000</f>
        <v>1361.5863466666667</v>
      </c>
      <c r="AA216" s="265">
        <f>'Despesas Diversas'!Y54/1000</f>
        <v>1149.1863466666666</v>
      </c>
      <c r="AB216" s="265">
        <f>'Despesas Diversas'!Z54/1000</f>
        <v>1361.5863466666667</v>
      </c>
      <c r="AC216" s="265">
        <f>'Despesas Diversas'!AA54/1000</f>
        <v>1149.1863466666666</v>
      </c>
      <c r="AD216" s="265">
        <f>'Despesas Diversas'!AB54/1000</f>
        <v>1361.5863466666667</v>
      </c>
      <c r="AE216" s="265">
        <f>'Despesas Diversas'!AC54/1000</f>
        <v>1149.1863466666666</v>
      </c>
      <c r="AF216" s="265">
        <f>'Despesas Diversas'!AD54/1000</f>
        <v>1361.5863466666667</v>
      </c>
      <c r="AG216" s="265">
        <f>'Despesas Diversas'!AE54/1000</f>
        <v>1149.1863466666666</v>
      </c>
      <c r="AH216" s="265">
        <f>'Despesas Diversas'!AF54/1000</f>
        <v>1361.5863466666667</v>
      </c>
      <c r="AI216" s="265">
        <f>'Despesas Diversas'!AG54/1000</f>
        <v>1149.1863466666666</v>
      </c>
      <c r="AJ216" s="265">
        <f>'Despesas Diversas'!AH54/1000</f>
        <v>1361.5863466666667</v>
      </c>
      <c r="AK216" s="265">
        <f>'Despesas Diversas'!AI54/1000</f>
        <v>1149.1863466666666</v>
      </c>
      <c r="AL216" s="265">
        <f>'Despesas Diversas'!AJ54/1000</f>
        <v>1361.5863466666667</v>
      </c>
      <c r="AM216" s="265">
        <f>'Despesas Diversas'!AK54/1000</f>
        <v>1149.1863466666666</v>
      </c>
      <c r="AN216" s="265">
        <f>'Despesas Diversas'!AL54/1000</f>
        <v>1361.5863466666667</v>
      </c>
      <c r="AO216" s="265">
        <f>'Despesas Diversas'!AM54/1000</f>
        <v>1149.1863466666666</v>
      </c>
      <c r="AP216" s="265">
        <f>'Despesas Diversas'!AN54/1000</f>
        <v>1361.5863466666667</v>
      </c>
      <c r="AQ216" s="265"/>
      <c r="AR216" s="265"/>
      <c r="AS216" s="265"/>
      <c r="AT216" s="265"/>
      <c r="AU216" s="265"/>
      <c r="AV216" s="265"/>
      <c r="AW216" s="265"/>
      <c r="AX216" s="265"/>
      <c r="AY216" s="265"/>
      <c r="AZ216" s="265"/>
      <c r="BA216" s="265"/>
      <c r="BB216" s="265"/>
      <c r="BC216" s="265"/>
      <c r="BD216" s="265"/>
      <c r="BE216" s="265"/>
      <c r="BF216" s="265"/>
      <c r="BG216" s="265"/>
      <c r="BH216" s="265"/>
      <c r="BI216" s="265"/>
      <c r="BJ216" s="265"/>
      <c r="BK216" s="265"/>
      <c r="BL216" s="265"/>
      <c r="BM216" s="265"/>
      <c r="BN216" s="265"/>
    </row>
    <row r="217" spans="1:66">
      <c r="A217" s="595"/>
      <c r="B217" s="598"/>
      <c r="C217" s="599"/>
      <c r="D217" s="264"/>
      <c r="E217" s="260">
        <v>14</v>
      </c>
      <c r="F217" s="260"/>
      <c r="G217" s="265" t="s">
        <v>267</v>
      </c>
      <c r="H217" s="265" t="s">
        <v>907</v>
      </c>
      <c r="I217" s="265"/>
      <c r="J217" s="265"/>
      <c r="K217" s="263">
        <v>14</v>
      </c>
      <c r="L217" s="265">
        <f t="shared" ref="L217:L220" si="27">SUMIF($E$9:$E$183,$E217,L$9:L$183)</f>
        <v>7859.1783138554947</v>
      </c>
      <c r="M217" s="265">
        <f t="shared" ref="M217:AP220" si="28">SUMIF($E$9:$E$183,$E217,M$9:M$183)</f>
        <v>305.56540355550004</v>
      </c>
      <c r="N217" s="265">
        <f t="shared" si="28"/>
        <v>260.46941070000003</v>
      </c>
      <c r="O217" s="265">
        <f t="shared" si="28"/>
        <v>260.46941070000003</v>
      </c>
      <c r="P217" s="265">
        <f t="shared" si="28"/>
        <v>260.46941070000003</v>
      </c>
      <c r="Q217" s="265">
        <f t="shared" si="28"/>
        <v>260.46941070000003</v>
      </c>
      <c r="R217" s="265">
        <f t="shared" si="28"/>
        <v>260.46941070000003</v>
      </c>
      <c r="S217" s="265">
        <f t="shared" si="28"/>
        <v>260.46941070000003</v>
      </c>
      <c r="T217" s="265">
        <f t="shared" si="28"/>
        <v>260.46941070000003</v>
      </c>
      <c r="U217" s="265">
        <f t="shared" si="28"/>
        <v>260.46941070000003</v>
      </c>
      <c r="V217" s="265">
        <f t="shared" si="28"/>
        <v>260.46941070000003</v>
      </c>
      <c r="W217" s="265">
        <f t="shared" si="28"/>
        <v>260.46941070000003</v>
      </c>
      <c r="X217" s="265">
        <f t="shared" si="28"/>
        <v>260.46941070000003</v>
      </c>
      <c r="Y217" s="265">
        <f t="shared" si="28"/>
        <v>260.46941070000003</v>
      </c>
      <c r="Z217" s="265">
        <f t="shared" si="28"/>
        <v>260.46941070000003</v>
      </c>
      <c r="AA217" s="265">
        <f t="shared" si="28"/>
        <v>260.46941070000003</v>
      </c>
      <c r="AB217" s="265">
        <f t="shared" si="28"/>
        <v>260.46941070000003</v>
      </c>
      <c r="AC217" s="265">
        <f t="shared" si="28"/>
        <v>260.46941070000003</v>
      </c>
      <c r="AD217" s="265">
        <f t="shared" si="28"/>
        <v>260.46941070000003</v>
      </c>
      <c r="AE217" s="265">
        <f t="shared" si="28"/>
        <v>260.46941070000003</v>
      </c>
      <c r="AF217" s="265">
        <f t="shared" si="28"/>
        <v>260.46941070000003</v>
      </c>
      <c r="AG217" s="265">
        <f t="shared" si="28"/>
        <v>260.46941070000003</v>
      </c>
      <c r="AH217" s="265">
        <f t="shared" si="28"/>
        <v>260.46941070000003</v>
      </c>
      <c r="AI217" s="265">
        <f t="shared" si="28"/>
        <v>260.46941070000003</v>
      </c>
      <c r="AJ217" s="265">
        <f t="shared" si="28"/>
        <v>260.46941070000003</v>
      </c>
      <c r="AK217" s="265">
        <f t="shared" si="28"/>
        <v>260.46941070000003</v>
      </c>
      <c r="AL217" s="265">
        <f t="shared" si="28"/>
        <v>260.46941070000003</v>
      </c>
      <c r="AM217" s="265">
        <f t="shared" si="28"/>
        <v>260.46941070000003</v>
      </c>
      <c r="AN217" s="265">
        <f t="shared" si="28"/>
        <v>260.46941070000003</v>
      </c>
      <c r="AO217" s="265">
        <f t="shared" si="28"/>
        <v>260.46941070000003</v>
      </c>
      <c r="AP217" s="265">
        <f t="shared" si="28"/>
        <v>260.46941070000003</v>
      </c>
      <c r="AQ217" s="265"/>
      <c r="AR217" s="265"/>
      <c r="AS217" s="265"/>
      <c r="AT217" s="265"/>
      <c r="AU217" s="265"/>
      <c r="AV217" s="265"/>
      <c r="AW217" s="265"/>
      <c r="AX217" s="265"/>
      <c r="AY217" s="265"/>
      <c r="AZ217" s="265"/>
      <c r="BA217" s="265"/>
      <c r="BB217" s="265"/>
      <c r="BC217" s="265"/>
      <c r="BD217" s="265"/>
      <c r="BE217" s="265"/>
      <c r="BF217" s="265"/>
      <c r="BG217" s="265"/>
      <c r="BH217" s="265"/>
      <c r="BI217" s="265"/>
      <c r="BJ217" s="265"/>
      <c r="BK217" s="265"/>
      <c r="BL217" s="265"/>
      <c r="BM217" s="265"/>
      <c r="BN217" s="265"/>
    </row>
    <row r="218" spans="1:66">
      <c r="A218" s="595"/>
      <c r="B218" s="598"/>
      <c r="C218" s="599"/>
      <c r="D218" s="264"/>
      <c r="E218" s="260">
        <v>15</v>
      </c>
      <c r="F218" s="260"/>
      <c r="G218" s="265" t="s">
        <v>268</v>
      </c>
      <c r="H218" s="265" t="s">
        <v>907</v>
      </c>
      <c r="I218" s="265"/>
      <c r="J218" s="265"/>
      <c r="K218" s="263">
        <v>15</v>
      </c>
      <c r="L218" s="265">
        <f>SUM(M218:AP218)</f>
        <v>335918.25611635321</v>
      </c>
      <c r="M218" s="265">
        <f>'Conserva - Resumo'!F14/1000</f>
        <v>6219.0781801351113</v>
      </c>
      <c r="N218" s="265">
        <f>'Conserva - Resumo'!G14/1000</f>
        <v>7887.5915146496027</v>
      </c>
      <c r="O218" s="265">
        <f>'Conserva - Resumo'!H14/1000</f>
        <v>14703.822652058265</v>
      </c>
      <c r="P218" s="265">
        <f>'Conserva - Resumo'!I14/1000</f>
        <v>7889.0776553590467</v>
      </c>
      <c r="Q218" s="265">
        <f>'Conserva - Resumo'!J14/1000</f>
        <v>7890.8758332506513</v>
      </c>
      <c r="R218" s="265">
        <f>'Conserva - Resumo'!K14/1000</f>
        <v>11536.586893564157</v>
      </c>
      <c r="S218" s="265">
        <f>'Conserva - Resumo'!L14/1000</f>
        <v>15682.292019107133</v>
      </c>
      <c r="T218" s="265">
        <f>'Conserva - Resumo'!M14/1000</f>
        <v>8413.4168692253224</v>
      </c>
      <c r="U218" s="265">
        <f>'Conserva - Resumo'!N14/1000</f>
        <v>12045.883454336217</v>
      </c>
      <c r="V218" s="265">
        <f>'Conserva - Resumo'!O14/1000</f>
        <v>15682.767080820611</v>
      </c>
      <c r="W218" s="265">
        <f>'Conserva - Resumo'!P14/1000</f>
        <v>8455.495294869741</v>
      </c>
      <c r="X218" s="265">
        <f>'Conserva - Resumo'!Q14/1000</f>
        <v>12125.821230519796</v>
      </c>
      <c r="Y218" s="265">
        <f>'Conserva - Resumo'!R14/1000</f>
        <v>15801.066211622543</v>
      </c>
      <c r="Z218" s="265">
        <f>'Conserva - Resumo'!S14/1000</f>
        <v>8455.6355871883115</v>
      </c>
      <c r="AA218" s="265">
        <f>'Conserva - Resumo'!T14/1000</f>
        <v>12126.265869561968</v>
      </c>
      <c r="AB218" s="265">
        <f>'Conserva - Resumo'!U14/1000</f>
        <v>16018.318189444568</v>
      </c>
      <c r="AC218" s="265">
        <f>'Conserva - Resumo'!V14/1000</f>
        <v>8571.5956328000393</v>
      </c>
      <c r="AD218" s="265">
        <f>'Conserva - Resumo'!W14/1000</f>
        <v>12167.32599919207</v>
      </c>
      <c r="AE218" s="265">
        <f>'Conserva - Resumo'!X14/1000</f>
        <v>15854.735881270257</v>
      </c>
      <c r="AF218" s="265">
        <f>'Conserva - Resumo'!Y14/1000</f>
        <v>8484.4293469333497</v>
      </c>
      <c r="AG218" s="265">
        <f>'Conserva - Resumo'!Z14/1000</f>
        <v>12590.919165514417</v>
      </c>
      <c r="AH218" s="265">
        <f>'Conserva - Resumo'!AA14/1000</f>
        <v>16407.205990983457</v>
      </c>
      <c r="AI218" s="265">
        <f>'Conserva - Resumo'!AB14/1000</f>
        <v>8779.0880248120229</v>
      </c>
      <c r="AJ218" s="265">
        <f>'Conserva - Resumo'!AC14/1000</f>
        <v>12590.938487210988</v>
      </c>
      <c r="AK218" s="265">
        <f>'Conserva - Resumo'!AE14/1000</f>
        <v>8836.9824457487739</v>
      </c>
      <c r="AL218" s="265">
        <f>'Conserva - Resumo'!AF14/1000</f>
        <v>12674.155891200313</v>
      </c>
      <c r="AM218" s="265">
        <f>'Conserva - Resumo'!AG14/1000</f>
        <v>16515.74637802536</v>
      </c>
      <c r="AN218" s="265">
        <f>'Conserva - Resumo'!AH14/1000</f>
        <v>8836.9824457487739</v>
      </c>
      <c r="AO218" s="265">
        <f>'Conserva - Resumo'!AI14/1000</f>
        <v>12674.155891200313</v>
      </c>
      <c r="AP218" s="265">
        <f>'Conserva - Resumo'!AJ14/1000</f>
        <v>0</v>
      </c>
      <c r="AQ218" s="265"/>
      <c r="AR218" s="265"/>
      <c r="AS218" s="265"/>
      <c r="AT218" s="265"/>
      <c r="AU218" s="265"/>
      <c r="AV218" s="265"/>
      <c r="AW218" s="265"/>
      <c r="AX218" s="265"/>
      <c r="AY218" s="265"/>
      <c r="AZ218" s="265"/>
      <c r="BA218" s="265"/>
      <c r="BB218" s="265"/>
      <c r="BC218" s="265"/>
      <c r="BD218" s="265"/>
      <c r="BE218" s="265"/>
      <c r="BF218" s="265"/>
      <c r="BG218" s="265"/>
      <c r="BH218" s="265"/>
      <c r="BI218" s="265"/>
      <c r="BJ218" s="265"/>
      <c r="BK218" s="265"/>
      <c r="BL218" s="265"/>
      <c r="BM218" s="265"/>
      <c r="BN218" s="265"/>
    </row>
    <row r="219" spans="1:66">
      <c r="A219" s="595"/>
      <c r="B219" s="598"/>
      <c r="C219" s="599"/>
      <c r="D219" s="264"/>
      <c r="E219" s="260">
        <v>16</v>
      </c>
      <c r="F219" s="260"/>
      <c r="G219" s="265" t="s">
        <v>269</v>
      </c>
      <c r="H219" s="265" t="s">
        <v>907</v>
      </c>
      <c r="I219" s="265"/>
      <c r="J219" s="265"/>
      <c r="K219" s="263">
        <v>16</v>
      </c>
      <c r="L219" s="265">
        <f t="shared" si="27"/>
        <v>0</v>
      </c>
      <c r="M219" s="265">
        <f t="shared" si="28"/>
        <v>0</v>
      </c>
      <c r="N219" s="265">
        <f t="shared" si="28"/>
        <v>0</v>
      </c>
      <c r="O219" s="265">
        <f t="shared" si="28"/>
        <v>0</v>
      </c>
      <c r="P219" s="265">
        <f t="shared" si="28"/>
        <v>0</v>
      </c>
      <c r="Q219" s="265">
        <f t="shared" si="28"/>
        <v>0</v>
      </c>
      <c r="R219" s="265">
        <f t="shared" si="28"/>
        <v>0</v>
      </c>
      <c r="S219" s="265">
        <f t="shared" si="28"/>
        <v>0</v>
      </c>
      <c r="T219" s="265">
        <f t="shared" si="28"/>
        <v>0</v>
      </c>
      <c r="U219" s="265">
        <f t="shared" si="28"/>
        <v>0</v>
      </c>
      <c r="V219" s="265">
        <f t="shared" si="28"/>
        <v>0</v>
      </c>
      <c r="W219" s="265">
        <f t="shared" si="28"/>
        <v>0</v>
      </c>
      <c r="X219" s="265">
        <f t="shared" si="28"/>
        <v>0</v>
      </c>
      <c r="Y219" s="265">
        <f t="shared" si="28"/>
        <v>0</v>
      </c>
      <c r="Z219" s="265">
        <f t="shared" si="28"/>
        <v>0</v>
      </c>
      <c r="AA219" s="265">
        <f t="shared" si="28"/>
        <v>0</v>
      </c>
      <c r="AB219" s="265">
        <f t="shared" si="28"/>
        <v>0</v>
      </c>
      <c r="AC219" s="265">
        <f t="shared" si="28"/>
        <v>0</v>
      </c>
      <c r="AD219" s="265">
        <f t="shared" si="28"/>
        <v>0</v>
      </c>
      <c r="AE219" s="265">
        <f t="shared" si="28"/>
        <v>0</v>
      </c>
      <c r="AF219" s="265">
        <f t="shared" si="28"/>
        <v>0</v>
      </c>
      <c r="AG219" s="265">
        <f t="shared" si="28"/>
        <v>0</v>
      </c>
      <c r="AH219" s="265">
        <f t="shared" si="28"/>
        <v>0</v>
      </c>
      <c r="AI219" s="265">
        <f t="shared" si="28"/>
        <v>0</v>
      </c>
      <c r="AJ219" s="265">
        <f t="shared" si="28"/>
        <v>0</v>
      </c>
      <c r="AK219" s="265">
        <f t="shared" si="28"/>
        <v>0</v>
      </c>
      <c r="AL219" s="265">
        <f t="shared" si="28"/>
        <v>0</v>
      </c>
      <c r="AM219" s="265">
        <f t="shared" si="28"/>
        <v>0</v>
      </c>
      <c r="AN219" s="265">
        <f t="shared" si="28"/>
        <v>0</v>
      </c>
      <c r="AO219" s="265">
        <f t="shared" si="28"/>
        <v>0</v>
      </c>
      <c r="AP219" s="265">
        <f t="shared" si="28"/>
        <v>0</v>
      </c>
      <c r="AQ219" s="265"/>
      <c r="AR219" s="265"/>
      <c r="AS219" s="265"/>
      <c r="AT219" s="265"/>
      <c r="AU219" s="265"/>
      <c r="AV219" s="265"/>
      <c r="AW219" s="265"/>
      <c r="AX219" s="265"/>
      <c r="AY219" s="265"/>
      <c r="AZ219" s="265"/>
      <c r="BA219" s="265"/>
      <c r="BB219" s="265"/>
      <c r="BC219" s="265"/>
      <c r="BD219" s="265"/>
      <c r="BE219" s="265"/>
      <c r="BF219" s="265"/>
      <c r="BG219" s="265"/>
      <c r="BH219" s="265"/>
      <c r="BI219" s="265"/>
      <c r="BJ219" s="265"/>
      <c r="BK219" s="265"/>
      <c r="BL219" s="265"/>
      <c r="BM219" s="265"/>
      <c r="BN219" s="265"/>
    </row>
    <row r="220" spans="1:66">
      <c r="A220" s="595"/>
      <c r="B220" s="598"/>
      <c r="C220" s="599"/>
      <c r="D220" s="264"/>
      <c r="E220" s="260">
        <v>17</v>
      </c>
      <c r="F220" s="264"/>
      <c r="G220" s="262" t="s">
        <v>270</v>
      </c>
      <c r="H220" s="265"/>
      <c r="I220" s="265"/>
      <c r="J220" s="265"/>
      <c r="K220" s="263">
        <v>17</v>
      </c>
      <c r="L220" s="265">
        <f t="shared" si="27"/>
        <v>0</v>
      </c>
      <c r="M220" s="265">
        <f t="shared" si="28"/>
        <v>0</v>
      </c>
      <c r="N220" s="265">
        <f t="shared" si="28"/>
        <v>0</v>
      </c>
      <c r="O220" s="265">
        <f t="shared" si="28"/>
        <v>0</v>
      </c>
      <c r="P220" s="265">
        <f t="shared" si="28"/>
        <v>0</v>
      </c>
      <c r="Q220" s="265">
        <f t="shared" si="28"/>
        <v>0</v>
      </c>
      <c r="R220" s="265">
        <f t="shared" si="28"/>
        <v>0</v>
      </c>
      <c r="S220" s="265">
        <f t="shared" si="28"/>
        <v>0</v>
      </c>
      <c r="T220" s="265">
        <f t="shared" si="28"/>
        <v>0</v>
      </c>
      <c r="U220" s="265">
        <f t="shared" si="28"/>
        <v>0</v>
      </c>
      <c r="V220" s="265">
        <f t="shared" si="28"/>
        <v>0</v>
      </c>
      <c r="W220" s="265">
        <f t="shared" si="28"/>
        <v>0</v>
      </c>
      <c r="X220" s="265">
        <f t="shared" si="28"/>
        <v>0</v>
      </c>
      <c r="Y220" s="265">
        <f t="shared" si="28"/>
        <v>0</v>
      </c>
      <c r="Z220" s="265">
        <f t="shared" si="28"/>
        <v>0</v>
      </c>
      <c r="AA220" s="265">
        <f t="shared" si="28"/>
        <v>0</v>
      </c>
      <c r="AB220" s="265">
        <f t="shared" si="28"/>
        <v>0</v>
      </c>
      <c r="AC220" s="265">
        <f t="shared" si="28"/>
        <v>0</v>
      </c>
      <c r="AD220" s="265">
        <f t="shared" si="28"/>
        <v>0</v>
      </c>
      <c r="AE220" s="265">
        <f t="shared" si="28"/>
        <v>0</v>
      </c>
      <c r="AF220" s="265">
        <f t="shared" si="28"/>
        <v>0</v>
      </c>
      <c r="AG220" s="265">
        <f t="shared" si="28"/>
        <v>0</v>
      </c>
      <c r="AH220" s="265">
        <f t="shared" si="28"/>
        <v>0</v>
      </c>
      <c r="AI220" s="265">
        <f t="shared" si="28"/>
        <v>0</v>
      </c>
      <c r="AJ220" s="265">
        <f t="shared" si="28"/>
        <v>0</v>
      </c>
      <c r="AK220" s="265">
        <f t="shared" si="28"/>
        <v>0</v>
      </c>
      <c r="AL220" s="265">
        <f t="shared" si="28"/>
        <v>0</v>
      </c>
      <c r="AM220" s="265">
        <f t="shared" si="28"/>
        <v>0</v>
      </c>
      <c r="AN220" s="265">
        <f t="shared" si="28"/>
        <v>0</v>
      </c>
      <c r="AO220" s="265">
        <f t="shared" si="28"/>
        <v>0</v>
      </c>
      <c r="AP220" s="265">
        <f t="shared" si="28"/>
        <v>0</v>
      </c>
      <c r="AQ220" s="265"/>
      <c r="AR220" s="265"/>
      <c r="AS220" s="265"/>
      <c r="AT220" s="265"/>
      <c r="AU220" s="265"/>
      <c r="AV220" s="265"/>
      <c r="AW220" s="265"/>
      <c r="AX220" s="265"/>
      <c r="AY220" s="265"/>
      <c r="AZ220" s="265"/>
      <c r="BA220" s="265"/>
      <c r="BB220" s="265"/>
      <c r="BC220" s="265"/>
      <c r="BD220" s="265"/>
      <c r="BE220" s="265"/>
      <c r="BF220" s="265"/>
      <c r="BG220" s="265"/>
      <c r="BH220" s="265"/>
      <c r="BI220" s="265"/>
      <c r="BJ220" s="265"/>
      <c r="BK220" s="265"/>
      <c r="BL220" s="265"/>
      <c r="BM220" s="265"/>
      <c r="BN220" s="265"/>
    </row>
    <row r="221" spans="1:66">
      <c r="A221" s="595"/>
      <c r="B221" s="598"/>
      <c r="C221" s="599"/>
      <c r="D221" s="264"/>
      <c r="E221" s="264"/>
      <c r="F221" s="264"/>
      <c r="G221" s="265"/>
      <c r="H221" s="265"/>
      <c r="I221" s="265"/>
      <c r="J221" s="265"/>
      <c r="K221" s="265"/>
      <c r="L221" s="262">
        <f t="shared" ref="L221:AP221" si="29">SUM(L203:L220)</f>
        <v>951396.41516296007</v>
      </c>
      <c r="M221" s="262">
        <f t="shared" si="29"/>
        <v>25991.993792539972</v>
      </c>
      <c r="N221" s="262">
        <f t="shared" si="29"/>
        <v>29477.939260562562</v>
      </c>
      <c r="O221" s="262">
        <f t="shared" si="29"/>
        <v>35531.770397971224</v>
      </c>
      <c r="P221" s="262">
        <f t="shared" si="29"/>
        <v>28929.425401272008</v>
      </c>
      <c r="Q221" s="262">
        <f t="shared" si="29"/>
        <v>28818.97957916361</v>
      </c>
      <c r="R221" s="262">
        <f t="shared" si="29"/>
        <v>32255.307753109366</v>
      </c>
      <c r="S221" s="262">
        <f t="shared" si="29"/>
        <v>36001.056668732344</v>
      </c>
      <c r="T221" s="262">
        <f t="shared" si="29"/>
        <v>28944.581518850533</v>
      </c>
      <c r="U221" s="262">
        <f t="shared" si="29"/>
        <v>32364.648103961426</v>
      </c>
      <c r="V221" s="262">
        <f t="shared" si="29"/>
        <v>36213.931730445824</v>
      </c>
      <c r="W221" s="262">
        <f t="shared" si="29"/>
        <v>28874.415944494947</v>
      </c>
      <c r="X221" s="262">
        <f t="shared" si="29"/>
        <v>32656.985880145006</v>
      </c>
      <c r="Y221" s="262">
        <f t="shared" si="29"/>
        <v>36119.830861247756</v>
      </c>
      <c r="Z221" s="262">
        <f t="shared" si="29"/>
        <v>28986.80023681352</v>
      </c>
      <c r="AA221" s="262">
        <f t="shared" si="29"/>
        <v>32445.030519187178</v>
      </c>
      <c r="AB221" s="262">
        <f t="shared" si="29"/>
        <v>36549.48283906978</v>
      </c>
      <c r="AC221" s="262">
        <f t="shared" si="29"/>
        <v>28990.516282425247</v>
      </c>
      <c r="AD221" s="262">
        <f t="shared" si="29"/>
        <v>32698.490648817278</v>
      </c>
      <c r="AE221" s="262">
        <f t="shared" si="29"/>
        <v>36173.500530895464</v>
      </c>
      <c r="AF221" s="262">
        <f t="shared" si="29"/>
        <v>29015.59399655856</v>
      </c>
      <c r="AG221" s="262">
        <f t="shared" si="29"/>
        <v>32909.683815139622</v>
      </c>
      <c r="AH221" s="262">
        <f t="shared" si="29"/>
        <v>36938.370640608671</v>
      </c>
      <c r="AI221" s="262">
        <f t="shared" si="29"/>
        <v>29198.008674437231</v>
      </c>
      <c r="AJ221" s="262">
        <f t="shared" si="29"/>
        <v>33122.103136836202</v>
      </c>
      <c r="AK221" s="262">
        <f t="shared" si="29"/>
        <v>29155.747095373983</v>
      </c>
      <c r="AL221" s="262">
        <f t="shared" si="29"/>
        <v>33205.320540825523</v>
      </c>
      <c r="AM221" s="262">
        <f t="shared" si="29"/>
        <v>36834.511027650573</v>
      </c>
      <c r="AN221" s="262">
        <f t="shared" si="29"/>
        <v>29368.147095373984</v>
      </c>
      <c r="AO221" s="262">
        <f t="shared" si="29"/>
        <v>33093.076540825525</v>
      </c>
      <c r="AP221" s="262">
        <f t="shared" si="29"/>
        <v>20531.164649625211</v>
      </c>
      <c r="AQ221" s="265"/>
      <c r="AR221" s="265"/>
      <c r="AS221" s="265"/>
      <c r="AT221" s="265"/>
      <c r="AU221" s="265"/>
      <c r="AV221" s="265"/>
      <c r="AW221" s="265"/>
      <c r="AX221" s="265"/>
      <c r="AY221" s="265"/>
      <c r="AZ221" s="265"/>
      <c r="BA221" s="265"/>
      <c r="BB221" s="265"/>
      <c r="BC221" s="265"/>
      <c r="BD221" s="265"/>
      <c r="BE221" s="265"/>
      <c r="BF221" s="265"/>
      <c r="BG221" s="265"/>
      <c r="BH221" s="265"/>
      <c r="BI221" s="265"/>
      <c r="BJ221" s="265"/>
      <c r="BK221" s="265"/>
      <c r="BL221" s="265"/>
      <c r="BM221" s="265"/>
      <c r="BN221" s="265"/>
    </row>
    <row r="222" spans="1:66">
      <c r="A222" s="595"/>
      <c r="B222" s="598"/>
      <c r="C222" s="599"/>
      <c r="D222" s="264"/>
      <c r="E222" s="264"/>
      <c r="F222" s="264"/>
      <c r="G222" s="265"/>
      <c r="H222" s="265"/>
      <c r="I222" s="265"/>
      <c r="J222" s="265"/>
      <c r="K222" s="265"/>
      <c r="L222" s="265"/>
      <c r="M222" s="265"/>
      <c r="N222" s="265"/>
      <c r="O222" s="265"/>
      <c r="P222" s="265"/>
      <c r="Q222" s="265"/>
      <c r="R222" s="265"/>
      <c r="S222" s="265"/>
      <c r="T222" s="265"/>
      <c r="U222" s="265"/>
      <c r="V222" s="265"/>
      <c r="W222" s="265"/>
      <c r="X222" s="265"/>
      <c r="Y222" s="265"/>
      <c r="Z222" s="265"/>
      <c r="AA222" s="265"/>
      <c r="AB222" s="265"/>
      <c r="AC222" s="265"/>
      <c r="AD222" s="265"/>
      <c r="AE222" s="265"/>
      <c r="AF222" s="265"/>
      <c r="AG222" s="265"/>
      <c r="AH222" s="265"/>
      <c r="AI222" s="265"/>
      <c r="AJ222" s="265"/>
      <c r="AK222" s="265"/>
      <c r="AL222" s="265"/>
      <c r="AM222" s="265"/>
      <c r="AN222" s="265"/>
      <c r="AO222" s="265"/>
      <c r="AP222" s="265"/>
      <c r="AQ222" s="265"/>
      <c r="AR222" s="265"/>
      <c r="AS222" s="265"/>
      <c r="AT222" s="265"/>
      <c r="AU222" s="265"/>
      <c r="AV222" s="265"/>
      <c r="AW222" s="265"/>
      <c r="AX222" s="265"/>
      <c r="AY222" s="265"/>
      <c r="AZ222" s="265"/>
      <c r="BA222" s="265"/>
      <c r="BB222" s="265"/>
      <c r="BC222" s="265"/>
      <c r="BD222" s="265"/>
      <c r="BE222" s="265"/>
      <c r="BF222" s="265"/>
      <c r="BG222" s="265"/>
      <c r="BH222" s="265"/>
      <c r="BI222" s="265"/>
      <c r="BJ222" s="265"/>
      <c r="BK222" s="265"/>
      <c r="BL222" s="265"/>
      <c r="BM222" s="265"/>
      <c r="BN222" s="265"/>
    </row>
    <row r="223" spans="1:66">
      <c r="A223" s="595"/>
      <c r="B223" s="598"/>
      <c r="C223" s="599"/>
      <c r="D223" s="264"/>
      <c r="E223" s="264"/>
      <c r="F223" s="264"/>
      <c r="G223" s="265"/>
      <c r="H223" s="265"/>
      <c r="I223" s="265"/>
      <c r="J223" s="265"/>
      <c r="K223" s="265"/>
      <c r="L223" s="265"/>
      <c r="M223" s="265"/>
      <c r="N223" s="265"/>
      <c r="O223" s="265"/>
      <c r="P223" s="265"/>
      <c r="Q223" s="265"/>
      <c r="R223" s="265"/>
      <c r="S223" s="265"/>
      <c r="T223" s="265"/>
      <c r="U223" s="265"/>
      <c r="V223" s="265"/>
      <c r="W223" s="265"/>
      <c r="X223" s="265"/>
      <c r="Y223" s="265"/>
      <c r="Z223" s="265"/>
      <c r="AA223" s="265"/>
      <c r="AB223" s="265"/>
      <c r="AC223" s="265"/>
      <c r="AD223" s="265"/>
      <c r="AE223" s="265"/>
      <c r="AF223" s="265"/>
      <c r="AG223" s="265"/>
      <c r="AH223" s="265"/>
      <c r="AI223" s="265"/>
      <c r="AJ223" s="265"/>
      <c r="AK223" s="265"/>
      <c r="AL223" s="265"/>
      <c r="AM223" s="265"/>
      <c r="AN223" s="265"/>
      <c r="AO223" s="265"/>
      <c r="AP223" s="265"/>
      <c r="AQ223" s="265"/>
      <c r="AR223" s="265"/>
      <c r="AS223" s="265"/>
      <c r="AT223" s="265"/>
      <c r="AU223" s="265"/>
      <c r="AV223" s="265"/>
      <c r="AW223" s="265"/>
      <c r="AX223" s="265"/>
      <c r="AY223" s="265"/>
      <c r="AZ223" s="265"/>
      <c r="BA223" s="265"/>
      <c r="BB223" s="265"/>
      <c r="BC223" s="265"/>
      <c r="BD223" s="265"/>
      <c r="BE223" s="265"/>
      <c r="BF223" s="265"/>
      <c r="BG223" s="265"/>
      <c r="BH223" s="265"/>
      <c r="BI223" s="265"/>
      <c r="BJ223" s="265"/>
      <c r="BK223" s="265"/>
      <c r="BL223" s="265"/>
      <c r="BM223" s="265"/>
      <c r="BN223" s="265"/>
    </row>
    <row r="224" spans="1:66">
      <c r="A224" s="595"/>
      <c r="B224" s="598"/>
      <c r="C224" s="599"/>
      <c r="D224" s="264"/>
      <c r="E224" s="264"/>
      <c r="F224" s="264"/>
      <c r="G224" s="265"/>
      <c r="H224" s="265"/>
      <c r="I224" s="265"/>
      <c r="J224" s="265"/>
      <c r="K224" s="264"/>
      <c r="L224" s="265"/>
      <c r="M224" s="265"/>
      <c r="N224" s="265"/>
      <c r="O224" s="265"/>
      <c r="P224" s="265"/>
      <c r="Q224" s="265"/>
      <c r="R224" s="265"/>
      <c r="S224" s="265"/>
      <c r="T224" s="265"/>
      <c r="U224" s="265"/>
      <c r="V224" s="265"/>
      <c r="W224" s="265"/>
      <c r="X224" s="265"/>
      <c r="Y224" s="265"/>
      <c r="Z224" s="265"/>
      <c r="AA224" s="265"/>
      <c r="AB224" s="265"/>
      <c r="AC224" s="265"/>
      <c r="AD224" s="265"/>
      <c r="AE224" s="265"/>
      <c r="AF224" s="265"/>
      <c r="AG224" s="265"/>
      <c r="AH224" s="265"/>
      <c r="AI224" s="265"/>
      <c r="AJ224" s="265"/>
      <c r="AK224" s="265"/>
      <c r="AL224" s="265"/>
      <c r="AM224" s="265"/>
      <c r="AN224" s="265"/>
      <c r="AO224" s="265"/>
      <c r="AP224" s="265"/>
      <c r="AQ224" s="265"/>
      <c r="AR224" s="265"/>
      <c r="AS224" s="265"/>
      <c r="AT224" s="265"/>
      <c r="AU224" s="265"/>
      <c r="AV224" s="265"/>
      <c r="AW224" s="265"/>
      <c r="AX224" s="265"/>
      <c r="AY224" s="265"/>
      <c r="AZ224" s="265"/>
      <c r="BA224" s="265"/>
      <c r="BB224" s="265"/>
      <c r="BC224" s="265"/>
      <c r="BD224" s="265"/>
      <c r="BE224" s="265"/>
      <c r="BF224" s="265"/>
      <c r="BG224" s="265"/>
      <c r="BH224" s="265"/>
      <c r="BI224" s="265"/>
      <c r="BJ224" s="265"/>
      <c r="BK224" s="265"/>
      <c r="BL224" s="265"/>
      <c r="BM224" s="265"/>
      <c r="BN224" s="265"/>
    </row>
    <row r="225" spans="1:66">
      <c r="A225" s="595"/>
      <c r="B225" s="598"/>
      <c r="C225" s="599"/>
      <c r="D225" s="264"/>
      <c r="E225" s="264"/>
      <c r="F225" s="264"/>
      <c r="G225" s="265"/>
      <c r="H225" s="265"/>
      <c r="I225" s="265"/>
      <c r="J225" s="265"/>
      <c r="K225" s="264"/>
      <c r="L225" s="265"/>
      <c r="M225" s="265"/>
      <c r="N225" s="265"/>
      <c r="O225" s="265"/>
      <c r="P225" s="265"/>
      <c r="Q225" s="265"/>
      <c r="R225" s="265"/>
      <c r="S225" s="265"/>
      <c r="T225" s="265"/>
      <c r="U225" s="265"/>
      <c r="V225" s="265"/>
      <c r="W225" s="265"/>
      <c r="X225" s="265"/>
      <c r="Y225" s="265"/>
      <c r="Z225" s="265"/>
      <c r="AA225" s="265"/>
      <c r="AB225" s="265"/>
      <c r="AC225" s="265"/>
      <c r="AD225" s="265"/>
      <c r="AE225" s="265"/>
      <c r="AF225" s="265"/>
      <c r="AG225" s="265"/>
      <c r="AH225" s="265"/>
      <c r="AI225" s="265"/>
      <c r="AJ225" s="265"/>
      <c r="AK225" s="265"/>
      <c r="AL225" s="265"/>
      <c r="AM225" s="265"/>
      <c r="AN225" s="265"/>
      <c r="AO225" s="265"/>
      <c r="AP225" s="265"/>
      <c r="AQ225" s="265"/>
      <c r="AR225" s="265"/>
      <c r="AS225" s="265"/>
      <c r="AT225" s="265"/>
      <c r="AU225" s="265"/>
      <c r="AV225" s="265"/>
      <c r="AW225" s="265"/>
      <c r="AX225" s="265"/>
      <c r="AY225" s="265"/>
      <c r="AZ225" s="265"/>
      <c r="BA225" s="265"/>
      <c r="BB225" s="265"/>
      <c r="BC225" s="265"/>
      <c r="BD225" s="265"/>
      <c r="BE225" s="265"/>
      <c r="BF225" s="265"/>
      <c r="BG225" s="265"/>
      <c r="BH225" s="265"/>
      <c r="BI225" s="265"/>
      <c r="BJ225" s="265"/>
      <c r="BK225" s="265"/>
      <c r="BL225" s="265"/>
      <c r="BM225" s="265"/>
      <c r="BN225" s="265"/>
    </row>
    <row r="226" spans="1:66">
      <c r="A226" s="595"/>
      <c r="B226" s="598"/>
      <c r="C226" s="599"/>
      <c r="D226" s="264"/>
      <c r="E226" s="264"/>
      <c r="F226" s="264"/>
      <c r="G226" s="265"/>
      <c r="H226" s="265"/>
      <c r="I226" s="265"/>
      <c r="J226" s="265"/>
      <c r="K226" s="264"/>
      <c r="L226" s="265"/>
      <c r="M226" s="265"/>
      <c r="N226" s="265"/>
      <c r="O226" s="265"/>
      <c r="P226" s="265"/>
      <c r="Q226" s="265"/>
      <c r="R226" s="265"/>
      <c r="S226" s="265"/>
      <c r="T226" s="265"/>
      <c r="U226" s="265"/>
      <c r="V226" s="265"/>
      <c r="W226" s="265"/>
      <c r="X226" s="265"/>
      <c r="Y226" s="265"/>
      <c r="Z226" s="265"/>
      <c r="AA226" s="265"/>
      <c r="AB226" s="265"/>
      <c r="AC226" s="265"/>
      <c r="AD226" s="265"/>
      <c r="AE226" s="265"/>
      <c r="AF226" s="265"/>
      <c r="AG226" s="265"/>
      <c r="AH226" s="265"/>
      <c r="AI226" s="265"/>
      <c r="AJ226" s="265"/>
      <c r="AK226" s="265"/>
      <c r="AL226" s="265"/>
      <c r="AM226" s="265"/>
      <c r="AN226" s="265"/>
      <c r="AO226" s="265"/>
      <c r="AP226" s="265"/>
      <c r="AQ226" s="265"/>
      <c r="AR226" s="265"/>
      <c r="AS226" s="265"/>
      <c r="AT226" s="265"/>
      <c r="AU226" s="265"/>
      <c r="AV226" s="265"/>
      <c r="AW226" s="265"/>
      <c r="AX226" s="265"/>
      <c r="AY226" s="265"/>
      <c r="AZ226" s="265"/>
      <c r="BA226" s="265"/>
      <c r="BB226" s="265"/>
      <c r="BC226" s="265"/>
      <c r="BD226" s="265"/>
      <c r="BE226" s="265"/>
      <c r="BF226" s="265"/>
      <c r="BG226" s="265"/>
      <c r="BH226" s="265"/>
      <c r="BI226" s="265"/>
      <c r="BJ226" s="265"/>
      <c r="BK226" s="265"/>
      <c r="BL226" s="265"/>
      <c r="BM226" s="265"/>
      <c r="BN226" s="265"/>
    </row>
    <row r="227" spans="1:66">
      <c r="A227" s="595"/>
      <c r="B227" s="598"/>
      <c r="C227" s="599"/>
      <c r="D227" s="264"/>
      <c r="E227" s="264"/>
      <c r="F227" s="264"/>
      <c r="G227" s="265"/>
      <c r="H227" s="265"/>
      <c r="I227" s="265"/>
      <c r="J227" s="265"/>
      <c r="K227" s="264"/>
      <c r="L227" s="265"/>
      <c r="M227" s="265"/>
      <c r="N227" s="265"/>
      <c r="O227" s="265"/>
      <c r="P227" s="265"/>
      <c r="Q227" s="265"/>
      <c r="R227" s="265"/>
      <c r="S227" s="265"/>
      <c r="T227" s="265"/>
      <c r="U227" s="265"/>
      <c r="V227" s="265"/>
      <c r="W227" s="265"/>
      <c r="X227" s="265"/>
      <c r="Y227" s="265"/>
      <c r="Z227" s="265"/>
      <c r="AA227" s="265"/>
      <c r="AB227" s="265"/>
      <c r="AC227" s="265"/>
      <c r="AD227" s="265"/>
      <c r="AE227" s="265"/>
      <c r="AF227" s="265"/>
      <c r="AG227" s="265"/>
      <c r="AH227" s="265"/>
      <c r="AI227" s="265"/>
      <c r="AJ227" s="265"/>
      <c r="AK227" s="265"/>
      <c r="AL227" s="265"/>
      <c r="AM227" s="265"/>
      <c r="AN227" s="265"/>
      <c r="AO227" s="265"/>
      <c r="AP227" s="265"/>
      <c r="AQ227" s="265"/>
      <c r="AR227" s="265"/>
      <c r="AS227" s="265"/>
      <c r="AT227" s="265"/>
      <c r="AU227" s="265"/>
      <c r="AV227" s="265"/>
      <c r="AW227" s="265"/>
      <c r="AX227" s="265"/>
      <c r="AY227" s="265"/>
      <c r="AZ227" s="265"/>
      <c r="BA227" s="265"/>
      <c r="BB227" s="265"/>
      <c r="BC227" s="265"/>
      <c r="BD227" s="265"/>
      <c r="BE227" s="265"/>
      <c r="BF227" s="265"/>
      <c r="BG227" s="265"/>
      <c r="BH227" s="265"/>
      <c r="BI227" s="265"/>
      <c r="BJ227" s="265"/>
      <c r="BK227" s="265"/>
      <c r="BL227" s="265"/>
      <c r="BM227" s="265"/>
      <c r="BN227" s="265"/>
    </row>
    <row r="228" spans="1:66">
      <c r="A228" s="595"/>
      <c r="B228" s="598"/>
      <c r="C228" s="599"/>
      <c r="D228" s="264"/>
      <c r="E228" s="264"/>
      <c r="F228" s="264"/>
      <c r="G228" s="265"/>
      <c r="H228" s="265"/>
      <c r="I228" s="265"/>
      <c r="J228" s="265"/>
      <c r="K228" s="264"/>
      <c r="L228" s="265"/>
      <c r="M228" s="265"/>
      <c r="N228" s="265"/>
      <c r="O228" s="265"/>
      <c r="P228" s="265"/>
      <c r="Q228" s="265"/>
      <c r="R228" s="265"/>
      <c r="S228" s="265"/>
      <c r="T228" s="265"/>
      <c r="U228" s="265"/>
      <c r="V228" s="265"/>
      <c r="W228" s="265"/>
      <c r="X228" s="265"/>
      <c r="Y228" s="265"/>
      <c r="Z228" s="265"/>
      <c r="AA228" s="265"/>
      <c r="AB228" s="265"/>
      <c r="AC228" s="265"/>
      <c r="AD228" s="265"/>
      <c r="AE228" s="265"/>
      <c r="AF228" s="265"/>
      <c r="AG228" s="265"/>
      <c r="AH228" s="265"/>
      <c r="AI228" s="265"/>
      <c r="AJ228" s="265"/>
      <c r="AK228" s="265"/>
      <c r="AL228" s="265"/>
      <c r="AM228" s="265"/>
      <c r="AN228" s="265"/>
      <c r="AO228" s="265"/>
      <c r="AP228" s="265"/>
      <c r="AQ228" s="265"/>
      <c r="AR228" s="265"/>
      <c r="AS228" s="265"/>
      <c r="AT228" s="265"/>
      <c r="AU228" s="265"/>
      <c r="AV228" s="265"/>
      <c r="AW228" s="265"/>
      <c r="AX228" s="265"/>
      <c r="AY228" s="265"/>
      <c r="AZ228" s="265"/>
      <c r="BA228" s="265"/>
      <c r="BB228" s="265"/>
      <c r="BC228" s="265"/>
      <c r="BD228" s="265"/>
      <c r="BE228" s="265"/>
      <c r="BF228" s="265"/>
      <c r="BG228" s="265"/>
      <c r="BH228" s="265"/>
      <c r="BI228" s="265"/>
      <c r="BJ228" s="265"/>
      <c r="BK228" s="265"/>
      <c r="BL228" s="265"/>
      <c r="BM228" s="265"/>
      <c r="BN228" s="265"/>
    </row>
    <row r="229" spans="1:66">
      <c r="A229" s="595"/>
      <c r="B229" s="242"/>
      <c r="C229" s="599"/>
      <c r="D229" s="264"/>
      <c r="E229" s="264"/>
      <c r="F229" s="264"/>
      <c r="G229" s="265"/>
      <c r="H229" s="265"/>
      <c r="I229" s="265"/>
      <c r="J229" s="265"/>
      <c r="K229" s="264"/>
      <c r="L229" s="265"/>
      <c r="M229" s="265"/>
      <c r="N229" s="265"/>
      <c r="O229" s="265"/>
      <c r="P229" s="265"/>
      <c r="Q229" s="265"/>
      <c r="R229" s="265"/>
      <c r="S229" s="265"/>
      <c r="T229" s="265"/>
      <c r="U229" s="265"/>
      <c r="V229" s="265"/>
      <c r="W229" s="265"/>
      <c r="X229" s="265"/>
      <c r="Y229" s="265"/>
      <c r="Z229" s="265"/>
      <c r="AA229" s="265"/>
      <c r="AB229" s="265"/>
      <c r="AC229" s="265"/>
      <c r="AD229" s="265"/>
      <c r="AE229" s="265"/>
      <c r="AF229" s="265"/>
      <c r="AG229" s="265"/>
      <c r="AH229" s="265"/>
      <c r="AI229" s="265"/>
      <c r="AJ229" s="265"/>
      <c r="AK229" s="265"/>
      <c r="AL229" s="265"/>
      <c r="AM229" s="265"/>
      <c r="AN229" s="265"/>
      <c r="AO229" s="265"/>
      <c r="AP229" s="265"/>
      <c r="AQ229" s="265"/>
      <c r="AR229" s="265"/>
      <c r="AS229" s="265"/>
      <c r="AT229" s="265"/>
      <c r="AU229" s="265"/>
      <c r="AV229" s="265"/>
      <c r="AW229" s="265"/>
      <c r="AX229" s="265"/>
      <c r="AY229" s="265"/>
      <c r="AZ229" s="265"/>
      <c r="BA229" s="265"/>
      <c r="BB229" s="265"/>
      <c r="BC229" s="265"/>
      <c r="BD229" s="265"/>
      <c r="BE229" s="265"/>
      <c r="BF229" s="265"/>
      <c r="BG229" s="265"/>
      <c r="BH229" s="265"/>
      <c r="BI229" s="265"/>
      <c r="BJ229" s="265"/>
      <c r="BK229" s="265"/>
      <c r="BL229" s="265"/>
      <c r="BM229" s="265"/>
      <c r="BN229" s="265"/>
    </row>
    <row r="230" spans="1:66">
      <c r="A230" s="595"/>
      <c r="B230" s="242"/>
      <c r="C230" s="599"/>
      <c r="D230" s="264"/>
      <c r="E230" s="264"/>
      <c r="F230" s="264"/>
      <c r="G230" s="265"/>
      <c r="H230" s="265"/>
      <c r="I230" s="265"/>
      <c r="J230" s="265"/>
      <c r="K230" s="264"/>
      <c r="L230" s="265"/>
      <c r="M230" s="265"/>
      <c r="N230" s="265"/>
      <c r="O230" s="265"/>
      <c r="P230" s="265"/>
      <c r="Q230" s="265"/>
      <c r="R230" s="265"/>
      <c r="S230" s="265"/>
      <c r="T230" s="265"/>
      <c r="U230" s="265"/>
      <c r="V230" s="265"/>
      <c r="W230" s="265"/>
      <c r="X230" s="265"/>
      <c r="Y230" s="265"/>
      <c r="Z230" s="265"/>
      <c r="AA230" s="265"/>
      <c r="AB230" s="265"/>
      <c r="AC230" s="265"/>
      <c r="AD230" s="265"/>
      <c r="AE230" s="265"/>
      <c r="AF230" s="265"/>
      <c r="AG230" s="265"/>
      <c r="AH230" s="265"/>
      <c r="AI230" s="265"/>
      <c r="AJ230" s="265"/>
      <c r="AK230" s="265"/>
      <c r="AL230" s="265"/>
      <c r="AM230" s="265"/>
      <c r="AN230" s="265"/>
      <c r="AO230" s="265"/>
      <c r="AP230" s="265"/>
      <c r="AQ230" s="265"/>
      <c r="AR230" s="265"/>
      <c r="AS230" s="265"/>
      <c r="AT230" s="265"/>
      <c r="AU230" s="265"/>
      <c r="AV230" s="265"/>
      <c r="AW230" s="265"/>
      <c r="AX230" s="265"/>
      <c r="AY230" s="265"/>
      <c r="AZ230" s="265"/>
      <c r="BA230" s="265"/>
      <c r="BB230" s="265"/>
      <c r="BC230" s="265"/>
      <c r="BD230" s="265"/>
      <c r="BE230" s="265"/>
      <c r="BF230" s="265"/>
      <c r="BG230" s="265"/>
      <c r="BH230" s="265"/>
      <c r="BI230" s="265"/>
      <c r="BJ230" s="265"/>
      <c r="BK230" s="265"/>
      <c r="BL230" s="265"/>
      <c r="BM230" s="265"/>
      <c r="BN230" s="265"/>
    </row>
    <row r="231" spans="1:66">
      <c r="A231" s="595"/>
      <c r="B231" s="242"/>
      <c r="C231" s="599"/>
      <c r="D231" s="264"/>
      <c r="E231" s="264"/>
      <c r="F231" s="264"/>
      <c r="G231" s="265"/>
      <c r="H231" s="265"/>
      <c r="I231" s="265"/>
      <c r="J231" s="265"/>
      <c r="K231" s="264"/>
      <c r="L231" s="265"/>
      <c r="M231" s="265"/>
      <c r="N231" s="265"/>
      <c r="O231" s="265"/>
      <c r="P231" s="265"/>
      <c r="Q231" s="265"/>
      <c r="R231" s="265"/>
      <c r="S231" s="265"/>
      <c r="T231" s="265"/>
      <c r="U231" s="265"/>
      <c r="V231" s="265"/>
      <c r="W231" s="265"/>
      <c r="X231" s="265"/>
      <c r="Y231" s="265"/>
      <c r="Z231" s="265"/>
      <c r="AA231" s="265"/>
      <c r="AB231" s="265"/>
      <c r="AC231" s="265"/>
      <c r="AD231" s="265"/>
      <c r="AE231" s="265"/>
      <c r="AF231" s="265"/>
      <c r="AG231" s="265"/>
      <c r="AH231" s="265"/>
      <c r="AI231" s="265"/>
      <c r="AJ231" s="265"/>
      <c r="AK231" s="265"/>
      <c r="AL231" s="265"/>
      <c r="AM231" s="265"/>
      <c r="AN231" s="265"/>
      <c r="AO231" s="265"/>
      <c r="AP231" s="265"/>
      <c r="AQ231" s="265"/>
      <c r="AR231" s="265"/>
      <c r="AS231" s="265"/>
      <c r="AT231" s="265"/>
      <c r="AU231" s="265"/>
      <c r="AV231" s="265"/>
      <c r="AW231" s="265"/>
      <c r="AX231" s="265"/>
      <c r="AY231" s="265"/>
      <c r="AZ231" s="265"/>
      <c r="BA231" s="265"/>
      <c r="BB231" s="265"/>
      <c r="BC231" s="265"/>
      <c r="BD231" s="265"/>
      <c r="BE231" s="265"/>
      <c r="BF231" s="265"/>
      <c r="BG231" s="265"/>
      <c r="BH231" s="265"/>
      <c r="BI231" s="265"/>
      <c r="BJ231" s="265"/>
      <c r="BK231" s="265"/>
      <c r="BL231" s="265"/>
      <c r="BM231" s="265"/>
      <c r="BN231" s="265"/>
    </row>
    <row r="232" spans="1:66">
      <c r="A232" s="595"/>
      <c r="B232" s="242"/>
      <c r="C232" s="599"/>
      <c r="D232" s="264"/>
      <c r="E232" s="263"/>
      <c r="F232" s="264"/>
      <c r="G232" s="265"/>
      <c r="H232" s="265"/>
      <c r="I232" s="265"/>
      <c r="J232" s="265"/>
      <c r="K232" s="265"/>
      <c r="L232" s="265"/>
      <c r="M232" s="265"/>
      <c r="N232" s="265"/>
      <c r="O232" s="265"/>
      <c r="P232" s="265"/>
      <c r="Q232" s="265"/>
      <c r="R232" s="265"/>
      <c r="S232" s="265"/>
      <c r="T232" s="265"/>
      <c r="U232" s="265"/>
      <c r="V232" s="265"/>
      <c r="W232" s="265"/>
      <c r="X232" s="265"/>
      <c r="Y232" s="265"/>
      <c r="Z232" s="265"/>
      <c r="AA232" s="265"/>
      <c r="AB232" s="265"/>
      <c r="AC232" s="265"/>
      <c r="AD232" s="265"/>
      <c r="AE232" s="265"/>
      <c r="AF232" s="265"/>
      <c r="AG232" s="265"/>
      <c r="AH232" s="265"/>
      <c r="AI232" s="265"/>
      <c r="AJ232" s="265"/>
      <c r="AK232" s="265"/>
      <c r="AL232" s="265"/>
      <c r="AM232" s="265"/>
      <c r="AN232" s="265"/>
      <c r="AO232" s="265"/>
      <c r="AP232" s="265"/>
      <c r="AQ232" s="265"/>
      <c r="AR232" s="265"/>
      <c r="AS232" s="265"/>
      <c r="AT232" s="265"/>
      <c r="AU232" s="265"/>
      <c r="AV232" s="265"/>
      <c r="AW232" s="265"/>
      <c r="AX232" s="265"/>
      <c r="AY232" s="265"/>
      <c r="AZ232" s="265"/>
      <c r="BA232" s="265"/>
      <c r="BB232" s="265"/>
      <c r="BC232" s="265"/>
      <c r="BD232" s="265"/>
      <c r="BE232" s="265"/>
      <c r="BF232" s="265"/>
      <c r="BG232" s="265"/>
      <c r="BH232" s="265"/>
      <c r="BI232" s="265"/>
      <c r="BJ232" s="265"/>
      <c r="BK232" s="265"/>
      <c r="BL232" s="265"/>
      <c r="BM232" s="265"/>
      <c r="BN232" s="265"/>
    </row>
    <row r="233" spans="1:66">
      <c r="A233" s="595"/>
      <c r="B233" s="242"/>
      <c r="C233" s="599"/>
      <c r="D233" s="264"/>
      <c r="E233" s="264"/>
      <c r="F233" s="264"/>
      <c r="G233" s="265"/>
      <c r="H233" s="265"/>
      <c r="I233" s="265"/>
      <c r="J233" s="265"/>
      <c r="K233" s="265"/>
      <c r="L233" s="265"/>
      <c r="M233" s="265"/>
      <c r="N233" s="265"/>
      <c r="O233" s="265"/>
      <c r="P233" s="265"/>
      <c r="Q233" s="265"/>
      <c r="R233" s="265"/>
      <c r="S233" s="265"/>
      <c r="T233" s="265"/>
      <c r="U233" s="265"/>
      <c r="V233" s="265"/>
      <c r="W233" s="265"/>
      <c r="X233" s="265"/>
      <c r="Y233" s="265"/>
      <c r="Z233" s="265"/>
      <c r="AA233" s="265"/>
      <c r="AB233" s="265"/>
      <c r="AC233" s="265"/>
      <c r="AD233" s="265"/>
      <c r="AE233" s="265"/>
      <c r="AF233" s="265"/>
      <c r="AG233" s="265"/>
      <c r="AH233" s="265"/>
      <c r="AI233" s="265"/>
      <c r="AJ233" s="265"/>
      <c r="AK233" s="265"/>
      <c r="AL233" s="265"/>
      <c r="AM233" s="265"/>
      <c r="AN233" s="265"/>
      <c r="AO233" s="265"/>
      <c r="AP233" s="265"/>
      <c r="AQ233" s="265"/>
      <c r="AR233" s="265"/>
      <c r="AS233" s="265"/>
      <c r="AT233" s="265"/>
      <c r="AU233" s="265"/>
      <c r="AV233" s="265"/>
      <c r="AW233" s="265"/>
      <c r="AX233" s="265"/>
      <c r="AY233" s="265"/>
      <c r="AZ233" s="265"/>
      <c r="BA233" s="265"/>
      <c r="BB233" s="265"/>
      <c r="BC233" s="265"/>
      <c r="BD233" s="265"/>
      <c r="BE233" s="265"/>
      <c r="BF233" s="265"/>
      <c r="BG233" s="265"/>
      <c r="BH233" s="265"/>
      <c r="BI233" s="265"/>
      <c r="BJ233" s="265"/>
      <c r="BK233" s="265"/>
      <c r="BL233" s="265"/>
      <c r="BM233" s="265"/>
      <c r="BN233" s="265"/>
    </row>
    <row r="234" spans="1:66">
      <c r="A234" s="595"/>
      <c r="B234" s="242"/>
      <c r="C234" s="599"/>
      <c r="D234" s="264"/>
      <c r="E234" s="264"/>
      <c r="F234" s="264"/>
      <c r="G234" s="265"/>
      <c r="H234" s="265"/>
      <c r="I234" s="265"/>
      <c r="J234" s="265"/>
      <c r="K234" s="265"/>
      <c r="L234" s="265"/>
      <c r="M234" s="265"/>
      <c r="N234" s="265"/>
      <c r="O234" s="265"/>
      <c r="P234" s="265"/>
      <c r="Q234" s="265"/>
      <c r="R234" s="265"/>
      <c r="S234" s="265"/>
      <c r="T234" s="265"/>
      <c r="U234" s="265"/>
      <c r="V234" s="265"/>
      <c r="W234" s="265"/>
      <c r="X234" s="265"/>
      <c r="Y234" s="265"/>
      <c r="Z234" s="265"/>
      <c r="AA234" s="265"/>
      <c r="AB234" s="265"/>
      <c r="AC234" s="265"/>
      <c r="AD234" s="265"/>
      <c r="AE234" s="265"/>
      <c r="AF234" s="265"/>
      <c r="AG234" s="265"/>
      <c r="AH234" s="265"/>
      <c r="AI234" s="265"/>
      <c r="AJ234" s="265"/>
      <c r="AK234" s="265"/>
      <c r="AL234" s="265"/>
      <c r="AM234" s="265"/>
      <c r="AN234" s="265"/>
      <c r="AO234" s="265"/>
      <c r="AP234" s="265"/>
      <c r="AQ234" s="265"/>
      <c r="AR234" s="265"/>
      <c r="AS234" s="265"/>
      <c r="AT234" s="265"/>
      <c r="AU234" s="265"/>
      <c r="AV234" s="265"/>
      <c r="AW234" s="265"/>
      <c r="AX234" s="265"/>
      <c r="AY234" s="265"/>
      <c r="AZ234" s="265"/>
      <c r="BA234" s="265"/>
      <c r="BB234" s="265"/>
      <c r="BC234" s="265"/>
      <c r="BD234" s="265"/>
      <c r="BE234" s="265"/>
      <c r="BF234" s="265"/>
      <c r="BG234" s="265"/>
      <c r="BH234" s="265"/>
      <c r="BI234" s="265"/>
      <c r="BJ234" s="265"/>
      <c r="BK234" s="265"/>
      <c r="BL234" s="265"/>
      <c r="BM234" s="265"/>
      <c r="BN234" s="265"/>
    </row>
    <row r="235" spans="1:66">
      <c r="A235" s="595"/>
      <c r="B235" s="242"/>
      <c r="C235" s="599"/>
      <c r="D235" s="264"/>
      <c r="E235" s="264"/>
      <c r="F235" s="264"/>
      <c r="G235" s="265"/>
      <c r="H235" s="265"/>
      <c r="I235" s="265"/>
      <c r="J235" s="265"/>
      <c r="K235" s="265"/>
      <c r="L235" s="265"/>
      <c r="M235" s="265"/>
      <c r="N235" s="265"/>
      <c r="O235" s="265"/>
      <c r="P235" s="265"/>
      <c r="Q235" s="265"/>
      <c r="R235" s="265"/>
      <c r="S235" s="265"/>
      <c r="T235" s="265"/>
      <c r="U235" s="265"/>
      <c r="V235" s="265"/>
      <c r="W235" s="265"/>
      <c r="X235" s="265"/>
      <c r="Y235" s="265"/>
      <c r="Z235" s="265"/>
      <c r="AA235" s="265"/>
      <c r="AB235" s="265"/>
      <c r="AC235" s="265"/>
      <c r="AD235" s="265"/>
      <c r="AE235" s="265"/>
      <c r="AF235" s="265"/>
      <c r="AG235" s="265"/>
      <c r="AH235" s="265"/>
      <c r="AI235" s="265"/>
      <c r="AJ235" s="265"/>
      <c r="AK235" s="265"/>
      <c r="AL235" s="265"/>
      <c r="AM235" s="265"/>
      <c r="AN235" s="265"/>
      <c r="AO235" s="265"/>
      <c r="AP235" s="265"/>
      <c r="AQ235" s="265"/>
      <c r="AR235" s="265"/>
      <c r="AS235" s="265"/>
      <c r="AT235" s="265"/>
      <c r="AU235" s="265"/>
      <c r="AV235" s="265"/>
      <c r="AW235" s="265"/>
      <c r="AX235" s="265"/>
      <c r="AY235" s="265"/>
      <c r="AZ235" s="265"/>
      <c r="BA235" s="265"/>
      <c r="BB235" s="265"/>
      <c r="BC235" s="265"/>
      <c r="BD235" s="265"/>
      <c r="BE235" s="265"/>
      <c r="BF235" s="265"/>
      <c r="BG235" s="265"/>
      <c r="BH235" s="265"/>
      <c r="BI235" s="265"/>
      <c r="BJ235" s="265"/>
      <c r="BK235" s="265"/>
      <c r="BL235" s="265"/>
      <c r="BM235" s="265"/>
      <c r="BN235" s="265"/>
    </row>
    <row r="236" spans="1:66">
      <c r="A236" s="595"/>
      <c r="B236" s="242"/>
      <c r="C236" s="599"/>
      <c r="D236" s="264"/>
      <c r="E236" s="264"/>
      <c r="F236" s="264"/>
      <c r="G236" s="265"/>
      <c r="H236" s="265"/>
      <c r="I236" s="265"/>
      <c r="J236" s="265"/>
      <c r="K236" s="265"/>
      <c r="L236" s="280"/>
      <c r="M236" s="280"/>
      <c r="N236" s="280"/>
      <c r="O236" s="280"/>
      <c r="P236" s="280"/>
      <c r="Q236" s="280"/>
      <c r="R236" s="280"/>
      <c r="S236" s="280"/>
      <c r="T236" s="280"/>
      <c r="U236" s="280"/>
      <c r="V236" s="280"/>
      <c r="W236" s="280"/>
      <c r="X236" s="280"/>
      <c r="Y236" s="280"/>
      <c r="Z236" s="280"/>
      <c r="AA236" s="280"/>
      <c r="AB236" s="280"/>
      <c r="AC236" s="280"/>
      <c r="AD236" s="280"/>
      <c r="AE236" s="280"/>
      <c r="AF236" s="280"/>
      <c r="AG236" s="280"/>
      <c r="AH236" s="280"/>
      <c r="AI236" s="280"/>
      <c r="AJ236" s="280"/>
      <c r="AK236" s="280"/>
      <c r="AL236" s="280"/>
      <c r="AM236" s="280"/>
      <c r="AN236" s="280"/>
      <c r="AO236" s="280"/>
      <c r="AP236" s="280"/>
      <c r="AQ236" s="265"/>
      <c r="AR236" s="265"/>
      <c r="AS236" s="265"/>
      <c r="AT236" s="265"/>
      <c r="AU236" s="265"/>
      <c r="AV236" s="265"/>
      <c r="AW236" s="265"/>
      <c r="AX236" s="265"/>
      <c r="AY236" s="265"/>
      <c r="AZ236" s="265"/>
      <c r="BA236" s="265"/>
      <c r="BB236" s="265"/>
      <c r="BC236" s="265"/>
      <c r="BD236" s="265"/>
      <c r="BE236" s="265"/>
      <c r="BF236" s="265"/>
      <c r="BG236" s="265"/>
      <c r="BH236" s="265"/>
      <c r="BI236" s="265"/>
      <c r="BJ236" s="265"/>
      <c r="BK236" s="265"/>
      <c r="BL236" s="265"/>
      <c r="BM236" s="265"/>
      <c r="BN236" s="265"/>
    </row>
    <row r="237" spans="1:66">
      <c r="A237" s="595"/>
      <c r="B237" s="242"/>
      <c r="C237" s="599"/>
      <c r="D237" s="264"/>
      <c r="E237" s="264"/>
      <c r="F237" s="264"/>
      <c r="G237" s="265"/>
      <c r="H237" s="265"/>
      <c r="I237" s="265"/>
      <c r="J237" s="265"/>
      <c r="K237" s="265"/>
      <c r="L237" s="280"/>
      <c r="M237" s="280"/>
      <c r="N237" s="280"/>
      <c r="O237" s="280"/>
      <c r="P237" s="280"/>
      <c r="Q237" s="280"/>
      <c r="R237" s="280"/>
      <c r="S237" s="280"/>
      <c r="T237" s="280"/>
      <c r="U237" s="280"/>
      <c r="V237" s="280"/>
      <c r="W237" s="280"/>
      <c r="X237" s="280"/>
      <c r="Y237" s="280"/>
      <c r="Z237" s="280"/>
      <c r="AA237" s="280"/>
      <c r="AB237" s="280"/>
      <c r="AC237" s="280"/>
      <c r="AD237" s="280"/>
      <c r="AE237" s="280"/>
      <c r="AF237" s="280"/>
      <c r="AG237" s="280"/>
      <c r="AH237" s="280"/>
      <c r="AI237" s="280"/>
      <c r="AJ237" s="280"/>
      <c r="AK237" s="280"/>
      <c r="AL237" s="280"/>
      <c r="AM237" s="280"/>
      <c r="AN237" s="280"/>
      <c r="AO237" s="280"/>
      <c r="AP237" s="280"/>
      <c r="AQ237" s="265"/>
      <c r="AR237" s="265"/>
      <c r="AS237" s="265"/>
      <c r="AT237" s="265"/>
      <c r="AU237" s="265"/>
      <c r="AV237" s="265"/>
      <c r="AW237" s="265"/>
      <c r="AX237" s="265"/>
      <c r="AY237" s="265"/>
      <c r="AZ237" s="265"/>
      <c r="BA237" s="265"/>
      <c r="BB237" s="265"/>
      <c r="BC237" s="265"/>
      <c r="BD237" s="265"/>
      <c r="BE237" s="265"/>
      <c r="BF237" s="265"/>
      <c r="BG237" s="265"/>
      <c r="BH237" s="265"/>
      <c r="BI237" s="265"/>
      <c r="BJ237" s="265"/>
      <c r="BK237" s="265"/>
      <c r="BL237" s="265"/>
      <c r="BM237" s="265"/>
      <c r="BN237" s="265"/>
    </row>
    <row r="238" spans="1:66">
      <c r="A238" s="595"/>
      <c r="B238" s="242"/>
      <c r="C238" s="599"/>
      <c r="D238" s="264"/>
      <c r="E238" s="264"/>
      <c r="F238" s="264"/>
      <c r="G238" s="265"/>
      <c r="H238" s="265"/>
      <c r="I238" s="265"/>
      <c r="J238" s="265"/>
      <c r="K238" s="265"/>
      <c r="L238" s="280"/>
      <c r="M238" s="280"/>
      <c r="N238" s="280"/>
      <c r="O238" s="280"/>
      <c r="P238" s="280"/>
      <c r="Q238" s="280"/>
      <c r="R238" s="280"/>
      <c r="S238" s="280"/>
      <c r="T238" s="280"/>
      <c r="U238" s="280"/>
      <c r="V238" s="280"/>
      <c r="W238" s="280"/>
      <c r="X238" s="280"/>
      <c r="Y238" s="280"/>
      <c r="Z238" s="280"/>
      <c r="AA238" s="280"/>
      <c r="AB238" s="280"/>
      <c r="AC238" s="280"/>
      <c r="AD238" s="280"/>
      <c r="AE238" s="280"/>
      <c r="AF238" s="280"/>
      <c r="AG238" s="280"/>
      <c r="AH238" s="280"/>
      <c r="AI238" s="280"/>
      <c r="AJ238" s="280"/>
      <c r="AK238" s="280"/>
      <c r="AL238" s="280"/>
      <c r="AM238" s="280"/>
      <c r="AN238" s="280"/>
      <c r="AO238" s="280"/>
      <c r="AP238" s="280"/>
      <c r="AQ238" s="265"/>
      <c r="AR238" s="265"/>
      <c r="AS238" s="265"/>
      <c r="AT238" s="265"/>
      <c r="AU238" s="265"/>
      <c r="AV238" s="265"/>
      <c r="AW238" s="265"/>
      <c r="AX238" s="265"/>
      <c r="AY238" s="265"/>
      <c r="AZ238" s="265"/>
      <c r="BA238" s="265"/>
      <c r="BB238" s="265"/>
      <c r="BC238" s="265"/>
      <c r="BD238" s="265"/>
      <c r="BE238" s="265"/>
      <c r="BF238" s="265"/>
      <c r="BG238" s="265"/>
      <c r="BH238" s="265"/>
      <c r="BI238" s="265"/>
      <c r="BJ238" s="265"/>
      <c r="BK238" s="265"/>
      <c r="BL238" s="265"/>
      <c r="BM238" s="265"/>
      <c r="BN238" s="265"/>
    </row>
    <row r="239" spans="1:66">
      <c r="A239" s="595"/>
      <c r="B239" s="242"/>
      <c r="C239" s="599"/>
      <c r="D239" s="264"/>
      <c r="E239" s="264"/>
      <c r="F239" s="264"/>
      <c r="G239" s="265"/>
      <c r="H239" s="265"/>
      <c r="I239" s="265"/>
      <c r="J239" s="265"/>
      <c r="K239" s="265"/>
      <c r="L239" s="280"/>
      <c r="M239" s="280"/>
      <c r="N239" s="280"/>
      <c r="O239" s="280"/>
      <c r="P239" s="280"/>
      <c r="Q239" s="280"/>
      <c r="R239" s="280"/>
      <c r="S239" s="280"/>
      <c r="T239" s="280"/>
      <c r="U239" s="280"/>
      <c r="V239" s="280"/>
      <c r="W239" s="280"/>
      <c r="X239" s="280"/>
      <c r="Y239" s="280"/>
      <c r="Z239" s="280"/>
      <c r="AA239" s="280"/>
      <c r="AB239" s="280"/>
      <c r="AC239" s="280"/>
      <c r="AD239" s="280"/>
      <c r="AE239" s="280"/>
      <c r="AF239" s="280"/>
      <c r="AG239" s="280"/>
      <c r="AH239" s="280"/>
      <c r="AI239" s="280"/>
      <c r="AJ239" s="280"/>
      <c r="AK239" s="280"/>
      <c r="AL239" s="280"/>
      <c r="AM239" s="280"/>
      <c r="AN239" s="280"/>
      <c r="AO239" s="280"/>
      <c r="AP239" s="280"/>
      <c r="AQ239" s="265"/>
      <c r="AR239" s="265"/>
      <c r="AS239" s="265"/>
      <c r="AT239" s="265"/>
      <c r="AU239" s="265"/>
      <c r="AV239" s="265"/>
      <c r="AW239" s="265"/>
      <c r="AX239" s="265"/>
      <c r="AY239" s="265"/>
      <c r="AZ239" s="265"/>
      <c r="BA239" s="265"/>
      <c r="BB239" s="265"/>
      <c r="BC239" s="265"/>
      <c r="BD239" s="265"/>
      <c r="BE239" s="265"/>
      <c r="BF239" s="265"/>
      <c r="BG239" s="265"/>
      <c r="BH239" s="265"/>
      <c r="BI239" s="265"/>
      <c r="BJ239" s="265"/>
      <c r="BK239" s="265"/>
      <c r="BL239" s="265"/>
      <c r="BM239" s="265"/>
      <c r="BN239" s="265"/>
    </row>
    <row r="240" spans="1:66">
      <c r="A240" s="595"/>
      <c r="B240" s="242"/>
      <c r="C240" s="599"/>
      <c r="D240" s="264"/>
      <c r="E240" s="264"/>
      <c r="F240" s="264"/>
      <c r="G240" s="265"/>
      <c r="H240" s="265"/>
      <c r="I240" s="265"/>
      <c r="J240" s="265"/>
      <c r="K240" s="265"/>
      <c r="L240" s="280"/>
      <c r="M240" s="280"/>
      <c r="N240" s="280"/>
      <c r="O240" s="280"/>
      <c r="P240" s="280"/>
      <c r="Q240" s="280"/>
      <c r="R240" s="280"/>
      <c r="S240" s="280"/>
      <c r="T240" s="280"/>
      <c r="U240" s="280"/>
      <c r="V240" s="280"/>
      <c r="W240" s="280"/>
      <c r="X240" s="280"/>
      <c r="Y240" s="280"/>
      <c r="Z240" s="280"/>
      <c r="AA240" s="280"/>
      <c r="AB240" s="280"/>
      <c r="AC240" s="280"/>
      <c r="AD240" s="280"/>
      <c r="AE240" s="280"/>
      <c r="AF240" s="280"/>
      <c r="AG240" s="280"/>
      <c r="AH240" s="280"/>
      <c r="AI240" s="280"/>
      <c r="AJ240" s="280"/>
      <c r="AK240" s="280"/>
      <c r="AL240" s="280"/>
      <c r="AM240" s="280"/>
      <c r="AN240" s="280"/>
      <c r="AO240" s="280"/>
      <c r="AP240" s="280"/>
      <c r="AQ240" s="265"/>
      <c r="AR240" s="265"/>
      <c r="AS240" s="265"/>
      <c r="AT240" s="265"/>
      <c r="AU240" s="265"/>
      <c r="AV240" s="265"/>
      <c r="AW240" s="265"/>
      <c r="AX240" s="265"/>
      <c r="AY240" s="265"/>
      <c r="AZ240" s="265"/>
      <c r="BA240" s="265"/>
      <c r="BB240" s="265"/>
      <c r="BC240" s="265"/>
      <c r="BD240" s="265"/>
      <c r="BE240" s="265"/>
      <c r="BF240" s="265"/>
      <c r="BG240" s="265"/>
      <c r="BH240" s="265"/>
      <c r="BI240" s="265"/>
      <c r="BJ240" s="265"/>
      <c r="BK240" s="265"/>
      <c r="BL240" s="265"/>
      <c r="BM240" s="265"/>
      <c r="BN240" s="265"/>
    </row>
    <row r="241" spans="1:66">
      <c r="A241" s="595"/>
      <c r="B241" s="242"/>
      <c r="C241" s="599"/>
      <c r="D241" s="264"/>
      <c r="E241" s="264"/>
      <c r="F241" s="264"/>
      <c r="G241" s="265"/>
      <c r="H241" s="265"/>
      <c r="I241" s="265"/>
      <c r="J241" s="265"/>
      <c r="K241" s="265"/>
      <c r="L241" s="280"/>
      <c r="M241" s="280"/>
      <c r="N241" s="280"/>
      <c r="O241" s="280"/>
      <c r="P241" s="280"/>
      <c r="Q241" s="280"/>
      <c r="R241" s="280"/>
      <c r="S241" s="280"/>
      <c r="T241" s="280"/>
      <c r="U241" s="280"/>
      <c r="V241" s="280"/>
      <c r="W241" s="280"/>
      <c r="X241" s="280"/>
      <c r="Y241" s="280"/>
      <c r="Z241" s="280"/>
      <c r="AA241" s="280"/>
      <c r="AB241" s="280"/>
      <c r="AC241" s="280"/>
      <c r="AD241" s="280"/>
      <c r="AE241" s="280"/>
      <c r="AF241" s="280"/>
      <c r="AG241" s="280"/>
      <c r="AH241" s="280"/>
      <c r="AI241" s="280"/>
      <c r="AJ241" s="280"/>
      <c r="AK241" s="280"/>
      <c r="AL241" s="280"/>
      <c r="AM241" s="280"/>
      <c r="AN241" s="280"/>
      <c r="AO241" s="280"/>
      <c r="AP241" s="280"/>
      <c r="AQ241" s="265"/>
      <c r="AR241" s="265"/>
      <c r="AS241" s="265"/>
      <c r="AT241" s="265"/>
      <c r="AU241" s="265"/>
      <c r="AV241" s="265"/>
      <c r="AW241" s="265"/>
      <c r="AX241" s="265"/>
      <c r="AY241" s="265"/>
      <c r="AZ241" s="265"/>
      <c r="BA241" s="265"/>
      <c r="BB241" s="265"/>
      <c r="BC241" s="265"/>
      <c r="BD241" s="265"/>
      <c r="BE241" s="265"/>
      <c r="BF241" s="265"/>
      <c r="BG241" s="265"/>
      <c r="BH241" s="265"/>
      <c r="BI241" s="265"/>
      <c r="BJ241" s="265"/>
      <c r="BK241" s="265"/>
      <c r="BL241" s="265"/>
      <c r="BM241" s="265"/>
      <c r="BN241" s="265"/>
    </row>
    <row r="242" spans="1:66">
      <c r="A242" s="595"/>
      <c r="B242" s="242"/>
      <c r="C242" s="599"/>
      <c r="D242" s="264"/>
      <c r="E242" s="264"/>
      <c r="F242" s="264"/>
      <c r="G242" s="265"/>
      <c r="H242" s="265"/>
      <c r="I242" s="265"/>
      <c r="J242" s="265"/>
      <c r="K242" s="265"/>
      <c r="L242" s="280"/>
      <c r="M242" s="280"/>
      <c r="N242" s="280"/>
      <c r="O242" s="280"/>
      <c r="P242" s="280"/>
      <c r="Q242" s="280"/>
      <c r="R242" s="280"/>
      <c r="S242" s="280"/>
      <c r="T242" s="280"/>
      <c r="U242" s="280"/>
      <c r="V242" s="280"/>
      <c r="W242" s="280"/>
      <c r="X242" s="280"/>
      <c r="Y242" s="280"/>
      <c r="Z242" s="280"/>
      <c r="AA242" s="280"/>
      <c r="AB242" s="280"/>
      <c r="AC242" s="280"/>
      <c r="AD242" s="280"/>
      <c r="AE242" s="280"/>
      <c r="AF242" s="280"/>
      <c r="AG242" s="280"/>
      <c r="AH242" s="280"/>
      <c r="AI242" s="280"/>
      <c r="AJ242" s="280"/>
      <c r="AK242" s="280"/>
      <c r="AL242" s="280"/>
      <c r="AM242" s="280"/>
      <c r="AN242" s="280"/>
      <c r="AO242" s="280"/>
      <c r="AP242" s="280"/>
      <c r="AQ242" s="265"/>
      <c r="AR242" s="265"/>
      <c r="AS242" s="265"/>
      <c r="AT242" s="265"/>
      <c r="AU242" s="265"/>
      <c r="AV242" s="265"/>
      <c r="AW242" s="265"/>
      <c r="AX242" s="265"/>
      <c r="AY242" s="265"/>
      <c r="AZ242" s="265"/>
      <c r="BA242" s="265"/>
      <c r="BB242" s="265"/>
      <c r="BC242" s="265"/>
      <c r="BD242" s="265"/>
      <c r="BE242" s="265"/>
      <c r="BF242" s="265"/>
      <c r="BG242" s="265"/>
      <c r="BH242" s="265"/>
      <c r="BI242" s="265"/>
      <c r="BJ242" s="265"/>
      <c r="BK242" s="265"/>
      <c r="BL242" s="265"/>
      <c r="BM242" s="265"/>
      <c r="BN242" s="265"/>
    </row>
    <row r="243" spans="1:66">
      <c r="A243" s="595"/>
      <c r="B243" s="242"/>
      <c r="C243" s="599"/>
      <c r="D243" s="264"/>
      <c r="E243" s="264"/>
      <c r="F243" s="264"/>
      <c r="G243" s="265"/>
      <c r="H243" s="265"/>
      <c r="I243" s="265"/>
      <c r="J243" s="265"/>
      <c r="K243" s="265"/>
      <c r="L243" s="280"/>
      <c r="M243" s="280"/>
      <c r="N243" s="280"/>
      <c r="O243" s="280"/>
      <c r="P243" s="280"/>
      <c r="Q243" s="280"/>
      <c r="R243" s="280"/>
      <c r="S243" s="280"/>
      <c r="T243" s="280"/>
      <c r="U243" s="280"/>
      <c r="V243" s="280"/>
      <c r="W243" s="280"/>
      <c r="X243" s="280"/>
      <c r="Y243" s="280"/>
      <c r="Z243" s="280"/>
      <c r="AA243" s="280"/>
      <c r="AB243" s="280"/>
      <c r="AC243" s="280"/>
      <c r="AD243" s="280"/>
      <c r="AE243" s="280"/>
      <c r="AF243" s="280"/>
      <c r="AG243" s="280"/>
      <c r="AH243" s="280"/>
      <c r="AI243" s="280"/>
      <c r="AJ243" s="280"/>
      <c r="AK243" s="280"/>
      <c r="AL243" s="280"/>
      <c r="AM243" s="280"/>
      <c r="AN243" s="280"/>
      <c r="AO243" s="280"/>
      <c r="AP243" s="280"/>
      <c r="AQ243" s="265"/>
      <c r="AR243" s="265"/>
      <c r="AS243" s="265"/>
      <c r="AT243" s="265"/>
      <c r="AU243" s="265"/>
      <c r="AV243" s="265"/>
      <c r="AW243" s="265"/>
      <c r="AX243" s="265"/>
      <c r="AY243" s="265"/>
      <c r="AZ243" s="265"/>
      <c r="BA243" s="265"/>
      <c r="BB243" s="265"/>
      <c r="BC243" s="265"/>
      <c r="BD243" s="265"/>
      <c r="BE243" s="265"/>
      <c r="BF243" s="265"/>
      <c r="BG243" s="265"/>
      <c r="BH243" s="265"/>
      <c r="BI243" s="265"/>
      <c r="BJ243" s="265"/>
      <c r="BK243" s="265"/>
      <c r="BL243" s="265"/>
      <c r="BM243" s="265"/>
      <c r="BN243" s="265"/>
    </row>
    <row r="244" spans="1:66">
      <c r="A244" s="595"/>
      <c r="B244" s="242"/>
      <c r="C244" s="599"/>
      <c r="D244" s="264"/>
      <c r="E244" s="264"/>
      <c r="F244" s="264"/>
      <c r="G244" s="265"/>
      <c r="H244" s="265"/>
      <c r="I244" s="265"/>
      <c r="J244" s="265"/>
      <c r="K244" s="265"/>
      <c r="L244" s="280"/>
      <c r="M244" s="280"/>
      <c r="N244" s="280"/>
      <c r="O244" s="280"/>
      <c r="P244" s="280"/>
      <c r="Q244" s="280"/>
      <c r="R244" s="280"/>
      <c r="S244" s="280"/>
      <c r="T244" s="280"/>
      <c r="U244" s="280"/>
      <c r="V244" s="280"/>
      <c r="W244" s="280"/>
      <c r="X244" s="280"/>
      <c r="Y244" s="280"/>
      <c r="Z244" s="280"/>
      <c r="AA244" s="280"/>
      <c r="AB244" s="280"/>
      <c r="AC244" s="280"/>
      <c r="AD244" s="280"/>
      <c r="AE244" s="280"/>
      <c r="AF244" s="280"/>
      <c r="AG244" s="280"/>
      <c r="AH244" s="280"/>
      <c r="AI244" s="280"/>
      <c r="AJ244" s="280"/>
      <c r="AK244" s="280"/>
      <c r="AL244" s="280"/>
      <c r="AM244" s="280"/>
      <c r="AN244" s="280"/>
      <c r="AO244" s="280"/>
      <c r="AP244" s="280"/>
      <c r="AQ244" s="265"/>
      <c r="AR244" s="265"/>
      <c r="AS244" s="265"/>
      <c r="AT244" s="265"/>
      <c r="AU244" s="265"/>
      <c r="AV244" s="265"/>
      <c r="AW244" s="265"/>
      <c r="AX244" s="265"/>
      <c r="AY244" s="265"/>
      <c r="AZ244" s="265"/>
      <c r="BA244" s="265"/>
      <c r="BB244" s="265"/>
      <c r="BC244" s="265"/>
      <c r="BD244" s="265"/>
      <c r="BE244" s="265"/>
      <c r="BF244" s="265"/>
      <c r="BG244" s="265"/>
      <c r="BH244" s="265"/>
      <c r="BI244" s="265"/>
      <c r="BJ244" s="265"/>
      <c r="BK244" s="265"/>
      <c r="BL244" s="265"/>
      <c r="BM244" s="265"/>
      <c r="BN244" s="265"/>
    </row>
    <row r="245" spans="1:66">
      <c r="A245" s="595"/>
      <c r="B245" s="242"/>
      <c r="C245" s="599"/>
      <c r="D245" s="264"/>
      <c r="E245" s="264"/>
      <c r="F245" s="264"/>
      <c r="G245" s="265"/>
      <c r="H245" s="265"/>
      <c r="I245" s="265"/>
      <c r="J245" s="265"/>
      <c r="K245" s="265"/>
      <c r="L245" s="280"/>
      <c r="M245" s="280"/>
      <c r="N245" s="280"/>
      <c r="O245" s="280"/>
      <c r="P245" s="280"/>
      <c r="Q245" s="280"/>
      <c r="R245" s="280"/>
      <c r="S245" s="280"/>
      <c r="T245" s="280"/>
      <c r="U245" s="280"/>
      <c r="V245" s="280"/>
      <c r="W245" s="280"/>
      <c r="X245" s="280"/>
      <c r="Y245" s="280"/>
      <c r="Z245" s="280"/>
      <c r="AA245" s="280"/>
      <c r="AB245" s="280"/>
      <c r="AC245" s="280"/>
      <c r="AD245" s="280"/>
      <c r="AE245" s="280"/>
      <c r="AF245" s="280"/>
      <c r="AG245" s="280"/>
      <c r="AH245" s="280"/>
      <c r="AI245" s="280"/>
      <c r="AJ245" s="280"/>
      <c r="AK245" s="280"/>
      <c r="AL245" s="280"/>
      <c r="AM245" s="280"/>
      <c r="AN245" s="280"/>
      <c r="AO245" s="280"/>
      <c r="AP245" s="280"/>
      <c r="AQ245" s="265"/>
      <c r="AR245" s="265"/>
      <c r="AS245" s="265"/>
      <c r="AT245" s="265"/>
      <c r="AU245" s="265"/>
      <c r="AV245" s="265"/>
      <c r="AW245" s="265"/>
      <c r="AX245" s="265"/>
      <c r="AY245" s="265"/>
      <c r="AZ245" s="265"/>
      <c r="BA245" s="265"/>
      <c r="BB245" s="265"/>
      <c r="BC245" s="265"/>
      <c r="BD245" s="265"/>
      <c r="BE245" s="265"/>
      <c r="BF245" s="265"/>
      <c r="BG245" s="265"/>
      <c r="BH245" s="265"/>
      <c r="BI245" s="265"/>
      <c r="BJ245" s="265"/>
      <c r="BK245" s="265"/>
      <c r="BL245" s="265"/>
      <c r="BM245" s="265"/>
      <c r="BN245" s="265"/>
    </row>
    <row r="246" spans="1:66">
      <c r="A246" s="595"/>
      <c r="B246" s="242"/>
      <c r="C246" s="599"/>
      <c r="D246" s="264"/>
      <c r="E246" s="264"/>
      <c r="F246" s="264"/>
      <c r="G246" s="265"/>
      <c r="H246" s="265"/>
      <c r="I246" s="265"/>
      <c r="J246" s="265"/>
      <c r="K246" s="265"/>
      <c r="L246" s="280"/>
      <c r="M246" s="280"/>
      <c r="N246" s="280"/>
      <c r="O246" s="280"/>
      <c r="P246" s="280"/>
      <c r="Q246" s="280"/>
      <c r="R246" s="280"/>
      <c r="S246" s="280"/>
      <c r="T246" s="280"/>
      <c r="U246" s="280"/>
      <c r="V246" s="280"/>
      <c r="W246" s="280"/>
      <c r="X246" s="280"/>
      <c r="Y246" s="280"/>
      <c r="Z246" s="280"/>
      <c r="AA246" s="280"/>
      <c r="AB246" s="280"/>
      <c r="AC246" s="280"/>
      <c r="AD246" s="280"/>
      <c r="AE246" s="280"/>
      <c r="AF246" s="280"/>
      <c r="AG246" s="280"/>
      <c r="AH246" s="280"/>
      <c r="AI246" s="280"/>
      <c r="AJ246" s="280"/>
      <c r="AK246" s="280"/>
      <c r="AL246" s="280"/>
      <c r="AM246" s="280"/>
      <c r="AN246" s="280"/>
      <c r="AO246" s="280"/>
      <c r="AP246" s="280"/>
      <c r="AQ246" s="265"/>
      <c r="AR246" s="265"/>
      <c r="AS246" s="265"/>
      <c r="AT246" s="265"/>
      <c r="AU246" s="265"/>
      <c r="AV246" s="265"/>
      <c r="AW246" s="265"/>
      <c r="AX246" s="265"/>
      <c r="AY246" s="265"/>
      <c r="AZ246" s="265"/>
      <c r="BA246" s="265"/>
      <c r="BB246" s="265"/>
      <c r="BC246" s="265"/>
      <c r="BD246" s="265"/>
      <c r="BE246" s="265"/>
      <c r="BF246" s="265"/>
      <c r="BG246" s="265"/>
      <c r="BH246" s="265"/>
      <c r="BI246" s="265"/>
      <c r="BJ246" s="265"/>
      <c r="BK246" s="265"/>
      <c r="BL246" s="265"/>
      <c r="BM246" s="265"/>
      <c r="BN246" s="265"/>
    </row>
    <row r="247" spans="1:66">
      <c r="A247" s="595"/>
      <c r="B247" s="242"/>
      <c r="C247" s="599"/>
      <c r="D247" s="264"/>
      <c r="E247" s="264"/>
      <c r="F247" s="264"/>
      <c r="G247" s="265"/>
      <c r="H247" s="265"/>
      <c r="I247" s="265"/>
      <c r="J247" s="265"/>
      <c r="K247" s="265"/>
      <c r="L247" s="265">
        <f>SUM(L234:L246)</f>
        <v>0</v>
      </c>
      <c r="M247" s="265"/>
      <c r="N247" s="265"/>
      <c r="O247" s="265"/>
      <c r="P247" s="265"/>
      <c r="Q247" s="265"/>
      <c r="R247" s="265"/>
      <c r="S247" s="265"/>
      <c r="T247" s="265"/>
      <c r="U247" s="265"/>
      <c r="V247" s="265"/>
      <c r="W247" s="265"/>
      <c r="X247" s="265"/>
      <c r="Y247" s="265"/>
      <c r="Z247" s="265"/>
      <c r="AA247" s="265"/>
      <c r="AB247" s="265"/>
      <c r="AC247" s="265"/>
      <c r="AD247" s="265"/>
      <c r="AE247" s="265"/>
      <c r="AF247" s="265"/>
      <c r="AG247" s="265"/>
      <c r="AH247" s="265"/>
      <c r="AI247" s="265"/>
      <c r="AJ247" s="265"/>
      <c r="AK247" s="265"/>
      <c r="AL247" s="265"/>
      <c r="AM247" s="265"/>
      <c r="AN247" s="265"/>
      <c r="AO247" s="265"/>
      <c r="AP247" s="265"/>
      <c r="AQ247" s="265"/>
      <c r="AR247" s="265"/>
      <c r="AS247" s="265"/>
      <c r="AT247" s="265"/>
      <c r="AU247" s="265"/>
      <c r="AV247" s="265"/>
      <c r="AW247" s="265"/>
      <c r="AX247" s="265"/>
      <c r="AY247" s="265"/>
      <c r="AZ247" s="265"/>
      <c r="BA247" s="265"/>
      <c r="BB247" s="265"/>
      <c r="BC247" s="265"/>
      <c r="BD247" s="265"/>
      <c r="BE247" s="265"/>
      <c r="BF247" s="265"/>
      <c r="BG247" s="265"/>
      <c r="BH247" s="265"/>
      <c r="BI247" s="265"/>
      <c r="BJ247" s="265"/>
      <c r="BK247" s="265"/>
      <c r="BL247" s="265"/>
      <c r="BM247" s="265"/>
      <c r="BN247" s="265"/>
    </row>
    <row r="248" spans="1:66">
      <c r="A248" s="595"/>
      <c r="B248" s="242"/>
      <c r="C248" s="599"/>
      <c r="D248" s="264"/>
      <c r="E248" s="264"/>
      <c r="F248" s="264"/>
      <c r="G248" s="265"/>
      <c r="H248" s="265"/>
      <c r="I248" s="265"/>
      <c r="J248" s="265"/>
      <c r="K248" s="265"/>
      <c r="L248" s="265"/>
      <c r="M248" s="265"/>
      <c r="N248" s="265"/>
      <c r="O248" s="265"/>
      <c r="P248" s="265"/>
      <c r="Q248" s="265"/>
      <c r="R248" s="265"/>
      <c r="S248" s="265"/>
      <c r="T248" s="265"/>
      <c r="U248" s="265"/>
      <c r="V248" s="265"/>
      <c r="W248" s="265"/>
      <c r="X248" s="265"/>
      <c r="Y248" s="265"/>
      <c r="Z248" s="265"/>
      <c r="AA248" s="265"/>
      <c r="AB248" s="265"/>
      <c r="AC248" s="265"/>
      <c r="AD248" s="265"/>
      <c r="AE248" s="265"/>
      <c r="AF248" s="265"/>
      <c r="AG248" s="265"/>
      <c r="AH248" s="265"/>
      <c r="AI248" s="265"/>
      <c r="AJ248" s="265"/>
      <c r="AK248" s="265"/>
      <c r="AL248" s="265"/>
      <c r="AM248" s="265"/>
      <c r="AN248" s="265"/>
      <c r="AO248" s="265"/>
      <c r="AP248" s="265"/>
      <c r="AQ248" s="265"/>
      <c r="AR248" s="265"/>
      <c r="AS248" s="265"/>
      <c r="AT248" s="265"/>
      <c r="AU248" s="265"/>
      <c r="AV248" s="265"/>
      <c r="AW248" s="265"/>
      <c r="AX248" s="265"/>
      <c r="AY248" s="265"/>
      <c r="AZ248" s="265"/>
      <c r="BA248" s="265"/>
      <c r="BB248" s="265"/>
      <c r="BC248" s="265"/>
      <c r="BD248" s="265"/>
      <c r="BE248" s="265"/>
      <c r="BF248" s="265"/>
      <c r="BG248" s="265"/>
      <c r="BH248" s="265"/>
      <c r="BI248" s="265"/>
      <c r="BJ248" s="265"/>
      <c r="BK248" s="265"/>
      <c r="BL248" s="265"/>
      <c r="BM248" s="265"/>
      <c r="BN248" s="265"/>
    </row>
    <row r="249" spans="1:66">
      <c r="A249" s="595"/>
      <c r="B249" s="242"/>
      <c r="C249" s="599"/>
      <c r="D249" s="264"/>
      <c r="E249" s="264"/>
      <c r="F249" s="264"/>
      <c r="G249" s="265"/>
      <c r="H249" s="265"/>
      <c r="I249" s="265"/>
      <c r="J249" s="265"/>
      <c r="K249" s="265"/>
      <c r="L249" s="265"/>
      <c r="M249" s="265"/>
      <c r="N249" s="265"/>
      <c r="O249" s="265"/>
      <c r="P249" s="265"/>
      <c r="Q249" s="265"/>
      <c r="R249" s="265"/>
      <c r="S249" s="265"/>
      <c r="T249" s="265"/>
      <c r="U249" s="265"/>
      <c r="V249" s="265"/>
      <c r="W249" s="265"/>
      <c r="X249" s="265"/>
      <c r="Y249" s="265"/>
      <c r="Z249" s="265"/>
      <c r="AA249" s="265"/>
      <c r="AB249" s="265"/>
      <c r="AC249" s="265"/>
      <c r="AD249" s="265"/>
      <c r="AE249" s="265"/>
      <c r="AF249" s="265"/>
      <c r="AG249" s="265"/>
      <c r="AH249" s="265"/>
      <c r="AI249" s="265"/>
      <c r="AJ249" s="265"/>
      <c r="AK249" s="265"/>
      <c r="AL249" s="265"/>
      <c r="AM249" s="265"/>
      <c r="AN249" s="265"/>
      <c r="AO249" s="265"/>
      <c r="AP249" s="265"/>
      <c r="AQ249" s="265"/>
      <c r="AR249" s="265"/>
      <c r="AS249" s="265"/>
      <c r="AT249" s="265"/>
      <c r="AU249" s="265"/>
      <c r="AV249" s="265"/>
      <c r="AW249" s="265"/>
      <c r="AX249" s="265"/>
      <c r="AY249" s="265"/>
      <c r="AZ249" s="265"/>
      <c r="BA249" s="265"/>
      <c r="BB249" s="265"/>
      <c r="BC249" s="265"/>
      <c r="BD249" s="265"/>
      <c r="BE249" s="265"/>
      <c r="BF249" s="265"/>
      <c r="BG249" s="265"/>
      <c r="BH249" s="265"/>
      <c r="BI249" s="265"/>
      <c r="BJ249" s="265"/>
      <c r="BK249" s="265"/>
      <c r="BL249" s="265"/>
      <c r="BM249" s="265"/>
      <c r="BN249" s="265"/>
    </row>
    <row r="250" spans="1:66">
      <c r="A250" s="595"/>
      <c r="B250" s="242"/>
      <c r="C250" s="243"/>
      <c r="D250" s="264"/>
      <c r="E250" s="264"/>
      <c r="F250" s="264"/>
      <c r="G250" s="265"/>
      <c r="H250" s="265"/>
      <c r="I250" s="265"/>
      <c r="J250" s="265"/>
      <c r="K250" s="265"/>
      <c r="L250" s="265"/>
      <c r="M250" s="265"/>
      <c r="N250" s="265"/>
      <c r="O250" s="265"/>
      <c r="P250" s="265"/>
      <c r="Q250" s="265"/>
      <c r="R250" s="265"/>
      <c r="S250" s="265"/>
      <c r="T250" s="265"/>
      <c r="U250" s="265"/>
      <c r="V250" s="265"/>
      <c r="W250" s="265"/>
      <c r="X250" s="265"/>
      <c r="Y250" s="265"/>
      <c r="Z250" s="265"/>
      <c r="AA250" s="265"/>
      <c r="AB250" s="265"/>
      <c r="AC250" s="265"/>
      <c r="AD250" s="265"/>
      <c r="AE250" s="265"/>
      <c r="AF250" s="265"/>
      <c r="AG250" s="265"/>
      <c r="AH250" s="265"/>
      <c r="AI250" s="265"/>
      <c r="AJ250" s="265"/>
      <c r="AK250" s="265"/>
      <c r="AL250" s="265"/>
      <c r="AM250" s="265"/>
      <c r="AN250" s="265"/>
      <c r="AO250" s="265"/>
      <c r="AP250" s="265"/>
      <c r="AQ250" s="265"/>
      <c r="AR250" s="265"/>
      <c r="AS250" s="265"/>
      <c r="AT250" s="265"/>
      <c r="AU250" s="265"/>
      <c r="AV250" s="265"/>
      <c r="AW250" s="265"/>
      <c r="AX250" s="265"/>
      <c r="AY250" s="265"/>
      <c r="AZ250" s="265"/>
      <c r="BA250" s="265"/>
      <c r="BB250" s="265"/>
      <c r="BC250" s="265"/>
      <c r="BD250" s="265"/>
      <c r="BE250" s="265"/>
      <c r="BF250" s="265"/>
      <c r="BG250" s="265"/>
      <c r="BH250" s="265"/>
      <c r="BI250" s="265"/>
      <c r="BJ250" s="265"/>
      <c r="BK250" s="265"/>
      <c r="BL250" s="265"/>
      <c r="BM250" s="265"/>
      <c r="BN250" s="265"/>
    </row>
    <row r="251" spans="1:66">
      <c r="A251" s="595"/>
      <c r="B251" s="242"/>
      <c r="C251" s="243"/>
      <c r="D251" s="264"/>
      <c r="E251" s="264"/>
      <c r="F251" s="264"/>
      <c r="G251" s="265"/>
      <c r="H251" s="265"/>
      <c r="I251" s="265"/>
      <c r="J251" s="265"/>
      <c r="K251" s="265"/>
      <c r="L251" s="265"/>
      <c r="M251" s="265"/>
      <c r="N251" s="265"/>
      <c r="O251" s="265"/>
      <c r="P251" s="265"/>
      <c r="Q251" s="265"/>
      <c r="R251" s="265"/>
      <c r="S251" s="265"/>
      <c r="T251" s="265"/>
      <c r="U251" s="265"/>
      <c r="V251" s="265"/>
      <c r="W251" s="265"/>
      <c r="X251" s="265"/>
      <c r="Y251" s="265"/>
      <c r="Z251" s="265"/>
      <c r="AA251" s="265"/>
      <c r="AB251" s="265"/>
      <c r="AC251" s="265"/>
      <c r="AD251" s="265"/>
      <c r="AE251" s="265"/>
      <c r="AF251" s="265"/>
      <c r="AG251" s="265"/>
      <c r="AH251" s="265"/>
      <c r="AI251" s="265"/>
      <c r="AJ251" s="265"/>
      <c r="AK251" s="265"/>
      <c r="AL251" s="265"/>
      <c r="AM251" s="265"/>
      <c r="AN251" s="265"/>
      <c r="AO251" s="265"/>
      <c r="AP251" s="265"/>
      <c r="AQ251" s="265"/>
      <c r="AR251" s="265"/>
      <c r="AS251" s="265"/>
      <c r="AT251" s="265"/>
      <c r="AU251" s="265"/>
      <c r="AV251" s="265"/>
      <c r="AW251" s="265"/>
      <c r="AX251" s="265"/>
      <c r="AY251" s="265"/>
      <c r="AZ251" s="265"/>
      <c r="BA251" s="265"/>
      <c r="BB251" s="265"/>
      <c r="BC251" s="265"/>
      <c r="BD251" s="265"/>
      <c r="BE251" s="265"/>
      <c r="BF251" s="265"/>
      <c r="BG251" s="265"/>
      <c r="BH251" s="265"/>
      <c r="BI251" s="265"/>
      <c r="BJ251" s="265"/>
      <c r="BK251" s="265"/>
      <c r="BL251" s="265"/>
      <c r="BM251" s="265"/>
      <c r="BN251" s="265"/>
    </row>
    <row r="252" spans="1:66">
      <c r="A252" s="595"/>
      <c r="B252" s="242"/>
      <c r="C252" s="243"/>
      <c r="D252" s="264"/>
      <c r="E252" s="264"/>
      <c r="F252" s="264"/>
      <c r="G252" s="265"/>
      <c r="H252" s="265"/>
      <c r="I252" s="265"/>
      <c r="J252" s="265"/>
      <c r="K252" s="265"/>
      <c r="L252" s="265"/>
      <c r="M252" s="265"/>
      <c r="N252" s="265"/>
      <c r="O252" s="265"/>
      <c r="P252" s="265"/>
      <c r="Q252" s="265"/>
      <c r="R252" s="265"/>
      <c r="S252" s="265"/>
      <c r="T252" s="265"/>
      <c r="U252" s="265"/>
      <c r="V252" s="265"/>
      <c r="W252" s="265"/>
      <c r="X252" s="265"/>
      <c r="Y252" s="265"/>
      <c r="Z252" s="265"/>
      <c r="AA252" s="265"/>
      <c r="AB252" s="265"/>
      <c r="AC252" s="265"/>
      <c r="AD252" s="265"/>
      <c r="AE252" s="265"/>
      <c r="AF252" s="265"/>
      <c r="AG252" s="265"/>
      <c r="AH252" s="265"/>
      <c r="AI252" s="265"/>
      <c r="AJ252" s="265"/>
      <c r="AK252" s="265"/>
      <c r="AL252" s="265"/>
      <c r="AM252" s="265"/>
      <c r="AN252" s="265"/>
      <c r="AO252" s="265"/>
      <c r="AP252" s="265"/>
      <c r="AQ252" s="265"/>
      <c r="AR252" s="265"/>
      <c r="AS252" s="265"/>
      <c r="AT252" s="265"/>
      <c r="AU252" s="265"/>
      <c r="AV252" s="265"/>
      <c r="AW252" s="265"/>
      <c r="AX252" s="265"/>
      <c r="AY252" s="265"/>
      <c r="AZ252" s="265"/>
      <c r="BA252" s="265"/>
      <c r="BB252" s="265"/>
      <c r="BC252" s="265"/>
      <c r="BD252" s="265"/>
      <c r="BE252" s="265"/>
      <c r="BF252" s="265"/>
      <c r="BG252" s="265"/>
      <c r="BH252" s="265"/>
      <c r="BI252" s="265"/>
      <c r="BJ252" s="265"/>
      <c r="BK252" s="265"/>
      <c r="BL252" s="265"/>
      <c r="BM252" s="265"/>
      <c r="BN252" s="265"/>
    </row>
    <row r="253" spans="1:66">
      <c r="A253" s="595"/>
      <c r="B253" s="242"/>
      <c r="C253" s="243"/>
      <c r="D253" s="264"/>
      <c r="E253" s="264"/>
      <c r="F253" s="264"/>
      <c r="G253" s="265"/>
      <c r="H253" s="265"/>
      <c r="I253" s="265"/>
      <c r="J253" s="265"/>
      <c r="K253" s="265"/>
      <c r="L253" s="265"/>
      <c r="M253" s="265"/>
      <c r="N253" s="265"/>
      <c r="O253" s="265"/>
      <c r="P253" s="265"/>
      <c r="Q253" s="265"/>
      <c r="R253" s="265"/>
      <c r="S253" s="265"/>
      <c r="T253" s="265"/>
      <c r="U253" s="265"/>
      <c r="V253" s="265"/>
      <c r="W253" s="265"/>
      <c r="X253" s="265"/>
      <c r="Y253" s="265"/>
      <c r="Z253" s="265"/>
      <c r="AA253" s="265"/>
      <c r="AB253" s="265"/>
      <c r="AC253" s="265"/>
      <c r="AD253" s="265"/>
      <c r="AE253" s="265"/>
      <c r="AF253" s="265"/>
      <c r="AG253" s="265"/>
      <c r="AH253" s="265"/>
      <c r="AI253" s="265"/>
      <c r="AJ253" s="265"/>
      <c r="AK253" s="265"/>
      <c r="AL253" s="265"/>
      <c r="AM253" s="265"/>
      <c r="AN253" s="265"/>
      <c r="AO253" s="265"/>
      <c r="AP253" s="265"/>
      <c r="AQ253" s="265"/>
      <c r="AR253" s="265"/>
      <c r="AS253" s="265"/>
      <c r="AT253" s="265"/>
      <c r="AU253" s="265"/>
      <c r="AV253" s="265"/>
      <c r="AW253" s="265"/>
      <c r="AX253" s="265"/>
      <c r="AY253" s="265"/>
      <c r="AZ253" s="265"/>
      <c r="BA253" s="265"/>
      <c r="BB253" s="265"/>
      <c r="BC253" s="265"/>
      <c r="BD253" s="265"/>
      <c r="BE253" s="265"/>
      <c r="BF253" s="265"/>
      <c r="BG253" s="265"/>
      <c r="BH253" s="265"/>
      <c r="BI253" s="265"/>
      <c r="BJ253" s="265"/>
      <c r="BK253" s="265"/>
      <c r="BL253" s="265"/>
      <c r="BM253" s="265"/>
      <c r="BN253" s="265"/>
    </row>
    <row r="254" spans="1:66">
      <c r="A254" s="595"/>
      <c r="B254" s="242"/>
      <c r="C254" s="243"/>
      <c r="D254" s="264"/>
      <c r="E254" s="264"/>
      <c r="F254" s="264"/>
      <c r="G254" s="265"/>
      <c r="H254" s="265"/>
      <c r="I254" s="265"/>
      <c r="J254" s="265"/>
      <c r="K254" s="265"/>
      <c r="L254" s="265"/>
      <c r="M254" s="265"/>
      <c r="N254" s="265"/>
      <c r="O254" s="265"/>
      <c r="P254" s="265"/>
      <c r="Q254" s="265"/>
      <c r="R254" s="265"/>
      <c r="S254" s="265"/>
      <c r="T254" s="265"/>
      <c r="U254" s="265"/>
      <c r="V254" s="265"/>
      <c r="W254" s="265"/>
      <c r="X254" s="265"/>
      <c r="Y254" s="265"/>
      <c r="Z254" s="265"/>
      <c r="AA254" s="265"/>
      <c r="AB254" s="265"/>
      <c r="AC254" s="265"/>
      <c r="AD254" s="265"/>
      <c r="AE254" s="265"/>
      <c r="AF254" s="265"/>
      <c r="AG254" s="265"/>
      <c r="AH254" s="265"/>
      <c r="AI254" s="265"/>
      <c r="AJ254" s="265"/>
      <c r="AK254" s="265"/>
      <c r="AL254" s="265"/>
      <c r="AM254" s="265"/>
      <c r="AN254" s="265"/>
      <c r="AO254" s="265"/>
      <c r="AP254" s="265"/>
      <c r="AQ254" s="265"/>
      <c r="AR254" s="265"/>
      <c r="AS254" s="265"/>
      <c r="AT254" s="265"/>
      <c r="AU254" s="265"/>
      <c r="AV254" s="265"/>
      <c r="AW254" s="265"/>
      <c r="AX254" s="265"/>
      <c r="AY254" s="265"/>
      <c r="AZ254" s="265"/>
      <c r="BA254" s="265"/>
      <c r="BB254" s="265"/>
      <c r="BC254" s="265"/>
      <c r="BD254" s="265"/>
      <c r="BE254" s="265"/>
      <c r="BF254" s="265"/>
      <c r="BG254" s="265"/>
      <c r="BH254" s="265"/>
      <c r="BI254" s="265"/>
      <c r="BJ254" s="265"/>
      <c r="BK254" s="265"/>
      <c r="BL254" s="265"/>
      <c r="BM254" s="265"/>
      <c r="BN254" s="265"/>
    </row>
    <row r="255" spans="1:66">
      <c r="A255" s="595"/>
      <c r="B255" s="242"/>
      <c r="C255" s="243"/>
      <c r="D255" s="264"/>
      <c r="E255" s="264"/>
      <c r="F255" s="264"/>
      <c r="G255" s="265"/>
      <c r="H255" s="265"/>
      <c r="I255" s="265"/>
      <c r="J255" s="265"/>
      <c r="K255" s="265"/>
      <c r="L255" s="265"/>
      <c r="M255" s="265"/>
      <c r="N255" s="265"/>
      <c r="O255" s="265"/>
      <c r="P255" s="265"/>
      <c r="Q255" s="265"/>
      <c r="R255" s="265"/>
      <c r="S255" s="265"/>
      <c r="T255" s="265"/>
      <c r="U255" s="265"/>
      <c r="V255" s="265"/>
      <c r="W255" s="265"/>
      <c r="X255" s="265"/>
      <c r="Y255" s="265"/>
      <c r="Z255" s="265"/>
      <c r="AA255" s="265"/>
      <c r="AB255" s="265"/>
      <c r="AC255" s="265"/>
      <c r="AD255" s="265"/>
      <c r="AE255" s="265"/>
      <c r="AF255" s="265"/>
      <c r="AG255" s="265"/>
      <c r="AH255" s="265"/>
      <c r="AI255" s="265"/>
      <c r="AJ255" s="265"/>
      <c r="AK255" s="265"/>
      <c r="AL255" s="265"/>
      <c r="AM255" s="265"/>
      <c r="AN255" s="265"/>
      <c r="AO255" s="265"/>
      <c r="AP255" s="265"/>
      <c r="AQ255" s="265"/>
      <c r="AR255" s="265"/>
      <c r="AS255" s="265"/>
      <c r="AT255" s="265"/>
      <c r="AU255" s="265"/>
      <c r="AV255" s="265"/>
      <c r="AW255" s="265"/>
      <c r="AX255" s="265"/>
      <c r="AY255" s="265"/>
      <c r="AZ255" s="265"/>
      <c r="BA255" s="265"/>
      <c r="BB255" s="265"/>
      <c r="BC255" s="265"/>
      <c r="BD255" s="265"/>
      <c r="BE255" s="265"/>
      <c r="BF255" s="265"/>
      <c r="BG255" s="265"/>
      <c r="BH255" s="265"/>
      <c r="BI255" s="265"/>
      <c r="BJ255" s="265"/>
      <c r="BK255" s="265"/>
      <c r="BL255" s="265"/>
      <c r="BM255" s="265"/>
      <c r="BN255" s="265"/>
    </row>
    <row r="256" spans="1:66">
      <c r="A256" s="595"/>
      <c r="B256" s="242"/>
      <c r="C256" s="243"/>
      <c r="D256" s="264"/>
      <c r="E256" s="264"/>
      <c r="F256" s="264"/>
      <c r="G256" s="265"/>
      <c r="H256" s="265"/>
      <c r="I256" s="265"/>
      <c r="J256" s="265"/>
      <c r="K256" s="265"/>
      <c r="L256" s="265"/>
      <c r="M256" s="265"/>
      <c r="N256" s="265"/>
      <c r="O256" s="265"/>
      <c r="P256" s="265"/>
      <c r="Q256" s="265"/>
      <c r="R256" s="265"/>
      <c r="S256" s="265"/>
      <c r="T256" s="265"/>
      <c r="U256" s="265"/>
      <c r="V256" s="265"/>
      <c r="W256" s="265"/>
      <c r="X256" s="265"/>
      <c r="Y256" s="265"/>
      <c r="Z256" s="265"/>
      <c r="AA256" s="265"/>
      <c r="AB256" s="265"/>
      <c r="AC256" s="265"/>
      <c r="AD256" s="265"/>
      <c r="AE256" s="265"/>
      <c r="AF256" s="265"/>
      <c r="AG256" s="265"/>
      <c r="AH256" s="265"/>
      <c r="AI256" s="265"/>
      <c r="AJ256" s="265"/>
      <c r="AK256" s="265"/>
      <c r="AL256" s="265"/>
      <c r="AM256" s="265"/>
      <c r="AN256" s="265"/>
      <c r="AO256" s="265"/>
      <c r="AP256" s="265"/>
      <c r="AQ256" s="265"/>
      <c r="AR256" s="265"/>
      <c r="AS256" s="265"/>
      <c r="AT256" s="265"/>
      <c r="AU256" s="265"/>
      <c r="AV256" s="265"/>
      <c r="AW256" s="265"/>
      <c r="AX256" s="265"/>
      <c r="AY256" s="265"/>
      <c r="AZ256" s="265"/>
      <c r="BA256" s="265"/>
      <c r="BB256" s="265"/>
      <c r="BC256" s="265"/>
      <c r="BD256" s="265"/>
      <c r="BE256" s="265"/>
      <c r="BF256" s="265"/>
      <c r="BG256" s="265"/>
      <c r="BH256" s="265"/>
      <c r="BI256" s="265"/>
      <c r="BJ256" s="265"/>
      <c r="BK256" s="265"/>
      <c r="BL256" s="265"/>
      <c r="BM256" s="265"/>
      <c r="BN256" s="265"/>
    </row>
    <row r="257" spans="1:66">
      <c r="A257" s="595"/>
      <c r="B257" s="242"/>
      <c r="C257" s="243"/>
      <c r="D257" s="264"/>
      <c r="E257" s="264"/>
      <c r="F257" s="264"/>
      <c r="G257" s="265"/>
      <c r="H257" s="265"/>
      <c r="I257" s="265"/>
      <c r="J257" s="265"/>
      <c r="K257" s="265"/>
      <c r="L257" s="265"/>
      <c r="M257" s="265"/>
      <c r="N257" s="265"/>
      <c r="O257" s="265"/>
      <c r="P257" s="265"/>
      <c r="Q257" s="265"/>
      <c r="R257" s="265"/>
      <c r="S257" s="265"/>
      <c r="T257" s="265"/>
      <c r="U257" s="265"/>
      <c r="V257" s="265"/>
      <c r="W257" s="265"/>
      <c r="X257" s="265"/>
      <c r="Y257" s="265"/>
      <c r="Z257" s="265"/>
      <c r="AA257" s="265"/>
      <c r="AB257" s="265"/>
      <c r="AC257" s="265"/>
      <c r="AD257" s="265"/>
      <c r="AE257" s="265"/>
      <c r="AF257" s="265"/>
      <c r="AG257" s="265"/>
      <c r="AH257" s="265"/>
      <c r="AI257" s="265"/>
      <c r="AJ257" s="265"/>
      <c r="AK257" s="265"/>
      <c r="AL257" s="265"/>
      <c r="AM257" s="265"/>
      <c r="AN257" s="265"/>
      <c r="AO257" s="265"/>
      <c r="AP257" s="265"/>
      <c r="AQ257" s="265"/>
      <c r="AR257" s="265"/>
      <c r="AS257" s="265"/>
      <c r="AT257" s="265"/>
      <c r="AU257" s="265"/>
      <c r="AV257" s="265"/>
      <c r="AW257" s="265"/>
      <c r="AX257" s="265"/>
      <c r="AY257" s="265"/>
      <c r="AZ257" s="265"/>
      <c r="BA257" s="265"/>
      <c r="BB257" s="265"/>
      <c r="BC257" s="265"/>
      <c r="BD257" s="265"/>
      <c r="BE257" s="265"/>
      <c r="BF257" s="265"/>
      <c r="BG257" s="265"/>
      <c r="BH257" s="265"/>
      <c r="BI257" s="265"/>
      <c r="BJ257" s="265"/>
      <c r="BK257" s="265"/>
      <c r="BL257" s="265"/>
      <c r="BM257" s="265"/>
      <c r="BN257" s="265"/>
    </row>
    <row r="258" spans="1:66">
      <c r="A258" s="595"/>
      <c r="B258" s="242"/>
      <c r="C258" s="243"/>
      <c r="D258" s="264"/>
      <c r="E258" s="264"/>
      <c r="F258" s="264"/>
      <c r="G258" s="265"/>
      <c r="H258" s="265"/>
      <c r="I258" s="265"/>
      <c r="J258" s="265"/>
      <c r="K258" s="265"/>
      <c r="L258" s="265"/>
      <c r="M258" s="265"/>
      <c r="N258" s="265"/>
      <c r="O258" s="265"/>
      <c r="P258" s="265"/>
      <c r="Q258" s="265"/>
      <c r="R258" s="265"/>
      <c r="S258" s="265"/>
      <c r="T258" s="265"/>
      <c r="U258" s="265"/>
      <c r="V258" s="265"/>
      <c r="W258" s="265"/>
      <c r="X258" s="265"/>
      <c r="Y258" s="265"/>
      <c r="Z258" s="265"/>
      <c r="AA258" s="265"/>
      <c r="AB258" s="265"/>
      <c r="AC258" s="265"/>
      <c r="AD258" s="265"/>
      <c r="AE258" s="265"/>
      <c r="AF258" s="265"/>
      <c r="AG258" s="265"/>
      <c r="AH258" s="265"/>
      <c r="AI258" s="265"/>
      <c r="AJ258" s="265"/>
      <c r="AK258" s="265"/>
      <c r="AL258" s="265"/>
      <c r="AM258" s="265"/>
      <c r="AN258" s="265"/>
      <c r="AO258" s="265"/>
      <c r="AP258" s="265"/>
      <c r="AQ258" s="265"/>
      <c r="AR258" s="265"/>
      <c r="AS258" s="265"/>
      <c r="AT258" s="265"/>
      <c r="AU258" s="265"/>
      <c r="AV258" s="265"/>
      <c r="AW258" s="265"/>
      <c r="AX258" s="265"/>
      <c r="AY258" s="265"/>
      <c r="AZ258" s="265"/>
      <c r="BA258" s="265"/>
      <c r="BB258" s="265"/>
      <c r="BC258" s="265"/>
      <c r="BD258" s="265"/>
      <c r="BE258" s="265"/>
      <c r="BF258" s="265"/>
      <c r="BG258" s="265"/>
      <c r="BH258" s="265"/>
      <c r="BI258" s="265"/>
      <c r="BJ258" s="265"/>
      <c r="BK258" s="265"/>
      <c r="BL258" s="265"/>
      <c r="BM258" s="265"/>
      <c r="BN258" s="265"/>
    </row>
    <row r="259" spans="1:66">
      <c r="A259" s="595"/>
      <c r="B259" s="242"/>
      <c r="C259" s="243"/>
      <c r="D259" s="264"/>
      <c r="E259" s="264"/>
      <c r="F259" s="264"/>
      <c r="G259" s="265"/>
      <c r="H259" s="265"/>
      <c r="I259" s="265"/>
      <c r="J259" s="265"/>
      <c r="K259" s="265"/>
      <c r="L259" s="265"/>
      <c r="M259" s="265"/>
      <c r="N259" s="265"/>
      <c r="O259" s="265"/>
      <c r="P259" s="265"/>
      <c r="Q259" s="265"/>
      <c r="R259" s="265"/>
      <c r="S259" s="265"/>
      <c r="T259" s="265"/>
      <c r="U259" s="265"/>
      <c r="V259" s="265"/>
      <c r="W259" s="265"/>
      <c r="X259" s="265"/>
      <c r="Y259" s="265"/>
      <c r="Z259" s="265"/>
      <c r="AA259" s="265"/>
      <c r="AB259" s="265"/>
      <c r="AC259" s="265"/>
      <c r="AD259" s="265"/>
      <c r="AE259" s="265"/>
      <c r="AF259" s="265"/>
      <c r="AG259" s="265"/>
      <c r="AH259" s="265"/>
      <c r="AI259" s="265"/>
      <c r="AJ259" s="265"/>
      <c r="AK259" s="265"/>
      <c r="AL259" s="265"/>
      <c r="AM259" s="265"/>
      <c r="AN259" s="265"/>
      <c r="AO259" s="265"/>
      <c r="AP259" s="265"/>
      <c r="AQ259" s="265"/>
      <c r="AR259" s="265"/>
      <c r="AS259" s="265"/>
      <c r="AT259" s="265"/>
      <c r="AU259" s="265"/>
      <c r="AV259" s="265"/>
      <c r="AW259" s="265"/>
      <c r="AX259" s="265"/>
      <c r="AY259" s="265"/>
      <c r="AZ259" s="265"/>
      <c r="BA259" s="265"/>
      <c r="BB259" s="265"/>
      <c r="BC259" s="265"/>
      <c r="BD259" s="265"/>
      <c r="BE259" s="265"/>
      <c r="BF259" s="265"/>
      <c r="BG259" s="265"/>
      <c r="BH259" s="265"/>
      <c r="BI259" s="265"/>
      <c r="BJ259" s="265"/>
      <c r="BK259" s="265"/>
      <c r="BL259" s="265"/>
      <c r="BM259" s="265"/>
      <c r="BN259" s="265"/>
    </row>
    <row r="260" spans="1:66">
      <c r="A260" s="595"/>
      <c r="B260" s="242"/>
      <c r="C260" s="243"/>
      <c r="D260" s="264"/>
      <c r="E260" s="264"/>
      <c r="F260" s="264"/>
      <c r="G260" s="265"/>
      <c r="H260" s="265"/>
      <c r="I260" s="265"/>
      <c r="J260" s="265"/>
      <c r="K260" s="265"/>
      <c r="L260" s="265"/>
      <c r="M260" s="265"/>
      <c r="N260" s="265"/>
      <c r="O260" s="265"/>
      <c r="P260" s="265"/>
      <c r="Q260" s="265"/>
      <c r="R260" s="265"/>
      <c r="S260" s="265"/>
      <c r="T260" s="265"/>
      <c r="U260" s="265"/>
      <c r="V260" s="265"/>
      <c r="W260" s="265"/>
      <c r="X260" s="265"/>
      <c r="Y260" s="265"/>
      <c r="Z260" s="265"/>
      <c r="AA260" s="265"/>
      <c r="AB260" s="265"/>
      <c r="AC260" s="265"/>
      <c r="AD260" s="265"/>
      <c r="AE260" s="265"/>
      <c r="AF260" s="265"/>
      <c r="AG260" s="265"/>
      <c r="AH260" s="265"/>
      <c r="AI260" s="265"/>
      <c r="AJ260" s="265"/>
      <c r="AK260" s="265"/>
      <c r="AL260" s="265"/>
      <c r="AM260" s="265"/>
      <c r="AN260" s="265"/>
      <c r="AO260" s="265"/>
      <c r="AP260" s="265"/>
      <c r="AQ260" s="265"/>
      <c r="AR260" s="265"/>
      <c r="AS260" s="265"/>
      <c r="AT260" s="265"/>
      <c r="AU260" s="265"/>
      <c r="AV260" s="265"/>
      <c r="AW260" s="265"/>
      <c r="AX260" s="265"/>
      <c r="AY260" s="265"/>
      <c r="AZ260" s="265"/>
      <c r="BA260" s="265"/>
      <c r="BB260" s="265"/>
      <c r="BC260" s="265"/>
      <c r="BD260" s="265"/>
      <c r="BE260" s="265"/>
      <c r="BF260" s="265"/>
      <c r="BG260" s="265"/>
      <c r="BH260" s="265"/>
      <c r="BI260" s="265"/>
      <c r="BJ260" s="265"/>
      <c r="BK260" s="265"/>
      <c r="BL260" s="265"/>
      <c r="BM260" s="265"/>
      <c r="BN260" s="265"/>
    </row>
    <row r="261" spans="1:66">
      <c r="A261" s="595"/>
      <c r="B261" s="242"/>
      <c r="C261" s="243"/>
      <c r="D261" s="264"/>
      <c r="E261" s="264"/>
      <c r="F261" s="264"/>
      <c r="G261" s="265"/>
      <c r="H261" s="265"/>
      <c r="I261" s="265"/>
      <c r="J261" s="265"/>
      <c r="K261" s="265"/>
      <c r="L261" s="265"/>
      <c r="M261" s="265"/>
      <c r="N261" s="265"/>
      <c r="O261" s="265"/>
      <c r="P261" s="265"/>
      <c r="Q261" s="265"/>
      <c r="R261" s="265"/>
      <c r="S261" s="265"/>
      <c r="T261" s="265"/>
      <c r="U261" s="265"/>
      <c r="V261" s="265"/>
      <c r="W261" s="265"/>
      <c r="X261" s="265"/>
      <c r="Y261" s="265"/>
      <c r="Z261" s="265"/>
      <c r="AA261" s="265"/>
      <c r="AB261" s="265"/>
      <c r="AC261" s="265"/>
      <c r="AD261" s="265"/>
      <c r="AE261" s="265"/>
      <c r="AF261" s="265"/>
      <c r="AG261" s="265"/>
      <c r="AH261" s="265"/>
      <c r="AI261" s="265"/>
      <c r="AJ261" s="265"/>
      <c r="AK261" s="265"/>
      <c r="AL261" s="265"/>
      <c r="AM261" s="265"/>
      <c r="AN261" s="265"/>
      <c r="AO261" s="265"/>
      <c r="AP261" s="265"/>
      <c r="AQ261" s="265"/>
      <c r="AR261" s="265"/>
      <c r="AS261" s="265"/>
      <c r="AT261" s="265"/>
      <c r="AU261" s="265"/>
      <c r="AV261" s="265"/>
      <c r="AW261" s="265"/>
      <c r="AX261" s="265"/>
      <c r="AY261" s="265"/>
      <c r="AZ261" s="265"/>
      <c r="BA261" s="265"/>
      <c r="BB261" s="265"/>
      <c r="BC261" s="265"/>
      <c r="BD261" s="265"/>
      <c r="BE261" s="265"/>
      <c r="BF261" s="265"/>
      <c r="BG261" s="265"/>
      <c r="BH261" s="265"/>
      <c r="BI261" s="265"/>
      <c r="BJ261" s="265"/>
      <c r="BK261" s="265"/>
      <c r="BL261" s="265"/>
      <c r="BM261" s="265"/>
      <c r="BN261" s="265"/>
    </row>
    <row r="262" spans="1:66">
      <c r="A262" s="595"/>
      <c r="B262" s="242"/>
      <c r="C262" s="243"/>
      <c r="D262" s="264"/>
      <c r="E262" s="264"/>
      <c r="F262" s="264"/>
      <c r="G262" s="265"/>
      <c r="H262" s="265"/>
      <c r="I262" s="265"/>
      <c r="J262" s="265"/>
      <c r="K262" s="265"/>
      <c r="L262" s="265"/>
      <c r="M262" s="265"/>
      <c r="N262" s="265"/>
      <c r="O262" s="265"/>
      <c r="P262" s="265"/>
      <c r="Q262" s="265"/>
      <c r="R262" s="265"/>
      <c r="S262" s="265"/>
      <c r="T262" s="265"/>
      <c r="U262" s="265"/>
      <c r="V262" s="265"/>
      <c r="W262" s="265"/>
      <c r="X262" s="265"/>
      <c r="Y262" s="265"/>
      <c r="Z262" s="265"/>
      <c r="AA262" s="265"/>
      <c r="AB262" s="265"/>
      <c r="AC262" s="265"/>
      <c r="AD262" s="265"/>
      <c r="AE262" s="265"/>
      <c r="AF262" s="265"/>
      <c r="AG262" s="265"/>
      <c r="AH262" s="265"/>
      <c r="AI262" s="265"/>
      <c r="AJ262" s="265"/>
      <c r="AK262" s="265"/>
      <c r="AL262" s="265"/>
      <c r="AM262" s="265"/>
      <c r="AN262" s="265"/>
      <c r="AO262" s="265"/>
      <c r="AP262" s="265"/>
      <c r="AQ262" s="265"/>
      <c r="AR262" s="265"/>
      <c r="AS262" s="265"/>
      <c r="AT262" s="265"/>
      <c r="AU262" s="265"/>
      <c r="AV262" s="265"/>
      <c r="AW262" s="265"/>
      <c r="AX262" s="265"/>
      <c r="AY262" s="265"/>
      <c r="AZ262" s="265"/>
      <c r="BA262" s="265"/>
      <c r="BB262" s="265"/>
      <c r="BC262" s="265"/>
      <c r="BD262" s="265"/>
      <c r="BE262" s="265"/>
      <c r="BF262" s="265"/>
      <c r="BG262" s="265"/>
      <c r="BH262" s="265"/>
      <c r="BI262" s="265"/>
      <c r="BJ262" s="265"/>
      <c r="BK262" s="265"/>
      <c r="BL262" s="265"/>
      <c r="BM262" s="265"/>
      <c r="BN262" s="265"/>
    </row>
    <row r="263" spans="1:66">
      <c r="A263" s="595"/>
      <c r="B263" s="242"/>
      <c r="C263" s="243"/>
      <c r="D263" s="264"/>
      <c r="E263" s="264"/>
      <c r="F263" s="264"/>
      <c r="G263" s="265"/>
      <c r="H263" s="265"/>
      <c r="I263" s="265"/>
      <c r="J263" s="265"/>
      <c r="K263" s="265"/>
      <c r="L263" s="265"/>
      <c r="M263" s="265"/>
      <c r="N263" s="265"/>
      <c r="O263" s="265"/>
      <c r="P263" s="265"/>
      <c r="Q263" s="265"/>
      <c r="R263" s="265"/>
      <c r="S263" s="265"/>
      <c r="T263" s="265"/>
      <c r="U263" s="265"/>
      <c r="V263" s="265"/>
      <c r="W263" s="265"/>
      <c r="X263" s="265"/>
      <c r="Y263" s="265"/>
      <c r="Z263" s="265"/>
      <c r="AA263" s="265"/>
      <c r="AB263" s="265"/>
      <c r="AC263" s="265"/>
      <c r="AD263" s="265"/>
      <c r="AE263" s="265"/>
      <c r="AF263" s="265"/>
      <c r="AG263" s="265"/>
      <c r="AH263" s="265"/>
      <c r="AI263" s="265"/>
      <c r="AJ263" s="265"/>
      <c r="AK263" s="265"/>
      <c r="AL263" s="265"/>
      <c r="AM263" s="265"/>
      <c r="AN263" s="265"/>
      <c r="AO263" s="265"/>
      <c r="AP263" s="265"/>
      <c r="AQ263" s="265"/>
      <c r="AR263" s="265"/>
      <c r="AS263" s="265"/>
      <c r="AT263" s="265"/>
      <c r="AU263" s="265"/>
      <c r="AV263" s="265"/>
      <c r="AW263" s="265"/>
      <c r="AX263" s="265"/>
      <c r="AY263" s="265"/>
      <c r="AZ263" s="265"/>
      <c r="BA263" s="265"/>
      <c r="BB263" s="265"/>
      <c r="BC263" s="265"/>
      <c r="BD263" s="265"/>
      <c r="BE263" s="265"/>
      <c r="BF263" s="265"/>
      <c r="BG263" s="265"/>
      <c r="BH263" s="265"/>
      <c r="BI263" s="265"/>
      <c r="BJ263" s="265"/>
      <c r="BK263" s="265"/>
      <c r="BL263" s="265"/>
      <c r="BM263" s="265"/>
      <c r="BN263" s="265"/>
    </row>
    <row r="264" spans="1:66">
      <c r="A264" s="595"/>
      <c r="B264" s="242"/>
      <c r="C264" s="243"/>
      <c r="D264" s="264"/>
      <c r="E264" s="264"/>
      <c r="F264" s="264"/>
      <c r="G264" s="265"/>
      <c r="H264" s="265"/>
      <c r="I264" s="265"/>
      <c r="J264" s="265"/>
      <c r="K264" s="265"/>
      <c r="L264" s="265"/>
      <c r="M264" s="265"/>
      <c r="N264" s="265"/>
      <c r="O264" s="265"/>
      <c r="P264" s="265"/>
      <c r="Q264" s="265"/>
      <c r="R264" s="265"/>
      <c r="S264" s="265"/>
      <c r="T264" s="265"/>
      <c r="U264" s="265"/>
      <c r="V264" s="265"/>
      <c r="W264" s="265"/>
      <c r="X264" s="265"/>
      <c r="Y264" s="265"/>
      <c r="Z264" s="265"/>
      <c r="AA264" s="265"/>
      <c r="AB264" s="265"/>
      <c r="AC264" s="265"/>
      <c r="AD264" s="265"/>
      <c r="AE264" s="265"/>
      <c r="AF264" s="265"/>
      <c r="AG264" s="265"/>
      <c r="AH264" s="265"/>
      <c r="AI264" s="265"/>
      <c r="AJ264" s="265"/>
      <c r="AK264" s="265"/>
      <c r="AL264" s="265"/>
      <c r="AM264" s="265"/>
      <c r="AN264" s="265"/>
      <c r="AO264" s="265"/>
      <c r="AP264" s="265"/>
      <c r="AQ264" s="265"/>
      <c r="AR264" s="265"/>
      <c r="AS264" s="265"/>
      <c r="AT264" s="265"/>
      <c r="AU264" s="265"/>
      <c r="AV264" s="265"/>
      <c r="AW264" s="265"/>
      <c r="AX264" s="265"/>
      <c r="AY264" s="265"/>
      <c r="AZ264" s="265"/>
      <c r="BA264" s="265"/>
      <c r="BB264" s="265"/>
      <c r="BC264" s="265"/>
      <c r="BD264" s="265"/>
      <c r="BE264" s="265"/>
      <c r="BF264" s="265"/>
      <c r="BG264" s="265"/>
      <c r="BH264" s="265"/>
      <c r="BI264" s="265"/>
      <c r="BJ264" s="265"/>
      <c r="BK264" s="265"/>
      <c r="BL264" s="265"/>
      <c r="BM264" s="265"/>
      <c r="BN264" s="265"/>
    </row>
    <row r="265" spans="1:66">
      <c r="A265" s="595"/>
      <c r="B265" s="242"/>
      <c r="C265" s="243"/>
      <c r="D265" s="264"/>
      <c r="E265" s="264"/>
      <c r="F265" s="264"/>
      <c r="G265" s="265"/>
      <c r="H265" s="265"/>
      <c r="I265" s="265"/>
      <c r="J265" s="265"/>
      <c r="K265" s="265"/>
      <c r="L265" s="265"/>
      <c r="M265" s="265"/>
      <c r="N265" s="265"/>
      <c r="O265" s="265"/>
      <c r="P265" s="265"/>
      <c r="Q265" s="265"/>
      <c r="R265" s="265"/>
      <c r="S265" s="265"/>
      <c r="T265" s="265"/>
      <c r="U265" s="265"/>
      <c r="V265" s="265"/>
      <c r="W265" s="265"/>
      <c r="X265" s="265"/>
      <c r="Y265" s="265"/>
      <c r="Z265" s="265"/>
      <c r="AA265" s="265"/>
      <c r="AB265" s="265"/>
      <c r="AC265" s="265"/>
      <c r="AD265" s="265"/>
      <c r="AE265" s="265"/>
      <c r="AF265" s="265"/>
      <c r="AG265" s="265"/>
      <c r="AH265" s="265"/>
      <c r="AI265" s="265"/>
      <c r="AJ265" s="265"/>
      <c r="AK265" s="265"/>
      <c r="AL265" s="265"/>
      <c r="AM265" s="265"/>
      <c r="AN265" s="265"/>
      <c r="AO265" s="265"/>
      <c r="AP265" s="265"/>
      <c r="AQ265" s="265"/>
      <c r="AR265" s="265"/>
      <c r="AS265" s="265"/>
      <c r="AT265" s="265"/>
      <c r="AU265" s="265"/>
      <c r="AV265" s="265"/>
      <c r="AW265" s="265"/>
      <c r="AX265" s="265"/>
      <c r="AY265" s="265"/>
      <c r="AZ265" s="265"/>
      <c r="BA265" s="265"/>
      <c r="BB265" s="265"/>
      <c r="BC265" s="265"/>
      <c r="BD265" s="265"/>
      <c r="BE265" s="265"/>
      <c r="BF265" s="265"/>
      <c r="BG265" s="265"/>
      <c r="BH265" s="265"/>
      <c r="BI265" s="265"/>
      <c r="BJ265" s="265"/>
      <c r="BK265" s="265"/>
      <c r="BL265" s="265"/>
      <c r="BM265" s="265"/>
      <c r="BN265" s="265"/>
    </row>
    <row r="266" spans="1:66">
      <c r="A266" s="595"/>
      <c r="B266" s="242"/>
      <c r="C266" s="243"/>
      <c r="D266" s="264"/>
      <c r="E266" s="264"/>
      <c r="F266" s="264"/>
      <c r="G266" s="265"/>
      <c r="H266" s="265"/>
      <c r="I266" s="265"/>
      <c r="J266" s="265"/>
      <c r="K266" s="265"/>
      <c r="L266" s="265"/>
      <c r="M266" s="265"/>
      <c r="N266" s="265"/>
      <c r="O266" s="265"/>
      <c r="P266" s="265"/>
      <c r="Q266" s="265"/>
      <c r="R266" s="265"/>
      <c r="S266" s="265"/>
      <c r="T266" s="265"/>
      <c r="U266" s="265"/>
      <c r="V266" s="265"/>
      <c r="W266" s="265"/>
      <c r="X266" s="265"/>
      <c r="Y266" s="265"/>
      <c r="Z266" s="265"/>
      <c r="AA266" s="265"/>
      <c r="AB266" s="265"/>
      <c r="AC266" s="265"/>
      <c r="AD266" s="265"/>
      <c r="AE266" s="265"/>
      <c r="AF266" s="265"/>
      <c r="AG266" s="265"/>
      <c r="AH266" s="265"/>
      <c r="AI266" s="265"/>
      <c r="AJ266" s="265"/>
      <c r="AK266" s="265"/>
      <c r="AL266" s="265"/>
      <c r="AM266" s="265"/>
      <c r="AN266" s="265"/>
      <c r="AO266" s="265"/>
      <c r="AP266" s="265"/>
      <c r="AQ266" s="265"/>
      <c r="AR266" s="265"/>
      <c r="AS266" s="265"/>
      <c r="AT266" s="265"/>
      <c r="AU266" s="265"/>
      <c r="AV266" s="265"/>
      <c r="AW266" s="265"/>
      <c r="AX266" s="265"/>
      <c r="AY266" s="265"/>
      <c r="AZ266" s="265"/>
      <c r="BA266" s="265"/>
      <c r="BB266" s="265"/>
      <c r="BC266" s="265"/>
      <c r="BD266" s="265"/>
      <c r="BE266" s="265"/>
      <c r="BF266" s="265"/>
      <c r="BG266" s="265"/>
      <c r="BH266" s="265"/>
      <c r="BI266" s="265"/>
      <c r="BJ266" s="265"/>
      <c r="BK266" s="265"/>
      <c r="BL266" s="265"/>
      <c r="BM266" s="265"/>
      <c r="BN266" s="265"/>
    </row>
    <row r="267" spans="1:66">
      <c r="A267" s="595"/>
      <c r="B267" s="242"/>
      <c r="C267" s="243"/>
      <c r="D267" s="264"/>
      <c r="E267" s="264"/>
      <c r="F267" s="264"/>
      <c r="G267" s="265"/>
      <c r="H267" s="265"/>
      <c r="I267" s="265"/>
      <c r="J267" s="265"/>
      <c r="K267" s="265"/>
      <c r="L267" s="265"/>
      <c r="M267" s="265"/>
      <c r="N267" s="265"/>
      <c r="O267" s="265"/>
      <c r="P267" s="265"/>
      <c r="Q267" s="265"/>
      <c r="R267" s="265"/>
      <c r="S267" s="265"/>
      <c r="T267" s="265"/>
      <c r="U267" s="265"/>
      <c r="V267" s="265"/>
      <c r="W267" s="265"/>
      <c r="X267" s="265"/>
      <c r="Y267" s="265"/>
      <c r="Z267" s="265"/>
      <c r="AA267" s="265"/>
      <c r="AB267" s="265"/>
      <c r="AC267" s="265"/>
      <c r="AD267" s="265"/>
      <c r="AE267" s="265"/>
      <c r="AF267" s="265"/>
      <c r="AG267" s="265"/>
      <c r="AH267" s="265"/>
      <c r="AI267" s="265"/>
      <c r="AJ267" s="265"/>
      <c r="AK267" s="265"/>
      <c r="AL267" s="265"/>
      <c r="AM267" s="265"/>
      <c r="AN267" s="265"/>
      <c r="AO267" s="265"/>
      <c r="AP267" s="265"/>
      <c r="AQ267" s="265"/>
      <c r="AR267" s="265"/>
      <c r="AS267" s="265"/>
      <c r="AT267" s="265"/>
      <c r="AU267" s="265"/>
      <c r="AV267" s="265"/>
      <c r="AW267" s="265"/>
      <c r="AX267" s="265"/>
      <c r="AY267" s="265"/>
      <c r="AZ267" s="265"/>
      <c r="BA267" s="265"/>
      <c r="BB267" s="265"/>
      <c r="BC267" s="265"/>
      <c r="BD267" s="265"/>
      <c r="BE267" s="265"/>
      <c r="BF267" s="265"/>
      <c r="BG267" s="265"/>
      <c r="BH267" s="265"/>
      <c r="BI267" s="265"/>
      <c r="BJ267" s="265"/>
      <c r="BK267" s="265"/>
      <c r="BL267" s="265"/>
      <c r="BM267" s="265"/>
      <c r="BN267" s="265"/>
    </row>
    <row r="268" spans="1:66">
      <c r="A268" s="595"/>
      <c r="B268" s="242"/>
      <c r="C268" s="243"/>
      <c r="D268" s="264"/>
      <c r="E268" s="264"/>
      <c r="F268" s="264"/>
      <c r="G268" s="265"/>
      <c r="H268" s="265"/>
      <c r="I268" s="265"/>
      <c r="J268" s="265"/>
      <c r="K268" s="265"/>
      <c r="L268" s="265"/>
      <c r="M268" s="265"/>
      <c r="N268" s="265"/>
      <c r="O268" s="265"/>
      <c r="P268" s="265"/>
      <c r="Q268" s="265"/>
      <c r="R268" s="265"/>
      <c r="S268" s="265"/>
      <c r="T268" s="265"/>
      <c r="U268" s="265"/>
      <c r="V268" s="265"/>
      <c r="W268" s="265"/>
      <c r="X268" s="265"/>
      <c r="Y268" s="265"/>
      <c r="Z268" s="265"/>
      <c r="AA268" s="265"/>
      <c r="AB268" s="265"/>
      <c r="AC268" s="265"/>
      <c r="AD268" s="265"/>
      <c r="AE268" s="265"/>
      <c r="AF268" s="265"/>
      <c r="AG268" s="265"/>
      <c r="AH268" s="265"/>
      <c r="AI268" s="265"/>
      <c r="AJ268" s="265"/>
      <c r="AK268" s="265"/>
      <c r="AL268" s="265"/>
      <c r="AM268" s="265"/>
      <c r="AN268" s="265"/>
      <c r="AO268" s="265"/>
      <c r="AP268" s="265"/>
      <c r="AQ268" s="265"/>
      <c r="AR268" s="265"/>
      <c r="AS268" s="265"/>
      <c r="AT268" s="265"/>
      <c r="AU268" s="265"/>
      <c r="AV268" s="265"/>
      <c r="AW268" s="265"/>
      <c r="AX268" s="265"/>
      <c r="AY268" s="265"/>
      <c r="AZ268" s="265"/>
      <c r="BA268" s="265"/>
      <c r="BB268" s="265"/>
      <c r="BC268" s="265"/>
      <c r="BD268" s="265"/>
      <c r="BE268" s="265"/>
      <c r="BF268" s="265"/>
      <c r="BG268" s="265"/>
      <c r="BH268" s="265"/>
      <c r="BI268" s="265"/>
      <c r="BJ268" s="265"/>
      <c r="BK268" s="265"/>
      <c r="BL268" s="265"/>
      <c r="BM268" s="265"/>
      <c r="BN268" s="265"/>
    </row>
    <row r="269" spans="1:66">
      <c r="A269" s="595"/>
      <c r="B269" s="242"/>
      <c r="C269" s="243"/>
      <c r="D269" s="264"/>
      <c r="E269" s="264"/>
      <c r="F269" s="264"/>
      <c r="G269" s="265"/>
      <c r="H269" s="265"/>
      <c r="I269" s="265"/>
      <c r="J269" s="265"/>
      <c r="K269" s="265"/>
      <c r="L269" s="265"/>
      <c r="M269" s="265"/>
      <c r="N269" s="265"/>
      <c r="O269" s="265"/>
      <c r="P269" s="265"/>
      <c r="Q269" s="265"/>
      <c r="R269" s="265"/>
      <c r="S269" s="265"/>
      <c r="T269" s="265"/>
      <c r="U269" s="265"/>
      <c r="V269" s="265"/>
      <c r="W269" s="265"/>
      <c r="X269" s="265"/>
      <c r="Y269" s="265"/>
      <c r="Z269" s="265"/>
      <c r="AA269" s="265"/>
      <c r="AB269" s="265"/>
      <c r="AC269" s="265"/>
      <c r="AD269" s="265"/>
      <c r="AE269" s="265"/>
      <c r="AF269" s="265"/>
      <c r="AG269" s="265"/>
      <c r="AH269" s="265"/>
      <c r="AI269" s="265"/>
      <c r="AJ269" s="265"/>
      <c r="AK269" s="265"/>
      <c r="AL269" s="265"/>
      <c r="AM269" s="265"/>
      <c r="AN269" s="265"/>
      <c r="AO269" s="265"/>
      <c r="AP269" s="265"/>
      <c r="AQ269" s="265"/>
      <c r="AR269" s="265"/>
      <c r="AS269" s="265"/>
      <c r="AT269" s="265"/>
      <c r="AU269" s="265"/>
      <c r="AV269" s="265"/>
      <c r="AW269" s="265"/>
      <c r="AX269" s="265"/>
      <c r="AY269" s="265"/>
      <c r="AZ269" s="265"/>
      <c r="BA269" s="265"/>
      <c r="BB269" s="265"/>
      <c r="BC269" s="265"/>
      <c r="BD269" s="265"/>
      <c r="BE269" s="265"/>
      <c r="BF269" s="265"/>
      <c r="BG269" s="265"/>
      <c r="BH269" s="265"/>
      <c r="BI269" s="265"/>
      <c r="BJ269" s="265"/>
      <c r="BK269" s="265"/>
      <c r="BL269" s="265"/>
      <c r="BM269" s="265"/>
      <c r="BN269" s="265"/>
    </row>
    <row r="270" spans="1:66">
      <c r="A270" s="595"/>
      <c r="B270" s="242"/>
      <c r="C270" s="243"/>
      <c r="D270" s="264"/>
      <c r="E270" s="264"/>
      <c r="F270" s="264"/>
      <c r="G270" s="265"/>
      <c r="H270" s="265"/>
      <c r="I270" s="265"/>
      <c r="J270" s="265"/>
      <c r="K270" s="265"/>
      <c r="L270" s="265"/>
      <c r="M270" s="265"/>
      <c r="N270" s="265"/>
      <c r="O270" s="265"/>
      <c r="P270" s="265"/>
      <c r="Q270" s="265"/>
      <c r="R270" s="265"/>
      <c r="S270" s="265"/>
      <c r="T270" s="265"/>
      <c r="U270" s="265"/>
      <c r="V270" s="265"/>
      <c r="W270" s="265"/>
      <c r="X270" s="265"/>
      <c r="Y270" s="265"/>
      <c r="Z270" s="265"/>
      <c r="AA270" s="265"/>
      <c r="AB270" s="265"/>
      <c r="AC270" s="265"/>
      <c r="AD270" s="265"/>
      <c r="AE270" s="265"/>
      <c r="AF270" s="265"/>
      <c r="AG270" s="265"/>
      <c r="AH270" s="265"/>
      <c r="AI270" s="265"/>
      <c r="AJ270" s="265"/>
      <c r="AK270" s="265"/>
      <c r="AL270" s="265"/>
      <c r="AM270" s="265"/>
      <c r="AN270" s="265"/>
      <c r="AO270" s="265"/>
      <c r="AP270" s="265"/>
      <c r="AQ270" s="265"/>
      <c r="AR270" s="265"/>
      <c r="AS270" s="265"/>
      <c r="AT270" s="265"/>
      <c r="AU270" s="265"/>
      <c r="AV270" s="265"/>
      <c r="AW270" s="265"/>
      <c r="AX270" s="265"/>
      <c r="AY270" s="265"/>
      <c r="AZ270" s="265"/>
      <c r="BA270" s="265"/>
      <c r="BB270" s="265"/>
      <c r="BC270" s="265"/>
      <c r="BD270" s="265"/>
      <c r="BE270" s="265"/>
      <c r="BF270" s="265"/>
      <c r="BG270" s="265"/>
      <c r="BH270" s="265"/>
      <c r="BI270" s="265"/>
      <c r="BJ270" s="265"/>
      <c r="BK270" s="265"/>
      <c r="BL270" s="265"/>
      <c r="BM270" s="265"/>
      <c r="BN270" s="265"/>
    </row>
    <row r="271" spans="1:66">
      <c r="A271" s="595"/>
      <c r="B271" s="242"/>
      <c r="C271" s="243"/>
      <c r="D271" s="264"/>
      <c r="E271" s="264"/>
      <c r="F271" s="264"/>
      <c r="G271" s="265"/>
      <c r="H271" s="265"/>
      <c r="I271" s="265"/>
      <c r="J271" s="265"/>
      <c r="K271" s="265"/>
      <c r="L271" s="265"/>
      <c r="M271" s="265"/>
      <c r="N271" s="265"/>
      <c r="O271" s="265"/>
      <c r="P271" s="265"/>
      <c r="Q271" s="265"/>
      <c r="R271" s="265"/>
      <c r="S271" s="265"/>
      <c r="T271" s="265"/>
      <c r="U271" s="265"/>
      <c r="V271" s="265"/>
      <c r="W271" s="265"/>
      <c r="X271" s="265"/>
      <c r="Y271" s="265"/>
      <c r="Z271" s="265"/>
      <c r="AA271" s="265"/>
      <c r="AB271" s="265"/>
      <c r="AC271" s="265"/>
      <c r="AD271" s="265"/>
      <c r="AE271" s="265"/>
      <c r="AF271" s="265"/>
      <c r="AG271" s="265"/>
      <c r="AH271" s="265"/>
      <c r="AI271" s="265"/>
      <c r="AJ271" s="265"/>
      <c r="AK271" s="265"/>
      <c r="AL271" s="265"/>
      <c r="AM271" s="265"/>
      <c r="AN271" s="265"/>
      <c r="AO271" s="265"/>
      <c r="AP271" s="265"/>
      <c r="AQ271" s="265"/>
      <c r="AR271" s="265"/>
      <c r="AS271" s="265"/>
      <c r="AT271" s="265"/>
      <c r="AU271" s="265"/>
      <c r="AV271" s="265"/>
      <c r="AW271" s="265"/>
      <c r="AX271" s="265"/>
      <c r="AY271" s="265"/>
      <c r="AZ271" s="265"/>
      <c r="BA271" s="265"/>
      <c r="BB271" s="265"/>
      <c r="BC271" s="265"/>
      <c r="BD271" s="265"/>
      <c r="BE271" s="265"/>
      <c r="BF271" s="265"/>
      <c r="BG271" s="265"/>
      <c r="BH271" s="265"/>
      <c r="BI271" s="265"/>
      <c r="BJ271" s="265"/>
      <c r="BK271" s="265"/>
      <c r="BL271" s="265"/>
      <c r="BM271" s="265"/>
      <c r="BN271" s="265"/>
    </row>
    <row r="272" spans="1:66">
      <c r="A272" s="595"/>
      <c r="B272" s="242"/>
      <c r="C272" s="243"/>
      <c r="D272" s="264"/>
      <c r="E272" s="264"/>
      <c r="F272" s="264"/>
      <c r="G272" s="265"/>
      <c r="H272" s="265"/>
      <c r="I272" s="265"/>
      <c r="J272" s="265"/>
      <c r="K272" s="265"/>
      <c r="L272" s="265"/>
      <c r="M272" s="265"/>
      <c r="N272" s="265"/>
      <c r="O272" s="265"/>
      <c r="P272" s="265"/>
      <c r="Q272" s="265"/>
      <c r="R272" s="265"/>
      <c r="S272" s="265"/>
      <c r="T272" s="265"/>
      <c r="U272" s="265"/>
      <c r="V272" s="265"/>
      <c r="W272" s="265"/>
      <c r="X272" s="265"/>
      <c r="Y272" s="265"/>
      <c r="Z272" s="265"/>
      <c r="AA272" s="265"/>
      <c r="AB272" s="265"/>
      <c r="AC272" s="265"/>
      <c r="AD272" s="265"/>
      <c r="AE272" s="265"/>
      <c r="AF272" s="265"/>
      <c r="AG272" s="265"/>
      <c r="AH272" s="265"/>
      <c r="AI272" s="265"/>
      <c r="AJ272" s="265"/>
      <c r="AK272" s="265"/>
      <c r="AL272" s="265"/>
      <c r="AM272" s="265"/>
      <c r="AN272" s="265"/>
      <c r="AO272" s="265"/>
      <c r="AP272" s="265"/>
      <c r="AQ272" s="265"/>
      <c r="AR272" s="265"/>
      <c r="AS272" s="265"/>
      <c r="AT272" s="265"/>
      <c r="AU272" s="265"/>
      <c r="AV272" s="265"/>
      <c r="AW272" s="265"/>
      <c r="AX272" s="265"/>
      <c r="AY272" s="265"/>
      <c r="AZ272" s="265"/>
      <c r="BA272" s="265"/>
      <c r="BB272" s="265"/>
      <c r="BC272" s="265"/>
      <c r="BD272" s="265"/>
      <c r="BE272" s="265"/>
      <c r="BF272" s="265"/>
      <c r="BG272" s="265"/>
      <c r="BH272" s="265"/>
      <c r="BI272" s="265"/>
      <c r="BJ272" s="265"/>
      <c r="BK272" s="265"/>
      <c r="BL272" s="265"/>
      <c r="BM272" s="265"/>
      <c r="BN272" s="265"/>
    </row>
    <row r="273" spans="1:66">
      <c r="A273" s="595"/>
      <c r="B273" s="242"/>
      <c r="C273" s="243"/>
      <c r="D273" s="264"/>
      <c r="E273" s="264"/>
      <c r="F273" s="264"/>
      <c r="G273" s="265"/>
      <c r="H273" s="265"/>
      <c r="I273" s="265"/>
      <c r="J273" s="265"/>
      <c r="K273" s="265"/>
      <c r="L273" s="265"/>
      <c r="M273" s="265"/>
      <c r="N273" s="265"/>
      <c r="O273" s="265"/>
      <c r="P273" s="265"/>
      <c r="Q273" s="265"/>
      <c r="R273" s="265"/>
      <c r="S273" s="265"/>
      <c r="T273" s="265"/>
      <c r="U273" s="265"/>
      <c r="V273" s="265"/>
      <c r="W273" s="265"/>
      <c r="X273" s="265"/>
      <c r="Y273" s="265"/>
      <c r="Z273" s="265"/>
      <c r="AA273" s="265"/>
      <c r="AB273" s="265"/>
      <c r="AC273" s="265"/>
      <c r="AD273" s="265"/>
      <c r="AE273" s="265"/>
      <c r="AF273" s="265"/>
      <c r="AG273" s="265"/>
      <c r="AH273" s="265"/>
      <c r="AI273" s="265"/>
      <c r="AJ273" s="265"/>
      <c r="AK273" s="265"/>
      <c r="AL273" s="265"/>
      <c r="AM273" s="265"/>
      <c r="AN273" s="265"/>
      <c r="AO273" s="265"/>
      <c r="AP273" s="265"/>
      <c r="AQ273" s="265"/>
      <c r="AR273" s="265"/>
      <c r="AS273" s="265"/>
      <c r="AT273" s="265"/>
      <c r="AU273" s="265"/>
      <c r="AV273" s="265"/>
      <c r="AW273" s="265"/>
      <c r="AX273" s="265"/>
      <c r="AY273" s="265"/>
      <c r="AZ273" s="265"/>
      <c r="BA273" s="265"/>
      <c r="BB273" s="265"/>
      <c r="BC273" s="265"/>
      <c r="BD273" s="265"/>
      <c r="BE273" s="265"/>
      <c r="BF273" s="265"/>
      <c r="BG273" s="265"/>
      <c r="BH273" s="265"/>
      <c r="BI273" s="265"/>
      <c r="BJ273" s="265"/>
      <c r="BK273" s="265"/>
      <c r="BL273" s="265"/>
      <c r="BM273" s="265"/>
      <c r="BN273" s="265"/>
    </row>
    <row r="274" spans="1:66">
      <c r="A274" s="595"/>
      <c r="B274" s="242"/>
      <c r="C274" s="243"/>
      <c r="D274" s="264"/>
      <c r="E274" s="264"/>
      <c r="F274" s="264"/>
      <c r="G274" s="265"/>
      <c r="H274" s="265"/>
      <c r="I274" s="265"/>
      <c r="J274" s="265"/>
      <c r="K274" s="265"/>
      <c r="L274" s="265"/>
      <c r="M274" s="265"/>
      <c r="N274" s="265"/>
      <c r="O274" s="265"/>
      <c r="P274" s="265"/>
      <c r="Q274" s="265"/>
      <c r="R274" s="265"/>
      <c r="S274" s="265"/>
      <c r="T274" s="265"/>
      <c r="U274" s="265"/>
      <c r="V274" s="265"/>
      <c r="W274" s="265"/>
      <c r="X274" s="265"/>
      <c r="Y274" s="265"/>
      <c r="Z274" s="265"/>
      <c r="AA274" s="265"/>
      <c r="AB274" s="265"/>
      <c r="AC274" s="265"/>
      <c r="AD274" s="265"/>
      <c r="AE274" s="265"/>
      <c r="AF274" s="265"/>
      <c r="AG274" s="265"/>
      <c r="AH274" s="265"/>
      <c r="AI274" s="265"/>
      <c r="AJ274" s="265"/>
      <c r="AK274" s="265"/>
      <c r="AL274" s="265"/>
      <c r="AM274" s="265"/>
      <c r="AN274" s="265"/>
      <c r="AO274" s="265"/>
      <c r="AP274" s="265"/>
      <c r="AQ274" s="265"/>
      <c r="AR274" s="265"/>
      <c r="AS274" s="265"/>
      <c r="AT274" s="265"/>
      <c r="AU274" s="265"/>
      <c r="AV274" s="265"/>
      <c r="AW274" s="265"/>
      <c r="AX274" s="265"/>
      <c r="AY274" s="265"/>
      <c r="AZ274" s="265"/>
      <c r="BA274" s="265"/>
      <c r="BB274" s="265"/>
      <c r="BC274" s="265"/>
      <c r="BD274" s="265"/>
      <c r="BE274" s="265"/>
      <c r="BF274" s="265"/>
      <c r="BG274" s="265"/>
      <c r="BH274" s="265"/>
      <c r="BI274" s="265"/>
      <c r="BJ274" s="265"/>
      <c r="BK274" s="265"/>
      <c r="BL274" s="265"/>
      <c r="BM274" s="265"/>
      <c r="BN274" s="265"/>
    </row>
    <row r="275" spans="1:66">
      <c r="A275" s="595"/>
      <c r="B275" s="242"/>
      <c r="C275" s="243"/>
      <c r="D275" s="264"/>
      <c r="E275" s="264"/>
      <c r="F275" s="264"/>
      <c r="G275" s="265"/>
      <c r="H275" s="265"/>
      <c r="I275" s="265"/>
      <c r="J275" s="265"/>
      <c r="K275" s="265"/>
      <c r="L275" s="265"/>
      <c r="M275" s="265"/>
      <c r="N275" s="265"/>
      <c r="O275" s="265"/>
      <c r="P275" s="265"/>
      <c r="Q275" s="265"/>
      <c r="R275" s="265"/>
      <c r="S275" s="265"/>
      <c r="T275" s="265"/>
      <c r="U275" s="265"/>
      <c r="V275" s="265"/>
      <c r="W275" s="265"/>
      <c r="X275" s="265"/>
      <c r="Y275" s="265"/>
      <c r="Z275" s="265"/>
      <c r="AA275" s="265"/>
      <c r="AB275" s="265"/>
      <c r="AC275" s="265"/>
      <c r="AD275" s="265"/>
      <c r="AE275" s="265"/>
      <c r="AF275" s="265"/>
      <c r="AG275" s="265"/>
      <c r="AH275" s="265"/>
      <c r="AI275" s="265"/>
      <c r="AJ275" s="265"/>
      <c r="AK275" s="265"/>
      <c r="AL275" s="265"/>
      <c r="AM275" s="265"/>
      <c r="AN275" s="265"/>
      <c r="AO275" s="265"/>
      <c r="AP275" s="265"/>
      <c r="AQ275" s="265"/>
      <c r="AR275" s="265"/>
      <c r="AS275" s="265"/>
      <c r="AT275" s="265"/>
      <c r="AU275" s="265"/>
      <c r="AV275" s="265"/>
      <c r="AW275" s="265"/>
      <c r="AX275" s="265"/>
      <c r="AY275" s="265"/>
      <c r="AZ275" s="265"/>
      <c r="BA275" s="265"/>
      <c r="BB275" s="265"/>
      <c r="BC275" s="265"/>
      <c r="BD275" s="265"/>
      <c r="BE275" s="265"/>
      <c r="BF275" s="265"/>
      <c r="BG275" s="265"/>
      <c r="BH275" s="265"/>
      <c r="BI275" s="265"/>
      <c r="BJ275" s="265"/>
      <c r="BK275" s="265"/>
      <c r="BL275" s="265"/>
      <c r="BM275" s="265"/>
      <c r="BN275" s="265"/>
    </row>
    <row r="276" spans="1:66">
      <c r="A276" s="595"/>
      <c r="B276" s="242"/>
      <c r="C276" s="243"/>
      <c r="D276" s="264"/>
      <c r="E276" s="264"/>
      <c r="F276" s="264"/>
      <c r="G276" s="265"/>
      <c r="H276" s="265"/>
      <c r="I276" s="265"/>
      <c r="J276" s="265"/>
      <c r="K276" s="265"/>
      <c r="L276" s="265"/>
      <c r="M276" s="265"/>
      <c r="N276" s="265"/>
      <c r="O276" s="265"/>
      <c r="P276" s="265"/>
      <c r="Q276" s="265"/>
      <c r="R276" s="265"/>
      <c r="S276" s="265"/>
      <c r="T276" s="265"/>
      <c r="U276" s="265"/>
      <c r="V276" s="265"/>
      <c r="W276" s="265"/>
      <c r="X276" s="265"/>
      <c r="Y276" s="265"/>
      <c r="Z276" s="265"/>
      <c r="AA276" s="265"/>
      <c r="AB276" s="265"/>
      <c r="AC276" s="265"/>
      <c r="AD276" s="265"/>
      <c r="AE276" s="265"/>
      <c r="AF276" s="265"/>
      <c r="AG276" s="265"/>
      <c r="AH276" s="265"/>
      <c r="AI276" s="265"/>
      <c r="AJ276" s="265"/>
      <c r="AK276" s="265"/>
      <c r="AL276" s="265"/>
      <c r="AM276" s="265"/>
      <c r="AN276" s="265"/>
      <c r="AO276" s="265"/>
      <c r="AP276" s="265"/>
      <c r="AQ276" s="265"/>
      <c r="AR276" s="265"/>
      <c r="AS276" s="265"/>
      <c r="AT276" s="265"/>
      <c r="AU276" s="265"/>
      <c r="AV276" s="265"/>
      <c r="AW276" s="265"/>
      <c r="AX276" s="265"/>
      <c r="AY276" s="265"/>
      <c r="AZ276" s="265"/>
      <c r="BA276" s="265"/>
      <c r="BB276" s="265"/>
      <c r="BC276" s="265"/>
      <c r="BD276" s="265"/>
      <c r="BE276" s="265"/>
      <c r="BF276" s="265"/>
      <c r="BG276" s="265"/>
      <c r="BH276" s="265"/>
      <c r="BI276" s="265"/>
      <c r="BJ276" s="265"/>
      <c r="BK276" s="265"/>
      <c r="BL276" s="265"/>
      <c r="BM276" s="265"/>
      <c r="BN276" s="265"/>
    </row>
    <row r="277" spans="1:66">
      <c r="A277" s="595"/>
      <c r="B277" s="242"/>
      <c r="C277" s="243"/>
      <c r="D277" s="264"/>
      <c r="E277" s="264"/>
      <c r="F277" s="264"/>
      <c r="G277" s="265"/>
      <c r="H277" s="265"/>
      <c r="I277" s="265"/>
      <c r="J277" s="265"/>
      <c r="K277" s="265"/>
      <c r="L277" s="265"/>
      <c r="M277" s="265"/>
      <c r="N277" s="265"/>
      <c r="O277" s="265"/>
      <c r="P277" s="265"/>
      <c r="Q277" s="265"/>
      <c r="R277" s="265"/>
      <c r="S277" s="265"/>
      <c r="T277" s="265"/>
      <c r="U277" s="265"/>
      <c r="V277" s="265"/>
      <c r="W277" s="265"/>
      <c r="X277" s="265"/>
      <c r="Y277" s="265"/>
      <c r="Z277" s="265"/>
      <c r="AA277" s="265"/>
      <c r="AB277" s="265"/>
      <c r="AC277" s="265"/>
      <c r="AD277" s="265"/>
      <c r="AE277" s="265"/>
      <c r="AF277" s="265"/>
      <c r="AG277" s="265"/>
      <c r="AH277" s="265"/>
      <c r="AI277" s="265"/>
      <c r="AJ277" s="265"/>
      <c r="AK277" s="265"/>
      <c r="AL277" s="265"/>
      <c r="AM277" s="265"/>
      <c r="AN277" s="265"/>
      <c r="AO277" s="265"/>
      <c r="AP277" s="265"/>
      <c r="AQ277" s="265"/>
      <c r="AR277" s="265"/>
      <c r="AS277" s="265"/>
      <c r="AT277" s="265"/>
      <c r="AU277" s="265"/>
      <c r="AV277" s="265"/>
      <c r="AW277" s="265"/>
      <c r="AX277" s="265"/>
      <c r="AY277" s="265"/>
      <c r="AZ277" s="265"/>
      <c r="BA277" s="265"/>
      <c r="BB277" s="265"/>
      <c r="BC277" s="265"/>
      <c r="BD277" s="265"/>
      <c r="BE277" s="265"/>
      <c r="BF277" s="265"/>
      <c r="BG277" s="265"/>
      <c r="BH277" s="265"/>
      <c r="BI277" s="265"/>
      <c r="BJ277" s="265"/>
      <c r="BK277" s="265"/>
      <c r="BL277" s="265"/>
      <c r="BM277" s="265"/>
      <c r="BN277" s="265"/>
    </row>
    <row r="278" spans="1:66">
      <c r="A278" s="595"/>
      <c r="B278" s="242"/>
      <c r="C278" s="243"/>
      <c r="D278" s="264"/>
      <c r="E278" s="264"/>
      <c r="F278" s="264"/>
      <c r="G278" s="265"/>
      <c r="H278" s="265"/>
      <c r="I278" s="265"/>
      <c r="J278" s="265"/>
      <c r="K278" s="265"/>
      <c r="L278" s="265"/>
      <c r="M278" s="265"/>
      <c r="N278" s="265"/>
      <c r="O278" s="265"/>
      <c r="P278" s="265"/>
      <c r="Q278" s="265"/>
      <c r="R278" s="265"/>
      <c r="S278" s="265"/>
      <c r="T278" s="265"/>
      <c r="U278" s="265"/>
      <c r="V278" s="265"/>
      <c r="W278" s="265"/>
      <c r="X278" s="265"/>
      <c r="Y278" s="265"/>
      <c r="Z278" s="265"/>
      <c r="AA278" s="265"/>
      <c r="AB278" s="265"/>
      <c r="AC278" s="265"/>
      <c r="AD278" s="265"/>
      <c r="AE278" s="265"/>
      <c r="AF278" s="265"/>
      <c r="AG278" s="265"/>
      <c r="AH278" s="265"/>
      <c r="AI278" s="265"/>
      <c r="AJ278" s="265"/>
      <c r="AK278" s="265"/>
      <c r="AL278" s="265"/>
      <c r="AM278" s="265"/>
      <c r="AN278" s="265"/>
      <c r="AO278" s="265"/>
      <c r="AP278" s="265"/>
      <c r="AQ278" s="265"/>
      <c r="AR278" s="265"/>
      <c r="AS278" s="265"/>
      <c r="AT278" s="265"/>
      <c r="AU278" s="265"/>
      <c r="AV278" s="265"/>
      <c r="AW278" s="265"/>
      <c r="AX278" s="265"/>
      <c r="AY278" s="265"/>
      <c r="AZ278" s="265"/>
      <c r="BA278" s="265"/>
      <c r="BB278" s="265"/>
      <c r="BC278" s="265"/>
      <c r="BD278" s="265"/>
      <c r="BE278" s="265"/>
      <c r="BF278" s="265"/>
      <c r="BG278" s="265"/>
      <c r="BH278" s="265"/>
      <c r="BI278" s="265"/>
      <c r="BJ278" s="265"/>
      <c r="BK278" s="265"/>
      <c r="BL278" s="265"/>
      <c r="BM278" s="265"/>
      <c r="BN278" s="265"/>
    </row>
    <row r="279" spans="1:66">
      <c r="A279" s="595"/>
      <c r="B279" s="242"/>
      <c r="C279" s="243"/>
      <c r="D279" s="264"/>
      <c r="E279" s="264"/>
      <c r="F279" s="264"/>
      <c r="G279" s="265"/>
      <c r="H279" s="265"/>
      <c r="I279" s="265"/>
      <c r="J279" s="265"/>
      <c r="K279" s="265"/>
      <c r="L279" s="265"/>
      <c r="M279" s="265"/>
      <c r="N279" s="265"/>
      <c r="O279" s="265"/>
      <c r="P279" s="265"/>
      <c r="Q279" s="265"/>
      <c r="R279" s="265"/>
      <c r="S279" s="265"/>
      <c r="T279" s="265"/>
      <c r="U279" s="265"/>
      <c r="V279" s="265"/>
      <c r="W279" s="265"/>
      <c r="X279" s="265"/>
      <c r="Y279" s="265"/>
      <c r="Z279" s="265"/>
      <c r="AA279" s="265"/>
      <c r="AB279" s="265"/>
      <c r="AC279" s="265"/>
      <c r="AD279" s="265"/>
      <c r="AE279" s="265"/>
      <c r="AF279" s="265"/>
      <c r="AG279" s="265"/>
      <c r="AH279" s="265"/>
      <c r="AI279" s="265"/>
      <c r="AJ279" s="265"/>
      <c r="AK279" s="265"/>
      <c r="AL279" s="265"/>
      <c r="AM279" s="265"/>
      <c r="AN279" s="265"/>
      <c r="AO279" s="265"/>
      <c r="AP279" s="265"/>
      <c r="AQ279" s="265"/>
      <c r="AR279" s="265"/>
      <c r="AS279" s="265"/>
      <c r="AT279" s="265"/>
      <c r="AU279" s="265"/>
      <c r="AV279" s="265"/>
      <c r="AW279" s="265"/>
      <c r="AX279" s="265"/>
      <c r="AY279" s="265"/>
      <c r="AZ279" s="265"/>
      <c r="BA279" s="265"/>
      <c r="BB279" s="265"/>
      <c r="BC279" s="265"/>
      <c r="BD279" s="265"/>
      <c r="BE279" s="265"/>
      <c r="BF279" s="265"/>
      <c r="BG279" s="265"/>
      <c r="BH279" s="265"/>
      <c r="BI279" s="265"/>
      <c r="BJ279" s="265"/>
      <c r="BK279" s="265"/>
      <c r="BL279" s="265"/>
      <c r="BM279" s="265"/>
      <c r="BN279" s="265"/>
    </row>
    <row r="280" spans="1:66">
      <c r="A280" s="595"/>
      <c r="B280" s="242"/>
      <c r="C280" s="243"/>
      <c r="D280" s="264"/>
      <c r="E280" s="264"/>
      <c r="F280" s="264"/>
      <c r="G280" s="265"/>
      <c r="H280" s="265"/>
      <c r="I280" s="265"/>
      <c r="J280" s="265"/>
      <c r="K280" s="265"/>
      <c r="L280" s="265"/>
      <c r="M280" s="265"/>
      <c r="N280" s="265"/>
      <c r="O280" s="265"/>
      <c r="P280" s="265"/>
      <c r="Q280" s="265"/>
      <c r="R280" s="265"/>
      <c r="S280" s="265"/>
      <c r="T280" s="265"/>
      <c r="U280" s="265"/>
      <c r="V280" s="265"/>
      <c r="W280" s="265"/>
      <c r="X280" s="265"/>
      <c r="Y280" s="265"/>
      <c r="Z280" s="265"/>
      <c r="AA280" s="265"/>
      <c r="AB280" s="265"/>
      <c r="AC280" s="265"/>
      <c r="AD280" s="265"/>
      <c r="AE280" s="265"/>
      <c r="AF280" s="265"/>
      <c r="AG280" s="265"/>
      <c r="AH280" s="265"/>
      <c r="AI280" s="265"/>
      <c r="AJ280" s="265"/>
      <c r="AK280" s="265"/>
      <c r="AL280" s="265"/>
      <c r="AM280" s="265"/>
      <c r="AN280" s="265"/>
      <c r="AO280" s="265"/>
      <c r="AP280" s="265"/>
      <c r="AQ280" s="265"/>
      <c r="AR280" s="265"/>
      <c r="AS280" s="265"/>
      <c r="AT280" s="265"/>
      <c r="AU280" s="265"/>
      <c r="AV280" s="265"/>
      <c r="AW280" s="265"/>
      <c r="AX280" s="265"/>
      <c r="AY280" s="265"/>
      <c r="AZ280" s="265"/>
      <c r="BA280" s="265"/>
      <c r="BB280" s="265"/>
      <c r="BC280" s="265"/>
      <c r="BD280" s="265"/>
      <c r="BE280" s="265"/>
      <c r="BF280" s="265"/>
      <c r="BG280" s="265"/>
      <c r="BH280" s="265"/>
      <c r="BI280" s="265"/>
      <c r="BJ280" s="265"/>
      <c r="BK280" s="265"/>
      <c r="BL280" s="265"/>
      <c r="BM280" s="265"/>
      <c r="BN280" s="265"/>
    </row>
    <row r="281" spans="1:66">
      <c r="A281" s="595"/>
      <c r="B281" s="242"/>
      <c r="C281" s="243"/>
      <c r="D281" s="264"/>
      <c r="E281" s="264"/>
      <c r="F281" s="264"/>
      <c r="G281" s="265"/>
      <c r="H281" s="265"/>
      <c r="I281" s="265"/>
      <c r="J281" s="265"/>
      <c r="K281" s="265"/>
      <c r="L281" s="265"/>
      <c r="M281" s="265"/>
      <c r="N281" s="265"/>
      <c r="O281" s="265"/>
      <c r="P281" s="265"/>
      <c r="Q281" s="265"/>
      <c r="R281" s="265"/>
      <c r="S281" s="265"/>
      <c r="T281" s="265"/>
      <c r="U281" s="265"/>
      <c r="V281" s="265"/>
      <c r="W281" s="265"/>
      <c r="X281" s="265"/>
      <c r="Y281" s="265"/>
      <c r="Z281" s="265"/>
      <c r="AA281" s="265"/>
      <c r="AB281" s="265"/>
      <c r="AC281" s="265"/>
      <c r="AD281" s="265"/>
      <c r="AE281" s="265"/>
      <c r="AF281" s="265"/>
      <c r="AG281" s="265"/>
      <c r="AH281" s="265"/>
      <c r="AI281" s="265"/>
      <c r="AJ281" s="265"/>
      <c r="AK281" s="265"/>
      <c r="AL281" s="265"/>
      <c r="AM281" s="265"/>
      <c r="AN281" s="265"/>
      <c r="AO281" s="265"/>
      <c r="AP281" s="265"/>
      <c r="AQ281" s="265"/>
      <c r="AR281" s="265"/>
      <c r="AS281" s="265"/>
      <c r="AT281" s="265"/>
      <c r="AU281" s="265"/>
      <c r="AV281" s="265"/>
      <c r="AW281" s="265"/>
      <c r="AX281" s="265"/>
      <c r="AY281" s="265"/>
      <c r="AZ281" s="265"/>
      <c r="BA281" s="265"/>
      <c r="BB281" s="265"/>
      <c r="BC281" s="265"/>
      <c r="BD281" s="265"/>
      <c r="BE281" s="265"/>
      <c r="BF281" s="265"/>
      <c r="BG281" s="265"/>
      <c r="BH281" s="265"/>
      <c r="BI281" s="265"/>
      <c r="BJ281" s="265"/>
      <c r="BK281" s="265"/>
      <c r="BL281" s="265"/>
      <c r="BM281" s="265"/>
      <c r="BN281" s="265"/>
    </row>
    <row r="282" spans="1:66">
      <c r="A282" s="595"/>
      <c r="B282" s="242"/>
      <c r="C282" s="243"/>
      <c r="D282" s="264"/>
      <c r="E282" s="264"/>
      <c r="F282" s="264"/>
      <c r="G282" s="265"/>
      <c r="H282" s="265"/>
      <c r="I282" s="265"/>
      <c r="J282" s="265"/>
      <c r="K282" s="265"/>
      <c r="L282" s="265"/>
      <c r="M282" s="265"/>
      <c r="N282" s="265"/>
      <c r="O282" s="265"/>
      <c r="P282" s="265"/>
      <c r="Q282" s="265"/>
      <c r="R282" s="265"/>
      <c r="S282" s="265"/>
      <c r="T282" s="265"/>
      <c r="U282" s="265"/>
      <c r="V282" s="265"/>
      <c r="W282" s="265"/>
      <c r="X282" s="265"/>
      <c r="Y282" s="265"/>
      <c r="Z282" s="265"/>
      <c r="AA282" s="265"/>
      <c r="AB282" s="265"/>
      <c r="AC282" s="265"/>
      <c r="AD282" s="265"/>
      <c r="AE282" s="265"/>
      <c r="AF282" s="265"/>
      <c r="AG282" s="265"/>
      <c r="AH282" s="265"/>
      <c r="AI282" s="265"/>
      <c r="AJ282" s="265"/>
      <c r="AK282" s="265"/>
      <c r="AL282" s="265"/>
      <c r="AM282" s="265"/>
      <c r="AN282" s="265"/>
      <c r="AO282" s="265"/>
      <c r="AP282" s="265"/>
      <c r="AQ282" s="265"/>
      <c r="AR282" s="265"/>
      <c r="AS282" s="265"/>
      <c r="AT282" s="265"/>
      <c r="AU282" s="265"/>
      <c r="AV282" s="265"/>
      <c r="AW282" s="265"/>
      <c r="AX282" s="265"/>
      <c r="AY282" s="265"/>
      <c r="AZ282" s="265"/>
      <c r="BA282" s="265"/>
      <c r="BB282" s="265"/>
      <c r="BC282" s="265"/>
      <c r="BD282" s="265"/>
      <c r="BE282" s="265"/>
      <c r="BF282" s="265"/>
      <c r="BG282" s="265"/>
      <c r="BH282" s="265"/>
      <c r="BI282" s="265"/>
      <c r="BJ282" s="265"/>
      <c r="BK282" s="265"/>
      <c r="BL282" s="265"/>
      <c r="BM282" s="265"/>
      <c r="BN282" s="265"/>
    </row>
    <row r="283" spans="1:66">
      <c r="A283" s="595"/>
      <c r="B283" s="242"/>
      <c r="C283" s="243"/>
      <c r="D283" s="264"/>
      <c r="E283" s="264"/>
      <c r="F283" s="264"/>
      <c r="G283" s="265"/>
      <c r="H283" s="265"/>
      <c r="I283" s="265"/>
      <c r="J283" s="265"/>
      <c r="K283" s="265"/>
      <c r="L283" s="265"/>
      <c r="M283" s="265"/>
      <c r="N283" s="265"/>
      <c r="O283" s="265"/>
      <c r="P283" s="265"/>
      <c r="Q283" s="265"/>
      <c r="R283" s="265"/>
      <c r="S283" s="265"/>
      <c r="T283" s="265"/>
      <c r="U283" s="265"/>
      <c r="V283" s="265"/>
      <c r="W283" s="265"/>
      <c r="X283" s="265"/>
      <c r="Y283" s="265"/>
      <c r="Z283" s="265"/>
      <c r="AA283" s="265"/>
      <c r="AB283" s="265"/>
      <c r="AC283" s="265"/>
      <c r="AD283" s="265"/>
      <c r="AE283" s="265"/>
      <c r="AF283" s="265"/>
      <c r="AG283" s="265"/>
      <c r="AH283" s="265"/>
      <c r="AI283" s="265"/>
      <c r="AJ283" s="265"/>
      <c r="AK283" s="265"/>
      <c r="AL283" s="265"/>
      <c r="AM283" s="265"/>
      <c r="AN283" s="265"/>
      <c r="AO283" s="265"/>
      <c r="AP283" s="265"/>
      <c r="AQ283" s="265"/>
      <c r="AR283" s="265"/>
      <c r="AS283" s="265"/>
      <c r="AT283" s="265"/>
      <c r="AU283" s="265"/>
      <c r="AV283" s="265"/>
      <c r="AW283" s="265"/>
      <c r="AX283" s="265"/>
      <c r="AY283" s="265"/>
      <c r="AZ283" s="265"/>
      <c r="BA283" s="265"/>
      <c r="BB283" s="265"/>
      <c r="BC283" s="265"/>
      <c r="BD283" s="265"/>
      <c r="BE283" s="265"/>
      <c r="BF283" s="265"/>
      <c r="BG283" s="265"/>
      <c r="BH283" s="265"/>
      <c r="BI283" s="265"/>
      <c r="BJ283" s="265"/>
      <c r="BK283" s="265"/>
      <c r="BL283" s="265"/>
      <c r="BM283" s="265"/>
      <c r="BN283" s="265"/>
    </row>
    <row r="284" spans="1:66">
      <c r="A284" s="595"/>
      <c r="B284" s="242"/>
      <c r="C284" s="243"/>
      <c r="D284" s="264"/>
      <c r="E284" s="264"/>
      <c r="F284" s="264"/>
      <c r="G284" s="265"/>
      <c r="H284" s="265"/>
      <c r="I284" s="265"/>
      <c r="J284" s="265"/>
      <c r="K284" s="265"/>
      <c r="L284" s="265"/>
      <c r="M284" s="265"/>
      <c r="N284" s="265"/>
      <c r="O284" s="265"/>
      <c r="P284" s="265"/>
      <c r="Q284" s="265"/>
      <c r="R284" s="265"/>
      <c r="S284" s="265"/>
      <c r="T284" s="265"/>
      <c r="U284" s="265"/>
      <c r="V284" s="265"/>
      <c r="W284" s="265"/>
      <c r="X284" s="265"/>
      <c r="Y284" s="265"/>
      <c r="Z284" s="265"/>
      <c r="AA284" s="265"/>
      <c r="AB284" s="265"/>
      <c r="AC284" s="265"/>
      <c r="AD284" s="265"/>
      <c r="AE284" s="265"/>
      <c r="AF284" s="265"/>
      <c r="AG284" s="265"/>
      <c r="AH284" s="265"/>
      <c r="AI284" s="265"/>
      <c r="AJ284" s="265"/>
      <c r="AK284" s="265"/>
      <c r="AL284" s="265"/>
      <c r="AM284" s="265"/>
      <c r="AN284" s="265"/>
      <c r="AO284" s="265"/>
      <c r="AP284" s="265"/>
      <c r="AQ284" s="265"/>
      <c r="AR284" s="265"/>
      <c r="AS284" s="265"/>
      <c r="AT284" s="265"/>
      <c r="AU284" s="265"/>
      <c r="AV284" s="265"/>
      <c r="AW284" s="265"/>
      <c r="AX284" s="265"/>
      <c r="AY284" s="265"/>
      <c r="AZ284" s="265"/>
      <c r="BA284" s="265"/>
      <c r="BB284" s="265"/>
      <c r="BC284" s="265"/>
      <c r="BD284" s="265"/>
      <c r="BE284" s="265"/>
      <c r="BF284" s="265"/>
      <c r="BG284" s="265"/>
      <c r="BH284" s="265"/>
      <c r="BI284" s="265"/>
      <c r="BJ284" s="265"/>
      <c r="BK284" s="265"/>
      <c r="BL284" s="265"/>
      <c r="BM284" s="265"/>
      <c r="BN284" s="265"/>
    </row>
    <row r="285" spans="1:66">
      <c r="A285" s="595"/>
      <c r="B285" s="242"/>
      <c r="C285" s="243"/>
      <c r="D285" s="264"/>
      <c r="E285" s="264"/>
      <c r="F285" s="264"/>
      <c r="G285" s="265"/>
      <c r="H285" s="265"/>
      <c r="I285" s="265"/>
      <c r="J285" s="265"/>
      <c r="K285" s="265"/>
      <c r="L285" s="265"/>
      <c r="M285" s="265"/>
      <c r="N285" s="265"/>
      <c r="O285" s="265"/>
      <c r="P285" s="265"/>
      <c r="Q285" s="265"/>
      <c r="R285" s="265"/>
      <c r="S285" s="265"/>
      <c r="T285" s="265"/>
      <c r="U285" s="265"/>
      <c r="V285" s="265"/>
      <c r="W285" s="265"/>
      <c r="X285" s="265"/>
      <c r="Y285" s="265"/>
      <c r="Z285" s="265"/>
      <c r="AA285" s="265"/>
      <c r="AB285" s="265"/>
      <c r="AC285" s="265"/>
      <c r="AD285" s="265"/>
      <c r="AE285" s="265"/>
      <c r="AF285" s="265"/>
      <c r="AG285" s="265"/>
      <c r="AH285" s="265"/>
      <c r="AI285" s="265"/>
      <c r="AJ285" s="265"/>
      <c r="AK285" s="265"/>
      <c r="AL285" s="265"/>
      <c r="AM285" s="265"/>
      <c r="AN285" s="265"/>
      <c r="AO285" s="265"/>
      <c r="AP285" s="265"/>
      <c r="AQ285" s="265"/>
      <c r="AR285" s="265"/>
      <c r="AS285" s="265"/>
      <c r="AT285" s="265"/>
      <c r="AU285" s="265"/>
      <c r="AV285" s="265"/>
      <c r="AW285" s="265"/>
      <c r="AX285" s="265"/>
      <c r="AY285" s="265"/>
      <c r="AZ285" s="265"/>
      <c r="BA285" s="265"/>
      <c r="BB285" s="265"/>
      <c r="BC285" s="265"/>
      <c r="BD285" s="265"/>
      <c r="BE285" s="265"/>
      <c r="BF285" s="265"/>
      <c r="BG285" s="265"/>
      <c r="BH285" s="265"/>
      <c r="BI285" s="265"/>
      <c r="BJ285" s="265"/>
      <c r="BK285" s="265"/>
      <c r="BL285" s="265"/>
      <c r="BM285" s="265"/>
      <c r="BN285" s="265"/>
    </row>
    <row r="286" spans="1:66">
      <c r="A286" s="595"/>
      <c r="B286" s="242"/>
      <c r="C286" s="243"/>
      <c r="D286" s="264"/>
      <c r="E286" s="264"/>
      <c r="F286" s="264"/>
      <c r="G286" s="265"/>
      <c r="H286" s="265"/>
      <c r="I286" s="265"/>
      <c r="J286" s="265"/>
      <c r="K286" s="265"/>
      <c r="L286" s="265"/>
      <c r="M286" s="265"/>
      <c r="N286" s="265"/>
      <c r="O286" s="265"/>
      <c r="P286" s="265"/>
      <c r="Q286" s="265"/>
      <c r="R286" s="265"/>
      <c r="S286" s="265"/>
      <c r="T286" s="265"/>
      <c r="U286" s="265"/>
      <c r="V286" s="265"/>
      <c r="W286" s="265"/>
      <c r="X286" s="265"/>
      <c r="Y286" s="265"/>
      <c r="Z286" s="265"/>
      <c r="AA286" s="265"/>
      <c r="AB286" s="265"/>
      <c r="AC286" s="265"/>
      <c r="AD286" s="265"/>
      <c r="AE286" s="265"/>
      <c r="AF286" s="265"/>
      <c r="AG286" s="265"/>
      <c r="AH286" s="265"/>
      <c r="AI286" s="265"/>
      <c r="AJ286" s="265"/>
      <c r="AK286" s="265"/>
      <c r="AL286" s="265"/>
      <c r="AM286" s="265"/>
      <c r="AN286" s="265"/>
      <c r="AO286" s="265"/>
      <c r="AP286" s="265"/>
      <c r="AQ286" s="265"/>
      <c r="AR286" s="265"/>
      <c r="AS286" s="265"/>
      <c r="AT286" s="265"/>
      <c r="AU286" s="265"/>
      <c r="AV286" s="265"/>
      <c r="AW286" s="265"/>
      <c r="AX286" s="265"/>
      <c r="AY286" s="265"/>
      <c r="AZ286" s="265"/>
      <c r="BA286" s="265"/>
      <c r="BB286" s="265"/>
      <c r="BC286" s="265"/>
      <c r="BD286" s="265"/>
      <c r="BE286" s="265"/>
      <c r="BF286" s="265"/>
      <c r="BG286" s="265"/>
      <c r="BH286" s="265"/>
      <c r="BI286" s="265"/>
      <c r="BJ286" s="265"/>
      <c r="BK286" s="265"/>
      <c r="BL286" s="265"/>
      <c r="BM286" s="265"/>
      <c r="BN286" s="265"/>
    </row>
    <row r="287" spans="1:66">
      <c r="A287" s="595"/>
      <c r="B287" s="242"/>
      <c r="C287" s="243"/>
      <c r="D287" s="264"/>
      <c r="E287" s="264"/>
      <c r="F287" s="264"/>
      <c r="G287" s="265"/>
      <c r="H287" s="265"/>
      <c r="I287" s="265"/>
      <c r="J287" s="265"/>
      <c r="K287" s="265"/>
      <c r="L287" s="265"/>
      <c r="M287" s="265"/>
      <c r="N287" s="265"/>
      <c r="O287" s="265"/>
      <c r="P287" s="265"/>
      <c r="Q287" s="265"/>
      <c r="R287" s="265"/>
      <c r="S287" s="265"/>
      <c r="T287" s="265"/>
      <c r="U287" s="265"/>
      <c r="V287" s="265"/>
      <c r="W287" s="265"/>
      <c r="X287" s="265"/>
      <c r="Y287" s="265"/>
      <c r="Z287" s="265"/>
      <c r="AA287" s="265"/>
      <c r="AB287" s="265"/>
      <c r="AC287" s="265"/>
      <c r="AD287" s="265"/>
      <c r="AE287" s="265"/>
      <c r="AF287" s="265"/>
      <c r="AG287" s="265"/>
      <c r="AH287" s="265"/>
      <c r="AI287" s="265"/>
      <c r="AJ287" s="265"/>
      <c r="AK287" s="265"/>
      <c r="AL287" s="265"/>
      <c r="AM287" s="265"/>
      <c r="AN287" s="265"/>
      <c r="AO287" s="265"/>
      <c r="AP287" s="265"/>
      <c r="AQ287" s="265"/>
      <c r="AR287" s="265"/>
      <c r="AS287" s="265"/>
      <c r="AT287" s="265"/>
      <c r="AU287" s="265"/>
      <c r="AV287" s="265"/>
      <c r="AW287" s="265"/>
      <c r="AX287" s="265"/>
      <c r="AY287" s="265"/>
      <c r="AZ287" s="265"/>
      <c r="BA287" s="265"/>
      <c r="BB287" s="265"/>
      <c r="BC287" s="265"/>
      <c r="BD287" s="265"/>
      <c r="BE287" s="265"/>
      <c r="BF287" s="265"/>
      <c r="BG287" s="265"/>
      <c r="BH287" s="265"/>
      <c r="BI287" s="265"/>
      <c r="BJ287" s="265"/>
      <c r="BK287" s="265"/>
      <c r="BL287" s="265"/>
      <c r="BM287" s="265"/>
      <c r="BN287" s="265"/>
    </row>
    <row r="288" spans="1:66">
      <c r="A288" s="595"/>
      <c r="B288" s="242"/>
      <c r="C288" s="243"/>
      <c r="D288" s="264"/>
      <c r="E288" s="264"/>
      <c r="F288" s="264"/>
      <c r="G288" s="265"/>
      <c r="H288" s="265"/>
      <c r="I288" s="265"/>
      <c r="J288" s="265"/>
      <c r="K288" s="265"/>
      <c r="L288" s="265"/>
      <c r="M288" s="265"/>
      <c r="N288" s="265"/>
      <c r="O288" s="265"/>
      <c r="P288" s="265"/>
      <c r="Q288" s="265"/>
      <c r="R288" s="265"/>
      <c r="S288" s="265"/>
      <c r="T288" s="265"/>
      <c r="U288" s="265"/>
      <c r="V288" s="265"/>
      <c r="W288" s="265"/>
      <c r="X288" s="265"/>
      <c r="Y288" s="265"/>
      <c r="Z288" s="265"/>
      <c r="AA288" s="265"/>
      <c r="AB288" s="265"/>
      <c r="AC288" s="265"/>
      <c r="AD288" s="265"/>
      <c r="AE288" s="265"/>
      <c r="AF288" s="265"/>
      <c r="AG288" s="265"/>
      <c r="AH288" s="265"/>
      <c r="AI288" s="265"/>
      <c r="AJ288" s="265"/>
      <c r="AK288" s="265"/>
      <c r="AL288" s="265"/>
      <c r="AM288" s="265"/>
      <c r="AN288" s="265"/>
      <c r="AO288" s="265"/>
      <c r="AP288" s="265"/>
      <c r="AQ288" s="265"/>
      <c r="AR288" s="265"/>
      <c r="AS288" s="265"/>
      <c r="AT288" s="265"/>
      <c r="AU288" s="265"/>
      <c r="AV288" s="265"/>
      <c r="AW288" s="265"/>
      <c r="AX288" s="265"/>
      <c r="AY288" s="265"/>
      <c r="AZ288" s="265"/>
      <c r="BA288" s="265"/>
      <c r="BB288" s="265"/>
      <c r="BC288" s="265"/>
      <c r="BD288" s="265"/>
      <c r="BE288" s="265"/>
      <c r="BF288" s="265"/>
      <c r="BG288" s="265"/>
      <c r="BH288" s="265"/>
      <c r="BI288" s="265"/>
      <c r="BJ288" s="265"/>
      <c r="BK288" s="265"/>
      <c r="BL288" s="265"/>
      <c r="BM288" s="265"/>
      <c r="BN288" s="265"/>
    </row>
    <row r="289" spans="1:66">
      <c r="A289" s="595"/>
      <c r="B289" s="242"/>
      <c r="C289" s="243"/>
      <c r="D289" s="264"/>
      <c r="E289" s="264"/>
      <c r="F289" s="264"/>
      <c r="G289" s="265"/>
      <c r="H289" s="265"/>
      <c r="I289" s="265"/>
      <c r="J289" s="265"/>
      <c r="K289" s="265"/>
      <c r="L289" s="265"/>
      <c r="M289" s="265"/>
      <c r="N289" s="265"/>
      <c r="O289" s="265"/>
      <c r="P289" s="265"/>
      <c r="Q289" s="265"/>
      <c r="R289" s="265"/>
      <c r="S289" s="265"/>
      <c r="T289" s="265"/>
      <c r="U289" s="265"/>
      <c r="V289" s="265"/>
      <c r="W289" s="265"/>
      <c r="X289" s="265"/>
      <c r="Y289" s="265"/>
      <c r="Z289" s="265"/>
      <c r="AA289" s="265"/>
      <c r="AB289" s="265"/>
      <c r="AC289" s="265"/>
      <c r="AD289" s="265"/>
      <c r="AE289" s="265"/>
      <c r="AF289" s="265"/>
      <c r="AG289" s="265"/>
      <c r="AH289" s="265"/>
      <c r="AI289" s="265"/>
      <c r="AJ289" s="265"/>
      <c r="AK289" s="265"/>
      <c r="AL289" s="265"/>
      <c r="AM289" s="265"/>
      <c r="AN289" s="265"/>
      <c r="AO289" s="265"/>
      <c r="AP289" s="265"/>
      <c r="AQ289" s="265"/>
      <c r="AR289" s="265"/>
      <c r="AS289" s="265"/>
      <c r="AT289" s="265"/>
      <c r="AU289" s="265"/>
      <c r="AV289" s="265"/>
      <c r="AW289" s="265"/>
      <c r="AX289" s="265"/>
      <c r="AY289" s="265"/>
      <c r="AZ289" s="265"/>
      <c r="BA289" s="265"/>
      <c r="BB289" s="265"/>
      <c r="BC289" s="265"/>
      <c r="BD289" s="265"/>
      <c r="BE289" s="265"/>
      <c r="BF289" s="265"/>
      <c r="BG289" s="265"/>
      <c r="BH289" s="265"/>
      <c r="BI289" s="265"/>
      <c r="BJ289" s="265"/>
      <c r="BK289" s="265"/>
      <c r="BL289" s="265"/>
      <c r="BM289" s="265"/>
      <c r="BN289" s="265"/>
    </row>
    <row r="290" spans="1:66">
      <c r="A290" s="595"/>
      <c r="B290" s="242"/>
      <c r="C290" s="243"/>
      <c r="D290" s="264"/>
      <c r="E290" s="264"/>
      <c r="F290" s="264"/>
      <c r="G290" s="265"/>
      <c r="H290" s="265"/>
      <c r="I290" s="265"/>
      <c r="J290" s="265"/>
      <c r="K290" s="265"/>
      <c r="L290" s="265"/>
      <c r="M290" s="265"/>
      <c r="N290" s="265"/>
      <c r="O290" s="265"/>
      <c r="P290" s="265"/>
      <c r="Q290" s="265"/>
      <c r="R290" s="265"/>
      <c r="S290" s="265"/>
      <c r="T290" s="265"/>
      <c r="U290" s="265"/>
      <c r="V290" s="265"/>
      <c r="W290" s="265"/>
      <c r="X290" s="265"/>
      <c r="Y290" s="265"/>
      <c r="Z290" s="265"/>
      <c r="AA290" s="265"/>
      <c r="AB290" s="265"/>
      <c r="AC290" s="265"/>
      <c r="AD290" s="265"/>
      <c r="AE290" s="265"/>
      <c r="AF290" s="265"/>
      <c r="AG290" s="265"/>
      <c r="AH290" s="265"/>
      <c r="AI290" s="265"/>
      <c r="AJ290" s="265"/>
      <c r="AK290" s="265"/>
      <c r="AL290" s="265"/>
      <c r="AM290" s="265"/>
      <c r="AN290" s="265"/>
      <c r="AO290" s="265"/>
      <c r="AP290" s="265"/>
      <c r="AQ290" s="265"/>
      <c r="AR290" s="265"/>
      <c r="AS290" s="265"/>
      <c r="AT290" s="265"/>
      <c r="AU290" s="265"/>
      <c r="AV290" s="265"/>
      <c r="AW290" s="265"/>
      <c r="AX290" s="265"/>
      <c r="AY290" s="265"/>
      <c r="AZ290" s="265"/>
      <c r="BA290" s="265"/>
      <c r="BB290" s="265"/>
      <c r="BC290" s="265"/>
      <c r="BD290" s="265"/>
      <c r="BE290" s="265"/>
      <c r="BF290" s="265"/>
      <c r="BG290" s="265"/>
      <c r="BH290" s="265"/>
      <c r="BI290" s="265"/>
      <c r="BJ290" s="265"/>
      <c r="BK290" s="265"/>
      <c r="BL290" s="265"/>
      <c r="BM290" s="265"/>
      <c r="BN290" s="265"/>
    </row>
    <row r="291" spans="1:66">
      <c r="A291" s="595"/>
      <c r="B291" s="242"/>
      <c r="C291" s="243"/>
      <c r="D291" s="264"/>
      <c r="E291" s="264"/>
      <c r="F291" s="264"/>
      <c r="G291" s="265"/>
      <c r="H291" s="265"/>
      <c r="I291" s="265"/>
      <c r="J291" s="265"/>
      <c r="K291" s="265"/>
      <c r="L291" s="265"/>
      <c r="M291" s="265"/>
      <c r="N291" s="265"/>
      <c r="O291" s="265"/>
      <c r="P291" s="265"/>
      <c r="Q291" s="265"/>
      <c r="R291" s="265"/>
      <c r="S291" s="265"/>
      <c r="T291" s="265"/>
      <c r="U291" s="265"/>
      <c r="V291" s="265"/>
      <c r="W291" s="265"/>
      <c r="X291" s="265"/>
      <c r="Y291" s="265"/>
      <c r="Z291" s="265"/>
      <c r="AA291" s="265"/>
      <c r="AB291" s="265"/>
      <c r="AC291" s="265"/>
      <c r="AD291" s="265"/>
      <c r="AE291" s="265"/>
      <c r="AF291" s="265"/>
      <c r="AG291" s="265"/>
      <c r="AH291" s="265"/>
      <c r="AI291" s="265"/>
      <c r="AJ291" s="265"/>
      <c r="AK291" s="265"/>
      <c r="AL291" s="265"/>
      <c r="AM291" s="265"/>
      <c r="AN291" s="265"/>
      <c r="AO291" s="265"/>
      <c r="AP291" s="265"/>
      <c r="AQ291" s="265"/>
      <c r="AR291" s="265"/>
      <c r="AS291" s="265"/>
      <c r="AT291" s="265"/>
      <c r="AU291" s="265"/>
      <c r="AV291" s="265"/>
      <c r="AW291" s="265"/>
      <c r="AX291" s="265"/>
      <c r="AY291" s="265"/>
      <c r="AZ291" s="265"/>
      <c r="BA291" s="265"/>
      <c r="BB291" s="265"/>
      <c r="BC291" s="265"/>
      <c r="BD291" s="265"/>
      <c r="BE291" s="265"/>
      <c r="BF291" s="265"/>
      <c r="BG291" s="265"/>
      <c r="BH291" s="265"/>
      <c r="BI291" s="265"/>
      <c r="BJ291" s="265"/>
      <c r="BK291" s="265"/>
      <c r="BL291" s="265"/>
      <c r="BM291" s="265"/>
      <c r="BN291" s="265"/>
    </row>
    <row r="292" spans="1:66">
      <c r="A292" s="595"/>
      <c r="B292" s="242"/>
      <c r="C292" s="243"/>
      <c r="D292" s="264"/>
      <c r="E292" s="264"/>
      <c r="F292" s="264"/>
      <c r="G292" s="265"/>
      <c r="H292" s="265"/>
      <c r="I292" s="265"/>
      <c r="J292" s="265"/>
      <c r="K292" s="265"/>
      <c r="L292" s="265"/>
      <c r="M292" s="265"/>
      <c r="N292" s="265"/>
      <c r="O292" s="265"/>
      <c r="P292" s="265"/>
      <c r="Q292" s="265"/>
      <c r="R292" s="265"/>
      <c r="S292" s="265"/>
      <c r="T292" s="265"/>
      <c r="U292" s="265"/>
      <c r="V292" s="265"/>
      <c r="W292" s="265"/>
      <c r="X292" s="265"/>
      <c r="Y292" s="265"/>
      <c r="Z292" s="265"/>
      <c r="AA292" s="265"/>
      <c r="AB292" s="265"/>
      <c r="AC292" s="265"/>
      <c r="AD292" s="265"/>
      <c r="AE292" s="265"/>
      <c r="AF292" s="265"/>
      <c r="AG292" s="265"/>
      <c r="AH292" s="265"/>
      <c r="AI292" s="265"/>
      <c r="AJ292" s="265"/>
      <c r="AK292" s="265"/>
      <c r="AL292" s="265"/>
      <c r="AM292" s="265"/>
      <c r="AN292" s="265"/>
      <c r="AO292" s="265"/>
      <c r="AP292" s="265"/>
      <c r="AQ292" s="265"/>
      <c r="AR292" s="265"/>
      <c r="AS292" s="265"/>
      <c r="AT292" s="265"/>
      <c r="AU292" s="265"/>
      <c r="AV292" s="265"/>
      <c r="AW292" s="265"/>
      <c r="AX292" s="265"/>
      <c r="AY292" s="265"/>
      <c r="AZ292" s="265"/>
      <c r="BA292" s="265"/>
      <c r="BB292" s="265"/>
      <c r="BC292" s="265"/>
      <c r="BD292" s="265"/>
      <c r="BE292" s="265"/>
      <c r="BF292" s="265"/>
      <c r="BG292" s="265"/>
      <c r="BH292" s="265"/>
      <c r="BI292" s="265"/>
      <c r="BJ292" s="265"/>
      <c r="BK292" s="265"/>
      <c r="BL292" s="265"/>
      <c r="BM292" s="265"/>
      <c r="BN292" s="265"/>
    </row>
    <row r="293" spans="1:66">
      <c r="A293" s="595"/>
      <c r="B293" s="242"/>
      <c r="C293" s="243"/>
      <c r="D293" s="264"/>
      <c r="E293" s="264"/>
      <c r="F293" s="264"/>
      <c r="G293" s="265"/>
      <c r="H293" s="265"/>
      <c r="I293" s="265"/>
      <c r="J293" s="265"/>
      <c r="K293" s="265"/>
      <c r="L293" s="265"/>
      <c r="M293" s="265"/>
      <c r="N293" s="265"/>
      <c r="O293" s="265"/>
      <c r="P293" s="265"/>
      <c r="Q293" s="265"/>
      <c r="R293" s="265"/>
      <c r="S293" s="265"/>
      <c r="T293" s="265"/>
      <c r="U293" s="265"/>
      <c r="V293" s="265"/>
      <c r="W293" s="265"/>
      <c r="X293" s="265"/>
      <c r="Y293" s="265"/>
      <c r="Z293" s="265"/>
      <c r="AA293" s="265"/>
      <c r="AB293" s="265"/>
      <c r="AC293" s="265"/>
      <c r="AD293" s="265"/>
      <c r="AE293" s="265"/>
      <c r="AF293" s="265"/>
      <c r="AG293" s="265"/>
      <c r="AH293" s="265"/>
      <c r="AI293" s="265"/>
      <c r="AJ293" s="265"/>
      <c r="AK293" s="265"/>
      <c r="AL293" s="265"/>
      <c r="AM293" s="265"/>
      <c r="AN293" s="265"/>
      <c r="AO293" s="265"/>
      <c r="AP293" s="265"/>
      <c r="AQ293" s="265"/>
      <c r="AR293" s="265"/>
      <c r="AS293" s="265"/>
      <c r="AT293" s="265"/>
      <c r="AU293" s="265"/>
      <c r="AV293" s="265"/>
      <c r="AW293" s="265"/>
      <c r="AX293" s="265"/>
      <c r="AY293" s="265"/>
      <c r="AZ293" s="265"/>
      <c r="BA293" s="265"/>
      <c r="BB293" s="265"/>
      <c r="BC293" s="265"/>
      <c r="BD293" s="265"/>
      <c r="BE293" s="265"/>
      <c r="BF293" s="265"/>
      <c r="BG293" s="265"/>
      <c r="BH293" s="265"/>
      <c r="BI293" s="265"/>
      <c r="BJ293" s="265"/>
      <c r="BK293" s="265"/>
      <c r="BL293" s="265"/>
      <c r="BM293" s="265"/>
      <c r="BN293" s="265"/>
    </row>
    <row r="294" spans="1:66">
      <c r="A294" s="595"/>
      <c r="B294" s="242"/>
      <c r="C294" s="243"/>
      <c r="D294" s="264"/>
      <c r="E294" s="264"/>
      <c r="F294" s="264"/>
      <c r="G294" s="265"/>
      <c r="H294" s="265"/>
      <c r="I294" s="265"/>
      <c r="J294" s="265"/>
      <c r="K294" s="265"/>
      <c r="L294" s="265"/>
      <c r="M294" s="265"/>
      <c r="N294" s="265"/>
      <c r="O294" s="265"/>
      <c r="P294" s="265"/>
      <c r="Q294" s="265"/>
      <c r="R294" s="265"/>
      <c r="S294" s="265"/>
      <c r="T294" s="265"/>
      <c r="U294" s="265"/>
      <c r="V294" s="265"/>
      <c r="W294" s="265"/>
      <c r="X294" s="265"/>
      <c r="Y294" s="265"/>
      <c r="Z294" s="265"/>
      <c r="AA294" s="265"/>
      <c r="AB294" s="265"/>
      <c r="AC294" s="265"/>
      <c r="AD294" s="265"/>
      <c r="AE294" s="265"/>
      <c r="AF294" s="265"/>
      <c r="AG294" s="265"/>
      <c r="AH294" s="265"/>
      <c r="AI294" s="265"/>
      <c r="AJ294" s="265"/>
      <c r="AK294" s="265"/>
      <c r="AL294" s="265"/>
      <c r="AM294" s="265"/>
      <c r="AN294" s="265"/>
      <c r="AO294" s="265"/>
      <c r="AP294" s="265"/>
      <c r="AQ294" s="265"/>
      <c r="AR294" s="265"/>
      <c r="AS294" s="265"/>
      <c r="AT294" s="265"/>
      <c r="AU294" s="265"/>
      <c r="AV294" s="265"/>
      <c r="AW294" s="265"/>
      <c r="AX294" s="265"/>
      <c r="AY294" s="265"/>
      <c r="AZ294" s="265"/>
      <c r="BA294" s="265"/>
      <c r="BB294" s="265"/>
      <c r="BC294" s="265"/>
      <c r="BD294" s="265"/>
      <c r="BE294" s="265"/>
      <c r="BF294" s="265"/>
      <c r="BG294" s="265"/>
      <c r="BH294" s="265"/>
      <c r="BI294" s="265"/>
      <c r="BJ294" s="265"/>
      <c r="BK294" s="265"/>
      <c r="BL294" s="265"/>
      <c r="BM294" s="265"/>
      <c r="BN294" s="265"/>
    </row>
    <row r="295" spans="1:66">
      <c r="A295" s="595"/>
      <c r="B295" s="242"/>
      <c r="C295" s="243"/>
      <c r="D295" s="264"/>
      <c r="E295" s="264"/>
      <c r="F295" s="264"/>
      <c r="G295" s="265"/>
      <c r="H295" s="265"/>
      <c r="I295" s="265"/>
      <c r="J295" s="265"/>
      <c r="K295" s="265"/>
      <c r="L295" s="265"/>
      <c r="M295" s="265"/>
      <c r="N295" s="265"/>
      <c r="O295" s="265"/>
      <c r="P295" s="265"/>
      <c r="Q295" s="265"/>
      <c r="R295" s="265"/>
      <c r="S295" s="265"/>
      <c r="T295" s="265"/>
      <c r="U295" s="265"/>
      <c r="V295" s="265"/>
      <c r="W295" s="265"/>
      <c r="X295" s="265"/>
      <c r="Y295" s="265"/>
      <c r="Z295" s="265"/>
      <c r="AA295" s="265"/>
      <c r="AB295" s="265"/>
      <c r="AC295" s="265"/>
      <c r="AD295" s="265"/>
      <c r="AE295" s="265"/>
      <c r="AF295" s="265"/>
      <c r="AG295" s="265"/>
      <c r="AH295" s="265"/>
      <c r="AI295" s="265"/>
      <c r="AJ295" s="265"/>
      <c r="AK295" s="265"/>
      <c r="AL295" s="265"/>
      <c r="AM295" s="265"/>
      <c r="AN295" s="265"/>
      <c r="AO295" s="265"/>
      <c r="AP295" s="265"/>
      <c r="AQ295" s="265"/>
      <c r="AR295" s="265"/>
      <c r="AS295" s="265"/>
      <c r="AT295" s="265"/>
      <c r="AU295" s="265"/>
      <c r="AV295" s="265"/>
      <c r="AW295" s="265"/>
      <c r="AX295" s="265"/>
      <c r="AY295" s="265"/>
      <c r="AZ295" s="265"/>
      <c r="BA295" s="265"/>
      <c r="BB295" s="265"/>
      <c r="BC295" s="265"/>
      <c r="BD295" s="265"/>
      <c r="BE295" s="265"/>
      <c r="BF295" s="265"/>
      <c r="BG295" s="265"/>
      <c r="BH295" s="265"/>
      <c r="BI295" s="265"/>
      <c r="BJ295" s="265"/>
      <c r="BK295" s="265"/>
      <c r="BL295" s="265"/>
      <c r="BM295" s="265"/>
      <c r="BN295" s="265"/>
    </row>
    <row r="296" spans="1:66">
      <c r="A296" s="595"/>
      <c r="B296" s="242"/>
      <c r="C296" s="243"/>
      <c r="D296" s="264"/>
      <c r="E296" s="264"/>
      <c r="F296" s="264"/>
      <c r="G296" s="265"/>
      <c r="H296" s="265"/>
      <c r="I296" s="265"/>
      <c r="J296" s="265"/>
      <c r="K296" s="265"/>
      <c r="L296" s="265"/>
      <c r="M296" s="265"/>
      <c r="N296" s="265"/>
      <c r="O296" s="265"/>
      <c r="P296" s="265"/>
      <c r="Q296" s="265"/>
      <c r="R296" s="265"/>
      <c r="S296" s="265"/>
      <c r="T296" s="265"/>
      <c r="U296" s="265"/>
      <c r="V296" s="265"/>
      <c r="W296" s="265"/>
      <c r="X296" s="265"/>
      <c r="Y296" s="265"/>
      <c r="Z296" s="265"/>
      <c r="AA296" s="265"/>
      <c r="AB296" s="265"/>
      <c r="AC296" s="265"/>
      <c r="AD296" s="265"/>
      <c r="AE296" s="265"/>
      <c r="AF296" s="265"/>
      <c r="AG296" s="265"/>
      <c r="AH296" s="265"/>
      <c r="AI296" s="265"/>
      <c r="AJ296" s="265"/>
      <c r="AK296" s="265"/>
      <c r="AL296" s="265"/>
      <c r="AM296" s="265"/>
      <c r="AN296" s="265"/>
      <c r="AO296" s="265"/>
      <c r="AP296" s="265"/>
      <c r="AQ296" s="265"/>
      <c r="AR296" s="265"/>
      <c r="AS296" s="265"/>
      <c r="AT296" s="265"/>
      <c r="AU296" s="265"/>
      <c r="AV296" s="265"/>
      <c r="AW296" s="265"/>
      <c r="AX296" s="265"/>
      <c r="AY296" s="265"/>
      <c r="AZ296" s="265"/>
      <c r="BA296" s="265"/>
      <c r="BB296" s="265"/>
      <c r="BC296" s="265"/>
      <c r="BD296" s="265"/>
      <c r="BE296" s="265"/>
      <c r="BF296" s="265"/>
      <c r="BG296" s="265"/>
      <c r="BH296" s="265"/>
      <c r="BI296" s="265"/>
      <c r="BJ296" s="265"/>
      <c r="BK296" s="265"/>
      <c r="BL296" s="265"/>
      <c r="BM296" s="265"/>
      <c r="BN296" s="265"/>
    </row>
    <row r="297" spans="1:66">
      <c r="A297" s="595"/>
      <c r="B297" s="242"/>
      <c r="C297" s="243"/>
      <c r="D297" s="264"/>
      <c r="E297" s="264"/>
      <c r="F297" s="264"/>
      <c r="G297" s="265"/>
      <c r="H297" s="265"/>
      <c r="I297" s="265"/>
      <c r="J297" s="265"/>
      <c r="K297" s="265"/>
      <c r="L297" s="265"/>
      <c r="M297" s="265"/>
      <c r="N297" s="265"/>
      <c r="O297" s="265"/>
      <c r="P297" s="265"/>
      <c r="Q297" s="265"/>
      <c r="R297" s="265"/>
      <c r="S297" s="265"/>
      <c r="T297" s="265"/>
      <c r="U297" s="265"/>
      <c r="V297" s="265"/>
      <c r="W297" s="265"/>
      <c r="X297" s="265"/>
      <c r="Y297" s="265"/>
      <c r="Z297" s="265"/>
      <c r="AA297" s="265"/>
      <c r="AB297" s="265"/>
      <c r="AC297" s="265"/>
      <c r="AD297" s="265"/>
      <c r="AE297" s="265"/>
      <c r="AF297" s="265"/>
      <c r="AG297" s="265"/>
      <c r="AH297" s="265"/>
      <c r="AI297" s="265"/>
      <c r="AJ297" s="265"/>
      <c r="AK297" s="265"/>
      <c r="AL297" s="265"/>
      <c r="AM297" s="265"/>
      <c r="AN297" s="265"/>
      <c r="AO297" s="265"/>
      <c r="AP297" s="265"/>
      <c r="AQ297" s="265"/>
      <c r="AR297" s="265"/>
      <c r="AS297" s="265"/>
      <c r="AT297" s="265"/>
      <c r="AU297" s="265"/>
      <c r="AV297" s="265"/>
      <c r="AW297" s="265"/>
      <c r="AX297" s="265"/>
      <c r="AY297" s="265"/>
      <c r="AZ297" s="265"/>
      <c r="BA297" s="265"/>
      <c r="BB297" s="265"/>
      <c r="BC297" s="265"/>
      <c r="BD297" s="265"/>
      <c r="BE297" s="265"/>
      <c r="BF297" s="265"/>
      <c r="BG297" s="265"/>
      <c r="BH297" s="265"/>
      <c r="BI297" s="265"/>
      <c r="BJ297" s="265"/>
      <c r="BK297" s="265"/>
      <c r="BL297" s="265"/>
      <c r="BM297" s="265"/>
      <c r="BN297" s="265"/>
    </row>
    <row r="298" spans="1:66">
      <c r="A298" s="595"/>
      <c r="B298" s="242"/>
      <c r="C298" s="243"/>
      <c r="D298" s="264"/>
      <c r="E298" s="264"/>
      <c r="F298" s="264"/>
      <c r="G298" s="265"/>
      <c r="H298" s="265"/>
      <c r="I298" s="265"/>
      <c r="J298" s="265"/>
      <c r="K298" s="265"/>
      <c r="L298" s="265"/>
      <c r="M298" s="265"/>
      <c r="N298" s="265"/>
      <c r="O298" s="265"/>
      <c r="P298" s="265"/>
      <c r="Q298" s="265"/>
      <c r="R298" s="265"/>
      <c r="S298" s="265"/>
      <c r="T298" s="265"/>
      <c r="U298" s="265"/>
      <c r="V298" s="265"/>
      <c r="W298" s="265"/>
      <c r="X298" s="265"/>
      <c r="Y298" s="265"/>
      <c r="Z298" s="265"/>
      <c r="AA298" s="265"/>
      <c r="AB298" s="265"/>
      <c r="AC298" s="265"/>
      <c r="AD298" s="265"/>
      <c r="AE298" s="265"/>
      <c r="AF298" s="265"/>
      <c r="AG298" s="265"/>
      <c r="AH298" s="265"/>
      <c r="AI298" s="265"/>
      <c r="AJ298" s="265"/>
      <c r="AK298" s="265"/>
      <c r="AL298" s="265"/>
      <c r="AM298" s="265"/>
      <c r="AN298" s="265"/>
      <c r="AO298" s="265"/>
      <c r="AP298" s="265"/>
      <c r="AQ298" s="265"/>
      <c r="AR298" s="265"/>
      <c r="AS298" s="265"/>
      <c r="AT298" s="265"/>
      <c r="AU298" s="265"/>
      <c r="AV298" s="265"/>
      <c r="AW298" s="265"/>
      <c r="AX298" s="265"/>
      <c r="AY298" s="265"/>
      <c r="AZ298" s="265"/>
      <c r="BA298" s="265"/>
      <c r="BB298" s="265"/>
      <c r="BC298" s="265"/>
      <c r="BD298" s="265"/>
      <c r="BE298" s="265"/>
      <c r="BF298" s="265"/>
      <c r="BG298" s="265"/>
      <c r="BH298" s="265"/>
      <c r="BI298" s="265"/>
      <c r="BJ298" s="265"/>
      <c r="BK298" s="265"/>
      <c r="BL298" s="265"/>
      <c r="BM298" s="265"/>
      <c r="BN298" s="265"/>
    </row>
    <row r="299" spans="1:66">
      <c r="A299" s="595"/>
      <c r="B299" s="242"/>
      <c r="C299" s="243"/>
      <c r="D299" s="264"/>
      <c r="E299" s="264"/>
      <c r="F299" s="264"/>
      <c r="G299" s="265"/>
      <c r="H299" s="265"/>
      <c r="I299" s="265"/>
      <c r="J299" s="265"/>
      <c r="K299" s="265"/>
      <c r="L299" s="265"/>
      <c r="M299" s="265"/>
      <c r="N299" s="265"/>
      <c r="O299" s="265"/>
      <c r="P299" s="265"/>
      <c r="Q299" s="265"/>
      <c r="R299" s="265"/>
      <c r="S299" s="265"/>
      <c r="T299" s="265"/>
      <c r="U299" s="265"/>
      <c r="V299" s="265"/>
      <c r="W299" s="265"/>
      <c r="X299" s="265"/>
      <c r="Y299" s="265"/>
      <c r="Z299" s="265"/>
      <c r="AA299" s="265"/>
      <c r="AB299" s="265"/>
      <c r="AC299" s="265"/>
      <c r="AD299" s="265"/>
      <c r="AE299" s="265"/>
      <c r="AF299" s="265"/>
      <c r="AG299" s="265"/>
      <c r="AH299" s="265"/>
      <c r="AI299" s="265"/>
      <c r="AJ299" s="265"/>
      <c r="AK299" s="265"/>
      <c r="AL299" s="265"/>
      <c r="AM299" s="265"/>
      <c r="AN299" s="265"/>
      <c r="AO299" s="265"/>
      <c r="AP299" s="265"/>
      <c r="AQ299" s="265"/>
      <c r="AR299" s="265"/>
      <c r="AS299" s="265"/>
      <c r="AT299" s="265"/>
      <c r="AU299" s="265"/>
      <c r="AV299" s="265"/>
      <c r="AW299" s="265"/>
      <c r="AX299" s="265"/>
      <c r="AY299" s="265"/>
      <c r="AZ299" s="265"/>
      <c r="BA299" s="265"/>
      <c r="BB299" s="265"/>
      <c r="BC299" s="265"/>
      <c r="BD299" s="265"/>
      <c r="BE299" s="265"/>
      <c r="BF299" s="265"/>
      <c r="BG299" s="265"/>
      <c r="BH299" s="265"/>
      <c r="BI299" s="265"/>
      <c r="BJ299" s="265"/>
      <c r="BK299" s="265"/>
      <c r="BL299" s="265"/>
      <c r="BM299" s="265"/>
      <c r="BN299" s="265"/>
    </row>
    <row r="300" spans="1:66">
      <c r="A300" s="595"/>
      <c r="B300" s="242"/>
      <c r="C300" s="243"/>
      <c r="D300" s="328"/>
      <c r="E300" s="328"/>
      <c r="F300" s="328"/>
      <c r="G300" s="1108"/>
      <c r="H300" s="1108"/>
      <c r="I300" s="1108"/>
      <c r="J300" s="1108"/>
      <c r="K300" s="1108"/>
      <c r="L300" s="1108"/>
      <c r="M300" s="1108"/>
      <c r="N300" s="1108"/>
      <c r="O300" s="1108"/>
      <c r="P300" s="1108"/>
      <c r="Q300" s="1108"/>
      <c r="R300" s="1108"/>
      <c r="S300" s="1108"/>
      <c r="T300" s="1108"/>
      <c r="U300" s="1108"/>
      <c r="V300" s="1108"/>
      <c r="W300" s="1108"/>
      <c r="X300" s="1108"/>
      <c r="Y300" s="1108"/>
      <c r="Z300" s="1108"/>
      <c r="AA300" s="1108"/>
      <c r="AB300" s="1108"/>
      <c r="AC300" s="1108"/>
      <c r="AD300" s="1108"/>
      <c r="AE300" s="1108"/>
      <c r="AF300" s="1108"/>
      <c r="AG300" s="1108"/>
      <c r="AH300" s="1108"/>
      <c r="AI300" s="1108"/>
      <c r="AJ300" s="1108"/>
      <c r="AK300" s="1108"/>
      <c r="AL300" s="1108"/>
      <c r="AM300" s="1108"/>
      <c r="AN300" s="1108"/>
      <c r="AO300" s="1108"/>
      <c r="AP300" s="1108"/>
      <c r="AQ300" s="1108"/>
      <c r="AR300" s="1108"/>
      <c r="AS300" s="1108"/>
      <c r="AT300" s="1108"/>
      <c r="AU300" s="1108"/>
      <c r="AV300" s="1108"/>
      <c r="AW300" s="1108"/>
      <c r="AX300" s="1108"/>
      <c r="AY300" s="1108"/>
      <c r="AZ300" s="1108"/>
      <c r="BA300" s="1108"/>
      <c r="BB300" s="1108"/>
      <c r="BC300" s="1108"/>
      <c r="BD300" s="1108"/>
      <c r="BE300" s="1108"/>
      <c r="BF300" s="1108"/>
      <c r="BG300" s="1108"/>
      <c r="BH300" s="1108"/>
      <c r="BI300" s="1108"/>
      <c r="BJ300" s="1108"/>
      <c r="BK300" s="1108"/>
      <c r="BL300" s="1108"/>
      <c r="BM300" s="1108"/>
      <c r="BN300" s="1108"/>
    </row>
    <row r="301" spans="1:66">
      <c r="A301" s="595"/>
      <c r="B301" s="242"/>
      <c r="C301" s="243"/>
      <c r="D301" s="328"/>
      <c r="E301" s="328"/>
      <c r="F301" s="328"/>
      <c r="G301" s="1108"/>
      <c r="H301" s="1108"/>
      <c r="I301" s="1108"/>
      <c r="J301" s="1108"/>
      <c r="K301" s="1108"/>
      <c r="L301" s="1108"/>
      <c r="M301" s="1108"/>
      <c r="N301" s="1108"/>
      <c r="O301" s="1108"/>
      <c r="P301" s="1108"/>
      <c r="Q301" s="1108"/>
      <c r="R301" s="1108"/>
      <c r="S301" s="1108"/>
      <c r="T301" s="1108"/>
      <c r="U301" s="1108"/>
      <c r="V301" s="1108"/>
      <c r="W301" s="1108"/>
      <c r="X301" s="1108"/>
      <c r="Y301" s="1108"/>
      <c r="Z301" s="1108"/>
      <c r="AA301" s="1108"/>
      <c r="AB301" s="1108"/>
      <c r="AC301" s="1108"/>
      <c r="AD301" s="1108"/>
      <c r="AE301" s="1108"/>
      <c r="AF301" s="1108"/>
      <c r="AG301" s="1108"/>
      <c r="AH301" s="1108"/>
      <c r="AI301" s="1108"/>
      <c r="AJ301" s="1108"/>
      <c r="AK301" s="1108"/>
      <c r="AL301" s="1108"/>
      <c r="AM301" s="1108"/>
      <c r="AN301" s="1108"/>
      <c r="AO301" s="1108"/>
      <c r="AP301" s="1108"/>
      <c r="AQ301" s="1108"/>
      <c r="AR301" s="1108"/>
      <c r="AS301" s="1108"/>
      <c r="AT301" s="1108"/>
      <c r="AU301" s="1108"/>
      <c r="AV301" s="1108"/>
      <c r="AW301" s="1108"/>
      <c r="AX301" s="1108"/>
      <c r="AY301" s="1108"/>
      <c r="AZ301" s="1108"/>
      <c r="BA301" s="1108"/>
      <c r="BB301" s="1108"/>
      <c r="BC301" s="1108"/>
      <c r="BD301" s="1108"/>
      <c r="BE301" s="1108"/>
      <c r="BF301" s="1108"/>
      <c r="BG301" s="1108"/>
      <c r="BH301" s="1108"/>
      <c r="BI301" s="1108"/>
      <c r="BJ301" s="1108"/>
      <c r="BK301" s="1108"/>
      <c r="BL301" s="1108"/>
      <c r="BM301" s="1108"/>
      <c r="BN301" s="1108"/>
    </row>
    <row r="302" spans="1:66">
      <c r="A302" s="595"/>
      <c r="B302" s="242"/>
      <c r="C302" s="243"/>
      <c r="D302" s="328"/>
      <c r="E302" s="328"/>
      <c r="F302" s="328"/>
      <c r="G302" s="1108"/>
      <c r="H302" s="1108"/>
      <c r="I302" s="1108"/>
      <c r="J302" s="1108"/>
      <c r="K302" s="1108"/>
      <c r="L302" s="1108"/>
      <c r="M302" s="1108"/>
      <c r="N302" s="1108"/>
      <c r="O302" s="1108"/>
      <c r="P302" s="1108"/>
      <c r="Q302" s="1108"/>
      <c r="R302" s="1108"/>
      <c r="S302" s="1108"/>
      <c r="T302" s="1108"/>
      <c r="U302" s="1108"/>
      <c r="V302" s="1108"/>
      <c r="W302" s="1108"/>
      <c r="X302" s="1108"/>
      <c r="Y302" s="1108"/>
      <c r="Z302" s="1108"/>
      <c r="AA302" s="1108"/>
      <c r="AB302" s="1108"/>
      <c r="AC302" s="1108"/>
      <c r="AD302" s="1108"/>
      <c r="AE302" s="1108"/>
      <c r="AF302" s="1108"/>
      <c r="AG302" s="1108"/>
      <c r="AH302" s="1108"/>
      <c r="AI302" s="1108"/>
      <c r="AJ302" s="1108"/>
      <c r="AK302" s="1108"/>
      <c r="AL302" s="1108"/>
      <c r="AM302" s="1108"/>
      <c r="AN302" s="1108"/>
      <c r="AO302" s="1108"/>
      <c r="AP302" s="1108"/>
      <c r="AQ302" s="1108"/>
      <c r="AR302" s="1108"/>
      <c r="AS302" s="1108"/>
      <c r="AT302" s="1108"/>
      <c r="AU302" s="1108"/>
      <c r="AV302" s="1108"/>
      <c r="AW302" s="1108"/>
      <c r="AX302" s="1108"/>
      <c r="AY302" s="1108"/>
      <c r="AZ302" s="1108"/>
      <c r="BA302" s="1108"/>
      <c r="BB302" s="1108"/>
      <c r="BC302" s="1108"/>
      <c r="BD302" s="1108"/>
      <c r="BE302" s="1108"/>
      <c r="BF302" s="1108"/>
      <c r="BG302" s="1108"/>
      <c r="BH302" s="1108"/>
      <c r="BI302" s="1108"/>
      <c r="BJ302" s="1108"/>
      <c r="BK302" s="1108"/>
      <c r="BL302" s="1108"/>
      <c r="BM302" s="1108"/>
      <c r="BN302" s="1108"/>
    </row>
    <row r="303" spans="1:66">
      <c r="A303" s="595"/>
      <c r="B303" s="242"/>
      <c r="C303" s="243"/>
      <c r="D303" s="328"/>
      <c r="E303" s="328"/>
      <c r="F303" s="328"/>
      <c r="G303" s="1108"/>
      <c r="H303" s="1108"/>
      <c r="I303" s="1108"/>
      <c r="J303" s="1108"/>
      <c r="K303" s="1108"/>
      <c r="L303" s="1108"/>
      <c r="M303" s="1108"/>
      <c r="N303" s="1108"/>
      <c r="O303" s="1108"/>
      <c r="P303" s="1108"/>
      <c r="Q303" s="1108"/>
      <c r="R303" s="1108"/>
      <c r="S303" s="1108"/>
      <c r="T303" s="1108"/>
      <c r="U303" s="1108"/>
      <c r="V303" s="1108"/>
      <c r="W303" s="1108"/>
      <c r="X303" s="1108"/>
      <c r="Y303" s="1108"/>
      <c r="Z303" s="1108"/>
      <c r="AA303" s="1108"/>
      <c r="AB303" s="1108"/>
      <c r="AC303" s="1108"/>
      <c r="AD303" s="1108"/>
      <c r="AE303" s="1108"/>
      <c r="AF303" s="1108"/>
      <c r="AG303" s="1108"/>
      <c r="AH303" s="1108"/>
      <c r="AI303" s="1108"/>
      <c r="AJ303" s="1108"/>
      <c r="AK303" s="1108"/>
      <c r="AL303" s="1108"/>
      <c r="AM303" s="1108"/>
      <c r="AN303" s="1108"/>
      <c r="AO303" s="1108"/>
      <c r="AP303" s="1108"/>
      <c r="AQ303" s="1108"/>
      <c r="AR303" s="1108"/>
      <c r="AS303" s="1108"/>
      <c r="AT303" s="1108"/>
      <c r="AU303" s="1108"/>
      <c r="AV303" s="1108"/>
      <c r="AW303" s="1108"/>
      <c r="AX303" s="1108"/>
      <c r="AY303" s="1108"/>
      <c r="AZ303" s="1108"/>
      <c r="BA303" s="1108"/>
      <c r="BB303" s="1108"/>
      <c r="BC303" s="1108"/>
      <c r="BD303" s="1108"/>
      <c r="BE303" s="1108"/>
      <c r="BF303" s="1108"/>
      <c r="BG303" s="1108"/>
      <c r="BH303" s="1108"/>
      <c r="BI303" s="1108"/>
      <c r="BJ303" s="1108"/>
      <c r="BK303" s="1108"/>
      <c r="BL303" s="1108"/>
      <c r="BM303" s="1108"/>
      <c r="BN303" s="1108"/>
    </row>
    <row r="304" spans="1:66">
      <c r="A304" s="595"/>
      <c r="B304" s="242"/>
      <c r="C304" s="243"/>
      <c r="D304" s="328"/>
      <c r="E304" s="328"/>
      <c r="F304" s="328"/>
      <c r="G304" s="1108"/>
      <c r="H304" s="1108"/>
      <c r="I304" s="1108"/>
      <c r="J304" s="1108"/>
      <c r="K304" s="1108"/>
      <c r="L304" s="1108"/>
      <c r="M304" s="1108"/>
      <c r="N304" s="1108"/>
      <c r="O304" s="1108"/>
      <c r="P304" s="1108"/>
      <c r="Q304" s="1108"/>
      <c r="R304" s="1108"/>
      <c r="S304" s="1108"/>
      <c r="T304" s="1108"/>
      <c r="U304" s="1108"/>
      <c r="V304" s="1108"/>
      <c r="W304" s="1108"/>
      <c r="X304" s="1108"/>
      <c r="Y304" s="1108"/>
      <c r="Z304" s="1108"/>
      <c r="AA304" s="1108"/>
      <c r="AB304" s="1108"/>
      <c r="AC304" s="1108"/>
      <c r="AD304" s="1108"/>
      <c r="AE304" s="1108"/>
      <c r="AF304" s="1108"/>
      <c r="AG304" s="1108"/>
      <c r="AH304" s="1108"/>
      <c r="AI304" s="1108"/>
      <c r="AJ304" s="1108"/>
      <c r="AK304" s="1108"/>
      <c r="AL304" s="1108"/>
      <c r="AM304" s="1108"/>
      <c r="AN304" s="1108"/>
      <c r="AO304" s="1108"/>
      <c r="AP304" s="1108"/>
      <c r="AQ304" s="1108"/>
      <c r="AR304" s="1108"/>
      <c r="AS304" s="1108"/>
      <c r="AT304" s="1108"/>
      <c r="AU304" s="1108"/>
      <c r="AV304" s="1108"/>
      <c r="AW304" s="1108"/>
      <c r="AX304" s="1108"/>
      <c r="AY304" s="1108"/>
      <c r="AZ304" s="1108"/>
      <c r="BA304" s="1108"/>
      <c r="BB304" s="1108"/>
      <c r="BC304" s="1108"/>
      <c r="BD304" s="1108"/>
      <c r="BE304" s="1108"/>
      <c r="BF304" s="1108"/>
      <c r="BG304" s="1108"/>
      <c r="BH304" s="1108"/>
      <c r="BI304" s="1108"/>
      <c r="BJ304" s="1108"/>
      <c r="BK304" s="1108"/>
      <c r="BL304" s="1108"/>
      <c r="BM304" s="1108"/>
      <c r="BN304" s="1108"/>
    </row>
    <row r="305" spans="1:3">
      <c r="A305" s="595"/>
      <c r="B305" s="242"/>
      <c r="C305" s="243"/>
    </row>
    <row r="306" spans="1:3">
      <c r="A306" s="595"/>
      <c r="B306" s="242"/>
      <c r="C306" s="243"/>
    </row>
    <row r="307" spans="1:3">
      <c r="A307" s="595"/>
      <c r="B307" s="242"/>
      <c r="C307" s="243"/>
    </row>
    <row r="308" spans="1:3">
      <c r="A308" s="595"/>
      <c r="B308" s="242"/>
      <c r="C308" s="243"/>
    </row>
    <row r="309" spans="1:3">
      <c r="A309" s="595"/>
      <c r="B309" s="242"/>
      <c r="C309" s="243"/>
    </row>
    <row r="310" spans="1:3">
      <c r="A310" s="595"/>
      <c r="B310" s="242"/>
      <c r="C310" s="243"/>
    </row>
    <row r="311" spans="1:3">
      <c r="A311" s="595"/>
      <c r="B311" s="242"/>
      <c r="C311" s="243"/>
    </row>
    <row r="312" spans="1:3">
      <c r="A312" s="595"/>
      <c r="B312" s="242"/>
      <c r="C312" s="243"/>
    </row>
    <row r="313" spans="1:3">
      <c r="A313" s="595"/>
      <c r="B313" s="242"/>
      <c r="C313" s="243"/>
    </row>
    <row r="314" spans="1:3">
      <c r="A314" s="595"/>
      <c r="B314" s="242"/>
      <c r="C314" s="243"/>
    </row>
    <row r="315" spans="1:3">
      <c r="A315" s="595"/>
      <c r="B315" s="242"/>
      <c r="C315" s="243"/>
    </row>
  </sheetData>
  <sortState xmlns:xlrd2="http://schemas.microsoft.com/office/spreadsheetml/2017/richdata2" ref="E202:E215">
    <sortCondition ref="E202"/>
  </sortState>
  <mergeCells count="8">
    <mergeCell ref="E6:E7"/>
    <mergeCell ref="G6:G7"/>
    <mergeCell ref="L6:L7"/>
    <mergeCell ref="F6:F7"/>
    <mergeCell ref="J6:J7"/>
    <mergeCell ref="I6:I7"/>
    <mergeCell ref="H6:H7"/>
    <mergeCell ref="K6:K7"/>
  </mergeCells>
  <phoneticPr fontId="17" type="noConversion"/>
  <pageMargins left="0.78740157499999996" right="0.78740157499999996" top="0.984251969" bottom="0.984251969" header="0.49212598499999999" footer="0.49212598499999999"/>
  <pageSetup paperSize="9" scale="11" fitToHeight="0" orientation="landscape" horizont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Plan17">
    <tabColor indexed="12"/>
  </sheetPr>
  <dimension ref="A1:DB224"/>
  <sheetViews>
    <sheetView showGridLines="0" zoomScaleNormal="100" zoomScaleSheetLayoutView="100" workbookViewId="0">
      <selection activeCell="D4" sqref="D4:G36"/>
    </sheetView>
  </sheetViews>
  <sheetFormatPr defaultColWidth="11.42578125" defaultRowHeight="12.75"/>
  <cols>
    <col min="1" max="1" width="2" style="628" customWidth="1"/>
    <col min="2" max="3" width="2" style="247" customWidth="1"/>
    <col min="4" max="4" width="11.42578125" style="247" customWidth="1"/>
    <col min="5" max="5" width="40.42578125" style="247" customWidth="1"/>
    <col min="6" max="6" width="9.42578125" style="273" customWidth="1"/>
    <col min="7" max="7" width="11.42578125" style="247" customWidth="1"/>
    <col min="8" max="8" width="10.85546875" style="247" bestFit="1" customWidth="1"/>
    <col min="9" max="9" width="10.5703125" style="247" bestFit="1" customWidth="1"/>
    <col min="10" max="10" width="10.42578125" style="247" bestFit="1" customWidth="1"/>
    <col min="11" max="11" width="10.7109375" style="247" customWidth="1"/>
    <col min="12" max="16" width="11.42578125" style="247"/>
    <col min="17" max="17" width="30.42578125" style="247" customWidth="1"/>
    <col min="18" max="16384" width="11.42578125" style="247"/>
  </cols>
  <sheetData>
    <row r="1" spans="1:106" s="595" customFormat="1" ht="15" customHeight="1">
      <c r="D1" s="596"/>
    </row>
    <row r="2" spans="1:106" s="241" customFormat="1" ht="10.5" customHeight="1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242"/>
      <c r="AD2" s="242"/>
      <c r="AE2" s="242"/>
      <c r="AF2" s="242"/>
      <c r="AG2" s="242"/>
      <c r="AH2" s="242"/>
      <c r="AI2" s="242"/>
      <c r="AJ2" s="242"/>
      <c r="AK2" s="242"/>
      <c r="AL2" s="242"/>
      <c r="AM2" s="242"/>
      <c r="AN2" s="242"/>
      <c r="AO2" s="242"/>
      <c r="AP2" s="242"/>
      <c r="AQ2" s="242"/>
      <c r="AR2" s="242"/>
      <c r="AS2" s="242"/>
      <c r="AT2" s="242"/>
      <c r="AU2" s="242"/>
      <c r="AV2" s="242"/>
      <c r="AW2" s="242"/>
      <c r="AX2" s="242"/>
      <c r="AY2" s="242"/>
      <c r="AZ2" s="242"/>
      <c r="BA2" s="242"/>
      <c r="BB2" s="242"/>
      <c r="BC2" s="242"/>
      <c r="BD2" s="242"/>
      <c r="BE2" s="242"/>
      <c r="BF2" s="242"/>
      <c r="BG2" s="242"/>
      <c r="BH2" s="242"/>
      <c r="BI2" s="242"/>
      <c r="BJ2" s="242"/>
      <c r="BK2" s="242"/>
      <c r="BL2" s="242"/>
      <c r="BM2" s="242"/>
      <c r="BN2" s="242"/>
      <c r="BO2" s="242"/>
      <c r="BP2" s="242"/>
      <c r="BQ2" s="242"/>
      <c r="BR2" s="242"/>
      <c r="BS2" s="242"/>
      <c r="BT2" s="242"/>
      <c r="BU2" s="242"/>
      <c r="BV2" s="242"/>
      <c r="BW2" s="242"/>
      <c r="BX2" s="242"/>
      <c r="BY2" s="242"/>
      <c r="BZ2" s="242"/>
      <c r="CA2" s="242"/>
      <c r="CB2" s="242"/>
      <c r="CC2" s="242"/>
      <c r="CD2" s="242"/>
      <c r="CE2" s="242"/>
      <c r="CF2" s="242"/>
      <c r="CG2" s="242"/>
      <c r="CH2" s="242"/>
      <c r="CI2" s="242"/>
      <c r="CJ2" s="242"/>
      <c r="CK2" s="242"/>
      <c r="CL2" s="242"/>
      <c r="CM2" s="242"/>
      <c r="CN2" s="242"/>
      <c r="CO2" s="242"/>
      <c r="CP2" s="242"/>
      <c r="CQ2" s="242"/>
      <c r="CR2" s="242"/>
      <c r="CS2" s="242"/>
      <c r="CT2" s="242"/>
      <c r="CU2" s="242"/>
      <c r="CV2" s="242"/>
      <c r="CW2" s="242"/>
      <c r="CX2" s="242"/>
      <c r="CY2" s="242"/>
      <c r="CZ2" s="242"/>
      <c r="DA2" s="242"/>
      <c r="DB2" s="242"/>
    </row>
    <row r="3" spans="1:106" s="241" customFormat="1" ht="10.5" customHeight="1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</row>
    <row r="4" spans="1:106">
      <c r="A4" s="595"/>
      <c r="B4" s="598"/>
      <c r="C4" s="599"/>
      <c r="D4" s="1139"/>
      <c r="E4" s="1140"/>
      <c r="F4" s="1141"/>
      <c r="G4" s="1142"/>
      <c r="H4" s="1142"/>
      <c r="I4" s="1142"/>
      <c r="J4" s="1142"/>
      <c r="K4" s="1143"/>
      <c r="L4" s="272"/>
      <c r="M4" s="272"/>
      <c r="N4" s="272"/>
      <c r="O4" s="272"/>
      <c r="P4" s="272"/>
      <c r="Q4" s="272"/>
      <c r="R4" s="272"/>
      <c r="S4" s="272"/>
      <c r="T4" s="272"/>
      <c r="U4" s="272"/>
      <c r="V4" s="272"/>
      <c r="W4" s="272"/>
      <c r="X4" s="272"/>
      <c r="Y4" s="272"/>
      <c r="Z4" s="272"/>
      <c r="AA4" s="272"/>
      <c r="AB4" s="272"/>
      <c r="AC4" s="272"/>
      <c r="AD4" s="272"/>
      <c r="AE4" s="272"/>
      <c r="AF4" s="272"/>
      <c r="AG4" s="272"/>
      <c r="AH4" s="272"/>
      <c r="AI4" s="272"/>
      <c r="AJ4" s="272"/>
      <c r="AK4" s="272"/>
      <c r="AL4" s="272"/>
      <c r="AM4" s="272"/>
      <c r="AN4" s="272"/>
      <c r="AO4" s="272"/>
      <c r="AP4" s="272"/>
      <c r="AQ4" s="272"/>
      <c r="AR4" s="272"/>
      <c r="AS4" s="272"/>
      <c r="AT4" s="272"/>
      <c r="AU4" s="272"/>
      <c r="AV4" s="272"/>
      <c r="AW4" s="272"/>
      <c r="AX4" s="272"/>
      <c r="AY4" s="272"/>
      <c r="AZ4" s="272"/>
      <c r="BA4" s="272"/>
      <c r="BB4" s="272"/>
      <c r="BC4" s="272"/>
      <c r="BD4" s="272"/>
      <c r="BE4" s="272"/>
      <c r="BF4" s="272"/>
      <c r="BG4" s="272"/>
      <c r="BH4" s="272"/>
      <c r="BI4" s="272"/>
      <c r="BJ4" s="272"/>
      <c r="BK4" s="272"/>
      <c r="BL4" s="272"/>
      <c r="BM4" s="272"/>
      <c r="BN4" s="272"/>
      <c r="BO4" s="272"/>
      <c r="BP4" s="272"/>
      <c r="BQ4" s="272"/>
      <c r="BR4" s="272"/>
      <c r="BS4" s="272"/>
      <c r="BT4" s="272"/>
      <c r="BU4" s="272"/>
      <c r="BV4" s="272"/>
      <c r="BW4" s="272"/>
      <c r="BX4" s="272"/>
      <c r="BY4" s="272"/>
      <c r="BZ4" s="272"/>
      <c r="CA4" s="272"/>
      <c r="CB4" s="272"/>
      <c r="CC4" s="272"/>
      <c r="CD4" s="272"/>
      <c r="CE4" s="272"/>
      <c r="CF4" s="272"/>
      <c r="CG4" s="272"/>
      <c r="CH4" s="272"/>
      <c r="CI4" s="272"/>
      <c r="CJ4" s="272"/>
      <c r="CK4" s="272"/>
      <c r="CL4" s="272"/>
      <c r="CM4" s="272"/>
      <c r="CN4" s="272"/>
      <c r="CO4" s="272"/>
      <c r="CP4" s="272"/>
      <c r="CQ4" s="272"/>
      <c r="CR4" s="272"/>
      <c r="CS4" s="272"/>
      <c r="CT4" s="272"/>
      <c r="CU4" s="272"/>
      <c r="CV4" s="272"/>
      <c r="CW4" s="272"/>
      <c r="CX4" s="272"/>
      <c r="CY4" s="272"/>
      <c r="CZ4" s="272"/>
      <c r="DA4" s="272"/>
      <c r="DB4" s="272"/>
    </row>
    <row r="5" spans="1:106">
      <c r="A5" s="595"/>
      <c r="B5" s="598"/>
      <c r="C5" s="599"/>
      <c r="D5" s="629" t="s">
        <v>908</v>
      </c>
      <c r="E5" s="630"/>
      <c r="F5" s="631"/>
      <c r="G5" s="632"/>
      <c r="H5" s="632"/>
      <c r="I5" s="632"/>
      <c r="J5" s="632"/>
      <c r="K5" s="633"/>
      <c r="L5" s="272"/>
      <c r="M5" s="272"/>
      <c r="N5" s="272"/>
      <c r="O5" s="272"/>
      <c r="P5" s="272"/>
      <c r="Q5" s="272"/>
      <c r="R5" s="272"/>
      <c r="S5" s="272"/>
      <c r="T5" s="272"/>
      <c r="U5" s="272"/>
      <c r="V5" s="272"/>
      <c r="W5" s="272"/>
      <c r="X5" s="272"/>
      <c r="Y5" s="272"/>
      <c r="Z5" s="272"/>
      <c r="AA5" s="272"/>
      <c r="AB5" s="272"/>
      <c r="AC5" s="272"/>
      <c r="AD5" s="272"/>
      <c r="AE5" s="272"/>
      <c r="AF5" s="272"/>
      <c r="AG5" s="272"/>
      <c r="AH5" s="272"/>
      <c r="AI5" s="272"/>
      <c r="AJ5" s="272"/>
      <c r="AK5" s="272"/>
      <c r="AL5" s="272"/>
      <c r="AM5" s="272"/>
      <c r="AN5" s="272"/>
      <c r="AO5" s="272"/>
      <c r="AP5" s="272"/>
      <c r="AQ5" s="272"/>
      <c r="AR5" s="272"/>
      <c r="AS5" s="272"/>
      <c r="AT5" s="272"/>
      <c r="AU5" s="272"/>
      <c r="AV5" s="272"/>
      <c r="AW5" s="272"/>
      <c r="AX5" s="272"/>
      <c r="AY5" s="272"/>
      <c r="AZ5" s="272"/>
      <c r="BA5" s="272"/>
      <c r="BB5" s="272"/>
      <c r="BC5" s="272"/>
      <c r="BD5" s="272"/>
      <c r="BE5" s="272"/>
      <c r="BF5" s="272"/>
      <c r="BG5" s="272"/>
      <c r="BH5" s="272"/>
      <c r="BI5" s="272"/>
      <c r="BJ5" s="272"/>
      <c r="BK5" s="272"/>
      <c r="BL5" s="272"/>
      <c r="BM5" s="272"/>
      <c r="BN5" s="272"/>
      <c r="BO5" s="272"/>
      <c r="BP5" s="272"/>
      <c r="BQ5" s="272"/>
      <c r="BR5" s="272"/>
      <c r="BS5" s="272"/>
      <c r="BT5" s="272"/>
      <c r="BU5" s="272"/>
      <c r="BV5" s="272"/>
      <c r="BW5" s="272"/>
      <c r="BX5" s="272"/>
      <c r="BY5" s="272"/>
      <c r="BZ5" s="272"/>
      <c r="CA5" s="272"/>
      <c r="CB5" s="272"/>
      <c r="CC5" s="272"/>
      <c r="CD5" s="272"/>
      <c r="CE5" s="272"/>
      <c r="CF5" s="272"/>
      <c r="CG5" s="272"/>
      <c r="CH5" s="272"/>
      <c r="CI5" s="272"/>
      <c r="CJ5" s="272"/>
      <c r="CK5" s="272"/>
      <c r="CL5" s="272"/>
      <c r="CM5" s="272"/>
      <c r="CN5" s="272"/>
      <c r="CO5" s="272"/>
      <c r="CP5" s="272"/>
      <c r="CQ5" s="272"/>
      <c r="CR5" s="272"/>
      <c r="CS5" s="272"/>
      <c r="CT5" s="272"/>
      <c r="CU5" s="272"/>
      <c r="CV5" s="272"/>
      <c r="CW5" s="272"/>
      <c r="CX5" s="272"/>
      <c r="CY5" s="272"/>
      <c r="CZ5" s="272"/>
      <c r="DA5" s="272"/>
      <c r="DB5" s="272"/>
    </row>
    <row r="6" spans="1:106">
      <c r="A6" s="595"/>
      <c r="B6" s="598"/>
      <c r="C6" s="599"/>
      <c r="D6" s="634"/>
      <c r="E6" s="635"/>
      <c r="F6" s="636"/>
      <c r="G6" s="635"/>
      <c r="H6" s="635"/>
      <c r="I6" s="635"/>
      <c r="J6" s="635"/>
      <c r="K6" s="637"/>
      <c r="L6" s="272"/>
      <c r="M6" s="272"/>
      <c r="N6" s="272"/>
      <c r="O6" s="272"/>
      <c r="P6" s="272"/>
      <c r="Q6" s="272"/>
      <c r="R6" s="272"/>
      <c r="S6" s="272"/>
      <c r="T6" s="272"/>
      <c r="U6" s="272"/>
      <c r="V6" s="272"/>
      <c r="W6" s="272"/>
      <c r="X6" s="272"/>
      <c r="Y6" s="272"/>
      <c r="Z6" s="272"/>
      <c r="AA6" s="272"/>
      <c r="AB6" s="272"/>
      <c r="AC6" s="272"/>
      <c r="AD6" s="272"/>
      <c r="AE6" s="272"/>
      <c r="AF6" s="272"/>
      <c r="AG6" s="272"/>
      <c r="AH6" s="272"/>
      <c r="AI6" s="272"/>
      <c r="AJ6" s="272"/>
      <c r="AK6" s="272"/>
      <c r="AL6" s="272"/>
      <c r="AM6" s="272"/>
      <c r="AN6" s="272"/>
      <c r="AO6" s="272"/>
      <c r="AP6" s="272"/>
      <c r="AQ6" s="272"/>
      <c r="AR6" s="272"/>
      <c r="AS6" s="272"/>
      <c r="AT6" s="272"/>
      <c r="AU6" s="272"/>
      <c r="AV6" s="272"/>
      <c r="AW6" s="272"/>
      <c r="AX6" s="272"/>
      <c r="AY6" s="272"/>
      <c r="AZ6" s="272"/>
      <c r="BA6" s="272"/>
      <c r="BB6" s="272"/>
      <c r="BC6" s="272"/>
      <c r="BD6" s="272"/>
      <c r="BE6" s="272"/>
      <c r="BF6" s="272"/>
      <c r="BG6" s="272"/>
      <c r="BH6" s="272"/>
      <c r="BI6" s="272"/>
      <c r="BJ6" s="272"/>
      <c r="BK6" s="272"/>
      <c r="BL6" s="272"/>
      <c r="BM6" s="272"/>
      <c r="BN6" s="272"/>
      <c r="BO6" s="272"/>
      <c r="BP6" s="272"/>
      <c r="BQ6" s="272"/>
      <c r="BR6" s="272"/>
      <c r="BS6" s="272"/>
      <c r="BT6" s="272"/>
      <c r="BU6" s="272"/>
      <c r="BV6" s="272"/>
      <c r="BW6" s="272"/>
      <c r="BX6" s="272"/>
      <c r="BY6" s="272"/>
      <c r="BZ6" s="272"/>
      <c r="CA6" s="272"/>
      <c r="CB6" s="272"/>
      <c r="CC6" s="272"/>
      <c r="CD6" s="272"/>
      <c r="CE6" s="272"/>
      <c r="CF6" s="272"/>
      <c r="CG6" s="272"/>
      <c r="CH6" s="272"/>
      <c r="CI6" s="272"/>
      <c r="CJ6" s="272"/>
      <c r="CK6" s="272"/>
      <c r="CL6" s="272"/>
      <c r="CM6" s="272"/>
      <c r="CN6" s="272"/>
      <c r="CO6" s="272"/>
      <c r="CP6" s="272"/>
      <c r="CQ6" s="272"/>
      <c r="CR6" s="272"/>
      <c r="CS6" s="272"/>
      <c r="CT6" s="272"/>
      <c r="CU6" s="272"/>
      <c r="CV6" s="272"/>
      <c r="CW6" s="272"/>
      <c r="CX6" s="272"/>
      <c r="CY6" s="272"/>
      <c r="CZ6" s="272"/>
      <c r="DA6" s="272"/>
      <c r="DB6" s="272"/>
    </row>
    <row r="7" spans="1:106" ht="25.5">
      <c r="A7" s="595"/>
      <c r="B7" s="598"/>
      <c r="C7" s="599"/>
      <c r="D7" s="1144" t="s">
        <v>472</v>
      </c>
      <c r="E7" s="1144" t="s">
        <v>909</v>
      </c>
      <c r="F7" s="1145" t="s">
        <v>910</v>
      </c>
      <c r="G7" s="1144" t="s">
        <v>742</v>
      </c>
      <c r="H7" s="1144" t="s">
        <v>911</v>
      </c>
      <c r="I7" s="1144" t="s">
        <v>912</v>
      </c>
      <c r="J7" s="1144" t="s">
        <v>744</v>
      </c>
      <c r="K7" s="1144" t="s">
        <v>249</v>
      </c>
      <c r="L7" s="272"/>
      <c r="M7" s="272"/>
      <c r="N7" s="272"/>
      <c r="O7" s="272"/>
      <c r="P7" s="272"/>
      <c r="Q7" s="272"/>
      <c r="R7" s="272"/>
      <c r="S7" s="272"/>
      <c r="T7" s="272"/>
      <c r="U7" s="272"/>
      <c r="V7" s="272"/>
      <c r="W7" s="272"/>
      <c r="X7" s="272"/>
      <c r="Y7" s="272"/>
      <c r="Z7" s="272"/>
      <c r="AA7" s="272"/>
      <c r="AB7" s="272"/>
      <c r="AC7" s="272"/>
      <c r="AD7" s="272"/>
      <c r="AE7" s="272"/>
      <c r="AF7" s="272"/>
      <c r="AG7" s="272"/>
      <c r="AH7" s="272"/>
      <c r="AI7" s="272"/>
      <c r="AJ7" s="272"/>
      <c r="AK7" s="272"/>
      <c r="AL7" s="272"/>
      <c r="AM7" s="272"/>
      <c r="AN7" s="272"/>
      <c r="AO7" s="272"/>
      <c r="AP7" s="272"/>
      <c r="AQ7" s="272"/>
      <c r="AR7" s="272"/>
      <c r="AS7" s="272"/>
      <c r="AT7" s="272"/>
      <c r="AU7" s="272"/>
      <c r="AV7" s="272"/>
      <c r="AW7" s="272"/>
      <c r="AX7" s="272"/>
      <c r="AY7" s="272"/>
      <c r="AZ7" s="272"/>
      <c r="BA7" s="272"/>
      <c r="BB7" s="272"/>
      <c r="BC7" s="272"/>
      <c r="BD7" s="272"/>
      <c r="BE7" s="272"/>
      <c r="BF7" s="272"/>
      <c r="BG7" s="272"/>
      <c r="BH7" s="272"/>
      <c r="BI7" s="272"/>
      <c r="BJ7" s="272"/>
      <c r="BK7" s="272"/>
      <c r="BL7" s="272"/>
      <c r="BM7" s="272"/>
      <c r="BN7" s="272"/>
      <c r="BO7" s="272"/>
      <c r="BP7" s="272"/>
      <c r="BQ7" s="272"/>
      <c r="BR7" s="272"/>
      <c r="BS7" s="272"/>
      <c r="BT7" s="272"/>
      <c r="BU7" s="272"/>
      <c r="BV7" s="272"/>
      <c r="BW7" s="272"/>
      <c r="BX7" s="272"/>
      <c r="BY7" s="272"/>
      <c r="BZ7" s="272"/>
      <c r="CA7" s="272"/>
      <c r="CB7" s="272"/>
      <c r="CC7" s="272"/>
      <c r="CD7" s="272"/>
      <c r="CE7" s="272"/>
      <c r="CF7" s="272"/>
      <c r="CG7" s="272"/>
      <c r="CH7" s="272"/>
      <c r="CI7" s="272"/>
      <c r="CJ7" s="272"/>
      <c r="CK7" s="272"/>
      <c r="CL7" s="272"/>
      <c r="CM7" s="272"/>
      <c r="CN7" s="272"/>
      <c r="CO7" s="272"/>
      <c r="CP7" s="272"/>
      <c r="CQ7" s="272"/>
      <c r="CR7" s="272"/>
      <c r="CS7" s="272"/>
      <c r="CT7" s="272"/>
      <c r="CU7" s="272"/>
      <c r="CV7" s="272"/>
      <c r="CW7" s="272"/>
      <c r="CX7" s="272"/>
      <c r="CY7" s="272"/>
      <c r="CZ7" s="272"/>
      <c r="DA7" s="272"/>
      <c r="DB7" s="272"/>
    </row>
    <row r="8" spans="1:106">
      <c r="A8" s="595"/>
      <c r="B8" s="598"/>
      <c r="C8" s="599"/>
      <c r="D8" s="1146"/>
      <c r="E8" s="1147"/>
      <c r="F8" s="1148"/>
      <c r="G8" s="1149"/>
      <c r="H8" s="1149"/>
      <c r="I8" s="1149"/>
      <c r="J8" s="1149"/>
      <c r="K8" s="1149"/>
      <c r="L8" s="272"/>
      <c r="M8" s="272"/>
      <c r="N8" s="272"/>
      <c r="O8" s="272"/>
      <c r="P8" s="272"/>
      <c r="Q8" s="272"/>
      <c r="R8" s="272"/>
      <c r="S8" s="272"/>
      <c r="T8" s="272"/>
      <c r="U8" s="272"/>
      <c r="V8" s="272"/>
      <c r="W8" s="272"/>
      <c r="X8" s="272"/>
      <c r="Y8" s="272"/>
      <c r="Z8" s="272"/>
      <c r="AA8" s="272"/>
      <c r="AB8" s="272"/>
      <c r="AC8" s="272"/>
      <c r="AD8" s="272"/>
      <c r="AE8" s="272"/>
      <c r="AF8" s="272"/>
      <c r="AG8" s="272"/>
      <c r="AH8" s="272"/>
      <c r="AI8" s="272"/>
      <c r="AJ8" s="272"/>
      <c r="AK8" s="272"/>
      <c r="AL8" s="272"/>
      <c r="AM8" s="272"/>
      <c r="AN8" s="272"/>
      <c r="AO8" s="272"/>
      <c r="AP8" s="272"/>
      <c r="AQ8" s="272"/>
      <c r="AR8" s="272"/>
      <c r="AS8" s="272"/>
      <c r="AT8" s="272"/>
      <c r="AU8" s="272"/>
      <c r="AV8" s="272"/>
      <c r="AW8" s="272"/>
      <c r="AX8" s="272"/>
      <c r="AY8" s="272"/>
      <c r="AZ8" s="272"/>
      <c r="BA8" s="272"/>
      <c r="BB8" s="272"/>
      <c r="BC8" s="272"/>
      <c r="BD8" s="272"/>
      <c r="BE8" s="272"/>
      <c r="BF8" s="272"/>
      <c r="BG8" s="272"/>
      <c r="BH8" s="272"/>
      <c r="BI8" s="272"/>
      <c r="BJ8" s="272"/>
      <c r="BK8" s="272"/>
      <c r="BL8" s="272"/>
      <c r="BM8" s="272"/>
      <c r="BN8" s="272"/>
      <c r="BO8" s="272"/>
      <c r="BP8" s="272"/>
      <c r="BQ8" s="272"/>
      <c r="BR8" s="272"/>
      <c r="BS8" s="272"/>
      <c r="BT8" s="272"/>
      <c r="BU8" s="272"/>
      <c r="BV8" s="272"/>
      <c r="BW8" s="272"/>
      <c r="BX8" s="272"/>
      <c r="BY8" s="272"/>
      <c r="BZ8" s="272"/>
      <c r="CA8" s="272"/>
      <c r="CB8" s="272"/>
      <c r="CC8" s="272"/>
      <c r="CD8" s="272"/>
      <c r="CE8" s="272"/>
      <c r="CF8" s="272"/>
      <c r="CG8" s="272"/>
      <c r="CH8" s="272"/>
      <c r="CI8" s="272"/>
      <c r="CJ8" s="272"/>
      <c r="CK8" s="272"/>
      <c r="CL8" s="272"/>
      <c r="CM8" s="272"/>
      <c r="CN8" s="272"/>
      <c r="CO8" s="272"/>
      <c r="CP8" s="272"/>
      <c r="CQ8" s="272"/>
      <c r="CR8" s="272"/>
      <c r="CS8" s="272"/>
      <c r="CT8" s="272"/>
      <c r="CU8" s="272"/>
      <c r="CV8" s="272"/>
      <c r="CW8" s="272"/>
      <c r="CX8" s="272"/>
      <c r="CY8" s="272"/>
      <c r="CZ8" s="272"/>
      <c r="DA8" s="272"/>
      <c r="DB8" s="272"/>
    </row>
    <row r="9" spans="1:106">
      <c r="A9" s="595"/>
      <c r="B9" s="598"/>
      <c r="C9" s="599"/>
      <c r="D9" s="1146" t="s">
        <v>853</v>
      </c>
      <c r="E9" s="1150" t="s">
        <v>913</v>
      </c>
      <c r="F9" s="1148"/>
      <c r="G9" s="1149">
        <f>VLOOKUP($D9,SALARIOSS!$D$6:$H$203,5,0)</f>
        <v>1504.5472575000003</v>
      </c>
      <c r="H9" s="1149">
        <f>G9*'MEM. Encargos Sociais'!$F$36</f>
        <v>1278.8651688750003</v>
      </c>
      <c r="I9" s="1149">
        <f>SALARIOSS!$M$15</f>
        <v>828.92000000000007</v>
      </c>
      <c r="J9" s="1149">
        <f>SALARIOSS!$P$15</f>
        <v>95</v>
      </c>
      <c r="K9" s="1149">
        <f t="shared" ref="K9:K40" si="0">SUM(G9:J9)</f>
        <v>3707.332426375001</v>
      </c>
      <c r="L9" s="272"/>
      <c r="M9" s="272"/>
      <c r="N9" s="272"/>
      <c r="O9" s="272"/>
      <c r="P9" s="272"/>
      <c r="Q9" s="272"/>
      <c r="R9" s="272"/>
      <c r="S9" s="272"/>
      <c r="T9" s="272"/>
      <c r="U9" s="272"/>
      <c r="V9" s="272"/>
      <c r="W9" s="272"/>
      <c r="X9" s="272"/>
      <c r="Y9" s="272"/>
      <c r="Z9" s="272"/>
      <c r="AA9" s="272"/>
      <c r="AB9" s="272"/>
      <c r="AC9" s="272"/>
      <c r="AD9" s="272"/>
      <c r="AE9" s="272"/>
      <c r="AF9" s="272"/>
      <c r="AG9" s="272"/>
      <c r="AH9" s="272"/>
      <c r="AI9" s="272"/>
      <c r="AJ9" s="272"/>
      <c r="AK9" s="272"/>
      <c r="AL9" s="272"/>
      <c r="AM9" s="272"/>
      <c r="AN9" s="272"/>
      <c r="AO9" s="272"/>
      <c r="AP9" s="272"/>
      <c r="AQ9" s="272"/>
      <c r="AR9" s="272"/>
      <c r="AS9" s="272"/>
      <c r="AT9" s="272"/>
      <c r="AU9" s="272"/>
      <c r="AV9" s="272"/>
      <c r="AW9" s="272"/>
      <c r="AX9" s="272"/>
      <c r="AY9" s="272"/>
      <c r="AZ9" s="272"/>
      <c r="BA9" s="272"/>
      <c r="BB9" s="272"/>
      <c r="BC9" s="272"/>
      <c r="BD9" s="272"/>
      <c r="BE9" s="272"/>
      <c r="BF9" s="272"/>
      <c r="BG9" s="272"/>
      <c r="BH9" s="272"/>
      <c r="BI9" s="272"/>
      <c r="BJ9" s="272"/>
      <c r="BK9" s="272"/>
      <c r="BL9" s="272"/>
      <c r="BM9" s="272"/>
      <c r="BN9" s="272"/>
      <c r="BO9" s="272"/>
      <c r="BP9" s="272"/>
      <c r="BQ9" s="272"/>
      <c r="BR9" s="272"/>
      <c r="BS9" s="272"/>
      <c r="BT9" s="272"/>
      <c r="BU9" s="272"/>
      <c r="BV9" s="272"/>
      <c r="BW9" s="272"/>
      <c r="BX9" s="272"/>
      <c r="BY9" s="272"/>
      <c r="BZ9" s="272"/>
      <c r="CA9" s="272"/>
      <c r="CB9" s="272"/>
      <c r="CC9" s="272"/>
      <c r="CD9" s="272"/>
      <c r="CE9" s="272"/>
      <c r="CF9" s="272"/>
      <c r="CG9" s="272"/>
      <c r="CH9" s="272"/>
      <c r="CI9" s="272"/>
      <c r="CJ9" s="272"/>
      <c r="CK9" s="272"/>
      <c r="CL9" s="272"/>
      <c r="CM9" s="272"/>
      <c r="CN9" s="272"/>
      <c r="CO9" s="272"/>
      <c r="CP9" s="272"/>
      <c r="CQ9" s="272"/>
      <c r="CR9" s="272"/>
      <c r="CS9" s="272"/>
      <c r="CT9" s="272"/>
      <c r="CU9" s="272"/>
      <c r="CV9" s="272"/>
      <c r="CW9" s="272"/>
      <c r="CX9" s="272"/>
      <c r="CY9" s="272"/>
      <c r="CZ9" s="272"/>
      <c r="DA9" s="272"/>
      <c r="DB9" s="272"/>
    </row>
    <row r="10" spans="1:106">
      <c r="A10" s="595"/>
      <c r="B10" s="598"/>
      <c r="C10" s="599"/>
      <c r="D10" s="1146" t="str">
        <f>SALARIOSS!D15</f>
        <v>P109</v>
      </c>
      <c r="E10" s="1150" t="str">
        <f>SALARIOSS!E15</f>
        <v>Gerente de Operações</v>
      </c>
      <c r="F10" s="1148"/>
      <c r="G10" s="1149">
        <f>VLOOKUP($D10,SALARIOSS!$D$6:$H$203,5,0)</f>
        <v>18610.357500000002</v>
      </c>
      <c r="H10" s="1149">
        <f>G10*'MEM. Encargos Sociais'!$F$36</f>
        <v>15818.803875000001</v>
      </c>
      <c r="I10" s="1149">
        <f>SALARIOSS!$M$15</f>
        <v>828.92000000000007</v>
      </c>
      <c r="J10" s="1149">
        <f>SALARIOSS!$P$15</f>
        <v>95</v>
      </c>
      <c r="K10" s="1149">
        <f t="shared" si="0"/>
        <v>35353.081375000002</v>
      </c>
      <c r="L10" s="873"/>
      <c r="M10" s="272"/>
      <c r="N10" s="272"/>
      <c r="O10" s="272"/>
      <c r="P10" s="272"/>
      <c r="Q10" s="272"/>
      <c r="R10" s="272"/>
      <c r="S10" s="272"/>
      <c r="T10" s="272"/>
      <c r="U10" s="272"/>
      <c r="V10" s="272"/>
      <c r="W10" s="272"/>
      <c r="X10" s="272"/>
      <c r="Y10" s="272"/>
      <c r="Z10" s="272"/>
      <c r="AA10" s="272"/>
      <c r="AB10" s="272"/>
      <c r="AC10" s="272"/>
      <c r="AD10" s="272"/>
      <c r="AE10" s="272"/>
      <c r="AF10" s="272"/>
      <c r="AG10" s="272"/>
      <c r="AH10" s="272"/>
      <c r="AI10" s="272"/>
      <c r="AJ10" s="272"/>
      <c r="AK10" s="272"/>
      <c r="AL10" s="272"/>
      <c r="AM10" s="272"/>
      <c r="AN10" s="272"/>
      <c r="AO10" s="272"/>
      <c r="AP10" s="272"/>
      <c r="AQ10" s="272"/>
      <c r="AR10" s="272"/>
      <c r="AS10" s="272"/>
      <c r="AT10" s="272"/>
      <c r="AU10" s="272"/>
      <c r="AV10" s="272"/>
      <c r="AW10" s="272"/>
      <c r="AX10" s="272"/>
      <c r="AY10" s="272"/>
      <c r="AZ10" s="272"/>
      <c r="BA10" s="272"/>
      <c r="BB10" s="272"/>
      <c r="BC10" s="272"/>
      <c r="BD10" s="272"/>
      <c r="BE10" s="272"/>
      <c r="BF10" s="272"/>
      <c r="BG10" s="272"/>
      <c r="BH10" s="272"/>
      <c r="BI10" s="272"/>
      <c r="BJ10" s="272"/>
      <c r="BK10" s="272"/>
      <c r="BL10" s="272"/>
      <c r="BM10" s="272"/>
      <c r="BN10" s="272"/>
      <c r="BO10" s="272"/>
      <c r="BP10" s="272"/>
      <c r="BQ10" s="272"/>
      <c r="BR10" s="272"/>
      <c r="BS10" s="272"/>
      <c r="BT10" s="272"/>
      <c r="BU10" s="272"/>
      <c r="BV10" s="272"/>
      <c r="BW10" s="272"/>
      <c r="BX10" s="272"/>
      <c r="BY10" s="272"/>
      <c r="BZ10" s="272"/>
      <c r="CA10" s="272"/>
      <c r="CB10" s="272"/>
      <c r="CC10" s="272"/>
      <c r="CD10" s="272"/>
      <c r="CE10" s="272"/>
      <c r="CF10" s="272"/>
      <c r="CG10" s="272"/>
      <c r="CH10" s="272"/>
      <c r="CI10" s="272"/>
      <c r="CJ10" s="272"/>
      <c r="CK10" s="272"/>
      <c r="CL10" s="272"/>
      <c r="CM10" s="272"/>
      <c r="CN10" s="272"/>
      <c r="CO10" s="272"/>
      <c r="CP10" s="272"/>
      <c r="CQ10" s="272"/>
      <c r="CR10" s="272"/>
      <c r="CS10" s="272"/>
      <c r="CT10" s="272"/>
      <c r="CU10" s="272"/>
      <c r="CV10" s="272"/>
      <c r="CW10" s="272"/>
      <c r="CX10" s="272"/>
      <c r="CY10" s="272"/>
      <c r="CZ10" s="272"/>
      <c r="DA10" s="272"/>
      <c r="DB10" s="272"/>
    </row>
    <row r="11" spans="1:106">
      <c r="A11" s="595"/>
      <c r="B11" s="598"/>
      <c r="C11" s="599"/>
      <c r="D11" s="1146" t="str">
        <f>SALARIOSS!D19</f>
        <v>P108</v>
      </c>
      <c r="E11" s="1150" t="str">
        <f>SALARIOSS!E19</f>
        <v>Gerente de Obras</v>
      </c>
      <c r="F11" s="1148"/>
      <c r="G11" s="1149">
        <f>VLOOKUP($D11,SALARIOSS!$D$6:$H$203,5,0)</f>
        <v>17221.020106500004</v>
      </c>
      <c r="H11" s="1149">
        <f>G11*'MEM. Encargos Sociais'!$F$36</f>
        <v>14637.867090525002</v>
      </c>
      <c r="I11" s="1149">
        <f>SALARIOSS!$M$15</f>
        <v>828.92000000000007</v>
      </c>
      <c r="J11" s="1149">
        <f>SALARIOSS!$P$15</f>
        <v>95</v>
      </c>
      <c r="K11" s="1149">
        <f t="shared" si="0"/>
        <v>32782.807197025002</v>
      </c>
      <c r="L11" s="272"/>
      <c r="M11" s="272"/>
      <c r="N11" s="272"/>
      <c r="O11" s="272"/>
      <c r="P11" s="272"/>
      <c r="Q11" s="272"/>
      <c r="R11" s="272"/>
      <c r="S11" s="272"/>
      <c r="T11" s="272"/>
      <c r="U11" s="272"/>
      <c r="V11" s="272"/>
      <c r="W11" s="272"/>
      <c r="X11" s="272"/>
      <c r="Y11" s="272"/>
      <c r="Z11" s="272"/>
      <c r="AA11" s="272"/>
      <c r="AB11" s="272"/>
      <c r="AC11" s="272"/>
      <c r="AD11" s="272"/>
      <c r="AE11" s="272"/>
      <c r="AF11" s="272"/>
      <c r="AG11" s="272"/>
      <c r="AH11" s="272"/>
      <c r="AI11" s="272"/>
      <c r="AJ11" s="272"/>
      <c r="AK11" s="272"/>
      <c r="AL11" s="272"/>
      <c r="AM11" s="272"/>
      <c r="AN11" s="272"/>
      <c r="AO11" s="272"/>
      <c r="AP11" s="272"/>
      <c r="AQ11" s="272"/>
      <c r="AR11" s="272"/>
      <c r="AS11" s="272"/>
      <c r="AT11" s="272"/>
      <c r="AU11" s="272"/>
      <c r="AV11" s="272"/>
      <c r="AW11" s="272"/>
      <c r="AX11" s="272"/>
      <c r="AY11" s="272"/>
      <c r="AZ11" s="272"/>
      <c r="BA11" s="272"/>
      <c r="BB11" s="272"/>
      <c r="BC11" s="272"/>
      <c r="BD11" s="272"/>
      <c r="BE11" s="272"/>
      <c r="BF11" s="272"/>
      <c r="BG11" s="272"/>
      <c r="BH11" s="272"/>
      <c r="BI11" s="272"/>
      <c r="BJ11" s="272"/>
      <c r="BK11" s="272"/>
      <c r="BL11" s="272"/>
      <c r="BM11" s="272"/>
      <c r="BN11" s="272"/>
      <c r="BO11" s="272"/>
      <c r="BP11" s="272"/>
      <c r="BQ11" s="272"/>
      <c r="BR11" s="272"/>
      <c r="BS11" s="272"/>
      <c r="BT11" s="272"/>
      <c r="BU11" s="272"/>
      <c r="BV11" s="272"/>
      <c r="BW11" s="272"/>
      <c r="BX11" s="272"/>
      <c r="BY11" s="272"/>
      <c r="BZ11" s="272"/>
      <c r="CA11" s="272"/>
      <c r="CB11" s="272"/>
      <c r="CC11" s="272"/>
      <c r="CD11" s="272"/>
      <c r="CE11" s="272"/>
      <c r="CF11" s="272"/>
      <c r="CG11" s="272"/>
      <c r="CH11" s="272"/>
      <c r="CI11" s="272"/>
      <c r="CJ11" s="272"/>
      <c r="CK11" s="272"/>
      <c r="CL11" s="272"/>
      <c r="CM11" s="272"/>
      <c r="CN11" s="272"/>
      <c r="CO11" s="272"/>
      <c r="CP11" s="272"/>
      <c r="CQ11" s="272"/>
      <c r="CR11" s="272"/>
      <c r="CS11" s="272"/>
      <c r="CT11" s="272"/>
      <c r="CU11" s="272"/>
      <c r="CV11" s="272"/>
      <c r="CW11" s="272"/>
      <c r="CX11" s="272"/>
      <c r="CY11" s="272"/>
      <c r="CZ11" s="272"/>
      <c r="DA11" s="272"/>
      <c r="DB11" s="272"/>
    </row>
    <row r="12" spans="1:106">
      <c r="A12" s="595"/>
      <c r="B12" s="598"/>
      <c r="C12" s="599"/>
      <c r="D12" s="1146" t="str">
        <f>SALARIOSS!D7</f>
        <v>P079</v>
      </c>
      <c r="E12" s="1150" t="str">
        <f>SALARIOSS!E7</f>
        <v>Diretor Superintendente</v>
      </c>
      <c r="F12" s="1148"/>
      <c r="G12" s="1149">
        <f>VLOOKUP($D12,SALARIOSS!$D$6:$H$203,5,0)</f>
        <v>49616.897510250004</v>
      </c>
      <c r="H12" s="1149">
        <f>G12*'MEM. Encargos Sociais'!$F$36</f>
        <v>42174.3628837125</v>
      </c>
      <c r="I12" s="1149">
        <f>SALARIOSS!$M$15</f>
        <v>828.92000000000007</v>
      </c>
      <c r="J12" s="1149">
        <f>SALARIOSS!$P$15</f>
        <v>95</v>
      </c>
      <c r="K12" s="1149">
        <f t="shared" si="0"/>
        <v>92715.180393962495</v>
      </c>
      <c r="L12" s="272"/>
      <c r="M12" s="272"/>
      <c r="N12" s="272"/>
      <c r="O12" s="272"/>
      <c r="P12" s="272"/>
      <c r="Q12" s="272"/>
      <c r="R12" s="272"/>
      <c r="S12" s="272"/>
      <c r="T12" s="272"/>
      <c r="U12" s="272"/>
      <c r="V12" s="272"/>
      <c r="W12" s="272"/>
      <c r="X12" s="272"/>
      <c r="Y12" s="272"/>
      <c r="Z12" s="272"/>
      <c r="AA12" s="272"/>
      <c r="AB12" s="272"/>
      <c r="AC12" s="272"/>
      <c r="AD12" s="272"/>
      <c r="AE12" s="272"/>
      <c r="AF12" s="272"/>
      <c r="AG12" s="272"/>
      <c r="AH12" s="272"/>
      <c r="AI12" s="272"/>
      <c r="AJ12" s="272"/>
      <c r="AK12" s="272"/>
      <c r="AL12" s="272"/>
      <c r="AM12" s="272"/>
      <c r="AN12" s="272"/>
      <c r="AO12" s="272"/>
      <c r="AP12" s="272"/>
      <c r="AQ12" s="272"/>
      <c r="AR12" s="272"/>
      <c r="AS12" s="272"/>
      <c r="AT12" s="272"/>
      <c r="AU12" s="272"/>
      <c r="AV12" s="272"/>
      <c r="AW12" s="272"/>
      <c r="AX12" s="272"/>
      <c r="AY12" s="272"/>
      <c r="AZ12" s="272"/>
      <c r="BA12" s="272"/>
      <c r="BB12" s="272"/>
      <c r="BC12" s="272"/>
      <c r="BD12" s="272"/>
      <c r="BE12" s="272"/>
      <c r="BF12" s="272"/>
      <c r="BG12" s="272"/>
      <c r="BH12" s="272"/>
      <c r="BI12" s="272"/>
      <c r="BJ12" s="272"/>
      <c r="BK12" s="272"/>
      <c r="BL12" s="272"/>
      <c r="BM12" s="272"/>
      <c r="BN12" s="272"/>
      <c r="BO12" s="272"/>
      <c r="BP12" s="272"/>
      <c r="BQ12" s="272"/>
      <c r="BR12" s="272"/>
      <c r="BS12" s="272"/>
      <c r="BT12" s="272"/>
      <c r="BU12" s="272"/>
      <c r="BV12" s="272"/>
      <c r="BW12" s="272"/>
      <c r="BX12" s="272"/>
      <c r="BY12" s="272"/>
      <c r="BZ12" s="272"/>
      <c r="CA12" s="272"/>
      <c r="CB12" s="272"/>
      <c r="CC12" s="272"/>
      <c r="CD12" s="272"/>
      <c r="CE12" s="272"/>
      <c r="CF12" s="272"/>
      <c r="CG12" s="272"/>
      <c r="CH12" s="272"/>
      <c r="CI12" s="272"/>
      <c r="CJ12" s="272"/>
      <c r="CK12" s="272"/>
      <c r="CL12" s="272"/>
      <c r="CM12" s="272"/>
      <c r="CN12" s="272"/>
      <c r="CO12" s="272"/>
      <c r="CP12" s="272"/>
      <c r="CQ12" s="272"/>
      <c r="CR12" s="272"/>
      <c r="CS12" s="272"/>
      <c r="CT12" s="272"/>
      <c r="CU12" s="272"/>
      <c r="CV12" s="272"/>
      <c r="CW12" s="272"/>
      <c r="CX12" s="272"/>
      <c r="CY12" s="272"/>
      <c r="CZ12" s="272"/>
      <c r="DA12" s="272"/>
      <c r="DB12" s="272"/>
    </row>
    <row r="13" spans="1:106">
      <c r="A13" s="595"/>
      <c r="B13" s="598"/>
      <c r="C13" s="599"/>
      <c r="D13" s="1146" t="s">
        <v>803</v>
      </c>
      <c r="E13" s="1150" t="s">
        <v>914</v>
      </c>
      <c r="F13" s="1148"/>
      <c r="G13" s="1149">
        <f>VLOOKUP($D13,SALARIOSS!$D$6:$H$203,5,0)</f>
        <v>1504.5472575000003</v>
      </c>
      <c r="H13" s="1149">
        <f>G13*'MEM. Encargos Sociais'!$F$36</f>
        <v>1278.8651688750003</v>
      </c>
      <c r="I13" s="1149">
        <f>SALARIOSS!$M$15</f>
        <v>828.92000000000007</v>
      </c>
      <c r="J13" s="1149">
        <f>SALARIOSS!$P$15</f>
        <v>95</v>
      </c>
      <c r="K13" s="1149">
        <f t="shared" si="0"/>
        <v>3707.332426375001</v>
      </c>
      <c r="L13" s="272"/>
      <c r="M13" s="272"/>
      <c r="N13" s="272"/>
      <c r="O13" s="272"/>
      <c r="P13" s="272"/>
      <c r="Q13" s="272"/>
      <c r="R13" s="272"/>
      <c r="S13" s="272"/>
      <c r="T13" s="272"/>
      <c r="U13" s="272"/>
      <c r="V13" s="272"/>
      <c r="W13" s="272"/>
      <c r="X13" s="272"/>
      <c r="Y13" s="272"/>
      <c r="Z13" s="272"/>
      <c r="AA13" s="272"/>
      <c r="AB13" s="272"/>
      <c r="AC13" s="272"/>
      <c r="AD13" s="272"/>
      <c r="AE13" s="272"/>
      <c r="AF13" s="272"/>
      <c r="AG13" s="272"/>
      <c r="AH13" s="272"/>
      <c r="AI13" s="272"/>
      <c r="AJ13" s="272"/>
      <c r="AK13" s="272"/>
      <c r="AL13" s="272"/>
      <c r="AM13" s="272"/>
      <c r="AN13" s="272"/>
      <c r="AO13" s="272"/>
      <c r="AP13" s="272"/>
      <c r="AQ13" s="272"/>
      <c r="AR13" s="272"/>
      <c r="AS13" s="272"/>
      <c r="AT13" s="272"/>
      <c r="AU13" s="272"/>
      <c r="AV13" s="272"/>
      <c r="AW13" s="272"/>
      <c r="AX13" s="272"/>
      <c r="AY13" s="272"/>
      <c r="AZ13" s="272"/>
      <c r="BA13" s="272"/>
      <c r="BB13" s="272"/>
      <c r="BC13" s="272"/>
      <c r="BD13" s="272"/>
      <c r="BE13" s="272"/>
      <c r="BF13" s="272"/>
      <c r="BG13" s="272"/>
      <c r="BH13" s="272"/>
      <c r="BI13" s="272"/>
      <c r="BJ13" s="272"/>
      <c r="BK13" s="272"/>
      <c r="BL13" s="272"/>
      <c r="BM13" s="272"/>
      <c r="BN13" s="272"/>
      <c r="BO13" s="272"/>
      <c r="BP13" s="272"/>
      <c r="BQ13" s="272"/>
      <c r="BR13" s="272"/>
      <c r="BS13" s="272"/>
      <c r="BT13" s="272"/>
      <c r="BU13" s="272"/>
      <c r="BV13" s="272"/>
      <c r="BW13" s="272"/>
      <c r="BX13" s="272"/>
      <c r="BY13" s="272"/>
      <c r="BZ13" s="272"/>
      <c r="CA13" s="272"/>
      <c r="CB13" s="272"/>
      <c r="CC13" s="272"/>
      <c r="CD13" s="272"/>
      <c r="CE13" s="272"/>
      <c r="CF13" s="272"/>
      <c r="CG13" s="272"/>
      <c r="CH13" s="272"/>
      <c r="CI13" s="272"/>
      <c r="CJ13" s="272"/>
      <c r="CK13" s="272"/>
      <c r="CL13" s="272"/>
      <c r="CM13" s="272"/>
      <c r="CN13" s="272"/>
      <c r="CO13" s="272"/>
      <c r="CP13" s="272"/>
      <c r="CQ13" s="272"/>
      <c r="CR13" s="272"/>
      <c r="CS13" s="272"/>
      <c r="CT13" s="272"/>
      <c r="CU13" s="272"/>
      <c r="CV13" s="272"/>
      <c r="CW13" s="272"/>
      <c r="CX13" s="272"/>
      <c r="CY13" s="272"/>
      <c r="CZ13" s="272"/>
      <c r="DA13" s="272"/>
      <c r="DB13" s="272"/>
    </row>
    <row r="14" spans="1:106">
      <c r="A14" s="595"/>
      <c r="B14" s="598"/>
      <c r="C14" s="599"/>
      <c r="D14" s="1146" t="s">
        <v>766</v>
      </c>
      <c r="E14" s="1150" t="s">
        <v>915</v>
      </c>
      <c r="F14" s="1148"/>
      <c r="G14" s="1149">
        <f>VLOOKUP($D14,SALARIOSS!$D$6:$H$203,5,0)</f>
        <v>1504.5472575000003</v>
      </c>
      <c r="H14" s="1149">
        <f>G14*'MEM. Encargos Sociais'!$F$36</f>
        <v>1278.8651688750003</v>
      </c>
      <c r="I14" s="1149">
        <f>SALARIOSS!$M$15</f>
        <v>828.92000000000007</v>
      </c>
      <c r="J14" s="1149">
        <f>SALARIOSS!$P$15</f>
        <v>95</v>
      </c>
      <c r="K14" s="1149">
        <f t="shared" si="0"/>
        <v>3707.332426375001</v>
      </c>
      <c r="L14" s="272"/>
      <c r="M14" s="272"/>
      <c r="N14" s="272"/>
      <c r="O14" s="272"/>
      <c r="P14" s="272"/>
      <c r="Q14" s="272"/>
      <c r="R14" s="272"/>
      <c r="S14" s="272"/>
      <c r="T14" s="272"/>
      <c r="U14" s="272"/>
      <c r="V14" s="272"/>
      <c r="W14" s="272"/>
      <c r="X14" s="272"/>
      <c r="Y14" s="272"/>
      <c r="Z14" s="272"/>
      <c r="AA14" s="272"/>
      <c r="AB14" s="272"/>
      <c r="AC14" s="272"/>
      <c r="AD14" s="272"/>
      <c r="AE14" s="272"/>
      <c r="AF14" s="272"/>
      <c r="AG14" s="272"/>
      <c r="AH14" s="272"/>
      <c r="AI14" s="272"/>
      <c r="AJ14" s="272"/>
      <c r="AK14" s="272"/>
      <c r="AL14" s="272"/>
      <c r="AM14" s="272"/>
      <c r="AN14" s="272"/>
      <c r="AO14" s="272"/>
      <c r="AP14" s="272"/>
      <c r="AQ14" s="272"/>
      <c r="AR14" s="272"/>
      <c r="AS14" s="272"/>
      <c r="AT14" s="272"/>
      <c r="AU14" s="272"/>
      <c r="AV14" s="272"/>
      <c r="AW14" s="272"/>
      <c r="AX14" s="272"/>
      <c r="AY14" s="272"/>
      <c r="AZ14" s="272"/>
      <c r="BA14" s="272"/>
      <c r="BB14" s="272"/>
      <c r="BC14" s="272"/>
      <c r="BD14" s="272"/>
      <c r="BE14" s="272"/>
      <c r="BF14" s="272"/>
      <c r="BG14" s="272"/>
      <c r="BH14" s="272"/>
      <c r="BI14" s="272"/>
      <c r="BJ14" s="272"/>
      <c r="BK14" s="272"/>
      <c r="BL14" s="272"/>
      <c r="BM14" s="272"/>
      <c r="BN14" s="272"/>
      <c r="BO14" s="272"/>
      <c r="BP14" s="272"/>
      <c r="BQ14" s="272"/>
      <c r="BR14" s="272"/>
      <c r="BS14" s="272"/>
      <c r="BT14" s="272"/>
      <c r="BU14" s="272"/>
      <c r="BV14" s="272"/>
      <c r="BW14" s="272"/>
      <c r="BX14" s="272"/>
      <c r="BY14" s="272"/>
      <c r="BZ14" s="272"/>
      <c r="CA14" s="272"/>
      <c r="CB14" s="272"/>
      <c r="CC14" s="272"/>
      <c r="CD14" s="272"/>
      <c r="CE14" s="272"/>
      <c r="CF14" s="272"/>
      <c r="CG14" s="272"/>
      <c r="CH14" s="272"/>
      <c r="CI14" s="272"/>
      <c r="CJ14" s="272"/>
      <c r="CK14" s="272"/>
      <c r="CL14" s="272"/>
      <c r="CM14" s="272"/>
      <c r="CN14" s="272"/>
      <c r="CO14" s="272"/>
      <c r="CP14" s="272"/>
      <c r="CQ14" s="272"/>
      <c r="CR14" s="272"/>
      <c r="CS14" s="272"/>
      <c r="CT14" s="272"/>
      <c r="CU14" s="272"/>
      <c r="CV14" s="272"/>
      <c r="CW14" s="272"/>
      <c r="CX14" s="272"/>
      <c r="CY14" s="272"/>
      <c r="CZ14" s="272"/>
      <c r="DA14" s="272"/>
      <c r="DB14" s="272"/>
    </row>
    <row r="15" spans="1:106">
      <c r="A15" s="595"/>
      <c r="B15" s="598"/>
      <c r="C15" s="599"/>
      <c r="D15" s="1146" t="str">
        <f>SALARIOSS!D6</f>
        <v>P132</v>
      </c>
      <c r="E15" s="1150" t="str">
        <f>SALARIOSS!E6</f>
        <v>Superintendente Executivo</v>
      </c>
      <c r="F15" s="1148"/>
      <c r="G15" s="1149">
        <f>VLOOKUP($D15,SALARIOSS!$D$6:$H$203,5,0)</f>
        <v>51020.540313750011</v>
      </c>
      <c r="H15" s="1149">
        <f>G15*'MEM. Encargos Sociais'!$F$36</f>
        <v>43367.459266687511</v>
      </c>
      <c r="I15" s="1149">
        <f>SALARIOSS!$M$15</f>
        <v>828.92000000000007</v>
      </c>
      <c r="J15" s="1149">
        <f>SALARIOSS!$P$15</f>
        <v>95</v>
      </c>
      <c r="K15" s="1149">
        <f t="shared" si="0"/>
        <v>95311.919580437519</v>
      </c>
      <c r="L15" s="272"/>
      <c r="M15" s="272"/>
      <c r="N15" s="272"/>
      <c r="O15" s="272"/>
      <c r="P15" s="272"/>
      <c r="Q15" s="272"/>
      <c r="R15" s="272"/>
      <c r="S15" s="272"/>
      <c r="T15" s="272"/>
      <c r="U15" s="272"/>
      <c r="V15" s="272"/>
      <c r="W15" s="272"/>
      <c r="X15" s="272"/>
      <c r="Y15" s="272"/>
      <c r="Z15" s="272"/>
      <c r="AA15" s="272"/>
      <c r="AB15" s="272"/>
      <c r="AC15" s="272"/>
      <c r="AD15" s="272"/>
      <c r="AE15" s="272"/>
      <c r="AF15" s="272"/>
      <c r="AG15" s="272"/>
      <c r="AH15" s="272"/>
      <c r="AI15" s="272"/>
      <c r="AJ15" s="272"/>
      <c r="AK15" s="272"/>
      <c r="AL15" s="272"/>
      <c r="AM15" s="272"/>
      <c r="AN15" s="272"/>
      <c r="AO15" s="272"/>
      <c r="AP15" s="272"/>
      <c r="AQ15" s="272"/>
      <c r="AR15" s="272"/>
      <c r="AS15" s="272"/>
      <c r="AT15" s="272"/>
      <c r="AU15" s="272"/>
      <c r="AV15" s="272"/>
      <c r="AW15" s="272"/>
      <c r="AX15" s="272"/>
      <c r="AY15" s="272"/>
      <c r="AZ15" s="272"/>
      <c r="BA15" s="272"/>
      <c r="BB15" s="272"/>
      <c r="BC15" s="272"/>
      <c r="BD15" s="272"/>
      <c r="BE15" s="272"/>
      <c r="BF15" s="272"/>
      <c r="BG15" s="272"/>
      <c r="BH15" s="272"/>
      <c r="BI15" s="272"/>
      <c r="BJ15" s="272"/>
      <c r="BK15" s="272"/>
      <c r="BL15" s="272"/>
      <c r="BM15" s="272"/>
      <c r="BN15" s="272"/>
      <c r="BO15" s="272"/>
      <c r="BP15" s="272"/>
      <c r="BQ15" s="272"/>
      <c r="BR15" s="272"/>
      <c r="BS15" s="272"/>
      <c r="BT15" s="272"/>
      <c r="BU15" s="272"/>
      <c r="BV15" s="272"/>
      <c r="BW15" s="272"/>
      <c r="BX15" s="272"/>
      <c r="BY15" s="272"/>
      <c r="BZ15" s="272"/>
      <c r="CA15" s="272"/>
      <c r="CB15" s="272"/>
      <c r="CC15" s="272"/>
      <c r="CD15" s="272"/>
      <c r="CE15" s="272"/>
      <c r="CF15" s="272"/>
      <c r="CG15" s="272"/>
      <c r="CH15" s="272"/>
      <c r="CI15" s="272"/>
      <c r="CJ15" s="272"/>
      <c r="CK15" s="272"/>
      <c r="CL15" s="272"/>
      <c r="CM15" s="272"/>
      <c r="CN15" s="272"/>
      <c r="CO15" s="272"/>
      <c r="CP15" s="272"/>
      <c r="CQ15" s="272"/>
      <c r="CR15" s="272"/>
      <c r="CS15" s="272"/>
      <c r="CT15" s="272"/>
      <c r="CU15" s="272"/>
      <c r="CV15" s="272"/>
      <c r="CW15" s="272"/>
      <c r="CX15" s="272"/>
      <c r="CY15" s="272"/>
      <c r="CZ15" s="272"/>
      <c r="DA15" s="272"/>
      <c r="DB15" s="272"/>
    </row>
    <row r="16" spans="1:106">
      <c r="A16" s="595"/>
      <c r="B16" s="598"/>
      <c r="C16" s="599"/>
      <c r="D16" s="1146" t="str">
        <f>SALARIOSS!D12</f>
        <v>P077</v>
      </c>
      <c r="E16" s="1150" t="str">
        <f>SALARIOSS!E12</f>
        <v>Diretor administrativo e financeiro</v>
      </c>
      <c r="F16" s="1148"/>
      <c r="G16" s="1149">
        <f>VLOOKUP($D16,SALARIOSS!$D$6:$H$203,5,0)</f>
        <v>42601.998600000006</v>
      </c>
      <c r="H16" s="1149">
        <f>G16*'MEM. Encargos Sociais'!$F$36</f>
        <v>36211.698810000002</v>
      </c>
      <c r="I16" s="1149">
        <f>SALARIOSS!$M$15</f>
        <v>828.92000000000007</v>
      </c>
      <c r="J16" s="1149">
        <f>SALARIOSS!$P$15</f>
        <v>95</v>
      </c>
      <c r="K16" s="1149">
        <f t="shared" si="0"/>
        <v>79737.617410000006</v>
      </c>
      <c r="L16" s="272"/>
      <c r="M16" s="272"/>
      <c r="N16" s="272"/>
      <c r="O16" s="272"/>
      <c r="P16" s="272"/>
      <c r="Q16" s="272"/>
      <c r="R16" s="272"/>
      <c r="S16" s="272"/>
      <c r="T16" s="272"/>
      <c r="U16" s="272"/>
      <c r="V16" s="272"/>
      <c r="W16" s="272"/>
      <c r="X16" s="272"/>
      <c r="Y16" s="272"/>
      <c r="Z16" s="272"/>
      <c r="AA16" s="272"/>
      <c r="AB16" s="272"/>
      <c r="AC16" s="272"/>
      <c r="AD16" s="272"/>
      <c r="AE16" s="272"/>
      <c r="AF16" s="272"/>
      <c r="AG16" s="272"/>
      <c r="AH16" s="272"/>
      <c r="AI16" s="272"/>
      <c r="AJ16" s="272"/>
      <c r="AK16" s="272"/>
      <c r="AL16" s="272"/>
      <c r="AM16" s="272"/>
      <c r="AN16" s="272"/>
      <c r="AO16" s="272"/>
      <c r="AP16" s="272"/>
      <c r="AQ16" s="272"/>
      <c r="AR16" s="272"/>
      <c r="AS16" s="272"/>
      <c r="AT16" s="272"/>
      <c r="AU16" s="272"/>
      <c r="AV16" s="272"/>
      <c r="AW16" s="272"/>
      <c r="AX16" s="272"/>
      <c r="AY16" s="272"/>
      <c r="AZ16" s="272"/>
      <c r="BA16" s="272"/>
      <c r="BB16" s="272"/>
      <c r="BC16" s="272"/>
      <c r="BD16" s="272"/>
      <c r="BE16" s="272"/>
      <c r="BF16" s="272"/>
      <c r="BG16" s="272"/>
      <c r="BH16" s="272"/>
      <c r="BI16" s="272"/>
      <c r="BJ16" s="272"/>
      <c r="BK16" s="272"/>
      <c r="BL16" s="272"/>
      <c r="BM16" s="272"/>
      <c r="BN16" s="272"/>
      <c r="BO16" s="272"/>
      <c r="BP16" s="272"/>
      <c r="BQ16" s="272"/>
      <c r="BR16" s="272"/>
      <c r="BS16" s="272"/>
      <c r="BT16" s="272"/>
      <c r="BU16" s="272"/>
      <c r="BV16" s="272"/>
      <c r="BW16" s="272"/>
      <c r="BX16" s="272"/>
      <c r="BY16" s="272"/>
      <c r="BZ16" s="272"/>
      <c r="CA16" s="272"/>
      <c r="CB16" s="272"/>
      <c r="CC16" s="272"/>
      <c r="CD16" s="272"/>
      <c r="CE16" s="272"/>
      <c r="CF16" s="272"/>
      <c r="CG16" s="272"/>
      <c r="CH16" s="272"/>
      <c r="CI16" s="272"/>
      <c r="CJ16" s="272"/>
      <c r="CK16" s="272"/>
      <c r="CL16" s="272"/>
      <c r="CM16" s="272"/>
      <c r="CN16" s="272"/>
      <c r="CO16" s="272"/>
      <c r="CP16" s="272"/>
      <c r="CQ16" s="272"/>
      <c r="CR16" s="272"/>
      <c r="CS16" s="272"/>
      <c r="CT16" s="272"/>
      <c r="CU16" s="272"/>
      <c r="CV16" s="272"/>
      <c r="CW16" s="272"/>
      <c r="CX16" s="272"/>
      <c r="CY16" s="272"/>
      <c r="CZ16" s="272"/>
      <c r="DA16" s="272"/>
      <c r="DB16" s="272"/>
    </row>
    <row r="17" spans="1:12">
      <c r="A17" s="595"/>
      <c r="B17" s="598"/>
      <c r="C17" s="599"/>
      <c r="D17" s="1146" t="str">
        <f>SALARIOSS!D9</f>
        <v>P074</v>
      </c>
      <c r="E17" s="1150" t="str">
        <f>SALARIOSS!E9</f>
        <v>Diretor de Engenharia e Operações</v>
      </c>
      <c r="F17" s="1148"/>
      <c r="G17" s="1149">
        <f>VLOOKUP($D17,SALARIOSS!$D$6:$H$203,5,0)</f>
        <v>45310.661077500001</v>
      </c>
      <c r="H17" s="1149">
        <f>G17*'MEM. Encargos Sociais'!$F$36</f>
        <v>38514.061915874998</v>
      </c>
      <c r="I17" s="1149">
        <f>SALARIOSS!$M$15</f>
        <v>828.92000000000007</v>
      </c>
      <c r="J17" s="1149">
        <f>SALARIOSS!$P$15</f>
        <v>95</v>
      </c>
      <c r="K17" s="1149">
        <f t="shared" si="0"/>
        <v>84748.642993375004</v>
      </c>
      <c r="L17" s="272"/>
    </row>
    <row r="18" spans="1:12">
      <c r="A18" s="595"/>
      <c r="B18" s="598"/>
      <c r="C18" s="599"/>
      <c r="D18" s="1146" t="str">
        <f>SALARIOSS!D8</f>
        <v>P076</v>
      </c>
      <c r="E18" s="1150" t="str">
        <f>SALARIOSS!E8</f>
        <v>Diretor de Engenharia</v>
      </c>
      <c r="F18" s="1148"/>
      <c r="G18" s="1149">
        <f>VLOOKUP($D18,SALARIOSS!$D$6:$H$203,5,0)</f>
        <v>45310.661077500001</v>
      </c>
      <c r="H18" s="1149">
        <f>G18*'MEM. Encargos Sociais'!$F$36</f>
        <v>38514.061915874998</v>
      </c>
      <c r="I18" s="1149">
        <f>SALARIOSS!$M$15</f>
        <v>828.92000000000007</v>
      </c>
      <c r="J18" s="1149">
        <f>SALARIOSS!$P$15</f>
        <v>95</v>
      </c>
      <c r="K18" s="1149">
        <f t="shared" si="0"/>
        <v>84748.642993375004</v>
      </c>
      <c r="L18" s="272"/>
    </row>
    <row r="19" spans="1:12">
      <c r="A19" s="595"/>
      <c r="B19" s="598"/>
      <c r="C19" s="599"/>
      <c r="D19" s="1146" t="str">
        <f>SALARIOSS!D10</f>
        <v>P075</v>
      </c>
      <c r="E19" s="1150" t="str">
        <f>SALARIOSS!E10</f>
        <v>Diretor de obras</v>
      </c>
      <c r="F19" s="1148"/>
      <c r="G19" s="1149">
        <f>VLOOKUP($D19,SALARIOSS!$D$6:$H$203,5,0)</f>
        <v>45310.661077500001</v>
      </c>
      <c r="H19" s="1149">
        <f>G19*'MEM. Encargos Sociais'!$F$36</f>
        <v>38514.061915874998</v>
      </c>
      <c r="I19" s="1149">
        <f>SALARIOSS!$M$15</f>
        <v>828.92000000000007</v>
      </c>
      <c r="J19" s="1149">
        <f>SALARIOSS!$P$15</f>
        <v>95</v>
      </c>
      <c r="K19" s="1149">
        <f t="shared" si="0"/>
        <v>84748.642993375004</v>
      </c>
      <c r="L19" s="272"/>
    </row>
    <row r="20" spans="1:12">
      <c r="A20" s="595"/>
      <c r="B20" s="598"/>
      <c r="C20" s="599"/>
      <c r="D20" s="1146" t="str">
        <f>SALARIOSS!D11</f>
        <v>P078</v>
      </c>
      <c r="E20" s="1150" t="str">
        <f>SALARIOSS!E11</f>
        <v>Diretor Operacional</v>
      </c>
      <c r="F20" s="1148"/>
      <c r="G20" s="1149">
        <f>VLOOKUP($D20,SALARIOSS!$D$6:$H$203,5,0)</f>
        <v>45310.661077500001</v>
      </c>
      <c r="H20" s="1149">
        <f>G20*'MEM. Encargos Sociais'!$F$36</f>
        <v>38514.061915874998</v>
      </c>
      <c r="I20" s="1149">
        <f>SALARIOSS!$M$15</f>
        <v>828.92000000000007</v>
      </c>
      <c r="J20" s="1149">
        <f>SALARIOSS!$P$15</f>
        <v>95</v>
      </c>
      <c r="K20" s="1149">
        <f t="shared" si="0"/>
        <v>84748.642993375004</v>
      </c>
      <c r="L20" s="272"/>
    </row>
    <row r="21" spans="1:12">
      <c r="A21" s="595"/>
      <c r="B21" s="598"/>
      <c r="C21" s="599"/>
      <c r="D21" s="1146" t="str">
        <f>SALARIOSS!D13</f>
        <v>P302</v>
      </c>
      <c r="E21" s="1150" t="str">
        <f>SALARIOSS!E13</f>
        <v>Consultor de Operações</v>
      </c>
      <c r="F21" s="1148"/>
      <c r="G21" s="1149">
        <f>VLOOKUP($D21,SALARIOSS!$D$6:$H$203,5,0)</f>
        <v>31020.570000000003</v>
      </c>
      <c r="H21" s="1149">
        <f>G21*'MEM. Encargos Sociais'!$F$36</f>
        <v>26367.484500000002</v>
      </c>
      <c r="I21" s="1149">
        <f>SALARIOSS!$M$15</f>
        <v>828.92000000000007</v>
      </c>
      <c r="J21" s="1149">
        <f>SALARIOSS!$P$15</f>
        <v>95</v>
      </c>
      <c r="K21" s="1149">
        <f t="shared" si="0"/>
        <v>58311.974500000004</v>
      </c>
      <c r="L21" s="272"/>
    </row>
    <row r="22" spans="1:12">
      <c r="A22" s="595"/>
      <c r="B22" s="598"/>
      <c r="C22" s="599"/>
      <c r="D22" s="1146" t="str">
        <f>SALARIOSS!D14</f>
        <v>P107</v>
      </c>
      <c r="E22" s="1150" t="str">
        <f>SALARIOSS!E14</f>
        <v>Gerente de Engenharia e Obras</v>
      </c>
      <c r="F22" s="1148"/>
      <c r="G22" s="1149">
        <f>VLOOKUP($D22,SALARIOSS!$D$6:$H$203,5,0)</f>
        <v>19149.799882500003</v>
      </c>
      <c r="H22" s="1149">
        <f>G22*'MEM. Encargos Sociais'!$F$36</f>
        <v>16277.329900125002</v>
      </c>
      <c r="I22" s="1149">
        <f>SALARIOSS!$M$15</f>
        <v>828.92000000000007</v>
      </c>
      <c r="J22" s="1149">
        <f>SALARIOSS!$P$15</f>
        <v>95</v>
      </c>
      <c r="K22" s="1149">
        <f t="shared" si="0"/>
        <v>36351.049782625007</v>
      </c>
      <c r="L22" s="272"/>
    </row>
    <row r="23" spans="1:12">
      <c r="A23" s="595"/>
      <c r="B23" s="598"/>
      <c r="C23" s="599"/>
      <c r="D23" s="1146" t="str">
        <f>SALARIOSS!D20</f>
        <v>P093</v>
      </c>
      <c r="E23" s="1150" t="str">
        <f>SALARIOSS!E20</f>
        <v>Engenheiro Coordenador de Obras</v>
      </c>
      <c r="F23" s="1148"/>
      <c r="G23" s="1149">
        <f>VLOOKUP($D23,SALARIOSS!$D$6:$H$203,5,0)</f>
        <v>15571.412703000002</v>
      </c>
      <c r="H23" s="1149">
        <f>G23*'MEM. Encargos Sociais'!$F$36</f>
        <v>13235.700797550002</v>
      </c>
      <c r="I23" s="1149">
        <f>SALARIOSS!$M$15</f>
        <v>828.92000000000007</v>
      </c>
      <c r="J23" s="1149">
        <f>SALARIOSS!$P$15</f>
        <v>95</v>
      </c>
      <c r="K23" s="1149">
        <f t="shared" si="0"/>
        <v>29731.033500550002</v>
      </c>
      <c r="L23" s="272"/>
    </row>
    <row r="24" spans="1:12">
      <c r="A24" s="595"/>
      <c r="B24" s="598"/>
      <c r="C24" s="599"/>
      <c r="D24" s="1146" t="str">
        <f>SALARIOSS!D17</f>
        <v>P300</v>
      </c>
      <c r="E24" s="1150" t="str">
        <f>SALARIOSS!E17</f>
        <v>Consultor de Obras</v>
      </c>
      <c r="F24" s="1148"/>
      <c r="G24" s="1149">
        <f>VLOOKUP($D24,SALARIOSS!$D$6:$H$203,5,0)</f>
        <v>17791.911994500002</v>
      </c>
      <c r="H24" s="1149">
        <f>G24*'MEM. Encargos Sociais'!$F$36</f>
        <v>15123.125195325001</v>
      </c>
      <c r="I24" s="1149">
        <f>SALARIOSS!$M$15</f>
        <v>828.92000000000007</v>
      </c>
      <c r="J24" s="1149">
        <f>SALARIOSS!$P$15</f>
        <v>95</v>
      </c>
      <c r="K24" s="1149">
        <f t="shared" si="0"/>
        <v>33838.957189825</v>
      </c>
      <c r="L24" s="272"/>
    </row>
    <row r="25" spans="1:12">
      <c r="A25" s="595"/>
      <c r="B25" s="598"/>
      <c r="C25" s="599"/>
      <c r="D25" s="1146" t="str">
        <f>SALARIOSS!D18</f>
        <v>P301</v>
      </c>
      <c r="E25" s="1150" t="str">
        <f>SALARIOSS!E18</f>
        <v>Consultor de Engenharia</v>
      </c>
      <c r="F25" s="1148"/>
      <c r="G25" s="1149">
        <f>VLOOKUP($D25,SALARIOSS!$D$6:$H$203,5,0)</f>
        <v>17502.329927250001</v>
      </c>
      <c r="H25" s="1149">
        <f>G25*'MEM. Encargos Sociais'!$F$36</f>
        <v>14876.9804381625</v>
      </c>
      <c r="I25" s="1149">
        <f>SALARIOSS!$M$15</f>
        <v>828.92000000000007</v>
      </c>
      <c r="J25" s="1149">
        <f>SALARIOSS!$P$15</f>
        <v>95</v>
      </c>
      <c r="K25" s="1149">
        <f t="shared" si="0"/>
        <v>33303.230365412499</v>
      </c>
      <c r="L25" s="272"/>
    </row>
    <row r="26" spans="1:12">
      <c r="A26" s="595"/>
      <c r="B26" s="598"/>
      <c r="C26" s="599"/>
      <c r="D26" s="1146" t="s">
        <v>895</v>
      </c>
      <c r="E26" s="1150" t="s">
        <v>916</v>
      </c>
      <c r="F26" s="1151"/>
      <c r="G26" s="1149">
        <f>VLOOKUP($D26,SALARIOSS!$D$6:$H$203,5,0)</f>
        <v>1504.5472575000003</v>
      </c>
      <c r="H26" s="1149">
        <f>G26*'MEM. Encargos Sociais'!$F$36</f>
        <v>1278.8651688750003</v>
      </c>
      <c r="I26" s="1149">
        <f>SALARIOSS!$M$15</f>
        <v>828.92000000000007</v>
      </c>
      <c r="J26" s="1149">
        <f>SALARIOSS!$P$15</f>
        <v>95</v>
      </c>
      <c r="K26" s="1149">
        <f t="shared" si="0"/>
        <v>3707.332426375001</v>
      </c>
      <c r="L26" s="272"/>
    </row>
    <row r="27" spans="1:12">
      <c r="A27" s="595"/>
      <c r="B27" s="598"/>
      <c r="C27" s="599"/>
      <c r="D27" s="1146" t="str">
        <f>SALARIOSS!D25</f>
        <v>P110</v>
      </c>
      <c r="E27" s="1150" t="str">
        <f>SALARIOSS!E25</f>
        <v>Gerente Financeiro</v>
      </c>
      <c r="F27" s="1148"/>
      <c r="G27" s="1149">
        <f>VLOOKUP($D27,SALARIOSS!$D$6:$H$203,5,0)</f>
        <v>12024.213075000001</v>
      </c>
      <c r="H27" s="1149">
        <f>G27*'MEM. Encargos Sociais'!$F$36</f>
        <v>10220.58111375</v>
      </c>
      <c r="I27" s="1149">
        <f>SALARIOSS!$M$15</f>
        <v>828.92000000000007</v>
      </c>
      <c r="J27" s="1149">
        <f>SALARIOSS!$P$15</f>
        <v>95</v>
      </c>
      <c r="K27" s="1149">
        <f t="shared" si="0"/>
        <v>23168.714188750004</v>
      </c>
      <c r="L27" s="272"/>
    </row>
    <row r="28" spans="1:12">
      <c r="A28" s="595"/>
      <c r="B28" s="598"/>
      <c r="C28" s="599"/>
      <c r="D28" s="1146" t="str">
        <f>SALARIOSS!D33</f>
        <v>P097</v>
      </c>
      <c r="E28" s="1150" t="str">
        <f>SALARIOSS!E33</f>
        <v>Engenheiro de Obras e Conservação</v>
      </c>
      <c r="F28" s="1148"/>
      <c r="G28" s="1149">
        <f>VLOOKUP($D28,SALARIOSS!$D$6:$H$203,5,0)</f>
        <v>11530.228500000001</v>
      </c>
      <c r="H28" s="1149">
        <f>G28*'MEM. Encargos Sociais'!$F$36</f>
        <v>9800.6942250000011</v>
      </c>
      <c r="I28" s="1149">
        <f>SALARIOSS!$M$15</f>
        <v>828.92000000000007</v>
      </c>
      <c r="J28" s="1149">
        <f>SALARIOSS!$P$15</f>
        <v>95</v>
      </c>
      <c r="K28" s="1149">
        <f t="shared" si="0"/>
        <v>22254.842725000002</v>
      </c>
      <c r="L28" s="272"/>
    </row>
    <row r="29" spans="1:12">
      <c r="A29" s="595"/>
      <c r="B29" s="598"/>
      <c r="C29" s="599"/>
      <c r="D29" s="1146" t="str">
        <f>SALARIOSS!D34</f>
        <v>P098</v>
      </c>
      <c r="E29" s="1150" t="str">
        <f>SALARIOSS!E34</f>
        <v>Engenheiro de Obras Pleno</v>
      </c>
      <c r="F29" s="1148"/>
      <c r="G29" s="1149">
        <f>VLOOKUP($D29,SALARIOSS!$D$6:$H$203,5,0)</f>
        <v>11530.228500000001</v>
      </c>
      <c r="H29" s="1149">
        <f>G29*'MEM. Encargos Sociais'!$F$36</f>
        <v>9800.6942250000011</v>
      </c>
      <c r="I29" s="1149">
        <f>SALARIOSS!$M$15</f>
        <v>828.92000000000007</v>
      </c>
      <c r="J29" s="1149">
        <f>SALARIOSS!$P$15</f>
        <v>95</v>
      </c>
      <c r="K29" s="1149">
        <f t="shared" si="0"/>
        <v>22254.842725000002</v>
      </c>
      <c r="L29" s="272"/>
    </row>
    <row r="30" spans="1:12">
      <c r="A30" s="595"/>
      <c r="B30" s="598"/>
      <c r="C30" s="599"/>
      <c r="D30" s="1146" t="str">
        <f>SALARIOSS!D35</f>
        <v>P099</v>
      </c>
      <c r="E30" s="1150" t="str">
        <f>SALARIOSS!E35</f>
        <v>Engenheiro de Seg. Trabalho</v>
      </c>
      <c r="F30" s="1148"/>
      <c r="G30" s="1149">
        <f>VLOOKUP($D30,SALARIOSS!$D$6:$H$203,5,0)</f>
        <v>11530.228500000001</v>
      </c>
      <c r="H30" s="1149">
        <f>G30*'MEM. Encargos Sociais'!$F$36</f>
        <v>9800.6942250000011</v>
      </c>
      <c r="I30" s="1149">
        <f>SALARIOSS!$M$15</f>
        <v>828.92000000000007</v>
      </c>
      <c r="J30" s="1149">
        <f>SALARIOSS!$P$15</f>
        <v>95</v>
      </c>
      <c r="K30" s="1149">
        <f t="shared" si="0"/>
        <v>22254.842725000002</v>
      </c>
      <c r="L30" s="272"/>
    </row>
    <row r="31" spans="1:12">
      <c r="A31" s="595"/>
      <c r="B31" s="598"/>
      <c r="C31" s="599"/>
      <c r="D31" s="1146" t="str">
        <f>SALARIOSS!D26</f>
        <v>P087</v>
      </c>
      <c r="E31" s="1150" t="str">
        <f>SALARIOSS!E26</f>
        <v>Engenheiro Ambiental</v>
      </c>
      <c r="F31" s="1148"/>
      <c r="G31" s="1149">
        <f>VLOOKUP($D31,SALARIOSS!$D$6:$H$203,5,0)</f>
        <v>11530.228500000001</v>
      </c>
      <c r="H31" s="1149">
        <f>G31*'MEM. Encargos Sociais'!$F$36</f>
        <v>9800.6942250000011</v>
      </c>
      <c r="I31" s="1149">
        <f>SALARIOSS!$M$15</f>
        <v>828.92000000000007</v>
      </c>
      <c r="J31" s="1149">
        <f>SALARIOSS!$P$15</f>
        <v>95</v>
      </c>
      <c r="K31" s="1149">
        <f t="shared" si="0"/>
        <v>22254.842725000002</v>
      </c>
      <c r="L31" s="272"/>
    </row>
    <row r="32" spans="1:12">
      <c r="A32" s="595"/>
      <c r="B32" s="598"/>
      <c r="C32" s="599"/>
      <c r="D32" s="1146" t="str">
        <f>SALARIOSS!D21</f>
        <v>P094</v>
      </c>
      <c r="E32" s="1150" t="str">
        <f>SALARIOSS!E21</f>
        <v>Engenheiro Coordenador Técnico</v>
      </c>
      <c r="F32" s="1148"/>
      <c r="G32" s="1149">
        <f>VLOOKUP($D32,SALARIOSS!$D$6:$H$203,5,0)</f>
        <v>15571.412703000002</v>
      </c>
      <c r="H32" s="1149">
        <f>G32*'MEM. Encargos Sociais'!$F$36</f>
        <v>13235.700797550002</v>
      </c>
      <c r="I32" s="1149">
        <f>SALARIOSS!$M$15</f>
        <v>828.92000000000007</v>
      </c>
      <c r="J32" s="1149">
        <f>SALARIOSS!$P$15</f>
        <v>95</v>
      </c>
      <c r="K32" s="1149">
        <f t="shared" si="0"/>
        <v>29731.033500550002</v>
      </c>
      <c r="L32" s="272"/>
    </row>
    <row r="33" spans="1:13">
      <c r="A33" s="595"/>
      <c r="B33" s="598"/>
      <c r="C33" s="599"/>
      <c r="D33" s="1146" t="str">
        <f>SALARIOSS!D16</f>
        <v>P106</v>
      </c>
      <c r="E33" s="1150" t="str">
        <f>SALARIOSS!E16</f>
        <v>Gerente de Engenharia</v>
      </c>
      <c r="F33" s="1148"/>
      <c r="G33" s="1149">
        <f>VLOOKUP($D33,SALARIOSS!$D$6:$H$203,5,0)</f>
        <v>17841.778652250003</v>
      </c>
      <c r="H33" s="1149">
        <f>G33*'MEM. Encargos Sociais'!$F$36</f>
        <v>15165.511854412502</v>
      </c>
      <c r="I33" s="1149">
        <f>SALARIOSS!$M$15</f>
        <v>828.92000000000007</v>
      </c>
      <c r="J33" s="1149">
        <f>SALARIOSS!$P$15</f>
        <v>95</v>
      </c>
      <c r="K33" s="1149">
        <f t="shared" si="0"/>
        <v>33931.210506662501</v>
      </c>
      <c r="L33" s="272"/>
      <c r="M33" s="272"/>
    </row>
    <row r="34" spans="1:13">
      <c r="A34" s="595"/>
      <c r="B34" s="598"/>
      <c r="C34" s="599"/>
      <c r="D34" s="1146" t="s">
        <v>802</v>
      </c>
      <c r="E34" s="1150" t="s">
        <v>917</v>
      </c>
      <c r="F34" s="1148"/>
      <c r="G34" s="1149">
        <f>VLOOKUP($D34,SALARIOSS!$D$6:$H$203,5,0)</f>
        <v>1504.5472575000003</v>
      </c>
      <c r="H34" s="1149">
        <f>G34*'MEM. Encargos Sociais'!$F$36</f>
        <v>1278.8651688750003</v>
      </c>
      <c r="I34" s="1149">
        <f>SALARIOSS!$M$15</f>
        <v>828.92000000000007</v>
      </c>
      <c r="J34" s="1149">
        <f>SALARIOSS!$P$15</f>
        <v>95</v>
      </c>
      <c r="K34" s="1149">
        <f t="shared" si="0"/>
        <v>3707.332426375001</v>
      </c>
      <c r="L34" s="272"/>
      <c r="M34" s="272"/>
    </row>
    <row r="35" spans="1:13">
      <c r="A35" s="595"/>
      <c r="B35" s="598"/>
      <c r="C35" s="599"/>
      <c r="D35" s="1146" t="str">
        <f>SALARIOSS!D31</f>
        <v>P095</v>
      </c>
      <c r="E35" s="1150" t="str">
        <f>SALARIOSS!E31</f>
        <v>Engenheiro de Faixa de Domínio</v>
      </c>
      <c r="F35" s="1148"/>
      <c r="G35" s="1149">
        <f>VLOOKUP($D35,SALARIOSS!$D$6:$H$203,5,0)</f>
        <v>11530.228500000001</v>
      </c>
      <c r="H35" s="1149">
        <f>G35*'MEM. Encargos Sociais'!$F$36</f>
        <v>9800.6942250000011</v>
      </c>
      <c r="I35" s="1149">
        <f>SALARIOSS!$M$15</f>
        <v>828.92000000000007</v>
      </c>
      <c r="J35" s="1149">
        <f>SALARIOSS!$P$15</f>
        <v>95</v>
      </c>
      <c r="K35" s="1149">
        <f t="shared" si="0"/>
        <v>22254.842725000002</v>
      </c>
      <c r="L35" s="272"/>
      <c r="M35" s="272"/>
    </row>
    <row r="36" spans="1:13">
      <c r="A36" s="595"/>
      <c r="B36" s="598"/>
      <c r="C36" s="599"/>
      <c r="D36" s="1146" t="str">
        <f>SALARIOSS!D32</f>
        <v>P096</v>
      </c>
      <c r="E36" s="1150" t="str">
        <f>SALARIOSS!E32</f>
        <v>Engenheiro de Monitoração e Projetos</v>
      </c>
      <c r="F36" s="1148"/>
      <c r="G36" s="1149">
        <f>VLOOKUP($D36,SALARIOSS!$D$6:$H$203,5,0)</f>
        <v>11530.228500000001</v>
      </c>
      <c r="H36" s="1149">
        <f>G36*'MEM. Encargos Sociais'!$F$36</f>
        <v>9800.6942250000011</v>
      </c>
      <c r="I36" s="1149">
        <f>SALARIOSS!$M$15</f>
        <v>828.92000000000007</v>
      </c>
      <c r="J36" s="1149">
        <f>SALARIOSS!$P$15</f>
        <v>95</v>
      </c>
      <c r="K36" s="1149">
        <f t="shared" si="0"/>
        <v>22254.842725000002</v>
      </c>
      <c r="L36" s="272"/>
      <c r="M36" s="272"/>
    </row>
    <row r="37" spans="1:13">
      <c r="A37" s="595"/>
      <c r="B37" s="598"/>
      <c r="C37" s="599"/>
      <c r="D37" s="1146" t="str">
        <f>SALARIOSS!D37</f>
        <v>P101</v>
      </c>
      <c r="E37" s="1150" t="str">
        <f>SALARIOSS!E37</f>
        <v>Engenheiro de Tráfego</v>
      </c>
      <c r="F37" s="1148"/>
      <c r="G37" s="1149">
        <f>VLOOKUP($D37,SALARIOSS!$D$6:$H$203,5,0)</f>
        <v>11530.228500000001</v>
      </c>
      <c r="H37" s="1149">
        <f>G37*'MEM. Encargos Sociais'!$F$36</f>
        <v>9800.6942250000011</v>
      </c>
      <c r="I37" s="1149">
        <f>SALARIOSS!$M$15</f>
        <v>828.92000000000007</v>
      </c>
      <c r="J37" s="1149">
        <f>SALARIOSS!$P$15</f>
        <v>95</v>
      </c>
      <c r="K37" s="1149">
        <f t="shared" si="0"/>
        <v>22254.842725000002</v>
      </c>
      <c r="L37" s="272"/>
      <c r="M37" s="272"/>
    </row>
    <row r="38" spans="1:13">
      <c r="A38" s="595"/>
      <c r="B38" s="598"/>
      <c r="C38" s="599"/>
      <c r="D38" s="1146" t="str">
        <f>SALARIOSS!D58</f>
        <v>P067</v>
      </c>
      <c r="E38" s="1150" t="str">
        <f>SALARIOSS!E58</f>
        <v>Coordenador de Obras Sr</v>
      </c>
      <c r="F38" s="1148"/>
      <c r="G38" s="1149">
        <f>VLOOKUP($D38,SALARIOSS!$D$6:$H$203,5,0)</f>
        <v>6670.755000000001</v>
      </c>
      <c r="H38" s="1149">
        <f>G38*'MEM. Encargos Sociais'!$F$36</f>
        <v>5670.1417500000007</v>
      </c>
      <c r="I38" s="1149">
        <f>SALARIOSS!$M$15</f>
        <v>828.92000000000007</v>
      </c>
      <c r="J38" s="1149">
        <f>SALARIOSS!$P$15</f>
        <v>95</v>
      </c>
      <c r="K38" s="1149">
        <f t="shared" si="0"/>
        <v>13264.816750000002</v>
      </c>
      <c r="L38" s="272"/>
      <c r="M38" s="272"/>
    </row>
    <row r="39" spans="1:13">
      <c r="A39" s="595"/>
      <c r="B39" s="598"/>
      <c r="C39" s="599"/>
      <c r="D39" s="1146" t="str">
        <f>SALARIOSS!D50</f>
        <v>P169</v>
      </c>
      <c r="E39" s="1150" t="str">
        <f>SALARIOSS!E50</f>
        <v>Assessor Jurídico</v>
      </c>
      <c r="F39" s="1148"/>
      <c r="G39" s="1149">
        <f>VLOOKUP($D39,SALARIOSS!$D$6:$H$203,5,0)</f>
        <v>7858.922211000001</v>
      </c>
      <c r="H39" s="1149">
        <f>G39*'MEM. Encargos Sociais'!$F$36</f>
        <v>6680.0838793500006</v>
      </c>
      <c r="I39" s="1149">
        <f>SALARIOSS!$M$15</f>
        <v>828.92000000000007</v>
      </c>
      <c r="J39" s="1149">
        <f>SALARIOSS!$P$15</f>
        <v>95</v>
      </c>
      <c r="K39" s="1149">
        <f t="shared" si="0"/>
        <v>15462.926090350002</v>
      </c>
      <c r="L39" s="272"/>
      <c r="M39" s="272"/>
    </row>
    <row r="40" spans="1:13">
      <c r="A40" s="595"/>
      <c r="B40" s="598"/>
      <c r="C40" s="599"/>
      <c r="D40" s="1146" t="str">
        <f>SALARIOSS!D51</f>
        <v>P170</v>
      </c>
      <c r="E40" s="1150" t="str">
        <f>SALARIOSS!E51</f>
        <v>Assessor Planej. Estratégico</v>
      </c>
      <c r="F40" s="1148"/>
      <c r="G40" s="1149">
        <f>VLOOKUP($D40,SALARIOSS!$D$6:$H$203,5,0)</f>
        <v>7858.922211000001</v>
      </c>
      <c r="H40" s="1149">
        <f>G40*'MEM. Encargos Sociais'!$F$36</f>
        <v>6680.0838793500006</v>
      </c>
      <c r="I40" s="1149">
        <f>SALARIOSS!$M$15</f>
        <v>828.92000000000007</v>
      </c>
      <c r="J40" s="1149">
        <f>SALARIOSS!$P$15</f>
        <v>95</v>
      </c>
      <c r="K40" s="1149">
        <f t="shared" si="0"/>
        <v>15462.926090350002</v>
      </c>
      <c r="L40" s="272"/>
      <c r="M40" s="272"/>
    </row>
    <row r="41" spans="1:13">
      <c r="A41" s="595"/>
      <c r="B41" s="598"/>
      <c r="C41" s="599"/>
      <c r="D41" s="1146" t="str">
        <f>SALARIOSS!D42</f>
        <v>P060</v>
      </c>
      <c r="E41" s="1150" t="str">
        <f>SALARIOSS!E42</f>
        <v>Consultor Meio Ambiente</v>
      </c>
      <c r="F41" s="1148"/>
      <c r="G41" s="1149">
        <f>VLOOKUP($D41,SALARIOSS!$D$6:$H$203,5,0)</f>
        <v>8815.166577</v>
      </c>
      <c r="H41" s="1149">
        <f>G41*'MEM. Encargos Sociais'!$F$36</f>
        <v>7492.89159045</v>
      </c>
      <c r="I41" s="1149">
        <f>SALARIOSS!$M$15</f>
        <v>828.92000000000007</v>
      </c>
      <c r="J41" s="1149">
        <f>SALARIOSS!$P$15</f>
        <v>95</v>
      </c>
      <c r="K41" s="1149">
        <f t="shared" ref="K41:K72" si="1">SUM(G41:J41)</f>
        <v>17231.978167449997</v>
      </c>
      <c r="L41" s="272"/>
      <c r="M41" s="272"/>
    </row>
    <row r="42" spans="1:13">
      <c r="A42" s="595"/>
      <c r="B42" s="598"/>
      <c r="C42" s="599"/>
      <c r="D42" s="1146" t="str">
        <f>SALARIOSS!D41</f>
        <v>P163</v>
      </c>
      <c r="E42" s="1150" t="str">
        <f>SALARIOSS!E41</f>
        <v>Assessor de Relações Externas</v>
      </c>
      <c r="F42" s="1148"/>
      <c r="G42" s="1149">
        <f>VLOOKUP($D42,SALARIOSS!$D$6:$H$203,5,0)</f>
        <v>9246.5302545000013</v>
      </c>
      <c r="H42" s="1149">
        <f>G42*'MEM. Encargos Sociais'!$F$36</f>
        <v>7859.5507163250013</v>
      </c>
      <c r="I42" s="1149">
        <f>SALARIOSS!$M$15</f>
        <v>828.92000000000007</v>
      </c>
      <c r="J42" s="1149">
        <f>SALARIOSS!$P$15</f>
        <v>95</v>
      </c>
      <c r="K42" s="1149">
        <f t="shared" si="1"/>
        <v>18030.000970825</v>
      </c>
      <c r="L42" s="272"/>
      <c r="M42" s="272"/>
    </row>
    <row r="43" spans="1:13">
      <c r="A43" s="595"/>
      <c r="B43" s="598"/>
      <c r="C43" s="599"/>
      <c r="D43" s="1146" t="str">
        <f>SALARIOSS!D23</f>
        <v>P303</v>
      </c>
      <c r="E43" s="1150" t="str">
        <f>SALARIOSS!E23</f>
        <v xml:space="preserve">Consultor de I.S.O. </v>
      </c>
      <c r="F43" s="1148"/>
      <c r="G43" s="1149">
        <f>VLOOKUP($D43,SALARIOSS!$D$6:$H$203,5,0)</f>
        <v>14735.386086750003</v>
      </c>
      <c r="H43" s="1149">
        <f>G43*'MEM. Encargos Sociais'!$F$36</f>
        <v>12525.078173737502</v>
      </c>
      <c r="I43" s="1149">
        <f>SALARIOSS!$M$15</f>
        <v>828.92000000000007</v>
      </c>
      <c r="J43" s="1149">
        <f>SALARIOSS!$P$15</f>
        <v>95</v>
      </c>
      <c r="K43" s="1149">
        <f t="shared" si="1"/>
        <v>28184.384260487503</v>
      </c>
      <c r="L43" s="272"/>
      <c r="M43" s="272"/>
    </row>
    <row r="44" spans="1:13">
      <c r="A44" s="595"/>
      <c r="B44" s="598"/>
      <c r="C44" s="599"/>
      <c r="D44" s="1146" t="str">
        <f>SALARIOSS!D53</f>
        <v>P061</v>
      </c>
      <c r="E44" s="1150" t="str">
        <f>SALARIOSS!E53</f>
        <v>Contador</v>
      </c>
      <c r="F44" s="1148"/>
      <c r="G44" s="1149">
        <f>VLOOKUP($D44,SALARIOSS!$D$6:$H$203,5,0)</f>
        <v>7843.04493525</v>
      </c>
      <c r="H44" s="1149">
        <f>G44*'MEM. Encargos Sociais'!$F$36</f>
        <v>6666.5881949625</v>
      </c>
      <c r="I44" s="1149">
        <f>SALARIOSS!$M$15</f>
        <v>828.92000000000007</v>
      </c>
      <c r="J44" s="1149">
        <f>SALARIOSS!$P$15</f>
        <v>95</v>
      </c>
      <c r="K44" s="1149">
        <f t="shared" si="1"/>
        <v>15433.5531302125</v>
      </c>
      <c r="L44" s="272"/>
      <c r="M44" s="272"/>
    </row>
    <row r="45" spans="1:13">
      <c r="A45" s="595"/>
      <c r="B45" s="598"/>
      <c r="C45" s="599"/>
      <c r="D45" s="1146" t="str">
        <f>SALARIOSS!D56</f>
        <v>P065</v>
      </c>
      <c r="E45" s="1150" t="str">
        <f>SALARIOSS!E56</f>
        <v>Coordenador de Manutenção</v>
      </c>
      <c r="F45" s="1148"/>
      <c r="G45" s="1149">
        <f>VLOOKUP($D45,SALARIOSS!$D$6:$H$203,5,0)</f>
        <v>6670.755000000001</v>
      </c>
      <c r="H45" s="1149">
        <f>G45*'MEM. Encargos Sociais'!$F$36</f>
        <v>5670.1417500000007</v>
      </c>
      <c r="I45" s="1149">
        <f>SALARIOSS!$M$15</f>
        <v>828.92000000000007</v>
      </c>
      <c r="J45" s="1149">
        <f>SALARIOSS!$P$15</f>
        <v>95</v>
      </c>
      <c r="K45" s="1149">
        <f t="shared" si="1"/>
        <v>13264.816750000002</v>
      </c>
      <c r="L45" s="272"/>
      <c r="M45" s="272"/>
    </row>
    <row r="46" spans="1:13">
      <c r="A46" s="595"/>
      <c r="B46" s="598"/>
      <c r="C46" s="599"/>
      <c r="D46" s="1146" t="str">
        <f>SALARIOSS!D66</f>
        <v>P112</v>
      </c>
      <c r="E46" s="1150" t="str">
        <f>SALARIOSS!E66</f>
        <v>Médico</v>
      </c>
      <c r="F46" s="1148"/>
      <c r="G46" s="1149">
        <f>VLOOKUP($D46,SALARIOSS!$D$6:$H$203,5,0)</f>
        <v>6284.4376297500003</v>
      </c>
      <c r="H46" s="1149">
        <f>G46*'MEM. Encargos Sociais'!$F$36</f>
        <v>5341.7719852874998</v>
      </c>
      <c r="I46" s="1149">
        <f>SALARIOSS!$M$15</f>
        <v>828.92000000000007</v>
      </c>
      <c r="J46" s="1149">
        <f>SALARIOSS!$P$15</f>
        <v>95</v>
      </c>
      <c r="K46" s="1149">
        <f t="shared" si="1"/>
        <v>12550.1296150375</v>
      </c>
      <c r="L46" s="272"/>
      <c r="M46" s="272"/>
    </row>
    <row r="47" spans="1:13">
      <c r="A47" s="595"/>
      <c r="B47" s="598"/>
      <c r="C47" s="599"/>
      <c r="D47" s="1146" t="str">
        <f>SALARIOSS!D40</f>
        <v>P004</v>
      </c>
      <c r="E47" s="1150" t="str">
        <f>SALARIOSS!E40</f>
        <v>Advogado Sênior</v>
      </c>
      <c r="F47" s="1148"/>
      <c r="G47" s="1149">
        <f>VLOOKUP($D47,SALARIOSS!$D$6:$H$203,5,0)</f>
        <v>10425.271232250001</v>
      </c>
      <c r="H47" s="1149">
        <f>G47*'MEM. Encargos Sociais'!$F$36</f>
        <v>8861.4805474125005</v>
      </c>
      <c r="I47" s="1149">
        <f>SALARIOSS!$M$15</f>
        <v>828.92000000000007</v>
      </c>
      <c r="J47" s="1149">
        <f>SALARIOSS!$P$15</f>
        <v>95</v>
      </c>
      <c r="K47" s="1149">
        <f t="shared" si="1"/>
        <v>20210.671779662502</v>
      </c>
      <c r="L47" s="272"/>
      <c r="M47" s="272"/>
    </row>
    <row r="48" spans="1:13">
      <c r="A48" s="595"/>
      <c r="B48" s="598"/>
      <c r="C48" s="599"/>
      <c r="D48" s="1146" t="str">
        <f>SALARIOSS!D43</f>
        <v>P019</v>
      </c>
      <c r="E48" s="1150" t="str">
        <f>SALARIOSS!E43</f>
        <v>Analista de Sistemas</v>
      </c>
      <c r="F48" s="1148"/>
      <c r="G48" s="1149">
        <f>VLOOKUP($D48,SALARIOSS!$D$6:$H$203,5,0)</f>
        <v>8027.3024999999998</v>
      </c>
      <c r="H48" s="1149">
        <f>G48*'MEM. Encargos Sociais'!$F$36</f>
        <v>6823.2071249999999</v>
      </c>
      <c r="I48" s="1149">
        <f>SALARIOSS!$M$15</f>
        <v>828.92000000000007</v>
      </c>
      <c r="J48" s="1149">
        <f>SALARIOSS!$P$15</f>
        <v>95</v>
      </c>
      <c r="K48" s="1149">
        <f t="shared" si="1"/>
        <v>15774.429624999999</v>
      </c>
      <c r="L48" s="272"/>
      <c r="M48" s="272"/>
    </row>
    <row r="49" spans="1:13">
      <c r="A49" s="595"/>
      <c r="B49" s="598"/>
      <c r="C49" s="599"/>
      <c r="D49" s="1146" t="str">
        <f>SALARIOSS!D44</f>
        <v>P164</v>
      </c>
      <c r="E49" s="1150" t="str">
        <f>SALARIOSS!E44</f>
        <v>Assessor de Comun. e Marketing</v>
      </c>
      <c r="F49" s="1148"/>
      <c r="G49" s="1149">
        <f>VLOOKUP($D49,SALARIOSS!$D$6:$H$203,5,0)</f>
        <v>7858.922211000001</v>
      </c>
      <c r="H49" s="1149">
        <f>G49*'MEM. Encargos Sociais'!$F$36</f>
        <v>6680.0838793500006</v>
      </c>
      <c r="I49" s="1149">
        <f>SALARIOSS!$M$15</f>
        <v>828.92000000000007</v>
      </c>
      <c r="J49" s="1149">
        <f>SALARIOSS!$P$15</f>
        <v>95</v>
      </c>
      <c r="K49" s="1149">
        <f t="shared" si="1"/>
        <v>15462.926090350002</v>
      </c>
      <c r="L49" s="272"/>
      <c r="M49" s="272"/>
    </row>
    <row r="50" spans="1:13">
      <c r="A50" s="595"/>
      <c r="B50" s="598"/>
      <c r="C50" s="599"/>
      <c r="D50" s="1146" t="str">
        <f>SALARIOSS!D45</f>
        <v>P165</v>
      </c>
      <c r="E50" s="1150" t="str">
        <f>SALARIOSS!E45</f>
        <v>Assessor de Comunicação</v>
      </c>
      <c r="F50" s="1148"/>
      <c r="G50" s="1149">
        <f>VLOOKUP($D50,SALARIOSS!$D$6:$H$203,5,0)</f>
        <v>7858.922211000001</v>
      </c>
      <c r="H50" s="1149">
        <f>G50*'MEM. Encargos Sociais'!$F$36</f>
        <v>6680.0838793500006</v>
      </c>
      <c r="I50" s="1149">
        <f>SALARIOSS!$M$15</f>
        <v>828.92000000000007</v>
      </c>
      <c r="J50" s="1149">
        <f>SALARIOSS!$P$15</f>
        <v>95</v>
      </c>
      <c r="K50" s="1149">
        <f t="shared" si="1"/>
        <v>15462.926090350002</v>
      </c>
      <c r="L50" s="272"/>
      <c r="M50" s="272"/>
    </row>
    <row r="51" spans="1:13">
      <c r="A51" s="595"/>
      <c r="B51" s="598"/>
      <c r="C51" s="599"/>
      <c r="D51" s="1146" t="str">
        <f>SALARIOSS!D46</f>
        <v>P166</v>
      </c>
      <c r="E51" s="1150" t="str">
        <f>SALARIOSS!E46</f>
        <v>Assessor de Planejamento Estratégico</v>
      </c>
      <c r="F51" s="1148"/>
      <c r="G51" s="1149">
        <f>VLOOKUP($D51,SALARIOSS!$D$6:$H$203,5,0)</f>
        <v>7858.922211000001</v>
      </c>
      <c r="H51" s="1149">
        <f>G51*'MEM. Encargos Sociais'!$F$36</f>
        <v>6680.0838793500006</v>
      </c>
      <c r="I51" s="1149">
        <f>SALARIOSS!$M$15</f>
        <v>828.92000000000007</v>
      </c>
      <c r="J51" s="1149">
        <f>SALARIOSS!$P$15</f>
        <v>95</v>
      </c>
      <c r="K51" s="1149">
        <f t="shared" si="1"/>
        <v>15462.926090350002</v>
      </c>
      <c r="L51" s="272"/>
      <c r="M51" s="272"/>
    </row>
    <row r="52" spans="1:13">
      <c r="A52" s="595"/>
      <c r="B52" s="598"/>
      <c r="C52" s="599"/>
      <c r="D52" s="1146" t="str">
        <f>SALARIOSS!D55</f>
        <v>P064</v>
      </c>
      <c r="E52" s="1150" t="str">
        <f>SALARIOSS!E55</f>
        <v>Coordenador de Depto Pessoal</v>
      </c>
      <c r="F52" s="1148"/>
      <c r="G52" s="1149">
        <f>VLOOKUP($D52,SALARIOSS!$D$6:$H$203,5,0)</f>
        <v>6670.755000000001</v>
      </c>
      <c r="H52" s="1149">
        <f>G52*'MEM. Encargos Sociais'!$F$36</f>
        <v>5670.1417500000007</v>
      </c>
      <c r="I52" s="1149">
        <f>SALARIOSS!$M$15</f>
        <v>828.92000000000007</v>
      </c>
      <c r="J52" s="1149">
        <f>SALARIOSS!$P$15</f>
        <v>95</v>
      </c>
      <c r="K52" s="1149">
        <f t="shared" si="1"/>
        <v>13264.816750000002</v>
      </c>
      <c r="L52" s="272"/>
      <c r="M52" s="272"/>
    </row>
    <row r="53" spans="1:13">
      <c r="A53" s="595"/>
      <c r="B53" s="598"/>
      <c r="C53" s="599"/>
      <c r="D53" s="1146" t="str">
        <f>SALARIOSS!D38</f>
        <v>P102</v>
      </c>
      <c r="E53" s="1150" t="str">
        <f>SALARIOSS!E38</f>
        <v>Engenheiro Elétrico</v>
      </c>
      <c r="F53" s="1148"/>
      <c r="G53" s="1149">
        <f>VLOOKUP($D53,SALARIOSS!$D$6:$H$203,5,0)</f>
        <v>11530.228500000001</v>
      </c>
      <c r="H53" s="1149">
        <f>G53*'MEM. Encargos Sociais'!$F$36</f>
        <v>9800.6942250000011</v>
      </c>
      <c r="I53" s="1149">
        <f>SALARIOSS!$M$15</f>
        <v>828.92000000000007</v>
      </c>
      <c r="J53" s="1149">
        <f>SALARIOSS!$P$15</f>
        <v>95</v>
      </c>
      <c r="K53" s="1149">
        <f t="shared" si="1"/>
        <v>22254.842725000002</v>
      </c>
      <c r="L53" s="272"/>
      <c r="M53" s="272"/>
    </row>
    <row r="54" spans="1:13">
      <c r="A54" s="595"/>
      <c r="B54" s="598"/>
      <c r="C54" s="599"/>
      <c r="D54" s="1146" t="str">
        <f>SALARIOSS!D29</f>
        <v>P090</v>
      </c>
      <c r="E54" s="1150" t="str">
        <f>SALARIOSS!E29</f>
        <v>Engenheiro Civil Pleno</v>
      </c>
      <c r="F54" s="1148"/>
      <c r="G54" s="1149">
        <f>VLOOKUP($D54,SALARIOSS!$D$6:$H$203,5,0)</f>
        <v>11530.228500000001</v>
      </c>
      <c r="H54" s="1149">
        <f>G54*'MEM. Encargos Sociais'!$F$36</f>
        <v>9800.6942250000011</v>
      </c>
      <c r="I54" s="1149">
        <f>SALARIOSS!$M$15</f>
        <v>828.92000000000007</v>
      </c>
      <c r="J54" s="1149">
        <f>SALARIOSS!$P$15</f>
        <v>95</v>
      </c>
      <c r="K54" s="1149">
        <f t="shared" si="1"/>
        <v>22254.842725000002</v>
      </c>
      <c r="L54" s="272"/>
      <c r="M54" s="272"/>
    </row>
    <row r="55" spans="1:13">
      <c r="A55" s="595"/>
      <c r="B55" s="598"/>
      <c r="C55" s="599"/>
      <c r="D55" s="1146" t="str">
        <f>SALARIOSS!D30</f>
        <v>P092</v>
      </c>
      <c r="E55" s="1150" t="str">
        <f>SALARIOSS!E30</f>
        <v>Engenheiro Comunicações</v>
      </c>
      <c r="F55" s="1148"/>
      <c r="G55" s="1149">
        <f>VLOOKUP($D55,SALARIOSS!$D$6:$H$203,5,0)</f>
        <v>11530.228500000001</v>
      </c>
      <c r="H55" s="1149">
        <f>G55*'MEM. Encargos Sociais'!$F$36</f>
        <v>9800.6942250000011</v>
      </c>
      <c r="I55" s="1149">
        <f>SALARIOSS!$M$15</f>
        <v>828.92000000000007</v>
      </c>
      <c r="J55" s="1149">
        <f>SALARIOSS!$P$15</f>
        <v>95</v>
      </c>
      <c r="K55" s="1149">
        <f t="shared" si="1"/>
        <v>22254.842725000002</v>
      </c>
      <c r="L55" s="272"/>
      <c r="M55" s="272"/>
    </row>
    <row r="56" spans="1:13">
      <c r="A56" s="595"/>
      <c r="B56" s="598"/>
      <c r="C56" s="599"/>
      <c r="D56" s="1146" t="str">
        <f>SALARIOSS!D22</f>
        <v>P105</v>
      </c>
      <c r="E56" s="1150" t="str">
        <f>SALARIOSS!E22</f>
        <v>Gerente Administrativo e Financeiro</v>
      </c>
      <c r="F56" s="1148"/>
      <c r="G56" s="1149">
        <f>VLOOKUP($D56,SALARIOSS!$D$6:$H$203,5,0)</f>
        <v>14859.213075000003</v>
      </c>
      <c r="H56" s="1149">
        <f>G56*'MEM. Encargos Sociais'!$F$36</f>
        <v>12630.331113750002</v>
      </c>
      <c r="I56" s="1149">
        <f>SALARIOSS!$M$15</f>
        <v>828.92000000000007</v>
      </c>
      <c r="J56" s="1149">
        <f>SALARIOSS!$P$15</f>
        <v>95</v>
      </c>
      <c r="K56" s="1149">
        <f t="shared" si="1"/>
        <v>28413.464188750004</v>
      </c>
      <c r="L56" s="272"/>
      <c r="M56" s="272"/>
    </row>
    <row r="57" spans="1:13">
      <c r="A57" s="595"/>
      <c r="B57" s="598"/>
      <c r="C57" s="599"/>
      <c r="D57" s="1146" t="str">
        <f>SALARIOSS!D28</f>
        <v>P089</v>
      </c>
      <c r="E57" s="1150" t="str">
        <f>SALARIOSS!E28</f>
        <v>Engenheiro Civil Jr</v>
      </c>
      <c r="F57" s="1148"/>
      <c r="G57" s="1149">
        <f>VLOOKUP($D57,SALARIOSS!$D$6:$H$203,5,0)</f>
        <v>11530.228500000001</v>
      </c>
      <c r="H57" s="1149">
        <f>G57*'MEM. Encargos Sociais'!$F$36</f>
        <v>9800.6942250000011</v>
      </c>
      <c r="I57" s="1149">
        <f>SALARIOSS!$M$15</f>
        <v>828.92000000000007</v>
      </c>
      <c r="J57" s="1149">
        <f>SALARIOSS!$P$15</f>
        <v>95</v>
      </c>
      <c r="K57" s="1149">
        <f t="shared" si="1"/>
        <v>22254.842725000002</v>
      </c>
      <c r="L57" s="272"/>
      <c r="M57" s="272"/>
    </row>
    <row r="58" spans="1:13">
      <c r="A58" s="595"/>
      <c r="B58" s="598"/>
      <c r="C58" s="599"/>
      <c r="D58" s="1146" t="str">
        <f>SALARIOSS!D36</f>
        <v>P100</v>
      </c>
      <c r="E58" s="1150" t="str">
        <f>SALARIOSS!E36</f>
        <v>Engenheiro de Seg. Trânsito</v>
      </c>
      <c r="F58" s="1148"/>
      <c r="G58" s="1149">
        <f>VLOOKUP($D58,SALARIOSS!$D$6:$H$203,5,0)</f>
        <v>11530.228500000001</v>
      </c>
      <c r="H58" s="1149">
        <f>G58*'MEM. Encargos Sociais'!$F$36</f>
        <v>9800.6942250000011</v>
      </c>
      <c r="I58" s="1149">
        <f>SALARIOSS!$M$15</f>
        <v>828.92000000000007</v>
      </c>
      <c r="J58" s="1149">
        <f>SALARIOSS!$P$15</f>
        <v>95</v>
      </c>
      <c r="K58" s="1149">
        <f t="shared" si="1"/>
        <v>22254.842725000002</v>
      </c>
      <c r="L58" s="272"/>
      <c r="M58" s="272"/>
    </row>
    <row r="59" spans="1:13">
      <c r="A59" s="595"/>
      <c r="B59" s="598"/>
      <c r="C59" s="599"/>
      <c r="D59" s="1146" t="str">
        <f>SALARIOSS!D39</f>
        <v>P103</v>
      </c>
      <c r="E59" s="1150" t="str">
        <f>SALARIOSS!E39</f>
        <v>Engenheiro Mecânico</v>
      </c>
      <c r="F59" s="1148"/>
      <c r="G59" s="1149">
        <f>VLOOKUP($D59,SALARIOSS!$D$6:$H$203,5,0)</f>
        <v>11530.228500000001</v>
      </c>
      <c r="H59" s="1149">
        <f>G59*'MEM. Encargos Sociais'!$F$36</f>
        <v>9800.6942250000011</v>
      </c>
      <c r="I59" s="1149">
        <f>SALARIOSS!$M$15</f>
        <v>828.92000000000007</v>
      </c>
      <c r="J59" s="1149">
        <f>SALARIOSS!$P$15</f>
        <v>95</v>
      </c>
      <c r="K59" s="1149">
        <f t="shared" si="1"/>
        <v>22254.842725000002</v>
      </c>
      <c r="L59" s="272"/>
      <c r="M59" s="272"/>
    </row>
    <row r="60" spans="1:13">
      <c r="A60" s="595"/>
      <c r="B60" s="598"/>
      <c r="C60" s="599"/>
      <c r="D60" s="1146" t="str">
        <f>SALARIOSS!D91</f>
        <v>P143</v>
      </c>
      <c r="E60" s="1150" t="str">
        <f>SALARIOSS!E91</f>
        <v>Supervisor de Tráfego</v>
      </c>
      <c r="F60" s="1148"/>
      <c r="G60" s="1149">
        <f>VLOOKUP($D60,SALARIOSS!$D$6:$H$203,5,0)</f>
        <v>3004.7994900000003</v>
      </c>
      <c r="H60" s="1149">
        <f>G60*'MEM. Encargos Sociais'!$F$36</f>
        <v>2554.0795665000001</v>
      </c>
      <c r="I60" s="1149">
        <f>SALARIOSS!$M$15</f>
        <v>828.92000000000007</v>
      </c>
      <c r="J60" s="1149">
        <f>SALARIOSS!$P$15</f>
        <v>95</v>
      </c>
      <c r="K60" s="1149">
        <f t="shared" si="1"/>
        <v>6482.7990565</v>
      </c>
      <c r="L60" s="272"/>
      <c r="M60" s="272"/>
    </row>
    <row r="61" spans="1:13">
      <c r="A61" s="595"/>
      <c r="B61" s="598"/>
      <c r="C61" s="599"/>
      <c r="D61" s="1146" t="str">
        <f>SALARIOSS!D59</f>
        <v>P068</v>
      </c>
      <c r="E61" s="1150" t="str">
        <f>SALARIOSS!E59</f>
        <v>Coordenador de Planejamento</v>
      </c>
      <c r="F61" s="1148"/>
      <c r="G61" s="1149">
        <f>VLOOKUP($D61,SALARIOSS!$D$6:$H$203,5,0)</f>
        <v>6670.755000000001</v>
      </c>
      <c r="H61" s="1149">
        <f>G61*'MEM. Encargos Sociais'!$F$36</f>
        <v>5670.1417500000007</v>
      </c>
      <c r="I61" s="1149">
        <f>SALARIOSS!$M$15</f>
        <v>828.92000000000007</v>
      </c>
      <c r="J61" s="1149">
        <f>SALARIOSS!$P$15</f>
        <v>95</v>
      </c>
      <c r="K61" s="1149">
        <f t="shared" si="1"/>
        <v>13264.816750000002</v>
      </c>
      <c r="L61" s="272"/>
      <c r="M61" s="272"/>
    </row>
    <row r="62" spans="1:13">
      <c r="A62" s="595"/>
      <c r="B62" s="598"/>
      <c r="C62" s="599"/>
      <c r="D62" s="1146" t="str">
        <f>SALARIOSS!D84</f>
        <v>P053</v>
      </c>
      <c r="E62" s="1150" t="str">
        <f>SALARIOSS!E84</f>
        <v>Comprador</v>
      </c>
      <c r="F62" s="1148"/>
      <c r="G62" s="1149">
        <f>VLOOKUP($D62,SALARIOSS!$D$6:$H$203,5,0)</f>
        <v>3054.7125000000001</v>
      </c>
      <c r="H62" s="1149">
        <f>G62*'MEM. Encargos Sociais'!$F$36</f>
        <v>2596.5056250000002</v>
      </c>
      <c r="I62" s="1149">
        <f>SALARIOSS!$M$15</f>
        <v>828.92000000000007</v>
      </c>
      <c r="J62" s="1149">
        <f>SALARIOSS!$P$15</f>
        <v>95</v>
      </c>
      <c r="K62" s="1149">
        <f t="shared" si="1"/>
        <v>6575.1381250000004</v>
      </c>
      <c r="L62" s="272"/>
      <c r="M62" s="272"/>
    </row>
    <row r="63" spans="1:13">
      <c r="A63" s="595"/>
      <c r="B63" s="598"/>
      <c r="C63" s="599"/>
      <c r="D63" s="1146" t="str">
        <f>SALARIOSS!D85</f>
        <v>P022</v>
      </c>
      <c r="E63" s="1150" t="str">
        <f>SALARIOSS!E85</f>
        <v>Analista Fiscal</v>
      </c>
      <c r="F63" s="1148"/>
      <c r="G63" s="1149">
        <f>VLOOKUP($D63,SALARIOSS!$D$6:$H$203,5,0)</f>
        <v>3004.7994900000003</v>
      </c>
      <c r="H63" s="1149">
        <f>G63*'MEM. Encargos Sociais'!$F$36</f>
        <v>2554.0795665000001</v>
      </c>
      <c r="I63" s="1149">
        <f>SALARIOSS!$M$15</f>
        <v>828.92000000000007</v>
      </c>
      <c r="J63" s="1149">
        <f>SALARIOSS!$P$15</f>
        <v>95</v>
      </c>
      <c r="K63" s="1149">
        <f t="shared" si="1"/>
        <v>6482.7990565</v>
      </c>
      <c r="L63" s="272"/>
      <c r="M63" s="272"/>
    </row>
    <row r="64" spans="1:13">
      <c r="A64" s="595"/>
      <c r="B64" s="598"/>
      <c r="C64" s="599"/>
      <c r="D64" s="1146" t="str">
        <f>SALARIOSS!D57</f>
        <v>P066</v>
      </c>
      <c r="E64" s="1150" t="str">
        <f>SALARIOSS!E57</f>
        <v>Coordenador de Medições</v>
      </c>
      <c r="F64" s="1148"/>
      <c r="G64" s="1149">
        <f>VLOOKUP($D64,SALARIOSS!$D$6:$H$203,5,0)</f>
        <v>6670.755000000001</v>
      </c>
      <c r="H64" s="1149">
        <f>G64*'MEM. Encargos Sociais'!$F$36</f>
        <v>5670.1417500000007</v>
      </c>
      <c r="I64" s="1149">
        <f>SALARIOSS!$M$15</f>
        <v>828.92000000000007</v>
      </c>
      <c r="J64" s="1149">
        <f>SALARIOSS!$P$15</f>
        <v>95</v>
      </c>
      <c r="K64" s="1149">
        <f t="shared" si="1"/>
        <v>13264.816750000002</v>
      </c>
      <c r="L64" s="272"/>
      <c r="M64" s="272"/>
    </row>
    <row r="65" spans="1:13">
      <c r="A65" s="595"/>
      <c r="B65" s="598"/>
      <c r="C65" s="599"/>
      <c r="D65" s="1146" t="str">
        <f>SALARIOSS!D24</f>
        <v>P091</v>
      </c>
      <c r="E65" s="1150" t="str">
        <f>SALARIOSS!E24</f>
        <v>Engenheiro Civil Senior</v>
      </c>
      <c r="F65" s="1148"/>
      <c r="G65" s="1149">
        <f>VLOOKUP($D65,SALARIOSS!$D$6:$H$203,5,0)</f>
        <v>12259.733676750002</v>
      </c>
      <c r="H65" s="1149">
        <f>G65*'MEM. Encargos Sociais'!$F$36</f>
        <v>10420.773625237502</v>
      </c>
      <c r="I65" s="1149">
        <f>SALARIOSS!$M$15</f>
        <v>828.92000000000007</v>
      </c>
      <c r="J65" s="1149">
        <f>SALARIOSS!$P$15</f>
        <v>95</v>
      </c>
      <c r="K65" s="1149">
        <f t="shared" si="1"/>
        <v>23604.427301987504</v>
      </c>
      <c r="L65" s="272"/>
      <c r="M65" s="272"/>
    </row>
    <row r="66" spans="1:13">
      <c r="A66" s="595"/>
      <c r="B66" s="598"/>
      <c r="C66" s="599"/>
      <c r="D66" s="1146" t="str">
        <f>SALARIOSS!D83</f>
        <v>P002</v>
      </c>
      <c r="E66" s="1150" t="str">
        <f>SALARIOSS!E83</f>
        <v>Advogado Júnior</v>
      </c>
      <c r="F66" s="1148"/>
      <c r="G66" s="1149">
        <f>VLOOKUP($D66,SALARIOSS!$D$6:$H$203,5,0)</f>
        <v>3074.0925600000005</v>
      </c>
      <c r="H66" s="1149">
        <f>G66*'MEM. Encargos Sociais'!$F$36</f>
        <v>2612.9786760000002</v>
      </c>
      <c r="I66" s="1149">
        <f>SALARIOSS!$M$15</f>
        <v>828.92000000000007</v>
      </c>
      <c r="J66" s="1149">
        <f>SALARIOSS!$P$15</f>
        <v>95</v>
      </c>
      <c r="K66" s="1149">
        <f t="shared" si="1"/>
        <v>6610.9912360000008</v>
      </c>
      <c r="L66" s="272"/>
      <c r="M66" s="272"/>
    </row>
    <row r="67" spans="1:13">
      <c r="A67" s="595"/>
      <c r="B67" s="598"/>
      <c r="C67" s="599"/>
      <c r="D67" s="1146" t="str">
        <f>SALARIOSS!D54</f>
        <v>P063</v>
      </c>
      <c r="E67" s="1150" t="str">
        <f>SALARIOSS!E54</f>
        <v>Coordenador de Balança</v>
      </c>
      <c r="F67" s="1148"/>
      <c r="G67" s="1149">
        <f>VLOOKUP($D67,SALARIOSS!$D$6:$H$203,5,0)</f>
        <v>6670.755000000001</v>
      </c>
      <c r="H67" s="1149">
        <f>G67*'MEM. Encargos Sociais'!$F$36</f>
        <v>5670.1417500000007</v>
      </c>
      <c r="I67" s="1149">
        <f>SALARIOSS!$M$15</f>
        <v>828.92000000000007</v>
      </c>
      <c r="J67" s="1149">
        <f>SALARIOSS!$P$15</f>
        <v>95</v>
      </c>
      <c r="K67" s="1149">
        <f t="shared" si="1"/>
        <v>13264.816750000002</v>
      </c>
      <c r="L67" s="272"/>
      <c r="M67" s="272"/>
    </row>
    <row r="68" spans="1:13">
      <c r="A68" s="595"/>
      <c r="B68" s="598"/>
      <c r="C68" s="599"/>
      <c r="D68" s="1146" t="str">
        <f>SALARIOSS!D27</f>
        <v>P088</v>
      </c>
      <c r="E68" s="1150" t="str">
        <f>SALARIOSS!E27</f>
        <v>Engenheiro Assistente</v>
      </c>
      <c r="F68" s="1148"/>
      <c r="G68" s="1149">
        <f>VLOOKUP($D68,SALARIOSS!$D$6:$H$203,5,0)</f>
        <v>11530.228500000001</v>
      </c>
      <c r="H68" s="1149">
        <f>G68*'MEM. Encargos Sociais'!$F$36</f>
        <v>9800.6942250000011</v>
      </c>
      <c r="I68" s="1149">
        <f>SALARIOSS!$M$15</f>
        <v>828.92000000000007</v>
      </c>
      <c r="J68" s="1149">
        <f>SALARIOSS!$P$15</f>
        <v>95</v>
      </c>
      <c r="K68" s="1149">
        <f t="shared" si="1"/>
        <v>22254.842725000002</v>
      </c>
      <c r="L68" s="272"/>
      <c r="M68" s="272"/>
    </row>
    <row r="69" spans="1:13">
      <c r="A69" s="595"/>
      <c r="B69" s="598"/>
      <c r="C69" s="599"/>
      <c r="D69" s="1146" t="str">
        <f>SALARIOSS!D93</f>
        <v>P145</v>
      </c>
      <c r="E69" s="1150" t="str">
        <f>SALARIOSS!E93</f>
        <v>Técnico Civil II</v>
      </c>
      <c r="F69" s="1148"/>
      <c r="G69" s="1149">
        <f>VLOOKUP($D69,SALARIOSS!$D$6:$H$203,5,0)</f>
        <v>2878.3110037500001</v>
      </c>
      <c r="H69" s="1149">
        <f>G69*'MEM. Encargos Sociais'!$F$36</f>
        <v>2446.5643531874998</v>
      </c>
      <c r="I69" s="1149">
        <f>SALARIOSS!$M$15</f>
        <v>828.92000000000007</v>
      </c>
      <c r="J69" s="1149">
        <f>SALARIOSS!$P$15</f>
        <v>95</v>
      </c>
      <c r="K69" s="1149">
        <f t="shared" si="1"/>
        <v>6248.7953569375004</v>
      </c>
      <c r="L69" s="272"/>
      <c r="M69" s="272"/>
    </row>
    <row r="70" spans="1:13">
      <c r="A70" s="595"/>
      <c r="B70" s="598"/>
      <c r="C70" s="599"/>
      <c r="D70" s="1146" t="str">
        <f>SALARIOSS!D75</f>
        <v>P056</v>
      </c>
      <c r="E70" s="1150" t="str">
        <f>SALARIOSS!E75</f>
        <v>Comprador Sênior</v>
      </c>
      <c r="F70" s="1148"/>
      <c r="G70" s="1149">
        <f>VLOOKUP($D70,SALARIOSS!$D$6:$H$203,5,0)</f>
        <v>4935.1268925000004</v>
      </c>
      <c r="H70" s="1149">
        <f>G70*'MEM. Encargos Sociais'!$F$36</f>
        <v>4194.8578586250005</v>
      </c>
      <c r="I70" s="1149">
        <f>SALARIOSS!$M$15</f>
        <v>828.92000000000007</v>
      </c>
      <c r="J70" s="1149">
        <f>SALARIOSS!$P$15</f>
        <v>95</v>
      </c>
      <c r="K70" s="1149">
        <f t="shared" si="1"/>
        <v>10053.904751125001</v>
      </c>
      <c r="L70" s="272"/>
      <c r="M70" s="272"/>
    </row>
    <row r="71" spans="1:13">
      <c r="A71" s="595"/>
      <c r="B71" s="598"/>
      <c r="C71" s="599"/>
      <c r="D71" s="1146" t="str">
        <f>SALARIOSS!D76</f>
        <v>P018</v>
      </c>
      <c r="E71" s="1150" t="str">
        <f>SALARIOSS!E76</f>
        <v>Analista de Sistema de Qualidade</v>
      </c>
      <c r="F71" s="1148"/>
      <c r="G71" s="1149">
        <f>VLOOKUP($D71,SALARIOSS!$D$6:$H$203,5,0)</f>
        <v>4518.99</v>
      </c>
      <c r="H71" s="1149">
        <f>G71*'MEM. Encargos Sociais'!$F$36</f>
        <v>3841.1414999999997</v>
      </c>
      <c r="I71" s="1149">
        <f>SALARIOSS!$M$15</f>
        <v>828.92000000000007</v>
      </c>
      <c r="J71" s="1149">
        <f>SALARIOSS!$P$15</f>
        <v>95</v>
      </c>
      <c r="K71" s="1149">
        <f t="shared" si="1"/>
        <v>9284.0514999999996</v>
      </c>
      <c r="L71" s="272"/>
      <c r="M71" s="272"/>
    </row>
    <row r="72" spans="1:13">
      <c r="A72" s="595"/>
      <c r="B72" s="598"/>
      <c r="C72" s="599"/>
      <c r="D72" s="1146" t="str">
        <f>SALARIOSS!D69</f>
        <v>P081</v>
      </c>
      <c r="E72" s="1150" t="str">
        <f>SALARIOSS!E69</f>
        <v>Encarregado de Adrrecadação</v>
      </c>
      <c r="F72" s="1148"/>
      <c r="G72" s="1149">
        <f>VLOOKUP($D72,SALARIOSS!$D$6:$H$203,5,0)</f>
        <v>5537.1462300000003</v>
      </c>
      <c r="H72" s="1149">
        <f>G72*'MEM. Encargos Sociais'!$F$36</f>
        <v>4706.5742955000005</v>
      </c>
      <c r="I72" s="1149">
        <f>SALARIOSS!$M$15</f>
        <v>828.92000000000007</v>
      </c>
      <c r="J72" s="1149">
        <f>SALARIOSS!$P$15</f>
        <v>95</v>
      </c>
      <c r="K72" s="1149">
        <f t="shared" si="1"/>
        <v>11167.640525500001</v>
      </c>
      <c r="L72" s="272"/>
      <c r="M72" s="272"/>
    </row>
    <row r="73" spans="1:13">
      <c r="A73" s="595"/>
      <c r="B73" s="598"/>
      <c r="C73" s="599"/>
      <c r="D73" s="1146" t="str">
        <f>SALARIOSS!D71</f>
        <v>P084</v>
      </c>
      <c r="E73" s="1150" t="str">
        <f>SALARIOSS!E71</f>
        <v>Encarregado de Obras</v>
      </c>
      <c r="F73" s="1148"/>
      <c r="G73" s="1149">
        <f>VLOOKUP($D73,SALARIOSS!$D$6:$H$203,5,0)</f>
        <v>5537.1462300000003</v>
      </c>
      <c r="H73" s="1149">
        <f>G73*'MEM. Encargos Sociais'!$F$36</f>
        <v>4706.5742955000005</v>
      </c>
      <c r="I73" s="1149">
        <f>SALARIOSS!$M$15</f>
        <v>828.92000000000007</v>
      </c>
      <c r="J73" s="1149">
        <f>SALARIOSS!$P$15</f>
        <v>95</v>
      </c>
      <c r="K73" s="1149">
        <f t="shared" ref="K73:K104" si="2">SUM(G73:J73)</f>
        <v>11167.640525500001</v>
      </c>
      <c r="L73" s="272"/>
      <c r="M73" s="272"/>
    </row>
    <row r="74" spans="1:13">
      <c r="A74" s="595"/>
      <c r="B74" s="598"/>
      <c r="C74" s="599"/>
      <c r="D74" s="1146" t="str">
        <f>SALARIOSS!D72</f>
        <v>P085</v>
      </c>
      <c r="E74" s="1150" t="str">
        <f>SALARIOSS!E72</f>
        <v>Encarregado de Patrimônio</v>
      </c>
      <c r="F74" s="1148"/>
      <c r="G74" s="1149">
        <f>VLOOKUP($D74,SALARIOSS!$D$6:$H$203,5,0)</f>
        <v>5537.1462300000003</v>
      </c>
      <c r="H74" s="1149">
        <f>G74*'MEM. Encargos Sociais'!$F$36</f>
        <v>4706.5742955000005</v>
      </c>
      <c r="I74" s="1149">
        <f>SALARIOSS!$M$15</f>
        <v>828.92000000000007</v>
      </c>
      <c r="J74" s="1149">
        <f>SALARIOSS!$P$15</f>
        <v>95</v>
      </c>
      <c r="K74" s="1149">
        <f t="shared" si="2"/>
        <v>11167.640525500001</v>
      </c>
      <c r="L74" s="272"/>
      <c r="M74" s="272"/>
    </row>
    <row r="75" spans="1:13">
      <c r="A75" s="595"/>
      <c r="B75" s="598"/>
      <c r="C75" s="599"/>
      <c r="D75" s="1146" t="str">
        <f>SALARIOSS!D73</f>
        <v>P001</v>
      </c>
      <c r="E75" s="1150" t="str">
        <f>SALARIOSS!E73</f>
        <v>Advogado</v>
      </c>
      <c r="F75" s="1148"/>
      <c r="G75" s="1149">
        <f>VLOOKUP($D75,SALARIOSS!$D$6:$H$203,5,0)</f>
        <v>4991.4489869999998</v>
      </c>
      <c r="H75" s="1149">
        <f>G75*'MEM. Encargos Sociais'!$F$36</f>
        <v>4242.7316389499993</v>
      </c>
      <c r="I75" s="1149">
        <f>SALARIOSS!$M$15</f>
        <v>828.92000000000007</v>
      </c>
      <c r="J75" s="1149">
        <f>SALARIOSS!$P$15</f>
        <v>95</v>
      </c>
      <c r="K75" s="1149">
        <f t="shared" si="2"/>
        <v>10158.100625949999</v>
      </c>
      <c r="L75" s="272"/>
      <c r="M75" s="272"/>
    </row>
    <row r="76" spans="1:13">
      <c r="A76" s="595"/>
      <c r="B76" s="598"/>
      <c r="C76" s="599"/>
      <c r="D76" s="1146" t="str">
        <f>SALARIOSS!D74</f>
        <v>P136</v>
      </c>
      <c r="E76" s="1150" t="str">
        <f>SALARIOSS!E74</f>
        <v>Secretária Executiva</v>
      </c>
      <c r="F76" s="1148"/>
      <c r="G76" s="1149">
        <f>VLOOKUP($D76,SALARIOSS!$D$6:$H$203,5,0)</f>
        <v>4964.0850000000009</v>
      </c>
      <c r="H76" s="1149">
        <f>G76*'MEM. Encargos Sociais'!$F$36</f>
        <v>4219.4722500000007</v>
      </c>
      <c r="I76" s="1149">
        <f>SALARIOSS!$M$15</f>
        <v>828.92000000000007</v>
      </c>
      <c r="J76" s="1149">
        <f>SALARIOSS!$P$15</f>
        <v>95</v>
      </c>
      <c r="K76" s="1149">
        <f t="shared" si="2"/>
        <v>10107.477250000002</v>
      </c>
      <c r="L76" s="272"/>
      <c r="M76" s="272"/>
    </row>
    <row r="77" spans="1:13">
      <c r="A77" s="595"/>
      <c r="B77" s="598"/>
      <c r="C77" s="599"/>
      <c r="D77" s="1146" t="str">
        <f>SALARIOSS!D70</f>
        <v>P082</v>
      </c>
      <c r="E77" s="1150" t="str">
        <f>SALARIOSS!E70</f>
        <v>Encarregado de Conservação</v>
      </c>
      <c r="F77" s="1148"/>
      <c r="G77" s="1149">
        <f>VLOOKUP($D77,SALARIOSS!$D$6:$H$203,5,0)</f>
        <v>5537.1462300000003</v>
      </c>
      <c r="H77" s="1149">
        <f>G77*'MEM. Encargos Sociais'!$F$36</f>
        <v>4706.5742955000005</v>
      </c>
      <c r="I77" s="1149">
        <f>SALARIOSS!$M$15</f>
        <v>828.92000000000007</v>
      </c>
      <c r="J77" s="1149">
        <f>SALARIOSS!$P$15</f>
        <v>95</v>
      </c>
      <c r="K77" s="1149">
        <f t="shared" si="2"/>
        <v>11167.640525500001</v>
      </c>
      <c r="L77" s="272"/>
      <c r="M77" s="272"/>
    </row>
    <row r="78" spans="1:13">
      <c r="A78" s="595"/>
      <c r="B78" s="598"/>
      <c r="C78" s="599"/>
      <c r="D78" s="1146" t="str">
        <f>SALARIOSS!D68</f>
        <v>P055</v>
      </c>
      <c r="E78" s="1150" t="str">
        <f>SALARIOSS!E68</f>
        <v>Comprador Pleno</v>
      </c>
      <c r="F78" s="1148"/>
      <c r="G78" s="1149">
        <f>VLOOKUP($D78,SALARIOSS!$D$6:$H$203,5,0)</f>
        <v>5867.2904850000004</v>
      </c>
      <c r="H78" s="1149">
        <f>G78*'MEM. Encargos Sociais'!$F$36</f>
        <v>4987.1969122500004</v>
      </c>
      <c r="I78" s="1149">
        <f>SALARIOSS!$M$15</f>
        <v>828.92000000000007</v>
      </c>
      <c r="J78" s="1149">
        <f>SALARIOSS!$P$15</f>
        <v>95</v>
      </c>
      <c r="K78" s="1149">
        <f t="shared" si="2"/>
        <v>11778.407397250001</v>
      </c>
      <c r="L78" s="272"/>
      <c r="M78" s="272"/>
    </row>
    <row r="79" spans="1:13">
      <c r="A79" s="595"/>
      <c r="B79" s="598"/>
      <c r="C79" s="599"/>
      <c r="D79" s="1146" t="str">
        <f>SALARIOSS!D77</f>
        <v>P155</v>
      </c>
      <c r="E79" s="1150" t="str">
        <f>SALARIOSS!E77</f>
        <v>Técnico de Segurança do Trabalho II</v>
      </c>
      <c r="F79" s="1148"/>
      <c r="G79" s="1149">
        <f>VLOOKUP($D79,SALARIOSS!$D$6:$H$203,5,0)</f>
        <v>4163.4540675000007</v>
      </c>
      <c r="H79" s="1149">
        <f>G79*'MEM. Encargos Sociais'!$F$36</f>
        <v>3538.9359573750007</v>
      </c>
      <c r="I79" s="1149">
        <f>SALARIOSS!$M$15</f>
        <v>828.92000000000007</v>
      </c>
      <c r="J79" s="1149">
        <f>SALARIOSS!$P$15</f>
        <v>95</v>
      </c>
      <c r="K79" s="1149">
        <f t="shared" si="2"/>
        <v>8626.3100248750015</v>
      </c>
      <c r="L79" s="272"/>
      <c r="M79" s="272"/>
    </row>
    <row r="80" spans="1:13">
      <c r="A80" s="595"/>
      <c r="B80" s="598"/>
      <c r="C80" s="599"/>
      <c r="D80" s="1146" t="str">
        <f>SALARIOSS!D52</f>
        <v>P003</v>
      </c>
      <c r="E80" s="1150" t="str">
        <f>SALARIOSS!E52</f>
        <v>Advogado Pleno</v>
      </c>
      <c r="F80" s="1148"/>
      <c r="G80" s="1149">
        <f>VLOOKUP($D80,SALARIOSS!$D$6:$H$203,5,0)</f>
        <v>7854.7989870000001</v>
      </c>
      <c r="H80" s="1149">
        <f>G80*'MEM. Encargos Sociais'!$F$36</f>
        <v>6676.57913895</v>
      </c>
      <c r="I80" s="1149">
        <f>SALARIOSS!$M$15</f>
        <v>828.92000000000007</v>
      </c>
      <c r="J80" s="1149">
        <f>SALARIOSS!$P$15</f>
        <v>95</v>
      </c>
      <c r="K80" s="1149">
        <f t="shared" si="2"/>
        <v>15455.298125949999</v>
      </c>
      <c r="L80" s="272"/>
      <c r="M80" s="272"/>
    </row>
    <row r="81" spans="1:13">
      <c r="A81" s="595"/>
      <c r="B81" s="598"/>
      <c r="C81" s="599"/>
      <c r="D81" s="1146" t="str">
        <f>SALARIOSS!D82</f>
        <v>P052</v>
      </c>
      <c r="E81" s="1150" t="str">
        <f>SALARIOSS!E82</f>
        <v>Cadista</v>
      </c>
      <c r="F81" s="1148"/>
      <c r="G81" s="1149">
        <f>VLOOKUP($D81,SALARIOSS!$D$6:$H$203,5,0)</f>
        <v>3090.2275372499998</v>
      </c>
      <c r="H81" s="1149">
        <f>G81*'MEM. Encargos Sociais'!$F$36</f>
        <v>2626.6934066624999</v>
      </c>
      <c r="I81" s="1149">
        <f>SALARIOSS!$M$15</f>
        <v>828.92000000000007</v>
      </c>
      <c r="J81" s="1149">
        <f>SALARIOSS!$P$15</f>
        <v>95</v>
      </c>
      <c r="K81" s="1149">
        <f t="shared" si="2"/>
        <v>6640.8409439124998</v>
      </c>
      <c r="L81" s="272"/>
      <c r="M81" s="272"/>
    </row>
    <row r="82" spans="1:13">
      <c r="A82" s="595"/>
      <c r="B82" s="598"/>
      <c r="C82" s="599"/>
      <c r="D82" s="1146" t="str">
        <f>SALARIOSS!D78</f>
        <v>P152</v>
      </c>
      <c r="E82" s="1150" t="str">
        <f>SALARIOSS!E78</f>
        <v>Técnico de Planejamento II</v>
      </c>
      <c r="F82" s="1148"/>
      <c r="G82" s="1149">
        <f>VLOOKUP($D82,SALARIOSS!$D$6:$H$203,5,0)</f>
        <v>3902.2449637500004</v>
      </c>
      <c r="H82" s="1149">
        <f>G82*'MEM. Encargos Sociais'!$F$36</f>
        <v>3316.9082191875004</v>
      </c>
      <c r="I82" s="1149">
        <f>SALARIOSS!$M$15</f>
        <v>828.92000000000007</v>
      </c>
      <c r="J82" s="1149">
        <f>SALARIOSS!$P$15</f>
        <v>95</v>
      </c>
      <c r="K82" s="1149">
        <f t="shared" si="2"/>
        <v>8143.0731829375009</v>
      </c>
      <c r="L82" s="272"/>
      <c r="M82" s="272"/>
    </row>
    <row r="83" spans="1:13">
      <c r="A83" s="595"/>
      <c r="B83" s="598"/>
      <c r="C83" s="599"/>
      <c r="D83" s="1146" t="str">
        <f>SALARIOSS!D79</f>
        <v>P083</v>
      </c>
      <c r="E83" s="1150" t="str">
        <f>SALARIOSS!E79</f>
        <v>Encarregado de Materiais</v>
      </c>
      <c r="F83" s="1148"/>
      <c r="G83" s="1149">
        <f>VLOOKUP($D83,SALARIOSS!$D$6:$H$203,5,0)</f>
        <v>3639.4312500000005</v>
      </c>
      <c r="H83" s="1149">
        <f>G83*'MEM. Encargos Sociais'!$F$36</f>
        <v>3093.5165625000004</v>
      </c>
      <c r="I83" s="1149">
        <f>SALARIOSS!$M$15</f>
        <v>828.92000000000007</v>
      </c>
      <c r="J83" s="1149">
        <f>SALARIOSS!$P$15</f>
        <v>95</v>
      </c>
      <c r="K83" s="1149">
        <f t="shared" si="2"/>
        <v>7656.8678125000006</v>
      </c>
      <c r="L83" s="272"/>
      <c r="M83" s="272"/>
    </row>
    <row r="84" spans="1:13">
      <c r="A84" s="595"/>
      <c r="B84" s="598"/>
      <c r="C84" s="599"/>
      <c r="D84" s="1146" t="str">
        <f>SALARIOSS!D80</f>
        <v>P135</v>
      </c>
      <c r="E84" s="1150" t="str">
        <f>SALARIOSS!E80</f>
        <v>Secretária</v>
      </c>
      <c r="F84" s="1148"/>
      <c r="G84" s="1149">
        <f>VLOOKUP($D84,SALARIOSS!$D$6:$H$203,5,0)</f>
        <v>3574.9350000000004</v>
      </c>
      <c r="H84" s="1149">
        <f>G84*'MEM. Encargos Sociais'!$F$36</f>
        <v>3038.6947500000001</v>
      </c>
      <c r="I84" s="1149">
        <f>SALARIOSS!$M$15</f>
        <v>828.92000000000007</v>
      </c>
      <c r="J84" s="1149">
        <f>SALARIOSS!$P$15</f>
        <v>95</v>
      </c>
      <c r="K84" s="1149">
        <f t="shared" si="2"/>
        <v>7537.5497500000001</v>
      </c>
      <c r="L84" s="272"/>
      <c r="M84" s="272"/>
    </row>
    <row r="85" spans="1:13">
      <c r="A85" s="595"/>
      <c r="B85" s="598"/>
      <c r="C85" s="599"/>
      <c r="D85" s="1146" t="str">
        <f>SALARIOSS!D81</f>
        <v>P161</v>
      </c>
      <c r="E85" s="1150" t="str">
        <f>SALARIOSS!E81</f>
        <v>Tesoureiro</v>
      </c>
      <c r="F85" s="1148"/>
      <c r="G85" s="1149">
        <f>VLOOKUP($D85,SALARIOSS!$D$6:$H$203,5,0)</f>
        <v>3226.2300000000005</v>
      </c>
      <c r="H85" s="1149">
        <f>G85*'MEM. Encargos Sociais'!$F$36</f>
        <v>2742.2955000000002</v>
      </c>
      <c r="I85" s="1149">
        <f>SALARIOSS!$M$15</f>
        <v>828.92000000000007</v>
      </c>
      <c r="J85" s="1149">
        <f>SALARIOSS!$P$15</f>
        <v>95</v>
      </c>
      <c r="K85" s="1149">
        <f t="shared" si="2"/>
        <v>6892.4455000000007</v>
      </c>
      <c r="L85" s="272"/>
      <c r="M85" s="272"/>
    </row>
    <row r="86" spans="1:13">
      <c r="A86" s="595"/>
      <c r="B86" s="598"/>
      <c r="C86" s="599"/>
      <c r="D86" s="1146" t="str">
        <f>SALARIOSS!D61</f>
        <v>P070</v>
      </c>
      <c r="E86" s="1150" t="str">
        <f>SALARIOSS!E61</f>
        <v>Coordenador de Sistemas</v>
      </c>
      <c r="F86" s="1148"/>
      <c r="G86" s="1149">
        <f>VLOOKUP($D86,SALARIOSS!$D$6:$H$203,5,0)</f>
        <v>6670.755000000001</v>
      </c>
      <c r="H86" s="1149">
        <f>G86*'MEM. Encargos Sociais'!$F$36</f>
        <v>5670.1417500000007</v>
      </c>
      <c r="I86" s="1149">
        <f>SALARIOSS!$M$15</f>
        <v>828.92000000000007</v>
      </c>
      <c r="J86" s="1149">
        <f>SALARIOSS!$P$15</f>
        <v>95</v>
      </c>
      <c r="K86" s="1149">
        <f t="shared" si="2"/>
        <v>13264.816750000002</v>
      </c>
      <c r="L86" s="272"/>
      <c r="M86" s="272"/>
    </row>
    <row r="87" spans="1:13">
      <c r="A87" s="595"/>
      <c r="B87" s="598"/>
      <c r="C87" s="599"/>
      <c r="D87" s="1146" t="str">
        <f>SALARIOSS!D62</f>
        <v>P071</v>
      </c>
      <c r="E87" s="1150" t="str">
        <f>SALARIOSS!E62</f>
        <v>Coordenador de Tráfego</v>
      </c>
      <c r="F87" s="1148"/>
      <c r="G87" s="1149">
        <f>VLOOKUP($D87,SALARIOSS!$D$6:$H$203,5,0)</f>
        <v>6670.755000000001</v>
      </c>
      <c r="H87" s="1149">
        <f>G87*'MEM. Encargos Sociais'!$F$36</f>
        <v>5670.1417500000007</v>
      </c>
      <c r="I87" s="1149">
        <f>SALARIOSS!$M$15</f>
        <v>828.92000000000007</v>
      </c>
      <c r="J87" s="1149">
        <f>SALARIOSS!$P$15</f>
        <v>95</v>
      </c>
      <c r="K87" s="1149">
        <f t="shared" si="2"/>
        <v>13264.816750000002</v>
      </c>
      <c r="L87" s="272"/>
      <c r="M87" s="272"/>
    </row>
    <row r="88" spans="1:13">
      <c r="A88" s="595"/>
      <c r="B88" s="598"/>
      <c r="C88" s="599"/>
      <c r="D88" s="1146" t="str">
        <f>SALARIOSS!D63</f>
        <v>P072</v>
      </c>
      <c r="E88" s="1150" t="str">
        <f>SALARIOSS!E63</f>
        <v>Coordenador Financeiro</v>
      </c>
      <c r="F88" s="1148"/>
      <c r="G88" s="1149">
        <f>VLOOKUP($D88,SALARIOSS!$D$6:$H$203,5,0)</f>
        <v>6670.755000000001</v>
      </c>
      <c r="H88" s="1149">
        <f>G88*'MEM. Encargos Sociais'!$F$36</f>
        <v>5670.1417500000007</v>
      </c>
      <c r="I88" s="1149">
        <f>SALARIOSS!$M$15</f>
        <v>828.92000000000007</v>
      </c>
      <c r="J88" s="1149">
        <f>SALARIOSS!$P$15</f>
        <v>95</v>
      </c>
      <c r="K88" s="1149">
        <f t="shared" si="2"/>
        <v>13264.816750000002</v>
      </c>
      <c r="L88" s="272"/>
      <c r="M88" s="272"/>
    </row>
    <row r="89" spans="1:13">
      <c r="A89" s="595"/>
      <c r="B89" s="598"/>
      <c r="C89" s="599"/>
      <c r="D89" s="1146" t="str">
        <f>SALARIOSS!D64</f>
        <v>P016</v>
      </c>
      <c r="E89" s="1150" t="str">
        <f>SALARIOSS!E64</f>
        <v>Analista de Planejamento</v>
      </c>
      <c r="F89" s="1148"/>
      <c r="G89" s="1149">
        <f>VLOOKUP($D89,SALARIOSS!$D$6:$H$203,5,0)</f>
        <v>6630.9459300000017</v>
      </c>
      <c r="H89" s="1149">
        <f>G89*'MEM. Encargos Sociais'!$F$36</f>
        <v>5636.3040405000011</v>
      </c>
      <c r="I89" s="1149">
        <f>SALARIOSS!$M$15</f>
        <v>828.92000000000007</v>
      </c>
      <c r="J89" s="1149">
        <f>SALARIOSS!$P$15</f>
        <v>95</v>
      </c>
      <c r="K89" s="1149">
        <f t="shared" si="2"/>
        <v>13191.169970500003</v>
      </c>
      <c r="L89" s="272"/>
      <c r="M89" s="272"/>
    </row>
    <row r="90" spans="1:13">
      <c r="A90" s="595"/>
      <c r="B90" s="598"/>
      <c r="C90" s="599"/>
      <c r="D90" s="1146" t="str">
        <f>SALARIOSS!D47</f>
        <v>P167</v>
      </c>
      <c r="E90" s="1150" t="str">
        <f>SALARIOSS!E47</f>
        <v>Assessor de Qualidade</v>
      </c>
      <c r="F90" s="1148"/>
      <c r="G90" s="1149">
        <f>VLOOKUP($D90,SALARIOSS!$D$6:$H$203,5,0)</f>
        <v>7858.922211000001</v>
      </c>
      <c r="H90" s="1149">
        <f>G90*'MEM. Encargos Sociais'!$F$36</f>
        <v>6680.0838793500006</v>
      </c>
      <c r="I90" s="1149">
        <f>SALARIOSS!$M$15</f>
        <v>828.92000000000007</v>
      </c>
      <c r="J90" s="1149">
        <f>SALARIOSS!$P$15</f>
        <v>95</v>
      </c>
      <c r="K90" s="1149">
        <f t="shared" si="2"/>
        <v>15462.926090350002</v>
      </c>
      <c r="L90" s="272"/>
      <c r="M90" s="272"/>
    </row>
    <row r="91" spans="1:13">
      <c r="A91" s="595"/>
      <c r="B91" s="598"/>
      <c r="C91" s="599"/>
      <c r="D91" s="1146" t="str">
        <f>SALARIOSS!D48</f>
        <v>P168</v>
      </c>
      <c r="E91" s="1150" t="str">
        <f>SALARIOSS!E48</f>
        <v>Assessor de Rel. Institucionais</v>
      </c>
      <c r="F91" s="1148"/>
      <c r="G91" s="1149">
        <f>VLOOKUP($D91,SALARIOSS!$D$6:$H$203,5,0)</f>
        <v>7858.922211000001</v>
      </c>
      <c r="H91" s="1149">
        <f>G91*'MEM. Encargos Sociais'!$F$36</f>
        <v>6680.0838793500006</v>
      </c>
      <c r="I91" s="1149">
        <f>SALARIOSS!$M$15</f>
        <v>828.92000000000007</v>
      </c>
      <c r="J91" s="1149">
        <f>SALARIOSS!$P$15</f>
        <v>95</v>
      </c>
      <c r="K91" s="1149">
        <f t="shared" si="2"/>
        <v>15462.926090350002</v>
      </c>
      <c r="L91" s="272"/>
      <c r="M91" s="272"/>
    </row>
    <row r="92" spans="1:13">
      <c r="A92" s="595"/>
      <c r="B92" s="598"/>
      <c r="C92" s="599"/>
      <c r="D92" s="1146" t="str">
        <f>SALARIOSS!D49</f>
        <v>P171</v>
      </c>
      <c r="E92" s="1150" t="str">
        <f>SALARIOSS!E49</f>
        <v>Assessor de Relações Institucionais</v>
      </c>
      <c r="F92" s="1148"/>
      <c r="G92" s="1149">
        <f>VLOOKUP($D92,SALARIOSS!$D$6:$H$203,5,0)</f>
        <v>7858.922211000001</v>
      </c>
      <c r="H92" s="1149">
        <f>G92*'MEM. Encargos Sociais'!$F$36</f>
        <v>6680.0838793500006</v>
      </c>
      <c r="I92" s="1149">
        <f>SALARIOSS!$M$15</f>
        <v>828.92000000000007</v>
      </c>
      <c r="J92" s="1149">
        <f>SALARIOSS!$P$15</f>
        <v>95</v>
      </c>
      <c r="K92" s="1149">
        <f t="shared" si="2"/>
        <v>15462.926090350002</v>
      </c>
      <c r="L92" s="272"/>
      <c r="M92" s="272"/>
    </row>
    <row r="93" spans="1:13">
      <c r="A93" s="595"/>
      <c r="B93" s="598"/>
      <c r="C93" s="599"/>
      <c r="D93" s="1146" t="str">
        <f>SALARIOSS!D117</f>
        <v>P150</v>
      </c>
      <c r="E93" s="1150" t="str">
        <f>SALARIOSS!E117</f>
        <v>Técnico de Manutenção</v>
      </c>
      <c r="F93" s="1148"/>
      <c r="G93" s="1149">
        <f>VLOOKUP($D93,SALARIOSS!$D$6:$H$203,5,0)</f>
        <v>2355.3917100000008</v>
      </c>
      <c r="H93" s="1149">
        <f>G93*'MEM. Encargos Sociais'!$F$36</f>
        <v>2002.0829535000007</v>
      </c>
      <c r="I93" s="1149">
        <f>SALARIOSS!$M$15</f>
        <v>828.92000000000007</v>
      </c>
      <c r="J93" s="1149">
        <f>SALARIOSS!$P$15</f>
        <v>95</v>
      </c>
      <c r="K93" s="1149">
        <f t="shared" si="2"/>
        <v>5281.3946635000011</v>
      </c>
      <c r="L93" s="272"/>
      <c r="M93" s="272"/>
    </row>
    <row r="94" spans="1:13">
      <c r="A94" s="595"/>
      <c r="B94" s="598"/>
      <c r="C94" s="599"/>
      <c r="D94" s="1146" t="str">
        <f>SALARIOSS!D60</f>
        <v>P069</v>
      </c>
      <c r="E94" s="1150" t="str">
        <f>SALARIOSS!E60</f>
        <v>Coordenador de RH</v>
      </c>
      <c r="F94" s="1148"/>
      <c r="G94" s="1149">
        <f>VLOOKUP($D94,SALARIOSS!$D$6:$H$203,5,0)</f>
        <v>6670.755000000001</v>
      </c>
      <c r="H94" s="1149">
        <f>G94*'MEM. Encargos Sociais'!$F$36</f>
        <v>5670.1417500000007</v>
      </c>
      <c r="I94" s="1149">
        <f>SALARIOSS!$M$15</f>
        <v>828.92000000000007</v>
      </c>
      <c r="J94" s="1149">
        <f>SALARIOSS!$P$15</f>
        <v>95</v>
      </c>
      <c r="K94" s="1149">
        <f t="shared" si="2"/>
        <v>13264.816750000002</v>
      </c>
      <c r="L94" s="272"/>
      <c r="M94" s="272"/>
    </row>
    <row r="95" spans="1:13">
      <c r="A95" s="595"/>
      <c r="B95" s="598"/>
      <c r="C95" s="599"/>
      <c r="D95" s="1146" t="str">
        <f>SALARIOSS!D92</f>
        <v>P086</v>
      </c>
      <c r="E95" s="1150" t="str">
        <f>SALARIOSS!E92</f>
        <v>Encarregado de Transportes</v>
      </c>
      <c r="F95" s="1148"/>
      <c r="G95" s="1149">
        <f>VLOOKUP($D95,SALARIOSS!$D$6:$H$203,5,0)</f>
        <v>2910.3089400000008</v>
      </c>
      <c r="H95" s="1149">
        <f>G95*'MEM. Encargos Sociais'!$F$36</f>
        <v>2473.7625990000006</v>
      </c>
      <c r="I95" s="1149">
        <f>SALARIOSS!$M$15</f>
        <v>828.92000000000007</v>
      </c>
      <c r="J95" s="1149">
        <f>SALARIOSS!$P$15</f>
        <v>95</v>
      </c>
      <c r="K95" s="1149">
        <f t="shared" si="2"/>
        <v>6307.9915390000015</v>
      </c>
      <c r="L95" s="272"/>
      <c r="M95" s="272"/>
    </row>
    <row r="96" spans="1:13">
      <c r="A96" s="595"/>
      <c r="B96" s="598"/>
      <c r="C96" s="599"/>
      <c r="D96" s="1146" t="str">
        <f>SALARIOSS!D67</f>
        <v>P162</v>
      </c>
      <c r="E96" s="1150" t="str">
        <f>SALARIOSS!E67</f>
        <v>Topógrafo</v>
      </c>
      <c r="F96" s="1148"/>
      <c r="G96" s="1149">
        <f>VLOOKUP($D96,SALARIOSS!$D$6:$H$203,5,0)</f>
        <v>5991.1017390000015</v>
      </c>
      <c r="H96" s="1149">
        <f>G96*'MEM. Encargos Sociais'!$F$36</f>
        <v>5092.4364781500008</v>
      </c>
      <c r="I96" s="1149">
        <f>SALARIOSS!$M$15</f>
        <v>828.92000000000007</v>
      </c>
      <c r="J96" s="1149">
        <f>SALARIOSS!$P$15</f>
        <v>95</v>
      </c>
      <c r="K96" s="1149">
        <f t="shared" si="2"/>
        <v>12007.458217150002</v>
      </c>
      <c r="L96" s="272"/>
      <c r="M96" s="272"/>
    </row>
    <row r="97" spans="1:13">
      <c r="A97" s="595"/>
      <c r="B97" s="598"/>
      <c r="C97" s="599"/>
      <c r="D97" s="1146" t="str">
        <f>SALARIOSS!D65</f>
        <v>P036</v>
      </c>
      <c r="E97" s="1150" t="str">
        <f>SALARIOSS!E65</f>
        <v>Auditor</v>
      </c>
      <c r="F97" s="1148"/>
      <c r="G97" s="1149">
        <f>VLOOKUP($D97,SALARIOSS!$D$6:$H$203,5,0)</f>
        <v>6630.9459300000017</v>
      </c>
      <c r="H97" s="1149">
        <f>G97*'MEM. Encargos Sociais'!$F$36</f>
        <v>5636.3040405000011</v>
      </c>
      <c r="I97" s="1149">
        <f>SALARIOSS!$M$15</f>
        <v>828.92000000000007</v>
      </c>
      <c r="J97" s="1149">
        <f>SALARIOSS!$P$15</f>
        <v>95</v>
      </c>
      <c r="K97" s="1149">
        <f t="shared" si="2"/>
        <v>13191.169970500003</v>
      </c>
      <c r="L97" s="272"/>
      <c r="M97" s="272"/>
    </row>
    <row r="98" spans="1:13">
      <c r="A98" s="595"/>
      <c r="B98" s="598"/>
      <c r="C98" s="599"/>
      <c r="D98" s="1146" t="str">
        <f>SALARIOSS!D100</f>
        <v>P015</v>
      </c>
      <c r="E98" s="1150" t="str">
        <f>SALARIOSS!E100</f>
        <v>Analista de Contabilidade</v>
      </c>
      <c r="F98" s="1148"/>
      <c r="G98" s="1149">
        <f>VLOOKUP($D98,SALARIOSS!$D$6:$H$203,5,0)</f>
        <v>2595.3404400000004</v>
      </c>
      <c r="H98" s="1149">
        <f>G98*'MEM. Encargos Sociais'!$F$36</f>
        <v>2206.0393740000004</v>
      </c>
      <c r="I98" s="1149">
        <f>SALARIOSS!$M$15</f>
        <v>828.92000000000007</v>
      </c>
      <c r="J98" s="1149">
        <f>SALARIOSS!$P$15</f>
        <v>95</v>
      </c>
      <c r="K98" s="1149">
        <f t="shared" si="2"/>
        <v>5725.2998140000009</v>
      </c>
      <c r="L98" s="272"/>
      <c r="M98" s="272"/>
    </row>
    <row r="99" spans="1:13">
      <c r="A99" s="595"/>
      <c r="B99" s="598"/>
      <c r="C99" s="599"/>
      <c r="D99" s="1146" t="str">
        <f>SALARIOSS!D103</f>
        <v>P127</v>
      </c>
      <c r="E99" s="1150" t="str">
        <f>SALARIOSS!E103</f>
        <v>Operador de Guincho Pesado</v>
      </c>
      <c r="F99" s="1148"/>
      <c r="G99" s="1149">
        <f>VLOOKUP($D99,SALARIOSS!$D$6:$H$203,5,0)</f>
        <v>2595.3404400000004</v>
      </c>
      <c r="H99" s="1149">
        <f>G99*'MEM. Encargos Sociais'!$F$36</f>
        <v>2206.0393740000004</v>
      </c>
      <c r="I99" s="1149">
        <f>SALARIOSS!$M$15</f>
        <v>828.92000000000007</v>
      </c>
      <c r="J99" s="1149">
        <f>SALARIOSS!$P$15</f>
        <v>95</v>
      </c>
      <c r="K99" s="1149">
        <f t="shared" si="2"/>
        <v>5725.2998140000009</v>
      </c>
      <c r="L99" s="272"/>
      <c r="M99" s="272"/>
    </row>
    <row r="100" spans="1:13">
      <c r="A100" s="595"/>
      <c r="B100" s="598"/>
      <c r="C100" s="599"/>
      <c r="D100" s="1146" t="str">
        <f>SALARIOSS!D101</f>
        <v>P051</v>
      </c>
      <c r="E100" s="1150" t="str">
        <f>SALARIOSS!E101</f>
        <v>Auxiliar Técnico II</v>
      </c>
      <c r="F100" s="1148"/>
      <c r="G100" s="1149">
        <f>VLOOKUP($D100,SALARIOSS!$D$6:$H$203,5,0)</f>
        <v>2595.3404400000004</v>
      </c>
      <c r="H100" s="1149">
        <f>G100*'MEM. Encargos Sociais'!$F$36</f>
        <v>2206.0393740000004</v>
      </c>
      <c r="I100" s="1149">
        <f>SALARIOSS!$M$15</f>
        <v>828.92000000000007</v>
      </c>
      <c r="J100" s="1149">
        <f>SALARIOSS!$P$15</f>
        <v>95</v>
      </c>
      <c r="K100" s="1149">
        <f t="shared" si="2"/>
        <v>5725.2998140000009</v>
      </c>
      <c r="L100" s="272"/>
      <c r="M100" s="272"/>
    </row>
    <row r="101" spans="1:13">
      <c r="A101" s="595"/>
      <c r="B101" s="598"/>
      <c r="C101" s="599"/>
      <c r="D101" s="1146" t="str">
        <f>SALARIOSS!D102</f>
        <v>P080</v>
      </c>
      <c r="E101" s="1150" t="str">
        <f>SALARIOSS!E102</f>
        <v>Encarregado Administrativo</v>
      </c>
      <c r="F101" s="1148"/>
      <c r="G101" s="1149">
        <f>VLOOKUP($D101,SALARIOSS!$D$6:$H$203,5,0)</f>
        <v>2595.3404400000004</v>
      </c>
      <c r="H101" s="1149">
        <f>G101*'MEM. Encargos Sociais'!$F$36</f>
        <v>2206.0393740000004</v>
      </c>
      <c r="I101" s="1149">
        <f>SALARIOSS!$M$15</f>
        <v>828.92000000000007</v>
      </c>
      <c r="J101" s="1149">
        <f>SALARIOSS!$P$15</f>
        <v>95</v>
      </c>
      <c r="K101" s="1149">
        <f t="shared" si="2"/>
        <v>5725.2998140000009</v>
      </c>
      <c r="L101" s="272"/>
      <c r="M101" s="272"/>
    </row>
    <row r="102" spans="1:13">
      <c r="A102" s="595"/>
      <c r="B102" s="598"/>
      <c r="C102" s="599"/>
      <c r="D102" s="1146" t="str">
        <f>SALARIOSS!D99</f>
        <v>P017</v>
      </c>
      <c r="E102" s="1150" t="str">
        <f>SALARIOSS!E99</f>
        <v>Analista de Recursos Humanos</v>
      </c>
      <c r="F102" s="1148"/>
      <c r="G102" s="1149">
        <f>VLOOKUP($D102,SALARIOSS!$D$6:$H$203,5,0)</f>
        <v>2596.3426125000001</v>
      </c>
      <c r="H102" s="1149">
        <f>G102*'MEM. Encargos Sociais'!$F$36</f>
        <v>2206.8912206250002</v>
      </c>
      <c r="I102" s="1149">
        <f>SALARIOSS!$M$15</f>
        <v>828.92000000000007</v>
      </c>
      <c r="J102" s="1149">
        <f>SALARIOSS!$P$15</f>
        <v>95</v>
      </c>
      <c r="K102" s="1149">
        <f t="shared" si="2"/>
        <v>5727.1538331250003</v>
      </c>
      <c r="L102" s="272"/>
      <c r="M102" s="272"/>
    </row>
    <row r="103" spans="1:13">
      <c r="A103" s="595"/>
      <c r="B103" s="598"/>
      <c r="C103" s="599"/>
      <c r="D103" s="1146" t="str">
        <f>SALARIOSS!D104</f>
        <v>P130</v>
      </c>
      <c r="E103" s="1150" t="str">
        <f>SALARIOSS!E104</f>
        <v>Pintor</v>
      </c>
      <c r="F103" s="1148"/>
      <c r="G103" s="1149">
        <f>VLOOKUP($D103,SALARIOSS!$D$6:$H$203,5,0)</f>
        <v>2538.5029425000002</v>
      </c>
      <c r="H103" s="1149">
        <f>G103*'MEM. Encargos Sociais'!$F$36</f>
        <v>2157.7275011250003</v>
      </c>
      <c r="I103" s="1149">
        <f>SALARIOSS!$M$15</f>
        <v>828.92000000000007</v>
      </c>
      <c r="J103" s="1149">
        <f>SALARIOSS!$P$15</f>
        <v>95</v>
      </c>
      <c r="K103" s="1149">
        <f t="shared" si="2"/>
        <v>5620.1504436250007</v>
      </c>
      <c r="L103" s="272"/>
      <c r="M103" s="272"/>
    </row>
    <row r="104" spans="1:13">
      <c r="A104" s="595"/>
      <c r="B104" s="598"/>
      <c r="C104" s="599"/>
      <c r="D104" s="1146" t="str">
        <f>SALARIOSS!D97</f>
        <v>P021</v>
      </c>
      <c r="E104" s="1150" t="str">
        <f>SALARIOSS!E97</f>
        <v>Analista Financeiro</v>
      </c>
      <c r="F104" s="1148"/>
      <c r="G104" s="1149">
        <f>VLOOKUP($D104,SALARIOSS!$D$6:$H$203,5,0)</f>
        <v>2615.0975550000003</v>
      </c>
      <c r="H104" s="1149">
        <f>G104*'MEM. Encargos Sociais'!$F$36</f>
        <v>2222.83292175</v>
      </c>
      <c r="I104" s="1149">
        <f>SALARIOSS!$M$15</f>
        <v>828.92000000000007</v>
      </c>
      <c r="J104" s="1149">
        <f>SALARIOSS!$P$15</f>
        <v>95</v>
      </c>
      <c r="K104" s="1149">
        <f t="shared" si="2"/>
        <v>5761.8504767499999</v>
      </c>
      <c r="L104" s="272"/>
      <c r="M104" s="272"/>
    </row>
    <row r="105" spans="1:13">
      <c r="A105" s="595"/>
      <c r="B105" s="598"/>
      <c r="C105" s="599"/>
      <c r="D105" s="1146" t="str">
        <f>SALARIOSS!D90</f>
        <v>P142</v>
      </c>
      <c r="E105" s="1150" t="str">
        <f>SALARIOSS!E90</f>
        <v>Supervisor de S.A.U</v>
      </c>
      <c r="F105" s="1148"/>
      <c r="G105" s="1149">
        <f>VLOOKUP($D105,SALARIOSS!$D$6:$H$203,5,0)</f>
        <v>3004.7994900000003</v>
      </c>
      <c r="H105" s="1149">
        <f>G105*'MEM. Encargos Sociais'!$F$36</f>
        <v>2554.0795665000001</v>
      </c>
      <c r="I105" s="1149">
        <f>SALARIOSS!$M$15</f>
        <v>828.92000000000007</v>
      </c>
      <c r="J105" s="1149">
        <f>SALARIOSS!$P$15</f>
        <v>95</v>
      </c>
      <c r="K105" s="1149">
        <f t="shared" ref="K105:K136" si="3">SUM(G105:J105)</f>
        <v>6482.7990565</v>
      </c>
      <c r="L105" s="272"/>
      <c r="M105" s="272"/>
    </row>
    <row r="106" spans="1:13">
      <c r="A106" s="595"/>
      <c r="B106" s="598"/>
      <c r="C106" s="599"/>
      <c r="D106" s="1146" t="str">
        <f>SALARIOSS!D106</f>
        <v>P202</v>
      </c>
      <c r="E106" s="1150" t="str">
        <f>SALARIOSS!E106</f>
        <v>Eletricista CA</v>
      </c>
      <c r="F106" s="1148"/>
      <c r="G106" s="1149">
        <f>VLOOKUP($D106,SALARIOSS!$D$6:$H$203,5,0)</f>
        <v>2407.50468</v>
      </c>
      <c r="H106" s="1149">
        <f>G106*'MEM. Encargos Sociais'!$F$36</f>
        <v>2046.378978</v>
      </c>
      <c r="I106" s="1149">
        <f>SALARIOSS!$M$15</f>
        <v>828.92000000000007</v>
      </c>
      <c r="J106" s="1149">
        <f>SALARIOSS!$P$15</f>
        <v>95</v>
      </c>
      <c r="K106" s="1149">
        <f t="shared" si="3"/>
        <v>5377.8036579999998</v>
      </c>
      <c r="L106" s="272"/>
      <c r="M106" s="272"/>
    </row>
    <row r="107" spans="1:13">
      <c r="A107" s="595"/>
      <c r="B107" s="598"/>
      <c r="C107" s="599"/>
      <c r="D107" s="1146" t="str">
        <f>SALARIOSS!D119</f>
        <v>P154</v>
      </c>
      <c r="E107" s="1150" t="str">
        <f>SALARIOSS!E119</f>
        <v>Técnico de RH</v>
      </c>
      <c r="F107" s="1148"/>
      <c r="G107" s="1149">
        <f>VLOOKUP($D107,SALARIOSS!$D$6:$H$203,5,0)</f>
        <v>2355.3917100000008</v>
      </c>
      <c r="H107" s="1149">
        <f>G107*'MEM. Encargos Sociais'!$F$36</f>
        <v>2002.0829535000007</v>
      </c>
      <c r="I107" s="1149">
        <f>SALARIOSS!$M$15</f>
        <v>828.92000000000007</v>
      </c>
      <c r="J107" s="1149">
        <f>SALARIOSS!$P$15</f>
        <v>95</v>
      </c>
      <c r="K107" s="1149">
        <f t="shared" si="3"/>
        <v>5281.3946635000011</v>
      </c>
      <c r="L107" s="272"/>
      <c r="M107" s="272"/>
    </row>
    <row r="108" spans="1:13">
      <c r="A108" s="595"/>
      <c r="B108" s="598"/>
      <c r="C108" s="599"/>
      <c r="D108" s="1146" t="str">
        <f>SALARIOSS!D105</f>
        <v>P129</v>
      </c>
      <c r="E108" s="1150" t="str">
        <f>SALARIOSS!E105</f>
        <v>Pedreiro</v>
      </c>
      <c r="F108" s="1148"/>
      <c r="G108" s="1149">
        <f>VLOOKUP($D108,SALARIOSS!$D$6:$H$203,5,0)</f>
        <v>2497.8433725000004</v>
      </c>
      <c r="H108" s="1149">
        <f>G108*'MEM. Encargos Sociais'!$F$36</f>
        <v>2123.1668666250002</v>
      </c>
      <c r="I108" s="1149">
        <f>SALARIOSS!$M$15</f>
        <v>828.92000000000007</v>
      </c>
      <c r="J108" s="1149">
        <f>SALARIOSS!$P$15</f>
        <v>95</v>
      </c>
      <c r="K108" s="1149">
        <f t="shared" si="3"/>
        <v>5544.9302391250003</v>
      </c>
      <c r="L108" s="272"/>
      <c r="M108" s="272"/>
    </row>
    <row r="109" spans="1:13">
      <c r="A109" s="595"/>
      <c r="B109" s="598"/>
      <c r="C109" s="599"/>
      <c r="D109" s="1146" t="str">
        <f>SALARIOSS!D88</f>
        <v>P140</v>
      </c>
      <c r="E109" s="1150" t="str">
        <f>SALARIOSS!E88</f>
        <v>Supervisor de CCO</v>
      </c>
      <c r="F109" s="1148"/>
      <c r="G109" s="1149">
        <f>VLOOKUP($D109,SALARIOSS!$D$6:$H$203,5,0)</f>
        <v>3004.7994900000003</v>
      </c>
      <c r="H109" s="1149">
        <f>G109*'MEM. Encargos Sociais'!$F$36</f>
        <v>2554.0795665000001</v>
      </c>
      <c r="I109" s="1149">
        <f>SALARIOSS!$M$15</f>
        <v>828.92000000000007</v>
      </c>
      <c r="J109" s="1149">
        <f>SALARIOSS!$P$15</f>
        <v>95</v>
      </c>
      <c r="K109" s="1149">
        <f t="shared" si="3"/>
        <v>6482.7990565</v>
      </c>
      <c r="L109" s="272"/>
      <c r="M109" s="272"/>
    </row>
    <row r="110" spans="1:13">
      <c r="A110" s="595"/>
      <c r="B110" s="598"/>
      <c r="C110" s="599"/>
      <c r="D110" s="1146" t="str">
        <f>SALARIOSS!D89</f>
        <v>P141</v>
      </c>
      <c r="E110" s="1150" t="str">
        <f>SALARIOSS!E89</f>
        <v>Supervisor de Pedágio</v>
      </c>
      <c r="F110" s="1148"/>
      <c r="G110" s="1149">
        <f>VLOOKUP($D110,SALARIOSS!$D$6:$H$203,5,0)</f>
        <v>3004.7994900000003</v>
      </c>
      <c r="H110" s="1149">
        <f>G110*'MEM. Encargos Sociais'!$F$36</f>
        <v>2554.0795665000001</v>
      </c>
      <c r="I110" s="1149">
        <f>SALARIOSS!$M$15</f>
        <v>828.92000000000007</v>
      </c>
      <c r="J110" s="1149">
        <f>SALARIOSS!$P$15</f>
        <v>95</v>
      </c>
      <c r="K110" s="1149">
        <f t="shared" si="3"/>
        <v>6482.7990565</v>
      </c>
      <c r="L110" s="272"/>
      <c r="M110" s="272"/>
    </row>
    <row r="111" spans="1:13">
      <c r="A111" s="595"/>
      <c r="B111" s="598"/>
      <c r="C111" s="599"/>
      <c r="D111" s="1146" t="str">
        <f>SALARIOSS!D87</f>
        <v>P139</v>
      </c>
      <c r="E111" s="1150" t="str">
        <f>SALARIOSS!E87</f>
        <v>Supervisor de Balanças</v>
      </c>
      <c r="F111" s="1148"/>
      <c r="G111" s="1149">
        <f>VLOOKUP($D111,SALARIOSS!$D$6:$H$203,5,0)</f>
        <v>3004.7994900000003</v>
      </c>
      <c r="H111" s="1149">
        <f>G111*'MEM. Encargos Sociais'!$F$36</f>
        <v>2554.0795665000001</v>
      </c>
      <c r="I111" s="1149">
        <f>SALARIOSS!$M$15</f>
        <v>828.92000000000007</v>
      </c>
      <c r="J111" s="1149">
        <f>SALARIOSS!$P$15</f>
        <v>95</v>
      </c>
      <c r="K111" s="1149">
        <f t="shared" si="3"/>
        <v>6482.7990565</v>
      </c>
      <c r="L111" s="272"/>
      <c r="M111" s="272"/>
    </row>
    <row r="112" spans="1:13">
      <c r="A112" s="595"/>
      <c r="B112" s="598"/>
      <c r="C112" s="599"/>
      <c r="D112" s="1146" t="str">
        <f>SALARIOSS!D86</f>
        <v>P138</v>
      </c>
      <c r="E112" s="1150" t="str">
        <f>SALARIOSS!E86</f>
        <v>Supervisor Administrativo</v>
      </c>
      <c r="F112" s="1148"/>
      <c r="G112" s="1149">
        <f>VLOOKUP($D112,SALARIOSS!$D$6:$H$203,5,0)</f>
        <v>3004.7994900000003</v>
      </c>
      <c r="H112" s="1149">
        <f>G112*'MEM. Encargos Sociais'!$F$36</f>
        <v>2554.0795665000001</v>
      </c>
      <c r="I112" s="1149">
        <f>SALARIOSS!$M$15</f>
        <v>828.92000000000007</v>
      </c>
      <c r="J112" s="1149">
        <f>SALARIOSS!$P$15</f>
        <v>95</v>
      </c>
      <c r="K112" s="1149">
        <f t="shared" si="3"/>
        <v>6482.7990565</v>
      </c>
      <c r="L112" s="272"/>
      <c r="M112" s="272"/>
    </row>
    <row r="113" spans="1:13">
      <c r="A113" s="595"/>
      <c r="B113" s="598"/>
      <c r="C113" s="599"/>
      <c r="D113" s="1146" t="str">
        <f>SALARIOSS!D94</f>
        <v>P149</v>
      </c>
      <c r="E113" s="1150" t="str">
        <f>SALARIOSS!E94</f>
        <v>Técnico de Estradas</v>
      </c>
      <c r="F113" s="1148"/>
      <c r="G113" s="1149">
        <f>VLOOKUP($D113,SALARIOSS!$D$6:$H$203,5,0)</f>
        <v>2878.3110037500001</v>
      </c>
      <c r="H113" s="1149">
        <f>G113*'MEM. Encargos Sociais'!$F$36</f>
        <v>2446.5643531874998</v>
      </c>
      <c r="I113" s="1149">
        <f>SALARIOSS!$M$15</f>
        <v>828.92000000000007</v>
      </c>
      <c r="J113" s="1149">
        <f>SALARIOSS!$P$15</f>
        <v>95</v>
      </c>
      <c r="K113" s="1149">
        <f t="shared" si="3"/>
        <v>6248.7953569375004</v>
      </c>
      <c r="L113" s="272"/>
      <c r="M113" s="272"/>
    </row>
    <row r="114" spans="1:13">
      <c r="A114" s="595"/>
      <c r="B114" s="598"/>
      <c r="C114" s="599"/>
      <c r="D114" s="1146" t="str">
        <f>SALARIOSS!D95</f>
        <v>P151</v>
      </c>
      <c r="E114" s="1150" t="str">
        <f>SALARIOSS!E95</f>
        <v>Técnico de Planejamento I</v>
      </c>
      <c r="F114" s="1148"/>
      <c r="G114" s="1149">
        <f>VLOOKUP($D114,SALARIOSS!$D$6:$H$203,5,0)</f>
        <v>2878.3110037500001</v>
      </c>
      <c r="H114" s="1149">
        <f>G114*'MEM. Encargos Sociais'!$F$36</f>
        <v>2446.5643531874998</v>
      </c>
      <c r="I114" s="1149">
        <f>SALARIOSS!$M$15</f>
        <v>828.92000000000007</v>
      </c>
      <c r="J114" s="1149">
        <f>SALARIOSS!$P$15</f>
        <v>95</v>
      </c>
      <c r="K114" s="1149">
        <f t="shared" si="3"/>
        <v>6248.7953569375004</v>
      </c>
      <c r="L114" s="272"/>
      <c r="M114" s="272"/>
    </row>
    <row r="115" spans="1:13">
      <c r="A115" s="595"/>
      <c r="B115" s="598"/>
      <c r="C115" s="599"/>
      <c r="D115" s="1146" t="str">
        <f>SALARIOSS!D96</f>
        <v>P014</v>
      </c>
      <c r="E115" s="1150" t="str">
        <f>SALARIOSS!E96</f>
        <v>Almoxarife</v>
      </c>
      <c r="F115" s="1148"/>
      <c r="G115" s="1149">
        <f>VLOOKUP($D115,SALARIOSS!$D$6:$H$203,5,0)</f>
        <v>2676.3446115000006</v>
      </c>
      <c r="H115" s="1149">
        <f>G115*'MEM. Encargos Sociais'!$F$36</f>
        <v>2274.8929197750003</v>
      </c>
      <c r="I115" s="1149">
        <f>SALARIOSS!$M$15</f>
        <v>828.92000000000007</v>
      </c>
      <c r="J115" s="1149">
        <f>SALARIOSS!$P$15</f>
        <v>95</v>
      </c>
      <c r="K115" s="1149">
        <f t="shared" si="3"/>
        <v>5875.157531275001</v>
      </c>
      <c r="L115" s="272"/>
      <c r="M115" s="272"/>
    </row>
    <row r="116" spans="1:13">
      <c r="A116" s="595"/>
      <c r="B116" s="598"/>
      <c r="C116" s="599"/>
      <c r="D116" s="1146" t="str">
        <f>SALARIOSS!D98</f>
        <v>P023</v>
      </c>
      <c r="E116" s="1150" t="str">
        <f>SALARIOSS!E98</f>
        <v>Arquivista Técnico</v>
      </c>
      <c r="F116" s="1148"/>
      <c r="G116" s="1149">
        <f>VLOOKUP($D116,SALARIOSS!$D$6:$H$203,5,0)</f>
        <v>2612.3057887500004</v>
      </c>
      <c r="H116" s="1149">
        <f>G116*'MEM. Encargos Sociais'!$F$36</f>
        <v>2220.4599204375004</v>
      </c>
      <c r="I116" s="1149">
        <f>SALARIOSS!$M$15</f>
        <v>828.92000000000007</v>
      </c>
      <c r="J116" s="1149">
        <f>SALARIOSS!$P$15</f>
        <v>95</v>
      </c>
      <c r="K116" s="1149">
        <f t="shared" si="3"/>
        <v>5756.6857091875008</v>
      </c>
      <c r="L116" s="272"/>
      <c r="M116" s="272"/>
    </row>
    <row r="117" spans="1:13">
      <c r="A117" s="595"/>
      <c r="B117" s="598"/>
      <c r="C117" s="599"/>
      <c r="D117" s="1146" t="str">
        <f>SALARIOSS!D118</f>
        <v>P153</v>
      </c>
      <c r="E117" s="1150" t="str">
        <f>SALARIOSS!E118</f>
        <v>Técnico de Rádio</v>
      </c>
      <c r="F117" s="1148"/>
      <c r="G117" s="1149">
        <f>VLOOKUP($D117,SALARIOSS!$D$6:$H$203,5,0)</f>
        <v>2355.3917100000008</v>
      </c>
      <c r="H117" s="1149">
        <f>G117*'MEM. Encargos Sociais'!$F$36</f>
        <v>2002.0829535000007</v>
      </c>
      <c r="I117" s="1149">
        <f>SALARIOSS!$M$15</f>
        <v>828.92000000000007</v>
      </c>
      <c r="J117" s="1149">
        <f>SALARIOSS!$P$15</f>
        <v>95</v>
      </c>
      <c r="K117" s="1149">
        <f t="shared" si="3"/>
        <v>5281.3946635000011</v>
      </c>
      <c r="L117" s="272"/>
      <c r="M117" s="272"/>
    </row>
    <row r="118" spans="1:13">
      <c r="A118" s="595"/>
      <c r="B118" s="598"/>
      <c r="C118" s="599"/>
      <c r="D118" s="1146" t="str">
        <f>SALARIOSS!D120</f>
        <v>P156</v>
      </c>
      <c r="E118" s="1150" t="str">
        <f>SALARIOSS!E120</f>
        <v>Técnico de Segurança do Trabalho I</v>
      </c>
      <c r="F118" s="1148"/>
      <c r="G118" s="1149">
        <f>VLOOKUP($D118,SALARIOSS!$D$6:$H$203,5,0)</f>
        <v>2355.3917100000008</v>
      </c>
      <c r="H118" s="1149">
        <f>G118*'MEM. Encargos Sociais'!$F$36</f>
        <v>2002.0829535000007</v>
      </c>
      <c r="I118" s="1149">
        <f>SALARIOSS!$M$15</f>
        <v>828.92000000000007</v>
      </c>
      <c r="J118" s="1149">
        <f>SALARIOSS!$P$15</f>
        <v>95</v>
      </c>
      <c r="K118" s="1149">
        <f t="shared" si="3"/>
        <v>5281.3946635000011</v>
      </c>
      <c r="L118" s="272"/>
      <c r="M118" s="272"/>
    </row>
    <row r="119" spans="1:13">
      <c r="A119" s="595"/>
      <c r="B119" s="598"/>
      <c r="C119" s="599"/>
      <c r="D119" s="1146" t="str">
        <f>SALARIOSS!D129</f>
        <v>P027</v>
      </c>
      <c r="E119" s="1150" t="str">
        <f>SALARIOSS!E129</f>
        <v>Assistente de Contabilidade</v>
      </c>
      <c r="F119" s="1148"/>
      <c r="G119" s="1149">
        <f>VLOOKUP($D119,SALARIOSS!$D$6:$H$203,5,0)</f>
        <v>1950.3708525000002</v>
      </c>
      <c r="H119" s="1149">
        <f>G119*'MEM. Encargos Sociais'!$F$36</f>
        <v>1657.8152246250002</v>
      </c>
      <c r="I119" s="1149">
        <f>SALARIOSS!$M$15</f>
        <v>828.92000000000007</v>
      </c>
      <c r="J119" s="1149">
        <f>SALARIOSS!$P$15</f>
        <v>95</v>
      </c>
      <c r="K119" s="1149">
        <f t="shared" si="3"/>
        <v>4532.1060771250004</v>
      </c>
      <c r="L119" s="272"/>
      <c r="M119" s="272"/>
    </row>
    <row r="120" spans="1:13">
      <c r="A120" s="595"/>
      <c r="B120" s="598"/>
      <c r="C120" s="599"/>
      <c r="D120" s="1146" t="str">
        <f>SALARIOSS!D128</f>
        <v>P034</v>
      </c>
      <c r="E120" s="1150" t="str">
        <f>SALARIOSS!E128</f>
        <v>Assistente Técnico de Informática</v>
      </c>
      <c r="F120" s="1148"/>
      <c r="G120" s="1149">
        <f>VLOOKUP($D120,SALARIOSS!$D$6:$H$203,5,0)</f>
        <v>1983.4425450000003</v>
      </c>
      <c r="H120" s="1149">
        <f>G120*'MEM. Encargos Sociais'!$F$36</f>
        <v>1685.9261632500002</v>
      </c>
      <c r="I120" s="1149">
        <f>SALARIOSS!$M$15</f>
        <v>828.92000000000007</v>
      </c>
      <c r="J120" s="1149">
        <f>SALARIOSS!$P$15</f>
        <v>95</v>
      </c>
      <c r="K120" s="1149">
        <f t="shared" si="3"/>
        <v>4593.2887082500001</v>
      </c>
      <c r="L120" s="272"/>
      <c r="M120" s="272"/>
    </row>
    <row r="121" spans="1:13">
      <c r="A121" s="595"/>
      <c r="B121" s="598"/>
      <c r="C121" s="599"/>
      <c r="D121" s="1146" t="str">
        <f>SALARIOSS!D146</f>
        <v>P126</v>
      </c>
      <c r="E121" s="1150" t="str">
        <f>SALARIOSS!E146</f>
        <v>Operador de Guincho Leve</v>
      </c>
      <c r="F121" s="1148"/>
      <c r="G121" s="1149">
        <f>VLOOKUP($D121,SALARIOSS!$D$6:$H$203,5,0)</f>
        <v>1835.2641825000005</v>
      </c>
      <c r="H121" s="1149">
        <f>G121*'MEM. Encargos Sociais'!$F$36</f>
        <v>1559.9745551250005</v>
      </c>
      <c r="I121" s="1149">
        <f>SALARIOSS!$M$15</f>
        <v>828.92000000000007</v>
      </c>
      <c r="J121" s="1149">
        <f>SALARIOSS!$P$15</f>
        <v>95</v>
      </c>
      <c r="K121" s="1149">
        <f t="shared" si="3"/>
        <v>4319.1587376250009</v>
      </c>
      <c r="L121" s="272"/>
      <c r="M121" s="272"/>
    </row>
    <row r="122" spans="1:13">
      <c r="A122" s="595"/>
      <c r="B122" s="598"/>
      <c r="C122" s="599"/>
      <c r="D122" s="1146" t="str">
        <f>SALARIOSS!D145</f>
        <v>P125</v>
      </c>
      <c r="E122" s="1150" t="str">
        <f>SALARIOSS!E145</f>
        <v>Operador de CPD</v>
      </c>
      <c r="F122" s="1148"/>
      <c r="G122" s="1149">
        <f>VLOOKUP($D122,SALARIOSS!$D$6:$H$203,5,0)</f>
        <v>1835.2641825000005</v>
      </c>
      <c r="H122" s="1149">
        <f>G122*'MEM. Encargos Sociais'!$F$36</f>
        <v>1559.9745551250005</v>
      </c>
      <c r="I122" s="1149">
        <f>SALARIOSS!$M$15</f>
        <v>828.92000000000007</v>
      </c>
      <c r="J122" s="1149">
        <f>SALARIOSS!$P$15</f>
        <v>95</v>
      </c>
      <c r="K122" s="1149">
        <f t="shared" si="3"/>
        <v>4319.1587376250009</v>
      </c>
      <c r="L122" s="272"/>
      <c r="M122" s="272"/>
    </row>
    <row r="123" spans="1:13">
      <c r="A123" s="595"/>
      <c r="B123" s="598"/>
      <c r="C123" s="599"/>
      <c r="D123" s="1146" t="str">
        <f>SALARIOSS!D123</f>
        <v>P119</v>
      </c>
      <c r="E123" s="1150" t="str">
        <f>SALARIOSS!E123</f>
        <v>Motorista de Veículo Leve II</v>
      </c>
      <c r="F123" s="1148"/>
      <c r="G123" s="1149">
        <f>VLOOKUP($D123,SALARIOSS!$D$6:$H$203,5,0)</f>
        <v>2084.976936</v>
      </c>
      <c r="H123" s="1149">
        <f>G123*'MEM. Encargos Sociais'!$F$36</f>
        <v>1772.2303956000001</v>
      </c>
      <c r="I123" s="1149">
        <f>SALARIOSS!$M$15</f>
        <v>828.92000000000007</v>
      </c>
      <c r="J123" s="1149">
        <f>SALARIOSS!$P$15</f>
        <v>95</v>
      </c>
      <c r="K123" s="1149">
        <f t="shared" si="3"/>
        <v>4781.1273316000006</v>
      </c>
      <c r="L123" s="272"/>
      <c r="M123" s="272"/>
    </row>
    <row r="124" spans="1:13">
      <c r="A124" s="595"/>
      <c r="B124" s="598"/>
      <c r="C124" s="599"/>
      <c r="D124" s="1146" t="str">
        <f>SALARIOSS!D124</f>
        <v>P020</v>
      </c>
      <c r="E124" s="1150" t="str">
        <f>SALARIOSS!E124</f>
        <v>Analista de Suporte</v>
      </c>
      <c r="F124" s="1148"/>
      <c r="G124" s="1149">
        <f>VLOOKUP($D124,SALARIOSS!$D$6:$H$203,5,0)</f>
        <v>2031.4036575000005</v>
      </c>
      <c r="H124" s="1149">
        <f>G124*'MEM. Encargos Sociais'!$F$36</f>
        <v>1726.6931088750005</v>
      </c>
      <c r="I124" s="1149">
        <f>SALARIOSS!$M$15</f>
        <v>828.92000000000007</v>
      </c>
      <c r="J124" s="1149">
        <f>SALARIOSS!$P$15</f>
        <v>95</v>
      </c>
      <c r="K124" s="1149">
        <f t="shared" si="3"/>
        <v>4682.0167663750008</v>
      </c>
      <c r="L124" s="272"/>
      <c r="M124" s="272"/>
    </row>
    <row r="125" spans="1:13">
      <c r="A125" s="595"/>
      <c r="B125" s="598"/>
      <c r="C125" s="599"/>
      <c r="D125" s="1146" t="str">
        <f>SALARIOSS!D125</f>
        <v>P028</v>
      </c>
      <c r="E125" s="1150" t="str">
        <f>SALARIOSS!E125</f>
        <v>Assistente de Contas a Pagar</v>
      </c>
      <c r="F125" s="1148"/>
      <c r="G125" s="1149">
        <f>VLOOKUP($D125,SALARIOSS!$D$6:$H$203,5,0)</f>
        <v>1983.4425450000003</v>
      </c>
      <c r="H125" s="1149">
        <f>G125*'MEM. Encargos Sociais'!$F$36</f>
        <v>1685.9261632500002</v>
      </c>
      <c r="I125" s="1149">
        <f>SALARIOSS!$M$15</f>
        <v>828.92000000000007</v>
      </c>
      <c r="J125" s="1149">
        <f>SALARIOSS!$P$15</f>
        <v>95</v>
      </c>
      <c r="K125" s="1149">
        <f t="shared" si="3"/>
        <v>4593.2887082500001</v>
      </c>
      <c r="L125" s="272"/>
      <c r="M125" s="272"/>
    </row>
    <row r="126" spans="1:13">
      <c r="A126" s="595"/>
      <c r="B126" s="598"/>
      <c r="C126" s="599"/>
      <c r="D126" s="1146" t="str">
        <f>SALARIOSS!D126</f>
        <v>P030</v>
      </c>
      <c r="E126" s="1150" t="str">
        <f>SALARIOSS!E126</f>
        <v>Assistente de Informática</v>
      </c>
      <c r="F126" s="1148"/>
      <c r="G126" s="1149">
        <f>VLOOKUP($D126,SALARIOSS!$D$6:$H$203,5,0)</f>
        <v>1983.4425450000003</v>
      </c>
      <c r="H126" s="1149">
        <f>G126*'MEM. Encargos Sociais'!$F$36</f>
        <v>1685.9261632500002</v>
      </c>
      <c r="I126" s="1149">
        <f>SALARIOSS!$M$15</f>
        <v>828.92000000000007</v>
      </c>
      <c r="J126" s="1149">
        <f>SALARIOSS!$P$15</f>
        <v>95</v>
      </c>
      <c r="K126" s="1149">
        <f t="shared" si="3"/>
        <v>4593.2887082500001</v>
      </c>
      <c r="L126" s="272"/>
      <c r="M126" s="272"/>
    </row>
    <row r="127" spans="1:13">
      <c r="A127" s="595"/>
      <c r="B127" s="598"/>
      <c r="C127" s="599"/>
      <c r="D127" s="1146" t="str">
        <f>SALARIOSS!D122</f>
        <v>P025</v>
      </c>
      <c r="E127" s="1150" t="str">
        <f>SALARIOSS!E122</f>
        <v>Assistente de Adm. Pessoal</v>
      </c>
      <c r="F127" s="1148"/>
      <c r="G127" s="1149">
        <f>VLOOKUP($D127,SALARIOSS!$D$6:$H$203,5,0)</f>
        <v>2232.84033</v>
      </c>
      <c r="H127" s="1149">
        <f>G127*'MEM. Encargos Sociais'!$F$36</f>
        <v>1897.9142804999999</v>
      </c>
      <c r="I127" s="1149">
        <f>SALARIOSS!$M$15</f>
        <v>828.92000000000007</v>
      </c>
      <c r="J127" s="1149">
        <f>SALARIOSS!$P$15</f>
        <v>95</v>
      </c>
      <c r="K127" s="1149">
        <f t="shared" si="3"/>
        <v>5054.6746105000002</v>
      </c>
      <c r="L127" s="272"/>
      <c r="M127" s="272"/>
    </row>
    <row r="128" spans="1:13">
      <c r="A128" s="595"/>
      <c r="B128" s="598"/>
      <c r="C128" s="599"/>
      <c r="D128" s="1146" t="str">
        <f>SALARIOSS!D127</f>
        <v>P033</v>
      </c>
      <c r="E128" s="1150" t="str">
        <f>SALARIOSS!E127</f>
        <v>Assistente Financeiro</v>
      </c>
      <c r="F128" s="1148"/>
      <c r="G128" s="1149">
        <f>VLOOKUP($D128,SALARIOSS!$D$6:$H$203,5,0)</f>
        <v>1983.4425450000003</v>
      </c>
      <c r="H128" s="1149">
        <f>G128*'MEM. Encargos Sociais'!$F$36</f>
        <v>1685.9261632500002</v>
      </c>
      <c r="I128" s="1149">
        <f>SALARIOSS!$M$15</f>
        <v>828.92000000000007</v>
      </c>
      <c r="J128" s="1149">
        <f>SALARIOSS!$P$15</f>
        <v>95</v>
      </c>
      <c r="K128" s="1149">
        <f t="shared" si="3"/>
        <v>4593.2887082500001</v>
      </c>
      <c r="L128" s="272"/>
      <c r="M128" s="272"/>
    </row>
    <row r="129" spans="1:13">
      <c r="A129" s="595"/>
      <c r="B129" s="598"/>
      <c r="C129" s="599"/>
      <c r="D129" s="1146" t="s">
        <v>815</v>
      </c>
      <c r="E129" s="1150" t="s">
        <v>918</v>
      </c>
      <c r="F129" s="1151"/>
      <c r="G129" s="1149">
        <f>VLOOKUP($D129,SALARIOSS!$D$6:$H$203,5,0)</f>
        <v>3226.2300000000005</v>
      </c>
      <c r="H129" s="1149">
        <f>G129*'MEM. Encargos Sociais'!$F$36</f>
        <v>2742.2955000000002</v>
      </c>
      <c r="I129" s="1149">
        <f>SALARIOSS!$M$15</f>
        <v>828.92000000000007</v>
      </c>
      <c r="J129" s="1149">
        <f>SALARIOSS!$P$15</f>
        <v>95</v>
      </c>
      <c r="K129" s="1149">
        <f t="shared" si="3"/>
        <v>6892.4455000000007</v>
      </c>
      <c r="L129" s="272"/>
      <c r="M129" s="272"/>
    </row>
    <row r="130" spans="1:13">
      <c r="A130" s="595"/>
      <c r="B130" s="598"/>
      <c r="C130" s="599"/>
      <c r="D130" s="1146" t="str">
        <f>SALARIOSS!D133</f>
        <v>P040</v>
      </c>
      <c r="E130" s="1150" t="str">
        <f>SALARIOSS!E133</f>
        <v>Auxiliar de Contabilidade</v>
      </c>
      <c r="F130" s="1148"/>
      <c r="G130" s="1149">
        <f>VLOOKUP($D130,SALARIOSS!$D$6:$H$203,5,0)</f>
        <v>1890.2405025</v>
      </c>
      <c r="H130" s="1149">
        <f>G130*'MEM. Encargos Sociais'!$F$36</f>
        <v>1606.7044271249999</v>
      </c>
      <c r="I130" s="1149">
        <f>SALARIOSS!$M$15</f>
        <v>828.92000000000007</v>
      </c>
      <c r="J130" s="1149">
        <f>SALARIOSS!$P$15</f>
        <v>95</v>
      </c>
      <c r="K130" s="1149">
        <f t="shared" si="3"/>
        <v>4420.8649296250005</v>
      </c>
      <c r="L130" s="272"/>
      <c r="M130" s="272"/>
    </row>
    <row r="131" spans="1:13">
      <c r="A131" s="595"/>
      <c r="B131" s="598"/>
      <c r="C131" s="599"/>
      <c r="D131" s="1146" t="str">
        <f>SALARIOSS!D132</f>
        <v>P024</v>
      </c>
      <c r="E131" s="1150" t="str">
        <f>SALARIOSS!E132</f>
        <v>Assistente Administrativo</v>
      </c>
      <c r="F131" s="1148"/>
      <c r="G131" s="1149">
        <f>VLOOKUP($D131,SALARIOSS!$D$6:$H$203,5,0)</f>
        <v>1890.2405025</v>
      </c>
      <c r="H131" s="1149">
        <f>G131*'MEM. Encargos Sociais'!$F$36</f>
        <v>1606.7044271249999</v>
      </c>
      <c r="I131" s="1149">
        <f>SALARIOSS!$M$15</f>
        <v>828.92000000000007</v>
      </c>
      <c r="J131" s="1149">
        <f>SALARIOSS!$P$15</f>
        <v>95</v>
      </c>
      <c r="K131" s="1149">
        <f t="shared" si="3"/>
        <v>4420.8649296250005</v>
      </c>
      <c r="L131" s="272"/>
      <c r="M131" s="272"/>
    </row>
    <row r="132" spans="1:13">
      <c r="A132" s="595"/>
      <c r="B132" s="598"/>
      <c r="C132" s="599"/>
      <c r="D132" s="1146" t="str">
        <f>SALARIOSS!D130</f>
        <v>P128</v>
      </c>
      <c r="E132" s="1150" t="str">
        <f>SALARIOSS!E130</f>
        <v>Ouvidor</v>
      </c>
      <c r="F132" s="1148"/>
      <c r="G132" s="1149">
        <f>VLOOKUP($D132,SALARIOSS!$D$6:$H$203,5,0)</f>
        <v>1899.3316387500004</v>
      </c>
      <c r="H132" s="1149">
        <f>G132*'MEM. Encargos Sociais'!$F$36</f>
        <v>1614.4318929375004</v>
      </c>
      <c r="I132" s="1149">
        <f>SALARIOSS!$M$15</f>
        <v>828.92000000000007</v>
      </c>
      <c r="J132" s="1149">
        <f>SALARIOSS!$P$15</f>
        <v>95</v>
      </c>
      <c r="K132" s="1149">
        <f t="shared" si="3"/>
        <v>4437.6835316875004</v>
      </c>
      <c r="L132" s="272"/>
      <c r="M132" s="272"/>
    </row>
    <row r="133" spans="1:13">
      <c r="A133" s="595"/>
      <c r="B133" s="598"/>
      <c r="C133" s="599"/>
      <c r="D133" s="1146" t="s">
        <v>799</v>
      </c>
      <c r="E133" s="1150" t="s">
        <v>919</v>
      </c>
      <c r="F133" s="1151"/>
      <c r="G133" s="1149">
        <f>VLOOKUP($D133,SALARIOSS!$D$6:$H$203,5,0)</f>
        <v>5991.1017390000015</v>
      </c>
      <c r="H133" s="1149">
        <f>G133*'MEM. Encargos Sociais'!$F$36</f>
        <v>5092.4364781500008</v>
      </c>
      <c r="I133" s="1149">
        <f>SALARIOSS!$M$15</f>
        <v>828.92000000000007</v>
      </c>
      <c r="J133" s="1149">
        <f>SALARIOSS!$P$15</f>
        <v>95</v>
      </c>
      <c r="K133" s="1149">
        <f t="shared" si="3"/>
        <v>12007.458217150002</v>
      </c>
      <c r="L133" s="272"/>
      <c r="M133" s="272"/>
    </row>
    <row r="134" spans="1:13">
      <c r="A134" s="595"/>
      <c r="B134" s="598"/>
      <c r="C134" s="599"/>
      <c r="D134" s="1146" t="str">
        <f>SALARIOSS!D131</f>
        <v>P121</v>
      </c>
      <c r="E134" s="1150" t="str">
        <f>SALARIOSS!E131</f>
        <v>Operador de Balança</v>
      </c>
      <c r="F134" s="1148"/>
      <c r="G134" s="1149">
        <f>VLOOKUP($D134,SALARIOSS!$D$6:$H$203,5,0)</f>
        <v>1896.2535375000004</v>
      </c>
      <c r="H134" s="1149">
        <f>G134*'MEM. Encargos Sociais'!$F$36</f>
        <v>1611.8155068750004</v>
      </c>
      <c r="I134" s="1149">
        <f>SALARIOSS!$M$15</f>
        <v>828.92000000000007</v>
      </c>
      <c r="J134" s="1149">
        <f>SALARIOSS!$P$15</f>
        <v>95</v>
      </c>
      <c r="K134" s="1149">
        <f t="shared" si="3"/>
        <v>4431.989044375001</v>
      </c>
      <c r="L134" s="272"/>
      <c r="M134" s="272"/>
    </row>
    <row r="135" spans="1:13">
      <c r="A135" s="595"/>
      <c r="B135" s="598"/>
      <c r="C135" s="599"/>
      <c r="D135" s="1146" t="str">
        <f>SALARIOSS!D138</f>
        <v>P114</v>
      </c>
      <c r="E135" s="1150" t="str">
        <f>SALARIOSS!E138</f>
        <v>Motorista</v>
      </c>
      <c r="F135" s="1148"/>
      <c r="G135" s="1149">
        <f>VLOOKUP($D135,SALARIOSS!$D$6:$H$203,5,0)</f>
        <v>1870.3402200000005</v>
      </c>
      <c r="H135" s="1149">
        <f>G135*'MEM. Encargos Sociais'!$F$36</f>
        <v>1589.7891870000003</v>
      </c>
      <c r="I135" s="1149">
        <f>SALARIOSS!$M$15</f>
        <v>828.92000000000007</v>
      </c>
      <c r="J135" s="1149">
        <f>SALARIOSS!$P$15</f>
        <v>95</v>
      </c>
      <c r="K135" s="1149">
        <f t="shared" si="3"/>
        <v>4384.0494070000004</v>
      </c>
      <c r="L135" s="272"/>
      <c r="M135" s="272"/>
    </row>
    <row r="136" spans="1:13">
      <c r="A136" s="595"/>
      <c r="B136" s="598"/>
      <c r="C136" s="599"/>
      <c r="D136" s="1146" t="str">
        <f>SALARIOSS!D139</f>
        <v>P118</v>
      </c>
      <c r="E136" s="1150" t="str">
        <f>SALARIOSS!E139</f>
        <v>Motorista de Veículo Leve I</v>
      </c>
      <c r="F136" s="1148"/>
      <c r="G136" s="1149">
        <f>VLOOKUP($D136,SALARIOSS!$D$6:$H$203,5,0)</f>
        <v>1870.3402200000005</v>
      </c>
      <c r="H136" s="1149">
        <f>G136*'MEM. Encargos Sociais'!$F$36</f>
        <v>1589.7891870000003</v>
      </c>
      <c r="I136" s="1149">
        <f>SALARIOSS!$M$15</f>
        <v>828.92000000000007</v>
      </c>
      <c r="J136" s="1149">
        <f>SALARIOSS!$P$15</f>
        <v>95</v>
      </c>
      <c r="K136" s="1149">
        <f t="shared" si="3"/>
        <v>4384.0494070000004</v>
      </c>
      <c r="L136" s="272"/>
      <c r="M136" s="272"/>
    </row>
    <row r="137" spans="1:13">
      <c r="A137" s="595"/>
      <c r="B137" s="598"/>
      <c r="C137" s="599"/>
      <c r="D137" s="1146" t="str">
        <f>SALARIOSS!D144</f>
        <v>P124</v>
      </c>
      <c r="E137" s="1150" t="str">
        <f>SALARIOSS!E144</f>
        <v>Operador de Computador</v>
      </c>
      <c r="F137" s="1148"/>
      <c r="G137" s="1149">
        <f>VLOOKUP($D137,SALARIOSS!$D$6:$H$203,5,0)</f>
        <v>1835.2641825000005</v>
      </c>
      <c r="H137" s="1149">
        <f>G137*'MEM. Encargos Sociais'!$F$36</f>
        <v>1559.9745551250005</v>
      </c>
      <c r="I137" s="1149">
        <f>SALARIOSS!$M$15</f>
        <v>828.92000000000007</v>
      </c>
      <c r="J137" s="1149">
        <f>SALARIOSS!$P$15</f>
        <v>95</v>
      </c>
      <c r="K137" s="1149">
        <f t="shared" ref="K137:K168" si="4">SUM(G137:J137)</f>
        <v>4319.1587376250009</v>
      </c>
      <c r="L137" s="272"/>
      <c r="M137" s="272"/>
    </row>
    <row r="138" spans="1:13">
      <c r="A138" s="595"/>
      <c r="B138" s="598"/>
      <c r="C138" s="599"/>
      <c r="D138" s="1146" t="str">
        <f>SALARIOSS!D140</f>
        <v>P043</v>
      </c>
      <c r="E138" s="1150" t="str">
        <f>SALARIOSS!E140</f>
        <v>Auxiliar de Eletricista</v>
      </c>
      <c r="F138" s="1148"/>
      <c r="G138" s="1149">
        <f>VLOOKUP($D138,SALARIOSS!$D$6:$H$203,5,0)</f>
        <v>1852.8737850000002</v>
      </c>
      <c r="H138" s="1149">
        <f>G138*'MEM. Encargos Sociais'!$F$36</f>
        <v>1574.9427172500002</v>
      </c>
      <c r="I138" s="1149">
        <f>SALARIOSS!$M$15</f>
        <v>828.92000000000007</v>
      </c>
      <c r="J138" s="1149">
        <f>SALARIOSS!$P$15</f>
        <v>95</v>
      </c>
      <c r="K138" s="1149">
        <f t="shared" si="4"/>
        <v>4351.7365022500007</v>
      </c>
      <c r="L138" s="272"/>
      <c r="M138" s="272"/>
    </row>
    <row r="139" spans="1:13">
      <c r="A139" s="595"/>
      <c r="B139" s="598"/>
      <c r="C139" s="599"/>
      <c r="D139" s="1146" t="str">
        <f>SALARIOSS!D141</f>
        <v>P050</v>
      </c>
      <c r="E139" s="1150" t="str">
        <f>SALARIOSS!E141</f>
        <v>Auxiliar Técnico I</v>
      </c>
      <c r="F139" s="1148"/>
      <c r="G139" s="1149">
        <f>VLOOKUP($D139,SALARIOSS!$D$6:$H$203,5,0)</f>
        <v>1852.8737850000002</v>
      </c>
      <c r="H139" s="1149">
        <f>G139*'MEM. Encargos Sociais'!$F$36</f>
        <v>1574.9427172500002</v>
      </c>
      <c r="I139" s="1149">
        <f>SALARIOSS!$M$15</f>
        <v>828.92000000000007</v>
      </c>
      <c r="J139" s="1149">
        <f>SALARIOSS!$P$15</f>
        <v>95</v>
      </c>
      <c r="K139" s="1149">
        <f t="shared" si="4"/>
        <v>4351.7365022500007</v>
      </c>
      <c r="L139" s="272"/>
      <c r="M139" s="272"/>
    </row>
    <row r="140" spans="1:13">
      <c r="A140" s="595"/>
      <c r="B140" s="598"/>
      <c r="C140" s="599"/>
      <c r="D140" s="1146" t="str">
        <f>SALARIOSS!D142</f>
        <v>P062</v>
      </c>
      <c r="E140" s="1150" t="str">
        <f>SALARIOSS!E142</f>
        <v>Contador Classificador</v>
      </c>
      <c r="F140" s="1148"/>
      <c r="G140" s="1149">
        <f>VLOOKUP($D140,SALARIOSS!$D$6:$H$203,5,0)</f>
        <v>1852.8737850000002</v>
      </c>
      <c r="H140" s="1149">
        <f>G140*'MEM. Encargos Sociais'!$F$36</f>
        <v>1574.9427172500002</v>
      </c>
      <c r="I140" s="1149">
        <f>SALARIOSS!$M$15</f>
        <v>828.92000000000007</v>
      </c>
      <c r="J140" s="1149">
        <f>SALARIOSS!$P$15</f>
        <v>95</v>
      </c>
      <c r="K140" s="1149">
        <f t="shared" si="4"/>
        <v>4351.7365022500007</v>
      </c>
      <c r="L140" s="272"/>
      <c r="M140" s="272"/>
    </row>
    <row r="141" spans="1:13">
      <c r="A141" s="595"/>
      <c r="B141" s="598"/>
      <c r="C141" s="599"/>
      <c r="D141" s="1146" t="str">
        <f>SALARIOSS!D143</f>
        <v>P122</v>
      </c>
      <c r="E141" s="1150" t="str">
        <f>SALARIOSS!E143</f>
        <v>Operador de Caminhão Munck</v>
      </c>
      <c r="F141" s="1148"/>
      <c r="G141" s="1149">
        <f>VLOOKUP($D141,SALARIOSS!$D$6:$H$203,5,0)</f>
        <v>1835.2641825000005</v>
      </c>
      <c r="H141" s="1149">
        <f>G141*'MEM. Encargos Sociais'!$F$36</f>
        <v>1559.9745551250005</v>
      </c>
      <c r="I141" s="1149">
        <f>SALARIOSS!$M$15</f>
        <v>828.92000000000007</v>
      </c>
      <c r="J141" s="1149">
        <f>SALARIOSS!$P$15</f>
        <v>95</v>
      </c>
      <c r="K141" s="1149">
        <f t="shared" si="4"/>
        <v>4319.1587376250009</v>
      </c>
      <c r="L141" s="272"/>
      <c r="M141" s="272"/>
    </row>
    <row r="142" spans="1:13">
      <c r="A142" s="595"/>
      <c r="B142" s="598"/>
      <c r="C142" s="599"/>
      <c r="D142" s="1146" t="str">
        <f>SALARIOSS!D137</f>
        <v>P123</v>
      </c>
      <c r="E142" s="1150" t="str">
        <f>SALARIOSS!E137</f>
        <v>Operador de CCO</v>
      </c>
      <c r="F142" s="1148"/>
      <c r="G142" s="1149">
        <f>VLOOKUP($D142,SALARIOSS!$D$6:$H$203,5,0)</f>
        <v>1890.2405025</v>
      </c>
      <c r="H142" s="1149">
        <f>G142*'MEM. Encargos Sociais'!$F$36</f>
        <v>1606.7044271249999</v>
      </c>
      <c r="I142" s="1149">
        <f>SALARIOSS!$M$15</f>
        <v>828.92000000000007</v>
      </c>
      <c r="J142" s="1149">
        <f>SALARIOSS!$P$15</f>
        <v>95</v>
      </c>
      <c r="K142" s="1149">
        <f t="shared" si="4"/>
        <v>4420.8649296250005</v>
      </c>
      <c r="L142" s="272"/>
      <c r="M142" s="272"/>
    </row>
    <row r="143" spans="1:13">
      <c r="A143" s="595"/>
      <c r="B143" s="598"/>
      <c r="C143" s="599"/>
      <c r="D143" s="1146" t="str">
        <f>SALARIOSS!D121</f>
        <v>P157</v>
      </c>
      <c r="E143" s="1150" t="str">
        <f>SALARIOSS!E121</f>
        <v>Técnico de Telecomunicações</v>
      </c>
      <c r="F143" s="1148"/>
      <c r="G143" s="1149">
        <f>VLOOKUP($D143,SALARIOSS!$D$6:$H$203,5,0)</f>
        <v>2355.3917100000008</v>
      </c>
      <c r="H143" s="1149">
        <f>G143*'MEM. Encargos Sociais'!$F$36</f>
        <v>2002.0829535000007</v>
      </c>
      <c r="I143" s="1149">
        <f>SALARIOSS!$M$15</f>
        <v>828.92000000000007</v>
      </c>
      <c r="J143" s="1149">
        <f>SALARIOSS!$P$15</f>
        <v>95</v>
      </c>
      <c r="K143" s="1149">
        <f t="shared" si="4"/>
        <v>5281.3946635000011</v>
      </c>
      <c r="L143" s="272"/>
      <c r="M143" s="272"/>
    </row>
    <row r="144" spans="1:13">
      <c r="A144" s="595"/>
      <c r="B144" s="598"/>
      <c r="C144" s="599"/>
      <c r="D144" s="1146" t="str">
        <f>SALARIOSS!D134</f>
        <v>P041</v>
      </c>
      <c r="E144" s="1150" t="str">
        <f>SALARIOSS!E134</f>
        <v>Auxiliar de Contas a Pagar</v>
      </c>
      <c r="F144" s="1148"/>
      <c r="G144" s="1149">
        <f>VLOOKUP($D144,SALARIOSS!$D$6:$H$203,5,0)</f>
        <v>1890.2405025</v>
      </c>
      <c r="H144" s="1149">
        <f>G144*'MEM. Encargos Sociais'!$F$36</f>
        <v>1606.7044271249999</v>
      </c>
      <c r="I144" s="1149">
        <f>SALARIOSS!$M$15</f>
        <v>828.92000000000007</v>
      </c>
      <c r="J144" s="1149">
        <f>SALARIOSS!$P$15</f>
        <v>95</v>
      </c>
      <c r="K144" s="1149">
        <f t="shared" si="4"/>
        <v>4420.8649296250005</v>
      </c>
      <c r="L144" s="272"/>
      <c r="M144" s="272"/>
    </row>
    <row r="145" spans="1:13">
      <c r="A145" s="595"/>
      <c r="B145" s="598"/>
      <c r="C145" s="599"/>
      <c r="D145" s="1146" t="str">
        <f>SALARIOSS!D109</f>
        <v>P115</v>
      </c>
      <c r="E145" s="1150" t="str">
        <f>SALARIOSS!E109</f>
        <v>Motorista Caminhão Boiadeiro</v>
      </c>
      <c r="F145" s="1148"/>
      <c r="G145" s="1149">
        <f>VLOOKUP($D145,SALARIOSS!$D$6:$H$203,5,0)</f>
        <v>2407.50468</v>
      </c>
      <c r="H145" s="1149">
        <f>G145*'MEM. Encargos Sociais'!$F$36</f>
        <v>2046.378978</v>
      </c>
      <c r="I145" s="1149">
        <f>SALARIOSS!$M$15</f>
        <v>828.92000000000007</v>
      </c>
      <c r="J145" s="1149">
        <f>SALARIOSS!$P$15</f>
        <v>95</v>
      </c>
      <c r="K145" s="1149">
        <f t="shared" si="4"/>
        <v>5377.8036579999998</v>
      </c>
      <c r="L145" s="272"/>
      <c r="M145" s="272"/>
    </row>
    <row r="146" spans="1:13">
      <c r="A146" s="595"/>
      <c r="B146" s="598"/>
      <c r="C146" s="599"/>
      <c r="D146" s="1146" t="str">
        <f>SALARIOSS!D110</f>
        <v>P116</v>
      </c>
      <c r="E146" s="1150" t="str">
        <f>SALARIOSS!E110</f>
        <v>Motorista Caminhão Pipa</v>
      </c>
      <c r="F146" s="1148"/>
      <c r="G146" s="1149">
        <f>VLOOKUP($D146,SALARIOSS!$D$6:$H$203,5,0)</f>
        <v>2407.50468</v>
      </c>
      <c r="H146" s="1149">
        <f>G146*'MEM. Encargos Sociais'!$F$36</f>
        <v>2046.378978</v>
      </c>
      <c r="I146" s="1149">
        <f>SALARIOSS!$M$15</f>
        <v>828.92000000000007</v>
      </c>
      <c r="J146" s="1149">
        <f>SALARIOSS!$P$15</f>
        <v>95</v>
      </c>
      <c r="K146" s="1149">
        <f t="shared" si="4"/>
        <v>5377.8036579999998</v>
      </c>
      <c r="L146" s="272"/>
      <c r="M146" s="272"/>
    </row>
    <row r="147" spans="1:13">
      <c r="A147" s="595"/>
      <c r="B147" s="598"/>
      <c r="C147" s="599"/>
      <c r="D147" s="1146" t="str">
        <f>SALARIOSS!D112</f>
        <v>P054</v>
      </c>
      <c r="E147" s="1150" t="str">
        <f>SALARIOSS!E112</f>
        <v>Comprador Júnior</v>
      </c>
      <c r="F147" s="1148"/>
      <c r="G147" s="1149">
        <f>VLOOKUP($D147,SALARIOSS!$D$6:$H$203,5,0)</f>
        <v>2365.986105</v>
      </c>
      <c r="H147" s="1149">
        <f>G147*'MEM. Encargos Sociais'!$F$36</f>
        <v>2011.0881892499999</v>
      </c>
      <c r="I147" s="1149">
        <f>SALARIOSS!$M$15</f>
        <v>828.92000000000007</v>
      </c>
      <c r="J147" s="1149">
        <f>SALARIOSS!$P$15</f>
        <v>95</v>
      </c>
      <c r="K147" s="1149">
        <f t="shared" si="4"/>
        <v>5300.9942942500002</v>
      </c>
      <c r="L147" s="272"/>
      <c r="M147" s="272"/>
    </row>
    <row r="148" spans="1:13">
      <c r="A148" s="595"/>
      <c r="B148" s="598"/>
      <c r="C148" s="599"/>
      <c r="D148" s="1146" t="str">
        <f>SALARIOSS!D113</f>
        <v>P144</v>
      </c>
      <c r="E148" s="1150" t="str">
        <f>SALARIOSS!E113</f>
        <v>Técnico Civil I</v>
      </c>
      <c r="F148" s="1148"/>
      <c r="G148" s="1149">
        <f>VLOOKUP($D148,SALARIOSS!$D$6:$H$203,5,0)</f>
        <v>2355.3917100000008</v>
      </c>
      <c r="H148" s="1149">
        <f>G148*'MEM. Encargos Sociais'!$F$36</f>
        <v>2002.0829535000007</v>
      </c>
      <c r="I148" s="1149">
        <f>SALARIOSS!$M$15</f>
        <v>828.92000000000007</v>
      </c>
      <c r="J148" s="1149">
        <f>SALARIOSS!$P$15</f>
        <v>95</v>
      </c>
      <c r="K148" s="1149">
        <f t="shared" si="4"/>
        <v>5281.3946635000011</v>
      </c>
      <c r="L148" s="272"/>
      <c r="M148" s="272"/>
    </row>
    <row r="149" spans="1:13">
      <c r="A149" s="595"/>
      <c r="B149" s="598"/>
      <c r="C149" s="599"/>
      <c r="D149" s="1146" t="str">
        <f>SALARIOSS!D114</f>
        <v>P146</v>
      </c>
      <c r="E149" s="1150" t="str">
        <f>SALARIOSS!E114</f>
        <v>Técnico de Controle</v>
      </c>
      <c r="F149" s="1148"/>
      <c r="G149" s="1149">
        <f>VLOOKUP($D149,SALARIOSS!$D$6:$H$203,5,0)</f>
        <v>2355.3917100000008</v>
      </c>
      <c r="H149" s="1149">
        <f>G149*'MEM. Encargos Sociais'!$F$36</f>
        <v>2002.0829535000007</v>
      </c>
      <c r="I149" s="1149">
        <f>SALARIOSS!$M$15</f>
        <v>828.92000000000007</v>
      </c>
      <c r="J149" s="1149">
        <f>SALARIOSS!$P$15</f>
        <v>95</v>
      </c>
      <c r="K149" s="1149">
        <f t="shared" si="4"/>
        <v>5281.3946635000011</v>
      </c>
      <c r="L149" s="272"/>
      <c r="M149" s="272"/>
    </row>
    <row r="150" spans="1:13">
      <c r="A150" s="595"/>
      <c r="B150" s="598"/>
      <c r="C150" s="599"/>
      <c r="D150" s="1146" t="str">
        <f>SALARIOSS!D115</f>
        <v>P147</v>
      </c>
      <c r="E150" s="1150" t="str">
        <f>SALARIOSS!E115</f>
        <v>Técnico de Eletrônica</v>
      </c>
      <c r="F150" s="1148"/>
      <c r="G150" s="1149">
        <f>VLOOKUP($D150,SALARIOSS!$D$6:$H$203,5,0)</f>
        <v>2355.3917100000008</v>
      </c>
      <c r="H150" s="1149">
        <f>G150*'MEM. Encargos Sociais'!$F$36</f>
        <v>2002.0829535000007</v>
      </c>
      <c r="I150" s="1149">
        <f>SALARIOSS!$M$15</f>
        <v>828.92000000000007</v>
      </c>
      <c r="J150" s="1149">
        <f>SALARIOSS!$P$15</f>
        <v>95</v>
      </c>
      <c r="K150" s="1149">
        <f t="shared" si="4"/>
        <v>5281.3946635000011</v>
      </c>
      <c r="L150" s="272"/>
      <c r="M150" s="272"/>
    </row>
    <row r="151" spans="1:13">
      <c r="A151" s="595"/>
      <c r="B151" s="598"/>
      <c r="C151" s="599"/>
      <c r="D151" s="1146" t="str">
        <f>SALARIOSS!D116</f>
        <v>P148</v>
      </c>
      <c r="E151" s="1150" t="str">
        <f>SALARIOSS!E116</f>
        <v>Técnico de Enfermagem</v>
      </c>
      <c r="F151" s="1148"/>
      <c r="G151" s="1149">
        <f>VLOOKUP($D151,SALARIOSS!$D$6:$H$203,5,0)</f>
        <v>2355.3917100000008</v>
      </c>
      <c r="H151" s="1149">
        <f>G151*'MEM. Encargos Sociais'!$F$36</f>
        <v>2002.0829535000007</v>
      </c>
      <c r="I151" s="1149">
        <f>SALARIOSS!$M$15</f>
        <v>828.92000000000007</v>
      </c>
      <c r="J151" s="1149">
        <f>SALARIOSS!$P$15</f>
        <v>95</v>
      </c>
      <c r="K151" s="1149">
        <f t="shared" si="4"/>
        <v>5281.3946635000011</v>
      </c>
      <c r="L151" s="272"/>
      <c r="M151" s="272"/>
    </row>
    <row r="152" spans="1:13">
      <c r="A152" s="595"/>
      <c r="B152" s="598"/>
      <c r="C152" s="599"/>
      <c r="D152" s="1146" t="str">
        <f>SALARIOSS!D111</f>
        <v>P117</v>
      </c>
      <c r="E152" s="1150" t="str">
        <f>SALARIOSS!E111</f>
        <v>Motorista de Ambulância</v>
      </c>
      <c r="F152" s="1148"/>
      <c r="G152" s="1149">
        <f>VLOOKUP($D152,SALARIOSS!$D$6:$H$203,5,0)</f>
        <v>2407.50468</v>
      </c>
      <c r="H152" s="1149">
        <f>G152*'MEM. Encargos Sociais'!$F$36</f>
        <v>2046.378978</v>
      </c>
      <c r="I152" s="1149">
        <f>SALARIOSS!$M$15</f>
        <v>828.92000000000007</v>
      </c>
      <c r="J152" s="1149">
        <f>SALARIOSS!$P$15</f>
        <v>95</v>
      </c>
      <c r="K152" s="1149">
        <f t="shared" si="4"/>
        <v>5377.8036579999998</v>
      </c>
      <c r="L152" s="272"/>
      <c r="M152" s="272"/>
    </row>
    <row r="153" spans="1:13">
      <c r="A153" s="595"/>
      <c r="B153" s="598"/>
      <c r="C153" s="599"/>
      <c r="D153" s="1146" t="str">
        <f>SALARIOSS!D107</f>
        <v>P201</v>
      </c>
      <c r="E153" s="1150" t="str">
        <f>SALARIOSS!E107</f>
        <v>Eletricista CC</v>
      </c>
      <c r="F153" s="1148"/>
      <c r="G153" s="1149">
        <f>VLOOKUP($D153,SALARIOSS!$D$6:$H$203,5,0)</f>
        <v>2407.50468</v>
      </c>
      <c r="H153" s="1149">
        <f>G153*'MEM. Encargos Sociais'!$F$36</f>
        <v>2046.378978</v>
      </c>
      <c r="I153" s="1149">
        <f>SALARIOSS!$M$15</f>
        <v>828.92000000000007</v>
      </c>
      <c r="J153" s="1149">
        <f>SALARIOSS!$P$15</f>
        <v>95</v>
      </c>
      <c r="K153" s="1149">
        <f t="shared" si="4"/>
        <v>5377.8036579999998</v>
      </c>
      <c r="L153" s="272"/>
      <c r="M153" s="272"/>
    </row>
    <row r="154" spans="1:13">
      <c r="A154" s="595"/>
      <c r="B154" s="598"/>
      <c r="C154" s="599"/>
      <c r="D154" s="1146" t="str">
        <f>SALARIOSS!D108</f>
        <v>P111</v>
      </c>
      <c r="E154" s="1150" t="str">
        <f>SALARIOSS!E108</f>
        <v>Mecânico</v>
      </c>
      <c r="F154" s="1148"/>
      <c r="G154" s="1149">
        <f>VLOOKUP($D154,SALARIOSS!$D$6:$H$203,5,0)</f>
        <v>2407.50468</v>
      </c>
      <c r="H154" s="1149">
        <f>G154*'MEM. Encargos Sociais'!$F$36</f>
        <v>2046.378978</v>
      </c>
      <c r="I154" s="1149">
        <f>SALARIOSS!$M$15</f>
        <v>828.92000000000007</v>
      </c>
      <c r="J154" s="1149">
        <f>SALARIOSS!$P$15</f>
        <v>95</v>
      </c>
      <c r="K154" s="1149">
        <f t="shared" si="4"/>
        <v>5377.8036579999998</v>
      </c>
      <c r="L154" s="272"/>
      <c r="M154" s="272"/>
    </row>
    <row r="155" spans="1:13">
      <c r="A155" s="595"/>
      <c r="B155" s="598"/>
      <c r="C155" s="599"/>
      <c r="D155" s="1146" t="str">
        <f>SALARIOSS!D160</f>
        <v>P039</v>
      </c>
      <c r="E155" s="1150" t="str">
        <f>SALARIOSS!E160</f>
        <v>Auxiliar de Compras</v>
      </c>
      <c r="F155" s="1148"/>
      <c r="G155" s="1149">
        <f>VLOOKUP($D155,SALARIOSS!$D$6:$H$203,5,0)</f>
        <v>1557.6624000000004</v>
      </c>
      <c r="H155" s="1149">
        <f>G155*'MEM. Encargos Sociais'!$F$36</f>
        <v>1324.0130400000003</v>
      </c>
      <c r="I155" s="1149">
        <f>SALARIOSS!$M$15</f>
        <v>828.92000000000007</v>
      </c>
      <c r="J155" s="1149">
        <f>SALARIOSS!$P$15</f>
        <v>95</v>
      </c>
      <c r="K155" s="1149">
        <f t="shared" si="4"/>
        <v>3805.595440000001</v>
      </c>
      <c r="L155" s="272"/>
      <c r="M155" s="272"/>
    </row>
    <row r="156" spans="1:13">
      <c r="A156" s="595"/>
      <c r="B156" s="598"/>
      <c r="C156" s="599"/>
      <c r="D156" s="1146" t="str">
        <f>SALARIOSS!D150</f>
        <v>P005</v>
      </c>
      <c r="E156" s="1150" t="str">
        <f>SALARIOSS!E150</f>
        <v>Agente Autuador</v>
      </c>
      <c r="F156" s="1148"/>
      <c r="G156" s="1149">
        <f>VLOOKUP($D156,SALARIOSS!$D$6:$H$203,5,0)</f>
        <v>1622.9467800000002</v>
      </c>
      <c r="H156" s="1149">
        <f>G156*'MEM. Encargos Sociais'!$F$36</f>
        <v>1379.5047630000001</v>
      </c>
      <c r="I156" s="1149">
        <f>SALARIOSS!$M$15</f>
        <v>828.92000000000007</v>
      </c>
      <c r="J156" s="1149">
        <f>SALARIOSS!$P$15</f>
        <v>95</v>
      </c>
      <c r="K156" s="1149">
        <f t="shared" si="4"/>
        <v>3926.3715430000002</v>
      </c>
      <c r="L156" s="272"/>
      <c r="M156" s="272"/>
    </row>
    <row r="157" spans="1:13">
      <c r="A157" s="595"/>
      <c r="B157" s="598"/>
      <c r="C157" s="599"/>
      <c r="D157" s="1146" t="str">
        <f>SALARIOSS!D159</f>
        <v>P037</v>
      </c>
      <c r="E157" s="1150" t="str">
        <f>SALARIOSS!E159</f>
        <v>Auxiliar Administrativo I</v>
      </c>
      <c r="F157" s="1148"/>
      <c r="G157" s="1149">
        <f>VLOOKUP($D157,SALARIOSS!$D$6:$H$203,5,0)</f>
        <v>1557.6624000000004</v>
      </c>
      <c r="H157" s="1149">
        <f>G157*'MEM. Encargos Sociais'!$F$36</f>
        <v>1324.0130400000003</v>
      </c>
      <c r="I157" s="1149">
        <f>SALARIOSS!$M$15</f>
        <v>828.92000000000007</v>
      </c>
      <c r="J157" s="1149">
        <f>SALARIOSS!$P$15</f>
        <v>95</v>
      </c>
      <c r="K157" s="1149">
        <f t="shared" si="4"/>
        <v>3805.595440000001</v>
      </c>
      <c r="L157" s="272"/>
      <c r="M157" s="272"/>
    </row>
    <row r="158" spans="1:13">
      <c r="A158" s="595"/>
      <c r="B158" s="598"/>
      <c r="C158" s="599"/>
      <c r="D158" s="1146" t="str">
        <f>SALARIOSS!D151</f>
        <v>P007</v>
      </c>
      <c r="E158" s="1150" t="str">
        <f>SALARIOSS!E151</f>
        <v>Agente Líder</v>
      </c>
      <c r="F158" s="1148"/>
      <c r="G158" s="1149">
        <f>VLOOKUP($D158,SALARIOSS!$D$6:$H$203,5,0)</f>
        <v>1622.9467800000002</v>
      </c>
      <c r="H158" s="1149">
        <f>G158*'MEM. Encargos Sociais'!$F$36</f>
        <v>1379.5047630000001</v>
      </c>
      <c r="I158" s="1149">
        <f>SALARIOSS!$M$15</f>
        <v>828.92000000000007</v>
      </c>
      <c r="J158" s="1149">
        <f>SALARIOSS!$P$15</f>
        <v>95</v>
      </c>
      <c r="K158" s="1149">
        <f t="shared" si="4"/>
        <v>3926.3715430000002</v>
      </c>
      <c r="L158" s="272"/>
      <c r="M158" s="272"/>
    </row>
    <row r="159" spans="1:13">
      <c r="A159" s="595"/>
      <c r="B159" s="598"/>
      <c r="C159" s="599"/>
      <c r="D159" s="1146" t="str">
        <f>SALARIOSS!D152</f>
        <v>P026</v>
      </c>
      <c r="E159" s="1150" t="str">
        <f>SALARIOSS!E152</f>
        <v>Assistente de Comunicação</v>
      </c>
      <c r="F159" s="1148"/>
      <c r="G159" s="1149">
        <f>VLOOKUP($D159,SALARIOSS!$D$6:$H$203,5,0)</f>
        <v>1622.9467800000002</v>
      </c>
      <c r="H159" s="1149">
        <f>G159*'MEM. Encargos Sociais'!$F$36</f>
        <v>1379.5047630000001</v>
      </c>
      <c r="I159" s="1149">
        <f>SALARIOSS!$M$15</f>
        <v>828.92000000000007</v>
      </c>
      <c r="J159" s="1149">
        <f>SALARIOSS!$P$15</f>
        <v>95</v>
      </c>
      <c r="K159" s="1149">
        <f t="shared" si="4"/>
        <v>3926.3715430000002</v>
      </c>
      <c r="L159" s="272"/>
      <c r="M159" s="272"/>
    </row>
    <row r="160" spans="1:13">
      <c r="A160" s="595"/>
      <c r="B160" s="598"/>
      <c r="C160" s="599"/>
      <c r="D160" s="1146" t="str">
        <f>SALARIOSS!D153</f>
        <v>P120</v>
      </c>
      <c r="E160" s="1150" t="str">
        <f>SALARIOSS!E153</f>
        <v>Nivelador</v>
      </c>
      <c r="F160" s="1148"/>
      <c r="G160" s="1149">
        <f>VLOOKUP($D160,SALARIOSS!$D$6:$H$203,5,0)</f>
        <v>1622.9467800000002</v>
      </c>
      <c r="H160" s="1149">
        <f>G160*'MEM. Encargos Sociais'!$F$36</f>
        <v>1379.5047630000001</v>
      </c>
      <c r="I160" s="1149">
        <f>SALARIOSS!$M$15</f>
        <v>828.92000000000007</v>
      </c>
      <c r="J160" s="1149">
        <f>SALARIOSS!$P$15</f>
        <v>95</v>
      </c>
      <c r="K160" s="1149">
        <f t="shared" si="4"/>
        <v>3926.3715430000002</v>
      </c>
      <c r="L160" s="272"/>
      <c r="M160" s="272"/>
    </row>
    <row r="161" spans="1:11">
      <c r="A161" s="595"/>
      <c r="B161" s="598"/>
      <c r="C161" s="599"/>
      <c r="D161" s="1146" t="str">
        <f>SALARIOSS!D157</f>
        <v>P029</v>
      </c>
      <c r="E161" s="1150" t="str">
        <f>SALARIOSS!E157</f>
        <v>Assistente de Coordenação</v>
      </c>
      <c r="F161" s="1148"/>
      <c r="G161" s="1149">
        <f>VLOOKUP($D161,SALARIOSS!$D$6:$H$203,5,0)</f>
        <v>1557.6624000000004</v>
      </c>
      <c r="H161" s="1149">
        <f>G161*'MEM. Encargos Sociais'!$F$36</f>
        <v>1324.0130400000003</v>
      </c>
      <c r="I161" s="1149">
        <f>SALARIOSS!$M$15</f>
        <v>828.92000000000007</v>
      </c>
      <c r="J161" s="1149">
        <f>SALARIOSS!$P$15</f>
        <v>95</v>
      </c>
      <c r="K161" s="1149">
        <f t="shared" si="4"/>
        <v>3805.595440000001</v>
      </c>
    </row>
    <row r="162" spans="1:11">
      <c r="A162" s="595"/>
      <c r="B162" s="598"/>
      <c r="C162" s="599"/>
      <c r="D162" s="1146" t="str">
        <f>SALARIOSS!D158</f>
        <v>P158</v>
      </c>
      <c r="E162" s="1150" t="str">
        <f>SALARIOSS!E158</f>
        <v>Atendente S.A.U</v>
      </c>
      <c r="F162" s="1148"/>
      <c r="G162" s="1149">
        <f>VLOOKUP($D162,SALARIOSS!$D$6:$H$203,5,0)</f>
        <v>1557.6624000000004</v>
      </c>
      <c r="H162" s="1149">
        <f>G162*'MEM. Encargos Sociais'!$F$36</f>
        <v>1324.0130400000003</v>
      </c>
      <c r="I162" s="1149">
        <f>SALARIOSS!$M$15</f>
        <v>828.92000000000007</v>
      </c>
      <c r="J162" s="1149">
        <f>SALARIOSS!$P$15</f>
        <v>95</v>
      </c>
      <c r="K162" s="1149">
        <f t="shared" si="4"/>
        <v>3805.595440000001</v>
      </c>
    </row>
    <row r="163" spans="1:11">
      <c r="A163" s="595"/>
      <c r="B163" s="598"/>
      <c r="C163" s="599"/>
      <c r="D163" s="1146" t="str">
        <f>SALARIOSS!D156</f>
        <v>P045</v>
      </c>
      <c r="E163" s="1150" t="str">
        <f>SALARIOSS!E156</f>
        <v>Auxiliar de Escritório</v>
      </c>
      <c r="F163" s="1148"/>
      <c r="G163" s="1149">
        <f>VLOOKUP($D163,SALARIOSS!$D$6:$H$203,5,0)</f>
        <v>1572.4086525000002</v>
      </c>
      <c r="H163" s="1149">
        <f>G163*'MEM. Encargos Sociais'!$F$36</f>
        <v>1336.5473546250003</v>
      </c>
      <c r="I163" s="1149">
        <f>SALARIOSS!$M$15</f>
        <v>828.92000000000007</v>
      </c>
      <c r="J163" s="1149">
        <f>SALARIOSS!$P$15</f>
        <v>95</v>
      </c>
      <c r="K163" s="1149">
        <f t="shared" si="4"/>
        <v>3832.8760071250008</v>
      </c>
    </row>
    <row r="164" spans="1:11">
      <c r="A164" s="595"/>
      <c r="B164" s="598"/>
      <c r="C164" s="599"/>
      <c r="D164" s="1146" t="str">
        <f>SALARIOSS!D154</f>
        <v>P031</v>
      </c>
      <c r="E164" s="1150" t="str">
        <f>SALARIOSS!E154</f>
        <v>Assistente de Meio Ambiente</v>
      </c>
      <c r="F164" s="1148"/>
      <c r="G164" s="1149">
        <f>VLOOKUP($D164,SALARIOSS!$D$6:$H$203,5,0)</f>
        <v>1572.4086525000002</v>
      </c>
      <c r="H164" s="1149">
        <f>G164*'MEM. Encargos Sociais'!$F$36</f>
        <v>1336.5473546250003</v>
      </c>
      <c r="I164" s="1149">
        <f>SALARIOSS!$M$15</f>
        <v>828.92000000000007</v>
      </c>
      <c r="J164" s="1149">
        <f>SALARIOSS!$P$15</f>
        <v>95</v>
      </c>
      <c r="K164" s="1149">
        <f t="shared" si="4"/>
        <v>3832.8760071250008</v>
      </c>
    </row>
    <row r="165" spans="1:11">
      <c r="A165" s="595"/>
      <c r="B165" s="598"/>
      <c r="C165" s="599"/>
      <c r="D165" s="1146" t="str">
        <f>SALARIOSS!D155</f>
        <v>P032</v>
      </c>
      <c r="E165" s="1150" t="str">
        <f>SALARIOSS!E155</f>
        <v>Assistente de Serviços Gerais</v>
      </c>
      <c r="F165" s="1148"/>
      <c r="G165" s="1149">
        <f>VLOOKUP($D165,SALARIOSS!$D$6:$H$203,5,0)</f>
        <v>1572.4086525000002</v>
      </c>
      <c r="H165" s="1149">
        <f>G165*'MEM. Encargos Sociais'!$F$36</f>
        <v>1336.5473546250003</v>
      </c>
      <c r="I165" s="1149">
        <f>SALARIOSS!$M$15</f>
        <v>828.92000000000007</v>
      </c>
      <c r="J165" s="1149">
        <f>SALARIOSS!$P$15</f>
        <v>95</v>
      </c>
      <c r="K165" s="1149">
        <f t="shared" si="4"/>
        <v>3832.8760071250008</v>
      </c>
    </row>
    <row r="166" spans="1:11">
      <c r="A166" s="595"/>
      <c r="B166" s="598"/>
      <c r="C166" s="599"/>
      <c r="D166" s="1146" t="str">
        <f>SALARIOSS!D148</f>
        <v>P134</v>
      </c>
      <c r="E166" s="1150" t="str">
        <f>SALARIOSS!E148</f>
        <v>Resgatista</v>
      </c>
      <c r="F166" s="1148"/>
      <c r="G166" s="1149">
        <f>VLOOKUP($D166,SALARIOSS!$D$6:$H$203,5,0)</f>
        <v>1775.2483665</v>
      </c>
      <c r="H166" s="1149">
        <f>G166*'MEM. Encargos Sociais'!$F$36</f>
        <v>1508.961111525</v>
      </c>
      <c r="I166" s="1149">
        <f>SALARIOSS!$M$15</f>
        <v>828.92000000000007</v>
      </c>
      <c r="J166" s="1149">
        <f>SALARIOSS!$P$15</f>
        <v>95</v>
      </c>
      <c r="K166" s="1149">
        <f t="shared" si="4"/>
        <v>4208.129478025</v>
      </c>
    </row>
    <row r="167" spans="1:11">
      <c r="A167" s="595"/>
      <c r="B167" s="598"/>
      <c r="C167" s="599"/>
      <c r="D167" s="1146" t="str">
        <f>SALARIOSS!D147</f>
        <v>P200</v>
      </c>
      <c r="E167" s="1150" t="str">
        <f>SALARIOSS!E147</f>
        <v>Inspetor de Tráfego</v>
      </c>
      <c r="F167" s="1148"/>
      <c r="G167" s="1149">
        <f>VLOOKUP($D167,SALARIOSS!$D$6:$H$203,5,0)</f>
        <v>1786.0431960000003</v>
      </c>
      <c r="H167" s="1149">
        <f>G167*'MEM. Encargos Sociais'!$F$36</f>
        <v>1518.1367166000002</v>
      </c>
      <c r="I167" s="1149">
        <f>SALARIOSS!$M$15</f>
        <v>828.92000000000007</v>
      </c>
      <c r="J167" s="1149">
        <f>SALARIOSS!$P$15</f>
        <v>95</v>
      </c>
      <c r="K167" s="1149">
        <f t="shared" si="4"/>
        <v>4228.0999126000006</v>
      </c>
    </row>
    <row r="168" spans="1:11">
      <c r="A168" s="595"/>
      <c r="B168" s="598"/>
      <c r="C168" s="599"/>
      <c r="D168" s="1146" t="str">
        <f>SALARIOSS!D135</f>
        <v>P042</v>
      </c>
      <c r="E168" s="1150" t="str">
        <f>SALARIOSS!E135</f>
        <v>Auxiliar de Departamento Pessoal</v>
      </c>
      <c r="F168" s="1148"/>
      <c r="G168" s="1149">
        <f>VLOOKUP($D168,SALARIOSS!$D$6:$H$203,5,0)</f>
        <v>1890.2405025</v>
      </c>
      <c r="H168" s="1149">
        <f>G168*'MEM. Encargos Sociais'!$F$36</f>
        <v>1606.7044271249999</v>
      </c>
      <c r="I168" s="1149">
        <f>SALARIOSS!$M$15</f>
        <v>828.92000000000007</v>
      </c>
      <c r="J168" s="1149">
        <f>SALARIOSS!$P$15</f>
        <v>95</v>
      </c>
      <c r="K168" s="1149">
        <f t="shared" si="4"/>
        <v>4420.8649296250005</v>
      </c>
    </row>
    <row r="169" spans="1:11">
      <c r="A169" s="595"/>
      <c r="B169" s="598"/>
      <c r="C169" s="599"/>
      <c r="D169" s="1146" t="str">
        <f>SALARIOSS!D161</f>
        <v>P044</v>
      </c>
      <c r="E169" s="1150" t="str">
        <f>SALARIOSS!E161</f>
        <v>Auxiliar de Enfermagem</v>
      </c>
      <c r="F169" s="1148"/>
      <c r="G169" s="1149">
        <f>VLOOKUP($D169,SALARIOSS!$D$6:$H$203,5,0)</f>
        <v>1557.6624000000004</v>
      </c>
      <c r="H169" s="1149">
        <f>G169*'MEM. Encargos Sociais'!$F$36</f>
        <v>1324.0130400000003</v>
      </c>
      <c r="I169" s="1149">
        <f>SALARIOSS!$M$15</f>
        <v>828.92000000000007</v>
      </c>
      <c r="J169" s="1149">
        <f>SALARIOSS!$P$15</f>
        <v>95</v>
      </c>
      <c r="K169" s="1149">
        <f t="shared" ref="K169:K190" si="5">SUM(G169:J169)</f>
        <v>3805.595440000001</v>
      </c>
    </row>
    <row r="170" spans="1:11">
      <c r="A170" s="595"/>
      <c r="B170" s="598"/>
      <c r="C170" s="599"/>
      <c r="D170" s="1146" t="str">
        <f>SALARIOSS!D136</f>
        <v>P046</v>
      </c>
      <c r="E170" s="1150" t="str">
        <f>SALARIOSS!E136</f>
        <v>Auxiliar de Mecânico</v>
      </c>
      <c r="F170" s="1148"/>
      <c r="G170" s="1149">
        <f>VLOOKUP($D170,SALARIOSS!$D$6:$H$203,5,0)</f>
        <v>1890.2405025</v>
      </c>
      <c r="H170" s="1149">
        <f>G170*'MEM. Encargos Sociais'!$F$36</f>
        <v>1606.7044271249999</v>
      </c>
      <c r="I170" s="1149">
        <f>SALARIOSS!$M$15</f>
        <v>828.92000000000007</v>
      </c>
      <c r="J170" s="1149">
        <f>SALARIOSS!$P$15</f>
        <v>95</v>
      </c>
      <c r="K170" s="1149">
        <f t="shared" si="5"/>
        <v>4420.8649296250005</v>
      </c>
    </row>
    <row r="171" spans="1:11">
      <c r="A171" s="595"/>
      <c r="B171" s="598"/>
      <c r="C171" s="599"/>
      <c r="D171" s="1146" t="str">
        <f>SALARIOSS!D149</f>
        <v>P038</v>
      </c>
      <c r="E171" s="1150" t="str">
        <f>SALARIOSS!E149</f>
        <v>Auxiliar Administrativo II</v>
      </c>
      <c r="F171" s="1148"/>
      <c r="G171" s="1149">
        <f>VLOOKUP($D171,SALARIOSS!$D$6:$H$203,5,0)</f>
        <v>1671.3373950000005</v>
      </c>
      <c r="H171" s="1149">
        <f>G171*'MEM. Encargos Sociais'!$F$36</f>
        <v>1420.6367857500004</v>
      </c>
      <c r="I171" s="1149">
        <f>SALARIOSS!$M$15</f>
        <v>828.92000000000007</v>
      </c>
      <c r="J171" s="1149">
        <f>SALARIOSS!$P$15</f>
        <v>95</v>
      </c>
      <c r="K171" s="1149">
        <f t="shared" si="5"/>
        <v>4015.8941807500009</v>
      </c>
    </row>
    <row r="172" spans="1:11">
      <c r="A172" s="595"/>
      <c r="B172" s="598"/>
      <c r="C172" s="599"/>
      <c r="D172" s="1146" t="str">
        <f>SALARIOSS!D163</f>
        <v>P049</v>
      </c>
      <c r="E172" s="1150" t="str">
        <f>SALARIOSS!E163</f>
        <v>Auxiliar de Topografia</v>
      </c>
      <c r="F172" s="1148"/>
      <c r="G172" s="1149">
        <f>VLOOKUP($D172,SALARIOSS!$D$6:$H$203,5,0)</f>
        <v>1557.6624000000004</v>
      </c>
      <c r="H172" s="1149">
        <f>G172*'MEM. Encargos Sociais'!$F$36</f>
        <v>1324.0130400000003</v>
      </c>
      <c r="I172" s="1149">
        <f>SALARIOSS!$M$15</f>
        <v>828.92000000000007</v>
      </c>
      <c r="J172" s="1149">
        <f>SALARIOSS!$P$15</f>
        <v>95</v>
      </c>
      <c r="K172" s="1149">
        <f t="shared" si="5"/>
        <v>3805.595440000001</v>
      </c>
    </row>
    <row r="173" spans="1:11">
      <c r="A173" s="595"/>
      <c r="B173" s="598"/>
      <c r="C173" s="599"/>
      <c r="D173" s="1146" t="str">
        <f>SALARIOSS!D164</f>
        <v>P057</v>
      </c>
      <c r="E173" s="1150" t="str">
        <f>SALARIOSS!E164</f>
        <v>Conferente</v>
      </c>
      <c r="F173" s="1148"/>
      <c r="G173" s="1149">
        <f>VLOOKUP($D173,SALARIOSS!$D$6:$H$203,5,0)</f>
        <v>1557.6624000000004</v>
      </c>
      <c r="H173" s="1149">
        <f>G173*'MEM. Encargos Sociais'!$F$36</f>
        <v>1324.0130400000003</v>
      </c>
      <c r="I173" s="1149">
        <f>SALARIOSS!$M$15</f>
        <v>828.92000000000007</v>
      </c>
      <c r="J173" s="1149">
        <f>SALARIOSS!$P$15</f>
        <v>95</v>
      </c>
      <c r="K173" s="1149">
        <f t="shared" si="5"/>
        <v>3805.595440000001</v>
      </c>
    </row>
    <row r="174" spans="1:11">
      <c r="A174" s="595"/>
      <c r="B174" s="598"/>
      <c r="C174" s="599"/>
      <c r="D174" s="1146" t="str">
        <f>SALARIOSS!D166</f>
        <v>P059</v>
      </c>
      <c r="E174" s="1150" t="str">
        <f>SALARIOSS!E166</f>
        <v>Conselheiro - Conselho Fiscal</v>
      </c>
      <c r="F174" s="1148"/>
      <c r="G174" s="1149">
        <f>VLOOKUP($D174,SALARIOSS!$D$6:$H$203,5,0)</f>
        <v>1557.6624000000004</v>
      </c>
      <c r="H174" s="1149">
        <f>G174*'MEM. Encargos Sociais'!$F$36</f>
        <v>1324.0130400000003</v>
      </c>
      <c r="I174" s="1149">
        <f>SALARIOSS!$M$15</f>
        <v>828.92000000000007</v>
      </c>
      <c r="J174" s="1149">
        <f>SALARIOSS!$P$15</f>
        <v>95</v>
      </c>
      <c r="K174" s="1149">
        <f t="shared" si="5"/>
        <v>3805.595440000001</v>
      </c>
    </row>
    <row r="175" spans="1:11">
      <c r="A175" s="595"/>
      <c r="B175" s="598"/>
      <c r="C175" s="599"/>
      <c r="D175" s="1146" t="str">
        <f>SALARIOSS!D167</f>
        <v>P159</v>
      </c>
      <c r="E175" s="1150" t="str">
        <f>SALARIOSS!E167</f>
        <v>Telefonista 0800</v>
      </c>
      <c r="F175" s="1148"/>
      <c r="G175" s="1149">
        <f>VLOOKUP($D175,SALARIOSS!$D$6:$H$203,5,0)</f>
        <v>1557.6624000000004</v>
      </c>
      <c r="H175" s="1149">
        <f>G175*'MEM. Encargos Sociais'!$F$36</f>
        <v>1324.0130400000003</v>
      </c>
      <c r="I175" s="1149">
        <f>SALARIOSS!$M$15</f>
        <v>828.92000000000007</v>
      </c>
      <c r="J175" s="1149">
        <f>SALARIOSS!$P$15</f>
        <v>95</v>
      </c>
      <c r="K175" s="1149">
        <f t="shared" si="5"/>
        <v>3805.595440000001</v>
      </c>
    </row>
    <row r="176" spans="1:11">
      <c r="A176" s="595"/>
      <c r="B176" s="598"/>
      <c r="C176" s="599"/>
      <c r="D176" s="1146" t="str">
        <f>SALARIOSS!D162</f>
        <v>P047</v>
      </c>
      <c r="E176" s="1150" t="str">
        <f>SALARIOSS!E162</f>
        <v>Auxiliar de Pista</v>
      </c>
      <c r="F176" s="1148"/>
      <c r="G176" s="1149">
        <f>VLOOKUP($D176,SALARIOSS!$D$6:$H$203,5,0)</f>
        <v>1557.6624000000004</v>
      </c>
      <c r="H176" s="1149">
        <f>G176*'MEM. Encargos Sociais'!$F$36</f>
        <v>1324.0130400000003</v>
      </c>
      <c r="I176" s="1149">
        <f>SALARIOSS!$M$15</f>
        <v>828.92000000000007</v>
      </c>
      <c r="J176" s="1149">
        <f>SALARIOSS!$P$15</f>
        <v>95</v>
      </c>
      <c r="K176" s="1149">
        <f t="shared" si="5"/>
        <v>3805.595440000001</v>
      </c>
    </row>
    <row r="177" spans="1:11">
      <c r="A177" s="595"/>
      <c r="B177" s="598"/>
      <c r="C177" s="599"/>
      <c r="D177" s="1146" t="str">
        <f>SALARIOSS!D165</f>
        <v>P058</v>
      </c>
      <c r="E177" s="1150" t="str">
        <f>SALARIOSS!E165</f>
        <v>Conselheiro - Conselho Administrativo</v>
      </c>
      <c r="F177" s="1148"/>
      <c r="G177" s="1149">
        <f>VLOOKUP($D177,SALARIOSS!$D$6:$H$203,5,0)</f>
        <v>1557.6624000000004</v>
      </c>
      <c r="H177" s="1149">
        <f>G177*'MEM. Encargos Sociais'!$F$36</f>
        <v>1324.0130400000003</v>
      </c>
      <c r="I177" s="1149">
        <f>SALARIOSS!$M$15</f>
        <v>828.92000000000007</v>
      </c>
      <c r="J177" s="1149">
        <f>SALARIOSS!$P$15</f>
        <v>95</v>
      </c>
      <c r="K177" s="1149">
        <f t="shared" si="5"/>
        <v>3805.595440000001</v>
      </c>
    </row>
    <row r="178" spans="1:11">
      <c r="A178" s="595"/>
      <c r="B178" s="598"/>
      <c r="C178" s="599"/>
      <c r="D178" s="1146" t="str">
        <f>SALARIOSS!D169</f>
        <v>P073</v>
      </c>
      <c r="E178" s="1150" t="str">
        <f>SALARIOSS!E169</f>
        <v>Copeira</v>
      </c>
      <c r="F178" s="1148"/>
      <c r="G178" s="1149">
        <f>VLOOKUP($D178,SALARIOSS!$D$6:$H$203,5,0)</f>
        <v>1504.5472575000003</v>
      </c>
      <c r="H178" s="1149">
        <f>G178*'MEM. Encargos Sociais'!$F$36</f>
        <v>1278.8651688750003</v>
      </c>
      <c r="I178" s="1149">
        <f>SALARIOSS!$M$15</f>
        <v>828.92000000000007</v>
      </c>
      <c r="J178" s="1149">
        <f>SALARIOSS!$P$15</f>
        <v>95</v>
      </c>
      <c r="K178" s="1149">
        <f t="shared" si="5"/>
        <v>3707.332426375001</v>
      </c>
    </row>
    <row r="179" spans="1:11">
      <c r="A179" s="595"/>
      <c r="B179" s="598"/>
      <c r="C179" s="599"/>
      <c r="D179" s="1146" t="str">
        <f>SALARIOSS!D168</f>
        <v>P048</v>
      </c>
      <c r="E179" s="1150" t="str">
        <f>SALARIOSS!E168</f>
        <v>Auxiliar de Sinalização</v>
      </c>
      <c r="F179" s="1148"/>
      <c r="G179" s="1149">
        <f>VLOOKUP($D179,SALARIOSS!$D$6:$H$203,5,0)</f>
        <v>1509.5581200000004</v>
      </c>
      <c r="H179" s="1149">
        <f>G179*'MEM. Encargos Sociais'!$F$36</f>
        <v>1283.1244020000004</v>
      </c>
      <c r="I179" s="1149">
        <f>SALARIOSS!$M$15</f>
        <v>828.92000000000007</v>
      </c>
      <c r="J179" s="1149">
        <f>SALARIOSS!$P$15</f>
        <v>95</v>
      </c>
      <c r="K179" s="1149">
        <f t="shared" si="5"/>
        <v>3716.602522000001</v>
      </c>
    </row>
    <row r="180" spans="1:11">
      <c r="A180" s="595"/>
      <c r="B180" s="598"/>
      <c r="C180" s="599"/>
      <c r="D180" s="1146" t="str">
        <f>SALARIOSS!D171</f>
        <v>P137</v>
      </c>
      <c r="E180" s="1150" t="str">
        <f>SALARIOSS!E171</f>
        <v>Servente</v>
      </c>
      <c r="F180" s="1148"/>
      <c r="G180" s="1149">
        <f>VLOOKUP($D180,SALARIOSS!$D$6:$H$203,5,0)</f>
        <v>1504.5472575000003</v>
      </c>
      <c r="H180" s="1149">
        <f>G180*'MEM. Encargos Sociais'!$F$36</f>
        <v>1278.8651688750003</v>
      </c>
      <c r="I180" s="1149">
        <f>SALARIOSS!$M$15</f>
        <v>828.92000000000007</v>
      </c>
      <c r="J180" s="1149">
        <f>SALARIOSS!$P$15</f>
        <v>95</v>
      </c>
      <c r="K180" s="1149">
        <f t="shared" si="5"/>
        <v>3707.332426375001</v>
      </c>
    </row>
    <row r="181" spans="1:11">
      <c r="A181" s="595"/>
      <c r="B181" s="598"/>
      <c r="C181" s="599"/>
      <c r="D181" s="1146" t="str">
        <f>SALARIOSS!D173</f>
        <v>P006</v>
      </c>
      <c r="E181" s="1150" t="str">
        <f>SALARIOSS!E173</f>
        <v>Agente de Pedágio</v>
      </c>
      <c r="F181" s="1148"/>
      <c r="G181" s="1149">
        <f>VLOOKUP($D181,SALARIOSS!$D$6:$H$203,5,0)</f>
        <v>1504.5472575000003</v>
      </c>
      <c r="H181" s="1149">
        <f>G181*'MEM. Encargos Sociais'!$F$36</f>
        <v>1278.8651688750003</v>
      </c>
      <c r="I181" s="1149">
        <f>SALARIOSS!$M$15</f>
        <v>828.92000000000007</v>
      </c>
      <c r="J181" s="1149">
        <f>SALARIOSS!$P$15</f>
        <v>95</v>
      </c>
      <c r="K181" s="1149">
        <f t="shared" si="5"/>
        <v>3707.332426375001</v>
      </c>
    </row>
    <row r="182" spans="1:11">
      <c r="A182" s="595"/>
      <c r="B182" s="598"/>
      <c r="C182" s="599"/>
      <c r="D182" s="1146" t="str">
        <f>SALARIOSS!D176</f>
        <v>P008</v>
      </c>
      <c r="E182" s="1150" t="str">
        <f>SALARIOSS!E176</f>
        <v>Ajudante</v>
      </c>
      <c r="F182" s="1148"/>
      <c r="G182" s="1149">
        <f>VLOOKUP($D182,SALARIOSS!$D$6:$H$203,5,0)</f>
        <v>1504.5472575000003</v>
      </c>
      <c r="H182" s="1149">
        <f>G182*'MEM. Encargos Sociais'!$F$36</f>
        <v>1278.8651688750003</v>
      </c>
      <c r="I182" s="1149">
        <f>SALARIOSS!$M$15</f>
        <v>828.92000000000007</v>
      </c>
      <c r="J182" s="1149">
        <f>SALARIOSS!$P$15</f>
        <v>95</v>
      </c>
      <c r="K182" s="1149">
        <f t="shared" si="5"/>
        <v>3707.332426375001</v>
      </c>
    </row>
    <row r="183" spans="1:11">
      <c r="A183" s="595"/>
      <c r="B183" s="598"/>
      <c r="C183" s="599"/>
      <c r="D183" s="1146" t="str">
        <f>SALARIOSS!D175</f>
        <v>P133</v>
      </c>
      <c r="E183" s="1150" t="str">
        <f>SALARIOSS!E175</f>
        <v>Recepcionista</v>
      </c>
      <c r="F183" s="1148"/>
      <c r="G183" s="1149">
        <f>VLOOKUP($D183,SALARIOSS!$D$6:$H$203,5,0)</f>
        <v>1504.5472575000003</v>
      </c>
      <c r="H183" s="1149">
        <f>G183*'MEM. Encargos Sociais'!$F$36</f>
        <v>1278.8651688750003</v>
      </c>
      <c r="I183" s="1149">
        <f>SALARIOSS!$M$15</f>
        <v>828.92000000000007</v>
      </c>
      <c r="J183" s="1149">
        <f>SALARIOSS!$P$15</f>
        <v>95</v>
      </c>
      <c r="K183" s="1149">
        <f t="shared" si="5"/>
        <v>3707.332426375001</v>
      </c>
    </row>
    <row r="184" spans="1:11">
      <c r="A184" s="595"/>
      <c r="B184" s="598"/>
      <c r="C184" s="599"/>
      <c r="D184" s="1146" t="str">
        <f>SALARIOSS!D170</f>
        <v>P131</v>
      </c>
      <c r="E184" s="1150" t="str">
        <f>SALARIOSS!E170</f>
        <v>Porteiro</v>
      </c>
      <c r="F184" s="1148"/>
      <c r="G184" s="1149">
        <f>VLOOKUP($D184,SALARIOSS!$D$6:$H$203,5,0)</f>
        <v>1504.5472575000003</v>
      </c>
      <c r="H184" s="1149">
        <f>G184*'MEM. Encargos Sociais'!$F$36</f>
        <v>1278.8651688750003</v>
      </c>
      <c r="I184" s="1149">
        <f>SALARIOSS!$M$15</f>
        <v>828.92000000000007</v>
      </c>
      <c r="J184" s="1149">
        <f>SALARIOSS!$P$15</f>
        <v>95</v>
      </c>
      <c r="K184" s="1149">
        <f t="shared" si="5"/>
        <v>3707.332426375001</v>
      </c>
    </row>
    <row r="185" spans="1:11">
      <c r="A185" s="595"/>
      <c r="B185" s="598"/>
      <c r="C185" s="599"/>
      <c r="D185" s="1146" t="str">
        <f>SALARIOSS!D174</f>
        <v>P035</v>
      </c>
      <c r="E185" s="1150" t="str">
        <f>SALARIOSS!E174</f>
        <v>Atendente</v>
      </c>
      <c r="F185" s="1148"/>
      <c r="G185" s="1149">
        <f>VLOOKUP($D185,SALARIOSS!$D$6:$H$203,5,0)</f>
        <v>1504.5472575000003</v>
      </c>
      <c r="H185" s="1149">
        <f>G185*'MEM. Encargos Sociais'!$F$36</f>
        <v>1278.8651688750003</v>
      </c>
      <c r="I185" s="1149">
        <f>SALARIOSS!$M$15</f>
        <v>828.92000000000007</v>
      </c>
      <c r="J185" s="1149">
        <f>SALARIOSS!$P$15</f>
        <v>95</v>
      </c>
      <c r="K185" s="1149">
        <f t="shared" si="5"/>
        <v>3707.332426375001</v>
      </c>
    </row>
    <row r="186" spans="1:11">
      <c r="A186" s="595"/>
      <c r="B186" s="598"/>
      <c r="C186" s="599"/>
      <c r="D186" s="1146" t="str">
        <f>SALARIOSS!D179</f>
        <v>P011</v>
      </c>
      <c r="E186" s="1150" t="str">
        <f>SALARIOSS!E179</f>
        <v>Ajudante de Mecânica</v>
      </c>
      <c r="F186" s="1148"/>
      <c r="G186" s="1149">
        <f>VLOOKUP($D186,SALARIOSS!$D$6:$H$203,5,0)</f>
        <v>1504.5472575000003</v>
      </c>
      <c r="H186" s="1149">
        <f>G186*'MEM. Encargos Sociais'!$F$36</f>
        <v>1278.8651688750003</v>
      </c>
      <c r="I186" s="1149">
        <f>SALARIOSS!$M$15</f>
        <v>828.92000000000007</v>
      </c>
      <c r="J186" s="1149">
        <f>SALARIOSS!$P$15</f>
        <v>95</v>
      </c>
      <c r="K186" s="1149">
        <f t="shared" si="5"/>
        <v>3707.332426375001</v>
      </c>
    </row>
    <row r="187" spans="1:11">
      <c r="A187" s="595"/>
      <c r="B187" s="598"/>
      <c r="C187" s="599"/>
      <c r="D187" s="1146" t="str">
        <f>SALARIOSS!D177</f>
        <v>P009</v>
      </c>
      <c r="E187" s="1150" t="str">
        <f>SALARIOSS!E177</f>
        <v>Ajudante de Cozinha</v>
      </c>
      <c r="F187" s="1148"/>
      <c r="G187" s="1149">
        <f>VLOOKUP($D187,SALARIOSS!$D$6:$H$203,5,0)</f>
        <v>1504.5472575000003</v>
      </c>
      <c r="H187" s="1149">
        <f>G187*'MEM. Encargos Sociais'!$F$36</f>
        <v>1278.8651688750003</v>
      </c>
      <c r="I187" s="1149">
        <f>SALARIOSS!$M$15</f>
        <v>828.92000000000007</v>
      </c>
      <c r="J187" s="1149">
        <f>SALARIOSS!$P$15</f>
        <v>95</v>
      </c>
      <c r="K187" s="1149">
        <f t="shared" si="5"/>
        <v>3707.332426375001</v>
      </c>
    </row>
    <row r="188" spans="1:11">
      <c r="A188" s="595"/>
      <c r="B188" s="598"/>
      <c r="C188" s="599"/>
      <c r="D188" s="1146" t="str">
        <f>SALARIOSS!D178</f>
        <v>P010</v>
      </c>
      <c r="E188" s="1150" t="str">
        <f>SALARIOSS!E178</f>
        <v>Ajudante de Elétrica</v>
      </c>
      <c r="F188" s="1148"/>
      <c r="G188" s="1149">
        <f>VLOOKUP($D188,SALARIOSS!$D$6:$H$203,5,0)</f>
        <v>1504.5472575000003</v>
      </c>
      <c r="H188" s="1149">
        <f>G188*'MEM. Encargos Sociais'!$F$36</f>
        <v>1278.8651688750003</v>
      </c>
      <c r="I188" s="1149">
        <f>SALARIOSS!$M$15</f>
        <v>828.92000000000007</v>
      </c>
      <c r="J188" s="1149">
        <f>SALARIOSS!$P$15</f>
        <v>95</v>
      </c>
      <c r="K188" s="1149">
        <f t="shared" si="5"/>
        <v>3707.332426375001</v>
      </c>
    </row>
    <row r="189" spans="1:11">
      <c r="A189" s="1152"/>
      <c r="B189" s="1153"/>
      <c r="C189" s="1154"/>
      <c r="D189" s="1146" t="s">
        <v>823</v>
      </c>
      <c r="E189" s="1150" t="s">
        <v>920</v>
      </c>
      <c r="F189" s="1148"/>
      <c r="G189" s="1149">
        <f>VLOOKUP($D189,SALARIOSS!$D$6:$H$203,5,0)</f>
        <v>45310.661077500001</v>
      </c>
      <c r="H189" s="1149">
        <f>G189*'MEM. Encargos Sociais'!$F$36</f>
        <v>38514.061915874998</v>
      </c>
      <c r="I189" s="1149">
        <f>SALARIOSS!$M$15</f>
        <v>828.92000000000007</v>
      </c>
      <c r="J189" s="1149">
        <f>SALARIOSS!$P$15</f>
        <v>95</v>
      </c>
      <c r="K189" s="1149">
        <f t="shared" si="5"/>
        <v>84748.642993375004</v>
      </c>
    </row>
    <row r="190" spans="1:11">
      <c r="A190" s="1152"/>
      <c r="B190" s="1153"/>
      <c r="C190" s="1154"/>
      <c r="D190" s="1146" t="s">
        <v>755</v>
      </c>
      <c r="E190" s="1150" t="s">
        <v>921</v>
      </c>
      <c r="F190" s="1148"/>
      <c r="G190" s="1149">
        <f>VLOOKUP($D190,SALARIOSS!$D$6:$H$203,5,0)</f>
        <v>49616.897510250004</v>
      </c>
      <c r="H190" s="1149">
        <f>G190*'MEM. Encargos Sociais'!$F$36</f>
        <v>42174.3628837125</v>
      </c>
      <c r="I190" s="1149">
        <f>SALARIOSS!$M$15</f>
        <v>828.92000000000007</v>
      </c>
      <c r="J190" s="1149">
        <f>SALARIOSS!$P$15</f>
        <v>95</v>
      </c>
      <c r="K190" s="1149">
        <f t="shared" si="5"/>
        <v>92715.180393962495</v>
      </c>
    </row>
    <row r="191" spans="1:11">
      <c r="A191" s="1152"/>
      <c r="B191" s="1153"/>
      <c r="C191" s="1154"/>
      <c r="D191" s="1146"/>
      <c r="E191" s="1150"/>
      <c r="F191" s="1148"/>
      <c r="G191" s="1149"/>
      <c r="H191" s="1149"/>
      <c r="I191" s="1149"/>
      <c r="J191" s="1149"/>
      <c r="K191" s="1149"/>
    </row>
    <row r="192" spans="1:11">
      <c r="A192" s="1152"/>
      <c r="B192" s="1153"/>
      <c r="C192" s="1154"/>
      <c r="D192" s="1146"/>
      <c r="E192" s="1150"/>
      <c r="F192" s="1148"/>
      <c r="G192" s="1149"/>
      <c r="H192" s="1149"/>
      <c r="I192" s="1149"/>
      <c r="J192" s="1149"/>
      <c r="K192" s="1149"/>
    </row>
    <row r="193" spans="2:11">
      <c r="B193" s="1153"/>
      <c r="C193" s="1154"/>
      <c r="D193" s="1146"/>
      <c r="E193" s="1150"/>
      <c r="F193" s="1148"/>
      <c r="G193" s="1149"/>
      <c r="H193" s="1149"/>
      <c r="I193" s="1149"/>
      <c r="J193" s="1149"/>
      <c r="K193" s="1149"/>
    </row>
    <row r="194" spans="2:11">
      <c r="B194" s="1153"/>
      <c r="C194" s="1154"/>
      <c r="D194" s="272"/>
      <c r="E194" s="272"/>
      <c r="F194" s="1155"/>
      <c r="G194" s="272"/>
      <c r="H194" s="272"/>
      <c r="I194" s="272"/>
      <c r="J194" s="272"/>
      <c r="K194" s="272"/>
    </row>
    <row r="195" spans="2:11">
      <c r="B195" s="1153"/>
      <c r="C195" s="1154"/>
      <c r="D195" s="272"/>
      <c r="E195" s="272"/>
      <c r="F195" s="1155"/>
      <c r="G195" s="873"/>
      <c r="H195" s="873"/>
      <c r="I195" s="873"/>
      <c r="J195" s="272"/>
      <c r="K195" s="873"/>
    </row>
    <row r="196" spans="2:11">
      <c r="B196" s="1153"/>
      <c r="C196" s="1154"/>
      <c r="D196" s="272"/>
      <c r="E196" s="272"/>
      <c r="F196" s="1155"/>
      <c r="G196" s="272"/>
      <c r="H196" s="272"/>
      <c r="I196" s="272"/>
      <c r="J196" s="272"/>
      <c r="K196" s="272"/>
    </row>
    <row r="197" spans="2:11">
      <c r="B197" s="1153"/>
      <c r="C197" s="1154"/>
      <c r="D197" s="272"/>
      <c r="E197" s="272"/>
      <c r="F197" s="1155"/>
      <c r="G197" s="272"/>
      <c r="H197" s="272"/>
      <c r="I197" s="272"/>
      <c r="J197" s="272"/>
      <c r="K197" s="272"/>
    </row>
    <row r="198" spans="2:11">
      <c r="B198" s="1153"/>
      <c r="C198" s="1154"/>
      <c r="D198" s="272"/>
      <c r="E198" s="272"/>
      <c r="F198" s="1155"/>
      <c r="G198" s="272"/>
      <c r="H198" s="272"/>
      <c r="I198" s="272"/>
      <c r="J198" s="272"/>
      <c r="K198" s="272"/>
    </row>
    <row r="199" spans="2:11">
      <c r="B199" s="1153"/>
      <c r="C199" s="1154"/>
      <c r="D199" s="272"/>
      <c r="E199" s="272"/>
      <c r="F199" s="1155"/>
      <c r="G199" s="272"/>
      <c r="H199" s="272"/>
      <c r="I199" s="272"/>
      <c r="J199" s="272"/>
      <c r="K199" s="272"/>
    </row>
    <row r="200" spans="2:11">
      <c r="B200" s="1153"/>
      <c r="C200" s="1154"/>
      <c r="D200" s="272"/>
      <c r="E200" s="272"/>
      <c r="F200" s="1155"/>
      <c r="G200" s="272"/>
      <c r="H200" s="272"/>
      <c r="I200" s="272"/>
      <c r="J200" s="272"/>
      <c r="K200" s="272"/>
    </row>
    <row r="201" spans="2:11">
      <c r="B201" s="1153"/>
      <c r="C201" s="1154"/>
      <c r="D201" s="272"/>
      <c r="E201" s="272"/>
      <c r="F201" s="1155"/>
      <c r="G201" s="272"/>
      <c r="H201" s="272"/>
      <c r="I201" s="272"/>
      <c r="J201" s="272"/>
      <c r="K201" s="272"/>
    </row>
    <row r="202" spans="2:11">
      <c r="B202" s="1153"/>
      <c r="C202" s="1154"/>
      <c r="D202" s="272"/>
      <c r="E202" s="272"/>
      <c r="F202" s="1155"/>
      <c r="G202" s="272"/>
      <c r="H202" s="272"/>
      <c r="I202" s="272"/>
      <c r="J202" s="272"/>
      <c r="K202" s="272"/>
    </row>
    <row r="203" spans="2:11">
      <c r="B203" s="1153"/>
      <c r="C203" s="1154"/>
      <c r="D203" s="272"/>
      <c r="E203" s="272"/>
      <c r="F203" s="1155"/>
      <c r="G203" s="272"/>
      <c r="H203" s="272"/>
      <c r="I203" s="272"/>
      <c r="J203" s="272"/>
      <c r="K203" s="272"/>
    </row>
    <row r="204" spans="2:11">
      <c r="B204" s="1153"/>
      <c r="C204" s="1154"/>
      <c r="D204" s="272"/>
      <c r="E204" s="272"/>
      <c r="F204" s="1155"/>
      <c r="G204" s="272"/>
      <c r="H204" s="272"/>
      <c r="I204" s="272"/>
      <c r="J204" s="272"/>
      <c r="K204" s="272"/>
    </row>
    <row r="205" spans="2:11">
      <c r="B205" s="1153"/>
      <c r="C205" s="1154"/>
      <c r="D205" s="272"/>
      <c r="E205" s="272"/>
      <c r="F205" s="1155"/>
      <c r="G205" s="272"/>
      <c r="H205" s="272"/>
      <c r="I205" s="272"/>
      <c r="J205" s="272"/>
      <c r="K205" s="272"/>
    </row>
    <row r="206" spans="2:11">
      <c r="B206" s="1153"/>
      <c r="C206" s="1154"/>
      <c r="D206" s="272"/>
      <c r="E206" s="272"/>
      <c r="F206" s="1155"/>
      <c r="G206" s="272"/>
      <c r="H206" s="272"/>
      <c r="I206" s="272"/>
      <c r="J206" s="272"/>
      <c r="K206" s="272"/>
    </row>
    <row r="207" spans="2:11">
      <c r="B207" s="1153"/>
      <c r="C207" s="272"/>
      <c r="D207" s="272"/>
      <c r="E207" s="272"/>
      <c r="F207" s="1155"/>
      <c r="G207" s="272"/>
      <c r="H207" s="272"/>
      <c r="I207" s="272"/>
      <c r="J207" s="272"/>
      <c r="K207" s="272"/>
    </row>
    <row r="208" spans="2:11">
      <c r="B208" s="1153"/>
      <c r="C208" s="272"/>
      <c r="D208" s="272"/>
      <c r="E208" s="272"/>
      <c r="F208" s="1155"/>
      <c r="G208" s="272"/>
      <c r="H208" s="272"/>
      <c r="I208" s="272"/>
      <c r="J208" s="272"/>
      <c r="K208" s="272"/>
    </row>
    <row r="209" spans="2:2">
      <c r="B209" s="1153"/>
    </row>
    <row r="210" spans="2:2">
      <c r="B210" s="1153"/>
    </row>
    <row r="211" spans="2:2">
      <c r="B211" s="1153"/>
    </row>
    <row r="212" spans="2:2">
      <c r="B212" s="1153"/>
    </row>
    <row r="213" spans="2:2">
      <c r="B213" s="1153"/>
    </row>
    <row r="214" spans="2:2">
      <c r="B214" s="1153"/>
    </row>
    <row r="215" spans="2:2">
      <c r="B215" s="1153"/>
    </row>
    <row r="216" spans="2:2">
      <c r="B216" s="1153"/>
    </row>
    <row r="217" spans="2:2">
      <c r="B217" s="1153"/>
    </row>
    <row r="218" spans="2:2">
      <c r="B218" s="1153"/>
    </row>
    <row r="219" spans="2:2">
      <c r="B219" s="1153"/>
    </row>
    <row r="220" spans="2:2">
      <c r="B220" s="1153"/>
    </row>
    <row r="221" spans="2:2">
      <c r="B221" s="1153"/>
    </row>
    <row r="222" spans="2:2">
      <c r="B222" s="1153"/>
    </row>
    <row r="223" spans="2:2">
      <c r="B223" s="1153"/>
    </row>
    <row r="224" spans="2:2">
      <c r="B224" s="1153"/>
    </row>
  </sheetData>
  <autoFilter ref="D8:K155" xr:uid="{00000000-0009-0000-0000-000010000000}">
    <sortState xmlns:xlrd2="http://schemas.microsoft.com/office/spreadsheetml/2017/richdata2" ref="D9:K190">
      <sortCondition ref="G8:G155"/>
    </sortState>
  </autoFilter>
  <sortState xmlns:xlrd2="http://schemas.microsoft.com/office/spreadsheetml/2017/richdata2" ref="D6:L161">
    <sortCondition descending="1" ref="F6:F161"/>
  </sortState>
  <phoneticPr fontId="17" type="noConversion"/>
  <pageMargins left="0.78740157499999996" right="0.78740157499999996" top="0.984251969" bottom="0.984251969" header="0.49212598499999999" footer="0.49212598499999999"/>
  <pageSetup paperSize="9" scale="74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Plan16">
    <tabColor rgb="FF3333FF"/>
  </sheetPr>
  <dimension ref="A1:EG121"/>
  <sheetViews>
    <sheetView showGridLines="0" zoomScale="80" zoomScaleNormal="80" workbookViewId="0">
      <pane xSplit="10" topLeftCell="K1" activePane="topRight" state="frozen"/>
      <selection activeCell="D4" sqref="D4:G36"/>
      <selection pane="topRight" activeCell="D4" sqref="D4:G36"/>
    </sheetView>
  </sheetViews>
  <sheetFormatPr defaultColWidth="9.140625" defaultRowHeight="12.75"/>
  <cols>
    <col min="1" max="1" width="2.28515625" style="638" customWidth="1"/>
    <col min="2" max="3" width="2.28515625" style="67" customWidth="1"/>
    <col min="4" max="4" width="55.28515625" style="67" customWidth="1"/>
    <col min="5" max="5" width="16.28515625" style="67" customWidth="1"/>
    <col min="6" max="6" width="9.140625" style="67"/>
    <col min="7" max="7" width="12.85546875" style="67" customWidth="1"/>
    <col min="8" max="8" width="10.85546875" style="67" customWidth="1"/>
    <col min="9" max="10" width="14.85546875" style="67" customWidth="1"/>
    <col min="11" max="12" width="13.140625" style="67" customWidth="1"/>
    <col min="13" max="13" width="13.7109375" style="67" customWidth="1"/>
    <col min="14" max="40" width="13.140625" style="67" customWidth="1"/>
    <col min="41" max="41" width="9.140625" style="67"/>
    <col min="42" max="42" width="14.85546875" style="67" customWidth="1"/>
    <col min="43" max="43" width="14" style="67" customWidth="1"/>
    <col min="44" max="44" width="9.140625" style="67"/>
    <col min="45" max="45" width="13.140625" style="67" customWidth="1"/>
    <col min="46" max="46" width="15" style="67" bestFit="1" customWidth="1"/>
    <col min="47" max="49" width="9.140625" style="67"/>
    <col min="50" max="50" width="8.5703125" style="67" customWidth="1"/>
    <col min="51" max="51" width="14.7109375" style="67" customWidth="1"/>
    <col min="52" max="80" width="13.140625" style="67" customWidth="1"/>
    <col min="81" max="16384" width="9.140625" style="67"/>
  </cols>
  <sheetData>
    <row r="1" spans="1:137" s="595" customFormat="1" ht="15" customHeight="1">
      <c r="D1" s="596"/>
    </row>
    <row r="2" spans="1:137" s="241" customFormat="1" ht="10.5" customHeight="1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598"/>
      <c r="AI2" s="598"/>
      <c r="AJ2" s="598"/>
      <c r="AK2" s="598"/>
      <c r="AL2" s="598"/>
      <c r="AM2" s="598"/>
      <c r="AN2" s="598"/>
      <c r="AO2" s="598"/>
      <c r="AP2" s="598"/>
      <c r="AQ2" s="598"/>
      <c r="AR2" s="598"/>
      <c r="AS2" s="598"/>
      <c r="AT2" s="598"/>
      <c r="AU2" s="598"/>
      <c r="AV2" s="598"/>
      <c r="AW2" s="598"/>
      <c r="AX2" s="598"/>
      <c r="AY2" s="598"/>
      <c r="AZ2" s="598"/>
      <c r="BA2" s="598"/>
      <c r="BB2" s="598"/>
      <c r="BC2" s="598"/>
      <c r="BD2" s="598"/>
      <c r="BE2" s="598"/>
      <c r="BF2" s="598"/>
      <c r="BG2" s="598"/>
      <c r="BH2" s="598"/>
      <c r="BI2" s="598"/>
      <c r="BJ2" s="598"/>
      <c r="BK2" s="242"/>
      <c r="BL2" s="242"/>
      <c r="BM2" s="242"/>
      <c r="BN2" s="242"/>
      <c r="BO2" s="242"/>
      <c r="BP2" s="242"/>
      <c r="BQ2" s="242"/>
      <c r="BR2" s="242"/>
      <c r="BS2" s="242"/>
      <c r="BT2" s="242"/>
      <c r="BU2" s="242"/>
      <c r="BV2" s="242"/>
      <c r="BW2" s="242"/>
      <c r="BX2" s="242"/>
      <c r="BY2" s="242"/>
      <c r="BZ2" s="242"/>
      <c r="CA2" s="242"/>
      <c r="CB2" s="242"/>
      <c r="CC2" s="242"/>
      <c r="CD2" s="242"/>
      <c r="CE2" s="242"/>
      <c r="CF2" s="242"/>
      <c r="CG2" s="242"/>
      <c r="CH2" s="242"/>
      <c r="CI2" s="242"/>
      <c r="CJ2" s="242"/>
      <c r="CK2" s="242"/>
      <c r="CL2" s="242"/>
      <c r="CM2" s="242"/>
      <c r="CN2" s="242"/>
      <c r="CO2" s="242"/>
      <c r="CP2" s="242"/>
      <c r="CQ2" s="242"/>
      <c r="CR2" s="242"/>
      <c r="CS2" s="242"/>
      <c r="CT2" s="242"/>
      <c r="CU2" s="242"/>
      <c r="CV2" s="242"/>
      <c r="CW2" s="242"/>
      <c r="CX2" s="242"/>
      <c r="CY2" s="242"/>
      <c r="CZ2" s="242"/>
      <c r="DA2" s="242"/>
      <c r="DB2" s="242"/>
      <c r="DC2" s="242"/>
      <c r="DD2" s="242"/>
      <c r="DE2" s="242"/>
      <c r="DF2" s="242"/>
      <c r="DG2" s="242"/>
      <c r="DH2" s="242"/>
      <c r="DI2" s="242"/>
      <c r="DJ2" s="242"/>
      <c r="DK2" s="242"/>
      <c r="DL2" s="242"/>
      <c r="DM2" s="242"/>
      <c r="DN2" s="242"/>
      <c r="DO2" s="242"/>
      <c r="DP2" s="242"/>
      <c r="DQ2" s="242"/>
      <c r="DR2" s="242"/>
      <c r="DS2" s="242"/>
      <c r="DT2" s="242"/>
      <c r="DU2" s="242"/>
      <c r="DV2" s="242"/>
      <c r="DW2" s="242"/>
      <c r="DX2" s="242"/>
      <c r="DY2" s="242"/>
      <c r="DZ2" s="242"/>
      <c r="EA2" s="242"/>
      <c r="EB2" s="242"/>
      <c r="EC2" s="242"/>
      <c r="ED2" s="242"/>
      <c r="EE2" s="242"/>
      <c r="EF2" s="242"/>
      <c r="EG2" s="242"/>
    </row>
    <row r="3" spans="1:137" s="241" customFormat="1" ht="10.5" customHeight="1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599"/>
      <c r="AI3" s="599"/>
      <c r="AJ3" s="599"/>
      <c r="AK3" s="599"/>
      <c r="AL3" s="599"/>
      <c r="AM3" s="599"/>
      <c r="AN3" s="599"/>
      <c r="AO3" s="599"/>
      <c r="AP3" s="639">
        <v>42370</v>
      </c>
      <c r="AQ3" s="639">
        <v>42948</v>
      </c>
      <c r="AR3" s="599"/>
      <c r="AS3" s="599"/>
      <c r="AT3" s="599"/>
      <c r="AU3" s="599"/>
      <c r="AV3" s="599"/>
      <c r="AW3" s="599"/>
      <c r="AX3" s="599"/>
      <c r="AY3" s="599"/>
      <c r="AZ3" s="599"/>
      <c r="BA3" s="599"/>
      <c r="BB3" s="599"/>
      <c r="BC3" s="599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  <c r="DC3" s="243"/>
      <c r="DD3" s="243"/>
      <c r="DE3" s="243"/>
      <c r="DF3" s="243"/>
      <c r="DG3" s="243"/>
      <c r="DH3" s="243"/>
      <c r="DI3" s="243"/>
      <c r="DJ3" s="243"/>
      <c r="DK3" s="243"/>
      <c r="DL3" s="243"/>
      <c r="DM3" s="243"/>
      <c r="DN3" s="243"/>
      <c r="DO3" s="243"/>
      <c r="DP3" s="243"/>
      <c r="DQ3" s="243"/>
      <c r="DR3" s="243"/>
      <c r="DS3" s="243"/>
      <c r="DT3" s="243"/>
      <c r="DU3" s="243"/>
      <c r="DV3" s="243"/>
      <c r="DW3" s="243"/>
      <c r="DX3" s="243"/>
      <c r="DY3" s="243"/>
      <c r="DZ3" s="243"/>
      <c r="EA3" s="243"/>
      <c r="EB3" s="243"/>
      <c r="EC3" s="243"/>
      <c r="ED3" s="243"/>
      <c r="EE3" s="243"/>
      <c r="EF3" s="243"/>
      <c r="EG3" s="243"/>
    </row>
    <row r="4" spans="1:137" s="645" customFormat="1" ht="18">
      <c r="A4" s="643"/>
      <c r="B4" s="621"/>
      <c r="C4" s="599"/>
      <c r="D4" s="1909" t="s">
        <v>922</v>
      </c>
      <c r="E4" s="1910"/>
      <c r="F4" s="1911"/>
      <c r="G4" s="1156"/>
      <c r="H4" s="1156"/>
      <c r="I4" s="640"/>
      <c r="J4" s="876" t="s">
        <v>38</v>
      </c>
      <c r="K4" s="1906">
        <v>2025</v>
      </c>
      <c r="L4" s="1906">
        <v>2026</v>
      </c>
      <c r="M4" s="1907">
        <v>2020</v>
      </c>
      <c r="N4" s="1907">
        <v>2021</v>
      </c>
      <c r="O4" s="1907">
        <v>2022</v>
      </c>
      <c r="P4" s="1907">
        <v>2023</v>
      </c>
      <c r="Q4" s="1907">
        <v>2024</v>
      </c>
      <c r="R4" s="1907">
        <v>2025</v>
      </c>
      <c r="S4" s="1907">
        <v>2026</v>
      </c>
      <c r="T4" s="1907">
        <v>2027</v>
      </c>
      <c r="U4" s="1907">
        <v>2028</v>
      </c>
      <c r="V4" s="1907">
        <v>2029</v>
      </c>
      <c r="W4" s="1907">
        <v>2030</v>
      </c>
      <c r="X4" s="1907">
        <v>2031</v>
      </c>
      <c r="Y4" s="1907">
        <v>2032</v>
      </c>
      <c r="Z4" s="1907">
        <v>2033</v>
      </c>
      <c r="AA4" s="1907">
        <v>2034</v>
      </c>
      <c r="AB4" s="1907">
        <v>2035</v>
      </c>
      <c r="AC4" s="1907">
        <v>2036</v>
      </c>
      <c r="AD4" s="1907">
        <v>2037</v>
      </c>
      <c r="AE4" s="1907">
        <v>2038</v>
      </c>
      <c r="AF4" s="1907">
        <v>2039</v>
      </c>
      <c r="AG4" s="1907">
        <v>2040</v>
      </c>
      <c r="AH4" s="1907">
        <v>2041</v>
      </c>
      <c r="AI4" s="1907">
        <v>2042</v>
      </c>
      <c r="AJ4" s="1907">
        <v>2043</v>
      </c>
      <c r="AK4" s="1907">
        <v>2044</v>
      </c>
      <c r="AL4" s="1907">
        <v>2045</v>
      </c>
      <c r="AM4" s="1907">
        <v>2046</v>
      </c>
      <c r="AN4" s="1907">
        <v>2047</v>
      </c>
      <c r="AO4" s="644"/>
      <c r="AP4" s="313"/>
      <c r="AQ4" s="313"/>
      <c r="AR4" s="313"/>
      <c r="AS4" s="313"/>
      <c r="AT4" s="313"/>
      <c r="AU4" s="313"/>
      <c r="AV4" s="313"/>
      <c r="AW4" s="313"/>
      <c r="AX4" s="313"/>
      <c r="AY4" s="313"/>
      <c r="AZ4" s="313"/>
      <c r="BA4" s="313"/>
      <c r="BB4" s="313"/>
      <c r="BC4" s="313"/>
      <c r="BD4" s="313"/>
      <c r="BE4" s="313"/>
      <c r="BF4" s="313"/>
      <c r="BG4" s="313"/>
      <c r="BH4" s="313"/>
      <c r="BI4" s="313"/>
      <c r="BJ4" s="313"/>
      <c r="BK4" s="313"/>
      <c r="BL4" s="313"/>
      <c r="BM4" s="313"/>
      <c r="BN4" s="313"/>
      <c r="BO4" s="313"/>
      <c r="BP4" s="313"/>
      <c r="BQ4" s="313"/>
      <c r="BR4" s="313"/>
      <c r="BS4" s="313"/>
      <c r="BT4" s="313"/>
      <c r="BU4" s="313"/>
      <c r="BV4" s="313"/>
      <c r="BW4" s="313"/>
      <c r="BX4" s="313"/>
      <c r="BY4" s="313"/>
      <c r="BZ4" s="313"/>
      <c r="CA4" s="313"/>
      <c r="CB4" s="313"/>
      <c r="CC4" s="313"/>
      <c r="CD4" s="313"/>
      <c r="CE4" s="313"/>
      <c r="CF4" s="313"/>
      <c r="CG4" s="313"/>
      <c r="CH4" s="313"/>
      <c r="CI4" s="313"/>
      <c r="CJ4" s="313"/>
      <c r="CK4" s="313"/>
      <c r="CL4" s="313"/>
      <c r="CM4" s="313"/>
      <c r="CN4" s="313"/>
    </row>
    <row r="5" spans="1:137" s="645" customFormat="1">
      <c r="A5" s="643"/>
      <c r="B5" s="621"/>
      <c r="C5" s="599"/>
      <c r="D5" s="1157"/>
      <c r="E5" s="646"/>
      <c r="F5" s="647"/>
      <c r="G5" s="646"/>
      <c r="H5" s="646"/>
      <c r="I5" s="647"/>
      <c r="J5" s="641" t="s">
        <v>923</v>
      </c>
      <c r="K5" s="1906"/>
      <c r="L5" s="1906"/>
      <c r="M5" s="1908"/>
      <c r="N5" s="1908"/>
      <c r="O5" s="1908"/>
      <c r="P5" s="1908"/>
      <c r="Q5" s="1908"/>
      <c r="R5" s="1908"/>
      <c r="S5" s="1908"/>
      <c r="T5" s="1908"/>
      <c r="U5" s="1908"/>
      <c r="V5" s="1908"/>
      <c r="W5" s="1908"/>
      <c r="X5" s="1908"/>
      <c r="Y5" s="1908"/>
      <c r="Z5" s="1908"/>
      <c r="AA5" s="1908"/>
      <c r="AB5" s="1908"/>
      <c r="AC5" s="1908"/>
      <c r="AD5" s="1908"/>
      <c r="AE5" s="1908"/>
      <c r="AF5" s="1908"/>
      <c r="AG5" s="1908"/>
      <c r="AH5" s="1908"/>
      <c r="AI5" s="1908"/>
      <c r="AJ5" s="1908"/>
      <c r="AK5" s="1908"/>
      <c r="AL5" s="1908"/>
      <c r="AM5" s="1908"/>
      <c r="AN5" s="1908"/>
      <c r="AO5" s="313"/>
      <c r="AP5" s="648"/>
      <c r="AQ5" s="649"/>
      <c r="AR5" s="650"/>
      <c r="AS5" s="313"/>
      <c r="AT5" s="313"/>
      <c r="AU5" s="313"/>
      <c r="AV5" s="313"/>
      <c r="AW5" s="313"/>
      <c r="AX5" s="313"/>
      <c r="AY5" s="313"/>
      <c r="AZ5" s="313"/>
      <c r="BA5" s="313"/>
      <c r="BB5" s="313"/>
      <c r="BC5" s="313"/>
      <c r="BD5" s="313"/>
      <c r="BE5" s="313"/>
      <c r="BF5" s="313"/>
      <c r="BG5" s="313"/>
      <c r="BH5" s="313"/>
      <c r="BI5" s="313"/>
      <c r="BJ5" s="313"/>
      <c r="BK5" s="313"/>
      <c r="BL5" s="313"/>
      <c r="BM5" s="313"/>
      <c r="BN5" s="313"/>
      <c r="BO5" s="313"/>
      <c r="BP5" s="313"/>
      <c r="BQ5" s="313"/>
      <c r="BR5" s="313"/>
      <c r="BS5" s="313"/>
      <c r="BT5" s="313"/>
      <c r="BU5" s="313"/>
      <c r="BV5" s="313"/>
      <c r="BW5" s="313"/>
      <c r="BX5" s="313"/>
      <c r="BY5" s="313"/>
      <c r="BZ5" s="313"/>
      <c r="CA5" s="313"/>
      <c r="CB5" s="313"/>
      <c r="CC5" s="313"/>
      <c r="CD5" s="313"/>
      <c r="CE5" s="313"/>
      <c r="CF5" s="313"/>
      <c r="CG5" s="313"/>
      <c r="CH5" s="313"/>
      <c r="CI5" s="313"/>
      <c r="CJ5" s="313"/>
      <c r="CK5" s="313"/>
      <c r="CL5" s="313"/>
      <c r="CM5" s="313"/>
      <c r="CN5" s="313"/>
    </row>
    <row r="6" spans="1:137" s="645" customFormat="1">
      <c r="A6" s="643"/>
      <c r="B6" s="621"/>
      <c r="C6" s="599"/>
      <c r="D6" s="1158" t="s">
        <v>4</v>
      </c>
      <c r="E6" s="1158" t="s">
        <v>924</v>
      </c>
      <c r="F6" s="1158" t="s">
        <v>925</v>
      </c>
      <c r="G6" s="1158"/>
      <c r="H6" s="1158" t="s">
        <v>926</v>
      </c>
      <c r="I6" s="1158" t="s">
        <v>927</v>
      </c>
      <c r="J6" s="1158" t="s">
        <v>928</v>
      </c>
      <c r="K6" s="1158">
        <v>1</v>
      </c>
      <c r="L6" s="1158">
        <v>2</v>
      </c>
      <c r="M6" s="1158">
        <v>3</v>
      </c>
      <c r="N6" s="1158">
        <v>4</v>
      </c>
      <c r="O6" s="1158">
        <v>5</v>
      </c>
      <c r="P6" s="1158">
        <v>6</v>
      </c>
      <c r="Q6" s="1158">
        <v>7</v>
      </c>
      <c r="R6" s="1158">
        <v>8</v>
      </c>
      <c r="S6" s="1158">
        <v>9</v>
      </c>
      <c r="T6" s="1158">
        <v>10</v>
      </c>
      <c r="U6" s="1158">
        <v>11</v>
      </c>
      <c r="V6" s="1158">
        <v>12</v>
      </c>
      <c r="W6" s="1158">
        <v>13</v>
      </c>
      <c r="X6" s="1158">
        <v>14</v>
      </c>
      <c r="Y6" s="1158">
        <v>15</v>
      </c>
      <c r="Z6" s="1158">
        <v>16</v>
      </c>
      <c r="AA6" s="1158">
        <v>17</v>
      </c>
      <c r="AB6" s="1158">
        <v>18</v>
      </c>
      <c r="AC6" s="1158">
        <v>19</v>
      </c>
      <c r="AD6" s="1158">
        <v>20</v>
      </c>
      <c r="AE6" s="1158">
        <v>21</v>
      </c>
      <c r="AF6" s="1158">
        <v>22</v>
      </c>
      <c r="AG6" s="1158">
        <v>23</v>
      </c>
      <c r="AH6" s="1158">
        <v>24</v>
      </c>
      <c r="AI6" s="1158">
        <v>25</v>
      </c>
      <c r="AJ6" s="1158">
        <v>26</v>
      </c>
      <c r="AK6" s="1158">
        <v>27</v>
      </c>
      <c r="AL6" s="1158">
        <v>28</v>
      </c>
      <c r="AM6" s="1158">
        <v>29</v>
      </c>
      <c r="AN6" s="1158">
        <v>30</v>
      </c>
      <c r="AO6" s="313"/>
      <c r="AP6" s="332"/>
      <c r="AQ6" s="313"/>
      <c r="AR6" s="313"/>
      <c r="AS6" s="313"/>
      <c r="AT6" s="313"/>
      <c r="AU6" s="313"/>
      <c r="AV6" s="313"/>
      <c r="AW6" s="313"/>
      <c r="AX6" s="313"/>
      <c r="AY6" s="330"/>
      <c r="AZ6" s="313"/>
      <c r="BA6" s="313"/>
      <c r="BB6" s="313"/>
      <c r="BC6" s="313"/>
      <c r="BD6" s="313"/>
      <c r="BE6" s="313"/>
      <c r="BF6" s="313"/>
      <c r="BG6" s="313"/>
      <c r="BH6" s="313"/>
      <c r="BI6" s="313"/>
      <c r="BJ6" s="313"/>
      <c r="BK6" s="313"/>
      <c r="BL6" s="313"/>
      <c r="BM6" s="313"/>
      <c r="BN6" s="313"/>
      <c r="BO6" s="313"/>
      <c r="BP6" s="313"/>
      <c r="BQ6" s="313"/>
      <c r="BR6" s="313"/>
      <c r="BS6" s="313"/>
      <c r="BT6" s="313"/>
      <c r="BU6" s="313"/>
      <c r="BV6" s="313"/>
      <c r="BW6" s="313"/>
      <c r="BX6" s="313"/>
      <c r="BY6" s="313"/>
      <c r="BZ6" s="313"/>
      <c r="CA6" s="313"/>
      <c r="CB6" s="313"/>
      <c r="CC6" s="313"/>
      <c r="CD6" s="313"/>
      <c r="CE6" s="313"/>
      <c r="CF6" s="313"/>
      <c r="CG6" s="313"/>
      <c r="CH6" s="313"/>
      <c r="CI6" s="313"/>
      <c r="CJ6" s="313"/>
      <c r="CK6" s="313"/>
      <c r="CL6" s="313"/>
      <c r="CM6" s="313"/>
      <c r="CN6" s="313"/>
    </row>
    <row r="7" spans="1:137">
      <c r="A7" s="595"/>
      <c r="B7" s="598"/>
      <c r="C7" s="599"/>
      <c r="D7" s="1159"/>
      <c r="E7" s="1160"/>
      <c r="F7" s="1161"/>
      <c r="G7" s="1162"/>
      <c r="H7" s="1162"/>
      <c r="I7" s="1162"/>
      <c r="J7" s="642"/>
      <c r="K7" s="563"/>
      <c r="L7" s="563"/>
      <c r="M7" s="563"/>
      <c r="N7" s="563"/>
      <c r="O7" s="563"/>
      <c r="P7" s="563"/>
      <c r="Q7" s="563"/>
      <c r="R7" s="563"/>
      <c r="S7" s="563"/>
      <c r="T7" s="563"/>
      <c r="U7" s="563"/>
      <c r="V7" s="563"/>
      <c r="W7" s="563"/>
      <c r="X7" s="563"/>
      <c r="Y7" s="563"/>
      <c r="Z7" s="563"/>
      <c r="AA7" s="563"/>
      <c r="AB7" s="563"/>
      <c r="AC7" s="563"/>
      <c r="AD7" s="563"/>
      <c r="AE7" s="563"/>
      <c r="AF7" s="563"/>
      <c r="AG7" s="563"/>
      <c r="AH7" s="563"/>
      <c r="AI7" s="563"/>
      <c r="AJ7" s="563"/>
      <c r="AK7" s="563"/>
      <c r="AL7" s="563"/>
      <c r="AM7" s="563"/>
      <c r="AN7" s="563"/>
      <c r="AO7" s="267"/>
      <c r="AP7" s="267"/>
      <c r="AQ7" s="267"/>
      <c r="AR7" s="267"/>
      <c r="AS7" s="267"/>
      <c r="AT7" s="267"/>
      <c r="AU7" s="267"/>
      <c r="AV7" s="267"/>
      <c r="AW7" s="267"/>
      <c r="AX7" s="267"/>
      <c r="AY7" s="267"/>
      <c r="AZ7" s="267"/>
      <c r="BA7" s="267"/>
      <c r="BB7" s="267"/>
      <c r="BC7" s="267"/>
      <c r="BD7" s="267"/>
      <c r="BE7" s="267"/>
      <c r="BF7" s="267"/>
      <c r="BG7" s="267"/>
      <c r="BH7" s="267"/>
      <c r="BI7" s="267"/>
      <c r="BJ7" s="267"/>
      <c r="BK7" s="267"/>
      <c r="BL7" s="267"/>
      <c r="BM7" s="267"/>
      <c r="BN7" s="267"/>
      <c r="BO7" s="267"/>
      <c r="BP7" s="267"/>
      <c r="BQ7" s="267"/>
      <c r="BR7" s="267"/>
      <c r="BS7" s="267"/>
      <c r="BT7" s="267"/>
      <c r="BU7" s="267"/>
      <c r="BV7" s="267"/>
      <c r="BW7" s="267"/>
      <c r="BX7" s="267"/>
      <c r="BY7" s="267"/>
      <c r="BZ7" s="267"/>
      <c r="CA7" s="267"/>
      <c r="CB7" s="267"/>
      <c r="CC7" s="267"/>
      <c r="CD7" s="267"/>
      <c r="CE7" s="267"/>
      <c r="CF7" s="267"/>
      <c r="CG7" s="267"/>
      <c r="CH7" s="267"/>
      <c r="CI7" s="267"/>
      <c r="CJ7" s="267"/>
      <c r="CK7" s="267"/>
      <c r="CL7" s="267"/>
      <c r="CM7" s="267"/>
      <c r="CN7" s="267"/>
    </row>
    <row r="8" spans="1:137">
      <c r="A8" s="595"/>
      <c r="B8" s="598"/>
      <c r="C8" s="599"/>
      <c r="D8" s="1163" t="s">
        <v>929</v>
      </c>
      <c r="E8" s="1164"/>
      <c r="F8" s="562"/>
      <c r="G8" s="563"/>
      <c r="H8" s="563"/>
      <c r="I8" s="563"/>
      <c r="J8" s="1165"/>
      <c r="K8" s="563"/>
      <c r="L8" s="563"/>
      <c r="M8" s="563"/>
      <c r="N8" s="563"/>
      <c r="O8" s="563"/>
      <c r="P8" s="563"/>
      <c r="Q8" s="563"/>
      <c r="R8" s="563"/>
      <c r="S8" s="563"/>
      <c r="T8" s="563"/>
      <c r="U8" s="563"/>
      <c r="V8" s="563"/>
      <c r="W8" s="563"/>
      <c r="X8" s="563"/>
      <c r="Y8" s="563"/>
      <c r="Z8" s="563"/>
      <c r="AA8" s="563"/>
      <c r="AB8" s="563"/>
      <c r="AC8" s="563"/>
      <c r="AD8" s="563"/>
      <c r="AE8" s="563"/>
      <c r="AF8" s="563"/>
      <c r="AG8" s="563"/>
      <c r="AH8" s="563"/>
      <c r="AI8" s="563"/>
      <c r="AJ8" s="563"/>
      <c r="AK8" s="563"/>
      <c r="AL8" s="563"/>
      <c r="AM8" s="563"/>
      <c r="AN8" s="563"/>
      <c r="AO8" s="267"/>
      <c r="AP8" s="267"/>
      <c r="AQ8" s="267"/>
      <c r="AR8" s="267"/>
      <c r="AS8" s="267"/>
      <c r="AT8" s="267"/>
      <c r="AU8" s="267"/>
      <c r="AV8" s="267"/>
      <c r="AW8" s="267"/>
      <c r="AX8" s="267"/>
      <c r="AY8" s="267"/>
      <c r="AZ8" s="267"/>
      <c r="BA8" s="267"/>
      <c r="BB8" s="267"/>
      <c r="BC8" s="267"/>
      <c r="BD8" s="267"/>
      <c r="BE8" s="267"/>
      <c r="BF8" s="267"/>
      <c r="BG8" s="267"/>
      <c r="BH8" s="267"/>
      <c r="BI8" s="267"/>
      <c r="BJ8" s="267"/>
      <c r="BK8" s="267"/>
      <c r="BL8" s="267"/>
      <c r="BM8" s="267"/>
      <c r="BN8" s="267"/>
      <c r="BO8" s="267"/>
      <c r="BP8" s="267"/>
      <c r="BQ8" s="267"/>
      <c r="BR8" s="267"/>
      <c r="BS8" s="267"/>
      <c r="BT8" s="267"/>
      <c r="BU8" s="267"/>
      <c r="BV8" s="267"/>
      <c r="BW8" s="267"/>
      <c r="BX8" s="267"/>
      <c r="BY8" s="267"/>
      <c r="BZ8" s="267"/>
      <c r="CA8" s="267"/>
      <c r="CB8" s="267"/>
      <c r="CC8" s="267"/>
      <c r="CD8" s="267"/>
      <c r="CE8" s="267"/>
      <c r="CF8" s="267"/>
      <c r="CG8" s="267"/>
      <c r="CH8" s="267"/>
      <c r="CI8" s="267"/>
      <c r="CJ8" s="267"/>
      <c r="CK8" s="267"/>
      <c r="CL8" s="267"/>
      <c r="CM8" s="267"/>
      <c r="CN8" s="267"/>
    </row>
    <row r="9" spans="1:137">
      <c r="A9" s="595"/>
      <c r="B9" s="598"/>
      <c r="C9" s="599"/>
      <c r="D9" s="1166" t="s">
        <v>930</v>
      </c>
      <c r="E9" s="1164" t="s">
        <v>931</v>
      </c>
      <c r="F9" s="562">
        <v>1</v>
      </c>
      <c r="G9" s="563">
        <f>AQ9</f>
        <v>120000</v>
      </c>
      <c r="H9" s="563">
        <f>G9/12</f>
        <v>10000</v>
      </c>
      <c r="I9" s="563">
        <f>G9</f>
        <v>120000</v>
      </c>
      <c r="J9" s="1165">
        <f>SUM(K9:AN9)</f>
        <v>120000</v>
      </c>
      <c r="K9" s="563">
        <f>H9*12</f>
        <v>120000</v>
      </c>
      <c r="L9" s="563"/>
      <c r="M9" s="563"/>
      <c r="N9" s="563"/>
      <c r="O9" s="563"/>
      <c r="P9" s="563"/>
      <c r="Q9" s="563"/>
      <c r="R9" s="563"/>
      <c r="S9" s="563"/>
      <c r="T9" s="563"/>
      <c r="U9" s="563"/>
      <c r="V9" s="563"/>
      <c r="W9" s="563"/>
      <c r="X9" s="563"/>
      <c r="Y9" s="563"/>
      <c r="Z9" s="563"/>
      <c r="AA9" s="563"/>
      <c r="AB9" s="563"/>
      <c r="AC9" s="563"/>
      <c r="AD9" s="563"/>
      <c r="AE9" s="563"/>
      <c r="AF9" s="563"/>
      <c r="AG9" s="563"/>
      <c r="AH9" s="563"/>
      <c r="AI9" s="563"/>
      <c r="AJ9" s="563"/>
      <c r="AK9" s="563"/>
      <c r="AL9" s="563"/>
      <c r="AM9" s="563"/>
      <c r="AN9" s="563"/>
      <c r="AO9" s="267"/>
      <c r="AP9" s="269"/>
      <c r="AQ9" s="270">
        <v>120000</v>
      </c>
      <c r="AR9" s="270" t="s">
        <v>932</v>
      </c>
      <c r="AS9" s="270"/>
      <c r="AT9" s="267"/>
      <c r="AU9" s="267"/>
      <c r="AV9" s="267"/>
      <c r="AW9" s="267"/>
      <c r="AX9" s="267"/>
      <c r="AY9" s="267"/>
      <c r="AZ9" s="267"/>
      <c r="BA9" s="267"/>
      <c r="BB9" s="267"/>
      <c r="BC9" s="267"/>
      <c r="BD9" s="267"/>
      <c r="BE9" s="267"/>
      <c r="BF9" s="267"/>
      <c r="BG9" s="267"/>
      <c r="BH9" s="267"/>
      <c r="BI9" s="267"/>
      <c r="BJ9" s="267"/>
      <c r="BK9" s="267"/>
      <c r="BL9" s="267"/>
      <c r="BM9" s="267"/>
      <c r="BN9" s="267"/>
      <c r="BO9" s="267"/>
      <c r="BP9" s="267"/>
      <c r="BQ9" s="267"/>
      <c r="BR9" s="267"/>
      <c r="BS9" s="267"/>
      <c r="BT9" s="267"/>
      <c r="BU9" s="267"/>
      <c r="BV9" s="267"/>
      <c r="BW9" s="267"/>
      <c r="BX9" s="267"/>
      <c r="BY9" s="267"/>
      <c r="BZ9" s="267"/>
      <c r="CA9" s="267"/>
      <c r="CB9" s="267"/>
      <c r="CC9" s="267"/>
      <c r="CD9" s="267"/>
      <c r="CE9" s="267"/>
      <c r="CF9" s="267"/>
      <c r="CG9" s="267"/>
      <c r="CH9" s="267"/>
      <c r="CI9" s="267"/>
      <c r="CJ9" s="267"/>
      <c r="CK9" s="267"/>
      <c r="CL9" s="267"/>
      <c r="CM9" s="267"/>
      <c r="CN9" s="267"/>
    </row>
    <row r="10" spans="1:137">
      <c r="A10" s="595"/>
      <c r="B10" s="598"/>
      <c r="C10" s="599"/>
      <c r="D10" s="1163" t="s">
        <v>933</v>
      </c>
      <c r="E10" s="1164"/>
      <c r="F10" s="562"/>
      <c r="G10" s="563"/>
      <c r="H10" s="563"/>
      <c r="I10" s="563"/>
      <c r="J10" s="1165"/>
      <c r="K10" s="563"/>
      <c r="L10" s="563"/>
      <c r="M10" s="563"/>
      <c r="N10" s="563"/>
      <c r="O10" s="563"/>
      <c r="P10" s="563"/>
      <c r="Q10" s="563"/>
      <c r="R10" s="563"/>
      <c r="S10" s="563"/>
      <c r="T10" s="563"/>
      <c r="U10" s="563"/>
      <c r="V10" s="563"/>
      <c r="W10" s="563"/>
      <c r="X10" s="563"/>
      <c r="Y10" s="563"/>
      <c r="Z10" s="563"/>
      <c r="AA10" s="563"/>
      <c r="AB10" s="563"/>
      <c r="AC10" s="563"/>
      <c r="AD10" s="563"/>
      <c r="AE10" s="563"/>
      <c r="AF10" s="563"/>
      <c r="AG10" s="563"/>
      <c r="AH10" s="563"/>
      <c r="AI10" s="563"/>
      <c r="AJ10" s="563"/>
      <c r="AK10" s="563"/>
      <c r="AL10" s="563"/>
      <c r="AM10" s="563"/>
      <c r="AN10" s="563"/>
      <c r="AO10" s="267"/>
      <c r="AP10" s="269"/>
      <c r="AQ10" s="270"/>
      <c r="AR10" s="267"/>
      <c r="AS10" s="267"/>
      <c r="AT10" s="267"/>
      <c r="AU10" s="267"/>
      <c r="AV10" s="267"/>
      <c r="AW10" s="267"/>
      <c r="AX10" s="267"/>
      <c r="AY10" s="267"/>
      <c r="AZ10" s="267"/>
      <c r="BA10" s="267"/>
      <c r="BB10" s="267"/>
      <c r="BC10" s="267"/>
      <c r="BD10" s="267"/>
      <c r="BE10" s="267"/>
      <c r="BF10" s="267"/>
      <c r="BG10" s="267"/>
      <c r="BH10" s="267"/>
      <c r="BI10" s="267"/>
      <c r="BJ10" s="267"/>
      <c r="BK10" s="267"/>
      <c r="BL10" s="267"/>
      <c r="BM10" s="267"/>
      <c r="BN10" s="267"/>
      <c r="BO10" s="267"/>
      <c r="BP10" s="267"/>
      <c r="BQ10" s="267"/>
      <c r="BR10" s="267"/>
      <c r="BS10" s="267"/>
      <c r="BT10" s="267"/>
      <c r="BU10" s="267"/>
      <c r="BV10" s="267"/>
      <c r="BW10" s="267"/>
      <c r="BX10" s="267"/>
      <c r="BY10" s="267"/>
      <c r="BZ10" s="267"/>
      <c r="CA10" s="267"/>
      <c r="CB10" s="267"/>
      <c r="CC10" s="267"/>
      <c r="CD10" s="267"/>
      <c r="CE10" s="267"/>
      <c r="CF10" s="267"/>
      <c r="CG10" s="267"/>
      <c r="CH10" s="267"/>
      <c r="CI10" s="267"/>
      <c r="CJ10" s="267"/>
      <c r="CK10" s="267"/>
      <c r="CL10" s="267"/>
      <c r="CM10" s="267"/>
      <c r="CN10" s="267"/>
    </row>
    <row r="11" spans="1:137">
      <c r="A11" s="595"/>
      <c r="B11" s="598"/>
      <c r="C11" s="599"/>
      <c r="D11" s="1166" t="s">
        <v>934</v>
      </c>
      <c r="E11" s="1164" t="s">
        <v>931</v>
      </c>
      <c r="F11" s="562">
        <v>1</v>
      </c>
      <c r="G11" s="563">
        <f>AQ11</f>
        <v>6000</v>
      </c>
      <c r="H11" s="563">
        <f>G11/12*F11</f>
        <v>500</v>
      </c>
      <c r="I11" s="563">
        <f t="shared" ref="I11:I47" si="0">H11*12</f>
        <v>6000</v>
      </c>
      <c r="J11" s="1165">
        <f t="shared" ref="J11:J50" si="1">SUM(K11:AN11)</f>
        <v>180000</v>
      </c>
      <c r="K11" s="563">
        <f>I11</f>
        <v>6000</v>
      </c>
      <c r="L11" s="563">
        <f>I11</f>
        <v>6000</v>
      </c>
      <c r="M11" s="563">
        <f t="shared" ref="M11:M15" si="2">K11</f>
        <v>6000</v>
      </c>
      <c r="N11" s="563">
        <f t="shared" ref="N11:N15" si="3">L11</f>
        <v>6000</v>
      </c>
      <c r="O11" s="563">
        <f t="shared" ref="O11:O15" si="4">M11</f>
        <v>6000</v>
      </c>
      <c r="P11" s="563">
        <f t="shared" ref="P11:P15" si="5">N11</f>
        <v>6000</v>
      </c>
      <c r="Q11" s="563">
        <f t="shared" ref="Q11:Q15" si="6">O11</f>
        <v>6000</v>
      </c>
      <c r="R11" s="563">
        <f t="shared" ref="R11:R15" si="7">P11</f>
        <v>6000</v>
      </c>
      <c r="S11" s="563">
        <f t="shared" ref="S11:S15" si="8">Q11</f>
        <v>6000</v>
      </c>
      <c r="T11" s="563">
        <f t="shared" ref="T11:T15" si="9">R11</f>
        <v>6000</v>
      </c>
      <c r="U11" s="563">
        <f t="shared" ref="U11:U15" si="10">S11</f>
        <v>6000</v>
      </c>
      <c r="V11" s="563">
        <f t="shared" ref="V11:V15" si="11">T11</f>
        <v>6000</v>
      </c>
      <c r="W11" s="563">
        <f t="shared" ref="W11:W15" si="12">U11</f>
        <v>6000</v>
      </c>
      <c r="X11" s="563">
        <f t="shared" ref="X11:X15" si="13">V11</f>
        <v>6000</v>
      </c>
      <c r="Y11" s="563">
        <f t="shared" ref="Y11:Y15" si="14">W11</f>
        <v>6000</v>
      </c>
      <c r="Z11" s="563">
        <f t="shared" ref="Z11:Z15" si="15">X11</f>
        <v>6000</v>
      </c>
      <c r="AA11" s="563">
        <f t="shared" ref="AA11:AA15" si="16">Y11</f>
        <v>6000</v>
      </c>
      <c r="AB11" s="563">
        <f t="shared" ref="AB11:AB15" si="17">Z11</f>
        <v>6000</v>
      </c>
      <c r="AC11" s="563">
        <f t="shared" ref="AC11:AC15" si="18">AA11</f>
        <v>6000</v>
      </c>
      <c r="AD11" s="563">
        <f t="shared" ref="AD11:AD15" si="19">AB11</f>
        <v>6000</v>
      </c>
      <c r="AE11" s="563">
        <f t="shared" ref="AE11:AE15" si="20">AC11</f>
        <v>6000</v>
      </c>
      <c r="AF11" s="563">
        <f t="shared" ref="AF11:AF15" si="21">AD11</f>
        <v>6000</v>
      </c>
      <c r="AG11" s="563">
        <f t="shared" ref="AG11:AG15" si="22">AE11</f>
        <v>6000</v>
      </c>
      <c r="AH11" s="563">
        <f t="shared" ref="AH11:AH15" si="23">AF11</f>
        <v>6000</v>
      </c>
      <c r="AI11" s="563">
        <f t="shared" ref="AI11:AI15" si="24">AG11</f>
        <v>6000</v>
      </c>
      <c r="AJ11" s="563">
        <f t="shared" ref="AJ11:AJ15" si="25">AH11</f>
        <v>6000</v>
      </c>
      <c r="AK11" s="563">
        <f t="shared" ref="AK11:AK15" si="26">AI11</f>
        <v>6000</v>
      </c>
      <c r="AL11" s="563">
        <f t="shared" ref="AL11:AL15" si="27">AJ11</f>
        <v>6000</v>
      </c>
      <c r="AM11" s="563">
        <f t="shared" ref="AM11:AM15" si="28">AK11</f>
        <v>6000</v>
      </c>
      <c r="AN11" s="563">
        <f t="shared" ref="AN11:AN15" si="29">AL11</f>
        <v>6000</v>
      </c>
      <c r="AO11" s="267"/>
      <c r="AP11" s="269"/>
      <c r="AQ11" s="270">
        <f>1000*6</f>
        <v>6000</v>
      </c>
      <c r="AR11" s="267" t="s">
        <v>935</v>
      </c>
      <c r="AS11" s="267"/>
      <c r="AT11" s="267"/>
      <c r="AU11" s="267"/>
      <c r="AV11" s="267"/>
      <c r="AW11" s="267"/>
      <c r="AX11" s="267"/>
      <c r="AY11" s="267"/>
      <c r="AZ11" s="267"/>
      <c r="BA11" s="267"/>
      <c r="BB11" s="267"/>
      <c r="BC11" s="267"/>
      <c r="BD11" s="267"/>
      <c r="BE11" s="267"/>
      <c r="BF11" s="267"/>
      <c r="BG11" s="267"/>
      <c r="BH11" s="267"/>
      <c r="BI11" s="267"/>
      <c r="BJ11" s="267"/>
      <c r="BK11" s="267"/>
      <c r="BL11" s="267"/>
      <c r="BM11" s="267"/>
      <c r="BN11" s="267"/>
      <c r="BO11" s="267"/>
      <c r="BP11" s="267"/>
      <c r="BQ11" s="267"/>
      <c r="BR11" s="267"/>
      <c r="BS11" s="267"/>
      <c r="BT11" s="267"/>
      <c r="BU11" s="267"/>
      <c r="BV11" s="267"/>
      <c r="BW11" s="267"/>
      <c r="BX11" s="267"/>
      <c r="BY11" s="267"/>
      <c r="BZ11" s="267"/>
      <c r="CA11" s="267"/>
      <c r="CB11" s="267"/>
      <c r="CC11" s="267"/>
      <c r="CD11" s="267"/>
      <c r="CE11" s="267"/>
      <c r="CF11" s="267"/>
      <c r="CG11" s="267"/>
      <c r="CH11" s="267"/>
      <c r="CI11" s="267"/>
      <c r="CJ11" s="267"/>
      <c r="CK11" s="267"/>
      <c r="CL11" s="267"/>
      <c r="CM11" s="267"/>
      <c r="CN11" s="267"/>
    </row>
    <row r="12" spans="1:137" hidden="1">
      <c r="A12" s="595"/>
      <c r="B12" s="598"/>
      <c r="C12" s="599"/>
      <c r="D12" s="1166" t="s">
        <v>936</v>
      </c>
      <c r="E12" s="1164" t="s">
        <v>937</v>
      </c>
      <c r="F12" s="562"/>
      <c r="G12" s="563">
        <f t="shared" ref="G12:G15" si="30">AQ12</f>
        <v>0</v>
      </c>
      <c r="H12" s="563">
        <f>G12/12*F12</f>
        <v>0</v>
      </c>
      <c r="I12" s="563">
        <f t="shared" si="0"/>
        <v>0</v>
      </c>
      <c r="J12" s="1165">
        <f t="shared" si="1"/>
        <v>0</v>
      </c>
      <c r="K12" s="563">
        <f>I12</f>
        <v>0</v>
      </c>
      <c r="L12" s="563">
        <f>I12</f>
        <v>0</v>
      </c>
      <c r="M12" s="563">
        <f t="shared" si="2"/>
        <v>0</v>
      </c>
      <c r="N12" s="563">
        <f t="shared" si="3"/>
        <v>0</v>
      </c>
      <c r="O12" s="563">
        <f t="shared" si="4"/>
        <v>0</v>
      </c>
      <c r="P12" s="563">
        <f t="shared" si="5"/>
        <v>0</v>
      </c>
      <c r="Q12" s="563">
        <f t="shared" si="6"/>
        <v>0</v>
      </c>
      <c r="R12" s="563">
        <f t="shared" si="7"/>
        <v>0</v>
      </c>
      <c r="S12" s="563">
        <f t="shared" si="8"/>
        <v>0</v>
      </c>
      <c r="T12" s="563">
        <f t="shared" si="9"/>
        <v>0</v>
      </c>
      <c r="U12" s="563">
        <f t="shared" si="10"/>
        <v>0</v>
      </c>
      <c r="V12" s="563">
        <f t="shared" si="11"/>
        <v>0</v>
      </c>
      <c r="W12" s="563">
        <f t="shared" si="12"/>
        <v>0</v>
      </c>
      <c r="X12" s="563">
        <f t="shared" si="13"/>
        <v>0</v>
      </c>
      <c r="Y12" s="563">
        <f t="shared" si="14"/>
        <v>0</v>
      </c>
      <c r="Z12" s="563">
        <f t="shared" si="15"/>
        <v>0</v>
      </c>
      <c r="AA12" s="563">
        <f t="shared" si="16"/>
        <v>0</v>
      </c>
      <c r="AB12" s="563">
        <f t="shared" si="17"/>
        <v>0</v>
      </c>
      <c r="AC12" s="563">
        <f t="shared" si="18"/>
        <v>0</v>
      </c>
      <c r="AD12" s="563">
        <f t="shared" si="19"/>
        <v>0</v>
      </c>
      <c r="AE12" s="563">
        <f t="shared" si="20"/>
        <v>0</v>
      </c>
      <c r="AF12" s="563">
        <f t="shared" si="21"/>
        <v>0</v>
      </c>
      <c r="AG12" s="563">
        <f t="shared" si="22"/>
        <v>0</v>
      </c>
      <c r="AH12" s="563">
        <f t="shared" si="23"/>
        <v>0</v>
      </c>
      <c r="AI12" s="563">
        <f t="shared" si="24"/>
        <v>0</v>
      </c>
      <c r="AJ12" s="563">
        <f t="shared" si="25"/>
        <v>0</v>
      </c>
      <c r="AK12" s="563">
        <f t="shared" si="26"/>
        <v>0</v>
      </c>
      <c r="AL12" s="563">
        <f t="shared" si="27"/>
        <v>0</v>
      </c>
      <c r="AM12" s="563">
        <f t="shared" si="28"/>
        <v>0</v>
      </c>
      <c r="AN12" s="563">
        <f t="shared" si="29"/>
        <v>0</v>
      </c>
      <c r="AO12" s="267"/>
      <c r="AP12" s="269"/>
      <c r="AQ12" s="270"/>
      <c r="AR12" s="267" t="s">
        <v>935</v>
      </c>
      <c r="AS12" s="267"/>
      <c r="AT12" s="267"/>
      <c r="AU12" s="267"/>
      <c r="AV12" s="267"/>
      <c r="AW12" s="267"/>
      <c r="AX12" s="267"/>
      <c r="AY12" s="267"/>
      <c r="AZ12" s="267"/>
      <c r="BA12" s="267"/>
      <c r="BB12" s="267"/>
      <c r="BC12" s="267"/>
      <c r="BD12" s="267"/>
      <c r="BE12" s="267"/>
      <c r="BF12" s="267"/>
      <c r="BG12" s="267"/>
      <c r="BH12" s="267"/>
      <c r="BI12" s="267"/>
      <c r="BJ12" s="267"/>
      <c r="BK12" s="267"/>
      <c r="BL12" s="267"/>
      <c r="BM12" s="267"/>
      <c r="BN12" s="267"/>
      <c r="BO12" s="267"/>
      <c r="BP12" s="267"/>
      <c r="BQ12" s="267"/>
      <c r="BR12" s="267"/>
      <c r="BS12" s="267"/>
      <c r="BT12" s="267"/>
      <c r="BU12" s="267"/>
      <c r="BV12" s="267"/>
      <c r="BW12" s="267"/>
      <c r="BX12" s="267"/>
      <c r="BY12" s="267"/>
      <c r="BZ12" s="267"/>
      <c r="CA12" s="267"/>
      <c r="CB12" s="267"/>
      <c r="CC12" s="267"/>
      <c r="CD12" s="267"/>
      <c r="CE12" s="267"/>
      <c r="CF12" s="267"/>
      <c r="CG12" s="267"/>
      <c r="CH12" s="267"/>
      <c r="CI12" s="267"/>
      <c r="CJ12" s="267"/>
      <c r="CK12" s="267"/>
      <c r="CL12" s="267"/>
      <c r="CM12" s="267"/>
      <c r="CN12" s="267"/>
    </row>
    <row r="13" spans="1:137" hidden="1">
      <c r="A13" s="595"/>
      <c r="B13" s="598"/>
      <c r="C13" s="599"/>
      <c r="D13" s="1166" t="s">
        <v>938</v>
      </c>
      <c r="E13" s="1164" t="s">
        <v>939</v>
      </c>
      <c r="F13" s="562"/>
      <c r="G13" s="563">
        <f t="shared" si="30"/>
        <v>0</v>
      </c>
      <c r="H13" s="563">
        <f>G13/12*F13</f>
        <v>0</v>
      </c>
      <c r="I13" s="563">
        <f t="shared" si="0"/>
        <v>0</v>
      </c>
      <c r="J13" s="1165">
        <f t="shared" si="1"/>
        <v>0</v>
      </c>
      <c r="K13" s="563">
        <f>I13</f>
        <v>0</v>
      </c>
      <c r="L13" s="563">
        <f>I13</f>
        <v>0</v>
      </c>
      <c r="M13" s="563">
        <f t="shared" si="2"/>
        <v>0</v>
      </c>
      <c r="N13" s="563">
        <f t="shared" si="3"/>
        <v>0</v>
      </c>
      <c r="O13" s="563">
        <f t="shared" si="4"/>
        <v>0</v>
      </c>
      <c r="P13" s="563">
        <f t="shared" si="5"/>
        <v>0</v>
      </c>
      <c r="Q13" s="563">
        <f t="shared" si="6"/>
        <v>0</v>
      </c>
      <c r="R13" s="563">
        <f t="shared" si="7"/>
        <v>0</v>
      </c>
      <c r="S13" s="563">
        <f t="shared" si="8"/>
        <v>0</v>
      </c>
      <c r="T13" s="563">
        <f t="shared" si="9"/>
        <v>0</v>
      </c>
      <c r="U13" s="563">
        <f t="shared" si="10"/>
        <v>0</v>
      </c>
      <c r="V13" s="563">
        <f t="shared" si="11"/>
        <v>0</v>
      </c>
      <c r="W13" s="563">
        <f t="shared" si="12"/>
        <v>0</v>
      </c>
      <c r="X13" s="563">
        <f t="shared" si="13"/>
        <v>0</v>
      </c>
      <c r="Y13" s="563">
        <f t="shared" si="14"/>
        <v>0</v>
      </c>
      <c r="Z13" s="563">
        <f t="shared" si="15"/>
        <v>0</v>
      </c>
      <c r="AA13" s="563">
        <f t="shared" si="16"/>
        <v>0</v>
      </c>
      <c r="AB13" s="563">
        <f t="shared" si="17"/>
        <v>0</v>
      </c>
      <c r="AC13" s="563">
        <f t="shared" si="18"/>
        <v>0</v>
      </c>
      <c r="AD13" s="563">
        <f t="shared" si="19"/>
        <v>0</v>
      </c>
      <c r="AE13" s="563">
        <f t="shared" si="20"/>
        <v>0</v>
      </c>
      <c r="AF13" s="563">
        <f t="shared" si="21"/>
        <v>0</v>
      </c>
      <c r="AG13" s="563">
        <f t="shared" si="22"/>
        <v>0</v>
      </c>
      <c r="AH13" s="563">
        <f t="shared" si="23"/>
        <v>0</v>
      </c>
      <c r="AI13" s="563">
        <f t="shared" si="24"/>
        <v>0</v>
      </c>
      <c r="AJ13" s="563">
        <f t="shared" si="25"/>
        <v>0</v>
      </c>
      <c r="AK13" s="563">
        <f t="shared" si="26"/>
        <v>0</v>
      </c>
      <c r="AL13" s="563">
        <f t="shared" si="27"/>
        <v>0</v>
      </c>
      <c r="AM13" s="563">
        <f t="shared" si="28"/>
        <v>0</v>
      </c>
      <c r="AN13" s="563">
        <f t="shared" si="29"/>
        <v>0</v>
      </c>
      <c r="AO13" s="267"/>
      <c r="AP13" s="269"/>
      <c r="AQ13" s="270"/>
      <c r="AR13" s="267" t="s">
        <v>940</v>
      </c>
      <c r="AS13" s="267"/>
      <c r="AT13" s="267"/>
      <c r="AU13" s="267"/>
      <c r="AV13" s="267"/>
      <c r="AW13" s="267"/>
      <c r="AX13" s="267"/>
      <c r="AY13" s="267"/>
      <c r="AZ13" s="267"/>
      <c r="BA13" s="267"/>
      <c r="BB13" s="267"/>
      <c r="BC13" s="267"/>
      <c r="BD13" s="267"/>
      <c r="BE13" s="267"/>
      <c r="BF13" s="267"/>
      <c r="BG13" s="267"/>
      <c r="BH13" s="267"/>
      <c r="BI13" s="267"/>
      <c r="BJ13" s="267"/>
      <c r="BK13" s="267"/>
      <c r="BL13" s="267"/>
      <c r="BM13" s="267"/>
      <c r="BN13" s="267"/>
      <c r="BO13" s="267"/>
      <c r="BP13" s="267"/>
      <c r="BQ13" s="267"/>
      <c r="BR13" s="267"/>
      <c r="BS13" s="267"/>
      <c r="BT13" s="267"/>
      <c r="BU13" s="267"/>
      <c r="BV13" s="267"/>
      <c r="BW13" s="267"/>
      <c r="BX13" s="267"/>
      <c r="BY13" s="267"/>
      <c r="BZ13" s="267"/>
      <c r="CA13" s="267"/>
      <c r="CB13" s="267"/>
      <c r="CC13" s="267"/>
      <c r="CD13" s="267"/>
      <c r="CE13" s="267"/>
      <c r="CF13" s="267"/>
      <c r="CG13" s="267"/>
      <c r="CH13" s="267"/>
      <c r="CI13" s="267"/>
      <c r="CJ13" s="267"/>
      <c r="CK13" s="267"/>
      <c r="CL13" s="267"/>
      <c r="CM13" s="267"/>
      <c r="CN13" s="267"/>
    </row>
    <row r="14" spans="1:137" hidden="1">
      <c r="A14" s="595"/>
      <c r="B14" s="598"/>
      <c r="C14" s="599"/>
      <c r="D14" s="1166" t="s">
        <v>941</v>
      </c>
      <c r="E14" s="1164" t="s">
        <v>942</v>
      </c>
      <c r="F14" s="562"/>
      <c r="G14" s="563">
        <f t="shared" si="30"/>
        <v>0</v>
      </c>
      <c r="H14" s="563">
        <f>G14/12*F14</f>
        <v>0</v>
      </c>
      <c r="I14" s="563">
        <f t="shared" si="0"/>
        <v>0</v>
      </c>
      <c r="J14" s="1165">
        <f t="shared" si="1"/>
        <v>0</v>
      </c>
      <c r="K14" s="563">
        <f>I14*0.25</f>
        <v>0</v>
      </c>
      <c r="L14" s="563">
        <f>I14</f>
        <v>0</v>
      </c>
      <c r="M14" s="563">
        <f t="shared" si="2"/>
        <v>0</v>
      </c>
      <c r="N14" s="563">
        <f t="shared" si="3"/>
        <v>0</v>
      </c>
      <c r="O14" s="563">
        <f t="shared" si="4"/>
        <v>0</v>
      </c>
      <c r="P14" s="563">
        <f t="shared" si="5"/>
        <v>0</v>
      </c>
      <c r="Q14" s="563">
        <f t="shared" si="6"/>
        <v>0</v>
      </c>
      <c r="R14" s="563">
        <f t="shared" si="7"/>
        <v>0</v>
      </c>
      <c r="S14" s="563">
        <f t="shared" si="8"/>
        <v>0</v>
      </c>
      <c r="T14" s="563">
        <f t="shared" si="9"/>
        <v>0</v>
      </c>
      <c r="U14" s="563">
        <f t="shared" si="10"/>
        <v>0</v>
      </c>
      <c r="V14" s="563">
        <f t="shared" si="11"/>
        <v>0</v>
      </c>
      <c r="W14" s="563">
        <f t="shared" si="12"/>
        <v>0</v>
      </c>
      <c r="X14" s="563">
        <f t="shared" si="13"/>
        <v>0</v>
      </c>
      <c r="Y14" s="563">
        <f t="shared" si="14"/>
        <v>0</v>
      </c>
      <c r="Z14" s="563">
        <f t="shared" si="15"/>
        <v>0</v>
      </c>
      <c r="AA14" s="563">
        <f t="shared" si="16"/>
        <v>0</v>
      </c>
      <c r="AB14" s="563">
        <f t="shared" si="17"/>
        <v>0</v>
      </c>
      <c r="AC14" s="563">
        <f t="shared" si="18"/>
        <v>0</v>
      </c>
      <c r="AD14" s="563">
        <f t="shared" si="19"/>
        <v>0</v>
      </c>
      <c r="AE14" s="563">
        <f t="shared" si="20"/>
        <v>0</v>
      </c>
      <c r="AF14" s="563">
        <f t="shared" si="21"/>
        <v>0</v>
      </c>
      <c r="AG14" s="563">
        <f t="shared" si="22"/>
        <v>0</v>
      </c>
      <c r="AH14" s="563">
        <f t="shared" si="23"/>
        <v>0</v>
      </c>
      <c r="AI14" s="563">
        <f t="shared" si="24"/>
        <v>0</v>
      </c>
      <c r="AJ14" s="563">
        <f t="shared" si="25"/>
        <v>0</v>
      </c>
      <c r="AK14" s="563">
        <f t="shared" si="26"/>
        <v>0</v>
      </c>
      <c r="AL14" s="563">
        <f t="shared" si="27"/>
        <v>0</v>
      </c>
      <c r="AM14" s="563">
        <f t="shared" si="28"/>
        <v>0</v>
      </c>
      <c r="AN14" s="563">
        <f t="shared" si="29"/>
        <v>0</v>
      </c>
      <c r="AO14" s="267"/>
      <c r="AP14" s="269"/>
      <c r="AQ14" s="270"/>
      <c r="AR14" s="267" t="s">
        <v>935</v>
      </c>
      <c r="AS14" s="267"/>
      <c r="AT14" s="267"/>
      <c r="AU14" s="267"/>
      <c r="AV14" s="267"/>
      <c r="AW14" s="267"/>
      <c r="AX14" s="267"/>
      <c r="AY14" s="267"/>
      <c r="AZ14" s="267"/>
      <c r="BA14" s="267"/>
      <c r="BB14" s="267"/>
      <c r="BC14" s="267"/>
      <c r="BD14" s="267"/>
      <c r="BE14" s="267"/>
      <c r="BF14" s="267"/>
      <c r="BG14" s="267"/>
      <c r="BH14" s="267"/>
      <c r="BI14" s="267"/>
      <c r="BJ14" s="267"/>
      <c r="BK14" s="267"/>
      <c r="BL14" s="267"/>
      <c r="BM14" s="267"/>
      <c r="BN14" s="267"/>
      <c r="BO14" s="267"/>
      <c r="BP14" s="267"/>
      <c r="BQ14" s="267"/>
      <c r="BR14" s="267"/>
      <c r="BS14" s="267"/>
      <c r="BT14" s="267"/>
      <c r="BU14" s="267"/>
      <c r="BV14" s="267"/>
      <c r="BW14" s="267"/>
      <c r="BX14" s="267"/>
      <c r="BY14" s="267"/>
      <c r="BZ14" s="267"/>
      <c r="CA14" s="267"/>
      <c r="CB14" s="267"/>
      <c r="CC14" s="267"/>
      <c r="CD14" s="267"/>
      <c r="CE14" s="267"/>
      <c r="CF14" s="267"/>
      <c r="CG14" s="267"/>
      <c r="CH14" s="267"/>
      <c r="CI14" s="267"/>
      <c r="CJ14" s="267"/>
      <c r="CK14" s="267"/>
      <c r="CL14" s="267"/>
      <c r="CM14" s="267"/>
      <c r="CN14" s="267"/>
    </row>
    <row r="15" spans="1:137" hidden="1">
      <c r="A15" s="595"/>
      <c r="B15" s="598"/>
      <c r="C15" s="599"/>
      <c r="D15" s="1166" t="s">
        <v>943</v>
      </c>
      <c r="E15" s="1164" t="s">
        <v>944</v>
      </c>
      <c r="F15" s="562"/>
      <c r="G15" s="563">
        <f t="shared" si="30"/>
        <v>0</v>
      </c>
      <c r="H15" s="563">
        <f>G15/12*F15</f>
        <v>0</v>
      </c>
      <c r="I15" s="563">
        <f t="shared" si="0"/>
        <v>0</v>
      </c>
      <c r="J15" s="1165">
        <f t="shared" si="1"/>
        <v>0</v>
      </c>
      <c r="K15" s="563">
        <f>I15*0.25</f>
        <v>0</v>
      </c>
      <c r="L15" s="563">
        <f>I15</f>
        <v>0</v>
      </c>
      <c r="M15" s="563">
        <f t="shared" si="2"/>
        <v>0</v>
      </c>
      <c r="N15" s="563">
        <f t="shared" si="3"/>
        <v>0</v>
      </c>
      <c r="O15" s="563">
        <f t="shared" si="4"/>
        <v>0</v>
      </c>
      <c r="P15" s="563">
        <f t="shared" si="5"/>
        <v>0</v>
      </c>
      <c r="Q15" s="563">
        <f t="shared" si="6"/>
        <v>0</v>
      </c>
      <c r="R15" s="563">
        <f t="shared" si="7"/>
        <v>0</v>
      </c>
      <c r="S15" s="563">
        <f t="shared" si="8"/>
        <v>0</v>
      </c>
      <c r="T15" s="563">
        <f t="shared" si="9"/>
        <v>0</v>
      </c>
      <c r="U15" s="563">
        <f t="shared" si="10"/>
        <v>0</v>
      </c>
      <c r="V15" s="563">
        <f t="shared" si="11"/>
        <v>0</v>
      </c>
      <c r="W15" s="563">
        <f t="shared" si="12"/>
        <v>0</v>
      </c>
      <c r="X15" s="563">
        <f t="shared" si="13"/>
        <v>0</v>
      </c>
      <c r="Y15" s="563">
        <f t="shared" si="14"/>
        <v>0</v>
      </c>
      <c r="Z15" s="563">
        <f t="shared" si="15"/>
        <v>0</v>
      </c>
      <c r="AA15" s="563">
        <f t="shared" si="16"/>
        <v>0</v>
      </c>
      <c r="AB15" s="563">
        <f t="shared" si="17"/>
        <v>0</v>
      </c>
      <c r="AC15" s="563">
        <f t="shared" si="18"/>
        <v>0</v>
      </c>
      <c r="AD15" s="563">
        <f t="shared" si="19"/>
        <v>0</v>
      </c>
      <c r="AE15" s="563">
        <f t="shared" si="20"/>
        <v>0</v>
      </c>
      <c r="AF15" s="563">
        <f t="shared" si="21"/>
        <v>0</v>
      </c>
      <c r="AG15" s="563">
        <f t="shared" si="22"/>
        <v>0</v>
      </c>
      <c r="AH15" s="563">
        <f t="shared" si="23"/>
        <v>0</v>
      </c>
      <c r="AI15" s="563">
        <f t="shared" si="24"/>
        <v>0</v>
      </c>
      <c r="AJ15" s="563">
        <f t="shared" si="25"/>
        <v>0</v>
      </c>
      <c r="AK15" s="563">
        <f t="shared" si="26"/>
        <v>0</v>
      </c>
      <c r="AL15" s="563">
        <f t="shared" si="27"/>
        <v>0</v>
      </c>
      <c r="AM15" s="563">
        <f t="shared" si="28"/>
        <v>0</v>
      </c>
      <c r="AN15" s="563">
        <f t="shared" si="29"/>
        <v>0</v>
      </c>
      <c r="AO15" s="267"/>
      <c r="AP15" s="269"/>
      <c r="AQ15" s="270"/>
      <c r="AR15" s="267" t="s">
        <v>935</v>
      </c>
      <c r="AS15" s="267"/>
      <c r="AT15" s="267"/>
      <c r="AU15" s="267"/>
      <c r="AV15" s="267"/>
      <c r="AW15" s="267"/>
      <c r="AX15" s="267"/>
      <c r="AY15" s="267"/>
      <c r="AZ15" s="267"/>
      <c r="BA15" s="267"/>
      <c r="BB15" s="267"/>
      <c r="BC15" s="267"/>
      <c r="BD15" s="267"/>
      <c r="BE15" s="267"/>
      <c r="BF15" s="267"/>
      <c r="BG15" s="267"/>
      <c r="BH15" s="267"/>
      <c r="BI15" s="267"/>
      <c r="BJ15" s="267"/>
      <c r="BK15" s="267"/>
      <c r="BL15" s="267"/>
      <c r="BM15" s="267"/>
      <c r="BN15" s="267"/>
      <c r="BO15" s="267"/>
      <c r="BP15" s="267"/>
      <c r="BQ15" s="267"/>
      <c r="BR15" s="267"/>
      <c r="BS15" s="267"/>
      <c r="BT15" s="267"/>
      <c r="BU15" s="267"/>
      <c r="BV15" s="267"/>
      <c r="BW15" s="267"/>
      <c r="BX15" s="267"/>
      <c r="BY15" s="267"/>
      <c r="BZ15" s="267"/>
      <c r="CA15" s="267"/>
      <c r="CB15" s="267"/>
      <c r="CC15" s="267"/>
      <c r="CD15" s="267"/>
      <c r="CE15" s="267"/>
      <c r="CF15" s="267"/>
      <c r="CG15" s="267"/>
      <c r="CH15" s="267"/>
      <c r="CI15" s="267"/>
      <c r="CJ15" s="267"/>
      <c r="CK15" s="267"/>
      <c r="CL15" s="267"/>
      <c r="CM15" s="267"/>
      <c r="CN15" s="267"/>
    </row>
    <row r="16" spans="1:137">
      <c r="A16" s="595"/>
      <c r="B16" s="598"/>
      <c r="C16" s="599"/>
      <c r="D16" s="1163" t="s">
        <v>945</v>
      </c>
      <c r="E16" s="1164"/>
      <c r="F16" s="562"/>
      <c r="G16" s="563"/>
      <c r="H16" s="563"/>
      <c r="I16" s="563"/>
      <c r="J16" s="1165"/>
      <c r="K16" s="563"/>
      <c r="L16" s="563"/>
      <c r="M16" s="563"/>
      <c r="N16" s="563"/>
      <c r="O16" s="563"/>
      <c r="P16" s="563"/>
      <c r="Q16" s="563"/>
      <c r="R16" s="563"/>
      <c r="S16" s="563"/>
      <c r="T16" s="563"/>
      <c r="U16" s="563"/>
      <c r="V16" s="563"/>
      <c r="W16" s="563"/>
      <c r="X16" s="563"/>
      <c r="Y16" s="563"/>
      <c r="Z16" s="563"/>
      <c r="AA16" s="563"/>
      <c r="AB16" s="563"/>
      <c r="AC16" s="563"/>
      <c r="AD16" s="563"/>
      <c r="AE16" s="563"/>
      <c r="AF16" s="563"/>
      <c r="AG16" s="563"/>
      <c r="AH16" s="563"/>
      <c r="AI16" s="563"/>
      <c r="AJ16" s="563"/>
      <c r="AK16" s="563"/>
      <c r="AL16" s="563"/>
      <c r="AM16" s="563"/>
      <c r="AN16" s="563"/>
      <c r="AO16" s="267"/>
      <c r="AP16" s="269"/>
      <c r="AQ16" s="270"/>
      <c r="AR16" s="267"/>
      <c r="AS16" s="267"/>
      <c r="AT16" s="267"/>
      <c r="AU16" s="267"/>
      <c r="AV16" s="267"/>
      <c r="AW16" s="267"/>
      <c r="AX16" s="267"/>
      <c r="AY16" s="267"/>
      <c r="AZ16" s="267"/>
      <c r="BA16" s="267"/>
      <c r="BB16" s="267"/>
      <c r="BC16" s="267"/>
      <c r="BD16" s="267"/>
      <c r="BE16" s="267"/>
      <c r="BF16" s="267"/>
      <c r="BG16" s="267"/>
      <c r="BH16" s="267"/>
      <c r="BI16" s="267"/>
      <c r="BJ16" s="267"/>
      <c r="BK16" s="267"/>
      <c r="BL16" s="267"/>
      <c r="BM16" s="267"/>
      <c r="BN16" s="267"/>
      <c r="BO16" s="267"/>
      <c r="BP16" s="267"/>
      <c r="BQ16" s="267"/>
      <c r="BR16" s="267"/>
      <c r="BS16" s="267"/>
      <c r="BT16" s="267"/>
      <c r="BU16" s="267"/>
      <c r="BV16" s="267"/>
      <c r="BW16" s="267"/>
      <c r="BX16" s="267"/>
      <c r="BY16" s="267"/>
      <c r="BZ16" s="267"/>
      <c r="CA16" s="267"/>
      <c r="CB16" s="267"/>
      <c r="CC16" s="267"/>
      <c r="CD16" s="267"/>
      <c r="CE16" s="267"/>
      <c r="CF16" s="267"/>
      <c r="CG16" s="267"/>
      <c r="CH16" s="267"/>
      <c r="CI16" s="267"/>
      <c r="CJ16" s="267"/>
      <c r="CK16" s="267"/>
      <c r="CL16" s="267"/>
      <c r="CM16" s="267"/>
      <c r="CN16" s="267"/>
    </row>
    <row r="17" spans="1:92">
      <c r="A17" s="595"/>
      <c r="B17" s="598"/>
      <c r="C17" s="599"/>
      <c r="D17" s="1166" t="s">
        <v>934</v>
      </c>
      <c r="E17" s="1164" t="s">
        <v>931</v>
      </c>
      <c r="F17" s="562">
        <v>1</v>
      </c>
      <c r="G17" s="563">
        <f>AQ17</f>
        <v>36000</v>
      </c>
      <c r="H17" s="563">
        <f>G17/12*F17</f>
        <v>3000</v>
      </c>
      <c r="I17" s="563">
        <f t="shared" si="0"/>
        <v>36000</v>
      </c>
      <c r="J17" s="1165">
        <f t="shared" si="1"/>
        <v>810000</v>
      </c>
      <c r="K17" s="563">
        <f>I17*0.5</f>
        <v>18000</v>
      </c>
      <c r="L17" s="563">
        <f t="shared" ref="L17:L22" si="31">I17</f>
        <v>36000</v>
      </c>
      <c r="M17" s="563">
        <f t="shared" ref="M17:M22" si="32">K17</f>
        <v>18000</v>
      </c>
      <c r="N17" s="563">
        <f t="shared" ref="N17:N22" si="33">L17</f>
        <v>36000</v>
      </c>
      <c r="O17" s="563">
        <f t="shared" ref="O17:O22" si="34">M17</f>
        <v>18000</v>
      </c>
      <c r="P17" s="563">
        <f t="shared" ref="P17:P22" si="35">N17</f>
        <v>36000</v>
      </c>
      <c r="Q17" s="563">
        <f t="shared" ref="Q17:Q22" si="36">O17</f>
        <v>18000</v>
      </c>
      <c r="R17" s="563">
        <f t="shared" ref="R17:R22" si="37">P17</f>
        <v>36000</v>
      </c>
      <c r="S17" s="563">
        <f t="shared" ref="S17:S22" si="38">Q17</f>
        <v>18000</v>
      </c>
      <c r="T17" s="563">
        <f t="shared" ref="T17:T22" si="39">R17</f>
        <v>36000</v>
      </c>
      <c r="U17" s="563">
        <f t="shared" ref="U17:U22" si="40">S17</f>
        <v>18000</v>
      </c>
      <c r="V17" s="563">
        <f t="shared" ref="V17:V22" si="41">T17</f>
        <v>36000</v>
      </c>
      <c r="W17" s="563">
        <f t="shared" ref="W17:W22" si="42">U17</f>
        <v>18000</v>
      </c>
      <c r="X17" s="563">
        <f t="shared" ref="X17:X22" si="43">V17</f>
        <v>36000</v>
      </c>
      <c r="Y17" s="563">
        <f t="shared" ref="Y17:Y22" si="44">W17</f>
        <v>18000</v>
      </c>
      <c r="Z17" s="563">
        <f t="shared" ref="Z17:Z22" si="45">X17</f>
        <v>36000</v>
      </c>
      <c r="AA17" s="563">
        <f t="shared" ref="AA17:AA22" si="46">Y17</f>
        <v>18000</v>
      </c>
      <c r="AB17" s="563">
        <f t="shared" ref="AB17:AB22" si="47">Z17</f>
        <v>36000</v>
      </c>
      <c r="AC17" s="563">
        <f t="shared" ref="AC17:AC22" si="48">AA17</f>
        <v>18000</v>
      </c>
      <c r="AD17" s="563">
        <f t="shared" ref="AD17:AD22" si="49">AB17</f>
        <v>36000</v>
      </c>
      <c r="AE17" s="563">
        <f t="shared" ref="AE17:AE22" si="50">AC17</f>
        <v>18000</v>
      </c>
      <c r="AF17" s="563">
        <f t="shared" ref="AF17:AF22" si="51">AD17</f>
        <v>36000</v>
      </c>
      <c r="AG17" s="563">
        <f t="shared" ref="AG17:AG22" si="52">AE17</f>
        <v>18000</v>
      </c>
      <c r="AH17" s="563">
        <f t="shared" ref="AH17:AH22" si="53">AF17</f>
        <v>36000</v>
      </c>
      <c r="AI17" s="563">
        <f t="shared" ref="AI17:AI22" si="54">AG17</f>
        <v>18000</v>
      </c>
      <c r="AJ17" s="563">
        <f t="shared" ref="AJ17:AJ22" si="55">AH17</f>
        <v>36000</v>
      </c>
      <c r="AK17" s="563">
        <f t="shared" ref="AK17:AK22" si="56">AI17</f>
        <v>18000</v>
      </c>
      <c r="AL17" s="563">
        <f t="shared" ref="AL17:AL22" si="57">AJ17</f>
        <v>36000</v>
      </c>
      <c r="AM17" s="563">
        <f t="shared" ref="AM17:AM22" si="58">AK17</f>
        <v>18000</v>
      </c>
      <c r="AN17" s="563">
        <f t="shared" ref="AN17:AN22" si="59">AL17</f>
        <v>36000</v>
      </c>
      <c r="AO17" s="267"/>
      <c r="AP17" s="269"/>
      <c r="AQ17" s="270">
        <f>3000*12</f>
        <v>36000</v>
      </c>
      <c r="AR17" s="267" t="s">
        <v>946</v>
      </c>
      <c r="AS17" s="271"/>
      <c r="AT17" s="269"/>
      <c r="AU17" s="267"/>
      <c r="AV17" s="267"/>
      <c r="AW17" s="267"/>
      <c r="AX17" s="267"/>
      <c r="AY17" s="267"/>
      <c r="AZ17" s="267"/>
      <c r="BA17" s="267"/>
      <c r="BB17" s="267"/>
      <c r="BC17" s="267"/>
      <c r="BD17" s="267"/>
      <c r="BE17" s="267"/>
      <c r="BF17" s="267"/>
      <c r="BG17" s="267"/>
      <c r="BH17" s="267"/>
      <c r="BI17" s="267"/>
      <c r="BJ17" s="267"/>
      <c r="BK17" s="267"/>
      <c r="BL17" s="267"/>
      <c r="BM17" s="267"/>
      <c r="BN17" s="267"/>
      <c r="BO17" s="267"/>
      <c r="BP17" s="267"/>
      <c r="BQ17" s="267"/>
      <c r="BR17" s="267"/>
      <c r="BS17" s="267"/>
      <c r="BT17" s="267"/>
      <c r="BU17" s="267"/>
      <c r="BV17" s="267"/>
      <c r="BW17" s="267"/>
      <c r="BX17" s="267"/>
      <c r="BY17" s="267"/>
      <c r="BZ17" s="267"/>
      <c r="CA17" s="267"/>
      <c r="CB17" s="267"/>
      <c r="CC17" s="267"/>
      <c r="CD17" s="267"/>
      <c r="CE17" s="267"/>
      <c r="CF17" s="267"/>
      <c r="CG17" s="267"/>
      <c r="CH17" s="267"/>
      <c r="CI17" s="267"/>
      <c r="CJ17" s="267"/>
      <c r="CK17" s="267"/>
      <c r="CL17" s="267"/>
      <c r="CM17" s="267"/>
      <c r="CN17" s="267"/>
    </row>
    <row r="18" spans="1:92" hidden="1">
      <c r="A18" s="595"/>
      <c r="B18" s="598"/>
      <c r="C18" s="599"/>
      <c r="D18" s="1166" t="s">
        <v>936</v>
      </c>
      <c r="E18" s="1164" t="s">
        <v>937</v>
      </c>
      <c r="F18" s="562"/>
      <c r="G18" s="563">
        <f t="shared" ref="G18:G26" si="60">AQ18</f>
        <v>0</v>
      </c>
      <c r="H18" s="563">
        <f t="shared" ref="H18:H22" si="61">G18/12*F18</f>
        <v>0</v>
      </c>
      <c r="I18" s="563">
        <f t="shared" si="0"/>
        <v>0</v>
      </c>
      <c r="J18" s="1165">
        <f t="shared" si="1"/>
        <v>0</v>
      </c>
      <c r="K18" s="563">
        <f>I18/12*3</f>
        <v>0</v>
      </c>
      <c r="L18" s="563">
        <f t="shared" si="31"/>
        <v>0</v>
      </c>
      <c r="M18" s="563">
        <f>L18</f>
        <v>0</v>
      </c>
      <c r="N18" s="563">
        <f t="shared" si="33"/>
        <v>0</v>
      </c>
      <c r="O18" s="563">
        <f t="shared" si="34"/>
        <v>0</v>
      </c>
      <c r="P18" s="563">
        <f t="shared" si="35"/>
        <v>0</v>
      </c>
      <c r="Q18" s="563">
        <f t="shared" si="36"/>
        <v>0</v>
      </c>
      <c r="R18" s="563">
        <f t="shared" si="37"/>
        <v>0</v>
      </c>
      <c r="S18" s="563">
        <f t="shared" si="38"/>
        <v>0</v>
      </c>
      <c r="T18" s="563">
        <f t="shared" si="39"/>
        <v>0</v>
      </c>
      <c r="U18" s="563">
        <f t="shared" si="40"/>
        <v>0</v>
      </c>
      <c r="V18" s="563">
        <f t="shared" si="41"/>
        <v>0</v>
      </c>
      <c r="W18" s="563">
        <f t="shared" si="42"/>
        <v>0</v>
      </c>
      <c r="X18" s="563">
        <f t="shared" si="43"/>
        <v>0</v>
      </c>
      <c r="Y18" s="563">
        <f t="shared" si="44"/>
        <v>0</v>
      </c>
      <c r="Z18" s="563">
        <f t="shared" si="45"/>
        <v>0</v>
      </c>
      <c r="AA18" s="563">
        <f t="shared" si="46"/>
        <v>0</v>
      </c>
      <c r="AB18" s="563">
        <f t="shared" si="47"/>
        <v>0</v>
      </c>
      <c r="AC18" s="563">
        <f t="shared" si="48"/>
        <v>0</v>
      </c>
      <c r="AD18" s="563">
        <f t="shared" si="49"/>
        <v>0</v>
      </c>
      <c r="AE18" s="563">
        <f t="shared" si="50"/>
        <v>0</v>
      </c>
      <c r="AF18" s="563">
        <f t="shared" si="51"/>
        <v>0</v>
      </c>
      <c r="AG18" s="563">
        <f t="shared" si="52"/>
        <v>0</v>
      </c>
      <c r="AH18" s="563">
        <f t="shared" si="53"/>
        <v>0</v>
      </c>
      <c r="AI18" s="563">
        <f t="shared" si="54"/>
        <v>0</v>
      </c>
      <c r="AJ18" s="563">
        <f t="shared" si="55"/>
        <v>0</v>
      </c>
      <c r="AK18" s="563">
        <f t="shared" si="56"/>
        <v>0</v>
      </c>
      <c r="AL18" s="563">
        <f t="shared" si="57"/>
        <v>0</v>
      </c>
      <c r="AM18" s="563">
        <f t="shared" si="58"/>
        <v>0</v>
      </c>
      <c r="AN18" s="563">
        <f t="shared" si="59"/>
        <v>0</v>
      </c>
      <c r="AO18" s="267"/>
      <c r="AP18" s="269"/>
      <c r="AQ18" s="270"/>
      <c r="AR18" s="267" t="s">
        <v>946</v>
      </c>
      <c r="AS18" s="267"/>
      <c r="AT18" s="267"/>
      <c r="AU18" s="267"/>
      <c r="AV18" s="267"/>
      <c r="AW18" s="267"/>
      <c r="AX18" s="267"/>
      <c r="AY18" s="267"/>
      <c r="AZ18" s="267"/>
      <c r="BA18" s="267"/>
      <c r="BB18" s="267"/>
      <c r="BC18" s="267"/>
      <c r="BD18" s="267"/>
      <c r="BE18" s="267"/>
      <c r="BF18" s="267"/>
      <c r="BG18" s="267"/>
      <c r="BH18" s="267"/>
      <c r="BI18" s="267"/>
      <c r="BJ18" s="267"/>
      <c r="BK18" s="267"/>
      <c r="BL18" s="267"/>
      <c r="BM18" s="267"/>
      <c r="BN18" s="267"/>
      <c r="BO18" s="267"/>
      <c r="BP18" s="267"/>
      <c r="BQ18" s="267"/>
      <c r="BR18" s="267"/>
      <c r="BS18" s="267"/>
      <c r="BT18" s="267"/>
      <c r="BU18" s="267"/>
      <c r="BV18" s="267"/>
      <c r="BW18" s="267"/>
      <c r="BX18" s="267"/>
      <c r="BY18" s="267"/>
      <c r="BZ18" s="267"/>
      <c r="CA18" s="267"/>
      <c r="CB18" s="267"/>
      <c r="CC18" s="267"/>
      <c r="CD18" s="267"/>
      <c r="CE18" s="267"/>
      <c r="CF18" s="267"/>
      <c r="CG18" s="267"/>
      <c r="CH18" s="267"/>
      <c r="CI18" s="267"/>
      <c r="CJ18" s="267"/>
      <c r="CK18" s="267"/>
      <c r="CL18" s="267"/>
      <c r="CM18" s="267"/>
      <c r="CN18" s="267"/>
    </row>
    <row r="19" spans="1:92">
      <c r="A19" s="595"/>
      <c r="B19" s="598"/>
      <c r="C19" s="599"/>
      <c r="D19" s="1166" t="s">
        <v>938</v>
      </c>
      <c r="E19" s="1164" t="s">
        <v>939</v>
      </c>
      <c r="F19" s="562">
        <v>3</v>
      </c>
      <c r="G19" s="563">
        <f t="shared" si="60"/>
        <v>14400</v>
      </c>
      <c r="H19" s="563">
        <f t="shared" si="61"/>
        <v>3600</v>
      </c>
      <c r="I19" s="563">
        <f t="shared" si="0"/>
        <v>43200</v>
      </c>
      <c r="J19" s="1165">
        <f t="shared" si="1"/>
        <v>1252800</v>
      </c>
      <c r="K19" s="563">
        <f>I19*0</f>
        <v>0</v>
      </c>
      <c r="L19" s="563">
        <f t="shared" si="31"/>
        <v>43200</v>
      </c>
      <c r="M19" s="563">
        <f>L19</f>
        <v>43200</v>
      </c>
      <c r="N19" s="563">
        <f t="shared" si="33"/>
        <v>43200</v>
      </c>
      <c r="O19" s="563">
        <f t="shared" si="34"/>
        <v>43200</v>
      </c>
      <c r="P19" s="563">
        <f t="shared" si="35"/>
        <v>43200</v>
      </c>
      <c r="Q19" s="563">
        <f t="shared" si="36"/>
        <v>43200</v>
      </c>
      <c r="R19" s="563">
        <f t="shared" si="37"/>
        <v>43200</v>
      </c>
      <c r="S19" s="563">
        <f t="shared" si="38"/>
        <v>43200</v>
      </c>
      <c r="T19" s="563">
        <f t="shared" si="39"/>
        <v>43200</v>
      </c>
      <c r="U19" s="563">
        <f t="shared" si="40"/>
        <v>43200</v>
      </c>
      <c r="V19" s="563">
        <f t="shared" si="41"/>
        <v>43200</v>
      </c>
      <c r="W19" s="563">
        <f t="shared" si="42"/>
        <v>43200</v>
      </c>
      <c r="X19" s="563">
        <f t="shared" si="43"/>
        <v>43200</v>
      </c>
      <c r="Y19" s="563">
        <f t="shared" si="44"/>
        <v>43200</v>
      </c>
      <c r="Z19" s="563">
        <f t="shared" si="45"/>
        <v>43200</v>
      </c>
      <c r="AA19" s="563">
        <f t="shared" si="46"/>
        <v>43200</v>
      </c>
      <c r="AB19" s="563">
        <f t="shared" si="47"/>
        <v>43200</v>
      </c>
      <c r="AC19" s="563">
        <f t="shared" si="48"/>
        <v>43200</v>
      </c>
      <c r="AD19" s="563">
        <f t="shared" si="49"/>
        <v>43200</v>
      </c>
      <c r="AE19" s="563">
        <f t="shared" si="50"/>
        <v>43200</v>
      </c>
      <c r="AF19" s="563">
        <f t="shared" si="51"/>
        <v>43200</v>
      </c>
      <c r="AG19" s="563">
        <f t="shared" si="52"/>
        <v>43200</v>
      </c>
      <c r="AH19" s="563">
        <f t="shared" si="53"/>
        <v>43200</v>
      </c>
      <c r="AI19" s="563">
        <f t="shared" si="54"/>
        <v>43200</v>
      </c>
      <c r="AJ19" s="563">
        <f t="shared" si="55"/>
        <v>43200</v>
      </c>
      <c r="AK19" s="563">
        <f t="shared" si="56"/>
        <v>43200</v>
      </c>
      <c r="AL19" s="563">
        <f t="shared" si="57"/>
        <v>43200</v>
      </c>
      <c r="AM19" s="563">
        <f t="shared" si="58"/>
        <v>43200</v>
      </c>
      <c r="AN19" s="563">
        <f t="shared" si="59"/>
        <v>43200</v>
      </c>
      <c r="AO19" s="267"/>
      <c r="AP19" s="269"/>
      <c r="AQ19" s="270">
        <f>1200*12</f>
        <v>14400</v>
      </c>
      <c r="AR19" s="267" t="s">
        <v>947</v>
      </c>
      <c r="AS19" s="267"/>
      <c r="AT19" s="267"/>
      <c r="AU19" s="267"/>
      <c r="AV19" s="267"/>
      <c r="AW19" s="267"/>
      <c r="AX19" s="267"/>
      <c r="AY19" s="267"/>
      <c r="AZ19" s="267"/>
      <c r="BA19" s="267"/>
      <c r="BB19" s="267"/>
      <c r="BC19" s="267"/>
      <c r="BD19" s="267"/>
      <c r="BE19" s="267"/>
      <c r="BF19" s="267"/>
      <c r="BG19" s="267"/>
      <c r="BH19" s="267"/>
      <c r="BI19" s="267"/>
      <c r="BJ19" s="267"/>
      <c r="BK19" s="267"/>
      <c r="BL19" s="267"/>
      <c r="BM19" s="267"/>
      <c r="BN19" s="267"/>
      <c r="BO19" s="267"/>
      <c r="BP19" s="267"/>
      <c r="BQ19" s="267"/>
      <c r="BR19" s="267"/>
      <c r="BS19" s="267"/>
      <c r="BT19" s="267"/>
      <c r="BU19" s="267"/>
      <c r="BV19" s="267"/>
      <c r="BW19" s="267"/>
      <c r="BX19" s="267"/>
      <c r="BY19" s="267"/>
      <c r="BZ19" s="267"/>
      <c r="CA19" s="267"/>
      <c r="CB19" s="267"/>
      <c r="CC19" s="267"/>
      <c r="CD19" s="267"/>
      <c r="CE19" s="267"/>
      <c r="CF19" s="267"/>
      <c r="CG19" s="267"/>
      <c r="CH19" s="267"/>
      <c r="CI19" s="267"/>
      <c r="CJ19" s="267"/>
      <c r="CK19" s="267"/>
      <c r="CL19" s="267"/>
      <c r="CM19" s="267"/>
      <c r="CN19" s="267"/>
    </row>
    <row r="20" spans="1:92">
      <c r="A20" s="595"/>
      <c r="B20" s="598"/>
      <c r="C20" s="599"/>
      <c r="D20" s="1166" t="s">
        <v>941</v>
      </c>
      <c r="E20" s="1164" t="s">
        <v>942</v>
      </c>
      <c r="F20" s="562">
        <v>1</v>
      </c>
      <c r="G20" s="563">
        <f t="shared" si="60"/>
        <v>36000</v>
      </c>
      <c r="H20" s="563">
        <f t="shared" si="61"/>
        <v>3000</v>
      </c>
      <c r="I20" s="563">
        <f t="shared" si="0"/>
        <v>36000</v>
      </c>
      <c r="J20" s="1165">
        <f t="shared" si="1"/>
        <v>675000</v>
      </c>
      <c r="K20" s="563">
        <f>I20*0.25</f>
        <v>9000</v>
      </c>
      <c r="L20" s="563">
        <f t="shared" si="31"/>
        <v>36000</v>
      </c>
      <c r="M20" s="563">
        <f t="shared" si="32"/>
        <v>9000</v>
      </c>
      <c r="N20" s="563">
        <f t="shared" si="33"/>
        <v>36000</v>
      </c>
      <c r="O20" s="563">
        <f t="shared" si="34"/>
        <v>9000</v>
      </c>
      <c r="P20" s="563">
        <f t="shared" si="35"/>
        <v>36000</v>
      </c>
      <c r="Q20" s="563">
        <f t="shared" si="36"/>
        <v>9000</v>
      </c>
      <c r="R20" s="563">
        <f t="shared" si="37"/>
        <v>36000</v>
      </c>
      <c r="S20" s="563">
        <f t="shared" si="38"/>
        <v>9000</v>
      </c>
      <c r="T20" s="563">
        <f t="shared" si="39"/>
        <v>36000</v>
      </c>
      <c r="U20" s="563">
        <f t="shared" si="40"/>
        <v>9000</v>
      </c>
      <c r="V20" s="563">
        <f t="shared" si="41"/>
        <v>36000</v>
      </c>
      <c r="W20" s="563">
        <f t="shared" si="42"/>
        <v>9000</v>
      </c>
      <c r="X20" s="563">
        <f t="shared" si="43"/>
        <v>36000</v>
      </c>
      <c r="Y20" s="563">
        <f t="shared" si="44"/>
        <v>9000</v>
      </c>
      <c r="Z20" s="563">
        <f t="shared" si="45"/>
        <v>36000</v>
      </c>
      <c r="AA20" s="563">
        <f t="shared" si="46"/>
        <v>9000</v>
      </c>
      <c r="AB20" s="563">
        <f t="shared" si="47"/>
        <v>36000</v>
      </c>
      <c r="AC20" s="563">
        <f t="shared" si="48"/>
        <v>9000</v>
      </c>
      <c r="AD20" s="563">
        <f t="shared" si="49"/>
        <v>36000</v>
      </c>
      <c r="AE20" s="563">
        <f t="shared" si="50"/>
        <v>9000</v>
      </c>
      <c r="AF20" s="563">
        <f t="shared" si="51"/>
        <v>36000</v>
      </c>
      <c r="AG20" s="563">
        <f t="shared" si="52"/>
        <v>9000</v>
      </c>
      <c r="AH20" s="563">
        <f t="shared" si="53"/>
        <v>36000</v>
      </c>
      <c r="AI20" s="563">
        <f t="shared" si="54"/>
        <v>9000</v>
      </c>
      <c r="AJ20" s="563">
        <f t="shared" si="55"/>
        <v>36000</v>
      </c>
      <c r="AK20" s="563">
        <f t="shared" si="56"/>
        <v>9000</v>
      </c>
      <c r="AL20" s="563">
        <f t="shared" si="57"/>
        <v>36000</v>
      </c>
      <c r="AM20" s="563">
        <f t="shared" si="58"/>
        <v>9000</v>
      </c>
      <c r="AN20" s="563">
        <f t="shared" si="59"/>
        <v>36000</v>
      </c>
      <c r="AO20" s="267"/>
      <c r="AP20" s="269"/>
      <c r="AQ20" s="270">
        <f>3000*12</f>
        <v>36000</v>
      </c>
      <c r="AR20" s="267" t="s">
        <v>948</v>
      </c>
      <c r="AS20" s="267"/>
      <c r="AT20" s="267"/>
      <c r="AU20" s="267"/>
      <c r="AV20" s="267"/>
      <c r="AW20" s="267"/>
      <c r="AX20" s="267"/>
      <c r="AY20" s="267"/>
      <c r="AZ20" s="267"/>
      <c r="BA20" s="267"/>
      <c r="BB20" s="267"/>
      <c r="BC20" s="267"/>
      <c r="BD20" s="267"/>
      <c r="BE20" s="267"/>
      <c r="BF20" s="267"/>
      <c r="BG20" s="267"/>
      <c r="BH20" s="267"/>
      <c r="BI20" s="267"/>
      <c r="BJ20" s="267"/>
      <c r="BK20" s="267"/>
      <c r="BL20" s="267"/>
      <c r="BM20" s="267"/>
      <c r="BN20" s="267"/>
      <c r="BO20" s="267"/>
      <c r="BP20" s="267"/>
      <c r="BQ20" s="267"/>
      <c r="BR20" s="267"/>
      <c r="BS20" s="267"/>
      <c r="BT20" s="267"/>
      <c r="BU20" s="267"/>
      <c r="BV20" s="267"/>
      <c r="BW20" s="267"/>
      <c r="BX20" s="267"/>
      <c r="BY20" s="267"/>
      <c r="BZ20" s="267"/>
      <c r="CA20" s="267"/>
      <c r="CB20" s="267"/>
      <c r="CC20" s="267"/>
      <c r="CD20" s="267"/>
      <c r="CE20" s="267"/>
      <c r="CF20" s="267"/>
      <c r="CG20" s="267"/>
      <c r="CH20" s="267"/>
      <c r="CI20" s="267"/>
      <c r="CJ20" s="267"/>
      <c r="CK20" s="267"/>
      <c r="CL20" s="267"/>
      <c r="CM20" s="267"/>
      <c r="CN20" s="267"/>
    </row>
    <row r="21" spans="1:92">
      <c r="A21" s="595"/>
      <c r="B21" s="598"/>
      <c r="C21" s="599"/>
      <c r="D21" s="1166" t="s">
        <v>467</v>
      </c>
      <c r="E21" s="1164" t="s">
        <v>944</v>
      </c>
      <c r="F21" s="562">
        <v>3</v>
      </c>
      <c r="G21" s="563">
        <f t="shared" si="60"/>
        <v>14400</v>
      </c>
      <c r="H21" s="563">
        <f t="shared" si="61"/>
        <v>3600</v>
      </c>
      <c r="I21" s="563">
        <f t="shared" si="0"/>
        <v>43200</v>
      </c>
      <c r="J21" s="1165">
        <f t="shared" si="1"/>
        <v>810000</v>
      </c>
      <c r="K21" s="563">
        <f>I21*0.25</f>
        <v>10800</v>
      </c>
      <c r="L21" s="563">
        <f t="shared" si="31"/>
        <v>43200</v>
      </c>
      <c r="M21" s="563">
        <f t="shared" si="32"/>
        <v>10800</v>
      </c>
      <c r="N21" s="563">
        <f t="shared" si="33"/>
        <v>43200</v>
      </c>
      <c r="O21" s="563">
        <f t="shared" si="34"/>
        <v>10800</v>
      </c>
      <c r="P21" s="563">
        <f t="shared" si="35"/>
        <v>43200</v>
      </c>
      <c r="Q21" s="563">
        <f t="shared" si="36"/>
        <v>10800</v>
      </c>
      <c r="R21" s="563">
        <f t="shared" si="37"/>
        <v>43200</v>
      </c>
      <c r="S21" s="563">
        <f t="shared" si="38"/>
        <v>10800</v>
      </c>
      <c r="T21" s="563">
        <f t="shared" si="39"/>
        <v>43200</v>
      </c>
      <c r="U21" s="563">
        <f t="shared" si="40"/>
        <v>10800</v>
      </c>
      <c r="V21" s="563">
        <f t="shared" si="41"/>
        <v>43200</v>
      </c>
      <c r="W21" s="563">
        <f t="shared" si="42"/>
        <v>10800</v>
      </c>
      <c r="X21" s="563">
        <f t="shared" si="43"/>
        <v>43200</v>
      </c>
      <c r="Y21" s="563">
        <f t="shared" si="44"/>
        <v>10800</v>
      </c>
      <c r="Z21" s="563">
        <f t="shared" si="45"/>
        <v>43200</v>
      </c>
      <c r="AA21" s="563">
        <f t="shared" si="46"/>
        <v>10800</v>
      </c>
      <c r="AB21" s="563">
        <f t="shared" si="47"/>
        <v>43200</v>
      </c>
      <c r="AC21" s="563">
        <f t="shared" si="48"/>
        <v>10800</v>
      </c>
      <c r="AD21" s="563">
        <f t="shared" si="49"/>
        <v>43200</v>
      </c>
      <c r="AE21" s="563">
        <f t="shared" si="50"/>
        <v>10800</v>
      </c>
      <c r="AF21" s="563">
        <f t="shared" si="51"/>
        <v>43200</v>
      </c>
      <c r="AG21" s="563">
        <f t="shared" si="52"/>
        <v>10800</v>
      </c>
      <c r="AH21" s="563">
        <f t="shared" si="53"/>
        <v>43200</v>
      </c>
      <c r="AI21" s="563">
        <f t="shared" si="54"/>
        <v>10800</v>
      </c>
      <c r="AJ21" s="563">
        <f t="shared" si="55"/>
        <v>43200</v>
      </c>
      <c r="AK21" s="563">
        <f t="shared" si="56"/>
        <v>10800</v>
      </c>
      <c r="AL21" s="563">
        <f t="shared" si="57"/>
        <v>43200</v>
      </c>
      <c r="AM21" s="563">
        <f t="shared" si="58"/>
        <v>10800</v>
      </c>
      <c r="AN21" s="563">
        <f t="shared" si="59"/>
        <v>43200</v>
      </c>
      <c r="AO21" s="267"/>
      <c r="AP21" s="269"/>
      <c r="AQ21" s="270">
        <f>1200*12</f>
        <v>14400</v>
      </c>
      <c r="AR21" s="267" t="s">
        <v>947</v>
      </c>
      <c r="AS21" s="267"/>
      <c r="AT21" s="267"/>
      <c r="AU21" s="267"/>
      <c r="AV21" s="267"/>
      <c r="AW21" s="267"/>
      <c r="AX21" s="267"/>
      <c r="AY21" s="267"/>
      <c r="AZ21" s="267"/>
      <c r="BA21" s="267"/>
      <c r="BB21" s="267"/>
      <c r="BC21" s="267"/>
      <c r="BD21" s="267"/>
      <c r="BE21" s="267"/>
      <c r="BF21" s="267"/>
      <c r="BG21" s="267"/>
      <c r="BH21" s="267"/>
      <c r="BI21" s="267"/>
      <c r="BJ21" s="267"/>
      <c r="BK21" s="267"/>
      <c r="BL21" s="267"/>
      <c r="BM21" s="267"/>
      <c r="BN21" s="267"/>
      <c r="BO21" s="267"/>
      <c r="BP21" s="267"/>
      <c r="BQ21" s="267"/>
      <c r="BR21" s="267"/>
      <c r="BS21" s="267"/>
      <c r="BT21" s="267"/>
      <c r="BU21" s="267"/>
      <c r="BV21" s="267"/>
      <c r="BW21" s="267"/>
      <c r="BX21" s="267"/>
      <c r="BY21" s="267"/>
      <c r="BZ21" s="267"/>
      <c r="CA21" s="267"/>
      <c r="CB21" s="267"/>
      <c r="CC21" s="267"/>
      <c r="CD21" s="267"/>
      <c r="CE21" s="267"/>
      <c r="CF21" s="267"/>
      <c r="CG21" s="267"/>
      <c r="CH21" s="267"/>
      <c r="CI21" s="267"/>
      <c r="CJ21" s="267"/>
      <c r="CK21" s="267"/>
      <c r="CL21" s="267"/>
      <c r="CM21" s="267"/>
      <c r="CN21" s="267"/>
    </row>
    <row r="22" spans="1:92" hidden="1">
      <c r="A22" s="595"/>
      <c r="B22" s="598"/>
      <c r="C22" s="599"/>
      <c r="D22" s="1166" t="s">
        <v>949</v>
      </c>
      <c r="E22" s="1164" t="s">
        <v>944</v>
      </c>
      <c r="F22" s="562">
        <v>1</v>
      </c>
      <c r="G22" s="563">
        <f t="shared" si="60"/>
        <v>0</v>
      </c>
      <c r="H22" s="563">
        <f t="shared" si="61"/>
        <v>0</v>
      </c>
      <c r="I22" s="563">
        <f t="shared" si="0"/>
        <v>0</v>
      </c>
      <c r="J22" s="1165">
        <f t="shared" si="1"/>
        <v>0</v>
      </c>
      <c r="K22" s="563">
        <f t="shared" ref="K22" si="62">I22</f>
        <v>0</v>
      </c>
      <c r="L22" s="563">
        <f t="shared" si="31"/>
        <v>0</v>
      </c>
      <c r="M22" s="563">
        <f t="shared" si="32"/>
        <v>0</v>
      </c>
      <c r="N22" s="563">
        <f t="shared" si="33"/>
        <v>0</v>
      </c>
      <c r="O22" s="563">
        <f t="shared" si="34"/>
        <v>0</v>
      </c>
      <c r="P22" s="563">
        <f t="shared" si="35"/>
        <v>0</v>
      </c>
      <c r="Q22" s="563">
        <f t="shared" si="36"/>
        <v>0</v>
      </c>
      <c r="R22" s="563">
        <f t="shared" si="37"/>
        <v>0</v>
      </c>
      <c r="S22" s="563">
        <f t="shared" si="38"/>
        <v>0</v>
      </c>
      <c r="T22" s="563">
        <f t="shared" si="39"/>
        <v>0</v>
      </c>
      <c r="U22" s="563">
        <f t="shared" si="40"/>
        <v>0</v>
      </c>
      <c r="V22" s="563">
        <f t="shared" si="41"/>
        <v>0</v>
      </c>
      <c r="W22" s="563">
        <f t="shared" si="42"/>
        <v>0</v>
      </c>
      <c r="X22" s="563">
        <f t="shared" si="43"/>
        <v>0</v>
      </c>
      <c r="Y22" s="563">
        <f t="shared" si="44"/>
        <v>0</v>
      </c>
      <c r="Z22" s="563">
        <f t="shared" si="45"/>
        <v>0</v>
      </c>
      <c r="AA22" s="563">
        <f t="shared" si="46"/>
        <v>0</v>
      </c>
      <c r="AB22" s="563">
        <f t="shared" si="47"/>
        <v>0</v>
      </c>
      <c r="AC22" s="563">
        <f t="shared" si="48"/>
        <v>0</v>
      </c>
      <c r="AD22" s="563">
        <f t="shared" si="49"/>
        <v>0</v>
      </c>
      <c r="AE22" s="563">
        <f t="shared" si="50"/>
        <v>0</v>
      </c>
      <c r="AF22" s="563">
        <f t="shared" si="51"/>
        <v>0</v>
      </c>
      <c r="AG22" s="563">
        <f t="shared" si="52"/>
        <v>0</v>
      </c>
      <c r="AH22" s="563">
        <f t="shared" si="53"/>
        <v>0</v>
      </c>
      <c r="AI22" s="563">
        <f t="shared" si="54"/>
        <v>0</v>
      </c>
      <c r="AJ22" s="563">
        <f t="shared" si="55"/>
        <v>0</v>
      </c>
      <c r="AK22" s="563">
        <f t="shared" si="56"/>
        <v>0</v>
      </c>
      <c r="AL22" s="563">
        <f t="shared" si="57"/>
        <v>0</v>
      </c>
      <c r="AM22" s="563">
        <f t="shared" si="58"/>
        <v>0</v>
      </c>
      <c r="AN22" s="563">
        <f t="shared" si="59"/>
        <v>0</v>
      </c>
      <c r="AO22" s="267"/>
      <c r="AP22" s="269"/>
      <c r="AQ22" s="270"/>
      <c r="AR22" s="267" t="s">
        <v>947</v>
      </c>
      <c r="AS22" s="267"/>
      <c r="AT22" s="267"/>
      <c r="AU22" s="267"/>
      <c r="AV22" s="267"/>
      <c r="AW22" s="267"/>
      <c r="AX22" s="267"/>
      <c r="AY22" s="267"/>
      <c r="AZ22" s="267"/>
      <c r="BA22" s="267"/>
      <c r="BB22" s="267"/>
      <c r="BC22" s="267"/>
      <c r="BD22" s="267"/>
      <c r="BE22" s="267"/>
      <c r="BF22" s="267"/>
      <c r="BG22" s="267"/>
      <c r="BH22" s="267"/>
      <c r="BI22" s="267"/>
      <c r="BJ22" s="267"/>
      <c r="BK22" s="267"/>
      <c r="BL22" s="267"/>
      <c r="BM22" s="267"/>
      <c r="BN22" s="267"/>
      <c r="BO22" s="267"/>
      <c r="BP22" s="267"/>
      <c r="BQ22" s="267"/>
      <c r="BR22" s="267"/>
      <c r="BS22" s="267"/>
      <c r="BT22" s="267"/>
      <c r="BU22" s="267"/>
      <c r="BV22" s="267"/>
      <c r="BW22" s="267"/>
      <c r="BX22" s="267"/>
      <c r="BY22" s="267"/>
      <c r="BZ22" s="267"/>
      <c r="CA22" s="267"/>
      <c r="CB22" s="267"/>
      <c r="CC22" s="267"/>
      <c r="CD22" s="267"/>
      <c r="CE22" s="267"/>
      <c r="CF22" s="267"/>
      <c r="CG22" s="267"/>
      <c r="CH22" s="267"/>
      <c r="CI22" s="267"/>
      <c r="CJ22" s="267"/>
      <c r="CK22" s="267"/>
      <c r="CL22" s="267"/>
      <c r="CM22" s="267"/>
      <c r="CN22" s="267"/>
    </row>
    <row r="23" spans="1:92">
      <c r="A23" s="595"/>
      <c r="B23" s="598"/>
      <c r="C23" s="599"/>
      <c r="D23" s="1163" t="s">
        <v>950</v>
      </c>
      <c r="E23" s="1164"/>
      <c r="F23" s="562"/>
      <c r="G23" s="563"/>
      <c r="H23" s="563"/>
      <c r="I23" s="563"/>
      <c r="J23" s="1165"/>
      <c r="K23" s="563"/>
      <c r="L23" s="563"/>
      <c r="M23" s="563"/>
      <c r="N23" s="563"/>
      <c r="O23" s="563"/>
      <c r="P23" s="563"/>
      <c r="Q23" s="563"/>
      <c r="R23" s="563"/>
      <c r="S23" s="563"/>
      <c r="T23" s="563"/>
      <c r="U23" s="563"/>
      <c r="V23" s="563"/>
      <c r="W23" s="563"/>
      <c r="X23" s="563"/>
      <c r="Y23" s="563"/>
      <c r="Z23" s="563"/>
      <c r="AA23" s="563"/>
      <c r="AB23" s="563"/>
      <c r="AC23" s="563"/>
      <c r="AD23" s="563"/>
      <c r="AE23" s="563"/>
      <c r="AF23" s="563"/>
      <c r="AG23" s="563"/>
      <c r="AH23" s="563"/>
      <c r="AI23" s="563"/>
      <c r="AJ23" s="563"/>
      <c r="AK23" s="563"/>
      <c r="AL23" s="563"/>
      <c r="AM23" s="563"/>
      <c r="AN23" s="563"/>
      <c r="AO23" s="267"/>
      <c r="AP23" s="269"/>
      <c r="AQ23" s="270"/>
      <c r="AR23" s="267"/>
      <c r="AS23" s="267"/>
      <c r="AT23" s="267"/>
      <c r="AU23" s="267"/>
      <c r="AV23" s="267"/>
      <c r="AW23" s="267"/>
      <c r="AX23" s="267"/>
      <c r="AY23" s="267"/>
      <c r="AZ23" s="267"/>
      <c r="BA23" s="267"/>
      <c r="BB23" s="267"/>
      <c r="BC23" s="267"/>
      <c r="BD23" s="267"/>
      <c r="BE23" s="267"/>
      <c r="BF23" s="267"/>
      <c r="BG23" s="267"/>
      <c r="BH23" s="267"/>
      <c r="BI23" s="267"/>
      <c r="BJ23" s="267"/>
      <c r="BK23" s="267"/>
      <c r="BL23" s="267"/>
      <c r="BM23" s="267"/>
      <c r="BN23" s="267"/>
      <c r="BO23" s="267"/>
      <c r="BP23" s="267"/>
      <c r="BQ23" s="267"/>
      <c r="BR23" s="267"/>
      <c r="BS23" s="267"/>
      <c r="BT23" s="267"/>
      <c r="BU23" s="267"/>
      <c r="BV23" s="267"/>
      <c r="BW23" s="267"/>
      <c r="BX23" s="267"/>
      <c r="BY23" s="267"/>
      <c r="BZ23" s="267"/>
      <c r="CA23" s="267"/>
      <c r="CB23" s="267"/>
      <c r="CC23" s="267"/>
      <c r="CD23" s="267"/>
      <c r="CE23" s="267"/>
      <c r="CF23" s="267"/>
      <c r="CG23" s="267"/>
      <c r="CH23" s="267"/>
      <c r="CI23" s="267"/>
      <c r="CJ23" s="267"/>
      <c r="CK23" s="267"/>
      <c r="CL23" s="267"/>
      <c r="CM23" s="267"/>
      <c r="CN23" s="267"/>
    </row>
    <row r="24" spans="1:92">
      <c r="A24" s="595"/>
      <c r="B24" s="598"/>
      <c r="C24" s="599"/>
      <c r="D24" s="1166" t="s">
        <v>950</v>
      </c>
      <c r="E24" s="1164" t="s">
        <v>931</v>
      </c>
      <c r="F24" s="562">
        <v>1</v>
      </c>
      <c r="G24" s="563">
        <f t="shared" si="60"/>
        <v>180000</v>
      </c>
      <c r="H24" s="563">
        <f>G24/12*F24</f>
        <v>15000</v>
      </c>
      <c r="I24" s="563">
        <f t="shared" si="0"/>
        <v>180000</v>
      </c>
      <c r="J24" s="1165">
        <f t="shared" si="1"/>
        <v>3375000</v>
      </c>
      <c r="K24" s="563">
        <f>I24*0.25</f>
        <v>45000</v>
      </c>
      <c r="L24" s="563">
        <f t="shared" ref="L24" si="63">I24</f>
        <v>180000</v>
      </c>
      <c r="M24" s="563">
        <f t="shared" ref="M24" si="64">K24</f>
        <v>45000</v>
      </c>
      <c r="N24" s="563">
        <f t="shared" ref="N24" si="65">L24</f>
        <v>180000</v>
      </c>
      <c r="O24" s="563">
        <f t="shared" ref="O24" si="66">M24</f>
        <v>45000</v>
      </c>
      <c r="P24" s="563">
        <f t="shared" ref="P24" si="67">N24</f>
        <v>180000</v>
      </c>
      <c r="Q24" s="563">
        <f t="shared" ref="Q24" si="68">O24</f>
        <v>45000</v>
      </c>
      <c r="R24" s="563">
        <f t="shared" ref="R24" si="69">P24</f>
        <v>180000</v>
      </c>
      <c r="S24" s="563">
        <f t="shared" ref="S24" si="70">Q24</f>
        <v>45000</v>
      </c>
      <c r="T24" s="563">
        <f t="shared" ref="T24" si="71">R24</f>
        <v>180000</v>
      </c>
      <c r="U24" s="563">
        <f t="shared" ref="U24" si="72">S24</f>
        <v>45000</v>
      </c>
      <c r="V24" s="563">
        <f t="shared" ref="V24" si="73">T24</f>
        <v>180000</v>
      </c>
      <c r="W24" s="563">
        <f t="shared" ref="W24" si="74">U24</f>
        <v>45000</v>
      </c>
      <c r="X24" s="563">
        <f t="shared" ref="X24" si="75">V24</f>
        <v>180000</v>
      </c>
      <c r="Y24" s="563">
        <f t="shared" ref="Y24" si="76">W24</f>
        <v>45000</v>
      </c>
      <c r="Z24" s="563">
        <f t="shared" ref="Z24" si="77">X24</f>
        <v>180000</v>
      </c>
      <c r="AA24" s="563">
        <f t="shared" ref="AA24" si="78">Y24</f>
        <v>45000</v>
      </c>
      <c r="AB24" s="563">
        <f t="shared" ref="AB24" si="79">Z24</f>
        <v>180000</v>
      </c>
      <c r="AC24" s="563">
        <f t="shared" ref="AC24" si="80">AA24</f>
        <v>45000</v>
      </c>
      <c r="AD24" s="563">
        <f t="shared" ref="AD24" si="81">AB24</f>
        <v>180000</v>
      </c>
      <c r="AE24" s="563">
        <f t="shared" ref="AE24" si="82">AC24</f>
        <v>45000</v>
      </c>
      <c r="AF24" s="563">
        <f t="shared" ref="AF24" si="83">AD24</f>
        <v>180000</v>
      </c>
      <c r="AG24" s="563">
        <f t="shared" ref="AG24" si="84">AE24</f>
        <v>45000</v>
      </c>
      <c r="AH24" s="563">
        <f t="shared" ref="AH24" si="85">AF24</f>
        <v>180000</v>
      </c>
      <c r="AI24" s="563">
        <f t="shared" ref="AI24" si="86">AG24</f>
        <v>45000</v>
      </c>
      <c r="AJ24" s="563">
        <f t="shared" ref="AJ24" si="87">AH24</f>
        <v>180000</v>
      </c>
      <c r="AK24" s="563">
        <f t="shared" ref="AK24" si="88">AI24</f>
        <v>45000</v>
      </c>
      <c r="AL24" s="563">
        <f t="shared" ref="AL24" si="89">AJ24</f>
        <v>180000</v>
      </c>
      <c r="AM24" s="563">
        <f t="shared" ref="AM24" si="90">AK24</f>
        <v>45000</v>
      </c>
      <c r="AN24" s="563">
        <f t="shared" ref="AN24" si="91">AL24</f>
        <v>180000</v>
      </c>
      <c r="AO24" s="267"/>
      <c r="AP24" s="269"/>
      <c r="AQ24" s="270">
        <f>1500*12*10</f>
        <v>180000</v>
      </c>
      <c r="AR24" s="267" t="s">
        <v>951</v>
      </c>
      <c r="AS24" s="267"/>
      <c r="AT24" s="267"/>
      <c r="AU24" s="267"/>
      <c r="AV24" s="267"/>
      <c r="AW24" s="267"/>
      <c r="AX24" s="267"/>
      <c r="AY24" s="267"/>
      <c r="AZ24" s="267"/>
      <c r="BA24" s="267"/>
      <c r="BB24" s="267"/>
      <c r="BC24" s="267"/>
      <c r="BD24" s="267"/>
      <c r="BE24" s="267"/>
      <c r="BF24" s="267"/>
      <c r="BG24" s="267"/>
      <c r="BH24" s="267"/>
      <c r="BI24" s="267"/>
      <c r="BJ24" s="267"/>
      <c r="BK24" s="267"/>
      <c r="BL24" s="267"/>
      <c r="BM24" s="267"/>
      <c r="BN24" s="267"/>
      <c r="BO24" s="267"/>
      <c r="BP24" s="267"/>
      <c r="BQ24" s="267"/>
      <c r="BR24" s="267"/>
      <c r="BS24" s="267"/>
      <c r="BT24" s="267"/>
      <c r="BU24" s="267"/>
      <c r="BV24" s="267"/>
      <c r="BW24" s="267"/>
      <c r="BX24" s="267"/>
      <c r="BY24" s="267"/>
      <c r="BZ24" s="267"/>
      <c r="CA24" s="267"/>
      <c r="CB24" s="267"/>
      <c r="CC24" s="267"/>
      <c r="CD24" s="267"/>
      <c r="CE24" s="267"/>
      <c r="CF24" s="267"/>
      <c r="CG24" s="267"/>
      <c r="CH24" s="267"/>
      <c r="CI24" s="267"/>
      <c r="CJ24" s="267"/>
      <c r="CK24" s="267"/>
      <c r="CL24" s="267"/>
      <c r="CM24" s="267"/>
      <c r="CN24" s="267"/>
    </row>
    <row r="25" spans="1:92">
      <c r="A25" s="595"/>
      <c r="B25" s="598"/>
      <c r="C25" s="599"/>
      <c r="D25" s="1163" t="s">
        <v>952</v>
      </c>
      <c r="E25" s="1164"/>
      <c r="F25" s="562"/>
      <c r="G25" s="563"/>
      <c r="H25" s="563"/>
      <c r="I25" s="563"/>
      <c r="J25" s="1165"/>
      <c r="K25" s="563"/>
      <c r="L25" s="563"/>
      <c r="M25" s="563"/>
      <c r="N25" s="563"/>
      <c r="O25" s="563"/>
      <c r="P25" s="563"/>
      <c r="Q25" s="563"/>
      <c r="R25" s="563"/>
      <c r="S25" s="563"/>
      <c r="T25" s="563"/>
      <c r="U25" s="563"/>
      <c r="V25" s="563"/>
      <c r="W25" s="563"/>
      <c r="X25" s="563"/>
      <c r="Y25" s="563"/>
      <c r="Z25" s="563"/>
      <c r="AA25" s="563"/>
      <c r="AB25" s="563"/>
      <c r="AC25" s="563"/>
      <c r="AD25" s="563"/>
      <c r="AE25" s="563"/>
      <c r="AF25" s="563"/>
      <c r="AG25" s="563"/>
      <c r="AH25" s="563"/>
      <c r="AI25" s="563"/>
      <c r="AJ25" s="563"/>
      <c r="AK25" s="563"/>
      <c r="AL25" s="563"/>
      <c r="AM25" s="563"/>
      <c r="AN25" s="563"/>
      <c r="AO25" s="267"/>
      <c r="AP25" s="269"/>
      <c r="AQ25" s="270"/>
      <c r="AR25" s="267"/>
      <c r="AS25" s="267"/>
      <c r="AT25" s="267"/>
      <c r="AU25" s="267"/>
      <c r="AV25" s="267"/>
      <c r="AW25" s="267"/>
      <c r="AX25" s="267"/>
      <c r="AY25" s="267"/>
      <c r="AZ25" s="267"/>
      <c r="BA25" s="267"/>
      <c r="BB25" s="267"/>
      <c r="BC25" s="267"/>
      <c r="BD25" s="267"/>
      <c r="BE25" s="267"/>
      <c r="BF25" s="267"/>
      <c r="BG25" s="267"/>
      <c r="BH25" s="267"/>
      <c r="BI25" s="267"/>
      <c r="BJ25" s="267"/>
      <c r="BK25" s="267"/>
      <c r="BL25" s="267"/>
      <c r="BM25" s="267"/>
      <c r="BN25" s="267"/>
      <c r="BO25" s="267"/>
      <c r="BP25" s="267"/>
      <c r="BQ25" s="267"/>
      <c r="BR25" s="267"/>
      <c r="BS25" s="267"/>
      <c r="BT25" s="267"/>
      <c r="BU25" s="267"/>
      <c r="BV25" s="267"/>
      <c r="BW25" s="267"/>
      <c r="BX25" s="267"/>
      <c r="BY25" s="267"/>
      <c r="BZ25" s="267"/>
      <c r="CA25" s="267"/>
      <c r="CB25" s="267"/>
      <c r="CC25" s="267"/>
      <c r="CD25" s="267"/>
      <c r="CE25" s="267"/>
      <c r="CF25" s="267"/>
      <c r="CG25" s="267"/>
      <c r="CH25" s="267"/>
      <c r="CI25" s="267"/>
      <c r="CJ25" s="267"/>
      <c r="CK25" s="267"/>
      <c r="CL25" s="267"/>
      <c r="CM25" s="267"/>
      <c r="CN25" s="267"/>
    </row>
    <row r="26" spans="1:92">
      <c r="A26" s="595"/>
      <c r="B26" s="598"/>
      <c r="C26" s="599"/>
      <c r="D26" s="1166" t="s">
        <v>952</v>
      </c>
      <c r="E26" s="1164" t="s">
        <v>931</v>
      </c>
      <c r="F26" s="562">
        <v>1</v>
      </c>
      <c r="G26" s="563">
        <f t="shared" si="60"/>
        <v>100000</v>
      </c>
      <c r="H26" s="563">
        <f>G26/12*F26</f>
        <v>8333.3333333333339</v>
      </c>
      <c r="I26" s="563">
        <f t="shared" si="0"/>
        <v>100000</v>
      </c>
      <c r="J26" s="1165">
        <f t="shared" si="1"/>
        <v>3000000</v>
      </c>
      <c r="K26" s="563">
        <f>I26</f>
        <v>100000</v>
      </c>
      <c r="L26" s="563">
        <f t="shared" ref="L26" si="92">I26</f>
        <v>100000</v>
      </c>
      <c r="M26" s="563">
        <f t="shared" ref="M26" si="93">K26</f>
        <v>100000</v>
      </c>
      <c r="N26" s="563">
        <f t="shared" ref="N26" si="94">L26</f>
        <v>100000</v>
      </c>
      <c r="O26" s="563">
        <f t="shared" ref="O26" si="95">M26</f>
        <v>100000</v>
      </c>
      <c r="P26" s="563">
        <f t="shared" ref="P26" si="96">N26</f>
        <v>100000</v>
      </c>
      <c r="Q26" s="563">
        <f t="shared" ref="Q26" si="97">O26</f>
        <v>100000</v>
      </c>
      <c r="R26" s="563">
        <f t="shared" ref="R26" si="98">P26</f>
        <v>100000</v>
      </c>
      <c r="S26" s="563">
        <f t="shared" ref="S26" si="99">Q26</f>
        <v>100000</v>
      </c>
      <c r="T26" s="563">
        <f t="shared" ref="T26" si="100">R26</f>
        <v>100000</v>
      </c>
      <c r="U26" s="563">
        <f t="shared" ref="U26" si="101">S26</f>
        <v>100000</v>
      </c>
      <c r="V26" s="563">
        <f t="shared" ref="V26" si="102">T26</f>
        <v>100000</v>
      </c>
      <c r="W26" s="563">
        <f t="shared" ref="W26" si="103">U26</f>
        <v>100000</v>
      </c>
      <c r="X26" s="563">
        <f t="shared" ref="X26" si="104">V26</f>
        <v>100000</v>
      </c>
      <c r="Y26" s="563">
        <f t="shared" ref="Y26" si="105">W26</f>
        <v>100000</v>
      </c>
      <c r="Z26" s="563">
        <f t="shared" ref="Z26" si="106">X26</f>
        <v>100000</v>
      </c>
      <c r="AA26" s="563">
        <f t="shared" ref="AA26" si="107">Y26</f>
        <v>100000</v>
      </c>
      <c r="AB26" s="563">
        <f t="shared" ref="AB26" si="108">Z26</f>
        <v>100000</v>
      </c>
      <c r="AC26" s="563">
        <f t="shared" ref="AC26" si="109">AA26</f>
        <v>100000</v>
      </c>
      <c r="AD26" s="563">
        <f t="shared" ref="AD26" si="110">AB26</f>
        <v>100000</v>
      </c>
      <c r="AE26" s="563">
        <f t="shared" ref="AE26" si="111">AC26</f>
        <v>100000</v>
      </c>
      <c r="AF26" s="563">
        <f t="shared" ref="AF26" si="112">AD26</f>
        <v>100000</v>
      </c>
      <c r="AG26" s="563">
        <f t="shared" ref="AG26" si="113">AE26</f>
        <v>100000</v>
      </c>
      <c r="AH26" s="563">
        <f t="shared" ref="AH26" si="114">AF26</f>
        <v>100000</v>
      </c>
      <c r="AI26" s="563">
        <f t="shared" ref="AI26" si="115">AG26</f>
        <v>100000</v>
      </c>
      <c r="AJ26" s="563">
        <f t="shared" ref="AJ26" si="116">AH26</f>
        <v>100000</v>
      </c>
      <c r="AK26" s="563">
        <f t="shared" ref="AK26" si="117">AI26</f>
        <v>100000</v>
      </c>
      <c r="AL26" s="563">
        <f t="shared" ref="AL26" si="118">AJ26</f>
        <v>100000</v>
      </c>
      <c r="AM26" s="563">
        <f t="shared" ref="AM26" si="119">AK26</f>
        <v>100000</v>
      </c>
      <c r="AN26" s="563">
        <f t="shared" ref="AN26" si="120">AL26</f>
        <v>100000</v>
      </c>
      <c r="AO26" s="267"/>
      <c r="AP26" s="269"/>
      <c r="AQ26" s="270">
        <v>100000</v>
      </c>
      <c r="AR26" s="267" t="s">
        <v>953</v>
      </c>
      <c r="AS26" s="267"/>
      <c r="AT26" s="267" t="s">
        <v>954</v>
      </c>
      <c r="AU26" s="267"/>
      <c r="AV26" s="267"/>
      <c r="AW26" s="267"/>
      <c r="AX26" s="267"/>
      <c r="AY26" s="267"/>
      <c r="AZ26" s="267"/>
      <c r="BA26" s="267"/>
      <c r="BB26" s="267"/>
      <c r="BC26" s="267"/>
      <c r="BD26" s="267"/>
      <c r="BE26" s="267"/>
      <c r="BF26" s="267"/>
      <c r="BG26" s="267"/>
      <c r="BH26" s="267"/>
      <c r="BI26" s="267"/>
      <c r="BJ26" s="267"/>
      <c r="BK26" s="267"/>
      <c r="BL26" s="267"/>
      <c r="BM26" s="267"/>
      <c r="BN26" s="267"/>
      <c r="BO26" s="267"/>
      <c r="BP26" s="267"/>
      <c r="BQ26" s="267"/>
      <c r="BR26" s="267"/>
      <c r="BS26" s="267"/>
      <c r="BT26" s="267"/>
      <c r="BU26" s="267"/>
      <c r="BV26" s="267"/>
      <c r="BW26" s="267"/>
      <c r="BX26" s="267"/>
      <c r="BY26" s="267"/>
      <c r="BZ26" s="267"/>
      <c r="CA26" s="267"/>
      <c r="CB26" s="267"/>
      <c r="CC26" s="267"/>
      <c r="CD26" s="267"/>
      <c r="CE26" s="267"/>
      <c r="CF26" s="267"/>
      <c r="CG26" s="267"/>
      <c r="CH26" s="267"/>
      <c r="CI26" s="267"/>
      <c r="CJ26" s="267"/>
      <c r="CK26" s="267"/>
      <c r="CL26" s="267"/>
      <c r="CM26" s="267"/>
      <c r="CN26" s="267"/>
    </row>
    <row r="27" spans="1:92">
      <c r="A27" s="595"/>
      <c r="B27" s="598"/>
      <c r="C27" s="599"/>
      <c r="D27" s="1163" t="s">
        <v>955</v>
      </c>
      <c r="E27" s="1164"/>
      <c r="F27" s="562"/>
      <c r="G27" s="563"/>
      <c r="H27" s="563"/>
      <c r="I27" s="563"/>
      <c r="J27" s="1165"/>
      <c r="K27" s="563"/>
      <c r="L27" s="563"/>
      <c r="M27" s="563"/>
      <c r="N27" s="563"/>
      <c r="O27" s="563"/>
      <c r="P27" s="563"/>
      <c r="Q27" s="563"/>
      <c r="R27" s="563"/>
      <c r="S27" s="563"/>
      <c r="T27" s="563"/>
      <c r="U27" s="563"/>
      <c r="V27" s="563"/>
      <c r="W27" s="563"/>
      <c r="X27" s="563"/>
      <c r="Y27" s="563"/>
      <c r="Z27" s="563"/>
      <c r="AA27" s="563"/>
      <c r="AB27" s="563"/>
      <c r="AC27" s="563"/>
      <c r="AD27" s="563"/>
      <c r="AE27" s="563"/>
      <c r="AF27" s="563"/>
      <c r="AG27" s="563"/>
      <c r="AH27" s="563"/>
      <c r="AI27" s="563"/>
      <c r="AJ27" s="563"/>
      <c r="AK27" s="563"/>
      <c r="AL27" s="563"/>
      <c r="AM27" s="563"/>
      <c r="AN27" s="563"/>
      <c r="AO27" s="267"/>
      <c r="AP27" s="269"/>
      <c r="AQ27" s="270"/>
      <c r="AR27" s="267"/>
      <c r="AS27" s="267"/>
      <c r="AT27" s="267"/>
      <c r="AU27" s="267"/>
      <c r="AV27" s="267"/>
      <c r="AW27" s="267"/>
      <c r="AX27" s="267"/>
      <c r="AY27" s="267"/>
      <c r="AZ27" s="267"/>
      <c r="BA27" s="267"/>
      <c r="BB27" s="267"/>
      <c r="BC27" s="267"/>
      <c r="BD27" s="267"/>
      <c r="BE27" s="267"/>
      <c r="BF27" s="267"/>
      <c r="BG27" s="267"/>
      <c r="BH27" s="267"/>
      <c r="BI27" s="267"/>
      <c r="BJ27" s="267"/>
      <c r="BK27" s="267"/>
      <c r="BL27" s="267"/>
      <c r="BM27" s="267"/>
      <c r="BN27" s="267"/>
      <c r="BO27" s="267"/>
      <c r="BP27" s="267"/>
      <c r="BQ27" s="267"/>
      <c r="BR27" s="267"/>
      <c r="BS27" s="267"/>
      <c r="BT27" s="267"/>
      <c r="BU27" s="267"/>
      <c r="BV27" s="267"/>
      <c r="BW27" s="267"/>
      <c r="BX27" s="267"/>
      <c r="BY27" s="267"/>
      <c r="BZ27" s="267"/>
      <c r="CA27" s="267"/>
      <c r="CB27" s="267"/>
      <c r="CC27" s="267"/>
      <c r="CD27" s="267"/>
      <c r="CE27" s="267"/>
      <c r="CF27" s="267"/>
      <c r="CG27" s="267"/>
      <c r="CH27" s="267"/>
      <c r="CI27" s="267"/>
      <c r="CJ27" s="267"/>
      <c r="CK27" s="267"/>
      <c r="CL27" s="267"/>
      <c r="CM27" s="267"/>
      <c r="CN27" s="267"/>
    </row>
    <row r="28" spans="1:92">
      <c r="A28" s="595"/>
      <c r="B28" s="598"/>
      <c r="C28" s="599"/>
      <c r="D28" s="1166" t="s">
        <v>956</v>
      </c>
      <c r="E28" s="1164" t="s">
        <v>957</v>
      </c>
      <c r="F28" s="1167">
        <f>I56</f>
        <v>204.97333333333339</v>
      </c>
      <c r="G28" s="563">
        <f>AQ28</f>
        <v>100</v>
      </c>
      <c r="H28" s="563">
        <f>G28/12*F28</f>
        <v>1708.1111111111118</v>
      </c>
      <c r="I28" s="563">
        <f t="shared" si="0"/>
        <v>20497.333333333343</v>
      </c>
      <c r="J28" s="1165">
        <f t="shared" si="1"/>
        <v>614920.00000000081</v>
      </c>
      <c r="K28" s="563">
        <f>I28</f>
        <v>20497.333333333343</v>
      </c>
      <c r="L28" s="563">
        <f t="shared" ref="L28" si="121">I28</f>
        <v>20497.333333333343</v>
      </c>
      <c r="M28" s="563">
        <f t="shared" ref="M28" si="122">K28</f>
        <v>20497.333333333343</v>
      </c>
      <c r="N28" s="563">
        <f t="shared" ref="N28" si="123">L28</f>
        <v>20497.333333333343</v>
      </c>
      <c r="O28" s="563">
        <f t="shared" ref="O28" si="124">M28</f>
        <v>20497.333333333343</v>
      </c>
      <c r="P28" s="563">
        <f t="shared" ref="P28" si="125">N28</f>
        <v>20497.333333333343</v>
      </c>
      <c r="Q28" s="563">
        <f t="shared" ref="Q28" si="126">O28</f>
        <v>20497.333333333343</v>
      </c>
      <c r="R28" s="563">
        <f t="shared" ref="R28" si="127">P28</f>
        <v>20497.333333333343</v>
      </c>
      <c r="S28" s="563">
        <f t="shared" ref="S28" si="128">Q28</f>
        <v>20497.333333333343</v>
      </c>
      <c r="T28" s="563">
        <f t="shared" ref="T28" si="129">R28</f>
        <v>20497.333333333343</v>
      </c>
      <c r="U28" s="563">
        <f t="shared" ref="U28" si="130">S28</f>
        <v>20497.333333333343</v>
      </c>
      <c r="V28" s="563">
        <f t="shared" ref="V28" si="131">T28</f>
        <v>20497.333333333343</v>
      </c>
      <c r="W28" s="563">
        <f t="shared" ref="W28" si="132">U28</f>
        <v>20497.333333333343</v>
      </c>
      <c r="X28" s="563">
        <f t="shared" ref="X28" si="133">V28</f>
        <v>20497.333333333343</v>
      </c>
      <c r="Y28" s="563">
        <f t="shared" ref="Y28" si="134">W28</f>
        <v>20497.333333333343</v>
      </c>
      <c r="Z28" s="563">
        <f t="shared" ref="Z28" si="135">X28</f>
        <v>20497.333333333343</v>
      </c>
      <c r="AA28" s="563">
        <f t="shared" ref="AA28" si="136">Y28</f>
        <v>20497.333333333343</v>
      </c>
      <c r="AB28" s="563">
        <f t="shared" ref="AB28" si="137">Z28</f>
        <v>20497.333333333343</v>
      </c>
      <c r="AC28" s="563">
        <f t="shared" ref="AC28" si="138">AA28</f>
        <v>20497.333333333343</v>
      </c>
      <c r="AD28" s="563">
        <f t="shared" ref="AD28" si="139">AB28</f>
        <v>20497.333333333343</v>
      </c>
      <c r="AE28" s="563">
        <f t="shared" ref="AE28" si="140">AC28</f>
        <v>20497.333333333343</v>
      </c>
      <c r="AF28" s="563">
        <f t="shared" ref="AF28" si="141">AD28</f>
        <v>20497.333333333343</v>
      </c>
      <c r="AG28" s="563">
        <f t="shared" ref="AG28" si="142">AE28</f>
        <v>20497.333333333343</v>
      </c>
      <c r="AH28" s="563">
        <f t="shared" ref="AH28" si="143">AF28</f>
        <v>20497.333333333343</v>
      </c>
      <c r="AI28" s="563">
        <f t="shared" ref="AI28" si="144">AG28</f>
        <v>20497.333333333343</v>
      </c>
      <c r="AJ28" s="563">
        <f t="shared" ref="AJ28" si="145">AH28</f>
        <v>20497.333333333343</v>
      </c>
      <c r="AK28" s="563">
        <f t="shared" ref="AK28" si="146">AI28</f>
        <v>20497.333333333343</v>
      </c>
      <c r="AL28" s="563">
        <f t="shared" ref="AL28" si="147">AJ28</f>
        <v>20497.333333333343</v>
      </c>
      <c r="AM28" s="563">
        <f t="shared" ref="AM28" si="148">AK28</f>
        <v>20497.333333333343</v>
      </c>
      <c r="AN28" s="563">
        <f t="shared" ref="AN28" si="149">AL28</f>
        <v>20497.333333333343</v>
      </c>
      <c r="AO28" s="267"/>
      <c r="AP28" s="269"/>
      <c r="AQ28" s="270">
        <v>100</v>
      </c>
      <c r="AR28" s="267" t="s">
        <v>958</v>
      </c>
      <c r="AS28" s="267"/>
      <c r="AT28" s="267"/>
      <c r="AU28" s="267"/>
      <c r="AV28" s="267"/>
      <c r="AW28" s="267"/>
      <c r="AX28" s="267"/>
      <c r="AY28" s="267"/>
      <c r="AZ28" s="267"/>
      <c r="BA28" s="267"/>
      <c r="BB28" s="267"/>
      <c r="BC28" s="267"/>
      <c r="BD28" s="267"/>
      <c r="BE28" s="267"/>
      <c r="BF28" s="267"/>
      <c r="BG28" s="267"/>
      <c r="BH28" s="267"/>
      <c r="BI28" s="267"/>
      <c r="BJ28" s="267"/>
      <c r="BK28" s="267"/>
      <c r="BL28" s="267"/>
      <c r="BM28" s="267"/>
      <c r="BN28" s="267"/>
      <c r="BO28" s="267"/>
      <c r="BP28" s="267"/>
      <c r="BQ28" s="267"/>
      <c r="BR28" s="267"/>
      <c r="BS28" s="267"/>
      <c r="BT28" s="267"/>
      <c r="BU28" s="267"/>
      <c r="BV28" s="267"/>
      <c r="BW28" s="267"/>
      <c r="BX28" s="267"/>
      <c r="BY28" s="267"/>
      <c r="BZ28" s="267"/>
      <c r="CA28" s="267"/>
      <c r="CB28" s="267"/>
      <c r="CC28" s="267"/>
      <c r="CD28" s="267"/>
      <c r="CE28" s="267"/>
      <c r="CF28" s="267"/>
      <c r="CG28" s="267"/>
      <c r="CH28" s="267"/>
      <c r="CI28" s="267"/>
      <c r="CJ28" s="267"/>
      <c r="CK28" s="267"/>
      <c r="CL28" s="267"/>
      <c r="CM28" s="267"/>
      <c r="CN28" s="267"/>
    </row>
    <row r="29" spans="1:92">
      <c r="A29" s="595"/>
      <c r="B29" s="598"/>
      <c r="C29" s="599"/>
      <c r="D29" s="1163" t="s">
        <v>959</v>
      </c>
      <c r="E29" s="1164"/>
      <c r="F29" s="562"/>
      <c r="G29" s="563"/>
      <c r="H29" s="563"/>
      <c r="I29" s="563"/>
      <c r="J29" s="1165"/>
      <c r="K29" s="563"/>
      <c r="L29" s="563"/>
      <c r="M29" s="563"/>
      <c r="N29" s="563"/>
      <c r="O29" s="563"/>
      <c r="P29" s="563"/>
      <c r="Q29" s="563"/>
      <c r="R29" s="563"/>
      <c r="S29" s="563"/>
      <c r="T29" s="563"/>
      <c r="U29" s="563"/>
      <c r="V29" s="563"/>
      <c r="W29" s="563"/>
      <c r="X29" s="563"/>
      <c r="Y29" s="563"/>
      <c r="Z29" s="563"/>
      <c r="AA29" s="563"/>
      <c r="AB29" s="563"/>
      <c r="AC29" s="563"/>
      <c r="AD29" s="563"/>
      <c r="AE29" s="563"/>
      <c r="AF29" s="563"/>
      <c r="AG29" s="563"/>
      <c r="AH29" s="563"/>
      <c r="AI29" s="563"/>
      <c r="AJ29" s="563"/>
      <c r="AK29" s="563"/>
      <c r="AL29" s="563"/>
      <c r="AM29" s="563"/>
      <c r="AN29" s="563"/>
      <c r="AO29" s="267"/>
      <c r="AP29" s="269"/>
      <c r="AQ29" s="270"/>
      <c r="AR29" s="267"/>
      <c r="AS29" s="267"/>
      <c r="AT29" s="267"/>
      <c r="AU29" s="267"/>
      <c r="AV29" s="267"/>
      <c r="AW29" s="267"/>
      <c r="AX29" s="267"/>
      <c r="AY29" s="267"/>
      <c r="AZ29" s="267"/>
      <c r="BA29" s="267"/>
      <c r="BB29" s="267"/>
      <c r="BC29" s="267"/>
      <c r="BD29" s="267"/>
      <c r="BE29" s="267"/>
      <c r="BF29" s="267"/>
      <c r="BG29" s="267"/>
      <c r="BH29" s="267"/>
      <c r="BI29" s="267"/>
      <c r="BJ29" s="267"/>
      <c r="BK29" s="267"/>
      <c r="BL29" s="267"/>
      <c r="BM29" s="267"/>
      <c r="BN29" s="267"/>
      <c r="BO29" s="267"/>
      <c r="BP29" s="267"/>
      <c r="BQ29" s="267"/>
      <c r="BR29" s="267"/>
      <c r="BS29" s="267"/>
      <c r="BT29" s="267"/>
      <c r="BU29" s="267"/>
      <c r="BV29" s="267"/>
      <c r="BW29" s="267"/>
      <c r="BX29" s="267"/>
      <c r="BY29" s="267"/>
      <c r="BZ29" s="267"/>
      <c r="CA29" s="267"/>
      <c r="CB29" s="267"/>
      <c r="CC29" s="267"/>
      <c r="CD29" s="267"/>
      <c r="CE29" s="267"/>
      <c r="CF29" s="267"/>
      <c r="CG29" s="267"/>
      <c r="CH29" s="267"/>
      <c r="CI29" s="267"/>
      <c r="CJ29" s="267"/>
      <c r="CK29" s="267"/>
      <c r="CL29" s="267"/>
      <c r="CM29" s="267"/>
      <c r="CN29" s="267"/>
    </row>
    <row r="30" spans="1:92">
      <c r="A30" s="595"/>
      <c r="B30" s="598"/>
      <c r="C30" s="599"/>
      <c r="D30" s="1166" t="s">
        <v>960</v>
      </c>
      <c r="E30" s="1164" t="s">
        <v>957</v>
      </c>
      <c r="F30" s="1167">
        <f>I56</f>
        <v>204.97333333333339</v>
      </c>
      <c r="G30" s="563">
        <f>AQ30</f>
        <v>100</v>
      </c>
      <c r="H30" s="563">
        <f>G30/12*F30</f>
        <v>1708.1111111111118</v>
      </c>
      <c r="I30" s="563">
        <f t="shared" si="0"/>
        <v>20497.333333333343</v>
      </c>
      <c r="J30" s="1165">
        <f t="shared" si="1"/>
        <v>614920.00000000081</v>
      </c>
      <c r="K30" s="563">
        <f>I30</f>
        <v>20497.333333333343</v>
      </c>
      <c r="L30" s="563">
        <f t="shared" ref="L30" si="150">I30</f>
        <v>20497.333333333343</v>
      </c>
      <c r="M30" s="563">
        <f t="shared" ref="M30" si="151">K30</f>
        <v>20497.333333333343</v>
      </c>
      <c r="N30" s="563">
        <f t="shared" ref="N30" si="152">L30</f>
        <v>20497.333333333343</v>
      </c>
      <c r="O30" s="563">
        <f t="shared" ref="O30" si="153">M30</f>
        <v>20497.333333333343</v>
      </c>
      <c r="P30" s="563">
        <f t="shared" ref="P30" si="154">N30</f>
        <v>20497.333333333343</v>
      </c>
      <c r="Q30" s="563">
        <f t="shared" ref="Q30" si="155">O30</f>
        <v>20497.333333333343</v>
      </c>
      <c r="R30" s="563">
        <f t="shared" ref="R30" si="156">P30</f>
        <v>20497.333333333343</v>
      </c>
      <c r="S30" s="563">
        <f t="shared" ref="S30" si="157">Q30</f>
        <v>20497.333333333343</v>
      </c>
      <c r="T30" s="563">
        <f t="shared" ref="T30" si="158">R30</f>
        <v>20497.333333333343</v>
      </c>
      <c r="U30" s="563">
        <f t="shared" ref="U30" si="159">S30</f>
        <v>20497.333333333343</v>
      </c>
      <c r="V30" s="563">
        <f t="shared" ref="V30" si="160">T30</f>
        <v>20497.333333333343</v>
      </c>
      <c r="W30" s="563">
        <f t="shared" ref="W30" si="161">U30</f>
        <v>20497.333333333343</v>
      </c>
      <c r="X30" s="563">
        <f t="shared" ref="X30" si="162">V30</f>
        <v>20497.333333333343</v>
      </c>
      <c r="Y30" s="563">
        <f t="shared" ref="Y30" si="163">W30</f>
        <v>20497.333333333343</v>
      </c>
      <c r="Z30" s="563">
        <f t="shared" ref="Z30" si="164">X30</f>
        <v>20497.333333333343</v>
      </c>
      <c r="AA30" s="563">
        <f t="shared" ref="AA30" si="165">Y30</f>
        <v>20497.333333333343</v>
      </c>
      <c r="AB30" s="563">
        <f t="shared" ref="AB30" si="166">Z30</f>
        <v>20497.333333333343</v>
      </c>
      <c r="AC30" s="563">
        <f t="shared" ref="AC30" si="167">AA30</f>
        <v>20497.333333333343</v>
      </c>
      <c r="AD30" s="563">
        <f t="shared" ref="AD30" si="168">AB30</f>
        <v>20497.333333333343</v>
      </c>
      <c r="AE30" s="563">
        <f t="shared" ref="AE30" si="169">AC30</f>
        <v>20497.333333333343</v>
      </c>
      <c r="AF30" s="563">
        <f t="shared" ref="AF30" si="170">AD30</f>
        <v>20497.333333333343</v>
      </c>
      <c r="AG30" s="563">
        <f t="shared" ref="AG30" si="171">AE30</f>
        <v>20497.333333333343</v>
      </c>
      <c r="AH30" s="563">
        <f t="shared" ref="AH30" si="172">AF30</f>
        <v>20497.333333333343</v>
      </c>
      <c r="AI30" s="563">
        <f t="shared" ref="AI30" si="173">AG30</f>
        <v>20497.333333333343</v>
      </c>
      <c r="AJ30" s="563">
        <f t="shared" ref="AJ30" si="174">AH30</f>
        <v>20497.333333333343</v>
      </c>
      <c r="AK30" s="563">
        <f t="shared" ref="AK30" si="175">AI30</f>
        <v>20497.333333333343</v>
      </c>
      <c r="AL30" s="563">
        <f t="shared" ref="AL30" si="176">AJ30</f>
        <v>20497.333333333343</v>
      </c>
      <c r="AM30" s="563">
        <f t="shared" ref="AM30" si="177">AK30</f>
        <v>20497.333333333343</v>
      </c>
      <c r="AN30" s="563">
        <f t="shared" ref="AN30" si="178">AL30</f>
        <v>20497.333333333343</v>
      </c>
      <c r="AO30" s="268"/>
      <c r="AP30" s="269"/>
      <c r="AQ30" s="270">
        <v>100</v>
      </c>
      <c r="AR30" s="267" t="s">
        <v>958</v>
      </c>
      <c r="AS30" s="267"/>
      <c r="AT30" s="267"/>
      <c r="AU30" s="267"/>
      <c r="AV30" s="267"/>
      <c r="AW30" s="267"/>
      <c r="AX30" s="267"/>
      <c r="AY30" s="267"/>
      <c r="AZ30" s="267"/>
      <c r="BA30" s="267"/>
      <c r="BB30" s="267"/>
      <c r="BC30" s="267"/>
      <c r="BD30" s="267"/>
      <c r="BE30" s="267"/>
      <c r="BF30" s="267"/>
      <c r="BG30" s="267"/>
      <c r="BH30" s="267"/>
      <c r="BI30" s="267"/>
      <c r="BJ30" s="267"/>
      <c r="BK30" s="267"/>
      <c r="BL30" s="267"/>
      <c r="BM30" s="267"/>
      <c r="BN30" s="267"/>
      <c r="BO30" s="267"/>
      <c r="BP30" s="267"/>
      <c r="BQ30" s="267"/>
      <c r="BR30" s="267"/>
      <c r="BS30" s="267"/>
      <c r="BT30" s="267"/>
      <c r="BU30" s="267"/>
      <c r="BV30" s="267"/>
      <c r="BW30" s="267"/>
      <c r="BX30" s="267"/>
      <c r="BY30" s="267"/>
      <c r="BZ30" s="267"/>
      <c r="CA30" s="267"/>
      <c r="CB30" s="267"/>
      <c r="CC30" s="267"/>
      <c r="CD30" s="267"/>
      <c r="CE30" s="267"/>
      <c r="CF30" s="267"/>
      <c r="CG30" s="267"/>
      <c r="CH30" s="267"/>
      <c r="CI30" s="267"/>
      <c r="CJ30" s="267"/>
      <c r="CK30" s="267"/>
      <c r="CL30" s="267"/>
      <c r="CM30" s="267"/>
      <c r="CN30" s="267"/>
    </row>
    <row r="31" spans="1:92">
      <c r="A31" s="595"/>
      <c r="B31" s="598"/>
      <c r="C31" s="599"/>
      <c r="D31" s="1163" t="s">
        <v>961</v>
      </c>
      <c r="E31" s="1164"/>
      <c r="F31" s="562"/>
      <c r="G31" s="563"/>
      <c r="H31" s="563"/>
      <c r="I31" s="563"/>
      <c r="J31" s="1165"/>
      <c r="K31" s="563"/>
      <c r="L31" s="563"/>
      <c r="M31" s="563"/>
      <c r="N31" s="563"/>
      <c r="O31" s="563"/>
      <c r="P31" s="563"/>
      <c r="Q31" s="563"/>
      <c r="R31" s="563"/>
      <c r="S31" s="563"/>
      <c r="T31" s="563"/>
      <c r="U31" s="563"/>
      <c r="V31" s="563"/>
      <c r="W31" s="563"/>
      <c r="X31" s="563"/>
      <c r="Y31" s="563"/>
      <c r="Z31" s="563"/>
      <c r="AA31" s="563"/>
      <c r="AB31" s="563"/>
      <c r="AC31" s="563"/>
      <c r="AD31" s="563"/>
      <c r="AE31" s="563"/>
      <c r="AF31" s="563"/>
      <c r="AG31" s="563"/>
      <c r="AH31" s="563"/>
      <c r="AI31" s="563"/>
      <c r="AJ31" s="563"/>
      <c r="AK31" s="563"/>
      <c r="AL31" s="563"/>
      <c r="AM31" s="563"/>
      <c r="AN31" s="563"/>
      <c r="AO31" s="267"/>
      <c r="AP31" s="269"/>
      <c r="AQ31" s="270"/>
      <c r="AR31" s="267"/>
      <c r="AS31" s="267"/>
      <c r="AT31" s="267"/>
      <c r="AU31" s="267"/>
      <c r="AV31" s="267"/>
      <c r="AW31" s="267"/>
      <c r="AX31" s="267"/>
      <c r="AY31" s="267"/>
      <c r="AZ31" s="267"/>
      <c r="BA31" s="267"/>
      <c r="BB31" s="267"/>
      <c r="BC31" s="267"/>
      <c r="BD31" s="267"/>
      <c r="BE31" s="267"/>
      <c r="BF31" s="267"/>
      <c r="BG31" s="267"/>
      <c r="BH31" s="267"/>
      <c r="BI31" s="267"/>
      <c r="BJ31" s="267"/>
      <c r="BK31" s="267"/>
      <c r="BL31" s="267"/>
      <c r="BM31" s="267"/>
      <c r="BN31" s="267"/>
      <c r="BO31" s="267"/>
      <c r="BP31" s="267"/>
      <c r="BQ31" s="267"/>
      <c r="BR31" s="267"/>
      <c r="BS31" s="267"/>
      <c r="BT31" s="267"/>
      <c r="BU31" s="267"/>
      <c r="BV31" s="267"/>
      <c r="BW31" s="267"/>
      <c r="BX31" s="267"/>
      <c r="BY31" s="267"/>
      <c r="BZ31" s="267"/>
      <c r="CA31" s="267"/>
      <c r="CB31" s="267"/>
      <c r="CC31" s="267"/>
      <c r="CD31" s="267"/>
      <c r="CE31" s="267"/>
      <c r="CF31" s="267"/>
      <c r="CG31" s="267"/>
      <c r="CH31" s="267"/>
      <c r="CI31" s="267"/>
      <c r="CJ31" s="267"/>
      <c r="CK31" s="267"/>
      <c r="CL31" s="267"/>
      <c r="CM31" s="267"/>
      <c r="CN31" s="267"/>
    </row>
    <row r="32" spans="1:92">
      <c r="A32" s="595"/>
      <c r="B32" s="598"/>
      <c r="C32" s="599"/>
      <c r="D32" s="1166" t="s">
        <v>962</v>
      </c>
      <c r="E32" s="1164" t="s">
        <v>931</v>
      </c>
      <c r="F32" s="562">
        <v>1</v>
      </c>
      <c r="G32" s="563">
        <f>AQ32</f>
        <v>80000</v>
      </c>
      <c r="H32" s="563">
        <f t="shared" ref="H32:H39" si="179">G32/12*F32</f>
        <v>6666.666666666667</v>
      </c>
      <c r="I32" s="563">
        <f>G32</f>
        <v>80000</v>
      </c>
      <c r="J32" s="1165">
        <f t="shared" si="1"/>
        <v>80000</v>
      </c>
      <c r="K32" s="563">
        <f t="shared" ref="K32:K39" si="180">I32</f>
        <v>80000</v>
      </c>
      <c r="L32" s="563"/>
      <c r="M32" s="563"/>
      <c r="N32" s="563"/>
      <c r="O32" s="563"/>
      <c r="P32" s="563"/>
      <c r="Q32" s="563"/>
      <c r="R32" s="563"/>
      <c r="S32" s="563"/>
      <c r="T32" s="563"/>
      <c r="U32" s="563"/>
      <c r="V32" s="563"/>
      <c r="W32" s="563"/>
      <c r="X32" s="563"/>
      <c r="Y32" s="563"/>
      <c r="Z32" s="563"/>
      <c r="AA32" s="563"/>
      <c r="AB32" s="563"/>
      <c r="AC32" s="563"/>
      <c r="AD32" s="563"/>
      <c r="AE32" s="563"/>
      <c r="AF32" s="563"/>
      <c r="AG32" s="563"/>
      <c r="AH32" s="563"/>
      <c r="AI32" s="563"/>
      <c r="AJ32" s="563"/>
      <c r="AK32" s="563"/>
      <c r="AL32" s="563"/>
      <c r="AM32" s="563"/>
      <c r="AN32" s="563"/>
      <c r="AO32" s="267"/>
      <c r="AP32" s="269"/>
      <c r="AQ32" s="270">
        <v>80000</v>
      </c>
      <c r="AR32" s="267" t="s">
        <v>932</v>
      </c>
      <c r="AS32" s="267"/>
      <c r="AT32" s="267"/>
      <c r="AU32" s="267"/>
      <c r="AV32" s="267"/>
      <c r="AW32" s="267"/>
      <c r="AX32" s="267"/>
      <c r="AY32" s="267"/>
      <c r="AZ32" s="267"/>
      <c r="BA32" s="267"/>
      <c r="BB32" s="267"/>
      <c r="BC32" s="267"/>
      <c r="BD32" s="267"/>
      <c r="BE32" s="267"/>
      <c r="BF32" s="267"/>
      <c r="BG32" s="267"/>
      <c r="BH32" s="267"/>
      <c r="BI32" s="267"/>
      <c r="BJ32" s="267"/>
      <c r="BK32" s="267"/>
      <c r="BL32" s="267"/>
      <c r="BM32" s="267"/>
      <c r="BN32" s="267"/>
      <c r="BO32" s="267"/>
      <c r="BP32" s="267"/>
      <c r="BQ32" s="267"/>
      <c r="BR32" s="267"/>
      <c r="BS32" s="267"/>
      <c r="BT32" s="267"/>
      <c r="BU32" s="267"/>
      <c r="BV32" s="267"/>
      <c r="BW32" s="267"/>
      <c r="BX32" s="267"/>
      <c r="BY32" s="267"/>
      <c r="BZ32" s="267"/>
      <c r="CA32" s="267"/>
      <c r="CB32" s="267"/>
      <c r="CC32" s="267"/>
      <c r="CD32" s="267"/>
      <c r="CE32" s="267"/>
      <c r="CF32" s="267"/>
      <c r="CG32" s="267"/>
      <c r="CH32" s="267"/>
      <c r="CI32" s="267"/>
      <c r="CJ32" s="267"/>
      <c r="CK32" s="267"/>
      <c r="CL32" s="267"/>
      <c r="CM32" s="267"/>
      <c r="CN32" s="267"/>
    </row>
    <row r="33" spans="1:92">
      <c r="A33" s="595"/>
      <c r="B33" s="598"/>
      <c r="C33" s="599"/>
      <c r="D33" s="1166" t="s">
        <v>963</v>
      </c>
      <c r="E33" s="1164" t="s">
        <v>931</v>
      </c>
      <c r="F33" s="562">
        <v>1</v>
      </c>
      <c r="G33" s="563">
        <f t="shared" ref="G33:G49" si="181">AQ33</f>
        <v>50000</v>
      </c>
      <c r="H33" s="563">
        <f t="shared" si="179"/>
        <v>4166.666666666667</v>
      </c>
      <c r="I33" s="563">
        <f t="shared" si="0"/>
        <v>50000</v>
      </c>
      <c r="J33" s="1165">
        <f t="shared" si="1"/>
        <v>1500000</v>
      </c>
      <c r="K33" s="563">
        <f t="shared" si="180"/>
        <v>50000</v>
      </c>
      <c r="L33" s="563">
        <f t="shared" ref="L33:L35" si="182">I33</f>
        <v>50000</v>
      </c>
      <c r="M33" s="563">
        <f t="shared" ref="M33:M35" si="183">K33</f>
        <v>50000</v>
      </c>
      <c r="N33" s="563">
        <f t="shared" ref="N33:N35" si="184">L33</f>
        <v>50000</v>
      </c>
      <c r="O33" s="563">
        <f t="shared" ref="O33:O35" si="185">M33</f>
        <v>50000</v>
      </c>
      <c r="P33" s="563">
        <f t="shared" ref="P33:P34" si="186">N33</f>
        <v>50000</v>
      </c>
      <c r="Q33" s="563">
        <f t="shared" ref="Q33:Q34" si="187">O33</f>
        <v>50000</v>
      </c>
      <c r="R33" s="563">
        <f t="shared" ref="R33:R34" si="188">P33</f>
        <v>50000</v>
      </c>
      <c r="S33" s="563">
        <f t="shared" ref="S33:S34" si="189">Q33</f>
        <v>50000</v>
      </c>
      <c r="T33" s="563">
        <f t="shared" ref="T33:T34" si="190">R33</f>
        <v>50000</v>
      </c>
      <c r="U33" s="563">
        <f t="shared" ref="U33:U34" si="191">S33</f>
        <v>50000</v>
      </c>
      <c r="V33" s="563">
        <f t="shared" ref="V33:V34" si="192">T33</f>
        <v>50000</v>
      </c>
      <c r="W33" s="563">
        <f t="shared" ref="W33:W34" si="193">U33</f>
        <v>50000</v>
      </c>
      <c r="X33" s="563">
        <f t="shared" ref="X33:X34" si="194">V33</f>
        <v>50000</v>
      </c>
      <c r="Y33" s="563">
        <f t="shared" ref="Y33:Y34" si="195">W33</f>
        <v>50000</v>
      </c>
      <c r="Z33" s="563">
        <f t="shared" ref="Z33:Z34" si="196">X33</f>
        <v>50000</v>
      </c>
      <c r="AA33" s="563">
        <f t="shared" ref="AA33:AA34" si="197">Y33</f>
        <v>50000</v>
      </c>
      <c r="AB33" s="563">
        <f t="shared" ref="AB33:AB34" si="198">Z33</f>
        <v>50000</v>
      </c>
      <c r="AC33" s="563">
        <f t="shared" ref="AC33:AC34" si="199">AA33</f>
        <v>50000</v>
      </c>
      <c r="AD33" s="563">
        <f t="shared" ref="AD33:AD34" si="200">AB33</f>
        <v>50000</v>
      </c>
      <c r="AE33" s="563">
        <f t="shared" ref="AE33:AE34" si="201">AC33</f>
        <v>50000</v>
      </c>
      <c r="AF33" s="563">
        <f t="shared" ref="AF33:AF34" si="202">AD33</f>
        <v>50000</v>
      </c>
      <c r="AG33" s="563">
        <f t="shared" ref="AG33:AG34" si="203">AE33</f>
        <v>50000</v>
      </c>
      <c r="AH33" s="563">
        <f t="shared" ref="AH33:AH34" si="204">AF33</f>
        <v>50000</v>
      </c>
      <c r="AI33" s="563">
        <f t="shared" ref="AI33:AI34" si="205">AG33</f>
        <v>50000</v>
      </c>
      <c r="AJ33" s="563">
        <f t="shared" ref="AJ33:AJ34" si="206">AH33</f>
        <v>50000</v>
      </c>
      <c r="AK33" s="563">
        <f t="shared" ref="AK33:AK34" si="207">AI33</f>
        <v>50000</v>
      </c>
      <c r="AL33" s="563">
        <f t="shared" ref="AL33:AL34" si="208">AJ33</f>
        <v>50000</v>
      </c>
      <c r="AM33" s="563">
        <f t="shared" ref="AM33:AM34" si="209">AK33</f>
        <v>50000</v>
      </c>
      <c r="AN33" s="563">
        <f t="shared" ref="AN33:AN34" si="210">AL33</f>
        <v>50000</v>
      </c>
      <c r="AO33" s="267"/>
      <c r="AP33" s="269"/>
      <c r="AQ33" s="270">
        <v>50000</v>
      </c>
      <c r="AR33" s="267" t="s">
        <v>932</v>
      </c>
      <c r="AS33" s="267"/>
      <c r="AT33" s="267"/>
      <c r="AU33" s="267"/>
      <c r="AV33" s="267"/>
      <c r="AW33" s="267"/>
      <c r="AX33" s="267"/>
      <c r="AY33" s="267"/>
      <c r="AZ33" s="267"/>
      <c r="BA33" s="267"/>
      <c r="BB33" s="267"/>
      <c r="BC33" s="267"/>
      <c r="BD33" s="267"/>
      <c r="BE33" s="267"/>
      <c r="BF33" s="267"/>
      <c r="BG33" s="267"/>
      <c r="BH33" s="267"/>
      <c r="BI33" s="267"/>
      <c r="BJ33" s="267"/>
      <c r="BK33" s="267"/>
      <c r="BL33" s="267"/>
      <c r="BM33" s="267"/>
      <c r="BN33" s="267"/>
      <c r="BO33" s="267"/>
      <c r="BP33" s="267"/>
      <c r="BQ33" s="267"/>
      <c r="BR33" s="267"/>
      <c r="BS33" s="267"/>
      <c r="BT33" s="267"/>
      <c r="BU33" s="267"/>
      <c r="BV33" s="267"/>
      <c r="BW33" s="267"/>
      <c r="BX33" s="267"/>
      <c r="BY33" s="267"/>
      <c r="BZ33" s="267"/>
      <c r="CA33" s="267"/>
      <c r="CB33" s="267"/>
      <c r="CC33" s="267"/>
      <c r="CD33" s="267"/>
      <c r="CE33" s="267"/>
      <c r="CF33" s="267"/>
      <c r="CG33" s="267"/>
      <c r="CH33" s="267"/>
      <c r="CI33" s="267"/>
      <c r="CJ33" s="267"/>
      <c r="CK33" s="267"/>
      <c r="CL33" s="267"/>
      <c r="CM33" s="267"/>
      <c r="CN33" s="267"/>
    </row>
    <row r="34" spans="1:92" hidden="1">
      <c r="A34" s="595"/>
      <c r="B34" s="598"/>
      <c r="C34" s="599"/>
      <c r="D34" s="1166" t="s">
        <v>964</v>
      </c>
      <c r="E34" s="1164" t="s">
        <v>931</v>
      </c>
      <c r="F34" s="562">
        <v>1</v>
      </c>
      <c r="G34" s="563">
        <f t="shared" si="181"/>
        <v>0</v>
      </c>
      <c r="H34" s="563">
        <f t="shared" si="179"/>
        <v>0</v>
      </c>
      <c r="I34" s="563">
        <f t="shared" si="0"/>
        <v>0</v>
      </c>
      <c r="J34" s="1165">
        <f t="shared" si="1"/>
        <v>0</v>
      </c>
      <c r="K34" s="563">
        <f t="shared" si="180"/>
        <v>0</v>
      </c>
      <c r="L34" s="563">
        <f t="shared" si="182"/>
        <v>0</v>
      </c>
      <c r="M34" s="563">
        <f t="shared" si="183"/>
        <v>0</v>
      </c>
      <c r="N34" s="563">
        <f t="shared" si="184"/>
        <v>0</v>
      </c>
      <c r="O34" s="563">
        <f t="shared" si="185"/>
        <v>0</v>
      </c>
      <c r="P34" s="563">
        <f t="shared" si="186"/>
        <v>0</v>
      </c>
      <c r="Q34" s="563">
        <f t="shared" si="187"/>
        <v>0</v>
      </c>
      <c r="R34" s="563">
        <f t="shared" si="188"/>
        <v>0</v>
      </c>
      <c r="S34" s="563">
        <f t="shared" si="189"/>
        <v>0</v>
      </c>
      <c r="T34" s="563">
        <f t="shared" si="190"/>
        <v>0</v>
      </c>
      <c r="U34" s="563">
        <f t="shared" si="191"/>
        <v>0</v>
      </c>
      <c r="V34" s="563">
        <f t="shared" si="192"/>
        <v>0</v>
      </c>
      <c r="W34" s="563">
        <f t="shared" si="193"/>
        <v>0</v>
      </c>
      <c r="X34" s="563">
        <f t="shared" si="194"/>
        <v>0</v>
      </c>
      <c r="Y34" s="563">
        <f t="shared" si="195"/>
        <v>0</v>
      </c>
      <c r="Z34" s="563">
        <f t="shared" si="196"/>
        <v>0</v>
      </c>
      <c r="AA34" s="563">
        <f t="shared" si="197"/>
        <v>0</v>
      </c>
      <c r="AB34" s="563">
        <f t="shared" si="198"/>
        <v>0</v>
      </c>
      <c r="AC34" s="563">
        <f t="shared" si="199"/>
        <v>0</v>
      </c>
      <c r="AD34" s="563">
        <f t="shared" si="200"/>
        <v>0</v>
      </c>
      <c r="AE34" s="563">
        <f t="shared" si="201"/>
        <v>0</v>
      </c>
      <c r="AF34" s="563">
        <f t="shared" si="202"/>
        <v>0</v>
      </c>
      <c r="AG34" s="563">
        <f t="shared" si="203"/>
        <v>0</v>
      </c>
      <c r="AH34" s="563">
        <f t="shared" si="204"/>
        <v>0</v>
      </c>
      <c r="AI34" s="563">
        <f t="shared" si="205"/>
        <v>0</v>
      </c>
      <c r="AJ34" s="563">
        <f t="shared" si="206"/>
        <v>0</v>
      </c>
      <c r="AK34" s="563">
        <f t="shared" si="207"/>
        <v>0</v>
      </c>
      <c r="AL34" s="563">
        <f t="shared" si="208"/>
        <v>0</v>
      </c>
      <c r="AM34" s="563">
        <f t="shared" si="209"/>
        <v>0</v>
      </c>
      <c r="AN34" s="563">
        <f t="shared" si="210"/>
        <v>0</v>
      </c>
      <c r="AO34" s="267"/>
      <c r="AP34" s="269"/>
      <c r="AQ34" s="270">
        <v>0</v>
      </c>
      <c r="AR34" s="267" t="s">
        <v>932</v>
      </c>
      <c r="AS34" s="267"/>
      <c r="AT34" s="267"/>
      <c r="AU34" s="267"/>
      <c r="AV34" s="267"/>
      <c r="AW34" s="267"/>
      <c r="AX34" s="267"/>
      <c r="AY34" s="267"/>
      <c r="AZ34" s="267"/>
      <c r="BA34" s="267"/>
      <c r="BB34" s="267"/>
      <c r="BC34" s="267"/>
      <c r="BD34" s="267"/>
      <c r="BE34" s="267"/>
      <c r="BF34" s="267"/>
      <c r="BG34" s="267"/>
      <c r="BH34" s="267"/>
      <c r="BI34" s="267"/>
      <c r="BJ34" s="267"/>
      <c r="BK34" s="267"/>
      <c r="BL34" s="267"/>
      <c r="BM34" s="267"/>
      <c r="BN34" s="267"/>
      <c r="BO34" s="267"/>
      <c r="BP34" s="267"/>
      <c r="BQ34" s="267"/>
      <c r="BR34" s="267"/>
      <c r="BS34" s="267"/>
      <c r="BT34" s="267"/>
      <c r="BU34" s="267"/>
      <c r="BV34" s="267"/>
      <c r="BW34" s="267"/>
      <c r="BX34" s="267"/>
      <c r="BY34" s="267"/>
      <c r="BZ34" s="267"/>
      <c r="CA34" s="267"/>
      <c r="CB34" s="267"/>
      <c r="CC34" s="267"/>
      <c r="CD34" s="267"/>
      <c r="CE34" s="267"/>
      <c r="CF34" s="267"/>
      <c r="CG34" s="267"/>
      <c r="CH34" s="267"/>
      <c r="CI34" s="267"/>
      <c r="CJ34" s="267"/>
      <c r="CK34" s="267"/>
      <c r="CL34" s="267"/>
      <c r="CM34" s="267"/>
      <c r="CN34" s="267"/>
    </row>
    <row r="35" spans="1:92">
      <c r="A35" s="595"/>
      <c r="B35" s="598"/>
      <c r="C35" s="599"/>
      <c r="D35" s="1166" t="s">
        <v>965</v>
      </c>
      <c r="E35" s="1164" t="s">
        <v>931</v>
      </c>
      <c r="F35" s="562">
        <v>1</v>
      </c>
      <c r="G35" s="563">
        <f t="shared" si="181"/>
        <v>100000</v>
      </c>
      <c r="H35" s="563">
        <f t="shared" si="179"/>
        <v>8333.3333333333339</v>
      </c>
      <c r="I35" s="563">
        <f t="shared" si="0"/>
        <v>100000</v>
      </c>
      <c r="J35" s="1165">
        <f t="shared" si="1"/>
        <v>500000</v>
      </c>
      <c r="K35" s="563">
        <f t="shared" si="180"/>
        <v>100000</v>
      </c>
      <c r="L35" s="563">
        <f t="shared" si="182"/>
        <v>100000</v>
      </c>
      <c r="M35" s="563">
        <f t="shared" si="183"/>
        <v>100000</v>
      </c>
      <c r="N35" s="563">
        <f t="shared" si="184"/>
        <v>100000</v>
      </c>
      <c r="O35" s="563">
        <f t="shared" si="185"/>
        <v>100000</v>
      </c>
      <c r="P35" s="563"/>
      <c r="Q35" s="563"/>
      <c r="R35" s="563"/>
      <c r="S35" s="563"/>
      <c r="T35" s="563"/>
      <c r="U35" s="563"/>
      <c r="V35" s="563"/>
      <c r="W35" s="563"/>
      <c r="X35" s="563"/>
      <c r="Y35" s="563"/>
      <c r="Z35" s="563"/>
      <c r="AA35" s="563"/>
      <c r="AB35" s="563"/>
      <c r="AC35" s="563"/>
      <c r="AD35" s="563"/>
      <c r="AE35" s="563"/>
      <c r="AF35" s="563"/>
      <c r="AG35" s="563"/>
      <c r="AH35" s="563"/>
      <c r="AI35" s="563"/>
      <c r="AJ35" s="563"/>
      <c r="AK35" s="563"/>
      <c r="AL35" s="563"/>
      <c r="AM35" s="563"/>
      <c r="AN35" s="563"/>
      <c r="AO35" s="267"/>
      <c r="AP35" s="269"/>
      <c r="AQ35" s="270">
        <v>100000</v>
      </c>
      <c r="AR35" s="267" t="s">
        <v>932</v>
      </c>
      <c r="AS35" s="267"/>
      <c r="AT35" s="267"/>
      <c r="AU35" s="267"/>
      <c r="AV35" s="267"/>
      <c r="AW35" s="267"/>
      <c r="AX35" s="267"/>
      <c r="AY35" s="267"/>
      <c r="AZ35" s="267"/>
      <c r="BA35" s="267"/>
      <c r="BB35" s="267"/>
      <c r="BC35" s="267"/>
      <c r="BD35" s="267"/>
      <c r="BE35" s="267"/>
      <c r="BF35" s="267"/>
      <c r="BG35" s="267"/>
      <c r="BH35" s="267"/>
      <c r="BI35" s="267"/>
      <c r="BJ35" s="267"/>
      <c r="BK35" s="267"/>
      <c r="BL35" s="267"/>
      <c r="BM35" s="267"/>
      <c r="BN35" s="267"/>
      <c r="BO35" s="267"/>
      <c r="BP35" s="267"/>
      <c r="BQ35" s="267"/>
      <c r="BR35" s="267"/>
      <c r="BS35" s="267"/>
      <c r="BT35" s="267"/>
      <c r="BU35" s="267"/>
      <c r="BV35" s="267"/>
      <c r="BW35" s="267"/>
      <c r="BX35" s="267"/>
      <c r="BY35" s="267"/>
      <c r="BZ35" s="267"/>
      <c r="CA35" s="267"/>
      <c r="CB35" s="267"/>
      <c r="CC35" s="267"/>
      <c r="CD35" s="267"/>
      <c r="CE35" s="267"/>
      <c r="CF35" s="267"/>
      <c r="CG35" s="267"/>
      <c r="CH35" s="267"/>
      <c r="CI35" s="267"/>
      <c r="CJ35" s="267"/>
      <c r="CK35" s="267"/>
      <c r="CL35" s="267"/>
      <c r="CM35" s="267"/>
      <c r="CN35" s="267"/>
    </row>
    <row r="36" spans="1:92">
      <c r="A36" s="595"/>
      <c r="B36" s="598"/>
      <c r="C36" s="599"/>
      <c r="D36" s="1166" t="s">
        <v>966</v>
      </c>
      <c r="E36" s="1164" t="s">
        <v>931</v>
      </c>
      <c r="F36" s="562">
        <v>1</v>
      </c>
      <c r="G36" s="563">
        <f t="shared" ref="G36" si="211">AQ36</f>
        <v>150000</v>
      </c>
      <c r="H36" s="563">
        <f t="shared" ref="H36" si="212">G36/12*F36</f>
        <v>12500</v>
      </c>
      <c r="I36" s="563">
        <f t="shared" ref="I36" si="213">H36*12</f>
        <v>150000</v>
      </c>
      <c r="J36" s="1165">
        <f t="shared" ref="J36" si="214">SUM(K36:AN36)</f>
        <v>750000</v>
      </c>
      <c r="K36" s="563">
        <f t="shared" ref="K36" si="215">I36</f>
        <v>150000</v>
      </c>
      <c r="L36" s="563">
        <f t="shared" ref="L36:L37" si="216">I36</f>
        <v>150000</v>
      </c>
      <c r="M36" s="563">
        <f t="shared" ref="M36" si="217">K36</f>
        <v>150000</v>
      </c>
      <c r="N36" s="563">
        <f t="shared" ref="N36" si="218">L36</f>
        <v>150000</v>
      </c>
      <c r="O36" s="563">
        <f t="shared" ref="O36" si="219">M36</f>
        <v>150000</v>
      </c>
      <c r="P36" s="563"/>
      <c r="Q36" s="563"/>
      <c r="R36" s="563"/>
      <c r="S36" s="563"/>
      <c r="T36" s="563"/>
      <c r="U36" s="563"/>
      <c r="V36" s="563"/>
      <c r="W36" s="563"/>
      <c r="X36" s="563"/>
      <c r="Y36" s="563"/>
      <c r="Z36" s="563"/>
      <c r="AA36" s="563"/>
      <c r="AB36" s="563"/>
      <c r="AC36" s="563"/>
      <c r="AD36" s="563"/>
      <c r="AE36" s="563"/>
      <c r="AF36" s="563"/>
      <c r="AG36" s="563"/>
      <c r="AH36" s="563"/>
      <c r="AI36" s="563"/>
      <c r="AJ36" s="563"/>
      <c r="AK36" s="563"/>
      <c r="AL36" s="563"/>
      <c r="AM36" s="563"/>
      <c r="AN36" s="563"/>
      <c r="AO36" s="267"/>
      <c r="AP36" s="269"/>
      <c r="AQ36" s="270">
        <v>150000</v>
      </c>
      <c r="AR36" s="267" t="s">
        <v>932</v>
      </c>
      <c r="AS36" s="267"/>
      <c r="AT36" s="267"/>
      <c r="AU36" s="267"/>
      <c r="AV36" s="267"/>
      <c r="AW36" s="267"/>
      <c r="AX36" s="267"/>
      <c r="AY36" s="267"/>
      <c r="AZ36" s="267"/>
      <c r="BA36" s="267"/>
      <c r="BB36" s="267"/>
      <c r="BC36" s="267"/>
      <c r="BD36" s="267"/>
      <c r="BE36" s="267"/>
      <c r="BF36" s="267"/>
      <c r="BG36" s="267"/>
      <c r="BH36" s="267"/>
      <c r="BI36" s="267"/>
      <c r="BJ36" s="267"/>
      <c r="BK36" s="267"/>
      <c r="BL36" s="267"/>
      <c r="BM36" s="267"/>
      <c r="BN36" s="267"/>
      <c r="BO36" s="267"/>
      <c r="BP36" s="267"/>
      <c r="BQ36" s="267"/>
      <c r="BR36" s="267"/>
      <c r="BS36" s="267"/>
      <c r="BT36" s="267"/>
      <c r="BU36" s="267"/>
      <c r="BV36" s="267"/>
      <c r="BW36" s="267"/>
      <c r="BX36" s="267"/>
      <c r="BY36" s="267"/>
      <c r="BZ36" s="267"/>
      <c r="CA36" s="267"/>
      <c r="CB36" s="267"/>
      <c r="CC36" s="267"/>
      <c r="CD36" s="267"/>
      <c r="CE36" s="267"/>
      <c r="CF36" s="267"/>
      <c r="CG36" s="267"/>
      <c r="CH36" s="267"/>
      <c r="CI36" s="267"/>
      <c r="CJ36" s="267"/>
      <c r="CK36" s="267"/>
      <c r="CL36" s="267"/>
      <c r="CM36" s="267"/>
      <c r="CN36" s="267"/>
    </row>
    <row r="37" spans="1:92">
      <c r="A37" s="595"/>
      <c r="B37" s="598"/>
      <c r="C37" s="599"/>
      <c r="D37" s="1166" t="s">
        <v>967</v>
      </c>
      <c r="E37" s="1164" t="s">
        <v>931</v>
      </c>
      <c r="F37" s="562">
        <v>1</v>
      </c>
      <c r="G37" s="563">
        <f t="shared" si="181"/>
        <v>20000</v>
      </c>
      <c r="H37" s="563">
        <f t="shared" si="179"/>
        <v>1666.6666666666667</v>
      </c>
      <c r="I37" s="563">
        <f>G37</f>
        <v>20000</v>
      </c>
      <c r="J37" s="1165">
        <f t="shared" si="1"/>
        <v>600000</v>
      </c>
      <c r="K37" s="563">
        <f t="shared" si="180"/>
        <v>20000</v>
      </c>
      <c r="L37" s="563">
        <f t="shared" si="216"/>
        <v>20000</v>
      </c>
      <c r="M37" s="563">
        <f t="shared" ref="M37" si="220">K37</f>
        <v>20000</v>
      </c>
      <c r="N37" s="563">
        <f t="shared" ref="N37" si="221">L37</f>
        <v>20000</v>
      </c>
      <c r="O37" s="563">
        <f t="shared" ref="O37" si="222">M37</f>
        <v>20000</v>
      </c>
      <c r="P37" s="563">
        <f t="shared" ref="P37" si="223">N37</f>
        <v>20000</v>
      </c>
      <c r="Q37" s="563">
        <f t="shared" ref="Q37" si="224">O37</f>
        <v>20000</v>
      </c>
      <c r="R37" s="563">
        <f t="shared" ref="R37" si="225">P37</f>
        <v>20000</v>
      </c>
      <c r="S37" s="563">
        <f t="shared" ref="S37" si="226">Q37</f>
        <v>20000</v>
      </c>
      <c r="T37" s="563">
        <f t="shared" ref="T37" si="227">R37</f>
        <v>20000</v>
      </c>
      <c r="U37" s="563">
        <f t="shared" ref="U37" si="228">S37</f>
        <v>20000</v>
      </c>
      <c r="V37" s="563">
        <f t="shared" ref="V37" si="229">T37</f>
        <v>20000</v>
      </c>
      <c r="W37" s="563">
        <f t="shared" ref="W37" si="230">U37</f>
        <v>20000</v>
      </c>
      <c r="X37" s="563">
        <f t="shared" ref="X37" si="231">V37</f>
        <v>20000</v>
      </c>
      <c r="Y37" s="563">
        <f t="shared" ref="Y37" si="232">W37</f>
        <v>20000</v>
      </c>
      <c r="Z37" s="563">
        <f t="shared" ref="Z37" si="233">X37</f>
        <v>20000</v>
      </c>
      <c r="AA37" s="563">
        <f t="shared" ref="AA37" si="234">Y37</f>
        <v>20000</v>
      </c>
      <c r="AB37" s="563">
        <f t="shared" ref="AB37" si="235">Z37</f>
        <v>20000</v>
      </c>
      <c r="AC37" s="563">
        <f t="shared" ref="AC37" si="236">AA37</f>
        <v>20000</v>
      </c>
      <c r="AD37" s="563">
        <f t="shared" ref="AD37" si="237">AB37</f>
        <v>20000</v>
      </c>
      <c r="AE37" s="563">
        <f t="shared" ref="AE37" si="238">AC37</f>
        <v>20000</v>
      </c>
      <c r="AF37" s="563">
        <f t="shared" ref="AF37" si="239">AD37</f>
        <v>20000</v>
      </c>
      <c r="AG37" s="563">
        <f t="shared" ref="AG37" si="240">AE37</f>
        <v>20000</v>
      </c>
      <c r="AH37" s="563">
        <f t="shared" ref="AH37" si="241">AF37</f>
        <v>20000</v>
      </c>
      <c r="AI37" s="563">
        <f t="shared" ref="AI37" si="242">AG37</f>
        <v>20000</v>
      </c>
      <c r="AJ37" s="563">
        <f t="shared" ref="AJ37" si="243">AH37</f>
        <v>20000</v>
      </c>
      <c r="AK37" s="563">
        <f t="shared" ref="AK37" si="244">AI37</f>
        <v>20000</v>
      </c>
      <c r="AL37" s="563">
        <f t="shared" ref="AL37" si="245">AJ37</f>
        <v>20000</v>
      </c>
      <c r="AM37" s="563">
        <f t="shared" ref="AM37" si="246">AK37</f>
        <v>20000</v>
      </c>
      <c r="AN37" s="563">
        <f t="shared" ref="AN37" si="247">AL37</f>
        <v>20000</v>
      </c>
      <c r="AO37" s="267"/>
      <c r="AP37" s="269"/>
      <c r="AQ37" s="270">
        <v>20000</v>
      </c>
      <c r="AR37" s="267" t="s">
        <v>932</v>
      </c>
      <c r="AS37" s="267"/>
      <c r="AT37" s="267"/>
      <c r="AU37" s="267"/>
      <c r="AV37" s="267"/>
      <c r="AW37" s="267"/>
      <c r="AX37" s="267"/>
      <c r="AY37" s="267"/>
      <c r="AZ37" s="267"/>
      <c r="BA37" s="267"/>
      <c r="BB37" s="267"/>
      <c r="BC37" s="267"/>
      <c r="BD37" s="267"/>
      <c r="BE37" s="267"/>
      <c r="BF37" s="267"/>
      <c r="BG37" s="267"/>
      <c r="BH37" s="267"/>
      <c r="BI37" s="267"/>
      <c r="BJ37" s="267"/>
      <c r="BK37" s="267"/>
      <c r="BL37" s="267"/>
      <c r="BM37" s="267"/>
      <c r="BN37" s="267"/>
      <c r="BO37" s="267"/>
      <c r="BP37" s="267"/>
      <c r="BQ37" s="267"/>
      <c r="BR37" s="267"/>
      <c r="BS37" s="267"/>
      <c r="BT37" s="267"/>
      <c r="BU37" s="267"/>
      <c r="BV37" s="267"/>
      <c r="BW37" s="267"/>
      <c r="BX37" s="267"/>
      <c r="BY37" s="267"/>
      <c r="BZ37" s="267"/>
      <c r="CA37" s="267"/>
      <c r="CB37" s="267"/>
      <c r="CC37" s="267"/>
      <c r="CD37" s="267"/>
      <c r="CE37" s="267"/>
      <c r="CF37" s="267"/>
      <c r="CG37" s="267"/>
      <c r="CH37" s="267"/>
      <c r="CI37" s="267"/>
      <c r="CJ37" s="267"/>
      <c r="CK37" s="267"/>
      <c r="CL37" s="267"/>
      <c r="CM37" s="267"/>
      <c r="CN37" s="267"/>
    </row>
    <row r="38" spans="1:92">
      <c r="A38" s="595"/>
      <c r="B38" s="598"/>
      <c r="C38" s="599"/>
      <c r="D38" s="1166" t="s">
        <v>968</v>
      </c>
      <c r="E38" s="1164" t="s">
        <v>931</v>
      </c>
      <c r="F38" s="562">
        <v>1</v>
      </c>
      <c r="G38" s="563">
        <f t="shared" si="181"/>
        <v>40000</v>
      </c>
      <c r="H38" s="563">
        <f t="shared" si="179"/>
        <v>3333.3333333333335</v>
      </c>
      <c r="I38" s="563">
        <f t="shared" si="0"/>
        <v>40000</v>
      </c>
      <c r="J38" s="1165">
        <f t="shared" si="1"/>
        <v>1200000</v>
      </c>
      <c r="K38" s="563">
        <f t="shared" si="180"/>
        <v>40000</v>
      </c>
      <c r="L38" s="563">
        <f t="shared" ref="L38:L39" si="248">I38</f>
        <v>40000</v>
      </c>
      <c r="M38" s="563">
        <f t="shared" ref="M38:M39" si="249">K38</f>
        <v>40000</v>
      </c>
      <c r="N38" s="563">
        <f t="shared" ref="N38:N39" si="250">L38</f>
        <v>40000</v>
      </c>
      <c r="O38" s="563">
        <f t="shared" ref="O38:O39" si="251">M38</f>
        <v>40000</v>
      </c>
      <c r="P38" s="563">
        <f t="shared" ref="P38:P39" si="252">N38</f>
        <v>40000</v>
      </c>
      <c r="Q38" s="563">
        <f t="shared" ref="Q38:Q39" si="253">O38</f>
        <v>40000</v>
      </c>
      <c r="R38" s="563">
        <f t="shared" ref="R38:R39" si="254">P38</f>
        <v>40000</v>
      </c>
      <c r="S38" s="563">
        <f t="shared" ref="S38:S39" si="255">Q38</f>
        <v>40000</v>
      </c>
      <c r="T38" s="563">
        <f t="shared" ref="T38:T39" si="256">R38</f>
        <v>40000</v>
      </c>
      <c r="U38" s="563">
        <f t="shared" ref="U38:U39" si="257">S38</f>
        <v>40000</v>
      </c>
      <c r="V38" s="563">
        <f t="shared" ref="V38:V39" si="258">T38</f>
        <v>40000</v>
      </c>
      <c r="W38" s="563">
        <f t="shared" ref="W38:W39" si="259">U38</f>
        <v>40000</v>
      </c>
      <c r="X38" s="563">
        <f t="shared" ref="X38:X39" si="260">V38</f>
        <v>40000</v>
      </c>
      <c r="Y38" s="563">
        <f t="shared" ref="Y38:Y39" si="261">W38</f>
        <v>40000</v>
      </c>
      <c r="Z38" s="563">
        <f t="shared" ref="Z38:Z39" si="262">X38</f>
        <v>40000</v>
      </c>
      <c r="AA38" s="563">
        <f t="shared" ref="AA38:AA39" si="263">Y38</f>
        <v>40000</v>
      </c>
      <c r="AB38" s="563">
        <f t="shared" ref="AB38:AB39" si="264">Z38</f>
        <v>40000</v>
      </c>
      <c r="AC38" s="563">
        <f t="shared" ref="AC38:AC39" si="265">AA38</f>
        <v>40000</v>
      </c>
      <c r="AD38" s="563">
        <f t="shared" ref="AD38:AD39" si="266">AB38</f>
        <v>40000</v>
      </c>
      <c r="AE38" s="563">
        <f t="shared" ref="AE38:AE39" si="267">AC38</f>
        <v>40000</v>
      </c>
      <c r="AF38" s="563">
        <f t="shared" ref="AF38:AF39" si="268">AD38</f>
        <v>40000</v>
      </c>
      <c r="AG38" s="563">
        <f t="shared" ref="AG38:AG39" si="269">AE38</f>
        <v>40000</v>
      </c>
      <c r="AH38" s="563">
        <f t="shared" ref="AH38:AH39" si="270">AF38</f>
        <v>40000</v>
      </c>
      <c r="AI38" s="563">
        <f t="shared" ref="AI38:AI39" si="271">AG38</f>
        <v>40000</v>
      </c>
      <c r="AJ38" s="563">
        <f t="shared" ref="AJ38:AJ39" si="272">AH38</f>
        <v>40000</v>
      </c>
      <c r="AK38" s="563">
        <f t="shared" ref="AK38:AK39" si="273">AI38</f>
        <v>40000</v>
      </c>
      <c r="AL38" s="563">
        <f t="shared" ref="AL38:AL39" si="274">AJ38</f>
        <v>40000</v>
      </c>
      <c r="AM38" s="563">
        <f t="shared" ref="AM38:AM39" si="275">AK38</f>
        <v>40000</v>
      </c>
      <c r="AN38" s="563">
        <f t="shared" ref="AN38:AN39" si="276">AL38</f>
        <v>40000</v>
      </c>
      <c r="AO38" s="267"/>
      <c r="AP38" s="269"/>
      <c r="AQ38" s="270">
        <v>40000</v>
      </c>
      <c r="AR38" s="267" t="s">
        <v>932</v>
      </c>
      <c r="AS38" s="267"/>
      <c r="AT38" s="267"/>
      <c r="AU38" s="267"/>
      <c r="AV38" s="267"/>
      <c r="AW38" s="267"/>
      <c r="AX38" s="267"/>
      <c r="AY38" s="267"/>
      <c r="AZ38" s="267"/>
      <c r="BA38" s="267"/>
      <c r="BB38" s="267"/>
      <c r="BC38" s="267"/>
      <c r="BD38" s="267"/>
      <c r="BE38" s="267"/>
      <c r="BF38" s="267"/>
      <c r="BG38" s="267"/>
      <c r="BH38" s="267"/>
      <c r="BI38" s="267"/>
      <c r="BJ38" s="267"/>
      <c r="BK38" s="267"/>
      <c r="BL38" s="267"/>
      <c r="BM38" s="267"/>
      <c r="BN38" s="267"/>
      <c r="BO38" s="267"/>
      <c r="BP38" s="267"/>
      <c r="BQ38" s="267"/>
      <c r="BR38" s="267"/>
      <c r="BS38" s="267"/>
      <c r="BT38" s="267"/>
      <c r="BU38" s="267"/>
      <c r="BV38" s="267"/>
      <c r="BW38" s="267"/>
      <c r="BX38" s="267"/>
      <c r="BY38" s="267"/>
      <c r="BZ38" s="267"/>
      <c r="CA38" s="267"/>
      <c r="CB38" s="267"/>
      <c r="CC38" s="267"/>
      <c r="CD38" s="267"/>
      <c r="CE38" s="267"/>
      <c r="CF38" s="267"/>
      <c r="CG38" s="267"/>
      <c r="CH38" s="267"/>
      <c r="CI38" s="267"/>
      <c r="CJ38" s="267"/>
      <c r="CK38" s="267"/>
      <c r="CL38" s="267"/>
      <c r="CM38" s="267"/>
      <c r="CN38" s="267"/>
    </row>
    <row r="39" spans="1:92">
      <c r="A39" s="595"/>
      <c r="B39" s="598"/>
      <c r="C39" s="599"/>
      <c r="D39" s="1166" t="s">
        <v>969</v>
      </c>
      <c r="E39" s="1164" t="s">
        <v>931</v>
      </c>
      <c r="F39" s="562">
        <v>1</v>
      </c>
      <c r="G39" s="563">
        <f t="shared" si="181"/>
        <v>40000</v>
      </c>
      <c r="H39" s="563">
        <f t="shared" si="179"/>
        <v>3333.3333333333335</v>
      </c>
      <c r="I39" s="563">
        <f t="shared" si="0"/>
        <v>40000</v>
      </c>
      <c r="J39" s="1165">
        <f t="shared" si="1"/>
        <v>1200000</v>
      </c>
      <c r="K39" s="563">
        <f t="shared" si="180"/>
        <v>40000</v>
      </c>
      <c r="L39" s="563">
        <f t="shared" si="248"/>
        <v>40000</v>
      </c>
      <c r="M39" s="563">
        <f t="shared" si="249"/>
        <v>40000</v>
      </c>
      <c r="N39" s="563">
        <f t="shared" si="250"/>
        <v>40000</v>
      </c>
      <c r="O39" s="563">
        <f t="shared" si="251"/>
        <v>40000</v>
      </c>
      <c r="P39" s="563">
        <f t="shared" si="252"/>
        <v>40000</v>
      </c>
      <c r="Q39" s="563">
        <f t="shared" si="253"/>
        <v>40000</v>
      </c>
      <c r="R39" s="563">
        <f t="shared" si="254"/>
        <v>40000</v>
      </c>
      <c r="S39" s="563">
        <f t="shared" si="255"/>
        <v>40000</v>
      </c>
      <c r="T39" s="563">
        <f t="shared" si="256"/>
        <v>40000</v>
      </c>
      <c r="U39" s="563">
        <f t="shared" si="257"/>
        <v>40000</v>
      </c>
      <c r="V39" s="563">
        <f t="shared" si="258"/>
        <v>40000</v>
      </c>
      <c r="W39" s="563">
        <f t="shared" si="259"/>
        <v>40000</v>
      </c>
      <c r="X39" s="563">
        <f t="shared" si="260"/>
        <v>40000</v>
      </c>
      <c r="Y39" s="563">
        <f t="shared" si="261"/>
        <v>40000</v>
      </c>
      <c r="Z39" s="563">
        <f t="shared" si="262"/>
        <v>40000</v>
      </c>
      <c r="AA39" s="563">
        <f t="shared" si="263"/>
        <v>40000</v>
      </c>
      <c r="AB39" s="563">
        <f t="shared" si="264"/>
        <v>40000</v>
      </c>
      <c r="AC39" s="563">
        <f t="shared" si="265"/>
        <v>40000</v>
      </c>
      <c r="AD39" s="563">
        <f t="shared" si="266"/>
        <v>40000</v>
      </c>
      <c r="AE39" s="563">
        <f t="shared" si="267"/>
        <v>40000</v>
      </c>
      <c r="AF39" s="563">
        <f t="shared" si="268"/>
        <v>40000</v>
      </c>
      <c r="AG39" s="563">
        <f t="shared" si="269"/>
        <v>40000</v>
      </c>
      <c r="AH39" s="563">
        <f t="shared" si="270"/>
        <v>40000</v>
      </c>
      <c r="AI39" s="563">
        <f t="shared" si="271"/>
        <v>40000</v>
      </c>
      <c r="AJ39" s="563">
        <f t="shared" si="272"/>
        <v>40000</v>
      </c>
      <c r="AK39" s="563">
        <f t="shared" si="273"/>
        <v>40000</v>
      </c>
      <c r="AL39" s="563">
        <f t="shared" si="274"/>
        <v>40000</v>
      </c>
      <c r="AM39" s="563">
        <f t="shared" si="275"/>
        <v>40000</v>
      </c>
      <c r="AN39" s="563">
        <f t="shared" si="276"/>
        <v>40000</v>
      </c>
      <c r="AO39" s="267"/>
      <c r="AP39" s="269"/>
      <c r="AQ39" s="270">
        <v>40000</v>
      </c>
      <c r="AR39" s="267" t="s">
        <v>932</v>
      </c>
      <c r="AS39" s="267"/>
      <c r="AT39" s="267"/>
      <c r="AU39" s="267"/>
      <c r="AV39" s="267"/>
      <c r="AW39" s="267"/>
      <c r="AX39" s="267"/>
      <c r="AY39" s="267"/>
      <c r="AZ39" s="267"/>
      <c r="BA39" s="267"/>
      <c r="BB39" s="267"/>
      <c r="BC39" s="267"/>
      <c r="BD39" s="267"/>
      <c r="BE39" s="267"/>
      <c r="BF39" s="267"/>
      <c r="BG39" s="267"/>
      <c r="BH39" s="267"/>
      <c r="BI39" s="267"/>
      <c r="BJ39" s="267"/>
      <c r="BK39" s="267"/>
      <c r="BL39" s="267"/>
      <c r="BM39" s="267"/>
      <c r="BN39" s="267"/>
      <c r="BO39" s="267"/>
      <c r="BP39" s="267"/>
      <c r="BQ39" s="267"/>
      <c r="BR39" s="267"/>
      <c r="BS39" s="267"/>
      <c r="BT39" s="267"/>
      <c r="BU39" s="267"/>
      <c r="BV39" s="267"/>
      <c r="BW39" s="267"/>
      <c r="BX39" s="267"/>
      <c r="BY39" s="267"/>
      <c r="BZ39" s="267"/>
      <c r="CA39" s="267"/>
      <c r="CB39" s="267"/>
      <c r="CC39" s="267"/>
      <c r="CD39" s="267"/>
      <c r="CE39" s="267"/>
      <c r="CF39" s="267"/>
      <c r="CG39" s="267"/>
      <c r="CH39" s="267"/>
      <c r="CI39" s="267"/>
      <c r="CJ39" s="267"/>
      <c r="CK39" s="267"/>
      <c r="CL39" s="267"/>
      <c r="CM39" s="267"/>
      <c r="CN39" s="267"/>
    </row>
    <row r="40" spans="1:92">
      <c r="A40" s="595"/>
      <c r="B40" s="598"/>
      <c r="C40" s="599"/>
      <c r="D40" s="1163" t="s">
        <v>970</v>
      </c>
      <c r="E40" s="1164"/>
      <c r="F40" s="562"/>
      <c r="G40" s="563"/>
      <c r="H40" s="563"/>
      <c r="I40" s="563"/>
      <c r="J40" s="1165"/>
      <c r="K40" s="563"/>
      <c r="L40" s="563"/>
      <c r="M40" s="563"/>
      <c r="N40" s="563"/>
      <c r="O40" s="563"/>
      <c r="P40" s="563"/>
      <c r="Q40" s="563"/>
      <c r="R40" s="563"/>
      <c r="S40" s="563"/>
      <c r="T40" s="563"/>
      <c r="U40" s="563"/>
      <c r="V40" s="563"/>
      <c r="W40" s="563"/>
      <c r="X40" s="563"/>
      <c r="Y40" s="563"/>
      <c r="Z40" s="563"/>
      <c r="AA40" s="563"/>
      <c r="AB40" s="563"/>
      <c r="AC40" s="563"/>
      <c r="AD40" s="563"/>
      <c r="AE40" s="563"/>
      <c r="AF40" s="563"/>
      <c r="AG40" s="563"/>
      <c r="AH40" s="563"/>
      <c r="AI40" s="563"/>
      <c r="AJ40" s="563"/>
      <c r="AK40" s="563"/>
      <c r="AL40" s="563"/>
      <c r="AM40" s="563"/>
      <c r="AN40" s="563"/>
      <c r="AO40" s="267"/>
      <c r="AP40" s="269"/>
      <c r="AQ40" s="270"/>
      <c r="AR40" s="267"/>
      <c r="AS40" s="267"/>
      <c r="AT40" s="269"/>
      <c r="AU40" s="267"/>
      <c r="AV40" s="267"/>
      <c r="AW40" s="267"/>
      <c r="AX40" s="267"/>
      <c r="AY40" s="267"/>
      <c r="AZ40" s="267"/>
      <c r="BA40" s="267"/>
      <c r="BB40" s="267"/>
      <c r="BC40" s="267"/>
      <c r="BD40" s="267"/>
      <c r="BE40" s="267"/>
      <c r="BF40" s="267"/>
      <c r="BG40" s="267"/>
      <c r="BH40" s="267"/>
      <c r="BI40" s="267"/>
      <c r="BJ40" s="267"/>
      <c r="BK40" s="267"/>
      <c r="BL40" s="267"/>
      <c r="BM40" s="267"/>
      <c r="BN40" s="267"/>
      <c r="BO40" s="267"/>
      <c r="BP40" s="267"/>
      <c r="BQ40" s="267"/>
      <c r="BR40" s="267"/>
      <c r="BS40" s="267"/>
      <c r="BT40" s="267"/>
      <c r="BU40" s="267"/>
      <c r="BV40" s="267"/>
      <c r="BW40" s="267"/>
      <c r="BX40" s="267"/>
      <c r="BY40" s="267"/>
      <c r="BZ40" s="267"/>
      <c r="CA40" s="267"/>
      <c r="CB40" s="267"/>
      <c r="CC40" s="267"/>
      <c r="CD40" s="267"/>
      <c r="CE40" s="267"/>
      <c r="CF40" s="267"/>
      <c r="CG40" s="267"/>
      <c r="CH40" s="267"/>
      <c r="CI40" s="267"/>
      <c r="CJ40" s="267"/>
      <c r="CK40" s="267"/>
      <c r="CL40" s="267"/>
      <c r="CM40" s="267"/>
      <c r="CN40" s="267"/>
    </row>
    <row r="41" spans="1:92">
      <c r="A41" s="595"/>
      <c r="B41" s="598"/>
      <c r="C41" s="599"/>
      <c r="D41" s="1166" t="s">
        <v>970</v>
      </c>
      <c r="E41" s="1164" t="s">
        <v>931</v>
      </c>
      <c r="F41" s="1167">
        <f>I56</f>
        <v>204.97333333333339</v>
      </c>
      <c r="G41" s="563">
        <f t="shared" si="181"/>
        <v>300</v>
      </c>
      <c r="H41" s="563">
        <f>G41/12*F41</f>
        <v>5124.3333333333348</v>
      </c>
      <c r="I41" s="563">
        <f t="shared" si="0"/>
        <v>61492.000000000015</v>
      </c>
      <c r="J41" s="1165">
        <f t="shared" si="1"/>
        <v>1844760.0000000002</v>
      </c>
      <c r="K41" s="563">
        <f>I41</f>
        <v>61492.000000000015</v>
      </c>
      <c r="L41" s="563">
        <f t="shared" ref="L41" si="277">I41</f>
        <v>61492.000000000015</v>
      </c>
      <c r="M41" s="563">
        <f t="shared" ref="M41" si="278">K41</f>
        <v>61492.000000000015</v>
      </c>
      <c r="N41" s="563">
        <f t="shared" ref="N41" si="279">L41</f>
        <v>61492.000000000015</v>
      </c>
      <c r="O41" s="563">
        <f t="shared" ref="O41" si="280">M41</f>
        <v>61492.000000000015</v>
      </c>
      <c r="P41" s="563">
        <f t="shared" ref="P41" si="281">N41</f>
        <v>61492.000000000015</v>
      </c>
      <c r="Q41" s="563">
        <f t="shared" ref="Q41" si="282">O41</f>
        <v>61492.000000000015</v>
      </c>
      <c r="R41" s="563">
        <f t="shared" ref="R41" si="283">P41</f>
        <v>61492.000000000015</v>
      </c>
      <c r="S41" s="563">
        <f t="shared" ref="S41" si="284">Q41</f>
        <v>61492.000000000015</v>
      </c>
      <c r="T41" s="563">
        <f t="shared" ref="T41" si="285">R41</f>
        <v>61492.000000000015</v>
      </c>
      <c r="U41" s="563">
        <f t="shared" ref="U41" si="286">S41</f>
        <v>61492.000000000015</v>
      </c>
      <c r="V41" s="563">
        <f t="shared" ref="V41" si="287">T41</f>
        <v>61492.000000000015</v>
      </c>
      <c r="W41" s="563">
        <f t="shared" ref="W41" si="288">U41</f>
        <v>61492.000000000015</v>
      </c>
      <c r="X41" s="563">
        <f t="shared" ref="X41" si="289">V41</f>
        <v>61492.000000000015</v>
      </c>
      <c r="Y41" s="563">
        <f t="shared" ref="Y41" si="290">W41</f>
        <v>61492.000000000015</v>
      </c>
      <c r="Z41" s="563">
        <f t="shared" ref="Z41" si="291">X41</f>
        <v>61492.000000000015</v>
      </c>
      <c r="AA41" s="563">
        <f t="shared" ref="AA41" si="292">Y41</f>
        <v>61492.000000000015</v>
      </c>
      <c r="AB41" s="563">
        <f t="shared" ref="AB41" si="293">Z41</f>
        <v>61492.000000000015</v>
      </c>
      <c r="AC41" s="563">
        <f t="shared" ref="AC41" si="294">AA41</f>
        <v>61492.000000000015</v>
      </c>
      <c r="AD41" s="563">
        <f t="shared" ref="AD41" si="295">AB41</f>
        <v>61492.000000000015</v>
      </c>
      <c r="AE41" s="563">
        <f t="shared" ref="AE41" si="296">AC41</f>
        <v>61492.000000000015</v>
      </c>
      <c r="AF41" s="563">
        <f t="shared" ref="AF41" si="297">AD41</f>
        <v>61492.000000000015</v>
      </c>
      <c r="AG41" s="563">
        <f t="shared" ref="AG41" si="298">AE41</f>
        <v>61492.000000000015</v>
      </c>
      <c r="AH41" s="563">
        <f t="shared" ref="AH41" si="299">AF41</f>
        <v>61492.000000000015</v>
      </c>
      <c r="AI41" s="563">
        <f t="shared" ref="AI41" si="300">AG41</f>
        <v>61492.000000000015</v>
      </c>
      <c r="AJ41" s="563">
        <f t="shared" ref="AJ41" si="301">AH41</f>
        <v>61492.000000000015</v>
      </c>
      <c r="AK41" s="563">
        <f t="shared" ref="AK41" si="302">AI41</f>
        <v>61492.000000000015</v>
      </c>
      <c r="AL41" s="563">
        <f t="shared" ref="AL41" si="303">AJ41</f>
        <v>61492.000000000015</v>
      </c>
      <c r="AM41" s="563">
        <f t="shared" ref="AM41" si="304">AK41</f>
        <v>61492.000000000015</v>
      </c>
      <c r="AN41" s="563">
        <f t="shared" ref="AN41" si="305">AL41</f>
        <v>61492.000000000015</v>
      </c>
      <c r="AO41" s="267"/>
      <c r="AP41" s="269"/>
      <c r="AQ41" s="270">
        <v>300</v>
      </c>
      <c r="AR41" s="267" t="s">
        <v>971</v>
      </c>
      <c r="AS41" s="267"/>
      <c r="AT41" s="267"/>
      <c r="AU41" s="267"/>
      <c r="AV41" s="267"/>
      <c r="AW41" s="267"/>
      <c r="AX41" s="267"/>
      <c r="AY41" s="267"/>
      <c r="AZ41" s="267"/>
      <c r="BA41" s="267"/>
      <c r="BB41" s="267"/>
      <c r="BC41" s="267"/>
      <c r="BD41" s="267"/>
      <c r="BE41" s="267"/>
      <c r="BF41" s="267"/>
      <c r="BG41" s="267"/>
      <c r="BH41" s="267"/>
      <c r="BI41" s="267"/>
      <c r="BJ41" s="267"/>
      <c r="BK41" s="267"/>
      <c r="BL41" s="267"/>
      <c r="BM41" s="267"/>
      <c r="BN41" s="267"/>
      <c r="BO41" s="267"/>
      <c r="BP41" s="267"/>
      <c r="BQ41" s="267"/>
      <c r="BR41" s="267"/>
      <c r="BS41" s="267"/>
      <c r="BT41" s="267"/>
      <c r="BU41" s="267"/>
      <c r="BV41" s="267"/>
      <c r="BW41" s="267"/>
      <c r="BX41" s="267"/>
      <c r="BY41" s="267"/>
      <c r="BZ41" s="267"/>
      <c r="CA41" s="267"/>
      <c r="CB41" s="267"/>
      <c r="CC41" s="267"/>
      <c r="CD41" s="267"/>
      <c r="CE41" s="267"/>
      <c r="CF41" s="267"/>
      <c r="CG41" s="267"/>
      <c r="CH41" s="267"/>
      <c r="CI41" s="267"/>
      <c r="CJ41" s="267"/>
      <c r="CK41" s="267"/>
      <c r="CL41" s="267"/>
      <c r="CM41" s="267"/>
      <c r="CN41" s="267"/>
    </row>
    <row r="42" spans="1:92">
      <c r="A42" s="595"/>
      <c r="B42" s="598"/>
      <c r="C42" s="599"/>
      <c r="D42" s="1163" t="s">
        <v>972</v>
      </c>
      <c r="E42" s="562"/>
      <c r="F42" s="562"/>
      <c r="G42" s="563"/>
      <c r="H42" s="563"/>
      <c r="I42" s="563"/>
      <c r="J42" s="1165"/>
      <c r="K42" s="563"/>
      <c r="L42" s="563"/>
      <c r="M42" s="563"/>
      <c r="N42" s="563"/>
      <c r="O42" s="563"/>
      <c r="P42" s="563"/>
      <c r="Q42" s="563"/>
      <c r="R42" s="563"/>
      <c r="S42" s="563"/>
      <c r="T42" s="563"/>
      <c r="U42" s="563"/>
      <c r="V42" s="563"/>
      <c r="W42" s="563"/>
      <c r="X42" s="563"/>
      <c r="Y42" s="563"/>
      <c r="Z42" s="563"/>
      <c r="AA42" s="563"/>
      <c r="AB42" s="563"/>
      <c r="AC42" s="563"/>
      <c r="AD42" s="563"/>
      <c r="AE42" s="563"/>
      <c r="AF42" s="563"/>
      <c r="AG42" s="563"/>
      <c r="AH42" s="563"/>
      <c r="AI42" s="563"/>
      <c r="AJ42" s="563"/>
      <c r="AK42" s="563"/>
      <c r="AL42" s="563"/>
      <c r="AM42" s="563"/>
      <c r="AN42" s="563"/>
      <c r="AO42" s="267"/>
      <c r="AP42" s="269"/>
      <c r="AQ42" s="270"/>
      <c r="AR42" s="267"/>
      <c r="AS42" s="267"/>
      <c r="AT42" s="267"/>
      <c r="AU42" s="267"/>
      <c r="AV42" s="267"/>
      <c r="AW42" s="267"/>
      <c r="AX42" s="267"/>
      <c r="AY42" s="267"/>
      <c r="AZ42" s="267"/>
      <c r="BA42" s="267"/>
      <c r="BB42" s="267"/>
      <c r="BC42" s="267"/>
      <c r="BD42" s="267"/>
      <c r="BE42" s="267"/>
      <c r="BF42" s="267"/>
      <c r="BG42" s="267"/>
      <c r="BH42" s="267"/>
      <c r="BI42" s="267"/>
      <c r="BJ42" s="267"/>
      <c r="BK42" s="267"/>
      <c r="BL42" s="267"/>
      <c r="BM42" s="267"/>
      <c r="BN42" s="267"/>
      <c r="BO42" s="267"/>
      <c r="BP42" s="267"/>
      <c r="BQ42" s="267"/>
      <c r="BR42" s="267"/>
      <c r="BS42" s="267"/>
      <c r="BT42" s="267"/>
      <c r="BU42" s="267"/>
      <c r="BV42" s="267"/>
      <c r="BW42" s="267"/>
      <c r="BX42" s="267"/>
      <c r="BY42" s="267"/>
      <c r="BZ42" s="267"/>
      <c r="CA42" s="267"/>
      <c r="CB42" s="267"/>
      <c r="CC42" s="267"/>
      <c r="CD42" s="267"/>
      <c r="CE42" s="267"/>
      <c r="CF42" s="267"/>
      <c r="CG42" s="267"/>
      <c r="CH42" s="267"/>
      <c r="CI42" s="267"/>
      <c r="CJ42" s="267"/>
      <c r="CK42" s="267"/>
      <c r="CL42" s="267"/>
      <c r="CM42" s="267"/>
      <c r="CN42" s="267"/>
    </row>
    <row r="43" spans="1:92">
      <c r="A43" s="595"/>
      <c r="B43" s="598"/>
      <c r="C43" s="599"/>
      <c r="D43" s="1166" t="s">
        <v>973</v>
      </c>
      <c r="E43" s="1164" t="s">
        <v>931</v>
      </c>
      <c r="F43" s="1168">
        <f>SUM(F17:F22)</f>
        <v>9</v>
      </c>
      <c r="G43" s="563">
        <f t="shared" si="181"/>
        <v>12500</v>
      </c>
      <c r="H43" s="563">
        <f t="shared" ref="H43:H48" si="306">G43/12*F43</f>
        <v>9375</v>
      </c>
      <c r="I43" s="563">
        <f t="shared" si="0"/>
        <v>112500</v>
      </c>
      <c r="J43" s="1165">
        <f t="shared" si="1"/>
        <v>3375000</v>
      </c>
      <c r="K43" s="563">
        <f t="shared" ref="K43:K48" si="307">I43</f>
        <v>112500</v>
      </c>
      <c r="L43" s="563">
        <f t="shared" ref="L43:L46" si="308">I43</f>
        <v>112500</v>
      </c>
      <c r="M43" s="563">
        <f t="shared" ref="M43:M46" si="309">K43</f>
        <v>112500</v>
      </c>
      <c r="N43" s="563">
        <f t="shared" ref="N43:N46" si="310">L43</f>
        <v>112500</v>
      </c>
      <c r="O43" s="563">
        <f t="shared" ref="O43:O46" si="311">M43</f>
        <v>112500</v>
      </c>
      <c r="P43" s="563">
        <f t="shared" ref="P43:P46" si="312">N43</f>
        <v>112500</v>
      </c>
      <c r="Q43" s="563">
        <f t="shared" ref="Q43:Q46" si="313">O43</f>
        <v>112500</v>
      </c>
      <c r="R43" s="563">
        <f t="shared" ref="R43:R46" si="314">P43</f>
        <v>112500</v>
      </c>
      <c r="S43" s="563">
        <f t="shared" ref="S43:S46" si="315">Q43</f>
        <v>112500</v>
      </c>
      <c r="T43" s="563">
        <f t="shared" ref="T43:T46" si="316">R43</f>
        <v>112500</v>
      </c>
      <c r="U43" s="563">
        <f t="shared" ref="U43:U46" si="317">S43</f>
        <v>112500</v>
      </c>
      <c r="V43" s="563">
        <f t="shared" ref="V43:V46" si="318">T43</f>
        <v>112500</v>
      </c>
      <c r="W43" s="563">
        <f t="shared" ref="W43:W46" si="319">U43</f>
        <v>112500</v>
      </c>
      <c r="X43" s="563">
        <f t="shared" ref="X43:X46" si="320">V43</f>
        <v>112500</v>
      </c>
      <c r="Y43" s="563">
        <f t="shared" ref="Y43:Y46" si="321">W43</f>
        <v>112500</v>
      </c>
      <c r="Z43" s="563">
        <f t="shared" ref="Z43:Z46" si="322">X43</f>
        <v>112500</v>
      </c>
      <c r="AA43" s="563">
        <f t="shared" ref="AA43:AA46" si="323">Y43</f>
        <v>112500</v>
      </c>
      <c r="AB43" s="563">
        <f t="shared" ref="AB43:AB46" si="324">Z43</f>
        <v>112500</v>
      </c>
      <c r="AC43" s="563">
        <f t="shared" ref="AC43:AC46" si="325">AA43</f>
        <v>112500</v>
      </c>
      <c r="AD43" s="563">
        <f t="shared" ref="AD43:AD46" si="326">AB43</f>
        <v>112500</v>
      </c>
      <c r="AE43" s="563">
        <f t="shared" ref="AE43:AE46" si="327">AC43</f>
        <v>112500</v>
      </c>
      <c r="AF43" s="563">
        <f t="shared" ref="AF43:AF46" si="328">AD43</f>
        <v>112500</v>
      </c>
      <c r="AG43" s="563">
        <f t="shared" ref="AG43:AG46" si="329">AE43</f>
        <v>112500</v>
      </c>
      <c r="AH43" s="563">
        <f t="shared" ref="AH43:AH46" si="330">AF43</f>
        <v>112500</v>
      </c>
      <c r="AI43" s="563">
        <f t="shared" ref="AI43:AI46" si="331">AG43</f>
        <v>112500</v>
      </c>
      <c r="AJ43" s="563">
        <f t="shared" ref="AJ43:AJ46" si="332">AH43</f>
        <v>112500</v>
      </c>
      <c r="AK43" s="563">
        <f t="shared" ref="AK43:AK46" si="333">AI43</f>
        <v>112500</v>
      </c>
      <c r="AL43" s="563">
        <f t="shared" ref="AL43:AL46" si="334">AJ43</f>
        <v>112500</v>
      </c>
      <c r="AM43" s="563">
        <f t="shared" ref="AM43:AM46" si="335">AK43</f>
        <v>112500</v>
      </c>
      <c r="AN43" s="563">
        <f t="shared" ref="AN43:AN46" si="336">AL43</f>
        <v>112500</v>
      </c>
      <c r="AO43" s="267"/>
      <c r="AP43" s="269"/>
      <c r="AQ43" s="270">
        <f>2500*5</f>
        <v>12500</v>
      </c>
      <c r="AR43" s="267" t="s">
        <v>974</v>
      </c>
      <c r="AS43" s="267"/>
      <c r="AT43" s="267"/>
      <c r="AU43" s="267"/>
      <c r="AV43" s="267"/>
      <c r="AW43" s="267"/>
      <c r="AX43" s="267"/>
      <c r="AY43" s="267"/>
      <c r="AZ43" s="267"/>
      <c r="BA43" s="267"/>
      <c r="BB43" s="267"/>
      <c r="BC43" s="267"/>
      <c r="BD43" s="267"/>
      <c r="BE43" s="267"/>
      <c r="BF43" s="267"/>
      <c r="BG43" s="267"/>
      <c r="BH43" s="267"/>
      <c r="BI43" s="267"/>
      <c r="BJ43" s="267"/>
      <c r="BK43" s="267"/>
      <c r="BL43" s="267"/>
      <c r="BM43" s="267"/>
      <c r="BN43" s="267"/>
      <c r="BO43" s="267"/>
      <c r="BP43" s="267"/>
      <c r="BQ43" s="267"/>
      <c r="BR43" s="267"/>
      <c r="BS43" s="267"/>
      <c r="BT43" s="267"/>
      <c r="BU43" s="267"/>
      <c r="BV43" s="267"/>
      <c r="BW43" s="267"/>
      <c r="BX43" s="267"/>
      <c r="BY43" s="267"/>
      <c r="BZ43" s="267"/>
      <c r="CA43" s="267"/>
      <c r="CB43" s="267"/>
      <c r="CC43" s="267"/>
      <c r="CD43" s="267"/>
      <c r="CE43" s="267"/>
      <c r="CF43" s="267"/>
      <c r="CG43" s="267"/>
      <c r="CH43" s="267"/>
      <c r="CI43" s="267"/>
      <c r="CJ43" s="267"/>
      <c r="CK43" s="267"/>
      <c r="CL43" s="267"/>
      <c r="CM43" s="267"/>
      <c r="CN43" s="267"/>
    </row>
    <row r="44" spans="1:92" hidden="1">
      <c r="A44" s="595"/>
      <c r="B44" s="598"/>
      <c r="C44" s="599"/>
      <c r="D44" s="1166" t="s">
        <v>975</v>
      </c>
      <c r="E44" s="1164" t="s">
        <v>931</v>
      </c>
      <c r="F44" s="562"/>
      <c r="G44" s="563"/>
      <c r="H44" s="563"/>
      <c r="I44" s="563">
        <f t="shared" si="0"/>
        <v>0</v>
      </c>
      <c r="J44" s="1165">
        <f t="shared" si="1"/>
        <v>0</v>
      </c>
      <c r="K44" s="563">
        <f>I44*0.25</f>
        <v>0</v>
      </c>
      <c r="L44" s="563">
        <f t="shared" si="308"/>
        <v>0</v>
      </c>
      <c r="M44" s="563">
        <f t="shared" si="309"/>
        <v>0</v>
      </c>
      <c r="N44" s="563">
        <f t="shared" si="310"/>
        <v>0</v>
      </c>
      <c r="O44" s="563">
        <f t="shared" si="311"/>
        <v>0</v>
      </c>
      <c r="P44" s="563">
        <f t="shared" si="312"/>
        <v>0</v>
      </c>
      <c r="Q44" s="563">
        <f t="shared" si="313"/>
        <v>0</v>
      </c>
      <c r="R44" s="563">
        <f t="shared" si="314"/>
        <v>0</v>
      </c>
      <c r="S44" s="563">
        <f t="shared" si="315"/>
        <v>0</v>
      </c>
      <c r="T44" s="563">
        <f t="shared" si="316"/>
        <v>0</v>
      </c>
      <c r="U44" s="563">
        <f t="shared" si="317"/>
        <v>0</v>
      </c>
      <c r="V44" s="563">
        <f t="shared" si="318"/>
        <v>0</v>
      </c>
      <c r="W44" s="563">
        <f t="shared" si="319"/>
        <v>0</v>
      </c>
      <c r="X44" s="563">
        <f t="shared" si="320"/>
        <v>0</v>
      </c>
      <c r="Y44" s="563">
        <f t="shared" si="321"/>
        <v>0</v>
      </c>
      <c r="Z44" s="563">
        <f t="shared" si="322"/>
        <v>0</v>
      </c>
      <c r="AA44" s="563">
        <f t="shared" si="323"/>
        <v>0</v>
      </c>
      <c r="AB44" s="563">
        <f t="shared" si="324"/>
        <v>0</v>
      </c>
      <c r="AC44" s="563">
        <f t="shared" si="325"/>
        <v>0</v>
      </c>
      <c r="AD44" s="563">
        <f t="shared" si="326"/>
        <v>0</v>
      </c>
      <c r="AE44" s="563">
        <f t="shared" si="327"/>
        <v>0</v>
      </c>
      <c r="AF44" s="563">
        <f t="shared" si="328"/>
        <v>0</v>
      </c>
      <c r="AG44" s="563">
        <f t="shared" si="329"/>
        <v>0</v>
      </c>
      <c r="AH44" s="563">
        <f t="shared" si="330"/>
        <v>0</v>
      </c>
      <c r="AI44" s="563">
        <f t="shared" si="331"/>
        <v>0</v>
      </c>
      <c r="AJ44" s="563">
        <f t="shared" si="332"/>
        <v>0</v>
      </c>
      <c r="AK44" s="563">
        <f t="shared" si="333"/>
        <v>0</v>
      </c>
      <c r="AL44" s="563">
        <f t="shared" si="334"/>
        <v>0</v>
      </c>
      <c r="AM44" s="563">
        <f t="shared" si="335"/>
        <v>0</v>
      </c>
      <c r="AN44" s="563">
        <f t="shared" si="336"/>
        <v>0</v>
      </c>
      <c r="AO44" s="267"/>
      <c r="AP44" s="269"/>
      <c r="AQ44" s="270"/>
      <c r="AR44" s="267" t="s">
        <v>976</v>
      </c>
      <c r="AS44" s="267"/>
      <c r="AT44" s="267"/>
      <c r="AU44" s="267"/>
      <c r="AV44" s="267"/>
      <c r="AW44" s="267"/>
      <c r="AX44" s="267"/>
      <c r="AY44" s="267"/>
      <c r="AZ44" s="267"/>
      <c r="BA44" s="267"/>
      <c r="BB44" s="267"/>
      <c r="BC44" s="267"/>
      <c r="BD44" s="267"/>
      <c r="BE44" s="267"/>
      <c r="BF44" s="267"/>
      <c r="BG44" s="267"/>
      <c r="BH44" s="267"/>
      <c r="BI44" s="267"/>
      <c r="BJ44" s="267"/>
      <c r="BK44" s="267"/>
      <c r="BL44" s="267"/>
      <c r="BM44" s="267"/>
      <c r="BN44" s="267"/>
      <c r="BO44" s="267"/>
      <c r="BP44" s="267"/>
      <c r="BQ44" s="267"/>
      <c r="BR44" s="267"/>
      <c r="BS44" s="267"/>
      <c r="BT44" s="267"/>
      <c r="BU44" s="267"/>
      <c r="BV44" s="267"/>
      <c r="BW44" s="267"/>
      <c r="BX44" s="267"/>
      <c r="BY44" s="267"/>
      <c r="BZ44" s="267"/>
      <c r="CA44" s="267"/>
      <c r="CB44" s="267"/>
      <c r="CC44" s="267"/>
      <c r="CD44" s="267"/>
      <c r="CE44" s="267"/>
      <c r="CF44" s="267"/>
      <c r="CG44" s="267"/>
      <c r="CH44" s="267"/>
      <c r="CI44" s="267"/>
      <c r="CJ44" s="267"/>
      <c r="CK44" s="267"/>
      <c r="CL44" s="267"/>
      <c r="CM44" s="267"/>
      <c r="CN44" s="267"/>
    </row>
    <row r="45" spans="1:92" hidden="1">
      <c r="A45" s="595"/>
      <c r="B45" s="598"/>
      <c r="C45" s="599"/>
      <c r="D45" s="1166" t="s">
        <v>977</v>
      </c>
      <c r="E45" s="1164" t="s">
        <v>931</v>
      </c>
      <c r="F45" s="562">
        <v>1</v>
      </c>
      <c r="G45" s="563">
        <f t="shared" si="181"/>
        <v>0</v>
      </c>
      <c r="H45" s="563">
        <f t="shared" si="306"/>
        <v>0</v>
      </c>
      <c r="I45" s="563">
        <f t="shared" si="0"/>
        <v>0</v>
      </c>
      <c r="J45" s="1165">
        <f t="shared" si="1"/>
        <v>0</v>
      </c>
      <c r="K45" s="563">
        <f>I45/12*3</f>
        <v>0</v>
      </c>
      <c r="L45" s="563">
        <f t="shared" si="308"/>
        <v>0</v>
      </c>
      <c r="M45" s="563">
        <f>L45</f>
        <v>0</v>
      </c>
      <c r="N45" s="563">
        <f t="shared" si="310"/>
        <v>0</v>
      </c>
      <c r="O45" s="563">
        <f t="shared" si="311"/>
        <v>0</v>
      </c>
      <c r="P45" s="563">
        <f t="shared" si="312"/>
        <v>0</v>
      </c>
      <c r="Q45" s="563">
        <f t="shared" si="313"/>
        <v>0</v>
      </c>
      <c r="R45" s="563">
        <f t="shared" si="314"/>
        <v>0</v>
      </c>
      <c r="S45" s="563">
        <f t="shared" si="315"/>
        <v>0</v>
      </c>
      <c r="T45" s="563">
        <f t="shared" si="316"/>
        <v>0</v>
      </c>
      <c r="U45" s="563">
        <f t="shared" si="317"/>
        <v>0</v>
      </c>
      <c r="V45" s="563">
        <f t="shared" si="318"/>
        <v>0</v>
      </c>
      <c r="W45" s="563">
        <f t="shared" si="319"/>
        <v>0</v>
      </c>
      <c r="X45" s="563">
        <f t="shared" si="320"/>
        <v>0</v>
      </c>
      <c r="Y45" s="563">
        <f t="shared" si="321"/>
        <v>0</v>
      </c>
      <c r="Z45" s="563">
        <f t="shared" si="322"/>
        <v>0</v>
      </c>
      <c r="AA45" s="563">
        <f t="shared" si="323"/>
        <v>0</v>
      </c>
      <c r="AB45" s="563">
        <f t="shared" si="324"/>
        <v>0</v>
      </c>
      <c r="AC45" s="563">
        <f t="shared" si="325"/>
        <v>0</v>
      </c>
      <c r="AD45" s="563">
        <f t="shared" si="326"/>
        <v>0</v>
      </c>
      <c r="AE45" s="563">
        <f t="shared" si="327"/>
        <v>0</v>
      </c>
      <c r="AF45" s="563">
        <f t="shared" si="328"/>
        <v>0</v>
      </c>
      <c r="AG45" s="563">
        <f t="shared" si="329"/>
        <v>0</v>
      </c>
      <c r="AH45" s="563">
        <f t="shared" si="330"/>
        <v>0</v>
      </c>
      <c r="AI45" s="563">
        <f t="shared" si="331"/>
        <v>0</v>
      </c>
      <c r="AJ45" s="563">
        <f t="shared" si="332"/>
        <v>0</v>
      </c>
      <c r="AK45" s="563">
        <f t="shared" si="333"/>
        <v>0</v>
      </c>
      <c r="AL45" s="563">
        <f t="shared" si="334"/>
        <v>0</v>
      </c>
      <c r="AM45" s="563">
        <f t="shared" si="335"/>
        <v>0</v>
      </c>
      <c r="AN45" s="563">
        <f t="shared" si="336"/>
        <v>0</v>
      </c>
      <c r="AO45" s="267"/>
      <c r="AP45" s="269"/>
      <c r="AQ45" s="270"/>
      <c r="AR45" s="267" t="s">
        <v>978</v>
      </c>
      <c r="AS45" s="267"/>
      <c r="AT45" s="267"/>
      <c r="AU45" s="267"/>
      <c r="AV45" s="267"/>
      <c r="AW45" s="267"/>
      <c r="AX45" s="267"/>
      <c r="AY45" s="267"/>
      <c r="AZ45" s="267"/>
      <c r="BA45" s="267"/>
      <c r="BB45" s="267"/>
      <c r="BC45" s="267"/>
      <c r="BD45" s="267"/>
      <c r="BE45" s="267"/>
      <c r="BF45" s="267"/>
      <c r="BG45" s="267"/>
      <c r="BH45" s="267"/>
      <c r="BI45" s="267"/>
      <c r="BJ45" s="267"/>
      <c r="BK45" s="267"/>
      <c r="BL45" s="267"/>
      <c r="BM45" s="267"/>
      <c r="BN45" s="267"/>
      <c r="BO45" s="267"/>
      <c r="BP45" s="267"/>
      <c r="BQ45" s="267"/>
      <c r="BR45" s="267"/>
      <c r="BS45" s="267"/>
      <c r="BT45" s="267"/>
      <c r="BU45" s="267"/>
      <c r="BV45" s="267"/>
      <c r="BW45" s="267"/>
      <c r="BX45" s="267"/>
      <c r="BY45" s="267"/>
      <c r="BZ45" s="267"/>
      <c r="CA45" s="267"/>
      <c r="CB45" s="267"/>
      <c r="CC45" s="267"/>
      <c r="CD45" s="267"/>
      <c r="CE45" s="267"/>
      <c r="CF45" s="267"/>
      <c r="CG45" s="267"/>
      <c r="CH45" s="267"/>
      <c r="CI45" s="267"/>
      <c r="CJ45" s="267"/>
      <c r="CK45" s="267"/>
      <c r="CL45" s="267"/>
      <c r="CM45" s="267"/>
      <c r="CN45" s="267"/>
    </row>
    <row r="46" spans="1:92">
      <c r="A46" s="595"/>
      <c r="B46" s="598"/>
      <c r="C46" s="599"/>
      <c r="D46" s="1166" t="s">
        <v>972</v>
      </c>
      <c r="E46" s="1164" t="s">
        <v>931</v>
      </c>
      <c r="F46" s="1169">
        <v>1</v>
      </c>
      <c r="G46" s="563">
        <f t="shared" si="181"/>
        <v>20000</v>
      </c>
      <c r="H46" s="563">
        <f t="shared" si="306"/>
        <v>1666.6666666666667</v>
      </c>
      <c r="I46" s="563">
        <f t="shared" si="0"/>
        <v>20000</v>
      </c>
      <c r="J46" s="1165">
        <f t="shared" si="1"/>
        <v>600000</v>
      </c>
      <c r="K46" s="563">
        <f t="shared" si="307"/>
        <v>20000</v>
      </c>
      <c r="L46" s="563">
        <f t="shared" si="308"/>
        <v>20000</v>
      </c>
      <c r="M46" s="563">
        <f t="shared" si="309"/>
        <v>20000</v>
      </c>
      <c r="N46" s="563">
        <f t="shared" si="310"/>
        <v>20000</v>
      </c>
      <c r="O46" s="563">
        <f t="shared" si="311"/>
        <v>20000</v>
      </c>
      <c r="P46" s="563">
        <f t="shared" si="312"/>
        <v>20000</v>
      </c>
      <c r="Q46" s="563">
        <f t="shared" si="313"/>
        <v>20000</v>
      </c>
      <c r="R46" s="563">
        <f t="shared" si="314"/>
        <v>20000</v>
      </c>
      <c r="S46" s="563">
        <f t="shared" si="315"/>
        <v>20000</v>
      </c>
      <c r="T46" s="563">
        <f t="shared" si="316"/>
        <v>20000</v>
      </c>
      <c r="U46" s="563">
        <f t="shared" si="317"/>
        <v>20000</v>
      </c>
      <c r="V46" s="563">
        <f t="shared" si="318"/>
        <v>20000</v>
      </c>
      <c r="W46" s="563">
        <f t="shared" si="319"/>
        <v>20000</v>
      </c>
      <c r="X46" s="563">
        <f t="shared" si="320"/>
        <v>20000</v>
      </c>
      <c r="Y46" s="563">
        <f t="shared" si="321"/>
        <v>20000</v>
      </c>
      <c r="Z46" s="563">
        <f t="shared" si="322"/>
        <v>20000</v>
      </c>
      <c r="AA46" s="563">
        <f t="shared" si="323"/>
        <v>20000</v>
      </c>
      <c r="AB46" s="563">
        <f t="shared" si="324"/>
        <v>20000</v>
      </c>
      <c r="AC46" s="563">
        <f t="shared" si="325"/>
        <v>20000</v>
      </c>
      <c r="AD46" s="563">
        <f t="shared" si="326"/>
        <v>20000</v>
      </c>
      <c r="AE46" s="563">
        <f t="shared" si="327"/>
        <v>20000</v>
      </c>
      <c r="AF46" s="563">
        <f t="shared" si="328"/>
        <v>20000</v>
      </c>
      <c r="AG46" s="563">
        <f t="shared" si="329"/>
        <v>20000</v>
      </c>
      <c r="AH46" s="563">
        <f t="shared" si="330"/>
        <v>20000</v>
      </c>
      <c r="AI46" s="563">
        <f t="shared" si="331"/>
        <v>20000</v>
      </c>
      <c r="AJ46" s="563">
        <f t="shared" si="332"/>
        <v>20000</v>
      </c>
      <c r="AK46" s="563">
        <f t="shared" si="333"/>
        <v>20000</v>
      </c>
      <c r="AL46" s="563">
        <f t="shared" si="334"/>
        <v>20000</v>
      </c>
      <c r="AM46" s="563">
        <f t="shared" si="335"/>
        <v>20000</v>
      </c>
      <c r="AN46" s="563">
        <f t="shared" si="336"/>
        <v>20000</v>
      </c>
      <c r="AO46" s="267"/>
      <c r="AP46" s="269"/>
      <c r="AQ46" s="270">
        <v>20000</v>
      </c>
      <c r="AR46" s="267" t="s">
        <v>932</v>
      </c>
      <c r="AS46" s="267"/>
      <c r="AT46" s="267"/>
      <c r="AU46" s="267"/>
      <c r="AV46" s="267"/>
      <c r="AW46" s="267"/>
      <c r="AX46" s="267"/>
      <c r="AY46" s="267"/>
      <c r="AZ46" s="267"/>
      <c r="BA46" s="267"/>
      <c r="BB46" s="267"/>
      <c r="BC46" s="267"/>
      <c r="BD46" s="267"/>
      <c r="BE46" s="267"/>
      <c r="BF46" s="267"/>
      <c r="BG46" s="267"/>
      <c r="BH46" s="267"/>
      <c r="BI46" s="267"/>
      <c r="BJ46" s="267"/>
      <c r="BK46" s="267"/>
      <c r="BL46" s="267"/>
      <c r="BM46" s="267"/>
      <c r="BN46" s="267"/>
      <c r="BO46" s="267"/>
      <c r="BP46" s="267"/>
      <c r="BQ46" s="267"/>
      <c r="BR46" s="267"/>
      <c r="BS46" s="267"/>
      <c r="BT46" s="267"/>
      <c r="BU46" s="267"/>
      <c r="BV46" s="267"/>
      <c r="BW46" s="267"/>
      <c r="BX46" s="267"/>
      <c r="BY46" s="267"/>
      <c r="BZ46" s="267"/>
      <c r="CA46" s="267"/>
      <c r="CB46" s="267"/>
      <c r="CC46" s="267"/>
      <c r="CD46" s="267"/>
      <c r="CE46" s="267"/>
      <c r="CF46" s="267"/>
      <c r="CG46" s="267"/>
      <c r="CH46" s="267"/>
      <c r="CI46" s="267"/>
      <c r="CJ46" s="267"/>
      <c r="CK46" s="267"/>
      <c r="CL46" s="267"/>
      <c r="CM46" s="267"/>
      <c r="CN46" s="267"/>
    </row>
    <row r="47" spans="1:92">
      <c r="A47" s="595"/>
      <c r="B47" s="598"/>
      <c r="C47" s="599"/>
      <c r="D47" s="1166" t="s">
        <v>979</v>
      </c>
      <c r="E47" s="1164" t="s">
        <v>931</v>
      </c>
      <c r="F47" s="562">
        <v>1</v>
      </c>
      <c r="G47" s="563">
        <f t="shared" si="181"/>
        <v>550000</v>
      </c>
      <c r="H47" s="563">
        <f t="shared" si="306"/>
        <v>45833.333333333336</v>
      </c>
      <c r="I47" s="563">
        <f t="shared" si="0"/>
        <v>550000</v>
      </c>
      <c r="J47" s="1165">
        <f t="shared" si="1"/>
        <v>1100000</v>
      </c>
      <c r="K47" s="563">
        <f t="shared" si="307"/>
        <v>550000</v>
      </c>
      <c r="L47" s="563">
        <f>K47</f>
        <v>550000</v>
      </c>
      <c r="M47" s="563"/>
      <c r="N47" s="563"/>
      <c r="O47" s="563"/>
      <c r="P47" s="563"/>
      <c r="Q47" s="563"/>
      <c r="R47" s="563"/>
      <c r="S47" s="563"/>
      <c r="T47" s="563"/>
      <c r="U47" s="563"/>
      <c r="V47" s="563"/>
      <c r="W47" s="563"/>
      <c r="X47" s="563"/>
      <c r="Y47" s="563"/>
      <c r="Z47" s="563"/>
      <c r="AA47" s="563"/>
      <c r="AB47" s="563"/>
      <c r="AC47" s="563"/>
      <c r="AD47" s="563"/>
      <c r="AE47" s="563"/>
      <c r="AF47" s="563"/>
      <c r="AG47" s="563"/>
      <c r="AH47" s="563"/>
      <c r="AI47" s="563"/>
      <c r="AJ47" s="563"/>
      <c r="AK47" s="563"/>
      <c r="AL47" s="563"/>
      <c r="AM47" s="563"/>
      <c r="AN47" s="563"/>
      <c r="AO47" s="267"/>
      <c r="AP47" s="269"/>
      <c r="AQ47" s="270">
        <f>1100000/2</f>
        <v>550000</v>
      </c>
      <c r="AR47" s="267" t="s">
        <v>980</v>
      </c>
      <c r="AS47" s="267"/>
      <c r="AT47" s="267"/>
      <c r="AU47" s="267"/>
      <c r="AV47" s="267"/>
      <c r="AW47" s="267"/>
      <c r="AX47" s="267"/>
      <c r="AY47" s="267"/>
      <c r="AZ47" s="267"/>
      <c r="BA47" s="267"/>
      <c r="BB47" s="267"/>
      <c r="BC47" s="267"/>
      <c r="BD47" s="267"/>
      <c r="BE47" s="267"/>
      <c r="BF47" s="267"/>
      <c r="BG47" s="267"/>
      <c r="BH47" s="267"/>
      <c r="BI47" s="267"/>
      <c r="BJ47" s="267"/>
      <c r="BK47" s="267"/>
      <c r="BL47" s="267"/>
      <c r="BM47" s="267"/>
      <c r="BN47" s="267"/>
      <c r="BO47" s="267"/>
      <c r="BP47" s="267"/>
      <c r="BQ47" s="267"/>
      <c r="BR47" s="267"/>
      <c r="BS47" s="267"/>
      <c r="BT47" s="267"/>
      <c r="BU47" s="267"/>
      <c r="BV47" s="267"/>
      <c r="BW47" s="267"/>
      <c r="BX47" s="267"/>
      <c r="BY47" s="267"/>
      <c r="BZ47" s="267"/>
      <c r="CA47" s="267"/>
      <c r="CB47" s="267"/>
      <c r="CC47" s="267"/>
      <c r="CD47" s="267"/>
      <c r="CE47" s="267"/>
      <c r="CF47" s="267"/>
      <c r="CG47" s="267"/>
      <c r="CH47" s="267"/>
      <c r="CI47" s="267"/>
      <c r="CJ47" s="267"/>
      <c r="CK47" s="267"/>
      <c r="CL47" s="267"/>
      <c r="CM47" s="267"/>
      <c r="CN47" s="267"/>
    </row>
    <row r="48" spans="1:92">
      <c r="A48" s="595"/>
      <c r="B48" s="598"/>
      <c r="C48" s="599"/>
      <c r="D48" s="1166" t="s">
        <v>981</v>
      </c>
      <c r="E48" s="1164" t="s">
        <v>931</v>
      </c>
      <c r="F48" s="562">
        <v>1</v>
      </c>
      <c r="G48" s="563">
        <f t="shared" si="181"/>
        <v>50000</v>
      </c>
      <c r="H48" s="563">
        <f t="shared" si="306"/>
        <v>4166.666666666667</v>
      </c>
      <c r="I48" s="563">
        <f>G48</f>
        <v>50000</v>
      </c>
      <c r="J48" s="1165">
        <f t="shared" si="1"/>
        <v>1500000</v>
      </c>
      <c r="K48" s="563">
        <f t="shared" si="307"/>
        <v>50000</v>
      </c>
      <c r="L48" s="563">
        <f t="shared" ref="L48:AN49" si="337">K48</f>
        <v>50000</v>
      </c>
      <c r="M48" s="563">
        <f t="shared" si="337"/>
        <v>50000</v>
      </c>
      <c r="N48" s="563">
        <f t="shared" si="337"/>
        <v>50000</v>
      </c>
      <c r="O48" s="563">
        <f t="shared" si="337"/>
        <v>50000</v>
      </c>
      <c r="P48" s="563">
        <f t="shared" si="337"/>
        <v>50000</v>
      </c>
      <c r="Q48" s="563">
        <f t="shared" si="337"/>
        <v>50000</v>
      </c>
      <c r="R48" s="563">
        <f t="shared" si="337"/>
        <v>50000</v>
      </c>
      <c r="S48" s="563">
        <f t="shared" si="337"/>
        <v>50000</v>
      </c>
      <c r="T48" s="563">
        <f t="shared" si="337"/>
        <v>50000</v>
      </c>
      <c r="U48" s="563">
        <f t="shared" si="337"/>
        <v>50000</v>
      </c>
      <c r="V48" s="563">
        <f t="shared" si="337"/>
        <v>50000</v>
      </c>
      <c r="W48" s="563">
        <f t="shared" si="337"/>
        <v>50000</v>
      </c>
      <c r="X48" s="563">
        <f t="shared" si="337"/>
        <v>50000</v>
      </c>
      <c r="Y48" s="563">
        <f t="shared" si="337"/>
        <v>50000</v>
      </c>
      <c r="Z48" s="563">
        <f t="shared" si="337"/>
        <v>50000</v>
      </c>
      <c r="AA48" s="563">
        <f t="shared" si="337"/>
        <v>50000</v>
      </c>
      <c r="AB48" s="563">
        <f t="shared" si="337"/>
        <v>50000</v>
      </c>
      <c r="AC48" s="563">
        <f t="shared" si="337"/>
        <v>50000</v>
      </c>
      <c r="AD48" s="563">
        <f t="shared" si="337"/>
        <v>50000</v>
      </c>
      <c r="AE48" s="563">
        <f t="shared" si="337"/>
        <v>50000</v>
      </c>
      <c r="AF48" s="563">
        <f t="shared" si="337"/>
        <v>50000</v>
      </c>
      <c r="AG48" s="563">
        <f t="shared" si="337"/>
        <v>50000</v>
      </c>
      <c r="AH48" s="563">
        <f t="shared" si="337"/>
        <v>50000</v>
      </c>
      <c r="AI48" s="563">
        <f t="shared" si="337"/>
        <v>50000</v>
      </c>
      <c r="AJ48" s="563">
        <f t="shared" si="337"/>
        <v>50000</v>
      </c>
      <c r="AK48" s="563">
        <f t="shared" si="337"/>
        <v>50000</v>
      </c>
      <c r="AL48" s="563">
        <f t="shared" si="337"/>
        <v>50000</v>
      </c>
      <c r="AM48" s="563">
        <f t="shared" si="337"/>
        <v>50000</v>
      </c>
      <c r="AN48" s="563">
        <f t="shared" si="337"/>
        <v>50000</v>
      </c>
      <c r="AO48" s="267"/>
      <c r="AP48" s="269"/>
      <c r="AQ48" s="270">
        <v>50000</v>
      </c>
      <c r="AR48" s="267" t="s">
        <v>932</v>
      </c>
      <c r="AS48" s="267"/>
      <c r="AT48" s="267"/>
      <c r="AU48" s="267"/>
      <c r="AV48" s="267"/>
      <c r="AW48" s="267"/>
      <c r="AX48" s="267"/>
      <c r="AY48" s="267"/>
      <c r="AZ48" s="267"/>
      <c r="BA48" s="267"/>
      <c r="BB48" s="267"/>
      <c r="BC48" s="267"/>
      <c r="BD48" s="267"/>
      <c r="BE48" s="267"/>
      <c r="BF48" s="267"/>
      <c r="BG48" s="267"/>
      <c r="BH48" s="267"/>
      <c r="BI48" s="267"/>
      <c r="BJ48" s="267"/>
      <c r="BK48" s="267"/>
      <c r="BL48" s="267"/>
      <c r="BM48" s="267"/>
      <c r="BN48" s="267"/>
      <c r="BO48" s="267"/>
      <c r="BP48" s="267"/>
      <c r="BQ48" s="267"/>
      <c r="BR48" s="267"/>
      <c r="BS48" s="267"/>
      <c r="BT48" s="267"/>
      <c r="BU48" s="267"/>
      <c r="BV48" s="267"/>
      <c r="BW48" s="267"/>
      <c r="BX48" s="267"/>
      <c r="BY48" s="267"/>
      <c r="BZ48" s="267"/>
      <c r="CA48" s="267"/>
      <c r="CB48" s="267"/>
      <c r="CC48" s="267"/>
      <c r="CD48" s="267"/>
      <c r="CE48" s="267"/>
      <c r="CF48" s="267"/>
      <c r="CG48" s="267"/>
      <c r="CH48" s="267"/>
      <c r="CI48" s="267"/>
      <c r="CJ48" s="267"/>
      <c r="CK48" s="267"/>
      <c r="CL48" s="267"/>
      <c r="CM48" s="267"/>
      <c r="CN48" s="267"/>
    </row>
    <row r="49" spans="1:92">
      <c r="A49" s="595"/>
      <c r="B49" s="598"/>
      <c r="C49" s="599"/>
      <c r="D49" s="559" t="s">
        <v>982</v>
      </c>
      <c r="E49" s="1164" t="s">
        <v>931</v>
      </c>
      <c r="F49" s="562">
        <v>1</v>
      </c>
      <c r="G49" s="563">
        <f t="shared" si="181"/>
        <v>50000</v>
      </c>
      <c r="H49" s="563">
        <f>I49/12</f>
        <v>4166.666666666667</v>
      </c>
      <c r="I49" s="563">
        <f>G49</f>
        <v>50000</v>
      </c>
      <c r="J49" s="1165">
        <f t="shared" si="1"/>
        <v>1450000</v>
      </c>
      <c r="K49" s="563">
        <f>I49*0</f>
        <v>0</v>
      </c>
      <c r="L49" s="563">
        <f>I49</f>
        <v>50000</v>
      </c>
      <c r="M49" s="563">
        <f t="shared" si="337"/>
        <v>50000</v>
      </c>
      <c r="N49" s="563">
        <f t="shared" si="337"/>
        <v>50000</v>
      </c>
      <c r="O49" s="563">
        <f t="shared" si="337"/>
        <v>50000</v>
      </c>
      <c r="P49" s="563">
        <f t="shared" si="337"/>
        <v>50000</v>
      </c>
      <c r="Q49" s="563">
        <f t="shared" si="337"/>
        <v>50000</v>
      </c>
      <c r="R49" s="563">
        <f t="shared" si="337"/>
        <v>50000</v>
      </c>
      <c r="S49" s="563">
        <f t="shared" si="337"/>
        <v>50000</v>
      </c>
      <c r="T49" s="563">
        <f t="shared" si="337"/>
        <v>50000</v>
      </c>
      <c r="U49" s="563">
        <f t="shared" si="337"/>
        <v>50000</v>
      </c>
      <c r="V49" s="563">
        <f t="shared" si="337"/>
        <v>50000</v>
      </c>
      <c r="W49" s="563">
        <f t="shared" si="337"/>
        <v>50000</v>
      </c>
      <c r="X49" s="563">
        <f t="shared" si="337"/>
        <v>50000</v>
      </c>
      <c r="Y49" s="563">
        <f t="shared" si="337"/>
        <v>50000</v>
      </c>
      <c r="Z49" s="563">
        <f t="shared" si="337"/>
        <v>50000</v>
      </c>
      <c r="AA49" s="563">
        <f t="shared" si="337"/>
        <v>50000</v>
      </c>
      <c r="AB49" s="563">
        <f t="shared" si="337"/>
        <v>50000</v>
      </c>
      <c r="AC49" s="563">
        <f t="shared" si="337"/>
        <v>50000</v>
      </c>
      <c r="AD49" s="563">
        <f t="shared" si="337"/>
        <v>50000</v>
      </c>
      <c r="AE49" s="563">
        <f t="shared" si="337"/>
        <v>50000</v>
      </c>
      <c r="AF49" s="563">
        <f t="shared" si="337"/>
        <v>50000</v>
      </c>
      <c r="AG49" s="563">
        <f t="shared" si="337"/>
        <v>50000</v>
      </c>
      <c r="AH49" s="563">
        <f t="shared" si="337"/>
        <v>50000</v>
      </c>
      <c r="AI49" s="563">
        <f t="shared" si="337"/>
        <v>50000</v>
      </c>
      <c r="AJ49" s="563">
        <f t="shared" si="337"/>
        <v>50000</v>
      </c>
      <c r="AK49" s="563">
        <f t="shared" si="337"/>
        <v>50000</v>
      </c>
      <c r="AL49" s="563">
        <f t="shared" si="337"/>
        <v>50000</v>
      </c>
      <c r="AM49" s="563">
        <f t="shared" si="337"/>
        <v>50000</v>
      </c>
      <c r="AN49" s="563">
        <f t="shared" si="337"/>
        <v>50000</v>
      </c>
      <c r="AO49" s="267"/>
      <c r="AP49" s="269"/>
      <c r="AQ49" s="270">
        <v>50000</v>
      </c>
      <c r="AR49" s="267" t="s">
        <v>983</v>
      </c>
      <c r="AS49" s="267"/>
      <c r="AT49" s="267"/>
      <c r="AU49" s="267"/>
      <c r="AV49" s="267"/>
      <c r="AW49" s="267"/>
      <c r="AX49" s="267"/>
      <c r="AY49" s="267"/>
      <c r="AZ49" s="267"/>
      <c r="BA49" s="267"/>
      <c r="BB49" s="267"/>
      <c r="BC49" s="267"/>
      <c r="BD49" s="267"/>
      <c r="BE49" s="267"/>
      <c r="BF49" s="267"/>
      <c r="BG49" s="267"/>
      <c r="BH49" s="267"/>
      <c r="BI49" s="267"/>
      <c r="BJ49" s="267"/>
      <c r="BK49" s="267"/>
      <c r="BL49" s="267"/>
      <c r="BM49" s="267"/>
      <c r="BN49" s="267"/>
      <c r="BO49" s="267"/>
      <c r="BP49" s="267"/>
      <c r="BQ49" s="267"/>
      <c r="BR49" s="267"/>
      <c r="BS49" s="267"/>
      <c r="BT49" s="267"/>
      <c r="BU49" s="267"/>
      <c r="BV49" s="267"/>
      <c r="BW49" s="267"/>
      <c r="BX49" s="267"/>
      <c r="BY49" s="267"/>
      <c r="BZ49" s="267"/>
      <c r="CA49" s="267"/>
      <c r="CB49" s="267"/>
      <c r="CC49" s="267"/>
      <c r="CD49" s="267"/>
      <c r="CE49" s="267"/>
      <c r="CF49" s="267"/>
      <c r="CG49" s="267"/>
      <c r="CH49" s="267"/>
      <c r="CI49" s="267"/>
      <c r="CJ49" s="267"/>
      <c r="CK49" s="267"/>
      <c r="CL49" s="267"/>
      <c r="CM49" s="267"/>
      <c r="CN49" s="267"/>
    </row>
    <row r="50" spans="1:92">
      <c r="A50" s="595"/>
      <c r="B50" s="598"/>
      <c r="C50" s="599"/>
      <c r="D50" s="559" t="s">
        <v>984</v>
      </c>
      <c r="E50" s="1164" t="s">
        <v>931</v>
      </c>
      <c r="F50" s="562">
        <v>1</v>
      </c>
      <c r="G50" s="563"/>
      <c r="H50" s="563">
        <f>I50/12</f>
        <v>36075.306666666649</v>
      </c>
      <c r="I50" s="266">
        <f>J50/30</f>
        <v>432903.67999999982</v>
      </c>
      <c r="J50" s="1165">
        <f t="shared" si="1"/>
        <v>12987110.399999995</v>
      </c>
      <c r="K50" s="563">
        <f>$AQ$50*('Crono Pessoal'!I185-SUM('Crono Pessoal'!I138:I142))</f>
        <v>411079.67999999999</v>
      </c>
      <c r="L50" s="563">
        <f>$AQ$50*('Crono Pessoal'!J185-SUM('Crono Pessoal'!J138:J142))</f>
        <v>440647.67999999999</v>
      </c>
      <c r="M50" s="563">
        <f>$AQ$50*('Crono Pessoal'!K185-SUM('Crono Pessoal'!K138:K142))</f>
        <v>440647.67999999999</v>
      </c>
      <c r="N50" s="563">
        <f>$AQ$50*('Crono Pessoal'!L185-SUM('Crono Pessoal'!L138:L142))</f>
        <v>440647.67999999999</v>
      </c>
      <c r="O50" s="563">
        <f>$AQ$50*('Crono Pessoal'!M185-SUM('Crono Pessoal'!M138:M142))</f>
        <v>440647.67999999999</v>
      </c>
      <c r="P50" s="563">
        <f>$AQ$50*('Crono Pessoal'!N185-SUM('Crono Pessoal'!N138:N142))</f>
        <v>440647.67999999999</v>
      </c>
      <c r="Q50" s="563">
        <f>$AQ$50*('Crono Pessoal'!O185-SUM('Crono Pessoal'!O138:O142))</f>
        <v>432199.67999999999</v>
      </c>
      <c r="R50" s="563">
        <f>$AQ$50*('Crono Pessoal'!P185-SUM('Crono Pessoal'!P138:P142))</f>
        <v>432199.67999999999</v>
      </c>
      <c r="S50" s="563">
        <f>$AQ$50*('Crono Pessoal'!Q185-SUM('Crono Pessoal'!Q138:Q142))</f>
        <v>432199.67999999999</v>
      </c>
      <c r="T50" s="563">
        <f>$AQ$50*('Crono Pessoal'!R185-SUM('Crono Pessoal'!R138:R142))</f>
        <v>432199.67999999999</v>
      </c>
      <c r="U50" s="563">
        <f>$AQ$50*('Crono Pessoal'!S185-SUM('Crono Pessoal'!S138:S142))</f>
        <v>432199.67999999999</v>
      </c>
      <c r="V50" s="563">
        <f>$AQ$50*('Crono Pessoal'!T185-SUM('Crono Pessoal'!T138:T142))</f>
        <v>432199.67999999999</v>
      </c>
      <c r="W50" s="563">
        <f>$AQ$50*('Crono Pessoal'!U185-SUM('Crono Pessoal'!U138:U142))</f>
        <v>432199.67999999999</v>
      </c>
      <c r="X50" s="563">
        <f>$AQ$50*('Crono Pessoal'!V185-SUM('Crono Pessoal'!V138:V142))</f>
        <v>432199.67999999999</v>
      </c>
      <c r="Y50" s="563">
        <f>$AQ$50*('Crono Pessoal'!W185-SUM('Crono Pessoal'!W138:W142))</f>
        <v>432199.67999999999</v>
      </c>
      <c r="Z50" s="563">
        <f>$AQ$50*('Crono Pessoal'!X185-SUM('Crono Pessoal'!X138:X142))</f>
        <v>432199.67999999999</v>
      </c>
      <c r="AA50" s="563">
        <f>$AQ$50*('Crono Pessoal'!Y185-SUM('Crono Pessoal'!Y138:Y142))</f>
        <v>432199.67999999999</v>
      </c>
      <c r="AB50" s="563">
        <f>$AQ$50*('Crono Pessoal'!Z185-SUM('Crono Pessoal'!Z138:Z142))</f>
        <v>432199.67999999999</v>
      </c>
      <c r="AC50" s="563">
        <f>$AQ$50*('Crono Pessoal'!AA185-SUM('Crono Pessoal'!AA138:AA142))</f>
        <v>432199.67999999999</v>
      </c>
      <c r="AD50" s="563">
        <f>$AQ$50*('Crono Pessoal'!AB185-SUM('Crono Pessoal'!AB138:AB142))</f>
        <v>432199.67999999999</v>
      </c>
      <c r="AE50" s="563">
        <f>$AQ$50*('Crono Pessoal'!AC185-SUM('Crono Pessoal'!AC138:AC142))</f>
        <v>432199.67999999999</v>
      </c>
      <c r="AF50" s="563">
        <f>$AQ$50*('Crono Pessoal'!AD185-SUM('Crono Pessoal'!AD138:AD142))</f>
        <v>432199.67999999999</v>
      </c>
      <c r="AG50" s="563">
        <f>$AQ$50*('Crono Pessoal'!AE185-SUM('Crono Pessoal'!AE138:AE142))</f>
        <v>432199.67999999999</v>
      </c>
      <c r="AH50" s="563">
        <f>$AQ$50*('Crono Pessoal'!AF185-SUM('Crono Pessoal'!AF138:AF142))</f>
        <v>432199.67999999999</v>
      </c>
      <c r="AI50" s="563">
        <f>$AQ$50*('Crono Pessoal'!AG185-SUM('Crono Pessoal'!AG138:AG142))</f>
        <v>432199.67999999999</v>
      </c>
      <c r="AJ50" s="563">
        <f>$AQ$50*('Crono Pessoal'!AH185-SUM('Crono Pessoal'!AH138:AH142))</f>
        <v>432199.67999999999</v>
      </c>
      <c r="AK50" s="563">
        <f>$AQ$50*('Crono Pessoal'!AI185-SUM('Crono Pessoal'!AI138:AI142))</f>
        <v>432199.67999999999</v>
      </c>
      <c r="AL50" s="563">
        <f>$AQ$50*('Crono Pessoal'!AJ185-SUM('Crono Pessoal'!AJ138:AJ142))</f>
        <v>432199.67999999999</v>
      </c>
      <c r="AM50" s="563">
        <f>$AQ$50*('Crono Pessoal'!AK185-SUM('Crono Pessoal'!AK138:AK142))</f>
        <v>432199.67999999999</v>
      </c>
      <c r="AN50" s="563">
        <f>$AQ$50*('Crono Pessoal'!AL185-SUM('Crono Pessoal'!AL138:AL142))</f>
        <v>432199.67999999999</v>
      </c>
      <c r="AO50" s="267"/>
      <c r="AP50" s="267"/>
      <c r="AQ50" s="269">
        <f>8*22*12</f>
        <v>2112</v>
      </c>
      <c r="AR50" s="267" t="s">
        <v>985</v>
      </c>
      <c r="AS50" s="267"/>
      <c r="AT50" s="267"/>
      <c r="AU50" s="267"/>
      <c r="AV50" s="267"/>
      <c r="AW50" s="267"/>
      <c r="AX50" s="267"/>
      <c r="AY50" s="267"/>
      <c r="AZ50" s="267"/>
      <c r="BA50" s="267"/>
      <c r="BB50" s="267"/>
      <c r="BC50" s="267"/>
      <c r="BD50" s="267"/>
      <c r="BE50" s="267"/>
      <c r="BF50" s="267"/>
      <c r="BG50" s="267"/>
      <c r="BH50" s="267"/>
      <c r="BI50" s="267"/>
      <c r="BJ50" s="267"/>
      <c r="BK50" s="267"/>
      <c r="BL50" s="267"/>
      <c r="BM50" s="267"/>
      <c r="BN50" s="267"/>
      <c r="BO50" s="267"/>
      <c r="BP50" s="267"/>
      <c r="BQ50" s="267"/>
      <c r="BR50" s="267"/>
      <c r="BS50" s="267"/>
      <c r="BT50" s="267"/>
      <c r="BU50" s="267"/>
      <c r="BV50" s="267"/>
      <c r="BW50" s="267"/>
      <c r="BX50" s="267"/>
      <c r="BY50" s="267"/>
      <c r="BZ50" s="267"/>
      <c r="CA50" s="267"/>
      <c r="CB50" s="267"/>
      <c r="CC50" s="267"/>
      <c r="CD50" s="267"/>
      <c r="CE50" s="267"/>
      <c r="CF50" s="267"/>
      <c r="CG50" s="267"/>
      <c r="CH50" s="267"/>
      <c r="CI50" s="267"/>
      <c r="CJ50" s="267"/>
      <c r="CK50" s="267"/>
      <c r="CL50" s="267"/>
      <c r="CM50" s="267"/>
      <c r="CN50" s="267"/>
    </row>
    <row r="51" spans="1:92" hidden="1">
      <c r="A51" s="595"/>
      <c r="B51" s="598"/>
      <c r="C51" s="599"/>
      <c r="D51" s="1163" t="s">
        <v>986</v>
      </c>
      <c r="E51" s="1164"/>
      <c r="F51" s="562"/>
      <c r="G51" s="563"/>
      <c r="H51" s="563"/>
      <c r="I51" s="266"/>
      <c r="J51" s="1165"/>
      <c r="K51" s="563"/>
      <c r="L51" s="563"/>
      <c r="M51" s="563"/>
      <c r="N51" s="563"/>
      <c r="O51" s="563"/>
      <c r="P51" s="563"/>
      <c r="Q51" s="563"/>
      <c r="R51" s="563"/>
      <c r="S51" s="563"/>
      <c r="T51" s="563"/>
      <c r="U51" s="563"/>
      <c r="V51" s="563"/>
      <c r="W51" s="563"/>
      <c r="X51" s="563"/>
      <c r="Y51" s="563"/>
      <c r="Z51" s="563"/>
      <c r="AA51" s="563"/>
      <c r="AB51" s="563"/>
      <c r="AC51" s="563"/>
      <c r="AD51" s="563"/>
      <c r="AE51" s="563"/>
      <c r="AF51" s="563"/>
      <c r="AG51" s="563"/>
      <c r="AH51" s="563"/>
      <c r="AI51" s="563"/>
      <c r="AJ51" s="563"/>
      <c r="AK51" s="563"/>
      <c r="AL51" s="563"/>
      <c r="AM51" s="563"/>
      <c r="AN51" s="563"/>
      <c r="AO51" s="267"/>
      <c r="AP51" s="267"/>
      <c r="AQ51" s="269"/>
      <c r="AR51" s="267"/>
      <c r="AS51" s="267"/>
      <c r="AT51" s="267"/>
      <c r="AU51" s="267"/>
      <c r="AV51" s="267"/>
      <c r="AW51" s="267"/>
      <c r="AX51" s="267"/>
      <c r="AY51" s="267"/>
      <c r="AZ51" s="267"/>
      <c r="BA51" s="267"/>
      <c r="BB51" s="267"/>
      <c r="BC51" s="267"/>
      <c r="BD51" s="267"/>
      <c r="BE51" s="267"/>
      <c r="BF51" s="267"/>
      <c r="BG51" s="267"/>
      <c r="BH51" s="267"/>
      <c r="BI51" s="267"/>
      <c r="BJ51" s="267"/>
      <c r="BK51" s="267"/>
      <c r="BL51" s="267"/>
      <c r="BM51" s="267"/>
      <c r="BN51" s="267"/>
      <c r="BO51" s="267"/>
      <c r="BP51" s="267"/>
      <c r="BQ51" s="267"/>
      <c r="BR51" s="267"/>
      <c r="BS51" s="267"/>
      <c r="BT51" s="267"/>
      <c r="BU51" s="267"/>
      <c r="BV51" s="267"/>
      <c r="BW51" s="267"/>
      <c r="BX51" s="267"/>
      <c r="BY51" s="267"/>
      <c r="BZ51" s="267"/>
      <c r="CA51" s="267"/>
      <c r="CB51" s="267"/>
      <c r="CC51" s="267"/>
      <c r="CD51" s="267"/>
      <c r="CE51" s="267"/>
      <c r="CF51" s="267"/>
      <c r="CG51" s="267"/>
      <c r="CH51" s="267"/>
      <c r="CI51" s="267"/>
      <c r="CJ51" s="267"/>
      <c r="CK51" s="267"/>
      <c r="CL51" s="267"/>
      <c r="CM51" s="267"/>
      <c r="CN51" s="267"/>
    </row>
    <row r="52" spans="1:92" hidden="1">
      <c r="A52" s="595"/>
      <c r="B52" s="598"/>
      <c r="C52" s="599"/>
      <c r="D52" s="1166" t="s">
        <v>986</v>
      </c>
      <c r="E52" s="1164" t="s">
        <v>931</v>
      </c>
      <c r="F52" s="562">
        <v>1</v>
      </c>
      <c r="G52" s="563"/>
      <c r="H52" s="563"/>
      <c r="I52" s="266"/>
      <c r="J52" s="1165">
        <f>SUM(K52:AN52)</f>
        <v>0</v>
      </c>
      <c r="K52" s="563">
        <f>$AQ$52*'Despesas com Pessoal'!M186*1000/12*0</f>
        <v>0</v>
      </c>
      <c r="L52" s="563">
        <f>$AQ$52*'Despesas com Pessoal'!N186*1000/12</f>
        <v>0</v>
      </c>
      <c r="M52" s="563">
        <f>$AQ$52*'Despesas com Pessoal'!O186*1000/12</f>
        <v>0</v>
      </c>
      <c r="N52" s="563">
        <f>$AQ$52*'Despesas com Pessoal'!P186*1000/12</f>
        <v>0</v>
      </c>
      <c r="O52" s="563">
        <f>$AQ$52*'Despesas com Pessoal'!Q186*1000/12</f>
        <v>0</v>
      </c>
      <c r="P52" s="563">
        <f>$AQ$52*'Despesas com Pessoal'!R186*1000/12</f>
        <v>0</v>
      </c>
      <c r="Q52" s="563">
        <f>$AQ$52*'Despesas com Pessoal'!S186*1000/12</f>
        <v>0</v>
      </c>
      <c r="R52" s="563">
        <f>$AQ$52*'Despesas com Pessoal'!T186*1000/12</f>
        <v>0</v>
      </c>
      <c r="S52" s="563">
        <f>$AQ$52*'Despesas com Pessoal'!U186*1000/12</f>
        <v>0</v>
      </c>
      <c r="T52" s="563">
        <f>$AQ$52*'Despesas com Pessoal'!V186*1000/12</f>
        <v>0</v>
      </c>
      <c r="U52" s="563">
        <f>$AQ$52*'Despesas com Pessoal'!W186*1000/12</f>
        <v>0</v>
      </c>
      <c r="V52" s="563">
        <f>$AQ$52*'Despesas com Pessoal'!X186*1000/12</f>
        <v>0</v>
      </c>
      <c r="W52" s="563">
        <f>$AQ$52*'Despesas com Pessoal'!Y186*1000/12</f>
        <v>0</v>
      </c>
      <c r="X52" s="563">
        <f>$AQ$52*'Despesas com Pessoal'!Z186*1000/12</f>
        <v>0</v>
      </c>
      <c r="Y52" s="563">
        <f>$AQ$52*'Despesas com Pessoal'!AA186*1000/12</f>
        <v>0</v>
      </c>
      <c r="Z52" s="563">
        <f>$AQ$52*'Despesas com Pessoal'!AB186*1000/12</f>
        <v>0</v>
      </c>
      <c r="AA52" s="563">
        <f>$AQ$52*'Despesas com Pessoal'!AC186*1000/12</f>
        <v>0</v>
      </c>
      <c r="AB52" s="563">
        <f>$AQ$52*'Despesas com Pessoal'!AD186*1000/12</f>
        <v>0</v>
      </c>
      <c r="AC52" s="563">
        <f>$AQ$52*'Despesas com Pessoal'!AE186*1000/12</f>
        <v>0</v>
      </c>
      <c r="AD52" s="563">
        <f>$AQ$52*'Despesas com Pessoal'!AF186*1000/12</f>
        <v>0</v>
      </c>
      <c r="AE52" s="563">
        <f>$AQ$52*'Despesas com Pessoal'!AG186*1000/12</f>
        <v>0</v>
      </c>
      <c r="AF52" s="563">
        <f>$AQ$52*'Despesas com Pessoal'!AH186*1000/12</f>
        <v>0</v>
      </c>
      <c r="AG52" s="563">
        <f>$AQ$52*'Despesas com Pessoal'!AI186*1000/12</f>
        <v>0</v>
      </c>
      <c r="AH52" s="563">
        <f>$AQ$52*'Despesas com Pessoal'!AJ186*1000/12</f>
        <v>0</v>
      </c>
      <c r="AI52" s="563">
        <f>$AQ$52*'Despesas com Pessoal'!AK186*1000/12</f>
        <v>0</v>
      </c>
      <c r="AJ52" s="563">
        <f>$AQ$52*'Despesas com Pessoal'!AL186*1000/12</f>
        <v>0</v>
      </c>
      <c r="AK52" s="563">
        <f>$AQ$52*'Despesas com Pessoal'!AM186*1000/12</f>
        <v>0</v>
      </c>
      <c r="AL52" s="563">
        <f>$AQ$52*'Despesas com Pessoal'!AN186*1000/12</f>
        <v>0</v>
      </c>
      <c r="AM52" s="563">
        <f>$AQ$52*'Despesas com Pessoal'!AO186*1000/12</f>
        <v>0</v>
      </c>
      <c r="AN52" s="563">
        <f>$AQ$52*'Despesas com Pessoal'!AP186*1000/12</f>
        <v>0</v>
      </c>
      <c r="AO52" s="267"/>
      <c r="AP52" s="267"/>
      <c r="AQ52" s="269">
        <v>0</v>
      </c>
      <c r="AR52" s="267" t="s">
        <v>987</v>
      </c>
      <c r="AS52" s="267"/>
      <c r="AT52" s="267"/>
      <c r="AU52" s="267"/>
      <c r="AV52" s="267"/>
      <c r="AW52" s="267"/>
      <c r="AX52" s="267"/>
      <c r="AY52" s="267"/>
      <c r="AZ52" s="267"/>
      <c r="BA52" s="267"/>
      <c r="BB52" s="267"/>
      <c r="BC52" s="267"/>
      <c r="BD52" s="267"/>
      <c r="BE52" s="267"/>
      <c r="BF52" s="267"/>
      <c r="BG52" s="267"/>
      <c r="BH52" s="267"/>
      <c r="BI52" s="267"/>
      <c r="BJ52" s="267"/>
      <c r="BK52" s="267"/>
      <c r="BL52" s="267"/>
      <c r="BM52" s="267"/>
      <c r="BN52" s="267"/>
      <c r="BO52" s="267"/>
      <c r="BP52" s="267"/>
      <c r="BQ52" s="267"/>
      <c r="BR52" s="267"/>
      <c r="BS52" s="267"/>
      <c r="BT52" s="267"/>
      <c r="BU52" s="267"/>
      <c r="BV52" s="267"/>
      <c r="BW52" s="267"/>
      <c r="BX52" s="267"/>
      <c r="BY52" s="267"/>
      <c r="BZ52" s="267"/>
      <c r="CA52" s="267"/>
      <c r="CB52" s="267"/>
      <c r="CC52" s="267"/>
      <c r="CD52" s="267"/>
      <c r="CE52" s="267"/>
      <c r="CF52" s="267"/>
      <c r="CG52" s="267"/>
      <c r="CH52" s="267"/>
      <c r="CI52" s="267"/>
      <c r="CJ52" s="267"/>
      <c r="CK52" s="267"/>
      <c r="CL52" s="267"/>
      <c r="CM52" s="267"/>
      <c r="CN52" s="267"/>
    </row>
    <row r="53" spans="1:92">
      <c r="A53" s="595"/>
      <c r="B53" s="598"/>
      <c r="C53" s="599"/>
      <c r="D53" s="559"/>
      <c r="E53" s="1170"/>
      <c r="F53" s="560"/>
      <c r="G53" s="561"/>
      <c r="H53" s="266"/>
      <c r="I53" s="266"/>
      <c r="J53" s="1165"/>
      <c r="K53" s="563"/>
      <c r="L53" s="563"/>
      <c r="M53" s="563"/>
      <c r="N53" s="563"/>
      <c r="O53" s="563"/>
      <c r="P53" s="563"/>
      <c r="Q53" s="563"/>
      <c r="R53" s="563"/>
      <c r="S53" s="563"/>
      <c r="T53" s="563"/>
      <c r="U53" s="563"/>
      <c r="V53" s="563"/>
      <c r="W53" s="563"/>
      <c r="X53" s="563"/>
      <c r="Y53" s="563"/>
      <c r="Z53" s="563"/>
      <c r="AA53" s="563"/>
      <c r="AB53" s="563"/>
      <c r="AC53" s="563"/>
      <c r="AD53" s="563"/>
      <c r="AE53" s="563"/>
      <c r="AF53" s="563"/>
      <c r="AG53" s="563"/>
      <c r="AH53" s="563"/>
      <c r="AI53" s="563"/>
      <c r="AJ53" s="563"/>
      <c r="AK53" s="563"/>
      <c r="AL53" s="563"/>
      <c r="AM53" s="563"/>
      <c r="AN53" s="563"/>
      <c r="AO53" s="267"/>
      <c r="AP53" s="267"/>
      <c r="AQ53" s="269"/>
      <c r="AR53" s="267"/>
      <c r="AS53" s="267"/>
      <c r="AT53" s="267"/>
      <c r="AU53" s="267"/>
      <c r="AV53" s="267"/>
      <c r="AW53" s="267"/>
      <c r="AX53" s="267"/>
      <c r="AY53" s="267"/>
      <c r="AZ53" s="267"/>
      <c r="BA53" s="267"/>
      <c r="BB53" s="267"/>
      <c r="BC53" s="267"/>
      <c r="BD53" s="267"/>
      <c r="BE53" s="267"/>
      <c r="BF53" s="267"/>
      <c r="BG53" s="267"/>
      <c r="BH53" s="267"/>
      <c r="BI53" s="267"/>
      <c r="BJ53" s="267"/>
      <c r="BK53" s="267"/>
      <c r="BL53" s="267"/>
      <c r="BM53" s="267"/>
      <c r="BN53" s="267"/>
      <c r="BO53" s="267"/>
      <c r="BP53" s="267"/>
      <c r="BQ53" s="267"/>
      <c r="BR53" s="267"/>
      <c r="BS53" s="267"/>
      <c r="BT53" s="267"/>
      <c r="BU53" s="267"/>
      <c r="BV53" s="267"/>
      <c r="BW53" s="267"/>
      <c r="BX53" s="267"/>
      <c r="BY53" s="267"/>
      <c r="BZ53" s="267"/>
      <c r="CA53" s="267"/>
      <c r="CB53" s="267"/>
      <c r="CC53" s="267"/>
      <c r="CD53" s="267"/>
      <c r="CE53" s="267"/>
      <c r="CF53" s="267"/>
      <c r="CG53" s="267"/>
      <c r="CH53" s="267"/>
      <c r="CI53" s="267"/>
      <c r="CJ53" s="267"/>
      <c r="CK53" s="267"/>
      <c r="CL53" s="267"/>
      <c r="CM53" s="267"/>
      <c r="CN53" s="267"/>
    </row>
    <row r="54" spans="1:92" ht="19.5" customHeight="1">
      <c r="A54" s="595"/>
      <c r="B54" s="598"/>
      <c r="C54" s="599"/>
      <c r="D54" s="1171" t="s">
        <v>988</v>
      </c>
      <c r="E54" s="1172"/>
      <c r="F54" s="1172"/>
      <c r="G54" s="1173"/>
      <c r="H54" s="1165">
        <f>SUM(H7:H50)</f>
        <v>196857.52888888883</v>
      </c>
      <c r="I54" s="1165">
        <f>SUM(I7:I50)</f>
        <v>2362290.3466666667</v>
      </c>
      <c r="J54" s="1165">
        <f>SUM(J8:J53)</f>
        <v>40139510.399999991</v>
      </c>
      <c r="K54" s="1165">
        <f>SUM(K8:K53)</f>
        <v>2034866.3466666667</v>
      </c>
      <c r="L54" s="1165">
        <f t="shared" ref="L54:AN54" si="338">SUM(L8:L53)</f>
        <v>2170034.3466666667</v>
      </c>
      <c r="M54" s="1165">
        <f t="shared" si="338"/>
        <v>1407634.3466666667</v>
      </c>
      <c r="N54" s="1165">
        <f t="shared" si="338"/>
        <v>1620034.3466666667</v>
      </c>
      <c r="O54" s="1165">
        <f t="shared" si="338"/>
        <v>1407634.3466666667</v>
      </c>
      <c r="P54" s="1165">
        <f t="shared" si="338"/>
        <v>1370034.3466666667</v>
      </c>
      <c r="Q54" s="1165">
        <f t="shared" si="338"/>
        <v>1149186.3466666667</v>
      </c>
      <c r="R54" s="1165">
        <f t="shared" si="338"/>
        <v>1361586.3466666667</v>
      </c>
      <c r="S54" s="1165">
        <f t="shared" si="338"/>
        <v>1149186.3466666667</v>
      </c>
      <c r="T54" s="1165">
        <f t="shared" si="338"/>
        <v>1361586.3466666667</v>
      </c>
      <c r="U54" s="1165">
        <f t="shared" si="338"/>
        <v>1149186.3466666667</v>
      </c>
      <c r="V54" s="1165">
        <f t="shared" si="338"/>
        <v>1361586.3466666667</v>
      </c>
      <c r="W54" s="1165">
        <f t="shared" si="338"/>
        <v>1149186.3466666667</v>
      </c>
      <c r="X54" s="1165">
        <f t="shared" si="338"/>
        <v>1361586.3466666667</v>
      </c>
      <c r="Y54" s="1165">
        <f t="shared" si="338"/>
        <v>1149186.3466666667</v>
      </c>
      <c r="Z54" s="1165">
        <f t="shared" si="338"/>
        <v>1361586.3466666667</v>
      </c>
      <c r="AA54" s="1165">
        <f t="shared" si="338"/>
        <v>1149186.3466666667</v>
      </c>
      <c r="AB54" s="1165">
        <f t="shared" si="338"/>
        <v>1361586.3466666667</v>
      </c>
      <c r="AC54" s="1165">
        <f t="shared" si="338"/>
        <v>1149186.3466666667</v>
      </c>
      <c r="AD54" s="1165">
        <f t="shared" si="338"/>
        <v>1361586.3466666667</v>
      </c>
      <c r="AE54" s="1165">
        <f t="shared" si="338"/>
        <v>1149186.3466666667</v>
      </c>
      <c r="AF54" s="1165">
        <f t="shared" si="338"/>
        <v>1361586.3466666667</v>
      </c>
      <c r="AG54" s="1165">
        <f t="shared" si="338"/>
        <v>1149186.3466666667</v>
      </c>
      <c r="AH54" s="1165">
        <f t="shared" si="338"/>
        <v>1361586.3466666667</v>
      </c>
      <c r="AI54" s="1165">
        <f t="shared" si="338"/>
        <v>1149186.3466666667</v>
      </c>
      <c r="AJ54" s="1165">
        <f t="shared" si="338"/>
        <v>1361586.3466666667</v>
      </c>
      <c r="AK54" s="1165">
        <f t="shared" si="338"/>
        <v>1149186.3466666667</v>
      </c>
      <c r="AL54" s="1165">
        <f t="shared" si="338"/>
        <v>1361586.3466666667</v>
      </c>
      <c r="AM54" s="1165">
        <f t="shared" si="338"/>
        <v>1149186.3466666667</v>
      </c>
      <c r="AN54" s="1165">
        <f t="shared" si="338"/>
        <v>1361586.3466666667</v>
      </c>
      <c r="AO54" s="267"/>
      <c r="AP54" s="267"/>
      <c r="AQ54" s="267"/>
      <c r="AR54" s="267"/>
      <c r="AS54" s="267"/>
      <c r="AT54" s="267"/>
      <c r="AU54" s="267"/>
      <c r="AV54" s="267"/>
      <c r="AW54" s="267"/>
      <c r="AX54" s="267"/>
      <c r="AY54" s="267"/>
      <c r="AZ54" s="267"/>
      <c r="BA54" s="267"/>
      <c r="BB54" s="267"/>
      <c r="BC54" s="267"/>
      <c r="BD54" s="267"/>
      <c r="BE54" s="267"/>
      <c r="BF54" s="267"/>
      <c r="BG54" s="267"/>
      <c r="BH54" s="267"/>
      <c r="BI54" s="267"/>
      <c r="BJ54" s="267"/>
      <c r="BK54" s="267"/>
      <c r="BL54" s="267"/>
      <c r="BM54" s="267"/>
      <c r="BN54" s="267"/>
      <c r="BO54" s="267"/>
      <c r="BP54" s="267"/>
      <c r="BQ54" s="267"/>
      <c r="BR54" s="267"/>
      <c r="BS54" s="267"/>
      <c r="BT54" s="267"/>
      <c r="BU54" s="267"/>
      <c r="BV54" s="267"/>
      <c r="BW54" s="267"/>
      <c r="BX54" s="267"/>
      <c r="BY54" s="267"/>
      <c r="BZ54" s="267"/>
      <c r="CA54" s="267"/>
      <c r="CB54" s="267"/>
      <c r="CC54" s="267"/>
      <c r="CD54" s="267"/>
      <c r="CE54" s="267"/>
      <c r="CF54" s="267"/>
      <c r="CG54" s="267"/>
      <c r="CH54" s="267"/>
      <c r="CI54" s="267"/>
      <c r="CJ54" s="267"/>
      <c r="CK54" s="267"/>
      <c r="CL54" s="267"/>
      <c r="CM54" s="267"/>
      <c r="CN54" s="267"/>
    </row>
    <row r="55" spans="1:92">
      <c r="A55" s="595"/>
      <c r="B55" s="598"/>
      <c r="C55" s="599"/>
      <c r="D55" s="329"/>
      <c r="E55" s="267"/>
      <c r="F55" s="331"/>
      <c r="G55" s="271"/>
      <c r="H55" s="271"/>
      <c r="I55" s="271"/>
      <c r="J55" s="271"/>
      <c r="K55" s="271"/>
      <c r="L55" s="271"/>
      <c r="M55" s="271"/>
      <c r="N55" s="271"/>
      <c r="O55" s="271"/>
      <c r="P55" s="271"/>
      <c r="Q55" s="271"/>
      <c r="R55" s="271"/>
      <c r="S55" s="271"/>
      <c r="T55" s="271"/>
      <c r="U55" s="271"/>
      <c r="V55" s="271"/>
      <c r="W55" s="271"/>
      <c r="X55" s="271"/>
      <c r="Y55" s="271"/>
      <c r="Z55" s="271"/>
      <c r="AA55" s="271"/>
      <c r="AB55" s="271"/>
      <c r="AC55" s="271"/>
      <c r="AD55" s="271"/>
      <c r="AE55" s="271"/>
      <c r="AF55" s="271"/>
      <c r="AG55" s="271"/>
      <c r="AH55" s="271"/>
      <c r="AI55" s="271"/>
      <c r="AJ55" s="271"/>
      <c r="AK55" s="271"/>
      <c r="AL55" s="271"/>
      <c r="AM55" s="271"/>
      <c r="AN55" s="271"/>
      <c r="AO55" s="267"/>
      <c r="AP55" s="267"/>
      <c r="AQ55" s="267"/>
      <c r="AR55" s="267"/>
      <c r="AS55" s="267"/>
      <c r="AT55" s="267"/>
      <c r="AU55" s="267"/>
      <c r="AV55" s="267"/>
      <c r="AW55" s="267"/>
      <c r="AX55" s="267"/>
      <c r="AY55" s="267"/>
      <c r="AZ55" s="267"/>
      <c r="BA55" s="267"/>
      <c r="BB55" s="267"/>
      <c r="BC55" s="267"/>
      <c r="BD55" s="267"/>
      <c r="BE55" s="267"/>
      <c r="BF55" s="267"/>
      <c r="BG55" s="267"/>
      <c r="BH55" s="267"/>
      <c r="BI55" s="267"/>
      <c r="BJ55" s="267"/>
      <c r="BK55" s="267"/>
      <c r="BL55" s="267"/>
      <c r="BM55" s="267"/>
      <c r="BN55" s="267"/>
      <c r="BO55" s="267"/>
      <c r="BP55" s="267"/>
      <c r="BQ55" s="267"/>
      <c r="BR55" s="267"/>
      <c r="BS55" s="267"/>
      <c r="BT55" s="267"/>
      <c r="BU55" s="267"/>
      <c r="BV55" s="267"/>
      <c r="BW55" s="267"/>
      <c r="BX55" s="267"/>
      <c r="BY55" s="267"/>
      <c r="BZ55" s="267"/>
      <c r="CA55" s="267"/>
      <c r="CB55" s="267"/>
      <c r="CC55" s="267"/>
      <c r="CD55" s="267"/>
      <c r="CE55" s="267"/>
      <c r="CF55" s="267"/>
      <c r="CG55" s="267"/>
      <c r="CH55" s="267"/>
      <c r="CI55" s="267"/>
      <c r="CJ55" s="267"/>
      <c r="CK55" s="267"/>
      <c r="CL55" s="267"/>
      <c r="CM55" s="267"/>
      <c r="CN55" s="267"/>
    </row>
    <row r="56" spans="1:92" ht="23.25" customHeight="1">
      <c r="A56" s="595"/>
      <c r="B56" s="598"/>
      <c r="C56" s="599"/>
      <c r="D56" s="1174" t="s">
        <v>989</v>
      </c>
      <c r="E56" s="1175"/>
      <c r="F56" s="1176"/>
      <c r="G56" s="1176"/>
      <c r="H56" s="1176"/>
      <c r="I56" s="1177">
        <f>AVERAGE('Crono Pessoal'!I185:AL185)</f>
        <v>204.97333333333339</v>
      </c>
      <c r="J56" s="332"/>
      <c r="K56" s="332"/>
      <c r="L56" s="332"/>
      <c r="M56" s="332"/>
      <c r="N56" s="332"/>
      <c r="O56" s="332"/>
      <c r="P56" s="332"/>
      <c r="Q56" s="332"/>
      <c r="R56" s="332"/>
      <c r="S56" s="332"/>
      <c r="T56" s="332"/>
      <c r="U56" s="332"/>
      <c r="V56" s="332"/>
      <c r="W56" s="332"/>
      <c r="X56" s="332"/>
      <c r="Y56" s="332"/>
      <c r="Z56" s="332"/>
      <c r="AA56" s="332"/>
      <c r="AB56" s="332"/>
      <c r="AC56" s="332"/>
      <c r="AD56" s="332"/>
      <c r="AE56" s="332"/>
      <c r="AF56" s="332"/>
      <c r="AG56" s="332"/>
      <c r="AH56" s="332"/>
      <c r="AI56" s="332"/>
      <c r="AJ56" s="332"/>
      <c r="AK56" s="332"/>
      <c r="AL56" s="332"/>
      <c r="AM56" s="332"/>
      <c r="AN56" s="332"/>
      <c r="AO56" s="267"/>
      <c r="AP56" s="269"/>
      <c r="AQ56" s="267"/>
      <c r="AR56" s="267"/>
      <c r="AS56" s="269"/>
      <c r="AT56" s="267"/>
      <c r="AU56" s="267"/>
      <c r="AV56" s="267"/>
      <c r="AW56" s="267"/>
      <c r="AX56" s="267"/>
      <c r="AY56" s="267"/>
      <c r="AZ56" s="267"/>
      <c r="BA56" s="267"/>
      <c r="BB56" s="267"/>
      <c r="BC56" s="267"/>
      <c r="BD56" s="267"/>
      <c r="BE56" s="267"/>
      <c r="BF56" s="267"/>
      <c r="BG56" s="267"/>
      <c r="BH56" s="267"/>
      <c r="BI56" s="267"/>
      <c r="BJ56" s="267"/>
      <c r="BK56" s="267"/>
      <c r="BL56" s="267"/>
      <c r="BM56" s="267"/>
      <c r="BN56" s="267"/>
      <c r="BO56" s="267"/>
      <c r="BP56" s="267"/>
      <c r="BQ56" s="267"/>
      <c r="BR56" s="267"/>
      <c r="BS56" s="267"/>
      <c r="BT56" s="267"/>
      <c r="BU56" s="267"/>
      <c r="BV56" s="267"/>
      <c r="BW56" s="267"/>
      <c r="BX56" s="267"/>
      <c r="BY56" s="267"/>
      <c r="BZ56" s="267"/>
      <c r="CA56" s="267"/>
      <c r="CB56" s="267"/>
      <c r="CC56" s="267"/>
      <c r="CD56" s="267"/>
      <c r="CE56" s="267"/>
      <c r="CF56" s="267"/>
      <c r="CG56" s="267"/>
      <c r="CH56" s="267"/>
      <c r="CI56" s="267"/>
      <c r="CJ56" s="267"/>
      <c r="CK56" s="267"/>
      <c r="CL56" s="267"/>
      <c r="CM56" s="267"/>
      <c r="CN56" s="267"/>
    </row>
    <row r="57" spans="1:92">
      <c r="A57" s="595"/>
      <c r="B57" s="598"/>
      <c r="C57" s="599"/>
      <c r="D57" s="267"/>
      <c r="E57" s="267"/>
      <c r="F57" s="267"/>
      <c r="G57" s="267"/>
      <c r="H57" s="267"/>
      <c r="I57" s="267"/>
      <c r="J57" s="267"/>
      <c r="K57" s="267"/>
      <c r="L57" s="267"/>
      <c r="M57" s="267"/>
      <c r="N57" s="267"/>
      <c r="O57" s="267"/>
      <c r="P57" s="267"/>
      <c r="Q57" s="267"/>
      <c r="R57" s="267"/>
      <c r="S57" s="267"/>
      <c r="T57" s="267"/>
      <c r="U57" s="267"/>
      <c r="V57" s="267"/>
      <c r="W57" s="267"/>
      <c r="X57" s="267"/>
      <c r="Y57" s="267"/>
      <c r="Z57" s="267"/>
      <c r="AA57" s="267"/>
      <c r="AB57" s="267"/>
      <c r="AC57" s="267"/>
      <c r="AD57" s="267"/>
      <c r="AE57" s="267"/>
      <c r="AF57" s="267"/>
      <c r="AG57" s="267"/>
      <c r="AH57" s="267"/>
      <c r="AI57" s="267"/>
      <c r="AJ57" s="267"/>
      <c r="AK57" s="267"/>
      <c r="AL57" s="267"/>
      <c r="AM57" s="267"/>
      <c r="AN57" s="267"/>
      <c r="AO57" s="267"/>
      <c r="AP57" s="267"/>
      <c r="AQ57" s="267"/>
      <c r="AR57" s="267"/>
      <c r="AS57" s="267"/>
      <c r="AT57" s="267"/>
      <c r="AU57" s="267"/>
      <c r="AV57" s="267"/>
      <c r="AW57" s="267"/>
      <c r="AX57" s="267"/>
      <c r="AY57" s="267"/>
      <c r="AZ57" s="267"/>
      <c r="BA57" s="267"/>
      <c r="BB57" s="267"/>
      <c r="BC57" s="267"/>
      <c r="BD57" s="267"/>
      <c r="BE57" s="267"/>
      <c r="BF57" s="267"/>
      <c r="BG57" s="267"/>
      <c r="BH57" s="267"/>
      <c r="BI57" s="267"/>
      <c r="BJ57" s="267"/>
      <c r="BK57" s="267"/>
      <c r="BL57" s="267"/>
      <c r="BM57" s="267"/>
      <c r="BN57" s="267"/>
      <c r="BO57" s="267"/>
      <c r="BP57" s="267"/>
      <c r="BQ57" s="267"/>
      <c r="BR57" s="267"/>
      <c r="BS57" s="267"/>
      <c r="BT57" s="267"/>
      <c r="BU57" s="267"/>
      <c r="BV57" s="267"/>
      <c r="BW57" s="267"/>
      <c r="BX57" s="267"/>
      <c r="BY57" s="267"/>
      <c r="BZ57" s="267"/>
      <c r="CA57" s="267"/>
      <c r="CB57" s="267"/>
      <c r="CC57" s="267"/>
      <c r="CD57" s="267"/>
      <c r="CE57" s="267"/>
      <c r="CF57" s="267"/>
      <c r="CG57" s="267"/>
      <c r="CH57" s="267"/>
      <c r="CI57" s="267"/>
      <c r="CJ57" s="267"/>
      <c r="CK57" s="267"/>
      <c r="CL57" s="267"/>
      <c r="CM57" s="267"/>
      <c r="CN57" s="267"/>
    </row>
    <row r="58" spans="1:92" ht="19.5" customHeight="1">
      <c r="A58" s="595"/>
      <c r="B58" s="598"/>
      <c r="C58" s="599"/>
      <c r="D58" s="1174" t="s">
        <v>990</v>
      </c>
      <c r="E58" s="1178"/>
      <c r="F58" s="1178"/>
      <c r="G58" s="1179"/>
      <c r="H58" s="1179"/>
      <c r="I58" s="1165">
        <f>I54/I56/12</f>
        <v>960.40555953077876</v>
      </c>
      <c r="J58" s="330"/>
      <c r="K58" s="330"/>
      <c r="L58" s="330"/>
      <c r="M58" s="330"/>
      <c r="N58" s="330"/>
      <c r="O58" s="330"/>
      <c r="P58" s="330"/>
      <c r="Q58" s="330"/>
      <c r="R58" s="330"/>
      <c r="S58" s="330"/>
      <c r="T58" s="330"/>
      <c r="U58" s="330"/>
      <c r="V58" s="330"/>
      <c r="W58" s="330"/>
      <c r="X58" s="330"/>
      <c r="Y58" s="330"/>
      <c r="Z58" s="330"/>
      <c r="AA58" s="330"/>
      <c r="AB58" s="330"/>
      <c r="AC58" s="330"/>
      <c r="AD58" s="330"/>
      <c r="AE58" s="330"/>
      <c r="AF58" s="330"/>
      <c r="AG58" s="330"/>
      <c r="AH58" s="330"/>
      <c r="AI58" s="330"/>
      <c r="AJ58" s="330"/>
      <c r="AK58" s="330"/>
      <c r="AL58" s="330"/>
      <c r="AM58" s="330"/>
      <c r="AN58" s="330"/>
      <c r="AO58" s="267"/>
      <c r="AP58" s="270"/>
      <c r="AQ58" s="267"/>
      <c r="AR58" s="267"/>
      <c r="AS58" s="267"/>
      <c r="AT58" s="267"/>
      <c r="AU58" s="267"/>
      <c r="AV58" s="267"/>
      <c r="AW58" s="267"/>
      <c r="AX58" s="267"/>
      <c r="AY58" s="267"/>
      <c r="AZ58" s="267"/>
      <c r="BA58" s="267"/>
      <c r="BB58" s="267"/>
      <c r="BC58" s="267"/>
      <c r="BD58" s="267"/>
      <c r="BE58" s="267"/>
      <c r="BF58" s="267"/>
      <c r="BG58" s="267"/>
      <c r="BH58" s="267"/>
      <c r="BI58" s="267"/>
      <c r="BJ58" s="267"/>
      <c r="BK58" s="267"/>
      <c r="BL58" s="267"/>
      <c r="BM58" s="267"/>
      <c r="BN58" s="267"/>
      <c r="BO58" s="267"/>
      <c r="BP58" s="267"/>
      <c r="BQ58" s="267"/>
      <c r="BR58" s="267"/>
      <c r="BS58" s="267"/>
      <c r="BT58" s="267"/>
      <c r="BU58" s="267"/>
      <c r="BV58" s="267"/>
      <c r="BW58" s="267"/>
      <c r="BX58" s="267"/>
      <c r="BY58" s="267"/>
      <c r="BZ58" s="267"/>
      <c r="CA58" s="267"/>
      <c r="CB58" s="267"/>
      <c r="CC58" s="267"/>
      <c r="CD58" s="267"/>
      <c r="CE58" s="267"/>
      <c r="CF58" s="267"/>
      <c r="CG58" s="267"/>
      <c r="CH58" s="267"/>
      <c r="CI58" s="267"/>
      <c r="CJ58" s="267"/>
      <c r="CK58" s="267"/>
      <c r="CL58" s="267"/>
      <c r="CM58" s="267"/>
      <c r="CN58" s="267"/>
    </row>
    <row r="59" spans="1:92">
      <c r="A59" s="595"/>
      <c r="B59" s="598"/>
      <c r="C59" s="599"/>
      <c r="D59" s="267"/>
      <c r="E59" s="267"/>
      <c r="F59" s="267"/>
      <c r="G59" s="267"/>
      <c r="H59" s="267"/>
      <c r="I59" s="267"/>
      <c r="J59" s="267"/>
      <c r="K59" s="267"/>
      <c r="L59" s="267"/>
      <c r="M59" s="267"/>
      <c r="N59" s="267"/>
      <c r="O59" s="267"/>
      <c r="P59" s="267"/>
      <c r="Q59" s="267"/>
      <c r="R59" s="267"/>
      <c r="S59" s="267"/>
      <c r="T59" s="267"/>
      <c r="U59" s="267"/>
      <c r="V59" s="267"/>
      <c r="W59" s="267"/>
      <c r="X59" s="267"/>
      <c r="Y59" s="267"/>
      <c r="Z59" s="267"/>
      <c r="AA59" s="267"/>
      <c r="AB59" s="267"/>
      <c r="AC59" s="267"/>
      <c r="AD59" s="267"/>
      <c r="AE59" s="267"/>
      <c r="AF59" s="267"/>
      <c r="AG59" s="267"/>
      <c r="AH59" s="267"/>
      <c r="AI59" s="267"/>
      <c r="AJ59" s="267"/>
      <c r="AK59" s="267"/>
      <c r="AL59" s="267"/>
      <c r="AM59" s="267"/>
      <c r="AN59" s="267"/>
      <c r="AO59" s="267"/>
      <c r="AP59" s="267"/>
      <c r="AQ59" s="267"/>
      <c r="AR59" s="267"/>
      <c r="AS59" s="267"/>
      <c r="AT59" s="267"/>
      <c r="AU59" s="267"/>
      <c r="AV59" s="267"/>
      <c r="AW59" s="267"/>
      <c r="AX59" s="267"/>
      <c r="AY59" s="267"/>
      <c r="AZ59" s="267"/>
      <c r="BA59" s="267"/>
      <c r="BB59" s="267"/>
      <c r="BC59" s="267"/>
      <c r="BD59" s="267"/>
      <c r="BE59" s="267"/>
      <c r="BF59" s="267"/>
      <c r="BG59" s="267"/>
      <c r="BH59" s="267"/>
      <c r="BI59" s="267"/>
      <c r="BJ59" s="267"/>
      <c r="BK59" s="267"/>
      <c r="BL59" s="267"/>
      <c r="BM59" s="267"/>
      <c r="BN59" s="267"/>
      <c r="BO59" s="267"/>
      <c r="BP59" s="267"/>
      <c r="BQ59" s="267"/>
      <c r="BR59" s="267"/>
      <c r="BS59" s="267"/>
      <c r="BT59" s="267"/>
      <c r="BU59" s="267"/>
      <c r="BV59" s="267"/>
      <c r="BW59" s="267"/>
      <c r="BX59" s="267"/>
      <c r="BY59" s="267"/>
      <c r="BZ59" s="267"/>
      <c r="CA59" s="267"/>
      <c r="CB59" s="267"/>
      <c r="CC59" s="267"/>
      <c r="CD59" s="267"/>
      <c r="CE59" s="267"/>
      <c r="CF59" s="267"/>
      <c r="CG59" s="267"/>
      <c r="CH59" s="267"/>
      <c r="CI59" s="267"/>
      <c r="CJ59" s="267"/>
      <c r="CK59" s="267"/>
      <c r="CL59" s="267"/>
      <c r="CM59" s="267"/>
      <c r="CN59" s="267"/>
    </row>
    <row r="60" spans="1:92">
      <c r="A60" s="595"/>
      <c r="B60" s="598"/>
      <c r="C60" s="599"/>
      <c r="D60" s="267"/>
      <c r="E60" s="267"/>
      <c r="F60" s="267"/>
      <c r="G60" s="267"/>
      <c r="H60" s="267"/>
      <c r="I60" s="269"/>
      <c r="J60" s="269"/>
      <c r="K60" s="269"/>
      <c r="L60" s="269"/>
      <c r="M60" s="269"/>
      <c r="N60" s="269"/>
      <c r="O60" s="269"/>
      <c r="P60" s="269"/>
      <c r="Q60" s="269"/>
      <c r="R60" s="269"/>
      <c r="S60" s="269"/>
      <c r="T60" s="269"/>
      <c r="U60" s="269"/>
      <c r="V60" s="269"/>
      <c r="W60" s="269"/>
      <c r="X60" s="269"/>
      <c r="Y60" s="269"/>
      <c r="Z60" s="269"/>
      <c r="AA60" s="269"/>
      <c r="AB60" s="269"/>
      <c r="AC60" s="269"/>
      <c r="AD60" s="269"/>
      <c r="AE60" s="269"/>
      <c r="AF60" s="269"/>
      <c r="AG60" s="269"/>
      <c r="AH60" s="269"/>
      <c r="AI60" s="269"/>
      <c r="AJ60" s="269"/>
      <c r="AK60" s="269"/>
      <c r="AL60" s="269"/>
      <c r="AM60" s="269"/>
      <c r="AN60" s="269"/>
      <c r="AO60" s="267"/>
      <c r="AP60" s="267"/>
      <c r="AQ60" s="267"/>
      <c r="AR60" s="267"/>
      <c r="AS60" s="267"/>
      <c r="AT60" s="267"/>
      <c r="AU60" s="267"/>
      <c r="AV60" s="267"/>
      <c r="AW60" s="267"/>
      <c r="AX60" s="267"/>
      <c r="AY60" s="267"/>
      <c r="AZ60" s="267"/>
      <c r="BA60" s="267"/>
      <c r="BB60" s="267"/>
      <c r="BC60" s="267"/>
      <c r="BD60" s="267"/>
      <c r="BE60" s="267"/>
      <c r="BF60" s="267"/>
      <c r="BG60" s="267"/>
      <c r="BH60" s="267"/>
      <c r="BI60" s="267"/>
      <c r="BJ60" s="267"/>
      <c r="BK60" s="267"/>
      <c r="BL60" s="267"/>
      <c r="BM60" s="267"/>
      <c r="BN60" s="267"/>
      <c r="BO60" s="267"/>
      <c r="BP60" s="267"/>
      <c r="BQ60" s="267"/>
      <c r="BR60" s="267"/>
      <c r="BS60" s="267"/>
      <c r="BT60" s="267"/>
      <c r="BU60" s="267"/>
      <c r="BV60" s="267"/>
      <c r="BW60" s="267"/>
      <c r="BX60" s="267"/>
      <c r="BY60" s="267"/>
      <c r="BZ60" s="267"/>
      <c r="CA60" s="267"/>
      <c r="CB60" s="267"/>
      <c r="CC60" s="267"/>
      <c r="CD60" s="267"/>
      <c r="CE60" s="267"/>
      <c r="CF60" s="267"/>
      <c r="CG60" s="267"/>
      <c r="CH60" s="267"/>
      <c r="CI60" s="267"/>
      <c r="CJ60" s="267"/>
      <c r="CK60" s="267"/>
      <c r="CL60" s="267"/>
      <c r="CM60" s="267"/>
      <c r="CN60" s="267"/>
    </row>
    <row r="61" spans="1:92">
      <c r="A61" s="595"/>
      <c r="B61" s="598"/>
      <c r="C61" s="599"/>
      <c r="D61" s="267"/>
      <c r="E61" s="267"/>
      <c r="F61" s="267"/>
      <c r="G61" s="267"/>
      <c r="H61" s="267"/>
      <c r="I61" s="269"/>
      <c r="J61" s="269"/>
      <c r="K61" s="269"/>
      <c r="L61" s="269"/>
      <c r="M61" s="269"/>
      <c r="N61" s="269"/>
      <c r="O61" s="269"/>
      <c r="P61" s="269"/>
      <c r="Q61" s="269"/>
      <c r="R61" s="269"/>
      <c r="S61" s="269"/>
      <c r="T61" s="269"/>
      <c r="U61" s="269"/>
      <c r="V61" s="269"/>
      <c r="W61" s="269"/>
      <c r="X61" s="269"/>
      <c r="Y61" s="269"/>
      <c r="Z61" s="269"/>
      <c r="AA61" s="269"/>
      <c r="AB61" s="269"/>
      <c r="AC61" s="269"/>
      <c r="AD61" s="269"/>
      <c r="AE61" s="269"/>
      <c r="AF61" s="269"/>
      <c r="AG61" s="269"/>
      <c r="AH61" s="269"/>
      <c r="AI61" s="269"/>
      <c r="AJ61" s="269"/>
      <c r="AK61" s="269"/>
      <c r="AL61" s="269"/>
      <c r="AM61" s="269"/>
      <c r="AN61" s="269"/>
      <c r="AO61" s="267"/>
      <c r="AP61" s="267"/>
      <c r="AQ61" s="267"/>
      <c r="AR61" s="267"/>
      <c r="AS61" s="267"/>
      <c r="AT61" s="267"/>
      <c r="AU61" s="267"/>
      <c r="AV61" s="267"/>
      <c r="AW61" s="267"/>
      <c r="AX61" s="267"/>
      <c r="AY61" s="267"/>
      <c r="AZ61" s="267"/>
      <c r="BA61" s="267"/>
      <c r="BB61" s="267"/>
      <c r="BC61" s="267"/>
      <c r="BD61" s="267"/>
      <c r="BE61" s="267"/>
      <c r="BF61" s="267"/>
      <c r="BG61" s="267"/>
      <c r="BH61" s="267"/>
      <c r="BI61" s="267"/>
      <c r="BJ61" s="267"/>
      <c r="BK61" s="267"/>
      <c r="BL61" s="267"/>
      <c r="BM61" s="267"/>
      <c r="BN61" s="267"/>
      <c r="BO61" s="267"/>
      <c r="BP61" s="267"/>
      <c r="BQ61" s="267"/>
      <c r="BR61" s="267"/>
      <c r="BS61" s="267"/>
      <c r="BT61" s="267"/>
      <c r="BU61" s="267"/>
      <c r="BV61" s="267"/>
      <c r="BW61" s="267"/>
      <c r="BX61" s="267"/>
      <c r="BY61" s="267"/>
      <c r="BZ61" s="267"/>
      <c r="CA61" s="267"/>
      <c r="CB61" s="267"/>
      <c r="CC61" s="267"/>
      <c r="CD61" s="267"/>
      <c r="CE61" s="267"/>
      <c r="CF61" s="267"/>
      <c r="CG61" s="267"/>
      <c r="CH61" s="267"/>
      <c r="CI61" s="267"/>
      <c r="CJ61" s="267"/>
      <c r="CK61" s="267"/>
      <c r="CL61" s="267"/>
      <c r="CM61" s="267"/>
      <c r="CN61" s="267"/>
    </row>
    <row r="62" spans="1:92">
      <c r="A62" s="595"/>
      <c r="B62" s="598"/>
      <c r="C62" s="599"/>
      <c r="D62" s="267"/>
      <c r="E62" s="267"/>
      <c r="F62" s="267"/>
      <c r="G62" s="267"/>
      <c r="H62" s="267"/>
      <c r="I62" s="267"/>
      <c r="J62" s="267"/>
      <c r="K62" s="267"/>
      <c r="L62" s="267"/>
      <c r="M62" s="267"/>
      <c r="N62" s="267"/>
      <c r="O62" s="267"/>
      <c r="P62" s="267"/>
      <c r="Q62" s="267"/>
      <c r="R62" s="267"/>
      <c r="S62" s="267"/>
      <c r="T62" s="267"/>
      <c r="U62" s="267"/>
      <c r="V62" s="267"/>
      <c r="W62" s="267"/>
      <c r="X62" s="267"/>
      <c r="Y62" s="267"/>
      <c r="Z62" s="267"/>
      <c r="AA62" s="267"/>
      <c r="AB62" s="267"/>
      <c r="AC62" s="267"/>
      <c r="AD62" s="267"/>
      <c r="AE62" s="267"/>
      <c r="AF62" s="267"/>
      <c r="AG62" s="267"/>
      <c r="AH62" s="267"/>
      <c r="AI62" s="267"/>
      <c r="AJ62" s="267"/>
      <c r="AK62" s="267"/>
      <c r="AL62" s="267"/>
      <c r="AM62" s="267"/>
      <c r="AN62" s="267"/>
      <c r="AO62" s="267"/>
      <c r="AP62" s="267"/>
      <c r="AQ62" s="267"/>
      <c r="AR62" s="267"/>
      <c r="AS62" s="267"/>
      <c r="AT62" s="267"/>
      <c r="AU62" s="267"/>
      <c r="AV62" s="267"/>
      <c r="AW62" s="267"/>
      <c r="AX62" s="267"/>
      <c r="AY62" s="267"/>
      <c r="AZ62" s="267"/>
      <c r="BA62" s="267"/>
      <c r="BB62" s="267"/>
      <c r="BC62" s="267"/>
      <c r="BD62" s="267"/>
      <c r="BE62" s="267"/>
      <c r="BF62" s="267"/>
      <c r="BG62" s="267"/>
      <c r="BH62" s="267"/>
      <c r="BI62" s="267"/>
      <c r="BJ62" s="267"/>
      <c r="BK62" s="267"/>
      <c r="BL62" s="267"/>
      <c r="BM62" s="267"/>
      <c r="BN62" s="267"/>
      <c r="BO62" s="267"/>
      <c r="BP62" s="267"/>
      <c r="BQ62" s="267"/>
      <c r="BR62" s="267"/>
      <c r="BS62" s="267"/>
      <c r="BT62" s="267"/>
      <c r="BU62" s="267"/>
      <c r="BV62" s="267"/>
      <c r="BW62" s="267"/>
      <c r="BX62" s="267"/>
      <c r="BY62" s="267"/>
      <c r="BZ62" s="267"/>
      <c r="CA62" s="267"/>
      <c r="CB62" s="267"/>
      <c r="CC62" s="267"/>
      <c r="CD62" s="267"/>
      <c r="CE62" s="267"/>
      <c r="CF62" s="267"/>
      <c r="CG62" s="267"/>
      <c r="CH62" s="267"/>
      <c r="CI62" s="267"/>
      <c r="CJ62" s="267"/>
      <c r="CK62" s="267"/>
      <c r="CL62" s="267"/>
      <c r="CM62" s="267"/>
      <c r="CN62" s="267"/>
    </row>
    <row r="63" spans="1:92">
      <c r="A63" s="595"/>
      <c r="B63" s="598"/>
      <c r="C63" s="599"/>
      <c r="D63" s="267"/>
      <c r="E63" s="267"/>
      <c r="F63" s="267"/>
      <c r="G63" s="267"/>
      <c r="H63" s="267"/>
      <c r="I63" s="267"/>
      <c r="J63" s="267"/>
      <c r="K63" s="267"/>
      <c r="L63" s="267"/>
      <c r="M63" s="267"/>
      <c r="N63" s="267"/>
      <c r="O63" s="267"/>
      <c r="P63" s="267"/>
      <c r="Q63" s="267"/>
      <c r="R63" s="267"/>
      <c r="S63" s="267"/>
      <c r="T63" s="267"/>
      <c r="U63" s="267"/>
      <c r="V63" s="267"/>
      <c r="W63" s="267"/>
      <c r="X63" s="267"/>
      <c r="Y63" s="267"/>
      <c r="Z63" s="267"/>
      <c r="AA63" s="267"/>
      <c r="AB63" s="267"/>
      <c r="AC63" s="267"/>
      <c r="AD63" s="267"/>
      <c r="AE63" s="267"/>
      <c r="AF63" s="267"/>
      <c r="AG63" s="267"/>
      <c r="AH63" s="267"/>
      <c r="AI63" s="267"/>
      <c r="AJ63" s="267"/>
      <c r="AK63" s="267"/>
      <c r="AL63" s="267"/>
      <c r="AM63" s="267"/>
      <c r="AN63" s="267"/>
      <c r="AO63" s="267"/>
      <c r="AP63" s="267"/>
      <c r="AQ63" s="267"/>
      <c r="AR63" s="267"/>
      <c r="AS63" s="267"/>
      <c r="AT63" s="267"/>
      <c r="AU63" s="267"/>
      <c r="AV63" s="267"/>
      <c r="AW63" s="267"/>
      <c r="AX63" s="267"/>
      <c r="AY63" s="267"/>
      <c r="AZ63" s="267"/>
      <c r="BA63" s="267"/>
      <c r="BB63" s="267"/>
      <c r="BC63" s="267"/>
      <c r="BD63" s="267"/>
      <c r="BE63" s="267"/>
      <c r="BF63" s="267"/>
      <c r="BG63" s="267"/>
      <c r="BH63" s="267"/>
      <c r="BI63" s="267"/>
      <c r="BJ63" s="267"/>
      <c r="BK63" s="267"/>
      <c r="BL63" s="267"/>
      <c r="BM63" s="267"/>
      <c r="BN63" s="267"/>
      <c r="BO63" s="267"/>
      <c r="BP63" s="267"/>
      <c r="BQ63" s="267"/>
      <c r="BR63" s="267"/>
      <c r="BS63" s="267"/>
      <c r="BT63" s="267"/>
      <c r="BU63" s="267"/>
      <c r="BV63" s="267"/>
      <c r="BW63" s="267"/>
      <c r="BX63" s="267"/>
      <c r="BY63" s="267"/>
      <c r="BZ63" s="267"/>
      <c r="CA63" s="267"/>
      <c r="CB63" s="267"/>
      <c r="CC63" s="267"/>
      <c r="CD63" s="267"/>
      <c r="CE63" s="267"/>
      <c r="CF63" s="267"/>
      <c r="CG63" s="267"/>
      <c r="CH63" s="267"/>
      <c r="CI63" s="267"/>
      <c r="CJ63" s="267"/>
      <c r="CK63" s="267"/>
      <c r="CL63" s="267"/>
      <c r="CM63" s="267"/>
      <c r="CN63" s="267"/>
    </row>
    <row r="64" spans="1:92">
      <c r="A64" s="595"/>
      <c r="B64" s="598"/>
      <c r="C64" s="599"/>
      <c r="D64" s="267"/>
      <c r="E64" s="1905"/>
      <c r="F64" s="1905"/>
      <c r="G64" s="1905"/>
      <c r="H64" s="267"/>
      <c r="I64" s="1905"/>
      <c r="J64" s="1905"/>
      <c r="K64" s="1905"/>
      <c r="L64" s="1905"/>
      <c r="M64" s="1905"/>
      <c r="N64" s="267"/>
      <c r="O64" s="267"/>
      <c r="P64" s="267"/>
      <c r="Q64" s="267"/>
      <c r="R64" s="267"/>
      <c r="S64" s="267"/>
      <c r="T64" s="267"/>
      <c r="U64" s="267"/>
      <c r="V64" s="267"/>
      <c r="W64" s="267"/>
      <c r="X64" s="267"/>
      <c r="Y64" s="267"/>
      <c r="Z64" s="267"/>
      <c r="AA64" s="267"/>
      <c r="AB64" s="267"/>
      <c r="AC64" s="267"/>
      <c r="AD64" s="267"/>
      <c r="AE64" s="267"/>
      <c r="AF64" s="267"/>
      <c r="AG64" s="267"/>
      <c r="AH64" s="267"/>
      <c r="AI64" s="267"/>
      <c r="AJ64" s="267"/>
      <c r="AK64" s="267"/>
      <c r="AL64" s="267"/>
      <c r="AM64" s="267"/>
      <c r="AN64" s="267"/>
      <c r="AO64" s="267"/>
      <c r="AP64" s="267"/>
      <c r="AQ64" s="267"/>
      <c r="AR64" s="267"/>
      <c r="AS64" s="267"/>
      <c r="AT64" s="267"/>
      <c r="AU64" s="267"/>
      <c r="AV64" s="267"/>
      <c r="AW64" s="267"/>
      <c r="AX64" s="267"/>
      <c r="AY64" s="267"/>
      <c r="AZ64" s="267"/>
      <c r="BA64" s="267"/>
      <c r="BB64" s="267"/>
      <c r="BC64" s="267"/>
      <c r="BD64" s="267"/>
      <c r="BE64" s="267"/>
      <c r="BF64" s="267"/>
      <c r="BG64" s="267"/>
      <c r="BH64" s="267"/>
      <c r="BI64" s="267"/>
      <c r="BJ64" s="267"/>
      <c r="BK64" s="267"/>
      <c r="BL64" s="267"/>
      <c r="BM64" s="267"/>
      <c r="BN64" s="267"/>
      <c r="BO64" s="267"/>
      <c r="BP64" s="267"/>
      <c r="BQ64" s="267"/>
      <c r="BR64" s="267"/>
      <c r="BS64" s="267"/>
      <c r="BT64" s="267"/>
      <c r="BU64" s="267"/>
      <c r="BV64" s="267"/>
      <c r="BW64" s="267"/>
      <c r="BX64" s="267"/>
      <c r="BY64" s="267"/>
      <c r="BZ64" s="267"/>
      <c r="CA64" s="267"/>
      <c r="CB64" s="267"/>
      <c r="CC64" s="267"/>
      <c r="CD64" s="267"/>
      <c r="CE64" s="267"/>
      <c r="CF64" s="267"/>
      <c r="CG64" s="267"/>
      <c r="CH64" s="267"/>
      <c r="CI64" s="267"/>
      <c r="CJ64" s="267"/>
      <c r="CK64" s="267"/>
      <c r="CL64" s="267"/>
      <c r="CM64" s="267"/>
      <c r="CN64" s="267"/>
    </row>
    <row r="65" spans="1:92">
      <c r="A65" s="595"/>
      <c r="B65" s="598"/>
      <c r="C65" s="599"/>
      <c r="D65" s="267"/>
      <c r="E65" s="521"/>
      <c r="F65" s="267"/>
      <c r="G65" s="267"/>
      <c r="H65" s="267"/>
      <c r="I65" s="522"/>
      <c r="J65" s="1912"/>
      <c r="K65" s="1912"/>
      <c r="L65" s="1912"/>
      <c r="M65" s="1912"/>
      <c r="N65" s="267"/>
      <c r="O65" s="267"/>
      <c r="P65" s="267"/>
      <c r="Q65" s="267"/>
      <c r="R65" s="267"/>
      <c r="S65" s="267"/>
      <c r="T65" s="267"/>
      <c r="U65" s="267"/>
      <c r="V65" s="267"/>
      <c r="W65" s="267"/>
      <c r="X65" s="267"/>
      <c r="Y65" s="267"/>
      <c r="Z65" s="267"/>
      <c r="AA65" s="267"/>
      <c r="AB65" s="267"/>
      <c r="AC65" s="267"/>
      <c r="AD65" s="267"/>
      <c r="AE65" s="267"/>
      <c r="AF65" s="267"/>
      <c r="AG65" s="267"/>
      <c r="AH65" s="267"/>
      <c r="AI65" s="267"/>
      <c r="AJ65" s="267"/>
      <c r="AK65" s="267"/>
      <c r="AL65" s="267"/>
      <c r="AM65" s="267"/>
      <c r="AN65" s="267"/>
      <c r="AO65" s="267"/>
      <c r="AP65" s="267"/>
      <c r="AQ65" s="267"/>
      <c r="AR65" s="267"/>
      <c r="AS65" s="267"/>
      <c r="AT65" s="267"/>
      <c r="AU65" s="267"/>
      <c r="AV65" s="267"/>
      <c r="AW65" s="267"/>
      <c r="AX65" s="267"/>
      <c r="AY65" s="267"/>
      <c r="AZ65" s="267"/>
      <c r="BA65" s="267"/>
      <c r="BB65" s="267"/>
      <c r="BC65" s="267"/>
      <c r="BD65" s="267"/>
      <c r="BE65" s="267"/>
      <c r="BF65" s="267"/>
      <c r="BG65" s="267"/>
      <c r="BH65" s="267"/>
      <c r="BI65" s="267"/>
      <c r="BJ65" s="267"/>
      <c r="BK65" s="267"/>
      <c r="BL65" s="267"/>
      <c r="BM65" s="267"/>
      <c r="BN65" s="267"/>
      <c r="BO65" s="267"/>
      <c r="BP65" s="267"/>
      <c r="BQ65" s="267"/>
      <c r="BR65" s="267"/>
      <c r="BS65" s="267"/>
      <c r="BT65" s="267"/>
      <c r="BU65" s="267"/>
      <c r="BV65" s="267"/>
      <c r="BW65" s="267"/>
      <c r="BX65" s="267"/>
      <c r="BY65" s="267"/>
      <c r="BZ65" s="267"/>
      <c r="CA65" s="267"/>
      <c r="CB65" s="267"/>
      <c r="CC65" s="267"/>
      <c r="CD65" s="267"/>
      <c r="CE65" s="267"/>
      <c r="CF65" s="267"/>
      <c r="CG65" s="267"/>
      <c r="CH65" s="267"/>
      <c r="CI65" s="267"/>
      <c r="CJ65" s="267"/>
      <c r="CK65" s="267"/>
      <c r="CL65" s="267"/>
      <c r="CM65" s="267"/>
      <c r="CN65" s="267"/>
    </row>
    <row r="66" spans="1:92">
      <c r="A66" s="595"/>
      <c r="B66" s="598"/>
      <c r="C66" s="599"/>
      <c r="D66" s="267"/>
      <c r="E66" s="521"/>
      <c r="F66" s="267"/>
      <c r="G66" s="267"/>
      <c r="H66" s="267"/>
      <c r="I66" s="521"/>
      <c r="J66" s="1912"/>
      <c r="K66" s="1912"/>
      <c r="L66" s="1912"/>
      <c r="M66" s="1912"/>
      <c r="N66" s="267"/>
      <c r="O66" s="267"/>
      <c r="P66" s="267"/>
      <c r="Q66" s="267"/>
      <c r="R66" s="267"/>
      <c r="S66" s="267"/>
      <c r="T66" s="267"/>
      <c r="U66" s="267"/>
      <c r="V66" s="267"/>
      <c r="W66" s="267"/>
      <c r="X66" s="267"/>
      <c r="Y66" s="267"/>
      <c r="Z66" s="267"/>
      <c r="AA66" s="267"/>
      <c r="AB66" s="267"/>
      <c r="AC66" s="267"/>
      <c r="AD66" s="267"/>
      <c r="AE66" s="267"/>
      <c r="AF66" s="267"/>
      <c r="AG66" s="267"/>
      <c r="AH66" s="267"/>
      <c r="AI66" s="267"/>
      <c r="AJ66" s="267"/>
      <c r="AK66" s="267"/>
      <c r="AL66" s="267"/>
      <c r="AM66" s="267"/>
      <c r="AN66" s="267"/>
      <c r="AO66" s="267"/>
      <c r="AP66" s="267"/>
      <c r="AQ66" s="267"/>
      <c r="AR66" s="267"/>
      <c r="AS66" s="267"/>
      <c r="AT66" s="267"/>
      <c r="AU66" s="267"/>
      <c r="AV66" s="267"/>
      <c r="AW66" s="267"/>
      <c r="AX66" s="267"/>
      <c r="AY66" s="267"/>
      <c r="AZ66" s="267"/>
      <c r="BA66" s="267"/>
      <c r="BB66" s="267"/>
      <c r="BC66" s="267"/>
      <c r="BD66" s="267"/>
      <c r="BE66" s="267"/>
      <c r="BF66" s="267"/>
      <c r="BG66" s="267"/>
      <c r="BH66" s="267"/>
      <c r="BI66" s="267"/>
      <c r="BJ66" s="267"/>
      <c r="BK66" s="267"/>
      <c r="BL66" s="267"/>
      <c r="BM66" s="267"/>
      <c r="BN66" s="267"/>
      <c r="BO66" s="267"/>
      <c r="BP66" s="267"/>
      <c r="BQ66" s="267"/>
      <c r="BR66" s="267"/>
      <c r="BS66" s="267"/>
      <c r="BT66" s="267"/>
      <c r="BU66" s="267"/>
      <c r="BV66" s="267"/>
      <c r="BW66" s="267"/>
      <c r="BX66" s="267"/>
      <c r="BY66" s="267"/>
      <c r="BZ66" s="267"/>
      <c r="CA66" s="267"/>
      <c r="CB66" s="267"/>
      <c r="CC66" s="267"/>
      <c r="CD66" s="267"/>
      <c r="CE66" s="267"/>
      <c r="CF66" s="267"/>
      <c r="CG66" s="267"/>
      <c r="CH66" s="267"/>
      <c r="CI66" s="267"/>
      <c r="CJ66" s="267"/>
      <c r="CK66" s="267"/>
      <c r="CL66" s="267"/>
      <c r="CM66" s="267"/>
      <c r="CN66" s="267"/>
    </row>
    <row r="67" spans="1:92">
      <c r="A67" s="595"/>
      <c r="B67" s="598"/>
      <c r="C67" s="599"/>
      <c r="D67" s="267"/>
      <c r="E67" s="521"/>
      <c r="F67" s="267"/>
      <c r="G67" s="267"/>
      <c r="H67" s="267"/>
      <c r="I67" s="521"/>
      <c r="J67" s="1912"/>
      <c r="K67" s="1912"/>
      <c r="L67" s="1912"/>
      <c r="M67" s="1912"/>
      <c r="N67" s="267"/>
      <c r="O67" s="267"/>
      <c r="P67" s="267"/>
      <c r="Q67" s="267"/>
      <c r="R67" s="267"/>
      <c r="S67" s="267"/>
      <c r="T67" s="267"/>
      <c r="U67" s="267"/>
      <c r="V67" s="267"/>
      <c r="W67" s="267"/>
      <c r="X67" s="267"/>
      <c r="Y67" s="267"/>
      <c r="Z67" s="267"/>
      <c r="AA67" s="267"/>
      <c r="AB67" s="267"/>
      <c r="AC67" s="267"/>
      <c r="AD67" s="267"/>
      <c r="AE67" s="267"/>
      <c r="AF67" s="267"/>
      <c r="AG67" s="267"/>
      <c r="AH67" s="267"/>
      <c r="AI67" s="267"/>
      <c r="AJ67" s="267"/>
      <c r="AK67" s="267"/>
      <c r="AL67" s="267"/>
      <c r="AM67" s="267"/>
      <c r="AN67" s="267"/>
      <c r="AO67" s="267"/>
      <c r="AP67" s="267"/>
      <c r="AQ67" s="267"/>
      <c r="AR67" s="267"/>
      <c r="AS67" s="267"/>
      <c r="AT67" s="267"/>
      <c r="AU67" s="267"/>
      <c r="AV67" s="267"/>
      <c r="AW67" s="267"/>
      <c r="AX67" s="267"/>
      <c r="AY67" s="267"/>
      <c r="AZ67" s="267"/>
      <c r="BA67" s="267"/>
      <c r="BB67" s="267"/>
      <c r="BC67" s="267"/>
      <c r="BD67" s="267"/>
      <c r="BE67" s="267"/>
      <c r="BF67" s="267"/>
      <c r="BG67" s="267"/>
      <c r="BH67" s="267"/>
      <c r="BI67" s="267"/>
      <c r="BJ67" s="267"/>
      <c r="BK67" s="267"/>
      <c r="BL67" s="267"/>
      <c r="BM67" s="267"/>
      <c r="BN67" s="267"/>
      <c r="BO67" s="267"/>
      <c r="BP67" s="267"/>
      <c r="BQ67" s="267"/>
      <c r="BR67" s="267"/>
      <c r="BS67" s="267"/>
      <c r="BT67" s="267"/>
      <c r="BU67" s="267"/>
      <c r="BV67" s="267"/>
      <c r="BW67" s="267"/>
      <c r="BX67" s="267"/>
      <c r="BY67" s="267"/>
      <c r="BZ67" s="267"/>
      <c r="CA67" s="267"/>
      <c r="CB67" s="267"/>
      <c r="CC67" s="267"/>
      <c r="CD67" s="267"/>
      <c r="CE67" s="267"/>
      <c r="CF67" s="267"/>
      <c r="CG67" s="267"/>
      <c r="CH67" s="267"/>
      <c r="CI67" s="267"/>
      <c r="CJ67" s="267"/>
      <c r="CK67" s="267"/>
      <c r="CL67" s="267"/>
      <c r="CM67" s="267"/>
      <c r="CN67" s="267"/>
    </row>
    <row r="68" spans="1:92">
      <c r="A68" s="595"/>
      <c r="B68" s="598"/>
      <c r="C68" s="599"/>
      <c r="D68" s="338"/>
      <c r="E68" s="523"/>
      <c r="F68" s="267"/>
      <c r="G68" s="267"/>
      <c r="H68" s="267"/>
      <c r="I68" s="522"/>
      <c r="J68" s="1912"/>
      <c r="K68" s="1912"/>
      <c r="L68" s="1912"/>
      <c r="M68" s="1912"/>
      <c r="N68" s="267"/>
      <c r="O68" s="267"/>
      <c r="P68" s="267"/>
      <c r="Q68" s="267"/>
      <c r="R68" s="267"/>
      <c r="S68" s="267"/>
      <c r="T68" s="267"/>
      <c r="U68" s="267"/>
      <c r="V68" s="267"/>
      <c r="W68" s="267"/>
      <c r="X68" s="267"/>
      <c r="Y68" s="267"/>
      <c r="Z68" s="267"/>
      <c r="AA68" s="267"/>
      <c r="AB68" s="267"/>
      <c r="AC68" s="267"/>
      <c r="AD68" s="267"/>
      <c r="AE68" s="267"/>
      <c r="AF68" s="267"/>
      <c r="AG68" s="267"/>
      <c r="AH68" s="267"/>
      <c r="AI68" s="267"/>
      <c r="AJ68" s="267"/>
      <c r="AK68" s="267"/>
      <c r="AL68" s="267"/>
      <c r="AM68" s="267"/>
      <c r="AN68" s="267"/>
      <c r="AO68" s="267"/>
      <c r="AP68" s="267"/>
      <c r="AQ68" s="267"/>
      <c r="AR68" s="267"/>
      <c r="AS68" s="267"/>
      <c r="AT68" s="267"/>
      <c r="AU68" s="267"/>
      <c r="AV68" s="267"/>
      <c r="AW68" s="267"/>
      <c r="AX68" s="267"/>
      <c r="AY68" s="267"/>
      <c r="AZ68" s="267"/>
      <c r="BA68" s="267"/>
      <c r="BB68" s="267"/>
      <c r="BC68" s="267"/>
      <c r="BD68" s="267"/>
      <c r="BE68" s="267"/>
      <c r="BF68" s="267"/>
      <c r="BG68" s="267"/>
      <c r="BH68" s="267"/>
      <c r="BI68" s="267"/>
      <c r="BJ68" s="267"/>
      <c r="BK68" s="267"/>
      <c r="BL68" s="267"/>
      <c r="BM68" s="267"/>
      <c r="BN68" s="267"/>
      <c r="BO68" s="267"/>
      <c r="BP68" s="267"/>
      <c r="BQ68" s="267"/>
      <c r="BR68" s="267"/>
      <c r="BS68" s="267"/>
      <c r="BT68" s="267"/>
      <c r="BU68" s="267"/>
      <c r="BV68" s="267"/>
      <c r="BW68" s="267"/>
      <c r="BX68" s="267"/>
      <c r="BY68" s="267"/>
      <c r="BZ68" s="267"/>
      <c r="CA68" s="267"/>
      <c r="CB68" s="267"/>
      <c r="CC68" s="267"/>
      <c r="CD68" s="267"/>
      <c r="CE68" s="267"/>
      <c r="CF68" s="267"/>
      <c r="CG68" s="267"/>
      <c r="CH68" s="267"/>
      <c r="CI68" s="267"/>
      <c r="CJ68" s="267"/>
      <c r="CK68" s="267"/>
      <c r="CL68" s="267"/>
      <c r="CM68" s="267"/>
      <c r="CN68" s="267"/>
    </row>
    <row r="69" spans="1:92">
      <c r="A69" s="595"/>
      <c r="B69" s="598"/>
      <c r="C69" s="599"/>
      <c r="D69" s="267"/>
      <c r="E69" s="523"/>
      <c r="F69" s="267"/>
      <c r="G69" s="267"/>
      <c r="H69" s="267"/>
      <c r="I69" s="521"/>
      <c r="J69" s="1912"/>
      <c r="K69" s="1912"/>
      <c r="L69" s="1912"/>
      <c r="M69" s="1912"/>
      <c r="N69" s="267"/>
      <c r="O69" s="267"/>
      <c r="P69" s="267"/>
      <c r="Q69" s="267"/>
      <c r="R69" s="267"/>
      <c r="S69" s="267"/>
      <c r="T69" s="267"/>
      <c r="U69" s="267"/>
      <c r="V69" s="267"/>
      <c r="W69" s="267"/>
      <c r="X69" s="267"/>
      <c r="Y69" s="267"/>
      <c r="Z69" s="267"/>
      <c r="AA69" s="267"/>
      <c r="AB69" s="267"/>
      <c r="AC69" s="267"/>
      <c r="AD69" s="267"/>
      <c r="AE69" s="267"/>
      <c r="AF69" s="267"/>
      <c r="AG69" s="267"/>
      <c r="AH69" s="267"/>
      <c r="AI69" s="267"/>
      <c r="AJ69" s="267"/>
      <c r="AK69" s="267"/>
      <c r="AL69" s="267"/>
      <c r="AM69" s="267"/>
      <c r="AN69" s="267"/>
      <c r="AO69" s="267"/>
      <c r="AP69" s="267"/>
      <c r="AQ69" s="267"/>
      <c r="AR69" s="267"/>
      <c r="AS69" s="267"/>
      <c r="AT69" s="267"/>
      <c r="AU69" s="267"/>
      <c r="AV69" s="267"/>
      <c r="AW69" s="267"/>
      <c r="AX69" s="267"/>
      <c r="AY69" s="267"/>
      <c r="AZ69" s="267"/>
      <c r="BA69" s="267"/>
      <c r="BB69" s="267"/>
      <c r="BC69" s="267"/>
      <c r="BD69" s="267"/>
      <c r="BE69" s="267"/>
      <c r="BF69" s="267"/>
      <c r="BG69" s="267"/>
      <c r="BH69" s="267"/>
      <c r="BI69" s="267"/>
      <c r="BJ69" s="267"/>
      <c r="BK69" s="267"/>
      <c r="BL69" s="267"/>
      <c r="BM69" s="267"/>
      <c r="BN69" s="267"/>
      <c r="BO69" s="267"/>
      <c r="BP69" s="267"/>
      <c r="BQ69" s="267"/>
      <c r="BR69" s="267"/>
      <c r="BS69" s="267"/>
      <c r="BT69" s="267"/>
      <c r="BU69" s="267"/>
      <c r="BV69" s="267"/>
      <c r="BW69" s="267"/>
      <c r="BX69" s="267"/>
      <c r="BY69" s="267"/>
      <c r="BZ69" s="267"/>
      <c r="CA69" s="267"/>
      <c r="CB69" s="267"/>
      <c r="CC69" s="267"/>
      <c r="CD69" s="267"/>
      <c r="CE69" s="267"/>
      <c r="CF69" s="267"/>
      <c r="CG69" s="267"/>
      <c r="CH69" s="267"/>
      <c r="CI69" s="267"/>
      <c r="CJ69" s="267"/>
      <c r="CK69" s="267"/>
      <c r="CL69" s="267"/>
      <c r="CM69" s="267"/>
      <c r="CN69" s="267"/>
    </row>
    <row r="70" spans="1:92">
      <c r="A70" s="595"/>
      <c r="B70" s="598"/>
      <c r="C70" s="599"/>
      <c r="D70" s="267"/>
      <c r="E70" s="521"/>
      <c r="F70" s="267"/>
      <c r="G70" s="267"/>
      <c r="H70" s="267"/>
      <c r="I70" s="524"/>
      <c r="J70" s="1912"/>
      <c r="K70" s="1912"/>
      <c r="L70" s="1912"/>
      <c r="M70" s="1912"/>
      <c r="N70" s="267"/>
      <c r="O70" s="267"/>
      <c r="P70" s="267"/>
      <c r="Q70" s="267"/>
      <c r="R70" s="267"/>
      <c r="S70" s="267"/>
      <c r="T70" s="267"/>
      <c r="U70" s="267"/>
      <c r="V70" s="267"/>
      <c r="W70" s="267"/>
      <c r="X70" s="267"/>
      <c r="Y70" s="267"/>
      <c r="Z70" s="267"/>
      <c r="AA70" s="267"/>
      <c r="AB70" s="267"/>
      <c r="AC70" s="267"/>
      <c r="AD70" s="267"/>
      <c r="AE70" s="267"/>
      <c r="AF70" s="267"/>
      <c r="AG70" s="267"/>
      <c r="AH70" s="267"/>
      <c r="AI70" s="267"/>
      <c r="AJ70" s="267"/>
      <c r="AK70" s="267"/>
      <c r="AL70" s="267"/>
      <c r="AM70" s="267"/>
      <c r="AN70" s="267"/>
      <c r="AO70" s="267"/>
      <c r="AP70" s="267"/>
      <c r="AQ70" s="267"/>
      <c r="AR70" s="267"/>
      <c r="AS70" s="267"/>
      <c r="AT70" s="267"/>
      <c r="AU70" s="267"/>
      <c r="AV70" s="267"/>
      <c r="AW70" s="267"/>
      <c r="AX70" s="267"/>
      <c r="AY70" s="267"/>
      <c r="AZ70" s="267"/>
      <c r="BA70" s="267"/>
      <c r="BB70" s="267"/>
      <c r="BC70" s="267"/>
      <c r="BD70" s="267"/>
      <c r="BE70" s="267"/>
      <c r="BF70" s="267"/>
      <c r="BG70" s="267"/>
      <c r="BH70" s="267"/>
      <c r="BI70" s="267"/>
      <c r="BJ70" s="267"/>
      <c r="BK70" s="267"/>
      <c r="BL70" s="267"/>
      <c r="BM70" s="267"/>
      <c r="BN70" s="267"/>
      <c r="BO70" s="267"/>
      <c r="BP70" s="267"/>
      <c r="BQ70" s="267"/>
      <c r="BR70" s="267"/>
      <c r="BS70" s="267"/>
      <c r="BT70" s="267"/>
      <c r="BU70" s="267"/>
      <c r="BV70" s="267"/>
      <c r="BW70" s="267"/>
      <c r="BX70" s="267"/>
      <c r="BY70" s="267"/>
      <c r="BZ70" s="267"/>
      <c r="CA70" s="267"/>
      <c r="CB70" s="267"/>
      <c r="CC70" s="267"/>
      <c r="CD70" s="267"/>
      <c r="CE70" s="267"/>
      <c r="CF70" s="267"/>
      <c r="CG70" s="267"/>
      <c r="CH70" s="267"/>
      <c r="CI70" s="267"/>
      <c r="CJ70" s="267"/>
      <c r="CK70" s="267"/>
      <c r="CL70" s="267"/>
      <c r="CM70" s="267"/>
      <c r="CN70" s="267"/>
    </row>
    <row r="71" spans="1:92">
      <c r="A71" s="595"/>
      <c r="B71" s="598"/>
      <c r="C71" s="599"/>
      <c r="D71" s="267"/>
      <c r="E71" s="524"/>
      <c r="F71" s="267"/>
      <c r="G71" s="267"/>
      <c r="H71" s="267"/>
      <c r="I71" s="524"/>
      <c r="J71" s="1912"/>
      <c r="K71" s="1912"/>
      <c r="L71" s="1912"/>
      <c r="M71" s="1912"/>
      <c r="N71" s="267"/>
      <c r="O71" s="267"/>
      <c r="P71" s="267"/>
      <c r="Q71" s="267"/>
      <c r="R71" s="267"/>
      <c r="S71" s="267"/>
      <c r="T71" s="267"/>
      <c r="U71" s="267"/>
      <c r="V71" s="267"/>
      <c r="W71" s="267"/>
      <c r="X71" s="267"/>
      <c r="Y71" s="267"/>
      <c r="Z71" s="267"/>
      <c r="AA71" s="267"/>
      <c r="AB71" s="267"/>
      <c r="AC71" s="267"/>
      <c r="AD71" s="267"/>
      <c r="AE71" s="267"/>
      <c r="AF71" s="267"/>
      <c r="AG71" s="267"/>
      <c r="AH71" s="267"/>
      <c r="AI71" s="267"/>
      <c r="AJ71" s="267"/>
      <c r="AK71" s="267"/>
      <c r="AL71" s="267"/>
      <c r="AM71" s="267"/>
      <c r="AN71" s="267"/>
      <c r="AO71" s="267"/>
      <c r="AP71" s="267"/>
      <c r="AQ71" s="267"/>
      <c r="AR71" s="267"/>
      <c r="AS71" s="267"/>
      <c r="AT71" s="267"/>
      <c r="AU71" s="267"/>
      <c r="AV71" s="267"/>
      <c r="AW71" s="267"/>
      <c r="AX71" s="267"/>
      <c r="AY71" s="267"/>
      <c r="AZ71" s="267"/>
      <c r="BA71" s="267"/>
      <c r="BB71" s="267"/>
      <c r="BC71" s="267"/>
      <c r="BD71" s="267"/>
      <c r="BE71" s="267"/>
      <c r="BF71" s="267"/>
      <c r="BG71" s="267"/>
      <c r="BH71" s="267"/>
      <c r="BI71" s="267"/>
      <c r="BJ71" s="267"/>
      <c r="BK71" s="267"/>
      <c r="BL71" s="267"/>
      <c r="BM71" s="267"/>
      <c r="BN71" s="267"/>
      <c r="BO71" s="267"/>
      <c r="BP71" s="267"/>
      <c r="BQ71" s="267"/>
      <c r="BR71" s="267"/>
      <c r="BS71" s="267"/>
      <c r="BT71" s="267"/>
      <c r="BU71" s="267"/>
      <c r="BV71" s="267"/>
      <c r="BW71" s="267"/>
      <c r="BX71" s="267"/>
      <c r="BY71" s="267"/>
      <c r="BZ71" s="267"/>
      <c r="CA71" s="267"/>
      <c r="CB71" s="267"/>
      <c r="CC71" s="267"/>
      <c r="CD71" s="267"/>
      <c r="CE71" s="267"/>
      <c r="CF71" s="267"/>
      <c r="CG71" s="267"/>
      <c r="CH71" s="267"/>
      <c r="CI71" s="267"/>
      <c r="CJ71" s="267"/>
      <c r="CK71" s="267"/>
      <c r="CL71" s="267"/>
      <c r="CM71" s="267"/>
      <c r="CN71" s="267"/>
    </row>
    <row r="72" spans="1:92">
      <c r="A72" s="595"/>
      <c r="B72" s="598"/>
      <c r="C72" s="599"/>
      <c r="D72" s="267"/>
      <c r="E72" s="267"/>
      <c r="F72" s="267"/>
      <c r="G72" s="267"/>
      <c r="H72" s="267"/>
      <c r="I72" s="521"/>
      <c r="J72" s="1912"/>
      <c r="K72" s="1912"/>
      <c r="L72" s="1912"/>
      <c r="M72" s="1912"/>
      <c r="N72" s="267"/>
      <c r="O72" s="267"/>
      <c r="P72" s="267"/>
      <c r="Q72" s="267"/>
      <c r="R72" s="267"/>
      <c r="S72" s="267"/>
      <c r="T72" s="267"/>
      <c r="U72" s="267"/>
      <c r="V72" s="267"/>
      <c r="W72" s="267"/>
      <c r="X72" s="267"/>
      <c r="Y72" s="267"/>
      <c r="Z72" s="267"/>
      <c r="AA72" s="267"/>
      <c r="AB72" s="267"/>
      <c r="AC72" s="267"/>
      <c r="AD72" s="267"/>
      <c r="AE72" s="267"/>
      <c r="AF72" s="267"/>
      <c r="AG72" s="267"/>
      <c r="AH72" s="267"/>
      <c r="AI72" s="267"/>
      <c r="AJ72" s="267"/>
      <c r="AK72" s="267"/>
      <c r="AL72" s="267"/>
      <c r="AM72" s="267"/>
      <c r="AN72" s="267"/>
      <c r="AO72" s="267"/>
      <c r="AP72" s="267"/>
      <c r="AQ72" s="267"/>
      <c r="AR72" s="267"/>
      <c r="AS72" s="267"/>
      <c r="AT72" s="267"/>
      <c r="AU72" s="267"/>
      <c r="AV72" s="267"/>
      <c r="AW72" s="267"/>
      <c r="AX72" s="267"/>
      <c r="AY72" s="267"/>
      <c r="AZ72" s="267"/>
      <c r="BA72" s="267"/>
      <c r="BB72" s="267"/>
      <c r="BC72" s="267"/>
      <c r="BD72" s="267"/>
      <c r="BE72" s="267"/>
      <c r="BF72" s="267"/>
      <c r="BG72" s="267"/>
      <c r="BH72" s="267"/>
      <c r="BI72" s="267"/>
      <c r="BJ72" s="267"/>
      <c r="BK72" s="267"/>
      <c r="BL72" s="267"/>
      <c r="BM72" s="267"/>
      <c r="BN72" s="267"/>
      <c r="BO72" s="267"/>
      <c r="BP72" s="267"/>
      <c r="BQ72" s="267"/>
      <c r="BR72" s="267"/>
      <c r="BS72" s="267"/>
      <c r="BT72" s="267"/>
      <c r="BU72" s="267"/>
      <c r="BV72" s="267"/>
      <c r="BW72" s="267"/>
      <c r="BX72" s="267"/>
      <c r="BY72" s="267"/>
      <c r="BZ72" s="267"/>
      <c r="CA72" s="267"/>
      <c r="CB72" s="267"/>
      <c r="CC72" s="267"/>
      <c r="CD72" s="267"/>
      <c r="CE72" s="267"/>
      <c r="CF72" s="267"/>
      <c r="CG72" s="267"/>
      <c r="CH72" s="267"/>
      <c r="CI72" s="267"/>
      <c r="CJ72" s="267"/>
      <c r="CK72" s="267"/>
      <c r="CL72" s="267"/>
      <c r="CM72" s="267"/>
      <c r="CN72" s="267"/>
    </row>
    <row r="73" spans="1:92">
      <c r="A73" s="595"/>
      <c r="B73" s="598"/>
      <c r="C73" s="599"/>
      <c r="D73" s="267"/>
      <c r="E73" s="267"/>
      <c r="F73" s="267"/>
      <c r="G73" s="267"/>
      <c r="H73" s="267"/>
      <c r="I73" s="521"/>
      <c r="J73" s="1912"/>
      <c r="K73" s="1912"/>
      <c r="L73" s="1912"/>
      <c r="M73" s="1912"/>
      <c r="N73" s="267"/>
      <c r="O73" s="267"/>
      <c r="P73" s="267"/>
      <c r="Q73" s="267"/>
      <c r="R73" s="267"/>
      <c r="S73" s="267"/>
      <c r="T73" s="267"/>
      <c r="U73" s="267"/>
      <c r="V73" s="267"/>
      <c r="W73" s="267"/>
      <c r="X73" s="267"/>
      <c r="Y73" s="267"/>
      <c r="Z73" s="267"/>
      <c r="AA73" s="267"/>
      <c r="AB73" s="267"/>
      <c r="AC73" s="267"/>
      <c r="AD73" s="267"/>
      <c r="AE73" s="267"/>
      <c r="AF73" s="267"/>
      <c r="AG73" s="267"/>
      <c r="AH73" s="267"/>
      <c r="AI73" s="267"/>
      <c r="AJ73" s="267"/>
      <c r="AK73" s="267"/>
      <c r="AL73" s="267"/>
      <c r="AM73" s="267"/>
      <c r="AN73" s="267"/>
      <c r="AO73" s="267"/>
      <c r="AP73" s="267"/>
      <c r="AQ73" s="267"/>
      <c r="AR73" s="267"/>
      <c r="AS73" s="267"/>
      <c r="AT73" s="267"/>
      <c r="AU73" s="267"/>
      <c r="AV73" s="267"/>
      <c r="AW73" s="267"/>
      <c r="AX73" s="267"/>
      <c r="AY73" s="267"/>
      <c r="AZ73" s="267"/>
      <c r="BA73" s="267"/>
      <c r="BB73" s="267"/>
      <c r="BC73" s="267"/>
      <c r="BD73" s="267"/>
      <c r="BE73" s="267"/>
      <c r="BF73" s="267"/>
      <c r="BG73" s="267"/>
      <c r="BH73" s="267"/>
      <c r="BI73" s="267"/>
      <c r="BJ73" s="267"/>
      <c r="BK73" s="267"/>
      <c r="BL73" s="267"/>
      <c r="BM73" s="267"/>
      <c r="BN73" s="267"/>
      <c r="BO73" s="267"/>
      <c r="BP73" s="267"/>
      <c r="BQ73" s="267"/>
      <c r="BR73" s="267"/>
      <c r="BS73" s="267"/>
      <c r="BT73" s="267"/>
      <c r="BU73" s="267"/>
      <c r="BV73" s="267"/>
      <c r="BW73" s="267"/>
      <c r="BX73" s="267"/>
      <c r="BY73" s="267"/>
      <c r="BZ73" s="267"/>
      <c r="CA73" s="267"/>
      <c r="CB73" s="267"/>
      <c r="CC73" s="267"/>
      <c r="CD73" s="267"/>
      <c r="CE73" s="267"/>
      <c r="CF73" s="267"/>
      <c r="CG73" s="267"/>
      <c r="CH73" s="267"/>
      <c r="CI73" s="267"/>
      <c r="CJ73" s="267"/>
      <c r="CK73" s="267"/>
      <c r="CL73" s="267"/>
      <c r="CM73" s="267"/>
      <c r="CN73" s="267"/>
    </row>
    <row r="74" spans="1:92">
      <c r="A74" s="595"/>
      <c r="B74" s="598"/>
      <c r="C74" s="599"/>
      <c r="D74" s="267"/>
      <c r="E74" s="267"/>
      <c r="F74" s="267"/>
      <c r="G74" s="267"/>
      <c r="H74" s="267"/>
      <c r="I74" s="524"/>
      <c r="J74" s="1912"/>
      <c r="K74" s="1912"/>
      <c r="L74" s="1912"/>
      <c r="M74" s="1912"/>
      <c r="N74" s="267"/>
      <c r="O74" s="267"/>
      <c r="P74" s="267"/>
      <c r="Q74" s="267"/>
      <c r="R74" s="267"/>
      <c r="S74" s="267"/>
      <c r="T74" s="267"/>
      <c r="U74" s="267"/>
      <c r="V74" s="267"/>
      <c r="W74" s="267"/>
      <c r="X74" s="267"/>
      <c r="Y74" s="267"/>
      <c r="Z74" s="267"/>
      <c r="AA74" s="267"/>
      <c r="AB74" s="267"/>
      <c r="AC74" s="267"/>
      <c r="AD74" s="267"/>
      <c r="AE74" s="267"/>
      <c r="AF74" s="267"/>
      <c r="AG74" s="267"/>
      <c r="AH74" s="267"/>
      <c r="AI74" s="267"/>
      <c r="AJ74" s="267"/>
      <c r="AK74" s="267"/>
      <c r="AL74" s="267"/>
      <c r="AM74" s="267"/>
      <c r="AN74" s="267"/>
      <c r="AO74" s="267"/>
      <c r="AP74" s="267"/>
      <c r="AQ74" s="267"/>
      <c r="AR74" s="267"/>
      <c r="AS74" s="267"/>
      <c r="AT74" s="267"/>
      <c r="AU74" s="267"/>
      <c r="AV74" s="267"/>
      <c r="AW74" s="267"/>
      <c r="AX74" s="267"/>
      <c r="AY74" s="267"/>
      <c r="AZ74" s="267"/>
      <c r="BA74" s="267"/>
      <c r="BB74" s="267"/>
      <c r="BC74" s="267"/>
      <c r="BD74" s="267"/>
      <c r="BE74" s="267"/>
      <c r="BF74" s="267"/>
      <c r="BG74" s="267"/>
      <c r="BH74" s="267"/>
      <c r="BI74" s="267"/>
      <c r="BJ74" s="267"/>
      <c r="BK74" s="267"/>
      <c r="BL74" s="267"/>
      <c r="BM74" s="267"/>
      <c r="BN74" s="267"/>
      <c r="BO74" s="267"/>
      <c r="BP74" s="267"/>
      <c r="BQ74" s="267"/>
      <c r="BR74" s="267"/>
      <c r="BS74" s="267"/>
      <c r="BT74" s="267"/>
      <c r="BU74" s="267"/>
      <c r="BV74" s="267"/>
      <c r="BW74" s="267"/>
      <c r="BX74" s="267"/>
      <c r="BY74" s="267"/>
      <c r="BZ74" s="267"/>
      <c r="CA74" s="267"/>
      <c r="CB74" s="267"/>
      <c r="CC74" s="267"/>
      <c r="CD74" s="267"/>
      <c r="CE74" s="267"/>
      <c r="CF74" s="267"/>
      <c r="CG74" s="267"/>
      <c r="CH74" s="267"/>
      <c r="CI74" s="267"/>
      <c r="CJ74" s="267"/>
      <c r="CK74" s="267"/>
      <c r="CL74" s="267"/>
      <c r="CM74" s="267"/>
      <c r="CN74" s="267"/>
    </row>
    <row r="75" spans="1:92">
      <c r="A75" s="595"/>
      <c r="B75" s="598"/>
      <c r="C75" s="599"/>
      <c r="D75" s="267"/>
      <c r="E75" s="267"/>
      <c r="F75" s="267"/>
      <c r="G75" s="267"/>
      <c r="H75" s="267"/>
      <c r="I75" s="524"/>
      <c r="J75" s="1912"/>
      <c r="K75" s="1912"/>
      <c r="L75" s="1912"/>
      <c r="M75" s="1912"/>
      <c r="N75" s="267"/>
      <c r="O75" s="267"/>
      <c r="P75" s="267"/>
      <c r="Q75" s="267"/>
      <c r="R75" s="267"/>
      <c r="S75" s="267"/>
      <c r="T75" s="267"/>
      <c r="U75" s="267"/>
      <c r="V75" s="267"/>
      <c r="W75" s="267"/>
      <c r="X75" s="267"/>
      <c r="Y75" s="267"/>
      <c r="Z75" s="267"/>
      <c r="AA75" s="267"/>
      <c r="AB75" s="267"/>
      <c r="AC75" s="267"/>
      <c r="AD75" s="267"/>
      <c r="AE75" s="267"/>
      <c r="AF75" s="267"/>
      <c r="AG75" s="267"/>
      <c r="AH75" s="267"/>
      <c r="AI75" s="267"/>
      <c r="AJ75" s="267"/>
      <c r="AK75" s="267"/>
      <c r="AL75" s="267"/>
      <c r="AM75" s="267"/>
      <c r="AN75" s="267"/>
      <c r="AO75" s="267"/>
      <c r="AP75" s="267"/>
      <c r="AQ75" s="267"/>
      <c r="AR75" s="267"/>
      <c r="AS75" s="267"/>
      <c r="AT75" s="267"/>
      <c r="AU75" s="267"/>
      <c r="AV75" s="267"/>
      <c r="AW75" s="267"/>
      <c r="AX75" s="267"/>
      <c r="AY75" s="267"/>
      <c r="AZ75" s="267"/>
      <c r="BA75" s="267"/>
      <c r="BB75" s="267"/>
      <c r="BC75" s="267"/>
      <c r="BD75" s="267"/>
      <c r="BE75" s="267"/>
      <c r="BF75" s="267"/>
      <c r="BG75" s="267"/>
      <c r="BH75" s="267"/>
      <c r="BI75" s="267"/>
      <c r="BJ75" s="267"/>
      <c r="BK75" s="267"/>
      <c r="BL75" s="267"/>
      <c r="BM75" s="267"/>
      <c r="BN75" s="267"/>
      <c r="BO75" s="267"/>
      <c r="BP75" s="267"/>
      <c r="BQ75" s="267"/>
      <c r="BR75" s="267"/>
      <c r="BS75" s="267"/>
      <c r="BT75" s="267"/>
      <c r="BU75" s="267"/>
      <c r="BV75" s="267"/>
      <c r="BW75" s="267"/>
      <c r="BX75" s="267"/>
      <c r="BY75" s="267"/>
      <c r="BZ75" s="267"/>
      <c r="CA75" s="267"/>
      <c r="CB75" s="267"/>
      <c r="CC75" s="267"/>
      <c r="CD75" s="267"/>
      <c r="CE75" s="267"/>
      <c r="CF75" s="267"/>
      <c r="CG75" s="267"/>
      <c r="CH75" s="267"/>
      <c r="CI75" s="267"/>
      <c r="CJ75" s="267"/>
      <c r="CK75" s="267"/>
      <c r="CL75" s="267"/>
      <c r="CM75" s="267"/>
      <c r="CN75" s="267"/>
    </row>
    <row r="76" spans="1:92">
      <c r="A76" s="595"/>
      <c r="B76" s="598"/>
      <c r="C76" s="599"/>
      <c r="D76" s="267"/>
      <c r="E76" s="267"/>
      <c r="F76" s="267"/>
      <c r="G76" s="267"/>
      <c r="H76" s="267"/>
      <c r="I76" s="270"/>
      <c r="J76" s="270"/>
      <c r="K76" s="270"/>
      <c r="L76" s="270"/>
      <c r="M76" s="270"/>
      <c r="N76" s="267"/>
      <c r="O76" s="267"/>
      <c r="P76" s="267"/>
      <c r="Q76" s="267"/>
      <c r="R76" s="267"/>
      <c r="S76" s="267"/>
      <c r="T76" s="267"/>
      <c r="U76" s="267"/>
      <c r="V76" s="267"/>
      <c r="W76" s="267"/>
      <c r="X76" s="267"/>
      <c r="Y76" s="267"/>
      <c r="Z76" s="267"/>
      <c r="AA76" s="267"/>
      <c r="AB76" s="267"/>
      <c r="AC76" s="267"/>
      <c r="AD76" s="267"/>
      <c r="AE76" s="267"/>
      <c r="AF76" s="267"/>
      <c r="AG76" s="267"/>
      <c r="AH76" s="267"/>
      <c r="AI76" s="267"/>
      <c r="AJ76" s="267"/>
      <c r="AK76" s="267"/>
      <c r="AL76" s="267"/>
      <c r="AM76" s="267"/>
      <c r="AN76" s="267"/>
      <c r="AO76" s="267"/>
      <c r="AP76" s="267"/>
      <c r="AQ76" s="267"/>
      <c r="AR76" s="267"/>
      <c r="AS76" s="267"/>
      <c r="AT76" s="267"/>
      <c r="AU76" s="267"/>
      <c r="AV76" s="267"/>
      <c r="AW76" s="267"/>
      <c r="AX76" s="267"/>
      <c r="AY76" s="267"/>
      <c r="AZ76" s="267"/>
      <c r="BA76" s="267"/>
      <c r="BB76" s="267"/>
      <c r="BC76" s="267"/>
      <c r="BD76" s="267"/>
      <c r="BE76" s="267"/>
      <c r="BF76" s="267"/>
      <c r="BG76" s="267"/>
      <c r="BH76" s="267"/>
      <c r="BI76" s="267"/>
      <c r="BJ76" s="267"/>
      <c r="BK76" s="267"/>
      <c r="BL76" s="267"/>
      <c r="BM76" s="267"/>
      <c r="BN76" s="267"/>
      <c r="BO76" s="267"/>
      <c r="BP76" s="267"/>
      <c r="BQ76" s="267"/>
      <c r="BR76" s="267"/>
      <c r="BS76" s="267"/>
      <c r="BT76" s="267"/>
      <c r="BU76" s="267"/>
      <c r="BV76" s="267"/>
      <c r="BW76" s="267"/>
      <c r="BX76" s="267"/>
      <c r="BY76" s="267"/>
      <c r="BZ76" s="267"/>
      <c r="CA76" s="267"/>
      <c r="CB76" s="267"/>
      <c r="CC76" s="267"/>
      <c r="CD76" s="267"/>
      <c r="CE76" s="267"/>
      <c r="CF76" s="267"/>
      <c r="CG76" s="267"/>
      <c r="CH76" s="267"/>
      <c r="CI76" s="267"/>
      <c r="CJ76" s="267"/>
      <c r="CK76" s="267"/>
      <c r="CL76" s="267"/>
      <c r="CM76" s="267"/>
      <c r="CN76" s="267"/>
    </row>
    <row r="77" spans="1:92">
      <c r="A77" s="595"/>
      <c r="B77" s="598"/>
      <c r="C77" s="599"/>
      <c r="D77" s="267"/>
      <c r="E77" s="267"/>
      <c r="F77" s="267"/>
      <c r="G77" s="267"/>
      <c r="H77" s="267"/>
      <c r="I77" s="267"/>
      <c r="J77" s="267"/>
      <c r="K77" s="267"/>
      <c r="L77" s="267"/>
      <c r="M77" s="267"/>
      <c r="N77" s="267"/>
      <c r="O77" s="267"/>
      <c r="P77" s="267"/>
      <c r="Q77" s="267"/>
      <c r="R77" s="267"/>
      <c r="S77" s="267"/>
      <c r="T77" s="267"/>
      <c r="U77" s="267"/>
      <c r="V77" s="267"/>
      <c r="W77" s="267"/>
      <c r="X77" s="267"/>
      <c r="Y77" s="267"/>
      <c r="Z77" s="267"/>
      <c r="AA77" s="267"/>
      <c r="AB77" s="267"/>
      <c r="AC77" s="267"/>
      <c r="AD77" s="267"/>
      <c r="AE77" s="267"/>
      <c r="AF77" s="267"/>
      <c r="AG77" s="267"/>
      <c r="AH77" s="267"/>
      <c r="AI77" s="267"/>
      <c r="AJ77" s="267"/>
      <c r="AK77" s="267"/>
      <c r="AL77" s="267"/>
      <c r="AM77" s="267"/>
      <c r="AN77" s="267"/>
      <c r="AO77" s="267"/>
      <c r="AP77" s="267"/>
      <c r="AQ77" s="267"/>
      <c r="AR77" s="267"/>
      <c r="AS77" s="267"/>
      <c r="AT77" s="267"/>
      <c r="AU77" s="267"/>
      <c r="AV77" s="267"/>
      <c r="AW77" s="267"/>
      <c r="AX77" s="267"/>
      <c r="AY77" s="267"/>
      <c r="AZ77" s="267"/>
      <c r="BA77" s="267"/>
      <c r="BB77" s="267"/>
      <c r="BC77" s="267"/>
      <c r="BD77" s="267"/>
      <c r="BE77" s="267"/>
      <c r="BF77" s="267"/>
      <c r="BG77" s="267"/>
      <c r="BH77" s="267"/>
      <c r="BI77" s="267"/>
      <c r="BJ77" s="267"/>
      <c r="BK77" s="267"/>
      <c r="BL77" s="267"/>
      <c r="BM77" s="267"/>
      <c r="BN77" s="267"/>
      <c r="BO77" s="267"/>
      <c r="BP77" s="267"/>
      <c r="BQ77" s="267"/>
      <c r="BR77" s="267"/>
      <c r="BS77" s="267"/>
      <c r="BT77" s="267"/>
      <c r="BU77" s="267"/>
      <c r="BV77" s="267"/>
      <c r="BW77" s="267"/>
      <c r="BX77" s="267"/>
      <c r="BY77" s="267"/>
      <c r="BZ77" s="267"/>
      <c r="CA77" s="267"/>
      <c r="CB77" s="267"/>
      <c r="CC77" s="267"/>
      <c r="CD77" s="267"/>
      <c r="CE77" s="267"/>
      <c r="CF77" s="267"/>
      <c r="CG77" s="267"/>
      <c r="CH77" s="267"/>
      <c r="CI77" s="267"/>
      <c r="CJ77" s="267"/>
      <c r="CK77" s="267"/>
      <c r="CL77" s="267"/>
      <c r="CM77" s="267"/>
      <c r="CN77" s="267"/>
    </row>
    <row r="78" spans="1:92">
      <c r="A78" s="595"/>
      <c r="B78" s="598"/>
      <c r="C78" s="599"/>
      <c r="D78" s="267"/>
      <c r="E78" s="267"/>
      <c r="F78" s="267"/>
      <c r="G78" s="267"/>
      <c r="H78" s="267"/>
      <c r="I78" s="267"/>
      <c r="J78" s="267"/>
      <c r="K78" s="267"/>
      <c r="L78" s="267"/>
      <c r="M78" s="267"/>
      <c r="N78" s="267"/>
      <c r="O78" s="267"/>
      <c r="P78" s="267"/>
      <c r="Q78" s="267"/>
      <c r="R78" s="267"/>
      <c r="S78" s="267"/>
      <c r="T78" s="267"/>
      <c r="U78" s="267"/>
      <c r="V78" s="267"/>
      <c r="W78" s="267"/>
      <c r="X78" s="267"/>
      <c r="Y78" s="267"/>
      <c r="Z78" s="267"/>
      <c r="AA78" s="267"/>
      <c r="AB78" s="267"/>
      <c r="AC78" s="267"/>
      <c r="AD78" s="267"/>
      <c r="AE78" s="267"/>
      <c r="AF78" s="267"/>
      <c r="AG78" s="267"/>
      <c r="AH78" s="267"/>
      <c r="AI78" s="267"/>
      <c r="AJ78" s="267"/>
      <c r="AK78" s="267"/>
      <c r="AL78" s="267"/>
      <c r="AM78" s="267"/>
      <c r="AN78" s="267"/>
      <c r="AO78" s="267"/>
      <c r="AP78" s="267"/>
      <c r="AQ78" s="267"/>
      <c r="AR78" s="267"/>
      <c r="AS78" s="267"/>
      <c r="AT78" s="267"/>
      <c r="AU78" s="267"/>
      <c r="AV78" s="267"/>
      <c r="AW78" s="267"/>
      <c r="AX78" s="267"/>
      <c r="AY78" s="267"/>
      <c r="AZ78" s="267"/>
      <c r="BA78" s="267"/>
      <c r="BB78" s="267"/>
      <c r="BC78" s="267"/>
      <c r="BD78" s="267"/>
      <c r="BE78" s="267"/>
      <c r="BF78" s="267"/>
      <c r="BG78" s="267"/>
      <c r="BH78" s="267"/>
      <c r="BI78" s="267"/>
      <c r="BJ78" s="267"/>
      <c r="BK78" s="267"/>
      <c r="BL78" s="267"/>
      <c r="BM78" s="267"/>
      <c r="BN78" s="267"/>
      <c r="BO78" s="267"/>
      <c r="BP78" s="267"/>
      <c r="BQ78" s="267"/>
      <c r="BR78" s="267"/>
      <c r="BS78" s="267"/>
      <c r="BT78" s="267"/>
      <c r="BU78" s="267"/>
      <c r="BV78" s="267"/>
      <c r="BW78" s="267"/>
      <c r="BX78" s="267"/>
      <c r="BY78" s="267"/>
      <c r="BZ78" s="267"/>
      <c r="CA78" s="267"/>
      <c r="CB78" s="267"/>
      <c r="CC78" s="267"/>
      <c r="CD78" s="267"/>
      <c r="CE78" s="267"/>
      <c r="CF78" s="267"/>
      <c r="CG78" s="267"/>
      <c r="CH78" s="267"/>
      <c r="CI78" s="267"/>
      <c r="CJ78" s="267"/>
      <c r="CK78" s="267"/>
      <c r="CL78" s="267"/>
      <c r="CM78" s="267"/>
      <c r="CN78" s="267"/>
    </row>
    <row r="79" spans="1:92">
      <c r="A79" s="595"/>
      <c r="B79" s="598"/>
      <c r="C79" s="599"/>
      <c r="D79" s="267"/>
      <c r="E79" s="267"/>
      <c r="F79" s="267"/>
      <c r="G79" s="267"/>
      <c r="H79" s="267"/>
      <c r="I79" s="267"/>
      <c r="J79" s="267"/>
      <c r="K79" s="267"/>
      <c r="L79" s="267"/>
      <c r="M79" s="267"/>
      <c r="N79" s="267"/>
      <c r="O79" s="267"/>
      <c r="P79" s="267"/>
      <c r="Q79" s="267"/>
      <c r="R79" s="267"/>
      <c r="S79" s="267"/>
      <c r="T79" s="267"/>
      <c r="U79" s="267"/>
      <c r="V79" s="267"/>
      <c r="W79" s="267"/>
      <c r="X79" s="267"/>
      <c r="Y79" s="267"/>
      <c r="Z79" s="267"/>
      <c r="AA79" s="267"/>
      <c r="AB79" s="267"/>
      <c r="AC79" s="267"/>
      <c r="AD79" s="267"/>
      <c r="AE79" s="267"/>
      <c r="AF79" s="267"/>
      <c r="AG79" s="267"/>
      <c r="AH79" s="267"/>
      <c r="AI79" s="267"/>
      <c r="AJ79" s="267"/>
      <c r="AK79" s="267"/>
      <c r="AL79" s="267"/>
      <c r="AM79" s="267"/>
      <c r="AN79" s="267"/>
      <c r="AO79" s="267"/>
      <c r="AP79" s="267"/>
      <c r="AQ79" s="267"/>
      <c r="AR79" s="267"/>
      <c r="AS79" s="267"/>
      <c r="AT79" s="267"/>
      <c r="AU79" s="267"/>
      <c r="AV79" s="267"/>
      <c r="AW79" s="267"/>
      <c r="AX79" s="267"/>
      <c r="AY79" s="267"/>
      <c r="AZ79" s="267"/>
      <c r="BA79" s="267"/>
      <c r="BB79" s="267"/>
      <c r="BC79" s="267"/>
      <c r="BD79" s="267"/>
      <c r="BE79" s="267"/>
      <c r="BF79" s="267"/>
      <c r="BG79" s="267"/>
      <c r="BH79" s="267"/>
      <c r="BI79" s="267"/>
      <c r="BJ79" s="267"/>
      <c r="BK79" s="267"/>
      <c r="BL79" s="267"/>
      <c r="BM79" s="267"/>
      <c r="BN79" s="267"/>
      <c r="BO79" s="267"/>
      <c r="BP79" s="267"/>
      <c r="BQ79" s="267"/>
      <c r="BR79" s="267"/>
      <c r="BS79" s="267"/>
      <c r="BT79" s="267"/>
      <c r="BU79" s="267"/>
      <c r="BV79" s="267"/>
      <c r="BW79" s="267"/>
      <c r="BX79" s="267"/>
      <c r="BY79" s="267"/>
      <c r="BZ79" s="267"/>
      <c r="CA79" s="267"/>
      <c r="CB79" s="267"/>
      <c r="CC79" s="267"/>
      <c r="CD79" s="267"/>
      <c r="CE79" s="267"/>
      <c r="CF79" s="267"/>
      <c r="CG79" s="267"/>
      <c r="CH79" s="267"/>
      <c r="CI79" s="267"/>
      <c r="CJ79" s="267"/>
      <c r="CK79" s="267"/>
      <c r="CL79" s="267"/>
      <c r="CM79" s="267"/>
      <c r="CN79" s="267"/>
    </row>
    <row r="80" spans="1:92">
      <c r="A80" s="595"/>
      <c r="B80" s="598"/>
      <c r="C80" s="599"/>
      <c r="D80" s="267"/>
      <c r="E80" s="267"/>
      <c r="F80" s="267"/>
      <c r="G80" s="267"/>
      <c r="H80" s="267"/>
      <c r="I80" s="267"/>
      <c r="J80" s="267"/>
      <c r="K80" s="267"/>
      <c r="L80" s="267"/>
      <c r="M80" s="267"/>
      <c r="N80" s="267"/>
      <c r="O80" s="267"/>
      <c r="P80" s="267"/>
      <c r="Q80" s="267"/>
      <c r="R80" s="267"/>
      <c r="S80" s="267"/>
      <c r="T80" s="267"/>
      <c r="U80" s="267"/>
      <c r="V80" s="267"/>
      <c r="W80" s="267"/>
      <c r="X80" s="267"/>
      <c r="Y80" s="267"/>
      <c r="Z80" s="267"/>
      <c r="AA80" s="267"/>
      <c r="AB80" s="267"/>
      <c r="AC80" s="267"/>
      <c r="AD80" s="267"/>
      <c r="AE80" s="267"/>
      <c r="AF80" s="267"/>
      <c r="AG80" s="267"/>
      <c r="AH80" s="267"/>
      <c r="AI80" s="267"/>
      <c r="AJ80" s="267"/>
      <c r="AK80" s="267"/>
      <c r="AL80" s="267"/>
      <c r="AM80" s="267"/>
      <c r="AN80" s="267"/>
      <c r="AO80" s="267"/>
      <c r="AP80" s="267"/>
      <c r="AQ80" s="267"/>
      <c r="AR80" s="267"/>
      <c r="AS80" s="267"/>
      <c r="AT80" s="267"/>
      <c r="AU80" s="267"/>
      <c r="AV80" s="267"/>
      <c r="AW80" s="267"/>
      <c r="AX80" s="267"/>
      <c r="AY80" s="267"/>
      <c r="AZ80" s="267"/>
      <c r="BA80" s="267"/>
      <c r="BB80" s="267"/>
      <c r="BC80" s="267"/>
      <c r="BD80" s="267"/>
      <c r="BE80" s="267"/>
      <c r="BF80" s="267"/>
      <c r="BG80" s="267"/>
      <c r="BH80" s="267"/>
      <c r="BI80" s="267"/>
      <c r="BJ80" s="267"/>
      <c r="BK80" s="267"/>
      <c r="BL80" s="267"/>
      <c r="BM80" s="267"/>
      <c r="BN80" s="267"/>
      <c r="BO80" s="267"/>
      <c r="BP80" s="267"/>
      <c r="BQ80" s="267"/>
      <c r="BR80" s="267"/>
      <c r="BS80" s="267"/>
      <c r="BT80" s="267"/>
      <c r="BU80" s="267"/>
      <c r="BV80" s="267"/>
      <c r="BW80" s="267"/>
      <c r="BX80" s="267"/>
      <c r="BY80" s="267"/>
      <c r="BZ80" s="267"/>
      <c r="CA80" s="267"/>
      <c r="CB80" s="267"/>
      <c r="CC80" s="267"/>
      <c r="CD80" s="267"/>
      <c r="CE80" s="267"/>
      <c r="CF80" s="267"/>
      <c r="CG80" s="267"/>
      <c r="CH80" s="267"/>
      <c r="CI80" s="267"/>
      <c r="CJ80" s="267"/>
      <c r="CK80" s="267"/>
      <c r="CL80" s="267"/>
      <c r="CM80" s="267"/>
      <c r="CN80" s="267"/>
    </row>
    <row r="81" spans="1:92">
      <c r="A81" s="595"/>
      <c r="B81" s="598"/>
      <c r="C81" s="599"/>
      <c r="D81" s="267"/>
      <c r="E81" s="267"/>
      <c r="F81" s="267"/>
      <c r="G81" s="267"/>
      <c r="H81" s="267"/>
      <c r="I81" s="267"/>
      <c r="J81" s="267"/>
      <c r="K81" s="267"/>
      <c r="L81" s="267"/>
      <c r="M81" s="267"/>
      <c r="N81" s="267"/>
      <c r="O81" s="267"/>
      <c r="P81" s="267"/>
      <c r="Q81" s="267"/>
      <c r="R81" s="267"/>
      <c r="S81" s="267"/>
      <c r="T81" s="267"/>
      <c r="U81" s="267"/>
      <c r="V81" s="267"/>
      <c r="W81" s="267"/>
      <c r="X81" s="267"/>
      <c r="Y81" s="267"/>
      <c r="Z81" s="267"/>
      <c r="AA81" s="267"/>
      <c r="AB81" s="267"/>
      <c r="AC81" s="267"/>
      <c r="AD81" s="267"/>
      <c r="AE81" s="267"/>
      <c r="AF81" s="267"/>
      <c r="AG81" s="267"/>
      <c r="AH81" s="267"/>
      <c r="AI81" s="267"/>
      <c r="AJ81" s="267"/>
      <c r="AK81" s="267"/>
      <c r="AL81" s="267"/>
      <c r="AM81" s="267"/>
      <c r="AN81" s="267"/>
      <c r="AO81" s="267"/>
      <c r="AP81" s="267"/>
      <c r="AQ81" s="267"/>
      <c r="AR81" s="267"/>
      <c r="AS81" s="267"/>
      <c r="AT81" s="267"/>
      <c r="AU81" s="267"/>
      <c r="AV81" s="267"/>
      <c r="AW81" s="267"/>
      <c r="AX81" s="267"/>
      <c r="AY81" s="267"/>
      <c r="AZ81" s="267"/>
      <c r="BA81" s="267"/>
      <c r="BB81" s="267"/>
      <c r="BC81" s="267"/>
      <c r="BD81" s="267"/>
      <c r="BE81" s="267"/>
      <c r="BF81" s="267"/>
      <c r="BG81" s="267"/>
      <c r="BH81" s="267"/>
      <c r="BI81" s="267"/>
      <c r="BJ81" s="267"/>
      <c r="BK81" s="267"/>
      <c r="BL81" s="267"/>
      <c r="BM81" s="267"/>
      <c r="BN81" s="267"/>
      <c r="BO81" s="267"/>
      <c r="BP81" s="267"/>
      <c r="BQ81" s="267"/>
      <c r="BR81" s="267"/>
      <c r="BS81" s="267"/>
      <c r="BT81" s="267"/>
      <c r="BU81" s="267"/>
      <c r="BV81" s="267"/>
      <c r="BW81" s="267"/>
      <c r="BX81" s="267"/>
      <c r="BY81" s="267"/>
      <c r="BZ81" s="267"/>
      <c r="CA81" s="267"/>
      <c r="CB81" s="267"/>
      <c r="CC81" s="267"/>
      <c r="CD81" s="267"/>
      <c r="CE81" s="267"/>
      <c r="CF81" s="267"/>
      <c r="CG81" s="267"/>
      <c r="CH81" s="267"/>
      <c r="CI81" s="267"/>
      <c r="CJ81" s="267"/>
      <c r="CK81" s="267"/>
      <c r="CL81" s="267"/>
      <c r="CM81" s="267"/>
      <c r="CN81" s="267"/>
    </row>
    <row r="82" spans="1:92">
      <c r="A82" s="595"/>
      <c r="B82" s="598"/>
      <c r="C82" s="599"/>
      <c r="D82" s="267"/>
      <c r="E82" s="267"/>
      <c r="F82" s="267"/>
      <c r="G82" s="267"/>
      <c r="H82" s="267"/>
      <c r="I82" s="267"/>
      <c r="J82" s="267"/>
      <c r="K82" s="267"/>
      <c r="L82" s="267"/>
      <c r="M82" s="267"/>
      <c r="N82" s="267"/>
      <c r="O82" s="267"/>
      <c r="P82" s="267"/>
      <c r="Q82" s="267"/>
      <c r="R82" s="267"/>
      <c r="S82" s="267"/>
      <c r="T82" s="267"/>
      <c r="U82" s="267"/>
      <c r="V82" s="267"/>
      <c r="W82" s="267"/>
      <c r="X82" s="267"/>
      <c r="Y82" s="267"/>
      <c r="Z82" s="267"/>
      <c r="AA82" s="267"/>
      <c r="AB82" s="267"/>
      <c r="AC82" s="267"/>
      <c r="AD82" s="267"/>
      <c r="AE82" s="267"/>
      <c r="AF82" s="267"/>
      <c r="AG82" s="267"/>
      <c r="AH82" s="267"/>
      <c r="AI82" s="267"/>
      <c r="AJ82" s="267"/>
      <c r="AK82" s="267"/>
      <c r="AL82" s="267"/>
      <c r="AM82" s="267"/>
      <c r="AN82" s="267"/>
      <c r="AO82" s="267"/>
      <c r="AP82" s="267"/>
      <c r="AQ82" s="267"/>
      <c r="AR82" s="267"/>
      <c r="AS82" s="267"/>
      <c r="AT82" s="267"/>
      <c r="AU82" s="267"/>
      <c r="AV82" s="267"/>
      <c r="AW82" s="267"/>
      <c r="AX82" s="267"/>
      <c r="AY82" s="267"/>
      <c r="AZ82" s="267"/>
      <c r="BA82" s="267"/>
      <c r="BB82" s="267"/>
      <c r="BC82" s="267"/>
      <c r="BD82" s="267"/>
      <c r="BE82" s="267"/>
      <c r="BF82" s="267"/>
      <c r="BG82" s="267"/>
      <c r="BH82" s="267"/>
      <c r="BI82" s="267"/>
      <c r="BJ82" s="267"/>
      <c r="BK82" s="267"/>
      <c r="BL82" s="267"/>
      <c r="BM82" s="267"/>
      <c r="BN82" s="267"/>
      <c r="BO82" s="267"/>
      <c r="BP82" s="267"/>
      <c r="BQ82" s="267"/>
      <c r="BR82" s="267"/>
      <c r="BS82" s="267"/>
      <c r="BT82" s="267"/>
      <c r="BU82" s="267"/>
      <c r="BV82" s="267"/>
      <c r="BW82" s="267"/>
      <c r="BX82" s="267"/>
      <c r="BY82" s="267"/>
      <c r="BZ82" s="267"/>
      <c r="CA82" s="267"/>
      <c r="CB82" s="267"/>
      <c r="CC82" s="267"/>
      <c r="CD82" s="267"/>
      <c r="CE82" s="267"/>
      <c r="CF82" s="267"/>
      <c r="CG82" s="267"/>
      <c r="CH82" s="267"/>
      <c r="CI82" s="267"/>
      <c r="CJ82" s="267"/>
      <c r="CK82" s="267"/>
      <c r="CL82" s="267"/>
      <c r="CM82" s="267"/>
      <c r="CN82" s="267"/>
    </row>
    <row r="83" spans="1:92">
      <c r="A83" s="595"/>
      <c r="B83" s="598"/>
      <c r="C83" s="599"/>
      <c r="D83" s="267"/>
      <c r="E83" s="267"/>
      <c r="F83" s="267"/>
      <c r="G83" s="267"/>
      <c r="H83" s="267"/>
      <c r="I83" s="267"/>
      <c r="J83" s="267"/>
      <c r="K83" s="267"/>
      <c r="L83" s="267"/>
      <c r="M83" s="267"/>
      <c r="N83" s="267"/>
      <c r="O83" s="267"/>
      <c r="P83" s="267"/>
      <c r="Q83" s="267"/>
      <c r="R83" s="267"/>
      <c r="S83" s="267"/>
      <c r="T83" s="267"/>
      <c r="U83" s="267"/>
      <c r="V83" s="267"/>
      <c r="W83" s="267"/>
      <c r="X83" s="267"/>
      <c r="Y83" s="267"/>
      <c r="Z83" s="267"/>
      <c r="AA83" s="267"/>
      <c r="AB83" s="267"/>
      <c r="AC83" s="267"/>
      <c r="AD83" s="267"/>
      <c r="AE83" s="267"/>
      <c r="AF83" s="267"/>
      <c r="AG83" s="267"/>
      <c r="AH83" s="267"/>
      <c r="AI83" s="267"/>
      <c r="AJ83" s="267"/>
      <c r="AK83" s="267"/>
      <c r="AL83" s="267"/>
      <c r="AM83" s="267"/>
      <c r="AN83" s="267"/>
      <c r="AO83" s="267"/>
      <c r="AP83" s="267"/>
      <c r="AQ83" s="267"/>
      <c r="AR83" s="267"/>
      <c r="AS83" s="267"/>
      <c r="AT83" s="267"/>
      <c r="AU83" s="267"/>
      <c r="AV83" s="267"/>
      <c r="AW83" s="267"/>
      <c r="AX83" s="267"/>
      <c r="AY83" s="267"/>
      <c r="AZ83" s="267"/>
      <c r="BA83" s="267"/>
      <c r="BB83" s="267"/>
      <c r="BC83" s="267"/>
      <c r="BD83" s="267"/>
      <c r="BE83" s="267"/>
      <c r="BF83" s="267"/>
      <c r="BG83" s="267"/>
      <c r="BH83" s="267"/>
      <c r="BI83" s="267"/>
      <c r="BJ83" s="267"/>
      <c r="BK83" s="267"/>
      <c r="BL83" s="267"/>
      <c r="BM83" s="267"/>
      <c r="BN83" s="267"/>
      <c r="BO83" s="267"/>
      <c r="BP83" s="267"/>
      <c r="BQ83" s="267"/>
      <c r="BR83" s="267"/>
      <c r="BS83" s="267"/>
      <c r="BT83" s="267"/>
      <c r="BU83" s="267"/>
      <c r="BV83" s="267"/>
      <c r="BW83" s="267"/>
      <c r="BX83" s="267"/>
      <c r="BY83" s="267"/>
      <c r="BZ83" s="267"/>
      <c r="CA83" s="267"/>
      <c r="CB83" s="267"/>
      <c r="CC83" s="267"/>
      <c r="CD83" s="267"/>
      <c r="CE83" s="267"/>
      <c r="CF83" s="267"/>
      <c r="CG83" s="267"/>
      <c r="CH83" s="267"/>
      <c r="CI83" s="267"/>
      <c r="CJ83" s="267"/>
      <c r="CK83" s="267"/>
      <c r="CL83" s="267"/>
      <c r="CM83" s="267"/>
      <c r="CN83" s="267"/>
    </row>
    <row r="84" spans="1:92">
      <c r="A84" s="595"/>
      <c r="B84" s="598"/>
      <c r="C84" s="599"/>
      <c r="D84" s="267"/>
      <c r="E84" s="267"/>
      <c r="F84" s="267"/>
      <c r="G84" s="267"/>
      <c r="H84" s="267"/>
      <c r="I84" s="267"/>
      <c r="J84" s="267"/>
      <c r="K84" s="267"/>
      <c r="L84" s="267"/>
      <c r="M84" s="267"/>
      <c r="N84" s="267"/>
      <c r="O84" s="267"/>
      <c r="P84" s="267"/>
      <c r="Q84" s="267"/>
      <c r="R84" s="267"/>
      <c r="S84" s="267"/>
      <c r="T84" s="267"/>
      <c r="U84" s="267"/>
      <c r="V84" s="267"/>
      <c r="W84" s="267"/>
      <c r="X84" s="267"/>
      <c r="Y84" s="267"/>
      <c r="Z84" s="267"/>
      <c r="AA84" s="267"/>
      <c r="AB84" s="267"/>
      <c r="AC84" s="267"/>
      <c r="AD84" s="267"/>
      <c r="AE84" s="267"/>
      <c r="AF84" s="267"/>
      <c r="AG84" s="267"/>
      <c r="AH84" s="267"/>
      <c r="AI84" s="267"/>
      <c r="AJ84" s="267"/>
      <c r="AK84" s="267"/>
      <c r="AL84" s="267"/>
      <c r="AM84" s="267"/>
      <c r="AN84" s="267"/>
      <c r="AO84" s="267"/>
      <c r="AP84" s="267"/>
      <c r="AQ84" s="267"/>
      <c r="AR84" s="267"/>
      <c r="AS84" s="267"/>
      <c r="AT84" s="267"/>
      <c r="AU84" s="267"/>
      <c r="AV84" s="267"/>
      <c r="AW84" s="267"/>
      <c r="AX84" s="267"/>
      <c r="AY84" s="267"/>
      <c r="AZ84" s="267"/>
      <c r="BA84" s="267"/>
      <c r="BB84" s="267"/>
      <c r="BC84" s="267"/>
      <c r="BD84" s="267"/>
      <c r="BE84" s="267"/>
      <c r="BF84" s="267"/>
      <c r="BG84" s="267"/>
      <c r="BH84" s="267"/>
      <c r="BI84" s="267"/>
      <c r="BJ84" s="267"/>
      <c r="BK84" s="267"/>
      <c r="BL84" s="267"/>
      <c r="BM84" s="267"/>
      <c r="BN84" s="267"/>
      <c r="BO84" s="267"/>
      <c r="BP84" s="267"/>
      <c r="BQ84" s="267"/>
      <c r="BR84" s="267"/>
      <c r="BS84" s="267"/>
      <c r="BT84" s="267"/>
      <c r="BU84" s="267"/>
      <c r="BV84" s="267"/>
      <c r="BW84" s="267"/>
      <c r="BX84" s="267"/>
      <c r="BY84" s="267"/>
      <c r="BZ84" s="267"/>
      <c r="CA84" s="267"/>
      <c r="CB84" s="267"/>
      <c r="CC84" s="267"/>
      <c r="CD84" s="267"/>
      <c r="CE84" s="267"/>
      <c r="CF84" s="267"/>
      <c r="CG84" s="267"/>
      <c r="CH84" s="267"/>
      <c r="CI84" s="267"/>
      <c r="CJ84" s="267"/>
      <c r="CK84" s="267"/>
      <c r="CL84" s="267"/>
      <c r="CM84" s="267"/>
      <c r="CN84" s="267"/>
    </row>
    <row r="85" spans="1:92">
      <c r="A85" s="595"/>
      <c r="B85" s="598"/>
      <c r="C85" s="599"/>
      <c r="D85" s="267"/>
      <c r="E85" s="267"/>
      <c r="F85" s="267"/>
      <c r="G85" s="267"/>
      <c r="H85" s="267"/>
      <c r="I85" s="267"/>
      <c r="J85" s="267"/>
      <c r="K85" s="267"/>
      <c r="L85" s="267"/>
      <c r="M85" s="267"/>
      <c r="N85" s="267"/>
      <c r="O85" s="267"/>
      <c r="P85" s="267"/>
      <c r="Q85" s="267"/>
      <c r="R85" s="267"/>
      <c r="S85" s="267"/>
      <c r="T85" s="267"/>
      <c r="U85" s="267"/>
      <c r="V85" s="267"/>
      <c r="W85" s="267"/>
      <c r="X85" s="267"/>
      <c r="Y85" s="267"/>
      <c r="Z85" s="267"/>
      <c r="AA85" s="267"/>
      <c r="AB85" s="267"/>
      <c r="AC85" s="267"/>
      <c r="AD85" s="267"/>
      <c r="AE85" s="267"/>
      <c r="AF85" s="267"/>
      <c r="AG85" s="267"/>
      <c r="AH85" s="267"/>
      <c r="AI85" s="267"/>
      <c r="AJ85" s="267"/>
      <c r="AK85" s="267"/>
      <c r="AL85" s="267"/>
      <c r="AM85" s="267"/>
      <c r="AN85" s="267"/>
      <c r="AO85" s="267"/>
      <c r="AP85" s="267"/>
      <c r="AQ85" s="267"/>
      <c r="AR85" s="267"/>
      <c r="AS85" s="267"/>
      <c r="AT85" s="267"/>
      <c r="AU85" s="267"/>
      <c r="AV85" s="267"/>
      <c r="AW85" s="267"/>
      <c r="AX85" s="267"/>
      <c r="AY85" s="267"/>
      <c r="AZ85" s="267"/>
      <c r="BA85" s="267"/>
      <c r="BB85" s="267"/>
      <c r="BC85" s="267"/>
      <c r="BD85" s="267"/>
      <c r="BE85" s="267"/>
      <c r="BF85" s="267"/>
      <c r="BG85" s="267"/>
      <c r="BH85" s="267"/>
      <c r="BI85" s="267"/>
      <c r="BJ85" s="267"/>
      <c r="BK85" s="267"/>
      <c r="BL85" s="267"/>
      <c r="BM85" s="267"/>
      <c r="BN85" s="267"/>
      <c r="BO85" s="267"/>
      <c r="BP85" s="267"/>
      <c r="BQ85" s="267"/>
      <c r="BR85" s="267"/>
      <c r="BS85" s="267"/>
      <c r="BT85" s="267"/>
      <c r="BU85" s="267"/>
      <c r="BV85" s="267"/>
      <c r="BW85" s="267"/>
      <c r="BX85" s="267"/>
      <c r="BY85" s="267"/>
      <c r="BZ85" s="267"/>
      <c r="CA85" s="267"/>
      <c r="CB85" s="267"/>
      <c r="CC85" s="267"/>
      <c r="CD85" s="267"/>
      <c r="CE85" s="267"/>
      <c r="CF85" s="267"/>
      <c r="CG85" s="267"/>
      <c r="CH85" s="267"/>
      <c r="CI85" s="267"/>
      <c r="CJ85" s="267"/>
      <c r="CK85" s="267"/>
      <c r="CL85" s="267"/>
      <c r="CM85" s="267"/>
      <c r="CN85" s="267"/>
    </row>
    <row r="86" spans="1:92">
      <c r="A86" s="595"/>
      <c r="B86" s="598"/>
      <c r="C86" s="599"/>
      <c r="D86" s="267"/>
      <c r="E86" s="267"/>
      <c r="F86" s="267"/>
      <c r="G86" s="267"/>
      <c r="H86" s="267"/>
      <c r="I86" s="267"/>
      <c r="J86" s="267"/>
      <c r="K86" s="267"/>
      <c r="L86" s="267"/>
      <c r="M86" s="267"/>
      <c r="N86" s="267"/>
      <c r="O86" s="267"/>
      <c r="P86" s="267"/>
      <c r="Q86" s="267"/>
      <c r="R86" s="267"/>
      <c r="S86" s="267"/>
      <c r="T86" s="267"/>
      <c r="U86" s="267"/>
      <c r="V86" s="267"/>
      <c r="W86" s="267"/>
      <c r="X86" s="267"/>
      <c r="Y86" s="267"/>
      <c r="Z86" s="267"/>
      <c r="AA86" s="267"/>
      <c r="AB86" s="267"/>
      <c r="AC86" s="267"/>
      <c r="AD86" s="267"/>
      <c r="AE86" s="267"/>
      <c r="AF86" s="267"/>
      <c r="AG86" s="267"/>
      <c r="AH86" s="267"/>
      <c r="AI86" s="267"/>
      <c r="AJ86" s="267"/>
      <c r="AK86" s="267"/>
      <c r="AL86" s="267"/>
      <c r="AM86" s="267"/>
      <c r="AN86" s="267"/>
      <c r="AO86" s="267"/>
      <c r="AP86" s="267"/>
      <c r="AQ86" s="267"/>
      <c r="AR86" s="267"/>
      <c r="AS86" s="267"/>
      <c r="AT86" s="267"/>
      <c r="AU86" s="267"/>
      <c r="AV86" s="267"/>
      <c r="AW86" s="267"/>
      <c r="AX86" s="267"/>
      <c r="AY86" s="267"/>
      <c r="AZ86" s="267"/>
      <c r="BA86" s="267"/>
      <c r="BB86" s="267"/>
      <c r="BC86" s="267"/>
      <c r="BD86" s="267"/>
      <c r="BE86" s="267"/>
      <c r="BF86" s="267"/>
      <c r="BG86" s="267"/>
      <c r="BH86" s="267"/>
      <c r="BI86" s="267"/>
      <c r="BJ86" s="267"/>
      <c r="BK86" s="267"/>
      <c r="BL86" s="267"/>
      <c r="BM86" s="267"/>
      <c r="BN86" s="267"/>
      <c r="BO86" s="267"/>
      <c r="BP86" s="267"/>
      <c r="BQ86" s="267"/>
      <c r="BR86" s="267"/>
      <c r="BS86" s="267"/>
      <c r="BT86" s="267"/>
      <c r="BU86" s="267"/>
      <c r="BV86" s="267"/>
      <c r="BW86" s="267"/>
      <c r="BX86" s="267"/>
      <c r="BY86" s="267"/>
      <c r="BZ86" s="267"/>
      <c r="CA86" s="267"/>
      <c r="CB86" s="267"/>
      <c r="CC86" s="267"/>
      <c r="CD86" s="267"/>
      <c r="CE86" s="267"/>
      <c r="CF86" s="267"/>
      <c r="CG86" s="267"/>
      <c r="CH86" s="267"/>
      <c r="CI86" s="267"/>
      <c r="CJ86" s="267"/>
      <c r="CK86" s="267"/>
      <c r="CL86" s="267"/>
      <c r="CM86" s="267"/>
      <c r="CN86" s="267"/>
    </row>
    <row r="87" spans="1:92">
      <c r="A87" s="595"/>
      <c r="B87" s="598"/>
      <c r="C87" s="599"/>
      <c r="D87" s="267"/>
      <c r="E87" s="267"/>
      <c r="F87" s="267"/>
      <c r="G87" s="267"/>
      <c r="H87" s="267"/>
      <c r="I87" s="267"/>
      <c r="J87" s="267"/>
      <c r="K87" s="267"/>
      <c r="L87" s="267"/>
      <c r="M87" s="267"/>
      <c r="N87" s="267"/>
      <c r="O87" s="267"/>
      <c r="P87" s="267"/>
      <c r="Q87" s="267"/>
      <c r="R87" s="267"/>
      <c r="S87" s="267"/>
      <c r="T87" s="267"/>
      <c r="U87" s="267"/>
      <c r="V87" s="267"/>
      <c r="W87" s="267"/>
      <c r="X87" s="267"/>
      <c r="Y87" s="267"/>
      <c r="Z87" s="267"/>
      <c r="AA87" s="267"/>
      <c r="AB87" s="267"/>
      <c r="AC87" s="267"/>
      <c r="AD87" s="267"/>
      <c r="AE87" s="267"/>
      <c r="AF87" s="267"/>
      <c r="AG87" s="267"/>
      <c r="AH87" s="267"/>
      <c r="AI87" s="267"/>
      <c r="AJ87" s="267"/>
      <c r="AK87" s="267"/>
      <c r="AL87" s="267"/>
      <c r="AM87" s="267"/>
      <c r="AN87" s="267"/>
      <c r="AO87" s="267"/>
      <c r="AP87" s="267"/>
      <c r="AQ87" s="267"/>
      <c r="AR87" s="267"/>
      <c r="AS87" s="267"/>
      <c r="AT87" s="267"/>
      <c r="AU87" s="267"/>
      <c r="AV87" s="267"/>
      <c r="AW87" s="267"/>
      <c r="AX87" s="267"/>
      <c r="AY87" s="267"/>
      <c r="AZ87" s="267"/>
      <c r="BA87" s="267"/>
      <c r="BB87" s="267"/>
      <c r="BC87" s="267"/>
      <c r="BD87" s="267"/>
      <c r="BE87" s="267"/>
      <c r="BF87" s="267"/>
      <c r="BG87" s="267"/>
      <c r="BH87" s="267"/>
      <c r="BI87" s="267"/>
      <c r="BJ87" s="267"/>
      <c r="BK87" s="267"/>
      <c r="BL87" s="267"/>
      <c r="BM87" s="267"/>
      <c r="BN87" s="267"/>
      <c r="BO87" s="267"/>
      <c r="BP87" s="267"/>
      <c r="BQ87" s="267"/>
      <c r="BR87" s="267"/>
      <c r="BS87" s="267"/>
      <c r="BT87" s="267"/>
      <c r="BU87" s="267"/>
      <c r="BV87" s="267"/>
      <c r="BW87" s="267"/>
      <c r="BX87" s="267"/>
      <c r="BY87" s="267"/>
      <c r="BZ87" s="267"/>
      <c r="CA87" s="267"/>
      <c r="CB87" s="267"/>
      <c r="CC87" s="267"/>
      <c r="CD87" s="267"/>
      <c r="CE87" s="267"/>
      <c r="CF87" s="267"/>
      <c r="CG87" s="267"/>
      <c r="CH87" s="267"/>
      <c r="CI87" s="267"/>
      <c r="CJ87" s="267"/>
      <c r="CK87" s="267"/>
      <c r="CL87" s="267"/>
      <c r="CM87" s="267"/>
      <c r="CN87" s="267"/>
    </row>
    <row r="88" spans="1:92">
      <c r="A88" s="595"/>
      <c r="B88" s="598"/>
      <c r="C88" s="599"/>
      <c r="D88" s="267"/>
      <c r="E88" s="267"/>
      <c r="F88" s="267"/>
      <c r="G88" s="267"/>
      <c r="H88" s="267"/>
      <c r="I88" s="267"/>
      <c r="J88" s="267"/>
      <c r="K88" s="267"/>
      <c r="L88" s="267"/>
      <c r="M88" s="267"/>
      <c r="N88" s="267"/>
      <c r="O88" s="267"/>
      <c r="P88" s="267"/>
      <c r="Q88" s="267"/>
      <c r="R88" s="267"/>
      <c r="S88" s="267"/>
      <c r="T88" s="267"/>
      <c r="U88" s="267"/>
      <c r="V88" s="267"/>
      <c r="W88" s="267"/>
      <c r="X88" s="267"/>
      <c r="Y88" s="267"/>
      <c r="Z88" s="267"/>
      <c r="AA88" s="267"/>
      <c r="AB88" s="267"/>
      <c r="AC88" s="267"/>
      <c r="AD88" s="267"/>
      <c r="AE88" s="267"/>
      <c r="AF88" s="267"/>
      <c r="AG88" s="267"/>
      <c r="AH88" s="267"/>
      <c r="AI88" s="267"/>
      <c r="AJ88" s="267"/>
      <c r="AK88" s="267"/>
      <c r="AL88" s="267"/>
      <c r="AM88" s="267"/>
      <c r="AN88" s="267"/>
      <c r="AO88" s="267"/>
      <c r="AP88" s="267"/>
      <c r="AQ88" s="267"/>
      <c r="AR88" s="267"/>
      <c r="AS88" s="267"/>
      <c r="AT88" s="267"/>
      <c r="AU88" s="267"/>
      <c r="AV88" s="267"/>
      <c r="AW88" s="267"/>
      <c r="AX88" s="267"/>
      <c r="AY88" s="267"/>
      <c r="AZ88" s="267"/>
      <c r="BA88" s="267"/>
      <c r="BB88" s="267"/>
      <c r="BC88" s="267"/>
      <c r="BD88" s="267"/>
      <c r="BE88" s="267"/>
      <c r="BF88" s="267"/>
      <c r="BG88" s="267"/>
      <c r="BH88" s="267"/>
      <c r="BI88" s="267"/>
      <c r="BJ88" s="267"/>
      <c r="BK88" s="267"/>
      <c r="BL88" s="267"/>
      <c r="BM88" s="267"/>
      <c r="BN88" s="267"/>
      <c r="BO88" s="267"/>
      <c r="BP88" s="267"/>
      <c r="BQ88" s="267"/>
      <c r="BR88" s="267"/>
      <c r="BS88" s="267"/>
      <c r="BT88" s="267"/>
      <c r="BU88" s="267"/>
      <c r="BV88" s="267"/>
      <c r="BW88" s="267"/>
      <c r="BX88" s="267"/>
      <c r="BY88" s="267"/>
      <c r="BZ88" s="267"/>
      <c r="CA88" s="267"/>
      <c r="CB88" s="267"/>
      <c r="CC88" s="267"/>
      <c r="CD88" s="267"/>
      <c r="CE88" s="267"/>
      <c r="CF88" s="267"/>
      <c r="CG88" s="267"/>
      <c r="CH88" s="267"/>
      <c r="CI88" s="267"/>
      <c r="CJ88" s="267"/>
      <c r="CK88" s="267"/>
      <c r="CL88" s="267"/>
      <c r="CM88" s="267"/>
      <c r="CN88" s="267"/>
    </row>
    <row r="89" spans="1:92">
      <c r="A89" s="595"/>
      <c r="B89" s="598"/>
      <c r="C89" s="599"/>
      <c r="D89" s="267"/>
      <c r="E89" s="267"/>
      <c r="F89" s="267"/>
      <c r="G89" s="267"/>
      <c r="H89" s="267"/>
      <c r="I89" s="267"/>
      <c r="J89" s="267"/>
      <c r="K89" s="267"/>
      <c r="L89" s="267"/>
      <c r="M89" s="267"/>
      <c r="N89" s="267"/>
      <c r="O89" s="267"/>
      <c r="P89" s="267"/>
      <c r="Q89" s="267"/>
      <c r="R89" s="267"/>
      <c r="S89" s="267"/>
      <c r="T89" s="267"/>
      <c r="U89" s="267"/>
      <c r="V89" s="267"/>
      <c r="W89" s="267"/>
      <c r="X89" s="267"/>
      <c r="Y89" s="267"/>
      <c r="Z89" s="267"/>
      <c r="AA89" s="267"/>
      <c r="AB89" s="267"/>
      <c r="AC89" s="267"/>
      <c r="AD89" s="267"/>
      <c r="AE89" s="267"/>
      <c r="AF89" s="267"/>
      <c r="AG89" s="267"/>
      <c r="AH89" s="267"/>
      <c r="AI89" s="267"/>
      <c r="AJ89" s="267"/>
      <c r="AK89" s="267"/>
      <c r="AL89" s="267"/>
      <c r="AM89" s="267"/>
      <c r="AN89" s="267"/>
      <c r="AO89" s="267"/>
      <c r="AP89" s="267"/>
      <c r="AQ89" s="267"/>
      <c r="AR89" s="267"/>
      <c r="AS89" s="267"/>
      <c r="AT89" s="267"/>
      <c r="AU89" s="267"/>
      <c r="AV89" s="267"/>
      <c r="AW89" s="267"/>
      <c r="AX89" s="267"/>
      <c r="AY89" s="267"/>
      <c r="AZ89" s="267"/>
      <c r="BA89" s="267"/>
      <c r="BB89" s="267"/>
      <c r="BC89" s="267"/>
      <c r="BD89" s="267"/>
      <c r="BE89" s="267"/>
      <c r="BF89" s="267"/>
      <c r="BG89" s="267"/>
      <c r="BH89" s="267"/>
      <c r="BI89" s="267"/>
      <c r="BJ89" s="267"/>
      <c r="BK89" s="267"/>
      <c r="BL89" s="267"/>
      <c r="BM89" s="267"/>
      <c r="BN89" s="267"/>
      <c r="BO89" s="267"/>
      <c r="BP89" s="267"/>
      <c r="BQ89" s="267"/>
      <c r="BR89" s="267"/>
      <c r="BS89" s="267"/>
      <c r="BT89" s="267"/>
      <c r="BU89" s="267"/>
      <c r="BV89" s="267"/>
      <c r="BW89" s="267"/>
      <c r="BX89" s="267"/>
      <c r="BY89" s="267"/>
      <c r="BZ89" s="267"/>
      <c r="CA89" s="267"/>
      <c r="CB89" s="267"/>
      <c r="CC89" s="267"/>
      <c r="CD89" s="267"/>
      <c r="CE89" s="267"/>
      <c r="CF89" s="267"/>
      <c r="CG89" s="267"/>
      <c r="CH89" s="267"/>
      <c r="CI89" s="267"/>
      <c r="CJ89" s="267"/>
      <c r="CK89" s="267"/>
      <c r="CL89" s="267"/>
      <c r="CM89" s="267"/>
      <c r="CN89" s="267"/>
    </row>
    <row r="90" spans="1:92">
      <c r="A90" s="595"/>
      <c r="B90" s="598"/>
      <c r="C90" s="599"/>
      <c r="D90" s="267"/>
      <c r="E90" s="267"/>
      <c r="F90" s="267"/>
      <c r="G90" s="267"/>
      <c r="H90" s="267"/>
      <c r="I90" s="267"/>
      <c r="J90" s="267"/>
      <c r="K90" s="267"/>
      <c r="L90" s="267"/>
      <c r="M90" s="267"/>
      <c r="N90" s="267"/>
      <c r="O90" s="267"/>
      <c r="P90" s="267"/>
      <c r="Q90" s="267"/>
      <c r="R90" s="267"/>
      <c r="S90" s="267"/>
      <c r="T90" s="267"/>
      <c r="U90" s="267"/>
      <c r="V90" s="267"/>
      <c r="W90" s="267"/>
      <c r="X90" s="267"/>
      <c r="Y90" s="267"/>
      <c r="Z90" s="267"/>
      <c r="AA90" s="267"/>
      <c r="AB90" s="267"/>
      <c r="AC90" s="267"/>
      <c r="AD90" s="267"/>
      <c r="AE90" s="267"/>
      <c r="AF90" s="267"/>
      <c r="AG90" s="267"/>
      <c r="AH90" s="267"/>
      <c r="AI90" s="267"/>
      <c r="AJ90" s="267"/>
      <c r="AK90" s="267"/>
      <c r="AL90" s="267"/>
      <c r="AM90" s="267"/>
      <c r="AN90" s="267"/>
      <c r="AO90" s="267"/>
      <c r="AP90" s="267"/>
      <c r="AQ90" s="267"/>
      <c r="AR90" s="267"/>
      <c r="AS90" s="267"/>
      <c r="AT90" s="267"/>
      <c r="AU90" s="267"/>
      <c r="AV90" s="267"/>
      <c r="AW90" s="267"/>
      <c r="AX90" s="267"/>
      <c r="AY90" s="267"/>
      <c r="AZ90" s="267"/>
      <c r="BA90" s="267"/>
      <c r="BB90" s="267"/>
      <c r="BC90" s="267"/>
      <c r="BD90" s="267"/>
      <c r="BE90" s="267"/>
      <c r="BF90" s="267"/>
      <c r="BG90" s="267"/>
      <c r="BH90" s="267"/>
      <c r="BI90" s="267"/>
      <c r="BJ90" s="267"/>
      <c r="BK90" s="267"/>
      <c r="BL90" s="267"/>
      <c r="BM90" s="267"/>
      <c r="BN90" s="267"/>
      <c r="BO90" s="267"/>
      <c r="BP90" s="267"/>
      <c r="BQ90" s="267"/>
      <c r="BR90" s="267"/>
      <c r="BS90" s="267"/>
      <c r="BT90" s="267"/>
      <c r="BU90" s="267"/>
      <c r="BV90" s="267"/>
      <c r="BW90" s="267"/>
      <c r="BX90" s="267"/>
      <c r="BY90" s="267"/>
      <c r="BZ90" s="267"/>
      <c r="CA90" s="267"/>
      <c r="CB90" s="267"/>
      <c r="CC90" s="267"/>
      <c r="CD90" s="267"/>
      <c r="CE90" s="267"/>
      <c r="CF90" s="267"/>
      <c r="CG90" s="267"/>
      <c r="CH90" s="267"/>
      <c r="CI90" s="267"/>
      <c r="CJ90" s="267"/>
      <c r="CK90" s="267"/>
      <c r="CL90" s="267"/>
      <c r="CM90" s="267"/>
      <c r="CN90" s="267"/>
    </row>
    <row r="91" spans="1:92">
      <c r="A91" s="595"/>
      <c r="B91" s="598"/>
      <c r="C91" s="599"/>
      <c r="D91" s="267"/>
      <c r="E91" s="267"/>
      <c r="F91" s="267"/>
      <c r="G91" s="267"/>
      <c r="H91" s="267"/>
      <c r="I91" s="267"/>
      <c r="J91" s="267"/>
      <c r="K91" s="267"/>
      <c r="L91" s="267"/>
      <c r="M91" s="267"/>
      <c r="N91" s="267"/>
      <c r="O91" s="267"/>
      <c r="P91" s="267"/>
      <c r="Q91" s="267"/>
      <c r="R91" s="267"/>
      <c r="S91" s="267"/>
      <c r="T91" s="267"/>
      <c r="U91" s="267"/>
      <c r="V91" s="267"/>
      <c r="W91" s="267"/>
      <c r="X91" s="267"/>
      <c r="Y91" s="267"/>
      <c r="Z91" s="267"/>
      <c r="AA91" s="267"/>
      <c r="AB91" s="267"/>
      <c r="AC91" s="267"/>
      <c r="AD91" s="267"/>
      <c r="AE91" s="267"/>
      <c r="AF91" s="267"/>
      <c r="AG91" s="267"/>
      <c r="AH91" s="267"/>
      <c r="AI91" s="267"/>
      <c r="AJ91" s="267"/>
      <c r="AK91" s="267"/>
      <c r="AL91" s="267"/>
      <c r="AM91" s="267"/>
      <c r="AN91" s="267"/>
      <c r="AO91" s="267"/>
      <c r="AP91" s="267"/>
      <c r="AQ91" s="267"/>
      <c r="AR91" s="267"/>
      <c r="AS91" s="267"/>
      <c r="AT91" s="267"/>
      <c r="AU91" s="267"/>
      <c r="AV91" s="267"/>
      <c r="AW91" s="267"/>
      <c r="AX91" s="267"/>
      <c r="AY91" s="267"/>
      <c r="AZ91" s="267"/>
      <c r="BA91" s="267"/>
      <c r="BB91" s="267"/>
      <c r="BC91" s="267"/>
      <c r="BD91" s="267"/>
      <c r="BE91" s="267"/>
      <c r="BF91" s="267"/>
      <c r="BG91" s="267"/>
      <c r="BH91" s="267"/>
      <c r="BI91" s="267"/>
      <c r="BJ91" s="267"/>
      <c r="BK91" s="267"/>
      <c r="BL91" s="267"/>
      <c r="BM91" s="267"/>
      <c r="BN91" s="267"/>
      <c r="BO91" s="267"/>
      <c r="BP91" s="267"/>
      <c r="BQ91" s="267"/>
      <c r="BR91" s="267"/>
      <c r="BS91" s="267"/>
      <c r="BT91" s="267"/>
      <c r="BU91" s="267"/>
      <c r="BV91" s="267"/>
      <c r="BW91" s="267"/>
      <c r="BX91" s="267"/>
      <c r="BY91" s="267"/>
      <c r="BZ91" s="267"/>
      <c r="CA91" s="267"/>
      <c r="CB91" s="267"/>
      <c r="CC91" s="267"/>
      <c r="CD91" s="267"/>
      <c r="CE91" s="267"/>
      <c r="CF91" s="267"/>
      <c r="CG91" s="267"/>
      <c r="CH91" s="267"/>
      <c r="CI91" s="267"/>
      <c r="CJ91" s="267"/>
      <c r="CK91" s="267"/>
      <c r="CL91" s="267"/>
      <c r="CM91" s="267"/>
      <c r="CN91" s="267"/>
    </row>
    <row r="92" spans="1:92">
      <c r="A92" s="595"/>
      <c r="B92" s="598"/>
      <c r="C92" s="599"/>
      <c r="D92" s="267"/>
      <c r="E92" s="267"/>
      <c r="F92" s="267"/>
      <c r="G92" s="267"/>
      <c r="H92" s="267"/>
      <c r="I92" s="267"/>
      <c r="J92" s="267"/>
      <c r="K92" s="267"/>
      <c r="L92" s="267"/>
      <c r="M92" s="267"/>
      <c r="N92" s="267"/>
      <c r="O92" s="267"/>
      <c r="P92" s="267"/>
      <c r="Q92" s="267"/>
      <c r="R92" s="267"/>
      <c r="S92" s="267"/>
      <c r="T92" s="267"/>
      <c r="U92" s="267"/>
      <c r="V92" s="267"/>
      <c r="W92" s="267"/>
      <c r="X92" s="267"/>
      <c r="Y92" s="267"/>
      <c r="Z92" s="267"/>
      <c r="AA92" s="267"/>
      <c r="AB92" s="267"/>
      <c r="AC92" s="267"/>
      <c r="AD92" s="267"/>
      <c r="AE92" s="267"/>
      <c r="AF92" s="267"/>
      <c r="AG92" s="267"/>
      <c r="AH92" s="267"/>
      <c r="AI92" s="267"/>
      <c r="AJ92" s="267"/>
      <c r="AK92" s="267"/>
      <c r="AL92" s="267"/>
      <c r="AM92" s="267"/>
      <c r="AN92" s="267"/>
      <c r="AO92" s="267"/>
      <c r="AP92" s="267"/>
      <c r="AQ92" s="267"/>
      <c r="AR92" s="267"/>
      <c r="AS92" s="267"/>
      <c r="AT92" s="267"/>
      <c r="AU92" s="267"/>
      <c r="AV92" s="267"/>
      <c r="AW92" s="267"/>
      <c r="AX92" s="267"/>
      <c r="AY92" s="267"/>
      <c r="AZ92" s="267"/>
      <c r="BA92" s="267"/>
      <c r="BB92" s="267"/>
      <c r="BC92" s="267"/>
      <c r="BD92" s="267"/>
      <c r="BE92" s="267"/>
      <c r="BF92" s="267"/>
      <c r="BG92" s="267"/>
      <c r="BH92" s="267"/>
      <c r="BI92" s="267"/>
      <c r="BJ92" s="267"/>
      <c r="BK92" s="267"/>
      <c r="BL92" s="267"/>
      <c r="BM92" s="267"/>
      <c r="BN92" s="267"/>
      <c r="BO92" s="267"/>
      <c r="BP92" s="267"/>
      <c r="BQ92" s="267"/>
      <c r="BR92" s="267"/>
      <c r="BS92" s="267"/>
      <c r="BT92" s="267"/>
      <c r="BU92" s="267"/>
      <c r="BV92" s="267"/>
      <c r="BW92" s="267"/>
      <c r="BX92" s="267"/>
      <c r="BY92" s="267"/>
      <c r="BZ92" s="267"/>
      <c r="CA92" s="267"/>
      <c r="CB92" s="267"/>
      <c r="CC92" s="267"/>
      <c r="CD92" s="267"/>
      <c r="CE92" s="267"/>
      <c r="CF92" s="267"/>
      <c r="CG92" s="267"/>
      <c r="CH92" s="267"/>
      <c r="CI92" s="267"/>
      <c r="CJ92" s="267"/>
      <c r="CK92" s="267"/>
      <c r="CL92" s="267"/>
      <c r="CM92" s="267"/>
      <c r="CN92" s="267"/>
    </row>
    <row r="93" spans="1:92">
      <c r="A93" s="595"/>
      <c r="B93" s="598"/>
      <c r="C93" s="599"/>
      <c r="D93" s="267"/>
      <c r="E93" s="267"/>
      <c r="F93" s="267"/>
      <c r="G93" s="267"/>
      <c r="H93" s="267"/>
      <c r="I93" s="267"/>
      <c r="J93" s="267"/>
      <c r="K93" s="267"/>
      <c r="L93" s="267"/>
      <c r="M93" s="267"/>
      <c r="N93" s="267"/>
      <c r="O93" s="267"/>
      <c r="P93" s="267"/>
      <c r="Q93" s="267"/>
      <c r="R93" s="267"/>
      <c r="S93" s="267"/>
      <c r="T93" s="267"/>
      <c r="U93" s="267"/>
      <c r="V93" s="267"/>
      <c r="W93" s="267"/>
      <c r="X93" s="267"/>
      <c r="Y93" s="267"/>
      <c r="Z93" s="267"/>
      <c r="AA93" s="267"/>
      <c r="AB93" s="267"/>
      <c r="AC93" s="267"/>
      <c r="AD93" s="267"/>
      <c r="AE93" s="267"/>
      <c r="AF93" s="267"/>
      <c r="AG93" s="267"/>
      <c r="AH93" s="267"/>
      <c r="AI93" s="267"/>
      <c r="AJ93" s="267"/>
      <c r="AK93" s="267"/>
      <c r="AL93" s="267"/>
      <c r="AM93" s="267"/>
      <c r="AN93" s="267"/>
      <c r="AO93" s="267"/>
      <c r="AP93" s="267"/>
      <c r="AQ93" s="267"/>
      <c r="AR93" s="267"/>
      <c r="AS93" s="267"/>
      <c r="AT93" s="267"/>
      <c r="AU93" s="267"/>
      <c r="AV93" s="267"/>
      <c r="AW93" s="267"/>
      <c r="AX93" s="267"/>
      <c r="AY93" s="267"/>
      <c r="AZ93" s="267"/>
      <c r="BA93" s="267"/>
      <c r="BB93" s="267"/>
      <c r="BC93" s="267"/>
      <c r="BD93" s="267"/>
      <c r="BE93" s="267"/>
      <c r="BF93" s="267"/>
      <c r="BG93" s="267"/>
      <c r="BH93" s="267"/>
      <c r="BI93" s="267"/>
      <c r="BJ93" s="267"/>
      <c r="BK93" s="267"/>
      <c r="BL93" s="267"/>
      <c r="BM93" s="267"/>
      <c r="BN93" s="267"/>
      <c r="BO93" s="267"/>
      <c r="BP93" s="267"/>
      <c r="BQ93" s="267"/>
      <c r="BR93" s="267"/>
      <c r="BS93" s="267"/>
      <c r="BT93" s="267"/>
      <c r="BU93" s="267"/>
      <c r="BV93" s="267"/>
      <c r="BW93" s="267"/>
      <c r="BX93" s="267"/>
      <c r="BY93" s="267"/>
      <c r="BZ93" s="267"/>
      <c r="CA93" s="267"/>
      <c r="CB93" s="267"/>
      <c r="CC93" s="267"/>
      <c r="CD93" s="267"/>
      <c r="CE93" s="267"/>
      <c r="CF93" s="267"/>
      <c r="CG93" s="267"/>
      <c r="CH93" s="267"/>
      <c r="CI93" s="267"/>
      <c r="CJ93" s="267"/>
      <c r="CK93" s="267"/>
      <c r="CL93" s="267"/>
      <c r="CM93" s="267"/>
      <c r="CN93" s="267"/>
    </row>
    <row r="94" spans="1:92">
      <c r="A94" s="595"/>
      <c r="B94" s="598"/>
      <c r="C94" s="599"/>
      <c r="D94" s="267"/>
      <c r="E94" s="267"/>
      <c r="F94" s="267"/>
      <c r="G94" s="267"/>
      <c r="H94" s="267"/>
      <c r="I94" s="267"/>
      <c r="J94" s="267"/>
      <c r="K94" s="267"/>
      <c r="L94" s="267"/>
      <c r="M94" s="267"/>
      <c r="N94" s="267"/>
      <c r="O94" s="267"/>
      <c r="P94" s="267"/>
      <c r="Q94" s="267"/>
      <c r="R94" s="267"/>
      <c r="S94" s="267"/>
      <c r="T94" s="267"/>
      <c r="U94" s="267"/>
      <c r="V94" s="267"/>
      <c r="W94" s="267"/>
      <c r="X94" s="267"/>
      <c r="Y94" s="267"/>
      <c r="Z94" s="267"/>
      <c r="AA94" s="267"/>
      <c r="AB94" s="267"/>
      <c r="AC94" s="267"/>
      <c r="AD94" s="267"/>
      <c r="AE94" s="267"/>
      <c r="AF94" s="267"/>
      <c r="AG94" s="267"/>
      <c r="AH94" s="267"/>
      <c r="AI94" s="267"/>
      <c r="AJ94" s="267"/>
      <c r="AK94" s="267"/>
      <c r="AL94" s="267"/>
      <c r="AM94" s="267"/>
      <c r="AN94" s="267"/>
      <c r="AO94" s="267"/>
      <c r="AP94" s="267"/>
      <c r="AQ94" s="267"/>
      <c r="AR94" s="267"/>
      <c r="AS94" s="267"/>
      <c r="AT94" s="267"/>
      <c r="AU94" s="267"/>
      <c r="AV94" s="267"/>
      <c r="AW94" s="267"/>
      <c r="AX94" s="267"/>
      <c r="AY94" s="267"/>
      <c r="AZ94" s="267"/>
      <c r="BA94" s="267"/>
      <c r="BB94" s="267"/>
      <c r="BC94" s="267"/>
      <c r="BD94" s="267"/>
      <c r="BE94" s="267"/>
      <c r="BF94" s="267"/>
      <c r="BG94" s="267"/>
      <c r="BH94" s="267"/>
      <c r="BI94" s="267"/>
      <c r="BJ94" s="267"/>
      <c r="BK94" s="267"/>
      <c r="BL94" s="267"/>
      <c r="BM94" s="267"/>
      <c r="BN94" s="267"/>
      <c r="BO94" s="267"/>
      <c r="BP94" s="267"/>
      <c r="BQ94" s="267"/>
      <c r="BR94" s="267"/>
      <c r="BS94" s="267"/>
      <c r="BT94" s="267"/>
      <c r="BU94" s="267"/>
      <c r="BV94" s="267"/>
      <c r="BW94" s="267"/>
      <c r="BX94" s="267"/>
      <c r="BY94" s="267"/>
      <c r="BZ94" s="267"/>
      <c r="CA94" s="267"/>
      <c r="CB94" s="267"/>
      <c r="CC94" s="267"/>
      <c r="CD94" s="267"/>
      <c r="CE94" s="267"/>
      <c r="CF94" s="267"/>
      <c r="CG94" s="267"/>
      <c r="CH94" s="267"/>
      <c r="CI94" s="267"/>
      <c r="CJ94" s="267"/>
      <c r="CK94" s="267"/>
      <c r="CL94" s="267"/>
      <c r="CM94" s="267"/>
      <c r="CN94" s="267"/>
    </row>
    <row r="95" spans="1:92">
      <c r="A95" s="595"/>
      <c r="B95" s="598"/>
      <c r="C95" s="599"/>
      <c r="D95" s="267"/>
      <c r="E95" s="267"/>
      <c r="F95" s="267"/>
      <c r="G95" s="267"/>
      <c r="H95" s="267"/>
      <c r="I95" s="267"/>
      <c r="J95" s="267"/>
      <c r="K95" s="267"/>
      <c r="L95" s="267"/>
      <c r="M95" s="267"/>
      <c r="N95" s="267"/>
      <c r="O95" s="267"/>
      <c r="P95" s="267"/>
      <c r="Q95" s="267"/>
      <c r="R95" s="267"/>
      <c r="S95" s="267"/>
      <c r="T95" s="267"/>
      <c r="U95" s="267"/>
      <c r="V95" s="267"/>
      <c r="W95" s="267"/>
      <c r="X95" s="267"/>
      <c r="Y95" s="267"/>
      <c r="Z95" s="267"/>
      <c r="AA95" s="267"/>
      <c r="AB95" s="267"/>
      <c r="AC95" s="267"/>
      <c r="AD95" s="267"/>
      <c r="AE95" s="267"/>
      <c r="AF95" s="267"/>
      <c r="AG95" s="267"/>
      <c r="AH95" s="267"/>
      <c r="AI95" s="267"/>
      <c r="AJ95" s="267"/>
      <c r="AK95" s="267"/>
      <c r="AL95" s="267"/>
      <c r="AM95" s="267"/>
      <c r="AN95" s="267"/>
      <c r="AO95" s="267"/>
      <c r="AP95" s="267"/>
      <c r="AQ95" s="267"/>
      <c r="AR95" s="267"/>
      <c r="AS95" s="267"/>
      <c r="AT95" s="267"/>
      <c r="AU95" s="267"/>
      <c r="AV95" s="267"/>
      <c r="AW95" s="267"/>
      <c r="AX95" s="267"/>
      <c r="AY95" s="267"/>
      <c r="AZ95" s="267"/>
      <c r="BA95" s="267"/>
      <c r="BB95" s="267"/>
      <c r="BC95" s="267"/>
      <c r="BD95" s="267"/>
      <c r="BE95" s="267"/>
      <c r="BF95" s="267"/>
      <c r="BG95" s="267"/>
      <c r="BH95" s="267"/>
      <c r="BI95" s="267"/>
      <c r="BJ95" s="267"/>
      <c r="BK95" s="267"/>
      <c r="BL95" s="267"/>
      <c r="BM95" s="267"/>
      <c r="BN95" s="267"/>
      <c r="BO95" s="267"/>
      <c r="BP95" s="267"/>
      <c r="BQ95" s="267"/>
      <c r="BR95" s="267"/>
      <c r="BS95" s="267"/>
      <c r="BT95" s="267"/>
      <c r="BU95" s="267"/>
      <c r="BV95" s="267"/>
      <c r="BW95" s="267"/>
      <c r="BX95" s="267"/>
      <c r="BY95" s="267"/>
      <c r="BZ95" s="267"/>
      <c r="CA95" s="267"/>
      <c r="CB95" s="267"/>
      <c r="CC95" s="267"/>
      <c r="CD95" s="267"/>
      <c r="CE95" s="267"/>
      <c r="CF95" s="267"/>
      <c r="CG95" s="267"/>
      <c r="CH95" s="267"/>
      <c r="CI95" s="267"/>
      <c r="CJ95" s="267"/>
      <c r="CK95" s="267"/>
      <c r="CL95" s="267"/>
      <c r="CM95" s="267"/>
      <c r="CN95" s="267"/>
    </row>
    <row r="96" spans="1:92">
      <c r="A96" s="595"/>
      <c r="B96" s="598"/>
      <c r="C96" s="599"/>
      <c r="D96" s="267"/>
      <c r="E96" s="267"/>
      <c r="F96" s="267"/>
      <c r="G96" s="267"/>
      <c r="H96" s="267"/>
      <c r="I96" s="267"/>
      <c r="J96" s="267"/>
      <c r="K96" s="267"/>
      <c r="L96" s="267"/>
      <c r="M96" s="267"/>
      <c r="N96" s="267"/>
      <c r="O96" s="267"/>
      <c r="P96" s="267"/>
      <c r="Q96" s="267"/>
      <c r="R96" s="267"/>
      <c r="S96" s="267"/>
      <c r="T96" s="267"/>
      <c r="U96" s="267"/>
      <c r="V96" s="267"/>
      <c r="W96" s="267"/>
      <c r="X96" s="267"/>
      <c r="Y96" s="267"/>
      <c r="Z96" s="267"/>
      <c r="AA96" s="267"/>
      <c r="AB96" s="267"/>
      <c r="AC96" s="267"/>
      <c r="AD96" s="267"/>
      <c r="AE96" s="267"/>
      <c r="AF96" s="267"/>
      <c r="AG96" s="267"/>
      <c r="AH96" s="267"/>
      <c r="AI96" s="267"/>
      <c r="AJ96" s="267"/>
      <c r="AK96" s="267"/>
      <c r="AL96" s="267"/>
      <c r="AM96" s="267"/>
      <c r="AN96" s="267"/>
      <c r="AO96" s="267"/>
      <c r="AP96" s="267"/>
      <c r="AQ96" s="267"/>
      <c r="AR96" s="267"/>
      <c r="AS96" s="267"/>
      <c r="AT96" s="267"/>
      <c r="AU96" s="267"/>
      <c r="AV96" s="267"/>
      <c r="AW96" s="267"/>
      <c r="AX96" s="267"/>
      <c r="AY96" s="267"/>
      <c r="AZ96" s="267"/>
      <c r="BA96" s="267"/>
      <c r="BB96" s="267"/>
      <c r="BC96" s="267"/>
      <c r="BD96" s="267"/>
      <c r="BE96" s="267"/>
      <c r="BF96" s="267"/>
      <c r="BG96" s="267"/>
      <c r="BH96" s="267"/>
      <c r="BI96" s="267"/>
      <c r="BJ96" s="267"/>
      <c r="BK96" s="267"/>
      <c r="BL96" s="267"/>
      <c r="BM96" s="267"/>
      <c r="BN96" s="267"/>
      <c r="BO96" s="267"/>
      <c r="BP96" s="267"/>
      <c r="BQ96" s="267"/>
      <c r="BR96" s="267"/>
      <c r="BS96" s="267"/>
      <c r="BT96" s="267"/>
      <c r="BU96" s="267"/>
      <c r="BV96" s="267"/>
      <c r="BW96" s="267"/>
      <c r="BX96" s="267"/>
      <c r="BY96" s="267"/>
      <c r="BZ96" s="267"/>
      <c r="CA96" s="267"/>
      <c r="CB96" s="267"/>
      <c r="CC96" s="267"/>
      <c r="CD96" s="267"/>
      <c r="CE96" s="267"/>
      <c r="CF96" s="267"/>
      <c r="CG96" s="267"/>
      <c r="CH96" s="267"/>
      <c r="CI96" s="267"/>
      <c r="CJ96" s="267"/>
      <c r="CK96" s="267"/>
      <c r="CL96" s="267"/>
      <c r="CM96" s="267"/>
      <c r="CN96" s="267"/>
    </row>
    <row r="97" spans="1:92">
      <c r="A97" s="595"/>
      <c r="B97" s="598"/>
      <c r="C97" s="599"/>
      <c r="D97" s="267"/>
      <c r="E97" s="267"/>
      <c r="F97" s="267"/>
      <c r="G97" s="267"/>
      <c r="H97" s="267"/>
      <c r="I97" s="267"/>
      <c r="J97" s="267"/>
      <c r="K97" s="267"/>
      <c r="L97" s="267"/>
      <c r="M97" s="267"/>
      <c r="N97" s="267"/>
      <c r="O97" s="267"/>
      <c r="P97" s="267"/>
      <c r="Q97" s="267"/>
      <c r="R97" s="267"/>
      <c r="S97" s="267"/>
      <c r="T97" s="267"/>
      <c r="U97" s="267"/>
      <c r="V97" s="267"/>
      <c r="W97" s="267"/>
      <c r="X97" s="267"/>
      <c r="Y97" s="267"/>
      <c r="Z97" s="267"/>
      <c r="AA97" s="267"/>
      <c r="AB97" s="267"/>
      <c r="AC97" s="267"/>
      <c r="AD97" s="267"/>
      <c r="AE97" s="267"/>
      <c r="AF97" s="267"/>
      <c r="AG97" s="267"/>
      <c r="AH97" s="267"/>
      <c r="AI97" s="267"/>
      <c r="AJ97" s="267"/>
      <c r="AK97" s="267"/>
      <c r="AL97" s="267"/>
      <c r="AM97" s="267"/>
      <c r="AN97" s="267"/>
      <c r="AO97" s="267"/>
      <c r="AP97" s="267"/>
      <c r="AQ97" s="267"/>
      <c r="AR97" s="267"/>
      <c r="AS97" s="267"/>
      <c r="AT97" s="267"/>
      <c r="AU97" s="267"/>
      <c r="AV97" s="267"/>
      <c r="AW97" s="267"/>
      <c r="AX97" s="267"/>
      <c r="AY97" s="267"/>
      <c r="AZ97" s="267"/>
      <c r="BA97" s="267"/>
      <c r="BB97" s="267"/>
      <c r="BC97" s="267"/>
      <c r="BD97" s="267"/>
      <c r="BE97" s="267"/>
      <c r="BF97" s="267"/>
      <c r="BG97" s="267"/>
      <c r="BH97" s="267"/>
      <c r="BI97" s="267"/>
      <c r="BJ97" s="267"/>
      <c r="BK97" s="267"/>
      <c r="BL97" s="267"/>
      <c r="BM97" s="267"/>
      <c r="BN97" s="267"/>
      <c r="BO97" s="267"/>
      <c r="BP97" s="267"/>
      <c r="BQ97" s="267"/>
      <c r="BR97" s="267"/>
      <c r="BS97" s="267"/>
      <c r="BT97" s="267"/>
      <c r="BU97" s="267"/>
      <c r="BV97" s="267"/>
      <c r="BW97" s="267"/>
      <c r="BX97" s="267"/>
      <c r="BY97" s="267"/>
      <c r="BZ97" s="267"/>
      <c r="CA97" s="267"/>
      <c r="CB97" s="267"/>
      <c r="CC97" s="267"/>
      <c r="CD97" s="267"/>
      <c r="CE97" s="267"/>
      <c r="CF97" s="267"/>
      <c r="CG97" s="267"/>
      <c r="CH97" s="267"/>
      <c r="CI97" s="267"/>
      <c r="CJ97" s="267"/>
      <c r="CK97" s="267"/>
      <c r="CL97" s="267"/>
      <c r="CM97" s="267"/>
      <c r="CN97" s="267"/>
    </row>
    <row r="98" spans="1:92">
      <c r="A98" s="595"/>
      <c r="B98" s="598"/>
      <c r="C98" s="599"/>
      <c r="D98" s="267"/>
      <c r="E98" s="267"/>
      <c r="F98" s="267"/>
      <c r="G98" s="267"/>
      <c r="H98" s="267"/>
      <c r="I98" s="267"/>
      <c r="J98" s="267"/>
      <c r="K98" s="267"/>
      <c r="L98" s="267"/>
      <c r="M98" s="267"/>
      <c r="N98" s="267"/>
      <c r="O98" s="267"/>
      <c r="P98" s="267"/>
      <c r="Q98" s="267"/>
      <c r="R98" s="267"/>
      <c r="S98" s="267"/>
      <c r="T98" s="267"/>
      <c r="U98" s="267"/>
      <c r="V98" s="267"/>
      <c r="W98" s="267"/>
      <c r="X98" s="267"/>
      <c r="Y98" s="267"/>
      <c r="Z98" s="267"/>
      <c r="AA98" s="267"/>
      <c r="AB98" s="267"/>
      <c r="AC98" s="267"/>
      <c r="AD98" s="267"/>
      <c r="AE98" s="267"/>
      <c r="AF98" s="267"/>
      <c r="AG98" s="267"/>
      <c r="AH98" s="267"/>
      <c r="AI98" s="267"/>
      <c r="AJ98" s="267"/>
      <c r="AK98" s="267"/>
      <c r="AL98" s="267"/>
      <c r="AM98" s="267"/>
      <c r="AN98" s="267"/>
      <c r="AO98" s="267"/>
      <c r="AP98" s="267"/>
      <c r="AQ98" s="267"/>
      <c r="AR98" s="267"/>
      <c r="AS98" s="267"/>
      <c r="AT98" s="267"/>
      <c r="AU98" s="267"/>
      <c r="AV98" s="267"/>
      <c r="AW98" s="267"/>
      <c r="AX98" s="267"/>
      <c r="AY98" s="267"/>
      <c r="AZ98" s="267"/>
      <c r="BA98" s="267"/>
      <c r="BB98" s="267"/>
      <c r="BC98" s="267"/>
      <c r="BD98" s="267"/>
      <c r="BE98" s="267"/>
      <c r="BF98" s="267"/>
      <c r="BG98" s="267"/>
      <c r="BH98" s="267"/>
      <c r="BI98" s="267"/>
      <c r="BJ98" s="267"/>
      <c r="BK98" s="267"/>
      <c r="BL98" s="267"/>
      <c r="BM98" s="267"/>
      <c r="BN98" s="267"/>
      <c r="BO98" s="267"/>
      <c r="BP98" s="267"/>
      <c r="BQ98" s="267"/>
      <c r="BR98" s="267"/>
      <c r="BS98" s="267"/>
      <c r="BT98" s="267"/>
      <c r="BU98" s="267"/>
      <c r="BV98" s="267"/>
      <c r="BW98" s="267"/>
      <c r="BX98" s="267"/>
      <c r="BY98" s="267"/>
      <c r="BZ98" s="267"/>
      <c r="CA98" s="267"/>
      <c r="CB98" s="267"/>
      <c r="CC98" s="267"/>
      <c r="CD98" s="267"/>
      <c r="CE98" s="267"/>
      <c r="CF98" s="267"/>
      <c r="CG98" s="267"/>
      <c r="CH98" s="267"/>
      <c r="CI98" s="267"/>
      <c r="CJ98" s="267"/>
      <c r="CK98" s="267"/>
      <c r="CL98" s="267"/>
      <c r="CM98" s="267"/>
      <c r="CN98" s="267"/>
    </row>
    <row r="99" spans="1:92">
      <c r="A99" s="595"/>
      <c r="B99" s="598"/>
      <c r="C99" s="599"/>
      <c r="D99" s="267"/>
      <c r="E99" s="267"/>
      <c r="F99" s="267"/>
      <c r="G99" s="267"/>
      <c r="H99" s="267"/>
      <c r="I99" s="267"/>
      <c r="J99" s="267"/>
      <c r="K99" s="267"/>
      <c r="L99" s="267"/>
      <c r="M99" s="267"/>
      <c r="N99" s="267"/>
      <c r="O99" s="267"/>
      <c r="P99" s="267"/>
      <c r="Q99" s="267"/>
      <c r="R99" s="267"/>
      <c r="S99" s="267"/>
      <c r="T99" s="267"/>
      <c r="U99" s="267"/>
      <c r="V99" s="267"/>
      <c r="W99" s="267"/>
      <c r="X99" s="267"/>
      <c r="Y99" s="267"/>
      <c r="Z99" s="267"/>
      <c r="AA99" s="267"/>
      <c r="AB99" s="267"/>
      <c r="AC99" s="267"/>
      <c r="AD99" s="267"/>
      <c r="AE99" s="267"/>
      <c r="AF99" s="267"/>
      <c r="AG99" s="267"/>
      <c r="AH99" s="267"/>
      <c r="AI99" s="267"/>
      <c r="AJ99" s="267"/>
      <c r="AK99" s="267"/>
      <c r="AL99" s="267"/>
      <c r="AM99" s="267"/>
      <c r="AN99" s="267"/>
      <c r="AO99" s="267"/>
      <c r="AP99" s="267"/>
      <c r="AQ99" s="267"/>
      <c r="AR99" s="267"/>
      <c r="AS99" s="267"/>
      <c r="AT99" s="267"/>
      <c r="AU99" s="267"/>
      <c r="AV99" s="267"/>
      <c r="AW99" s="267"/>
      <c r="AX99" s="267"/>
      <c r="AY99" s="267"/>
      <c r="AZ99" s="267"/>
      <c r="BA99" s="267"/>
      <c r="BB99" s="267"/>
      <c r="BC99" s="267"/>
      <c r="BD99" s="267"/>
      <c r="BE99" s="267"/>
      <c r="BF99" s="267"/>
      <c r="BG99" s="267"/>
      <c r="BH99" s="267"/>
      <c r="BI99" s="267"/>
      <c r="BJ99" s="267"/>
      <c r="BK99" s="267"/>
      <c r="BL99" s="267"/>
      <c r="BM99" s="267"/>
      <c r="BN99" s="267"/>
      <c r="BO99" s="267"/>
      <c r="BP99" s="267"/>
      <c r="BQ99" s="267"/>
      <c r="BR99" s="267"/>
      <c r="BS99" s="267"/>
      <c r="BT99" s="267"/>
      <c r="BU99" s="267"/>
      <c r="BV99" s="267"/>
      <c r="BW99" s="267"/>
      <c r="BX99" s="267"/>
      <c r="BY99" s="267"/>
      <c r="BZ99" s="267"/>
      <c r="CA99" s="267"/>
      <c r="CB99" s="267"/>
      <c r="CC99" s="267"/>
      <c r="CD99" s="267"/>
      <c r="CE99" s="267"/>
      <c r="CF99" s="267"/>
      <c r="CG99" s="267"/>
      <c r="CH99" s="267"/>
      <c r="CI99" s="267"/>
      <c r="CJ99" s="267"/>
      <c r="CK99" s="267"/>
      <c r="CL99" s="267"/>
      <c r="CM99" s="267"/>
      <c r="CN99" s="267"/>
    </row>
    <row r="100" spans="1:92">
      <c r="A100" s="595"/>
      <c r="B100" s="242"/>
      <c r="C100" s="599"/>
      <c r="D100" s="267"/>
      <c r="E100" s="267"/>
      <c r="F100" s="267"/>
      <c r="G100" s="267"/>
      <c r="H100" s="267"/>
      <c r="I100" s="267"/>
      <c r="J100" s="267"/>
      <c r="K100" s="267"/>
      <c r="L100" s="267"/>
      <c r="M100" s="267"/>
      <c r="N100" s="267"/>
      <c r="O100" s="267"/>
      <c r="P100" s="267"/>
      <c r="Q100" s="267"/>
      <c r="R100" s="267"/>
      <c r="S100" s="267"/>
      <c r="T100" s="267"/>
      <c r="U100" s="267"/>
      <c r="V100" s="267"/>
      <c r="W100" s="267"/>
      <c r="X100" s="267"/>
      <c r="Y100" s="267"/>
      <c r="Z100" s="267"/>
      <c r="AA100" s="267"/>
      <c r="AB100" s="267"/>
      <c r="AC100" s="267"/>
      <c r="AD100" s="267"/>
      <c r="AE100" s="267"/>
      <c r="AF100" s="267"/>
      <c r="AG100" s="267"/>
      <c r="AH100" s="267"/>
      <c r="AI100" s="267"/>
      <c r="AJ100" s="267"/>
      <c r="AK100" s="267"/>
      <c r="AL100" s="267"/>
      <c r="AM100" s="267"/>
      <c r="AN100" s="267"/>
      <c r="AO100" s="267"/>
      <c r="AP100" s="267"/>
      <c r="AQ100" s="267"/>
      <c r="AR100" s="267"/>
      <c r="AS100" s="267"/>
      <c r="AT100" s="267"/>
      <c r="AU100" s="267"/>
      <c r="AV100" s="267"/>
      <c r="AW100" s="267"/>
      <c r="AX100" s="267"/>
      <c r="AY100" s="267"/>
      <c r="AZ100" s="267"/>
      <c r="BA100" s="267"/>
      <c r="BB100" s="267"/>
      <c r="BC100" s="267"/>
      <c r="BD100" s="267"/>
      <c r="BE100" s="267"/>
      <c r="BF100" s="267"/>
      <c r="BG100" s="267"/>
      <c r="BH100" s="267"/>
      <c r="BI100" s="267"/>
      <c r="BJ100" s="267"/>
      <c r="BK100" s="267"/>
      <c r="BL100" s="267"/>
      <c r="BM100" s="267"/>
      <c r="BN100" s="267"/>
      <c r="BO100" s="267"/>
      <c r="BP100" s="267"/>
      <c r="BQ100" s="267"/>
      <c r="BR100" s="267"/>
      <c r="BS100" s="267"/>
      <c r="BT100" s="267"/>
      <c r="BU100" s="267"/>
      <c r="BV100" s="267"/>
      <c r="BW100" s="267"/>
      <c r="BX100" s="267"/>
      <c r="BY100" s="267"/>
      <c r="BZ100" s="267"/>
      <c r="CA100" s="267"/>
      <c r="CB100" s="267"/>
      <c r="CC100" s="267"/>
      <c r="CD100" s="267"/>
      <c r="CE100" s="267"/>
      <c r="CF100" s="267"/>
      <c r="CG100" s="267"/>
      <c r="CH100" s="267"/>
      <c r="CI100" s="267"/>
      <c r="CJ100" s="267"/>
      <c r="CK100" s="267"/>
      <c r="CL100" s="267"/>
      <c r="CM100" s="267"/>
      <c r="CN100" s="267"/>
    </row>
    <row r="101" spans="1:92">
      <c r="A101" s="595"/>
      <c r="B101" s="242"/>
      <c r="C101" s="599"/>
      <c r="D101" s="267"/>
      <c r="E101" s="267"/>
      <c r="F101" s="267"/>
      <c r="G101" s="267"/>
      <c r="H101" s="267"/>
      <c r="I101" s="267"/>
      <c r="J101" s="267"/>
      <c r="K101" s="267"/>
      <c r="L101" s="267"/>
      <c r="M101" s="267"/>
      <c r="N101" s="267"/>
      <c r="O101" s="267"/>
      <c r="P101" s="267"/>
      <c r="Q101" s="267"/>
      <c r="R101" s="267"/>
      <c r="S101" s="267"/>
      <c r="T101" s="267"/>
      <c r="U101" s="267"/>
      <c r="V101" s="267"/>
      <c r="W101" s="267"/>
      <c r="X101" s="267"/>
      <c r="Y101" s="267"/>
      <c r="Z101" s="267"/>
      <c r="AA101" s="267"/>
      <c r="AB101" s="267"/>
      <c r="AC101" s="267"/>
      <c r="AD101" s="267"/>
      <c r="AE101" s="267"/>
      <c r="AF101" s="267"/>
      <c r="AG101" s="267"/>
      <c r="AH101" s="267"/>
      <c r="AI101" s="267"/>
      <c r="AJ101" s="267"/>
      <c r="AK101" s="267"/>
      <c r="AL101" s="267"/>
      <c r="AM101" s="267"/>
      <c r="AN101" s="267"/>
      <c r="AO101" s="267"/>
      <c r="AP101" s="267"/>
      <c r="AQ101" s="267"/>
      <c r="AR101" s="267"/>
      <c r="AS101" s="267"/>
      <c r="AT101" s="267"/>
      <c r="AU101" s="267"/>
      <c r="AV101" s="267"/>
      <c r="AW101" s="267"/>
      <c r="AX101" s="267"/>
      <c r="AY101" s="267"/>
      <c r="AZ101" s="267"/>
      <c r="BA101" s="267"/>
      <c r="BB101" s="267"/>
      <c r="BC101" s="267"/>
      <c r="BD101" s="267"/>
      <c r="BE101" s="267"/>
      <c r="BF101" s="267"/>
      <c r="BG101" s="267"/>
      <c r="BH101" s="267"/>
      <c r="BI101" s="267"/>
      <c r="BJ101" s="267"/>
      <c r="BK101" s="267"/>
      <c r="BL101" s="267"/>
      <c r="BM101" s="267"/>
      <c r="BN101" s="267"/>
      <c r="BO101" s="267"/>
      <c r="BP101" s="267"/>
      <c r="BQ101" s="267"/>
      <c r="BR101" s="267"/>
      <c r="BS101" s="267"/>
      <c r="BT101" s="267"/>
      <c r="BU101" s="267"/>
      <c r="BV101" s="267"/>
      <c r="BW101" s="267"/>
      <c r="BX101" s="267"/>
      <c r="BY101" s="267"/>
      <c r="BZ101" s="267"/>
      <c r="CA101" s="267"/>
      <c r="CB101" s="267"/>
      <c r="CC101" s="267"/>
      <c r="CD101" s="267"/>
      <c r="CE101" s="267"/>
      <c r="CF101" s="267"/>
      <c r="CG101" s="267"/>
      <c r="CH101" s="267"/>
      <c r="CI101" s="267"/>
      <c r="CJ101" s="267"/>
      <c r="CK101" s="267"/>
      <c r="CL101" s="267"/>
      <c r="CM101" s="267"/>
      <c r="CN101" s="267"/>
    </row>
    <row r="102" spans="1:92">
      <c r="A102" s="595"/>
      <c r="B102" s="242"/>
      <c r="C102" s="599"/>
      <c r="D102" s="267"/>
      <c r="E102" s="267"/>
      <c r="F102" s="267"/>
      <c r="G102" s="267"/>
      <c r="H102" s="267"/>
      <c r="I102" s="267"/>
      <c r="J102" s="267"/>
      <c r="K102" s="267"/>
      <c r="L102" s="267"/>
      <c r="M102" s="267"/>
      <c r="N102" s="267"/>
      <c r="O102" s="267"/>
      <c r="P102" s="267"/>
      <c r="Q102" s="267"/>
      <c r="R102" s="267"/>
      <c r="S102" s="267"/>
      <c r="T102" s="267"/>
      <c r="U102" s="267"/>
      <c r="V102" s="267"/>
      <c r="W102" s="267"/>
      <c r="X102" s="267"/>
      <c r="Y102" s="267"/>
      <c r="Z102" s="267"/>
      <c r="AA102" s="267"/>
      <c r="AB102" s="267"/>
      <c r="AC102" s="267"/>
      <c r="AD102" s="267"/>
      <c r="AE102" s="267"/>
      <c r="AF102" s="267"/>
      <c r="AG102" s="267"/>
      <c r="AH102" s="267"/>
      <c r="AI102" s="267"/>
      <c r="AJ102" s="267"/>
      <c r="AK102" s="267"/>
      <c r="AL102" s="267"/>
      <c r="AM102" s="267"/>
      <c r="AN102" s="267"/>
      <c r="AO102" s="267"/>
      <c r="AP102" s="267"/>
      <c r="AQ102" s="267"/>
      <c r="AR102" s="267"/>
      <c r="AS102" s="267"/>
      <c r="AT102" s="267"/>
      <c r="AU102" s="267"/>
      <c r="AV102" s="267"/>
      <c r="AW102" s="267"/>
      <c r="AX102" s="267"/>
      <c r="AY102" s="267"/>
      <c r="AZ102" s="267"/>
      <c r="BA102" s="267"/>
      <c r="BB102" s="267"/>
      <c r="BC102" s="267"/>
      <c r="BD102" s="267"/>
      <c r="BE102" s="267"/>
      <c r="BF102" s="267"/>
      <c r="BG102" s="267"/>
      <c r="BH102" s="267"/>
      <c r="BI102" s="267"/>
      <c r="BJ102" s="267"/>
      <c r="BK102" s="267"/>
      <c r="BL102" s="267"/>
      <c r="BM102" s="267"/>
      <c r="BN102" s="267"/>
      <c r="BO102" s="267"/>
      <c r="BP102" s="267"/>
      <c r="BQ102" s="267"/>
      <c r="BR102" s="267"/>
      <c r="BS102" s="267"/>
      <c r="BT102" s="267"/>
      <c r="BU102" s="267"/>
      <c r="BV102" s="267"/>
      <c r="BW102" s="267"/>
      <c r="BX102" s="267"/>
      <c r="BY102" s="267"/>
      <c r="BZ102" s="267"/>
      <c r="CA102" s="267"/>
      <c r="CB102" s="267"/>
      <c r="CC102" s="267"/>
      <c r="CD102" s="267"/>
      <c r="CE102" s="267"/>
      <c r="CF102" s="267"/>
      <c r="CG102" s="267"/>
      <c r="CH102" s="267"/>
      <c r="CI102" s="267"/>
      <c r="CJ102" s="267"/>
      <c r="CK102" s="267"/>
      <c r="CL102" s="267"/>
      <c r="CM102" s="267"/>
      <c r="CN102" s="267"/>
    </row>
    <row r="103" spans="1:92">
      <c r="A103" s="595"/>
      <c r="B103" s="242"/>
      <c r="C103" s="599"/>
      <c r="D103" s="267"/>
      <c r="E103" s="267"/>
      <c r="F103" s="267"/>
      <c r="G103" s="267"/>
      <c r="H103" s="267"/>
      <c r="I103" s="267"/>
      <c r="J103" s="267"/>
      <c r="K103" s="267"/>
      <c r="L103" s="267"/>
      <c r="M103" s="267"/>
      <c r="N103" s="267"/>
      <c r="O103" s="267"/>
      <c r="P103" s="267"/>
      <c r="Q103" s="267"/>
      <c r="R103" s="267"/>
      <c r="S103" s="267"/>
      <c r="T103" s="267"/>
      <c r="U103" s="267"/>
      <c r="V103" s="267"/>
      <c r="W103" s="267"/>
      <c r="X103" s="267"/>
      <c r="Y103" s="267"/>
      <c r="Z103" s="267"/>
      <c r="AA103" s="267"/>
      <c r="AB103" s="267"/>
      <c r="AC103" s="267"/>
      <c r="AD103" s="267"/>
      <c r="AE103" s="267"/>
      <c r="AF103" s="267"/>
      <c r="AG103" s="267"/>
      <c r="AH103" s="267"/>
      <c r="AI103" s="267"/>
      <c r="AJ103" s="267"/>
      <c r="AK103" s="267"/>
      <c r="AL103" s="267"/>
      <c r="AM103" s="267"/>
      <c r="AN103" s="267"/>
      <c r="AO103" s="267"/>
      <c r="AP103" s="267"/>
      <c r="AQ103" s="267"/>
      <c r="AR103" s="267"/>
      <c r="AS103" s="267"/>
      <c r="AT103" s="267"/>
      <c r="AU103" s="267"/>
      <c r="AV103" s="267"/>
      <c r="AW103" s="267"/>
      <c r="AX103" s="267"/>
      <c r="AY103" s="267"/>
      <c r="AZ103" s="267"/>
      <c r="BA103" s="267"/>
      <c r="BB103" s="267"/>
      <c r="BC103" s="267"/>
      <c r="BD103" s="267"/>
      <c r="BE103" s="267"/>
      <c r="BF103" s="267"/>
      <c r="BG103" s="267"/>
      <c r="BH103" s="267"/>
      <c r="BI103" s="267"/>
      <c r="BJ103" s="267"/>
      <c r="BK103" s="267"/>
      <c r="BL103" s="267"/>
      <c r="BM103" s="267"/>
      <c r="BN103" s="267"/>
      <c r="BO103" s="267"/>
      <c r="BP103" s="267"/>
      <c r="BQ103" s="267"/>
      <c r="BR103" s="267"/>
      <c r="BS103" s="267"/>
      <c r="BT103" s="267"/>
      <c r="BU103" s="267"/>
      <c r="BV103" s="267"/>
      <c r="BW103" s="267"/>
      <c r="BX103" s="267"/>
      <c r="BY103" s="267"/>
      <c r="BZ103" s="267"/>
      <c r="CA103" s="267"/>
      <c r="CB103" s="267"/>
      <c r="CC103" s="267"/>
      <c r="CD103" s="267"/>
      <c r="CE103" s="267"/>
      <c r="CF103" s="267"/>
      <c r="CG103" s="267"/>
      <c r="CH103" s="267"/>
      <c r="CI103" s="267"/>
      <c r="CJ103" s="267"/>
      <c r="CK103" s="267"/>
      <c r="CL103" s="267"/>
      <c r="CM103" s="267"/>
      <c r="CN103" s="267"/>
    </row>
    <row r="104" spans="1:92">
      <c r="A104" s="595"/>
      <c r="B104" s="242"/>
      <c r="C104" s="599"/>
      <c r="D104" s="267"/>
      <c r="E104" s="267"/>
      <c r="F104" s="267"/>
      <c r="G104" s="267"/>
      <c r="H104" s="267"/>
      <c r="I104" s="267"/>
      <c r="J104" s="267"/>
      <c r="K104" s="267"/>
      <c r="L104" s="267"/>
      <c r="M104" s="267"/>
      <c r="N104" s="267"/>
      <c r="O104" s="267"/>
      <c r="P104" s="267"/>
      <c r="Q104" s="267"/>
      <c r="R104" s="267"/>
      <c r="S104" s="267"/>
      <c r="T104" s="267"/>
      <c r="U104" s="267"/>
      <c r="V104" s="267"/>
      <c r="W104" s="267"/>
      <c r="X104" s="267"/>
      <c r="Y104" s="267"/>
      <c r="Z104" s="267"/>
      <c r="AA104" s="267"/>
      <c r="AB104" s="267"/>
      <c r="AC104" s="267"/>
      <c r="AD104" s="267"/>
      <c r="AE104" s="267"/>
      <c r="AF104" s="267"/>
      <c r="AG104" s="267"/>
      <c r="AH104" s="267"/>
      <c r="AI104" s="267"/>
      <c r="AJ104" s="267"/>
      <c r="AK104" s="267"/>
      <c r="AL104" s="267"/>
      <c r="AM104" s="267"/>
      <c r="AN104" s="267"/>
      <c r="AO104" s="267"/>
      <c r="AP104" s="267"/>
      <c r="AQ104" s="267"/>
      <c r="AR104" s="267"/>
      <c r="AS104" s="267"/>
      <c r="AT104" s="267"/>
      <c r="AU104" s="267"/>
      <c r="AV104" s="267"/>
      <c r="AW104" s="267"/>
      <c r="AX104" s="267"/>
      <c r="AY104" s="267"/>
      <c r="AZ104" s="267"/>
      <c r="BA104" s="267"/>
      <c r="BB104" s="267"/>
      <c r="BC104" s="267"/>
      <c r="BD104" s="267"/>
      <c r="BE104" s="267"/>
      <c r="BF104" s="267"/>
      <c r="BG104" s="267"/>
      <c r="BH104" s="267"/>
      <c r="BI104" s="267"/>
      <c r="BJ104" s="267"/>
      <c r="BK104" s="267"/>
      <c r="BL104" s="267"/>
      <c r="BM104" s="267"/>
      <c r="BN104" s="267"/>
      <c r="BO104" s="267"/>
      <c r="BP104" s="267"/>
      <c r="BQ104" s="267"/>
      <c r="BR104" s="267"/>
      <c r="BS104" s="267"/>
      <c r="BT104" s="267"/>
      <c r="BU104" s="267"/>
      <c r="BV104" s="267"/>
      <c r="BW104" s="267"/>
      <c r="BX104" s="267"/>
      <c r="BY104" s="267"/>
      <c r="BZ104" s="267"/>
      <c r="CA104" s="267"/>
      <c r="CB104" s="267"/>
      <c r="CC104" s="267"/>
      <c r="CD104" s="267"/>
      <c r="CE104" s="267"/>
      <c r="CF104" s="267"/>
      <c r="CG104" s="267"/>
      <c r="CH104" s="267"/>
      <c r="CI104" s="267"/>
      <c r="CJ104" s="267"/>
      <c r="CK104" s="267"/>
      <c r="CL104" s="267"/>
      <c r="CM104" s="267"/>
      <c r="CN104" s="267"/>
    </row>
    <row r="105" spans="1:92">
      <c r="A105" s="595"/>
      <c r="B105" s="242"/>
      <c r="C105" s="599"/>
      <c r="D105" s="267"/>
      <c r="E105" s="267"/>
      <c r="F105" s="267"/>
      <c r="G105" s="267"/>
      <c r="H105" s="267"/>
      <c r="I105" s="267"/>
      <c r="J105" s="267"/>
      <c r="K105" s="267"/>
      <c r="L105" s="267"/>
      <c r="M105" s="267"/>
      <c r="N105" s="267"/>
      <c r="O105" s="267"/>
      <c r="P105" s="267"/>
      <c r="Q105" s="267"/>
      <c r="R105" s="267"/>
      <c r="S105" s="267"/>
      <c r="T105" s="267"/>
      <c r="U105" s="267"/>
      <c r="V105" s="267"/>
      <c r="W105" s="267"/>
      <c r="X105" s="267"/>
      <c r="Y105" s="267"/>
      <c r="Z105" s="267"/>
      <c r="AA105" s="267"/>
      <c r="AB105" s="267"/>
      <c r="AC105" s="267"/>
      <c r="AD105" s="267"/>
      <c r="AE105" s="267"/>
      <c r="AF105" s="267"/>
      <c r="AG105" s="267"/>
      <c r="AH105" s="267"/>
      <c r="AI105" s="267"/>
      <c r="AJ105" s="267"/>
      <c r="AK105" s="267"/>
      <c r="AL105" s="267"/>
      <c r="AM105" s="267"/>
      <c r="AN105" s="267"/>
      <c r="AO105" s="267"/>
      <c r="AP105" s="267"/>
      <c r="AQ105" s="267"/>
      <c r="AR105" s="267"/>
      <c r="AS105" s="267"/>
      <c r="AT105" s="267"/>
      <c r="AU105" s="267"/>
      <c r="AV105" s="267"/>
      <c r="AW105" s="267"/>
      <c r="AX105" s="267"/>
      <c r="AY105" s="267"/>
      <c r="AZ105" s="267"/>
      <c r="BA105" s="267"/>
      <c r="BB105" s="267"/>
      <c r="BC105" s="267"/>
      <c r="BD105" s="267"/>
      <c r="BE105" s="267"/>
      <c r="BF105" s="267"/>
      <c r="BG105" s="267"/>
      <c r="BH105" s="267"/>
      <c r="BI105" s="267"/>
      <c r="BJ105" s="267"/>
      <c r="BK105" s="267"/>
      <c r="BL105" s="267"/>
      <c r="BM105" s="267"/>
      <c r="BN105" s="267"/>
      <c r="BO105" s="267"/>
      <c r="BP105" s="267"/>
      <c r="BQ105" s="267"/>
      <c r="BR105" s="267"/>
      <c r="BS105" s="267"/>
      <c r="BT105" s="267"/>
      <c r="BU105" s="267"/>
      <c r="BV105" s="267"/>
      <c r="BW105" s="267"/>
      <c r="BX105" s="267"/>
      <c r="BY105" s="267"/>
      <c r="BZ105" s="267"/>
      <c r="CA105" s="267"/>
      <c r="CB105" s="267"/>
      <c r="CC105" s="267"/>
      <c r="CD105" s="267"/>
      <c r="CE105" s="267"/>
      <c r="CF105" s="267"/>
      <c r="CG105" s="267"/>
      <c r="CH105" s="267"/>
      <c r="CI105" s="267"/>
      <c r="CJ105" s="267"/>
      <c r="CK105" s="267"/>
      <c r="CL105" s="267"/>
      <c r="CM105" s="267"/>
      <c r="CN105" s="267"/>
    </row>
    <row r="106" spans="1:92">
      <c r="A106" s="595"/>
      <c r="B106" s="242"/>
      <c r="C106" s="599"/>
      <c r="D106" s="267"/>
      <c r="E106" s="267"/>
      <c r="F106" s="267"/>
      <c r="G106" s="267"/>
      <c r="H106" s="267"/>
      <c r="I106" s="267"/>
      <c r="J106" s="267"/>
      <c r="K106" s="267"/>
      <c r="L106" s="267"/>
      <c r="M106" s="267"/>
      <c r="N106" s="267"/>
      <c r="O106" s="267"/>
      <c r="P106" s="267"/>
      <c r="Q106" s="267"/>
      <c r="R106" s="267"/>
      <c r="S106" s="267"/>
      <c r="T106" s="267"/>
      <c r="U106" s="267"/>
      <c r="V106" s="267"/>
      <c r="W106" s="267"/>
      <c r="X106" s="267"/>
      <c r="Y106" s="267"/>
      <c r="Z106" s="267"/>
      <c r="AA106" s="267"/>
      <c r="AB106" s="267"/>
      <c r="AC106" s="267"/>
      <c r="AD106" s="267"/>
      <c r="AE106" s="267"/>
      <c r="AF106" s="267"/>
      <c r="AG106" s="267"/>
      <c r="AH106" s="267"/>
      <c r="AI106" s="267"/>
      <c r="AJ106" s="267"/>
      <c r="AK106" s="267"/>
      <c r="AL106" s="267"/>
      <c r="AM106" s="267"/>
      <c r="AN106" s="267"/>
      <c r="AO106" s="267"/>
      <c r="AP106" s="267"/>
      <c r="AQ106" s="267"/>
      <c r="AR106" s="267"/>
      <c r="AS106" s="267"/>
      <c r="AT106" s="267"/>
      <c r="AU106" s="267"/>
      <c r="AV106" s="267"/>
      <c r="AW106" s="267"/>
      <c r="AX106" s="267"/>
      <c r="AY106" s="267"/>
      <c r="AZ106" s="267"/>
      <c r="BA106" s="267"/>
      <c r="BB106" s="267"/>
      <c r="BC106" s="267"/>
      <c r="BD106" s="267"/>
      <c r="BE106" s="267"/>
      <c r="BF106" s="267"/>
      <c r="BG106" s="267"/>
      <c r="BH106" s="267"/>
      <c r="BI106" s="267"/>
      <c r="BJ106" s="267"/>
      <c r="BK106" s="267"/>
      <c r="BL106" s="267"/>
      <c r="BM106" s="267"/>
      <c r="BN106" s="267"/>
      <c r="BO106" s="267"/>
      <c r="BP106" s="267"/>
      <c r="BQ106" s="267"/>
      <c r="BR106" s="267"/>
      <c r="BS106" s="267"/>
      <c r="BT106" s="267"/>
      <c r="BU106" s="267"/>
      <c r="BV106" s="267"/>
      <c r="BW106" s="267"/>
      <c r="BX106" s="267"/>
      <c r="BY106" s="267"/>
      <c r="BZ106" s="267"/>
      <c r="CA106" s="267"/>
      <c r="CB106" s="267"/>
      <c r="CC106" s="267"/>
      <c r="CD106" s="267"/>
      <c r="CE106" s="267"/>
      <c r="CF106" s="267"/>
      <c r="CG106" s="267"/>
      <c r="CH106" s="267"/>
      <c r="CI106" s="267"/>
      <c r="CJ106" s="267"/>
      <c r="CK106" s="267"/>
      <c r="CL106" s="267"/>
      <c r="CM106" s="267"/>
      <c r="CN106" s="267"/>
    </row>
    <row r="107" spans="1:92">
      <c r="A107" s="595"/>
      <c r="B107" s="242"/>
      <c r="C107" s="243"/>
      <c r="D107" s="267"/>
      <c r="E107" s="267"/>
      <c r="F107" s="267"/>
      <c r="G107" s="267"/>
      <c r="H107" s="267"/>
      <c r="I107" s="267"/>
      <c r="J107" s="267"/>
      <c r="K107" s="267"/>
      <c r="L107" s="267"/>
      <c r="M107" s="267"/>
      <c r="N107" s="267"/>
      <c r="O107" s="267"/>
      <c r="P107" s="267"/>
      <c r="Q107" s="267"/>
      <c r="R107" s="267"/>
      <c r="S107" s="267"/>
      <c r="T107" s="267"/>
      <c r="U107" s="267"/>
      <c r="V107" s="267"/>
      <c r="W107" s="267"/>
      <c r="X107" s="267"/>
      <c r="Y107" s="267"/>
      <c r="Z107" s="267"/>
      <c r="AA107" s="267"/>
      <c r="AB107" s="267"/>
      <c r="AC107" s="267"/>
      <c r="AD107" s="267"/>
      <c r="AE107" s="267"/>
      <c r="AF107" s="267"/>
      <c r="AG107" s="267"/>
      <c r="AH107" s="267"/>
      <c r="AI107" s="267"/>
      <c r="AJ107" s="267"/>
      <c r="AK107" s="267"/>
      <c r="AL107" s="267"/>
      <c r="AM107" s="267"/>
      <c r="AN107" s="267"/>
      <c r="AO107" s="267"/>
      <c r="AP107" s="267"/>
      <c r="AQ107" s="267"/>
      <c r="AR107" s="267"/>
      <c r="AS107" s="267"/>
      <c r="AT107" s="267"/>
      <c r="AU107" s="267"/>
      <c r="AV107" s="267"/>
      <c r="AW107" s="267"/>
      <c r="AX107" s="267"/>
      <c r="AY107" s="267"/>
      <c r="AZ107" s="267"/>
      <c r="BA107" s="267"/>
      <c r="BB107" s="267"/>
      <c r="BC107" s="267"/>
      <c r="BD107" s="267"/>
      <c r="BE107" s="267"/>
      <c r="BF107" s="267"/>
      <c r="BG107" s="267"/>
      <c r="BH107" s="267"/>
      <c r="BI107" s="267"/>
      <c r="BJ107" s="267"/>
      <c r="BK107" s="267"/>
      <c r="BL107" s="267"/>
      <c r="BM107" s="267"/>
      <c r="BN107" s="267"/>
      <c r="BO107" s="267"/>
      <c r="BP107" s="267"/>
      <c r="BQ107" s="267"/>
      <c r="BR107" s="267"/>
      <c r="BS107" s="267"/>
      <c r="BT107" s="267"/>
      <c r="BU107" s="267"/>
      <c r="BV107" s="267"/>
      <c r="BW107" s="267"/>
      <c r="BX107" s="267"/>
      <c r="BY107" s="267"/>
      <c r="BZ107" s="267"/>
      <c r="CA107" s="267"/>
      <c r="CB107" s="267"/>
      <c r="CC107" s="267"/>
      <c r="CD107" s="267"/>
      <c r="CE107" s="267"/>
      <c r="CF107" s="267"/>
      <c r="CG107" s="267"/>
      <c r="CH107" s="267"/>
      <c r="CI107" s="267"/>
      <c r="CJ107" s="267"/>
      <c r="CK107" s="267"/>
      <c r="CL107" s="267"/>
      <c r="CM107" s="267"/>
      <c r="CN107" s="267"/>
    </row>
    <row r="108" spans="1:92">
      <c r="A108" s="595"/>
      <c r="B108" s="242"/>
      <c r="C108" s="243"/>
      <c r="I108" s="267"/>
      <c r="J108" s="267"/>
      <c r="K108" s="267"/>
      <c r="L108" s="267"/>
      <c r="M108" s="267"/>
      <c r="N108" s="267"/>
      <c r="O108" s="267"/>
      <c r="P108" s="267"/>
      <c r="Q108" s="267"/>
      <c r="R108" s="267"/>
      <c r="S108" s="267"/>
      <c r="T108" s="267"/>
      <c r="U108" s="267"/>
      <c r="V108" s="267"/>
      <c r="W108" s="267"/>
      <c r="X108" s="267"/>
      <c r="Y108" s="267"/>
      <c r="Z108" s="267"/>
      <c r="AA108" s="267"/>
      <c r="AB108" s="267"/>
      <c r="AC108" s="267"/>
      <c r="AD108" s="267"/>
      <c r="AE108" s="267"/>
      <c r="AF108" s="267"/>
      <c r="AG108" s="267"/>
      <c r="AH108" s="267"/>
      <c r="AI108" s="267"/>
      <c r="AJ108" s="267"/>
      <c r="AK108" s="267"/>
      <c r="AL108" s="267"/>
      <c r="AM108" s="267"/>
      <c r="AN108" s="267"/>
      <c r="AO108" s="267"/>
      <c r="AP108" s="267"/>
      <c r="AQ108" s="267"/>
      <c r="AR108" s="267"/>
      <c r="AS108" s="267"/>
      <c r="AT108" s="267"/>
      <c r="AU108" s="267"/>
      <c r="AV108" s="267"/>
      <c r="AW108" s="267"/>
      <c r="AX108" s="267"/>
      <c r="AY108" s="267"/>
      <c r="AZ108" s="267"/>
      <c r="BA108" s="267"/>
      <c r="BB108" s="267"/>
      <c r="BC108" s="267"/>
      <c r="BD108" s="267"/>
      <c r="BE108" s="267"/>
      <c r="BF108" s="267"/>
      <c r="BG108" s="267"/>
      <c r="BH108" s="267"/>
      <c r="BI108" s="267"/>
      <c r="BJ108" s="267"/>
      <c r="BK108" s="267"/>
      <c r="BL108" s="267"/>
      <c r="BM108" s="267"/>
      <c r="BN108" s="267"/>
      <c r="BO108" s="267"/>
      <c r="BP108" s="267"/>
      <c r="BQ108" s="267"/>
      <c r="BR108" s="267"/>
      <c r="BS108" s="267"/>
      <c r="BT108" s="267"/>
      <c r="BU108" s="267"/>
      <c r="BV108" s="267"/>
      <c r="BW108" s="267"/>
      <c r="BX108" s="267"/>
      <c r="BY108" s="267"/>
      <c r="BZ108" s="267"/>
      <c r="CA108" s="267"/>
      <c r="CB108" s="267"/>
      <c r="CC108" s="267"/>
      <c r="CD108" s="267"/>
      <c r="CE108" s="267"/>
      <c r="CF108" s="267"/>
      <c r="CG108" s="267"/>
      <c r="CH108" s="267"/>
      <c r="CI108" s="267"/>
      <c r="CJ108" s="267"/>
      <c r="CK108" s="267"/>
      <c r="CL108" s="267"/>
      <c r="CM108" s="267"/>
      <c r="CN108" s="267"/>
    </row>
    <row r="109" spans="1:92">
      <c r="A109" s="595"/>
      <c r="B109" s="242"/>
      <c r="C109" s="243"/>
      <c r="I109" s="267"/>
      <c r="J109" s="267"/>
      <c r="K109" s="267"/>
      <c r="L109" s="267"/>
      <c r="M109" s="267"/>
      <c r="N109" s="267"/>
      <c r="O109" s="267"/>
      <c r="P109" s="267"/>
      <c r="Q109" s="267"/>
      <c r="R109" s="267"/>
      <c r="S109" s="267"/>
      <c r="T109" s="267"/>
      <c r="U109" s="267"/>
      <c r="V109" s="267"/>
      <c r="W109" s="267"/>
      <c r="X109" s="267"/>
      <c r="Y109" s="267"/>
      <c r="Z109" s="267"/>
      <c r="AA109" s="267"/>
      <c r="AB109" s="267"/>
      <c r="AC109" s="267"/>
      <c r="AD109" s="267"/>
      <c r="AE109" s="267"/>
      <c r="AF109" s="267"/>
      <c r="AG109" s="267"/>
      <c r="AH109" s="267"/>
      <c r="AI109" s="267"/>
      <c r="AJ109" s="267"/>
      <c r="AK109" s="267"/>
      <c r="AL109" s="267"/>
      <c r="AM109" s="267"/>
      <c r="AN109" s="267"/>
      <c r="AO109" s="267"/>
      <c r="AP109" s="267"/>
      <c r="AQ109" s="267"/>
      <c r="AR109" s="267"/>
      <c r="AS109" s="267"/>
      <c r="AT109" s="267"/>
      <c r="AU109" s="267"/>
      <c r="AV109" s="267"/>
      <c r="AW109" s="267"/>
      <c r="AX109" s="267"/>
      <c r="AY109" s="267"/>
      <c r="AZ109" s="267"/>
      <c r="BA109" s="267"/>
      <c r="BB109" s="267"/>
      <c r="BC109" s="267"/>
      <c r="BD109" s="267"/>
      <c r="BE109" s="267"/>
      <c r="BF109" s="267"/>
      <c r="BG109" s="267"/>
      <c r="BH109" s="267"/>
      <c r="BI109" s="267"/>
      <c r="BJ109" s="267"/>
      <c r="BK109" s="267"/>
      <c r="BL109" s="267"/>
      <c r="BM109" s="267"/>
      <c r="BN109" s="267"/>
      <c r="BO109" s="267"/>
      <c r="BP109" s="267"/>
      <c r="BQ109" s="267"/>
      <c r="BR109" s="267"/>
      <c r="BS109" s="267"/>
      <c r="BT109" s="267"/>
      <c r="BU109" s="267"/>
      <c r="BV109" s="267"/>
      <c r="BW109" s="267"/>
      <c r="BX109" s="267"/>
      <c r="BY109" s="267"/>
      <c r="BZ109" s="267"/>
      <c r="CA109" s="267"/>
      <c r="CB109" s="267"/>
      <c r="CC109" s="267"/>
      <c r="CD109" s="267"/>
      <c r="CE109" s="267"/>
      <c r="CF109" s="267"/>
      <c r="CG109" s="267"/>
      <c r="CH109" s="267"/>
      <c r="CI109" s="267"/>
      <c r="CJ109" s="267"/>
      <c r="CK109" s="267"/>
      <c r="CL109" s="267"/>
      <c r="CM109" s="267"/>
      <c r="CN109" s="267"/>
    </row>
    <row r="110" spans="1:92">
      <c r="A110" s="595"/>
      <c r="B110" s="242"/>
      <c r="C110" s="243"/>
      <c r="I110" s="267"/>
      <c r="J110" s="267"/>
      <c r="K110" s="267"/>
      <c r="L110" s="267"/>
      <c r="M110" s="267"/>
      <c r="N110" s="267"/>
      <c r="O110" s="267"/>
      <c r="P110" s="267"/>
      <c r="Q110" s="267"/>
      <c r="R110" s="267"/>
      <c r="S110" s="267"/>
      <c r="T110" s="267"/>
      <c r="U110" s="267"/>
      <c r="V110" s="267"/>
      <c r="W110" s="267"/>
      <c r="X110" s="267"/>
      <c r="Y110" s="267"/>
      <c r="Z110" s="267"/>
      <c r="AA110" s="267"/>
      <c r="AB110" s="267"/>
      <c r="AC110" s="267"/>
      <c r="AD110" s="267"/>
      <c r="AE110" s="267"/>
      <c r="AF110" s="267"/>
      <c r="AG110" s="267"/>
      <c r="AH110" s="267"/>
      <c r="AI110" s="267"/>
      <c r="AJ110" s="267"/>
      <c r="AK110" s="267"/>
      <c r="AL110" s="267"/>
      <c r="AM110" s="267"/>
      <c r="AN110" s="267"/>
      <c r="AO110" s="267"/>
      <c r="AP110" s="267"/>
      <c r="AQ110" s="267"/>
      <c r="AR110" s="267"/>
      <c r="AS110" s="267"/>
      <c r="AT110" s="267"/>
      <c r="AU110" s="267"/>
      <c r="AV110" s="267"/>
      <c r="AW110" s="267"/>
      <c r="AX110" s="267"/>
      <c r="AY110" s="267"/>
      <c r="AZ110" s="267"/>
      <c r="BA110" s="267"/>
      <c r="BB110" s="267"/>
      <c r="BC110" s="267"/>
      <c r="BD110" s="267"/>
      <c r="BE110" s="267"/>
      <c r="BF110" s="267"/>
      <c r="BG110" s="267"/>
      <c r="BH110" s="267"/>
      <c r="BI110" s="267"/>
      <c r="BJ110" s="267"/>
      <c r="BK110" s="267"/>
      <c r="BL110" s="267"/>
      <c r="BM110" s="267"/>
      <c r="BN110" s="267"/>
      <c r="BO110" s="267"/>
      <c r="BP110" s="267"/>
      <c r="BQ110" s="267"/>
      <c r="BR110" s="267"/>
      <c r="BS110" s="267"/>
      <c r="BT110" s="267"/>
      <c r="BU110" s="267"/>
      <c r="BV110" s="267"/>
      <c r="BW110" s="267"/>
      <c r="BX110" s="267"/>
      <c r="BY110" s="267"/>
      <c r="BZ110" s="267"/>
      <c r="CA110" s="267"/>
      <c r="CB110" s="267"/>
      <c r="CC110" s="267"/>
      <c r="CD110" s="267"/>
      <c r="CE110" s="267"/>
      <c r="CF110" s="267"/>
      <c r="CG110" s="267"/>
      <c r="CH110" s="267"/>
      <c r="CI110" s="267"/>
      <c r="CJ110" s="267"/>
      <c r="CK110" s="267"/>
      <c r="CL110" s="267"/>
      <c r="CM110" s="267"/>
      <c r="CN110" s="267"/>
    </row>
    <row r="111" spans="1:92">
      <c r="A111" s="595"/>
      <c r="B111" s="242"/>
      <c r="C111" s="243"/>
      <c r="AO111" s="267"/>
      <c r="AP111" s="267"/>
      <c r="AQ111" s="267"/>
      <c r="AR111" s="267"/>
      <c r="AS111" s="267"/>
      <c r="AT111" s="267"/>
      <c r="AU111" s="267"/>
      <c r="AV111" s="267"/>
      <c r="AW111" s="267"/>
      <c r="AX111" s="267"/>
      <c r="AY111" s="267"/>
      <c r="AZ111" s="267"/>
      <c r="BA111" s="267"/>
      <c r="BB111" s="267"/>
      <c r="BC111" s="267"/>
      <c r="BD111" s="267"/>
      <c r="BE111" s="267"/>
      <c r="BF111" s="267"/>
      <c r="BG111" s="267"/>
      <c r="BH111" s="267"/>
      <c r="BI111" s="267"/>
      <c r="BJ111" s="267"/>
      <c r="BK111" s="267"/>
      <c r="BL111" s="267"/>
      <c r="BM111" s="267"/>
      <c r="BN111" s="267"/>
      <c r="BO111" s="267"/>
      <c r="BP111" s="267"/>
      <c r="BQ111" s="267"/>
      <c r="BR111" s="267"/>
      <c r="BS111" s="267"/>
      <c r="BT111" s="267"/>
      <c r="BU111" s="267"/>
      <c r="BV111" s="267"/>
      <c r="BW111" s="267"/>
      <c r="BX111" s="267"/>
      <c r="BY111" s="267"/>
      <c r="BZ111" s="267"/>
      <c r="CA111" s="267"/>
      <c r="CB111" s="267"/>
      <c r="CC111" s="267"/>
      <c r="CD111" s="267"/>
      <c r="CE111" s="267"/>
      <c r="CF111" s="267"/>
      <c r="CG111" s="267"/>
      <c r="CH111" s="267"/>
      <c r="CI111" s="267"/>
      <c r="CJ111" s="267"/>
      <c r="CK111" s="267"/>
      <c r="CL111" s="267"/>
      <c r="CM111" s="267"/>
      <c r="CN111" s="267"/>
    </row>
    <row r="112" spans="1:92">
      <c r="AW112" s="267"/>
      <c r="AX112" s="267"/>
      <c r="AY112" s="267"/>
      <c r="AZ112" s="267"/>
      <c r="BA112" s="267"/>
      <c r="BB112" s="267"/>
      <c r="BC112" s="267"/>
      <c r="BD112" s="267"/>
      <c r="BE112" s="267"/>
      <c r="BF112" s="267"/>
      <c r="BG112" s="267"/>
      <c r="BH112" s="267"/>
      <c r="BI112" s="267"/>
      <c r="BJ112" s="267"/>
      <c r="BK112" s="267"/>
      <c r="BL112" s="267"/>
      <c r="BM112" s="267"/>
      <c r="BN112" s="267"/>
      <c r="BO112" s="267"/>
      <c r="BP112" s="267"/>
      <c r="BQ112" s="267"/>
      <c r="BR112" s="267"/>
      <c r="BS112" s="267"/>
      <c r="BT112" s="267"/>
      <c r="BU112" s="267"/>
      <c r="BV112" s="267"/>
      <c r="BW112" s="267"/>
      <c r="BX112" s="267"/>
      <c r="BY112" s="267"/>
      <c r="BZ112" s="267"/>
      <c r="CA112" s="267"/>
      <c r="CB112" s="267"/>
      <c r="CC112" s="267"/>
      <c r="CD112" s="267"/>
      <c r="CE112" s="267"/>
      <c r="CF112" s="267"/>
      <c r="CG112" s="267"/>
      <c r="CH112" s="267"/>
      <c r="CI112" s="267"/>
      <c r="CJ112" s="267"/>
      <c r="CK112" s="267"/>
      <c r="CL112" s="267"/>
      <c r="CM112" s="267"/>
      <c r="CN112" s="267"/>
    </row>
    <row r="113" spans="49:92">
      <c r="AW113" s="267"/>
      <c r="AX113" s="267"/>
      <c r="AY113" s="267"/>
      <c r="AZ113" s="267"/>
      <c r="BA113" s="267"/>
      <c r="BB113" s="267"/>
      <c r="BC113" s="267"/>
      <c r="BD113" s="267"/>
      <c r="BE113" s="267"/>
      <c r="BF113" s="267"/>
      <c r="BG113" s="267"/>
      <c r="BH113" s="267"/>
      <c r="BI113" s="267"/>
      <c r="BJ113" s="267"/>
      <c r="BK113" s="267"/>
      <c r="BL113" s="267"/>
      <c r="BM113" s="267"/>
      <c r="BN113" s="267"/>
      <c r="BO113" s="267"/>
      <c r="BP113" s="267"/>
      <c r="BQ113" s="267"/>
      <c r="BR113" s="267"/>
      <c r="BS113" s="267"/>
      <c r="BT113" s="267"/>
      <c r="BU113" s="267"/>
      <c r="BV113" s="267"/>
      <c r="BW113" s="267"/>
      <c r="BX113" s="267"/>
      <c r="BY113" s="267"/>
      <c r="BZ113" s="267"/>
      <c r="CA113" s="267"/>
      <c r="CB113" s="267"/>
      <c r="CC113" s="267"/>
      <c r="CD113" s="267"/>
      <c r="CE113" s="267"/>
      <c r="CF113" s="267"/>
      <c r="CG113" s="267"/>
      <c r="CH113" s="267"/>
      <c r="CI113" s="267"/>
      <c r="CJ113" s="267"/>
      <c r="CK113" s="267"/>
      <c r="CL113" s="267"/>
      <c r="CM113" s="267"/>
      <c r="CN113" s="267"/>
    </row>
    <row r="114" spans="49:92">
      <c r="AW114" s="267"/>
      <c r="AX114" s="267"/>
      <c r="AY114" s="267"/>
      <c r="AZ114" s="267"/>
      <c r="BA114" s="267"/>
      <c r="BB114" s="267"/>
      <c r="BC114" s="267"/>
      <c r="BD114" s="267"/>
      <c r="BE114" s="267"/>
      <c r="BF114" s="267"/>
      <c r="BG114" s="267"/>
      <c r="BH114" s="267"/>
      <c r="BI114" s="267"/>
      <c r="BJ114" s="267"/>
      <c r="BK114" s="267"/>
      <c r="BL114" s="267"/>
      <c r="BM114" s="267"/>
      <c r="BN114" s="267"/>
      <c r="BO114" s="267"/>
      <c r="BP114" s="267"/>
      <c r="BQ114" s="267"/>
      <c r="BR114" s="267"/>
      <c r="BS114" s="267"/>
      <c r="BT114" s="267"/>
      <c r="BU114" s="267"/>
      <c r="BV114" s="267"/>
      <c r="BW114" s="267"/>
      <c r="BX114" s="267"/>
      <c r="BY114" s="267"/>
      <c r="BZ114" s="267"/>
      <c r="CA114" s="267"/>
      <c r="CB114" s="267"/>
      <c r="CC114" s="267"/>
      <c r="CD114" s="267"/>
      <c r="CE114" s="267"/>
      <c r="CF114" s="267"/>
      <c r="CG114" s="267"/>
      <c r="CH114" s="267"/>
      <c r="CI114" s="267"/>
      <c r="CJ114" s="267"/>
      <c r="CK114" s="267"/>
      <c r="CL114" s="267"/>
      <c r="CM114" s="267"/>
      <c r="CN114" s="267"/>
    </row>
    <row r="115" spans="49:92">
      <c r="AW115" s="267"/>
      <c r="AX115" s="267"/>
      <c r="AY115" s="267"/>
      <c r="AZ115" s="267"/>
      <c r="BA115" s="267"/>
      <c r="BB115" s="267"/>
      <c r="BC115" s="267"/>
      <c r="BD115" s="267"/>
      <c r="BE115" s="267"/>
      <c r="BF115" s="267"/>
      <c r="BG115" s="267"/>
      <c r="BH115" s="267"/>
      <c r="BI115" s="267"/>
      <c r="BJ115" s="267"/>
      <c r="BK115" s="267"/>
      <c r="BL115" s="267"/>
      <c r="BM115" s="267"/>
      <c r="BN115" s="267"/>
      <c r="BO115" s="267"/>
      <c r="BP115" s="267"/>
      <c r="BQ115" s="267"/>
      <c r="BR115" s="267"/>
      <c r="BS115" s="267"/>
      <c r="BT115" s="267"/>
      <c r="BU115" s="267"/>
      <c r="BV115" s="267"/>
      <c r="BW115" s="267"/>
      <c r="BX115" s="267"/>
      <c r="BY115" s="267"/>
      <c r="BZ115" s="267"/>
      <c r="CA115" s="267"/>
      <c r="CB115" s="267"/>
      <c r="CC115" s="267"/>
      <c r="CD115" s="267"/>
      <c r="CE115" s="267"/>
      <c r="CF115" s="267"/>
      <c r="CG115" s="267"/>
      <c r="CH115" s="267"/>
      <c r="CI115" s="267"/>
      <c r="CJ115" s="267"/>
      <c r="CK115" s="267"/>
      <c r="CL115" s="267"/>
      <c r="CM115" s="267"/>
      <c r="CN115" s="267"/>
    </row>
    <row r="116" spans="49:92">
      <c r="AW116" s="267"/>
      <c r="AX116" s="267"/>
      <c r="AY116" s="267"/>
      <c r="AZ116" s="267"/>
      <c r="BA116" s="267"/>
      <c r="BB116" s="267"/>
      <c r="BC116" s="267"/>
      <c r="BD116" s="267"/>
      <c r="BE116" s="267"/>
      <c r="BF116" s="267"/>
      <c r="BG116" s="267"/>
      <c r="BH116" s="267"/>
      <c r="BI116" s="267"/>
      <c r="BJ116" s="267"/>
      <c r="BK116" s="267"/>
      <c r="BL116" s="267"/>
      <c r="BM116" s="267"/>
      <c r="BN116" s="267"/>
      <c r="BO116" s="267"/>
      <c r="BP116" s="267"/>
      <c r="BQ116" s="267"/>
      <c r="BR116" s="267"/>
      <c r="BS116" s="267"/>
      <c r="BT116" s="267"/>
      <c r="BU116" s="267"/>
      <c r="BV116" s="267"/>
      <c r="BW116" s="267"/>
      <c r="BX116" s="267"/>
      <c r="BY116" s="267"/>
      <c r="BZ116" s="267"/>
      <c r="CA116" s="267"/>
      <c r="CB116" s="267"/>
      <c r="CC116" s="267"/>
      <c r="CD116" s="267"/>
      <c r="CE116" s="267"/>
      <c r="CF116" s="267"/>
      <c r="CG116" s="267"/>
      <c r="CH116" s="267"/>
      <c r="CI116" s="267"/>
      <c r="CJ116" s="267"/>
      <c r="CK116" s="267"/>
      <c r="CL116" s="267"/>
      <c r="CM116" s="267"/>
      <c r="CN116" s="267"/>
    </row>
    <row r="117" spans="49:92">
      <c r="AW117" s="267"/>
      <c r="AX117" s="267"/>
      <c r="AY117" s="267"/>
      <c r="AZ117" s="267"/>
      <c r="BA117" s="267"/>
      <c r="BB117" s="267"/>
      <c r="BC117" s="267"/>
      <c r="BD117" s="267"/>
      <c r="BE117" s="267"/>
      <c r="BF117" s="267"/>
      <c r="BG117" s="267"/>
      <c r="BH117" s="267"/>
      <c r="BI117" s="267"/>
      <c r="BJ117" s="267"/>
      <c r="BK117" s="267"/>
      <c r="BL117" s="267"/>
      <c r="BM117" s="267"/>
      <c r="BN117" s="267"/>
      <c r="BO117" s="267"/>
      <c r="BP117" s="267"/>
      <c r="BQ117" s="267"/>
      <c r="BR117" s="267"/>
      <c r="BS117" s="267"/>
      <c r="BT117" s="267"/>
      <c r="BU117" s="267"/>
      <c r="BV117" s="267"/>
      <c r="BW117" s="267"/>
      <c r="BX117" s="267"/>
      <c r="BY117" s="267"/>
      <c r="BZ117" s="267"/>
      <c r="CA117" s="267"/>
      <c r="CB117" s="267"/>
      <c r="CC117" s="267"/>
      <c r="CD117" s="267"/>
      <c r="CE117" s="267"/>
      <c r="CF117" s="267"/>
      <c r="CG117" s="267"/>
      <c r="CH117" s="267"/>
      <c r="CI117" s="267"/>
      <c r="CJ117" s="267"/>
      <c r="CK117" s="267"/>
      <c r="CL117" s="267"/>
      <c r="CM117" s="267"/>
      <c r="CN117" s="267"/>
    </row>
    <row r="118" spans="49:92">
      <c r="AW118" s="267"/>
      <c r="AX118" s="267"/>
      <c r="AY118" s="267"/>
      <c r="AZ118" s="267"/>
      <c r="BA118" s="267"/>
      <c r="BB118" s="267"/>
      <c r="BC118" s="267"/>
      <c r="BD118" s="267"/>
      <c r="BE118" s="267"/>
      <c r="BF118" s="267"/>
      <c r="BG118" s="267"/>
      <c r="BH118" s="267"/>
      <c r="BI118" s="267"/>
      <c r="BJ118" s="267"/>
      <c r="BK118" s="267"/>
      <c r="BL118" s="267"/>
      <c r="BM118" s="267"/>
      <c r="BN118" s="267"/>
      <c r="BO118" s="267"/>
      <c r="BP118" s="267"/>
      <c r="BQ118" s="267"/>
      <c r="BR118" s="267"/>
      <c r="BS118" s="267"/>
      <c r="BT118" s="267"/>
      <c r="BU118" s="267"/>
      <c r="BV118" s="267"/>
      <c r="BW118" s="267"/>
      <c r="BX118" s="267"/>
      <c r="BY118" s="267"/>
      <c r="BZ118" s="267"/>
      <c r="CA118" s="267"/>
      <c r="CB118" s="267"/>
      <c r="CC118" s="267"/>
      <c r="CD118" s="267"/>
      <c r="CE118" s="267"/>
      <c r="CF118" s="267"/>
      <c r="CG118" s="267"/>
      <c r="CH118" s="267"/>
      <c r="CI118" s="267"/>
      <c r="CJ118" s="267"/>
      <c r="CK118" s="267"/>
      <c r="CL118" s="267"/>
      <c r="CM118" s="267"/>
      <c r="CN118" s="267"/>
    </row>
    <row r="119" spans="49:92">
      <c r="AW119" s="267"/>
      <c r="AX119" s="267"/>
      <c r="AY119" s="267"/>
      <c r="AZ119" s="267"/>
      <c r="BA119" s="267"/>
      <c r="BB119" s="267"/>
      <c r="BC119" s="267"/>
      <c r="BD119" s="267"/>
      <c r="BE119" s="267"/>
      <c r="BF119" s="267"/>
      <c r="BG119" s="267"/>
      <c r="BH119" s="267"/>
      <c r="BI119" s="267"/>
      <c r="BJ119" s="267"/>
      <c r="BK119" s="267"/>
      <c r="BL119" s="267"/>
      <c r="BM119" s="267"/>
      <c r="BN119" s="267"/>
      <c r="BO119" s="267"/>
      <c r="BP119" s="267"/>
      <c r="BQ119" s="267"/>
      <c r="BR119" s="267"/>
      <c r="BS119" s="267"/>
      <c r="BT119" s="267"/>
      <c r="BU119" s="267"/>
      <c r="BV119" s="267"/>
      <c r="BW119" s="267"/>
      <c r="BX119" s="267"/>
      <c r="BY119" s="267"/>
      <c r="BZ119" s="267"/>
      <c r="CA119" s="267"/>
      <c r="CB119" s="267"/>
      <c r="CC119" s="267"/>
      <c r="CD119" s="267"/>
      <c r="CE119" s="267"/>
      <c r="CF119" s="267"/>
      <c r="CG119" s="267"/>
      <c r="CH119" s="267"/>
      <c r="CI119" s="267"/>
      <c r="CJ119" s="267"/>
      <c r="CK119" s="267"/>
      <c r="CL119" s="267"/>
      <c r="CM119" s="267"/>
      <c r="CN119" s="267"/>
    </row>
    <row r="120" spans="49:92">
      <c r="AW120" s="267"/>
      <c r="AX120" s="267"/>
      <c r="AY120" s="267"/>
      <c r="AZ120" s="267"/>
      <c r="BA120" s="267"/>
      <c r="BB120" s="267"/>
      <c r="BC120" s="267"/>
      <c r="BD120" s="267"/>
      <c r="BE120" s="267"/>
      <c r="BF120" s="267"/>
      <c r="BG120" s="267"/>
      <c r="BH120" s="267"/>
      <c r="BI120" s="267"/>
      <c r="BJ120" s="267"/>
      <c r="BK120" s="267"/>
      <c r="BL120" s="267"/>
      <c r="BM120" s="267"/>
      <c r="BN120" s="267"/>
      <c r="BO120" s="267"/>
      <c r="BP120" s="267"/>
      <c r="BQ120" s="267"/>
      <c r="BR120" s="267"/>
      <c r="BS120" s="267"/>
      <c r="BT120" s="267"/>
      <c r="BU120" s="267"/>
      <c r="BV120" s="267"/>
      <c r="BW120" s="267"/>
      <c r="BX120" s="267"/>
      <c r="BY120" s="267"/>
      <c r="BZ120" s="267"/>
      <c r="CA120" s="267"/>
      <c r="CB120" s="267"/>
      <c r="CC120" s="267"/>
      <c r="CD120" s="267"/>
      <c r="CE120" s="267"/>
      <c r="CF120" s="267"/>
      <c r="CG120" s="267"/>
      <c r="CH120" s="267"/>
      <c r="CI120" s="267"/>
      <c r="CJ120" s="267"/>
      <c r="CK120" s="267"/>
      <c r="CL120" s="267"/>
      <c r="CM120" s="267"/>
      <c r="CN120" s="267"/>
    </row>
    <row r="121" spans="49:92">
      <c r="AW121" s="267"/>
      <c r="AX121" s="267"/>
      <c r="AY121" s="267"/>
      <c r="AZ121" s="267"/>
      <c r="BA121" s="267"/>
      <c r="BB121" s="267"/>
      <c r="BC121" s="267"/>
      <c r="BD121" s="267"/>
      <c r="BE121" s="267"/>
      <c r="BF121" s="267"/>
      <c r="BG121" s="267"/>
      <c r="BH121" s="267"/>
      <c r="BI121" s="267"/>
      <c r="BJ121" s="267"/>
      <c r="BK121" s="267"/>
      <c r="BL121" s="267"/>
      <c r="BM121" s="267"/>
      <c r="BN121" s="267"/>
      <c r="BO121" s="267"/>
      <c r="BP121" s="267"/>
      <c r="BQ121" s="267"/>
      <c r="BR121" s="267"/>
      <c r="BS121" s="267"/>
      <c r="BT121" s="267"/>
      <c r="BU121" s="267"/>
      <c r="BV121" s="267"/>
      <c r="BW121" s="267"/>
      <c r="BX121" s="267"/>
      <c r="BY121" s="267"/>
      <c r="BZ121" s="267"/>
      <c r="CA121" s="267"/>
      <c r="CB121" s="267"/>
      <c r="CC121" s="267"/>
      <c r="CD121" s="267"/>
      <c r="CE121" s="267"/>
      <c r="CF121" s="267"/>
      <c r="CG121" s="267"/>
      <c r="CH121" s="267"/>
      <c r="CI121" s="267"/>
      <c r="CJ121" s="267"/>
      <c r="CK121" s="267"/>
      <c r="CL121" s="267"/>
      <c r="CM121" s="267"/>
      <c r="CN121" s="267"/>
    </row>
  </sheetData>
  <mergeCells count="44">
    <mergeCell ref="Y4:Y5"/>
    <mergeCell ref="Z4:Z5"/>
    <mergeCell ref="AA4:AA5"/>
    <mergeCell ref="AB4:AB5"/>
    <mergeCell ref="J72:M72"/>
    <mergeCell ref="X4:X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J73:M73"/>
    <mergeCell ref="J74:M74"/>
    <mergeCell ref="J75:M75"/>
    <mergeCell ref="J65:M65"/>
    <mergeCell ref="J66:M66"/>
    <mergeCell ref="J67:M67"/>
    <mergeCell ref="J68:M68"/>
    <mergeCell ref="J71:M71"/>
    <mergeCell ref="J69:M69"/>
    <mergeCell ref="J70:M70"/>
    <mergeCell ref="AC4:AC5"/>
    <mergeCell ref="AN4:AN5"/>
    <mergeCell ref="AE4:AE5"/>
    <mergeCell ref="AF4:AF5"/>
    <mergeCell ref="AG4:AG5"/>
    <mergeCell ref="AH4:AH5"/>
    <mergeCell ref="AI4:AI5"/>
    <mergeCell ref="AJ4:AJ5"/>
    <mergeCell ref="AK4:AK5"/>
    <mergeCell ref="AL4:AL5"/>
    <mergeCell ref="AM4:AM5"/>
    <mergeCell ref="AD4:AD5"/>
    <mergeCell ref="E64:G64"/>
    <mergeCell ref="K4:K5"/>
    <mergeCell ref="L4:L5"/>
    <mergeCell ref="M4:M5"/>
    <mergeCell ref="N4:N5"/>
    <mergeCell ref="I64:M64"/>
    <mergeCell ref="D4:F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H43" formulaRange="1"/>
    <ignoredError sqref="J32:J39 I37 I44:J44 G47:J48 G46 I46:J46 G45 I45:J45" formula="1"/>
    <ignoredError sqref="H45 H46" formula="1" formulaRange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Plan32">
    <tabColor rgb="FF3333FF"/>
  </sheetPr>
  <dimension ref="A1:R26"/>
  <sheetViews>
    <sheetView showGridLines="0" workbookViewId="0">
      <selection activeCell="D4" sqref="D4:G36"/>
    </sheetView>
  </sheetViews>
  <sheetFormatPr defaultRowHeight="12.75"/>
  <cols>
    <col min="2" max="2" width="8.28515625" customWidth="1"/>
    <col min="3" max="3" width="10.85546875" customWidth="1"/>
    <col min="4" max="4" width="11.140625" customWidth="1"/>
    <col min="5" max="5" width="11.28515625" customWidth="1"/>
    <col min="6" max="6" width="10.85546875" customWidth="1"/>
    <col min="7" max="8" width="11" customWidth="1"/>
    <col min="9" max="9" width="10.7109375" customWidth="1"/>
    <col min="10" max="10" width="13.5703125" customWidth="1"/>
    <col min="11" max="11" width="12" customWidth="1"/>
    <col min="12" max="12" width="12.5703125" customWidth="1"/>
    <col min="13" max="13" width="12.85546875" customWidth="1"/>
    <col min="14" max="15" width="11" customWidth="1"/>
    <col min="16" max="17" width="11.140625" customWidth="1"/>
    <col min="18" max="18" width="11.42578125" customWidth="1"/>
  </cols>
  <sheetData>
    <row r="1" spans="1:18">
      <c r="C1" s="355" t="s">
        <v>991</v>
      </c>
      <c r="H1" s="355" t="s">
        <v>992</v>
      </c>
    </row>
    <row r="2" spans="1:18" ht="45" customHeight="1">
      <c r="A2" s="517"/>
      <c r="B2" s="1180" t="s">
        <v>993</v>
      </c>
      <c r="C2" s="1181" t="s">
        <v>994</v>
      </c>
      <c r="D2" s="1181" t="s">
        <v>995</v>
      </c>
      <c r="E2" s="1181" t="s">
        <v>996</v>
      </c>
      <c r="F2" s="1181" t="s">
        <v>997</v>
      </c>
      <c r="G2" s="1181" t="s">
        <v>998</v>
      </c>
      <c r="H2" s="1181" t="s">
        <v>999</v>
      </c>
      <c r="I2" s="1181" t="s">
        <v>1000</v>
      </c>
      <c r="J2" s="1181" t="s">
        <v>1001</v>
      </c>
      <c r="K2" s="1181" t="s">
        <v>1002</v>
      </c>
      <c r="L2" s="1181" t="s">
        <v>1003</v>
      </c>
      <c r="M2" s="1181" t="s">
        <v>1004</v>
      </c>
      <c r="N2" s="1181" t="s">
        <v>1005</v>
      </c>
      <c r="O2" s="1181" t="s">
        <v>1006</v>
      </c>
      <c r="P2" s="1181" t="s">
        <v>1007</v>
      </c>
      <c r="Q2" s="1181" t="s">
        <v>1008</v>
      </c>
      <c r="R2" s="1181" t="s">
        <v>1009</v>
      </c>
    </row>
    <row r="3" spans="1:18">
      <c r="A3" s="517"/>
      <c r="B3" s="1182" t="s">
        <v>1010</v>
      </c>
      <c r="C3" s="1182">
        <v>5</v>
      </c>
      <c r="D3" s="1183">
        <v>1000</v>
      </c>
      <c r="E3" s="1184">
        <f>D3*C3</f>
        <v>5000</v>
      </c>
      <c r="F3" s="1184">
        <f>E3*4</f>
        <v>20000</v>
      </c>
      <c r="G3" s="1183">
        <v>1300</v>
      </c>
      <c r="H3" s="1182">
        <v>8</v>
      </c>
      <c r="I3" s="1184">
        <f>G3*H3</f>
        <v>10400</v>
      </c>
      <c r="J3" s="1183">
        <v>11077.616133664493</v>
      </c>
      <c r="K3" s="1184">
        <f>J3*0.056%</f>
        <v>6.2034650348521163</v>
      </c>
      <c r="L3" s="1183">
        <f>J3*0.9</f>
        <v>9969.854520298044</v>
      </c>
      <c r="M3" s="1184">
        <f>J3*0.1</f>
        <v>1107.7616133664494</v>
      </c>
      <c r="N3" s="1183">
        <v>35</v>
      </c>
      <c r="O3" s="1183">
        <f>K19/1000*N3</f>
        <v>52.934942575522463</v>
      </c>
      <c r="P3" s="1183">
        <f>K26/1000*N3</f>
        <v>203.55119645608508</v>
      </c>
      <c r="Q3" s="1183">
        <f>J3*0.014%</f>
        <v>1.5508662587130291</v>
      </c>
      <c r="R3" s="1184">
        <f>P3+O3+K3+I3+F3+Q3</f>
        <v>30664.24047032517</v>
      </c>
    </row>
    <row r="4" spans="1:18">
      <c r="A4" s="517"/>
      <c r="B4" s="1182" t="s">
        <v>1011</v>
      </c>
      <c r="C4" s="1182">
        <v>5</v>
      </c>
      <c r="D4" s="1183">
        <v>1500</v>
      </c>
      <c r="E4" s="1184">
        <f t="shared" ref="E4:E8" si="0">D4*C4</f>
        <v>7500</v>
      </c>
      <c r="F4" s="1184">
        <f t="shared" ref="F4:F8" si="1">E4*4</f>
        <v>30000</v>
      </c>
      <c r="G4" s="1183">
        <v>1950</v>
      </c>
      <c r="H4" s="1182">
        <v>8</v>
      </c>
      <c r="I4" s="1184">
        <f t="shared" ref="I4:I8" si="2">G4*H4</f>
        <v>15600</v>
      </c>
      <c r="J4" s="1183">
        <v>25138.222732865455</v>
      </c>
      <c r="K4" s="1184">
        <f t="shared" ref="K4:K8" si="3">J4*0.056%</f>
        <v>14.077404730404657</v>
      </c>
      <c r="L4" s="1183">
        <f t="shared" ref="L4:L8" si="4">J4*0.9</f>
        <v>22624.400459578912</v>
      </c>
      <c r="M4" s="1184">
        <f t="shared" ref="M4:M8" si="5">J4*0.1</f>
        <v>2513.8222732865456</v>
      </c>
      <c r="N4" s="1183">
        <v>35</v>
      </c>
      <c r="O4" s="1183">
        <f>L19/1000*N4</f>
        <v>120.12425424013426</v>
      </c>
      <c r="P4" s="1183">
        <f>L26/1000*N4</f>
        <v>461.91484271640269</v>
      </c>
      <c r="Q4" s="1183">
        <f t="shared" ref="Q4:Q8" si="6">J4*0.014%</f>
        <v>3.5193511826011643</v>
      </c>
      <c r="R4" s="1184">
        <f t="shared" ref="R4:R8" si="7">P4+O4+K4+I4+F4+Q4</f>
        <v>46199.635852869542</v>
      </c>
    </row>
    <row r="5" spans="1:18">
      <c r="A5" s="517"/>
      <c r="B5" s="1182" t="s">
        <v>1012</v>
      </c>
      <c r="C5" s="1182"/>
      <c r="D5" s="1183"/>
      <c r="E5" s="1184">
        <f t="shared" si="0"/>
        <v>0</v>
      </c>
      <c r="F5" s="1184">
        <f t="shared" si="1"/>
        <v>0</v>
      </c>
      <c r="G5" s="1183"/>
      <c r="H5" s="1182">
        <v>8</v>
      </c>
      <c r="I5" s="1184">
        <f t="shared" si="2"/>
        <v>0</v>
      </c>
      <c r="J5" s="1183">
        <v>132351.23501869733</v>
      </c>
      <c r="K5" s="1184">
        <f t="shared" si="3"/>
        <v>74.116691610470511</v>
      </c>
      <c r="L5" s="1183">
        <f t="shared" si="4"/>
        <v>119116.1115168276</v>
      </c>
      <c r="M5" s="1184">
        <f t="shared" si="5"/>
        <v>13235.123501869733</v>
      </c>
      <c r="N5" s="1183"/>
      <c r="O5" s="1183">
        <f>M19/1000*N5</f>
        <v>0</v>
      </c>
      <c r="P5" s="1183">
        <f>M26/1000*N5</f>
        <v>0</v>
      </c>
      <c r="Q5" s="1183">
        <f t="shared" si="6"/>
        <v>18.529172902617628</v>
      </c>
      <c r="R5" s="1184">
        <f t="shared" si="7"/>
        <v>92.645864513088142</v>
      </c>
    </row>
    <row r="6" spans="1:18">
      <c r="A6" s="517"/>
      <c r="B6" s="1182" t="s">
        <v>1013</v>
      </c>
      <c r="C6" s="1182"/>
      <c r="D6" s="1183"/>
      <c r="E6" s="1184">
        <f t="shared" si="0"/>
        <v>0</v>
      </c>
      <c r="F6" s="1184">
        <f t="shared" si="1"/>
        <v>0</v>
      </c>
      <c r="G6" s="1183"/>
      <c r="H6" s="1182">
        <v>8</v>
      </c>
      <c r="I6" s="1184">
        <f t="shared" si="2"/>
        <v>0</v>
      </c>
      <c r="J6" s="1183">
        <v>155838.64103261859</v>
      </c>
      <c r="K6" s="1184">
        <f t="shared" si="3"/>
        <v>87.269638978266414</v>
      </c>
      <c r="L6" s="1183">
        <f t="shared" si="4"/>
        <v>140254.77692935674</v>
      </c>
      <c r="M6" s="1184">
        <f t="shared" si="5"/>
        <v>15583.86410326186</v>
      </c>
      <c r="N6" s="1183"/>
      <c r="O6" s="1183">
        <f>N19/1000*N6</f>
        <v>0</v>
      </c>
      <c r="P6" s="1183">
        <f>N26/1000*N6</f>
        <v>0</v>
      </c>
      <c r="Q6" s="1183">
        <f t="shared" si="6"/>
        <v>21.817409744566604</v>
      </c>
      <c r="R6" s="1184">
        <f t="shared" si="7"/>
        <v>109.08704872283302</v>
      </c>
    </row>
    <row r="7" spans="1:18">
      <c r="A7" s="517"/>
      <c r="B7" s="1182" t="s">
        <v>1014</v>
      </c>
      <c r="C7" s="1182"/>
      <c r="D7" s="1183"/>
      <c r="E7" s="1184">
        <f t="shared" si="0"/>
        <v>0</v>
      </c>
      <c r="F7" s="1184">
        <f t="shared" si="1"/>
        <v>0</v>
      </c>
      <c r="G7" s="1183"/>
      <c r="H7" s="1182">
        <v>8</v>
      </c>
      <c r="I7" s="1184">
        <f t="shared" si="2"/>
        <v>0</v>
      </c>
      <c r="J7" s="1183">
        <v>148639.86123842376</v>
      </c>
      <c r="K7" s="1184">
        <f t="shared" si="3"/>
        <v>83.238322293517314</v>
      </c>
      <c r="L7" s="1183">
        <f t="shared" si="4"/>
        <v>133775.8751145814</v>
      </c>
      <c r="M7" s="1184">
        <f t="shared" si="5"/>
        <v>14863.986123842376</v>
      </c>
      <c r="N7" s="1183"/>
      <c r="O7" s="1183">
        <f>O19/1000*N7</f>
        <v>0</v>
      </c>
      <c r="P7" s="1183">
        <f>O26/1000*N7</f>
        <v>0</v>
      </c>
      <c r="Q7" s="1183">
        <f t="shared" si="6"/>
        <v>20.809580573379328</v>
      </c>
      <c r="R7" s="1184">
        <f t="shared" si="7"/>
        <v>104.04790286689664</v>
      </c>
    </row>
    <row r="8" spans="1:18">
      <c r="A8" s="517"/>
      <c r="B8" s="1182" t="s">
        <v>1015</v>
      </c>
      <c r="C8" s="1182"/>
      <c r="D8" s="1183"/>
      <c r="E8" s="1184">
        <f t="shared" si="0"/>
        <v>0</v>
      </c>
      <c r="F8" s="1184">
        <f t="shared" si="1"/>
        <v>0</v>
      </c>
      <c r="G8" s="1183"/>
      <c r="H8" s="1182">
        <v>8</v>
      </c>
      <c r="I8" s="1184">
        <f t="shared" si="2"/>
        <v>0</v>
      </c>
      <c r="J8" s="1183">
        <v>0</v>
      </c>
      <c r="K8" s="1184">
        <f t="shared" si="3"/>
        <v>0</v>
      </c>
      <c r="L8" s="1183">
        <f t="shared" si="4"/>
        <v>0</v>
      </c>
      <c r="M8" s="1184">
        <f t="shared" si="5"/>
        <v>0</v>
      </c>
      <c r="N8" s="1183"/>
      <c r="O8" s="1183">
        <f>P19/1000*N8</f>
        <v>0</v>
      </c>
      <c r="P8" s="1183">
        <f>P26/1000*N8</f>
        <v>0</v>
      </c>
      <c r="Q8" s="1183">
        <f t="shared" si="6"/>
        <v>0</v>
      </c>
      <c r="R8" s="1184">
        <f t="shared" si="7"/>
        <v>0</v>
      </c>
    </row>
    <row r="9" spans="1:18">
      <c r="A9" s="517"/>
      <c r="B9" s="1185"/>
      <c r="C9" s="1185"/>
      <c r="D9" s="1185"/>
      <c r="E9" s="1185"/>
      <c r="F9" s="1184">
        <f>SUM(F3:F8)</f>
        <v>50000</v>
      </c>
      <c r="G9" s="1185"/>
      <c r="H9" s="1185"/>
      <c r="I9" s="1184">
        <f>SUM(I3:I8)</f>
        <v>26000</v>
      </c>
      <c r="J9" s="1183"/>
      <c r="K9" s="1183">
        <f>SUM(K3:K8)</f>
        <v>264.90552264751102</v>
      </c>
      <c r="L9" s="1183"/>
      <c r="M9" s="1183"/>
      <c r="N9" s="1183"/>
      <c r="O9" s="1183">
        <f>SUM(O3:O8)</f>
        <v>173.05919681565672</v>
      </c>
      <c r="P9" s="1183">
        <f>SUM(P3:P8)</f>
        <v>665.46603917248774</v>
      </c>
      <c r="Q9" s="1183">
        <f>SUM(Q3:Q8)</f>
        <v>66.226380661877755</v>
      </c>
      <c r="R9" s="1184">
        <f>SUM(R3:R8)</f>
        <v>77169.657139297531</v>
      </c>
    </row>
    <row r="10" spans="1:18">
      <c r="A10" s="517"/>
      <c r="B10" s="517"/>
      <c r="C10" s="517"/>
      <c r="D10" s="517"/>
      <c r="E10" s="517"/>
      <c r="F10" s="517"/>
      <c r="G10" s="517"/>
      <c r="H10" s="517"/>
      <c r="I10" s="517"/>
      <c r="J10" s="517"/>
      <c r="K10" s="517"/>
    </row>
    <row r="11" spans="1:18">
      <c r="A11" s="517"/>
      <c r="B11" s="1915" t="s">
        <v>1016</v>
      </c>
      <c r="C11" s="1917"/>
      <c r="D11" s="1917"/>
      <c r="E11" s="1917"/>
      <c r="F11" s="1917"/>
      <c r="G11" s="1917"/>
      <c r="H11" s="1917"/>
      <c r="I11" s="1916"/>
      <c r="J11" s="1915" t="s">
        <v>1017</v>
      </c>
      <c r="K11" s="1917"/>
      <c r="L11" s="1917"/>
      <c r="M11" s="1917"/>
      <c r="N11" s="1917"/>
      <c r="O11" s="1917"/>
      <c r="P11" s="1916"/>
    </row>
    <row r="12" spans="1:18">
      <c r="A12" s="517"/>
      <c r="B12" s="1187" t="s">
        <v>1018</v>
      </c>
      <c r="C12" s="1188" t="s">
        <v>1019</v>
      </c>
      <c r="D12" s="1189" t="s">
        <v>1010</v>
      </c>
      <c r="E12" s="1189" t="s">
        <v>1011</v>
      </c>
      <c r="F12" s="1189" t="s">
        <v>1012</v>
      </c>
      <c r="G12" s="1189" t="s">
        <v>1013</v>
      </c>
      <c r="H12" s="1189" t="s">
        <v>1014</v>
      </c>
      <c r="I12" s="1189" t="s">
        <v>1015</v>
      </c>
      <c r="J12" s="1189" t="s">
        <v>1020</v>
      </c>
      <c r="K12" s="1189" t="s">
        <v>1010</v>
      </c>
      <c r="L12" s="1189" t="s">
        <v>1011</v>
      </c>
      <c r="M12" s="1189" t="s">
        <v>1012</v>
      </c>
      <c r="N12" s="1189" t="s">
        <v>1013</v>
      </c>
      <c r="O12" s="1189" t="s">
        <v>1014</v>
      </c>
      <c r="P12" s="1189" t="s">
        <v>1015</v>
      </c>
    </row>
    <row r="13" spans="1:18">
      <c r="A13" s="517"/>
      <c r="B13" s="1190">
        <v>2</v>
      </c>
      <c r="C13" s="1191">
        <v>0.1</v>
      </c>
      <c r="D13" s="1184">
        <f>$L$3*C13</f>
        <v>996.98545202980449</v>
      </c>
      <c r="E13" s="1184">
        <f>$L$4*C13</f>
        <v>2262.4400459578915</v>
      </c>
      <c r="F13" s="1184">
        <f>$L$5*C13</f>
        <v>11911.61115168276</v>
      </c>
      <c r="G13" s="1184">
        <f>$L$6*C13</f>
        <v>14025.477692935674</v>
      </c>
      <c r="H13" s="1184">
        <f>$L$7*C13</f>
        <v>13377.587511458141</v>
      </c>
      <c r="I13" s="1184">
        <f>$L$8*C13</f>
        <v>0</v>
      </c>
      <c r="J13" s="1190">
        <v>2</v>
      </c>
      <c r="K13" s="1184">
        <f>D13/2</f>
        <v>498.49272601490225</v>
      </c>
      <c r="L13" s="1184">
        <f t="shared" ref="L13:P13" si="8">E13/2</f>
        <v>1131.2200229789457</v>
      </c>
      <c r="M13" s="1184">
        <f t="shared" si="8"/>
        <v>5955.8055758413802</v>
      </c>
      <c r="N13" s="1184">
        <f t="shared" si="8"/>
        <v>7012.738846467837</v>
      </c>
      <c r="O13" s="1184">
        <f t="shared" si="8"/>
        <v>6688.7937557290707</v>
      </c>
      <c r="P13" s="1184">
        <f t="shared" si="8"/>
        <v>0</v>
      </c>
    </row>
    <row r="14" spans="1:18">
      <c r="A14" s="517"/>
      <c r="B14" s="1190">
        <v>5</v>
      </c>
      <c r="C14" s="1191">
        <v>0.3</v>
      </c>
      <c r="D14" s="1184">
        <f t="shared" ref="D14:D18" si="9">$L$3*C14</f>
        <v>2990.956356089413</v>
      </c>
      <c r="E14" s="1184">
        <f t="shared" ref="E14:E18" si="10">$L$4*C14</f>
        <v>6787.320137873673</v>
      </c>
      <c r="F14" s="1184">
        <f t="shared" ref="F14:F18" si="11">$L$5*C14</f>
        <v>35734.833455048276</v>
      </c>
      <c r="G14" s="1184">
        <f t="shared" ref="G14:G18" si="12">$L$6*C14</f>
        <v>42076.433078807022</v>
      </c>
      <c r="H14" s="1184">
        <f t="shared" ref="H14:H18" si="13">$L$7*C14</f>
        <v>40132.762534374422</v>
      </c>
      <c r="I14" s="1184">
        <f t="shared" ref="I14:I18" si="14">$L$8*C14</f>
        <v>0</v>
      </c>
      <c r="J14" s="1190">
        <v>5</v>
      </c>
      <c r="K14" s="1184">
        <f>D14/5</f>
        <v>598.19127121788256</v>
      </c>
      <c r="L14" s="1184">
        <f t="shared" ref="L14:P14" si="15">E14/5</f>
        <v>1357.4640275747347</v>
      </c>
      <c r="M14" s="1184">
        <f t="shared" si="15"/>
        <v>7146.9666910096548</v>
      </c>
      <c r="N14" s="1184">
        <f t="shared" si="15"/>
        <v>8415.2866157614044</v>
      </c>
      <c r="O14" s="1184">
        <f t="shared" si="15"/>
        <v>8026.5525068748848</v>
      </c>
      <c r="P14" s="1184">
        <f t="shared" si="15"/>
        <v>0</v>
      </c>
    </row>
    <row r="15" spans="1:18">
      <c r="A15" s="517"/>
      <c r="B15" s="1190">
        <v>10</v>
      </c>
      <c r="C15" s="1191">
        <v>0.3</v>
      </c>
      <c r="D15" s="1184">
        <f t="shared" si="9"/>
        <v>2990.956356089413</v>
      </c>
      <c r="E15" s="1184">
        <f t="shared" si="10"/>
        <v>6787.320137873673</v>
      </c>
      <c r="F15" s="1184">
        <f t="shared" si="11"/>
        <v>35734.833455048276</v>
      </c>
      <c r="G15" s="1184">
        <f t="shared" si="12"/>
        <v>42076.433078807022</v>
      </c>
      <c r="H15" s="1184">
        <f t="shared" si="13"/>
        <v>40132.762534374422</v>
      </c>
      <c r="I15" s="1184">
        <f t="shared" si="14"/>
        <v>0</v>
      </c>
      <c r="J15" s="1190">
        <v>10</v>
      </c>
      <c r="K15" s="1184">
        <f>D15/10</f>
        <v>299.09563560894128</v>
      </c>
      <c r="L15" s="1184">
        <f t="shared" ref="L15:P15" si="16">E15/10</f>
        <v>678.73201378736735</v>
      </c>
      <c r="M15" s="1184">
        <f t="shared" si="16"/>
        <v>3573.4833455048274</v>
      </c>
      <c r="N15" s="1184">
        <f t="shared" si="16"/>
        <v>4207.6433078807022</v>
      </c>
      <c r="O15" s="1184">
        <f t="shared" si="16"/>
        <v>4013.2762534374424</v>
      </c>
      <c r="P15" s="1184">
        <f t="shared" si="16"/>
        <v>0</v>
      </c>
    </row>
    <row r="16" spans="1:18">
      <c r="A16" s="517"/>
      <c r="B16" s="1190">
        <v>20</v>
      </c>
      <c r="C16" s="1191">
        <v>0.2</v>
      </c>
      <c r="D16" s="1184">
        <f t="shared" si="9"/>
        <v>1993.970904059609</v>
      </c>
      <c r="E16" s="1184">
        <f t="shared" si="10"/>
        <v>4524.8800919157829</v>
      </c>
      <c r="F16" s="1184">
        <f t="shared" si="11"/>
        <v>23823.222303365521</v>
      </c>
      <c r="G16" s="1184">
        <f t="shared" si="12"/>
        <v>28050.955385871348</v>
      </c>
      <c r="H16" s="1184">
        <f t="shared" si="13"/>
        <v>26755.175022916283</v>
      </c>
      <c r="I16" s="1184">
        <f t="shared" si="14"/>
        <v>0</v>
      </c>
      <c r="J16" s="1190">
        <v>20</v>
      </c>
      <c r="K16" s="1184">
        <f>D16/20</f>
        <v>99.698545202980455</v>
      </c>
      <c r="L16" s="1184">
        <f t="shared" ref="L16:P16" si="17">E16/20</f>
        <v>226.24400459578914</v>
      </c>
      <c r="M16" s="1184">
        <f t="shared" si="17"/>
        <v>1191.161115168276</v>
      </c>
      <c r="N16" s="1184">
        <f t="shared" si="17"/>
        <v>1402.5477692935674</v>
      </c>
      <c r="O16" s="1184">
        <f t="shared" si="17"/>
        <v>1337.7587511458141</v>
      </c>
      <c r="P16" s="1184">
        <f t="shared" si="17"/>
        <v>0</v>
      </c>
    </row>
    <row r="17" spans="1:17">
      <c r="A17" s="517"/>
      <c r="B17" s="1190">
        <v>50</v>
      </c>
      <c r="C17" s="1191">
        <v>7.0000000000000007E-2</v>
      </c>
      <c r="D17" s="1184">
        <f t="shared" si="9"/>
        <v>697.8898164208631</v>
      </c>
      <c r="E17" s="1184">
        <f t="shared" si="10"/>
        <v>1583.7080321705239</v>
      </c>
      <c r="F17" s="1184">
        <f t="shared" si="11"/>
        <v>8338.1278061779321</v>
      </c>
      <c r="G17" s="1184">
        <f t="shared" si="12"/>
        <v>9817.8343850549736</v>
      </c>
      <c r="H17" s="1184">
        <f t="shared" si="13"/>
        <v>9364.3112580206998</v>
      </c>
      <c r="I17" s="1184">
        <f t="shared" si="14"/>
        <v>0</v>
      </c>
      <c r="J17" s="1190">
        <v>50</v>
      </c>
      <c r="K17" s="1184">
        <f>D17/50</f>
        <v>13.957796328417261</v>
      </c>
      <c r="L17" s="1184">
        <f t="shared" ref="L17:P17" si="18">E17/50</f>
        <v>31.674160643410477</v>
      </c>
      <c r="M17" s="1184">
        <f t="shared" si="18"/>
        <v>166.76255612355865</v>
      </c>
      <c r="N17" s="1184">
        <f t="shared" si="18"/>
        <v>196.35668770109947</v>
      </c>
      <c r="O17" s="1184">
        <f t="shared" si="18"/>
        <v>187.28622516041401</v>
      </c>
      <c r="P17" s="1184">
        <f t="shared" si="18"/>
        <v>0</v>
      </c>
    </row>
    <row r="18" spans="1:17">
      <c r="A18" s="517"/>
      <c r="B18" s="1190">
        <v>100</v>
      </c>
      <c r="C18" s="1191">
        <v>0.03</v>
      </c>
      <c r="D18" s="1184">
        <f t="shared" si="9"/>
        <v>299.09563560894134</v>
      </c>
      <c r="E18" s="1184">
        <f t="shared" si="10"/>
        <v>678.73201378736735</v>
      </c>
      <c r="F18" s="1184">
        <f t="shared" si="11"/>
        <v>3573.4833455048279</v>
      </c>
      <c r="G18" s="1184">
        <f t="shared" si="12"/>
        <v>4207.6433078807022</v>
      </c>
      <c r="H18" s="1184">
        <f t="shared" si="13"/>
        <v>4013.2762534374419</v>
      </c>
      <c r="I18" s="1184">
        <f t="shared" si="14"/>
        <v>0</v>
      </c>
      <c r="J18" s="1190">
        <v>100</v>
      </c>
      <c r="K18" s="1184">
        <f>D18/100</f>
        <v>2.9909563560894132</v>
      </c>
      <c r="L18" s="1184">
        <f t="shared" ref="L18:P18" si="19">E18/100</f>
        <v>6.7873201378736736</v>
      </c>
      <c r="M18" s="1184">
        <f t="shared" si="19"/>
        <v>35.734833455048282</v>
      </c>
      <c r="N18" s="1184">
        <f t="shared" si="19"/>
        <v>42.076433078807021</v>
      </c>
      <c r="O18" s="1184">
        <f t="shared" si="19"/>
        <v>40.132762534374422</v>
      </c>
      <c r="P18" s="1184">
        <f t="shared" si="19"/>
        <v>0</v>
      </c>
    </row>
    <row r="19" spans="1:17">
      <c r="A19" s="517"/>
      <c r="B19" s="1913" t="s">
        <v>38</v>
      </c>
      <c r="C19" s="1914"/>
      <c r="D19" s="1192">
        <f>SUM(D13:D18)</f>
        <v>9969.8545202980422</v>
      </c>
      <c r="E19" s="1192">
        <f t="shared" ref="E19:I19" si="20">SUM(E13:E18)</f>
        <v>22624.400459578916</v>
      </c>
      <c r="F19" s="1192">
        <f t="shared" si="20"/>
        <v>119116.11151682757</v>
      </c>
      <c r="G19" s="1192">
        <f t="shared" si="20"/>
        <v>140254.77692935674</v>
      </c>
      <c r="H19" s="1192">
        <f t="shared" si="20"/>
        <v>133775.8751145814</v>
      </c>
      <c r="I19" s="1192">
        <f t="shared" si="20"/>
        <v>0</v>
      </c>
      <c r="J19" s="1193" t="s">
        <v>38</v>
      </c>
      <c r="K19" s="1192">
        <f>SUM(K13:K18)</f>
        <v>1512.4269307292134</v>
      </c>
      <c r="L19" s="1192">
        <f t="shared" ref="L19:P19" si="21">SUM(L13:L18)</f>
        <v>3432.1215497181215</v>
      </c>
      <c r="M19" s="1192">
        <f t="shared" si="21"/>
        <v>18069.914117102748</v>
      </c>
      <c r="N19" s="1192">
        <f t="shared" si="21"/>
        <v>21276.649660183419</v>
      </c>
      <c r="O19" s="1192">
        <f t="shared" si="21"/>
        <v>20293.800254881997</v>
      </c>
      <c r="P19" s="1192">
        <f t="shared" si="21"/>
        <v>0</v>
      </c>
    </row>
    <row r="20" spans="1:17">
      <c r="A20" s="517"/>
      <c r="B20" s="1187" t="s">
        <v>1021</v>
      </c>
      <c r="C20" s="1188" t="s">
        <v>1019</v>
      </c>
      <c r="D20" s="1189" t="s">
        <v>1010</v>
      </c>
      <c r="E20" s="1189" t="s">
        <v>1011</v>
      </c>
      <c r="F20" s="1189" t="s">
        <v>1012</v>
      </c>
      <c r="G20" s="1189" t="s">
        <v>1013</v>
      </c>
      <c r="H20" s="1189" t="s">
        <v>1014</v>
      </c>
      <c r="I20" s="1189" t="s">
        <v>1015</v>
      </c>
      <c r="J20" s="1189" t="s">
        <v>1022</v>
      </c>
      <c r="K20" s="1189" t="s">
        <v>1010</v>
      </c>
      <c r="L20" s="1189" t="s">
        <v>1011</v>
      </c>
      <c r="M20" s="1189" t="s">
        <v>1012</v>
      </c>
      <c r="N20" s="1189" t="s">
        <v>1013</v>
      </c>
      <c r="O20" s="1189" t="s">
        <v>1014</v>
      </c>
      <c r="P20" s="1189" t="s">
        <v>1015</v>
      </c>
    </row>
    <row r="21" spans="1:17">
      <c r="A21" s="517"/>
      <c r="B21" s="1194">
        <v>0.05</v>
      </c>
      <c r="C21" s="1191">
        <v>0.05</v>
      </c>
      <c r="D21" s="1184">
        <f>$M$3*C21</f>
        <v>55.388080668322473</v>
      </c>
      <c r="E21" s="1184">
        <f>$M$4*C21</f>
        <v>125.69111366432729</v>
      </c>
      <c r="F21" s="1184">
        <f>$M$5*C21</f>
        <v>661.75617509348672</v>
      </c>
      <c r="G21" s="1184">
        <f>$M$6*C21</f>
        <v>779.19320516309301</v>
      </c>
      <c r="H21" s="1184">
        <f>$M$7*C21</f>
        <v>743.19930619211891</v>
      </c>
      <c r="I21" s="1184">
        <f>$M$8*C21</f>
        <v>0</v>
      </c>
      <c r="J21" s="1194">
        <v>0.05</v>
      </c>
      <c r="K21" s="1184">
        <f>D21/0.05</f>
        <v>1107.7616133664494</v>
      </c>
      <c r="L21" s="1184">
        <f t="shared" ref="L21:P21" si="22">E21/0.05</f>
        <v>2513.8222732865456</v>
      </c>
      <c r="M21" s="1184">
        <f t="shared" si="22"/>
        <v>13235.123501869733</v>
      </c>
      <c r="N21" s="1184">
        <f t="shared" si="22"/>
        <v>15583.86410326186</v>
      </c>
      <c r="O21" s="1184">
        <f t="shared" si="22"/>
        <v>14863.986123842378</v>
      </c>
      <c r="P21" s="1184">
        <f t="shared" si="22"/>
        <v>0</v>
      </c>
      <c r="Q21" s="518"/>
    </row>
    <row r="22" spans="1:17">
      <c r="A22" s="517"/>
      <c r="B22" s="1194">
        <v>0.1</v>
      </c>
      <c r="C22" s="1191">
        <v>0.25</v>
      </c>
      <c r="D22" s="1184">
        <f t="shared" ref="D22:D25" si="23">$M$3*C22</f>
        <v>276.94040334161235</v>
      </c>
      <c r="E22" s="1184">
        <f t="shared" ref="E22:E25" si="24">$M$4*C22</f>
        <v>628.45556832163641</v>
      </c>
      <c r="F22" s="1184">
        <f t="shared" ref="F22:F25" si="25">$M$5*C22</f>
        <v>3308.7808754674334</v>
      </c>
      <c r="G22" s="1184">
        <f t="shared" ref="G22:G25" si="26">$M$6*C22</f>
        <v>3895.9660258154649</v>
      </c>
      <c r="H22" s="1184">
        <f t="shared" ref="H22:H25" si="27">$M$7*C22</f>
        <v>3715.9965309605941</v>
      </c>
      <c r="I22" s="1184">
        <f t="shared" ref="I22:I25" si="28">$M$8*C22</f>
        <v>0</v>
      </c>
      <c r="J22" s="1194">
        <v>0.1</v>
      </c>
      <c r="K22" s="1184">
        <f>D22/0.1</f>
        <v>2769.4040334161232</v>
      </c>
      <c r="L22" s="1184">
        <f t="shared" ref="L22:P22" si="29">E22/0.1</f>
        <v>6284.5556832163638</v>
      </c>
      <c r="M22" s="1184">
        <f t="shared" si="29"/>
        <v>33087.808754674334</v>
      </c>
      <c r="N22" s="1184">
        <f t="shared" si="29"/>
        <v>38959.660258154647</v>
      </c>
      <c r="O22" s="1184">
        <f t="shared" si="29"/>
        <v>37159.965309605941</v>
      </c>
      <c r="P22" s="1184">
        <f t="shared" si="29"/>
        <v>0</v>
      </c>
      <c r="Q22" s="518"/>
    </row>
    <row r="23" spans="1:17">
      <c r="A23" s="517"/>
      <c r="B23" s="1194">
        <v>0.25</v>
      </c>
      <c r="C23" s="1191">
        <v>0.25</v>
      </c>
      <c r="D23" s="1184">
        <f t="shared" si="23"/>
        <v>276.94040334161235</v>
      </c>
      <c r="E23" s="1184">
        <f t="shared" si="24"/>
        <v>628.45556832163641</v>
      </c>
      <c r="F23" s="1184">
        <f t="shared" si="25"/>
        <v>3308.7808754674334</v>
      </c>
      <c r="G23" s="1184">
        <f t="shared" si="26"/>
        <v>3895.9660258154649</v>
      </c>
      <c r="H23" s="1184">
        <f t="shared" si="27"/>
        <v>3715.9965309605941</v>
      </c>
      <c r="I23" s="1184">
        <f t="shared" si="28"/>
        <v>0</v>
      </c>
      <c r="J23" s="1194">
        <v>0.25</v>
      </c>
      <c r="K23" s="1184">
        <f>D23/0.25</f>
        <v>1107.7616133664494</v>
      </c>
      <c r="L23" s="1184">
        <f t="shared" ref="L23:P23" si="30">E23/0.25</f>
        <v>2513.8222732865456</v>
      </c>
      <c r="M23" s="1184">
        <f t="shared" si="30"/>
        <v>13235.123501869733</v>
      </c>
      <c r="N23" s="1184">
        <f t="shared" si="30"/>
        <v>15583.86410326186</v>
      </c>
      <c r="O23" s="1184">
        <f t="shared" si="30"/>
        <v>14863.986123842376</v>
      </c>
      <c r="P23" s="1184">
        <f t="shared" si="30"/>
        <v>0</v>
      </c>
      <c r="Q23" s="518"/>
    </row>
    <row r="24" spans="1:17">
      <c r="A24" s="517"/>
      <c r="B24" s="1194">
        <v>0.5</v>
      </c>
      <c r="C24" s="1191">
        <v>0.3</v>
      </c>
      <c r="D24" s="1184">
        <f t="shared" si="23"/>
        <v>332.32848400993481</v>
      </c>
      <c r="E24" s="1184">
        <f t="shared" si="24"/>
        <v>754.14668198596371</v>
      </c>
      <c r="F24" s="1184">
        <f t="shared" si="25"/>
        <v>3970.5370505609199</v>
      </c>
      <c r="G24" s="1184">
        <f t="shared" si="26"/>
        <v>4675.1592309785574</v>
      </c>
      <c r="H24" s="1184">
        <f t="shared" si="27"/>
        <v>4459.1958371527126</v>
      </c>
      <c r="I24" s="1184">
        <f t="shared" si="28"/>
        <v>0</v>
      </c>
      <c r="J24" s="1194">
        <v>0.5</v>
      </c>
      <c r="K24" s="1184">
        <f>D24/0.5</f>
        <v>664.65696801986962</v>
      </c>
      <c r="L24" s="1184">
        <f t="shared" ref="L24:P24" si="31">E24/0.5</f>
        <v>1508.2933639719274</v>
      </c>
      <c r="M24" s="1184">
        <f t="shared" si="31"/>
        <v>7941.0741011218397</v>
      </c>
      <c r="N24" s="1184">
        <f t="shared" si="31"/>
        <v>9350.3184619571148</v>
      </c>
      <c r="O24" s="1184">
        <f t="shared" si="31"/>
        <v>8918.3916743054251</v>
      </c>
      <c r="P24" s="1184">
        <f t="shared" si="31"/>
        <v>0</v>
      </c>
      <c r="Q24" s="518"/>
    </row>
    <row r="25" spans="1:17">
      <c r="A25" s="517"/>
      <c r="B25" s="1194">
        <v>1</v>
      </c>
      <c r="C25" s="1191">
        <v>0.15</v>
      </c>
      <c r="D25" s="1184">
        <f t="shared" si="23"/>
        <v>166.16424200496741</v>
      </c>
      <c r="E25" s="1184">
        <f t="shared" si="24"/>
        <v>377.07334099298185</v>
      </c>
      <c r="F25" s="1184">
        <f t="shared" si="25"/>
        <v>1985.2685252804599</v>
      </c>
      <c r="G25" s="1184">
        <f t="shared" si="26"/>
        <v>2337.5796154892787</v>
      </c>
      <c r="H25" s="1184">
        <f t="shared" si="27"/>
        <v>2229.5979185763563</v>
      </c>
      <c r="I25" s="1184">
        <f t="shared" si="28"/>
        <v>0</v>
      </c>
      <c r="J25" s="1194">
        <v>1</v>
      </c>
      <c r="K25" s="1184">
        <f>D25/1</f>
        <v>166.16424200496741</v>
      </c>
      <c r="L25" s="1184">
        <f t="shared" ref="L25:P25" si="32">E25/1</f>
        <v>377.07334099298185</v>
      </c>
      <c r="M25" s="1184">
        <f t="shared" si="32"/>
        <v>1985.2685252804599</v>
      </c>
      <c r="N25" s="1184">
        <f t="shared" si="32"/>
        <v>2337.5796154892787</v>
      </c>
      <c r="O25" s="1184">
        <f t="shared" si="32"/>
        <v>2229.5979185763563</v>
      </c>
      <c r="P25" s="1184">
        <f t="shared" si="32"/>
        <v>0</v>
      </c>
      <c r="Q25" s="518"/>
    </row>
    <row r="26" spans="1:17">
      <c r="B26" s="1915" t="s">
        <v>38</v>
      </c>
      <c r="C26" s="1916"/>
      <c r="D26" s="1195">
        <f>SUM(D21:D25)</f>
        <v>1107.7616133664494</v>
      </c>
      <c r="E26" s="1195">
        <f t="shared" ref="E26:I26" si="33">SUM(E21:E25)</f>
        <v>2513.8222732865456</v>
      </c>
      <c r="F26" s="1195">
        <f t="shared" si="33"/>
        <v>13235.123501869733</v>
      </c>
      <c r="G26" s="1195">
        <f t="shared" si="33"/>
        <v>15583.864103261858</v>
      </c>
      <c r="H26" s="1195">
        <f t="shared" si="33"/>
        <v>14863.986123842376</v>
      </c>
      <c r="I26" s="1195">
        <f t="shared" si="33"/>
        <v>0</v>
      </c>
      <c r="J26" s="1186" t="s">
        <v>38</v>
      </c>
      <c r="K26" s="1195">
        <f>SUM(K21:K25)</f>
        <v>5815.7484701738595</v>
      </c>
      <c r="L26" s="1195">
        <f>SUM(L21:L25)</f>
        <v>13197.566934754363</v>
      </c>
      <c r="M26" s="1195">
        <f t="shared" ref="M26" si="34">SUM(M21:M25)</f>
        <v>69484.398384816101</v>
      </c>
      <c r="N26" s="1195">
        <f t="shared" ref="N26" si="35">SUM(N21:N25)</f>
        <v>81815.286542124755</v>
      </c>
      <c r="O26" s="1195">
        <f t="shared" ref="O26" si="36">SUM(O21:O25)</f>
        <v>78035.927150172472</v>
      </c>
      <c r="P26" s="1195">
        <f t="shared" ref="P26" si="37">SUM(P21:P25)</f>
        <v>0</v>
      </c>
      <c r="Q26" s="519"/>
    </row>
  </sheetData>
  <mergeCells count="4">
    <mergeCell ref="B19:C19"/>
    <mergeCell ref="B26:C26"/>
    <mergeCell ref="B11:I11"/>
    <mergeCell ref="J11:P1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Plan33">
    <tabColor rgb="FF3333FF"/>
  </sheetPr>
  <dimension ref="C3:K24"/>
  <sheetViews>
    <sheetView showGridLines="0" workbookViewId="0">
      <selection activeCell="D4" sqref="D4:G36"/>
    </sheetView>
  </sheetViews>
  <sheetFormatPr defaultRowHeight="12.75"/>
  <cols>
    <col min="3" max="3" width="13.140625" customWidth="1"/>
    <col min="6" max="6" width="1.85546875" customWidth="1"/>
    <col min="7" max="7" width="16.85546875" customWidth="1"/>
    <col min="11" max="11" width="18.28515625" customWidth="1"/>
  </cols>
  <sheetData>
    <row r="3" spans="3:11">
      <c r="C3" s="1921" t="s">
        <v>1023</v>
      </c>
      <c r="D3" s="1922"/>
      <c r="E3" s="1922"/>
      <c r="F3" s="1922"/>
      <c r="G3" s="1922"/>
      <c r="H3" s="1922"/>
      <c r="I3" s="1922"/>
      <c r="J3" s="1922"/>
      <c r="K3" s="1923"/>
    </row>
    <row r="4" spans="3:11">
      <c r="C4" s="651"/>
      <c r="D4" s="652"/>
      <c r="E4" s="652"/>
      <c r="F4" s="652"/>
      <c r="G4" s="652"/>
      <c r="H4" s="652"/>
      <c r="I4" s="652"/>
      <c r="J4" s="652"/>
      <c r="K4" s="653"/>
    </row>
    <row r="5" spans="3:11">
      <c r="C5" s="1924" t="s">
        <v>1024</v>
      </c>
      <c r="D5" s="1925"/>
      <c r="E5" s="1926"/>
      <c r="F5" s="1196"/>
      <c r="G5" s="1924" t="s">
        <v>1025</v>
      </c>
      <c r="H5" s="1925"/>
      <c r="I5" s="1925"/>
      <c r="J5" s="1925"/>
      <c r="K5" s="1926"/>
    </row>
    <row r="6" spans="3:11">
      <c r="C6" s="1164">
        <v>15</v>
      </c>
      <c r="D6" s="1197" t="s">
        <v>1026</v>
      </c>
      <c r="E6" s="1198"/>
      <c r="F6" s="267"/>
      <c r="G6" s="1168">
        <f>SUM('Crono Pessoal'!AL138:AL143)</f>
        <v>0</v>
      </c>
      <c r="H6" s="1918" t="s">
        <v>1027</v>
      </c>
      <c r="I6" s="1919"/>
      <c r="J6" s="1919"/>
      <c r="K6" s="1920"/>
    </row>
    <row r="7" spans="3:11">
      <c r="C7" s="1164">
        <v>2</v>
      </c>
      <c r="D7" s="1197" t="s">
        <v>1028</v>
      </c>
      <c r="E7" s="1198"/>
      <c r="F7" s="267"/>
      <c r="G7" s="1168">
        <v>12</v>
      </c>
      <c r="H7" s="1918" t="s">
        <v>1029</v>
      </c>
      <c r="I7" s="1919"/>
      <c r="J7" s="1919"/>
      <c r="K7" s="1920"/>
    </row>
    <row r="8" spans="3:11">
      <c r="C8" s="1164">
        <v>3</v>
      </c>
      <c r="D8" s="1197" t="s">
        <v>1030</v>
      </c>
      <c r="E8" s="1198"/>
      <c r="F8" s="267"/>
      <c r="G8" s="1168">
        <v>3</v>
      </c>
      <c r="H8" s="1918" t="s">
        <v>1031</v>
      </c>
      <c r="I8" s="1919"/>
      <c r="J8" s="1919"/>
      <c r="K8" s="1920"/>
    </row>
    <row r="9" spans="3:11">
      <c r="C9" s="1199">
        <v>2.5</v>
      </c>
      <c r="D9" s="1197" t="s">
        <v>1032</v>
      </c>
      <c r="E9" s="1198"/>
      <c r="F9" s="267"/>
      <c r="G9" s="1168">
        <f>+G6/G7/G8</f>
        <v>0</v>
      </c>
      <c r="H9" s="1918" t="s">
        <v>1033</v>
      </c>
      <c r="I9" s="1919"/>
      <c r="J9" s="1919"/>
      <c r="K9" s="1920"/>
    </row>
    <row r="10" spans="3:11">
      <c r="C10" s="1199">
        <f>+C6*C7*C8*C9</f>
        <v>225</v>
      </c>
      <c r="D10" s="1197" t="s">
        <v>1034</v>
      </c>
      <c r="E10" s="1198"/>
      <c r="F10" s="267"/>
      <c r="G10" s="1168">
        <v>5</v>
      </c>
      <c r="H10" s="1918" t="s">
        <v>1035</v>
      </c>
      <c r="I10" s="1919"/>
      <c r="J10" s="1919"/>
      <c r="K10" s="1920"/>
    </row>
    <row r="11" spans="3:11">
      <c r="C11" s="1164">
        <v>30</v>
      </c>
      <c r="D11" s="1197" t="s">
        <v>1036</v>
      </c>
      <c r="E11" s="1198"/>
      <c r="F11" s="267"/>
      <c r="G11" s="1200">
        <f>C12</f>
        <v>6750</v>
      </c>
      <c r="H11" s="1918" t="s">
        <v>1037</v>
      </c>
      <c r="I11" s="1919"/>
      <c r="J11" s="1919"/>
      <c r="K11" s="1920"/>
    </row>
    <row r="12" spans="3:11">
      <c r="C12" s="1201">
        <f>+C10*C11</f>
        <v>6750</v>
      </c>
      <c r="D12" s="1197" t="s">
        <v>1038</v>
      </c>
      <c r="E12" s="1198"/>
      <c r="F12" s="267"/>
      <c r="G12" s="1200">
        <f>+G10*G11</f>
        <v>33750</v>
      </c>
      <c r="H12" s="1918" t="s">
        <v>1039</v>
      </c>
      <c r="I12" s="1919"/>
      <c r="J12" s="1919"/>
      <c r="K12" s="1920"/>
    </row>
    <row r="13" spans="3:11">
      <c r="C13" s="329"/>
      <c r="D13" s="267"/>
      <c r="E13" s="267"/>
      <c r="F13" s="267"/>
      <c r="G13" s="1202">
        <v>12</v>
      </c>
      <c r="H13" s="1918" t="s">
        <v>1040</v>
      </c>
      <c r="I13" s="1919"/>
      <c r="J13" s="1919"/>
      <c r="K13" s="1920"/>
    </row>
    <row r="14" spans="3:11">
      <c r="C14" s="329"/>
      <c r="D14" s="267"/>
      <c r="E14" s="267"/>
      <c r="F14" s="267"/>
      <c r="G14" s="1202">
        <v>30</v>
      </c>
      <c r="H14" s="1918" t="s">
        <v>1041</v>
      </c>
      <c r="I14" s="1919"/>
      <c r="J14" s="1919"/>
      <c r="K14" s="1920"/>
    </row>
    <row r="15" spans="3:11">
      <c r="C15" s="329"/>
      <c r="D15" s="267"/>
      <c r="E15" s="267"/>
      <c r="F15" s="267"/>
      <c r="G15" s="1203">
        <f>+G12*G13*G14</f>
        <v>12150000</v>
      </c>
      <c r="H15" s="1918" t="s">
        <v>1042</v>
      </c>
      <c r="I15" s="1919"/>
      <c r="J15" s="1919"/>
      <c r="K15" s="1920"/>
    </row>
    <row r="16" spans="3:11">
      <c r="C16" s="1204"/>
      <c r="D16" s="1205"/>
      <c r="E16" s="1205"/>
      <c r="F16" s="1205"/>
      <c r="G16" s="1203">
        <f>+G15/30</f>
        <v>405000</v>
      </c>
      <c r="H16" s="1918" t="s">
        <v>1043</v>
      </c>
      <c r="I16" s="1919"/>
      <c r="J16" s="1919"/>
      <c r="K16" s="1920"/>
    </row>
    <row r="24" spans="7:7">
      <c r="G24" s="163"/>
    </row>
  </sheetData>
  <mergeCells count="14">
    <mergeCell ref="H16:K16"/>
    <mergeCell ref="C3:K3"/>
    <mergeCell ref="H10:K10"/>
    <mergeCell ref="H11:K11"/>
    <mergeCell ref="H12:K12"/>
    <mergeCell ref="H13:K13"/>
    <mergeCell ref="H14:K14"/>
    <mergeCell ref="H15:K15"/>
    <mergeCell ref="C5:E5"/>
    <mergeCell ref="G5:K5"/>
    <mergeCell ref="H6:K6"/>
    <mergeCell ref="H7:K7"/>
    <mergeCell ref="H8:K8"/>
    <mergeCell ref="H9:K9"/>
  </mergeCells>
  <pageMargins left="0.511811024" right="0.511811024" top="0.78740157499999996" bottom="0.78740157499999996" header="0.31496062000000002" footer="0.3149606200000000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Plan22">
    <tabColor rgb="FF3333FF"/>
  </sheetPr>
  <dimension ref="A1:BA398"/>
  <sheetViews>
    <sheetView topLeftCell="A171" workbookViewId="0">
      <selection activeCell="D4" sqref="D4:G36"/>
    </sheetView>
  </sheetViews>
  <sheetFormatPr defaultRowHeight="15"/>
  <cols>
    <col min="1" max="3" width="1.7109375" customWidth="1"/>
    <col min="4" max="4" width="6.7109375" customWidth="1"/>
    <col min="5" max="5" width="35.28515625" style="411" customWidth="1"/>
    <col min="6" max="8" width="12.140625" style="165" customWidth="1"/>
    <col min="9" max="9" width="12" customWidth="1"/>
    <col min="11" max="11" width="4" customWidth="1"/>
    <col min="12" max="12" width="18.140625" customWidth="1"/>
    <col min="13" max="13" width="9.28515625" customWidth="1"/>
    <col min="14" max="14" width="15" customWidth="1"/>
    <col min="15" max="15" width="17.5703125" customWidth="1"/>
    <col min="16" max="16" width="9.5703125" customWidth="1"/>
    <col min="17" max="17" width="19.5703125" customWidth="1"/>
    <col min="18" max="18" width="2.7109375" customWidth="1"/>
  </cols>
  <sheetData>
    <row r="1" spans="1:53" ht="9" customHeight="1">
      <c r="A1" s="240"/>
      <c r="B1" s="240"/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240"/>
      <c r="O1" s="240"/>
      <c r="P1" s="240"/>
      <c r="Q1" s="240"/>
      <c r="R1" s="240"/>
      <c r="S1" s="240"/>
      <c r="T1" s="240"/>
      <c r="U1" s="240"/>
      <c r="V1" s="240"/>
      <c r="W1" s="240"/>
      <c r="X1" s="240"/>
      <c r="Y1" s="240"/>
      <c r="Z1" s="240"/>
      <c r="AA1" s="240"/>
      <c r="AB1" s="240"/>
      <c r="AC1" s="240"/>
      <c r="AD1" s="240"/>
      <c r="AE1" s="240"/>
      <c r="AF1" s="240"/>
      <c r="AG1" s="240"/>
      <c r="AH1" s="240"/>
      <c r="AI1" s="240"/>
      <c r="AJ1" s="240"/>
      <c r="AK1" s="240"/>
      <c r="AL1" s="240"/>
      <c r="AM1" s="240"/>
      <c r="AN1" s="240"/>
      <c r="AO1" s="240"/>
      <c r="AP1" s="240"/>
      <c r="AQ1" s="240"/>
      <c r="AR1" s="240"/>
      <c r="AS1" s="240"/>
      <c r="AT1" s="240"/>
      <c r="AU1" s="240"/>
      <c r="AV1" s="240"/>
      <c r="AW1" s="240"/>
      <c r="AX1" s="240"/>
      <c r="AY1" s="240"/>
      <c r="AZ1" s="240"/>
      <c r="BA1" s="240"/>
    </row>
    <row r="2" spans="1:53" ht="9" customHeight="1">
      <c r="A2" s="240"/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  <c r="T2" s="242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  <c r="AF2" s="242"/>
      <c r="AG2" s="242"/>
      <c r="AH2" s="242"/>
      <c r="AI2" s="242"/>
      <c r="AJ2" s="242"/>
      <c r="AK2" s="242"/>
      <c r="AL2" s="242"/>
      <c r="AM2" s="242"/>
      <c r="AN2" s="242"/>
      <c r="AO2" s="242"/>
      <c r="AP2" s="242"/>
      <c r="AQ2" s="242"/>
      <c r="AR2" s="242"/>
      <c r="AS2" s="242"/>
      <c r="AT2" s="242"/>
      <c r="AU2" s="242"/>
      <c r="AV2" s="242"/>
      <c r="AW2" s="242"/>
      <c r="AX2" s="242"/>
      <c r="AY2" s="242"/>
      <c r="AZ2" s="242"/>
      <c r="BA2" s="242"/>
    </row>
    <row r="3" spans="1:53" ht="9" customHeight="1">
      <c r="A3" s="240"/>
      <c r="B3" s="242"/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</row>
    <row r="4" spans="1:53" ht="28.5" customHeight="1">
      <c r="A4" s="240"/>
      <c r="B4" s="242"/>
      <c r="C4" s="243"/>
      <c r="E4" s="1927" t="s">
        <v>1044</v>
      </c>
      <c r="F4" s="1927"/>
      <c r="G4" s="1927"/>
      <c r="H4" s="1927"/>
      <c r="I4" s="283"/>
      <c r="J4" s="283"/>
      <c r="K4" s="283"/>
      <c r="L4" s="283"/>
      <c r="M4" s="283"/>
      <c r="N4" s="283"/>
      <c r="O4" s="283"/>
      <c r="P4" s="283"/>
      <c r="Q4" s="283"/>
      <c r="R4" s="283"/>
      <c r="S4" s="283"/>
      <c r="T4" s="283"/>
      <c r="U4" s="283"/>
      <c r="V4" s="283"/>
      <c r="W4" s="283"/>
      <c r="X4" s="283"/>
      <c r="Y4" s="283"/>
      <c r="Z4" s="283"/>
    </row>
    <row r="5" spans="1:53" ht="30">
      <c r="A5" s="240"/>
      <c r="B5" s="242"/>
      <c r="C5" s="243"/>
      <c r="D5" s="1206" t="s">
        <v>1045</v>
      </c>
      <c r="E5" s="1207" t="s">
        <v>1046</v>
      </c>
      <c r="F5" s="1208" t="s">
        <v>1047</v>
      </c>
      <c r="G5" s="1208" t="s">
        <v>1048</v>
      </c>
      <c r="H5" s="1208" t="s">
        <v>1049</v>
      </c>
      <c r="I5" s="510" t="s">
        <v>1050</v>
      </c>
      <c r="J5" s="283"/>
      <c r="K5" s="283"/>
      <c r="L5" s="1209" t="s">
        <v>1051</v>
      </c>
      <c r="M5" s="1210"/>
      <c r="N5" s="1210"/>
      <c r="O5" s="1209" t="s">
        <v>1052</v>
      </c>
      <c r="P5" s="1210"/>
      <c r="Q5" s="1210"/>
      <c r="R5" s="465"/>
      <c r="S5" s="1211"/>
      <c r="T5" s="465"/>
      <c r="U5" s="465"/>
      <c r="V5" s="465"/>
      <c r="W5" s="465"/>
      <c r="X5" s="465"/>
      <c r="Y5" s="283"/>
      <c r="Z5" s="283"/>
    </row>
    <row r="6" spans="1:53" ht="12.75">
      <c r="A6" s="240"/>
      <c r="B6" s="242"/>
      <c r="C6" s="243"/>
      <c r="D6" s="1050" t="s">
        <v>1053</v>
      </c>
      <c r="E6" s="1212" t="s">
        <v>1054</v>
      </c>
      <c r="F6" s="1213">
        <v>48590.990775000006</v>
      </c>
      <c r="G6" s="1213">
        <v>53450.089852500008</v>
      </c>
      <c r="H6" s="1213">
        <v>51020.540313750011</v>
      </c>
      <c r="I6" s="511">
        <v>48590.990775000006</v>
      </c>
      <c r="J6" s="283"/>
      <c r="K6" s="283"/>
      <c r="L6" s="1214" t="s">
        <v>1055</v>
      </c>
      <c r="M6" s="1215">
        <f t="shared" ref="M6:M11" si="0">M19</f>
        <v>407</v>
      </c>
      <c r="N6" s="1216" t="s">
        <v>1056</v>
      </c>
      <c r="O6" s="1217" t="s">
        <v>1057</v>
      </c>
      <c r="P6" s="1218">
        <v>15</v>
      </c>
      <c r="Q6" s="1216" t="s">
        <v>1056</v>
      </c>
      <c r="R6" s="465"/>
      <c r="S6" s="1211"/>
      <c r="T6" s="465"/>
      <c r="U6" s="465"/>
      <c r="V6" s="465"/>
      <c r="W6" s="465"/>
      <c r="X6" s="465"/>
      <c r="Y6" s="283"/>
      <c r="Z6" s="283"/>
    </row>
    <row r="7" spans="1:53" ht="12.75">
      <c r="A7" s="240"/>
      <c r="B7" s="242"/>
      <c r="C7" s="243"/>
      <c r="D7" s="1050" t="s">
        <v>755</v>
      </c>
      <c r="E7" s="1212" t="s">
        <v>921</v>
      </c>
      <c r="F7" s="1213">
        <v>47254.188105000001</v>
      </c>
      <c r="G7" s="1213">
        <v>51979.606915500008</v>
      </c>
      <c r="H7" s="1213">
        <v>49616.897510250004</v>
      </c>
      <c r="I7" s="511">
        <v>47254.188105000001</v>
      </c>
      <c r="J7" s="283"/>
      <c r="K7" s="283"/>
      <c r="L7" s="1214" t="s">
        <v>1058</v>
      </c>
      <c r="M7" s="1215">
        <f t="shared" si="0"/>
        <v>140</v>
      </c>
      <c r="N7" s="1216" t="s">
        <v>1056</v>
      </c>
      <c r="O7" s="1217" t="s">
        <v>1059</v>
      </c>
      <c r="P7" s="1218">
        <v>15</v>
      </c>
      <c r="Q7" s="1216" t="s">
        <v>1056</v>
      </c>
      <c r="R7" s="465"/>
      <c r="S7" s="1211"/>
      <c r="T7" s="465"/>
      <c r="U7" s="465"/>
      <c r="V7" s="465"/>
      <c r="W7" s="465"/>
      <c r="X7" s="465"/>
      <c r="Y7" s="283"/>
      <c r="Z7" s="283"/>
    </row>
    <row r="8" spans="1:53" ht="12.75">
      <c r="A8" s="240"/>
      <c r="B8" s="242"/>
      <c r="C8" s="243"/>
      <c r="D8" s="1050" t="s">
        <v>1060</v>
      </c>
      <c r="E8" s="1212" t="s">
        <v>1061</v>
      </c>
      <c r="F8" s="1213">
        <v>43153.010549999999</v>
      </c>
      <c r="G8" s="1213">
        <v>47468.311605000003</v>
      </c>
      <c r="H8" s="1213">
        <v>45310.661077500001</v>
      </c>
      <c r="I8" s="511">
        <v>43153.010549999999</v>
      </c>
      <c r="J8" s="283"/>
      <c r="K8" s="283"/>
      <c r="L8" s="1214" t="s">
        <v>1062</v>
      </c>
      <c r="M8" s="1215">
        <f t="shared" si="0"/>
        <v>0</v>
      </c>
      <c r="N8" s="1216" t="s">
        <v>1056</v>
      </c>
      <c r="O8" s="1214" t="s">
        <v>1063</v>
      </c>
      <c r="P8" s="1218">
        <v>15</v>
      </c>
      <c r="Q8" s="1216" t="s">
        <v>1056</v>
      </c>
      <c r="R8" s="465"/>
      <c r="S8" s="1211"/>
      <c r="T8" s="465"/>
      <c r="U8" s="465"/>
      <c r="V8" s="465"/>
      <c r="W8" s="465"/>
      <c r="X8" s="465"/>
      <c r="Y8" s="283"/>
      <c r="Z8" s="283"/>
    </row>
    <row r="9" spans="1:53" ht="12.75">
      <c r="A9" s="240"/>
      <c r="B9" s="242"/>
      <c r="C9" s="243"/>
      <c r="D9" s="1050" t="s">
        <v>822</v>
      </c>
      <c r="E9" s="1212" t="s">
        <v>1064</v>
      </c>
      <c r="F9" s="1213">
        <v>43153.010549999999</v>
      </c>
      <c r="G9" s="1213">
        <v>47468.311605000003</v>
      </c>
      <c r="H9" s="1213">
        <v>45310.661077500001</v>
      </c>
      <c r="I9" s="511">
        <v>43153.010549999999</v>
      </c>
      <c r="J9" s="283"/>
      <c r="K9" s="283"/>
      <c r="L9" s="1214" t="s">
        <v>1065</v>
      </c>
      <c r="M9" s="1215">
        <f t="shared" si="0"/>
        <v>0</v>
      </c>
      <c r="N9" s="1216" t="s">
        <v>1056</v>
      </c>
      <c r="O9" s="1214" t="s">
        <v>1066</v>
      </c>
      <c r="P9" s="1218">
        <v>20</v>
      </c>
      <c r="Q9" s="1216" t="s">
        <v>1056</v>
      </c>
      <c r="R9" s="465"/>
      <c r="S9" s="1211"/>
      <c r="T9" s="465"/>
      <c r="U9" s="465"/>
      <c r="V9" s="465"/>
      <c r="W9" s="465"/>
      <c r="X9" s="465"/>
      <c r="Y9" s="283"/>
      <c r="Z9" s="283"/>
    </row>
    <row r="10" spans="1:53" ht="12.75">
      <c r="A10" s="240"/>
      <c r="B10" s="242"/>
      <c r="C10" s="243"/>
      <c r="D10" s="1050" t="s">
        <v>1067</v>
      </c>
      <c r="E10" s="1212" t="s">
        <v>1068</v>
      </c>
      <c r="F10" s="1213">
        <v>43153.010549999999</v>
      </c>
      <c r="G10" s="1213">
        <v>47468.311605000003</v>
      </c>
      <c r="H10" s="1213">
        <v>45310.661077500001</v>
      </c>
      <c r="I10" s="511">
        <v>43153.010549999999</v>
      </c>
      <c r="J10" s="283"/>
      <c r="K10" s="283"/>
      <c r="L10" s="1214" t="s">
        <v>1069</v>
      </c>
      <c r="M10" s="1215">
        <f t="shared" si="0"/>
        <v>266.42</v>
      </c>
      <c r="N10" s="1216" t="s">
        <v>1056</v>
      </c>
      <c r="O10" s="1214" t="s">
        <v>1070</v>
      </c>
      <c r="P10" s="1218">
        <v>5</v>
      </c>
      <c r="Q10" s="1216" t="s">
        <v>1056</v>
      </c>
      <c r="R10" s="465"/>
      <c r="S10" s="1211"/>
      <c r="T10" s="465"/>
      <c r="U10" s="465"/>
      <c r="V10" s="465"/>
      <c r="W10" s="465"/>
      <c r="X10" s="465"/>
      <c r="Y10" s="283"/>
      <c r="Z10" s="283"/>
    </row>
    <row r="11" spans="1:53" ht="12.75">
      <c r="A11" s="240"/>
      <c r="B11" s="242"/>
      <c r="C11" s="243"/>
      <c r="D11" s="1050" t="s">
        <v>823</v>
      </c>
      <c r="E11" s="1212" t="s">
        <v>920</v>
      </c>
      <c r="F11" s="1213">
        <v>43153.010549999999</v>
      </c>
      <c r="G11" s="1213">
        <v>47468.311605000003</v>
      </c>
      <c r="H11" s="1213">
        <v>45310.661077500001</v>
      </c>
      <c r="I11" s="511">
        <v>43153.010549999999</v>
      </c>
      <c r="J11" s="283"/>
      <c r="K11" s="283"/>
      <c r="L11" s="1214" t="s">
        <v>278</v>
      </c>
      <c r="M11" s="1215">
        <f t="shared" si="0"/>
        <v>15.5</v>
      </c>
      <c r="N11" s="1216" t="s">
        <v>1056</v>
      </c>
      <c r="O11" s="1214" t="s">
        <v>1071</v>
      </c>
      <c r="P11" s="1218">
        <v>25</v>
      </c>
      <c r="Q11" s="1216" t="s">
        <v>1056</v>
      </c>
      <c r="R11" s="465"/>
      <c r="S11" s="1211"/>
      <c r="T11" s="465"/>
      <c r="U11" s="465"/>
      <c r="V11" s="465"/>
      <c r="W11" s="465"/>
      <c r="X11" s="465"/>
      <c r="Y11" s="283"/>
      <c r="Z11" s="283"/>
    </row>
    <row r="12" spans="1:53" ht="12.75">
      <c r="A12" s="240"/>
      <c r="B12" s="242"/>
      <c r="C12" s="243"/>
      <c r="D12" s="1050" t="s">
        <v>1072</v>
      </c>
      <c r="E12" s="1212" t="s">
        <v>1073</v>
      </c>
      <c r="F12" s="1213">
        <v>40573.332000000002</v>
      </c>
      <c r="G12" s="1213">
        <v>44630.665200000003</v>
      </c>
      <c r="H12" s="1213">
        <v>42601.998600000006</v>
      </c>
      <c r="I12" s="511">
        <v>40573.332000000002</v>
      </c>
      <c r="J12" s="283"/>
      <c r="K12" s="283"/>
      <c r="L12" s="1214"/>
      <c r="M12" s="1215"/>
      <c r="N12" s="1216"/>
      <c r="O12" s="1219"/>
      <c r="P12" s="1215"/>
      <c r="Q12" s="1216"/>
      <c r="R12" s="1220"/>
      <c r="S12" s="1211"/>
      <c r="T12" s="465"/>
      <c r="U12" s="465"/>
      <c r="V12" s="465"/>
      <c r="W12" s="465"/>
      <c r="X12" s="465"/>
      <c r="Y12" s="283"/>
      <c r="Z12" s="283"/>
    </row>
    <row r="13" spans="1:53" ht="12.75">
      <c r="A13" s="240"/>
      <c r="B13" s="242"/>
      <c r="C13" s="243"/>
      <c r="D13" s="1050" t="s">
        <v>1074</v>
      </c>
      <c r="E13" s="1212" t="s">
        <v>1075</v>
      </c>
      <c r="F13" s="1213">
        <v>29543.4</v>
      </c>
      <c r="G13" s="1213">
        <v>32497.740000000005</v>
      </c>
      <c r="H13" s="1213">
        <v>31020.570000000003</v>
      </c>
      <c r="I13" s="511">
        <v>29543.4</v>
      </c>
      <c r="J13" s="283"/>
      <c r="K13" s="283"/>
      <c r="L13" s="1214"/>
      <c r="M13" s="1215"/>
      <c r="N13" s="1216"/>
      <c r="O13" s="1219"/>
      <c r="P13" s="1219"/>
      <c r="Q13" s="1219"/>
      <c r="R13" s="465"/>
      <c r="S13" s="465"/>
      <c r="T13" s="465"/>
      <c r="U13" s="465"/>
      <c r="V13" s="465"/>
      <c r="W13" s="465"/>
      <c r="X13" s="465"/>
      <c r="Y13" s="283"/>
      <c r="Z13" s="283"/>
    </row>
    <row r="14" spans="1:53" ht="12.75">
      <c r="A14" s="240"/>
      <c r="B14" s="242"/>
      <c r="C14" s="243"/>
      <c r="D14" s="1050" t="s">
        <v>826</v>
      </c>
      <c r="E14" s="1212" t="s">
        <v>1076</v>
      </c>
      <c r="F14" s="1213">
        <v>18237.90465</v>
      </c>
      <c r="G14" s="1213">
        <v>20061.695115000002</v>
      </c>
      <c r="H14" s="1213">
        <v>19149.799882500003</v>
      </c>
      <c r="I14" s="511">
        <v>18237.90465</v>
      </c>
      <c r="J14" s="283"/>
      <c r="K14" s="283"/>
      <c r="L14" s="1214"/>
      <c r="M14" s="1215"/>
      <c r="N14" s="1216"/>
      <c r="O14" s="1219"/>
      <c r="P14" s="1219"/>
      <c r="Q14" s="1219"/>
      <c r="R14" s="465"/>
      <c r="S14" s="465"/>
      <c r="T14" s="465"/>
      <c r="U14" s="465"/>
      <c r="V14" s="465"/>
      <c r="W14" s="465"/>
      <c r="X14" s="465"/>
      <c r="Y14" s="283"/>
      <c r="Z14" s="283"/>
    </row>
    <row r="15" spans="1:53" ht="12.75">
      <c r="A15" s="240"/>
      <c r="B15" s="242"/>
      <c r="C15" s="243"/>
      <c r="D15" s="1050" t="s">
        <v>848</v>
      </c>
      <c r="E15" s="1212" t="s">
        <v>1077</v>
      </c>
      <c r="F15" s="1213">
        <v>17724.150000000001</v>
      </c>
      <c r="G15" s="1213">
        <v>19496.565000000002</v>
      </c>
      <c r="H15" s="1213">
        <v>18610.357500000002</v>
      </c>
      <c r="I15" s="511">
        <v>17724.150000000001</v>
      </c>
      <c r="J15" s="283"/>
      <c r="K15" s="283"/>
      <c r="L15" s="462" t="s">
        <v>249</v>
      </c>
      <c r="M15" s="463">
        <f>SUM(M6:M13)</f>
        <v>828.92000000000007</v>
      </c>
      <c r="N15" s="464" t="s">
        <v>1078</v>
      </c>
      <c r="O15" s="462" t="s">
        <v>249</v>
      </c>
      <c r="P15" s="463">
        <f>SUM(P6:P13)</f>
        <v>95</v>
      </c>
      <c r="Q15" s="464" t="s">
        <v>1078</v>
      </c>
      <c r="R15" s="465"/>
      <c r="S15" s="465"/>
      <c r="T15" s="465"/>
      <c r="U15" s="465"/>
      <c r="V15" s="465"/>
      <c r="W15" s="465"/>
      <c r="X15" s="465"/>
      <c r="Y15" s="283"/>
      <c r="Z15" s="283"/>
    </row>
    <row r="16" spans="1:53" ht="12.75">
      <c r="A16" s="240"/>
      <c r="B16" s="242"/>
      <c r="C16" s="243"/>
      <c r="D16" s="1050" t="s">
        <v>1079</v>
      </c>
      <c r="E16" s="1212" t="s">
        <v>1080</v>
      </c>
      <c r="F16" s="1213">
        <v>16992.170145</v>
      </c>
      <c r="G16" s="1213">
        <v>18691.387159500002</v>
      </c>
      <c r="H16" s="1213">
        <v>17841.778652250003</v>
      </c>
      <c r="I16" s="511">
        <v>16992.170145</v>
      </c>
      <c r="J16" s="283"/>
      <c r="K16" s="283"/>
      <c r="L16" s="289"/>
      <c r="M16" s="283"/>
      <c r="N16" s="283"/>
      <c r="O16" s="283"/>
      <c r="P16" s="283"/>
      <c r="Q16" s="290"/>
      <c r="R16" s="283"/>
      <c r="S16" s="283"/>
      <c r="T16" s="283"/>
      <c r="U16" s="283"/>
      <c r="V16" s="283"/>
      <c r="W16" s="283"/>
      <c r="X16" s="283"/>
      <c r="Y16" s="283"/>
      <c r="Z16" s="283"/>
    </row>
    <row r="17" spans="1:26" ht="12.75">
      <c r="A17" s="240"/>
      <c r="B17" s="242"/>
      <c r="C17" s="243"/>
      <c r="D17" s="1050" t="s">
        <v>1081</v>
      </c>
      <c r="E17" s="1212" t="s">
        <v>1082</v>
      </c>
      <c r="F17" s="1213">
        <v>16944.678090000001</v>
      </c>
      <c r="G17" s="1213">
        <v>18639.145899000003</v>
      </c>
      <c r="H17" s="1213">
        <v>17791.911994500002</v>
      </c>
      <c r="I17" s="511">
        <v>16944.678090000001</v>
      </c>
      <c r="J17" s="283"/>
      <c r="K17" s="283"/>
      <c r="L17" s="289"/>
      <c r="M17" s="283"/>
      <c r="N17" s="283"/>
      <c r="O17" s="283"/>
      <c r="P17" s="283"/>
      <c r="Q17" s="290"/>
      <c r="R17" s="283"/>
      <c r="S17" s="283"/>
      <c r="T17" s="283"/>
      <c r="U17" s="283"/>
      <c r="V17" s="283"/>
      <c r="W17" s="283"/>
      <c r="X17" s="283"/>
      <c r="Y17" s="283"/>
      <c r="Z17" s="283"/>
    </row>
    <row r="18" spans="1:26" ht="12.75">
      <c r="A18" s="240"/>
      <c r="B18" s="242"/>
      <c r="C18" s="243"/>
      <c r="D18" s="1050" t="s">
        <v>1083</v>
      </c>
      <c r="E18" s="1212" t="s">
        <v>1084</v>
      </c>
      <c r="F18" s="1213">
        <v>16668.885645000002</v>
      </c>
      <c r="G18" s="1213">
        <v>18335.774209500003</v>
      </c>
      <c r="H18" s="1213">
        <v>17502.329927250001</v>
      </c>
      <c r="I18" s="511">
        <v>16668.885645000002</v>
      </c>
      <c r="J18" s="283"/>
      <c r="K18" s="283"/>
      <c r="L18" s="289"/>
      <c r="M18" s="283"/>
      <c r="N18" s="283"/>
      <c r="O18" s="283"/>
      <c r="P18" s="283"/>
      <c r="Q18" s="290"/>
      <c r="R18" s="283"/>
      <c r="S18" s="283"/>
      <c r="T18" s="283"/>
      <c r="U18" s="283"/>
      <c r="V18" s="283"/>
      <c r="W18" s="283"/>
      <c r="X18" s="283"/>
      <c r="Y18" s="283"/>
      <c r="Z18" s="283"/>
    </row>
    <row r="19" spans="1:26" ht="12.75">
      <c r="A19" s="240"/>
      <c r="B19" s="242"/>
      <c r="C19" s="243"/>
      <c r="D19" s="1050" t="s">
        <v>1085</v>
      </c>
      <c r="E19" s="1212" t="s">
        <v>1086</v>
      </c>
      <c r="F19" s="1213">
        <v>16400.971530000003</v>
      </c>
      <c r="G19" s="1213">
        <v>18041.068683000005</v>
      </c>
      <c r="H19" s="1213">
        <v>17221.020106500004</v>
      </c>
      <c r="I19" s="511">
        <v>16400.971530000003</v>
      </c>
      <c r="J19" s="283"/>
      <c r="K19" s="283"/>
      <c r="L19" s="466" t="s">
        <v>1087</v>
      </c>
      <c r="M19" s="558">
        <f>18.5*22</f>
        <v>407</v>
      </c>
      <c r="N19" s="283" t="s">
        <v>1088</v>
      </c>
      <c r="O19" s="283"/>
      <c r="P19" s="283"/>
      <c r="Q19" s="290"/>
      <c r="R19" s="283"/>
      <c r="S19" s="283"/>
      <c r="T19" s="283"/>
      <c r="U19" s="283"/>
      <c r="V19" s="283"/>
      <c r="W19" s="283"/>
      <c r="X19" s="283"/>
      <c r="Y19" s="283"/>
      <c r="Z19" s="283"/>
    </row>
    <row r="20" spans="1:26" ht="12.75">
      <c r="A20" s="240"/>
      <c r="B20" s="242"/>
      <c r="C20" s="243"/>
      <c r="D20" s="1050" t="s">
        <v>837</v>
      </c>
      <c r="E20" s="1212" t="s">
        <v>1089</v>
      </c>
      <c r="F20" s="1213">
        <v>14829.916860000001</v>
      </c>
      <c r="G20" s="1213">
        <v>16312.908546000002</v>
      </c>
      <c r="H20" s="1213">
        <v>15571.412703000002</v>
      </c>
      <c r="I20" s="511">
        <v>14829.916860000001</v>
      </c>
      <c r="J20" s="283"/>
      <c r="K20" s="283"/>
      <c r="L20" s="466" t="s">
        <v>1090</v>
      </c>
      <c r="M20" s="558">
        <v>140</v>
      </c>
      <c r="N20" s="283" t="s">
        <v>1091</v>
      </c>
      <c r="O20" s="283"/>
      <c r="P20" s="283"/>
      <c r="Q20" s="290"/>
      <c r="R20" s="283"/>
      <c r="S20" s="283"/>
      <c r="T20" s="283"/>
      <c r="U20" s="283"/>
      <c r="V20" s="283"/>
      <c r="W20" s="283"/>
      <c r="X20" s="283"/>
      <c r="Y20" s="283"/>
      <c r="Z20" s="283"/>
    </row>
    <row r="21" spans="1:26" ht="12.75">
      <c r="A21" s="240"/>
      <c r="B21" s="242"/>
      <c r="C21" s="243"/>
      <c r="D21" s="1050" t="s">
        <v>828</v>
      </c>
      <c r="E21" s="1212" t="s">
        <v>1092</v>
      </c>
      <c r="F21" s="1213">
        <v>14829.916860000001</v>
      </c>
      <c r="G21" s="1213">
        <v>16312.908546000002</v>
      </c>
      <c r="H21" s="1213">
        <v>15571.412703000002</v>
      </c>
      <c r="I21" s="511">
        <v>14829.916860000001</v>
      </c>
      <c r="J21" s="283"/>
      <c r="K21" s="283"/>
      <c r="L21" s="466" t="s">
        <v>1093</v>
      </c>
      <c r="M21" s="558">
        <v>0</v>
      </c>
      <c r="N21" s="283" t="s">
        <v>1094</v>
      </c>
      <c r="O21" s="283"/>
      <c r="P21" s="283"/>
      <c r="Q21" s="290"/>
      <c r="R21" s="283"/>
      <c r="S21" s="283"/>
      <c r="T21" s="283"/>
      <c r="U21" s="283"/>
      <c r="V21" s="283"/>
      <c r="W21" s="283"/>
      <c r="X21" s="283"/>
      <c r="Y21" s="283"/>
      <c r="Z21" s="283"/>
    </row>
    <row r="22" spans="1:26" ht="12.75">
      <c r="A22" s="240"/>
      <c r="B22" s="242"/>
      <c r="C22" s="243"/>
      <c r="D22" s="1050" t="s">
        <v>1095</v>
      </c>
      <c r="E22" s="1212" t="s">
        <v>1096</v>
      </c>
      <c r="F22" s="1213">
        <v>14151.631500000001</v>
      </c>
      <c r="G22" s="1213">
        <v>15566.794650000003</v>
      </c>
      <c r="H22" s="1213">
        <v>14859.213075000003</v>
      </c>
      <c r="I22" s="511">
        <v>14151.631500000001</v>
      </c>
      <c r="J22" s="283"/>
      <c r="K22" s="283"/>
      <c r="L22" s="466" t="s">
        <v>1097</v>
      </c>
      <c r="M22" s="558">
        <v>0</v>
      </c>
      <c r="N22" s="283" t="s">
        <v>1098</v>
      </c>
      <c r="O22" s="283"/>
      <c r="P22" s="283"/>
      <c r="Q22" s="290"/>
      <c r="R22" s="283"/>
      <c r="S22" s="283"/>
      <c r="T22" s="283"/>
      <c r="U22" s="283"/>
      <c r="V22" s="283"/>
      <c r="W22" s="283"/>
      <c r="X22" s="283"/>
      <c r="Y22" s="283"/>
      <c r="Z22" s="283"/>
    </row>
    <row r="23" spans="1:26" ht="12.75">
      <c r="A23" s="240"/>
      <c r="B23" s="242"/>
      <c r="C23" s="243"/>
      <c r="D23" s="1050" t="s">
        <v>1099</v>
      </c>
      <c r="E23" s="1212" t="s">
        <v>1100</v>
      </c>
      <c r="F23" s="1213">
        <v>14033.701035000002</v>
      </c>
      <c r="G23" s="1213">
        <v>15437.071138500003</v>
      </c>
      <c r="H23" s="1213">
        <v>14735.386086750003</v>
      </c>
      <c r="I23" s="511">
        <v>14033.701035000002</v>
      </c>
      <c r="J23" s="283"/>
      <c r="K23" s="283"/>
      <c r="L23" s="466" t="s">
        <v>1101</v>
      </c>
      <c r="M23" s="558">
        <f>133.21*2</f>
        <v>266.42</v>
      </c>
      <c r="N23" s="283" t="s">
        <v>1102</v>
      </c>
      <c r="O23" s="283"/>
      <c r="P23" s="283"/>
      <c r="Q23" s="290"/>
      <c r="R23" s="283"/>
      <c r="S23" s="283"/>
      <c r="T23" s="283"/>
      <c r="U23" s="283"/>
      <c r="V23" s="283"/>
      <c r="W23" s="283"/>
      <c r="X23" s="283"/>
      <c r="Y23" s="283"/>
      <c r="Z23" s="283"/>
    </row>
    <row r="24" spans="1:26" ht="12.75">
      <c r="A24" s="240"/>
      <c r="B24" s="242"/>
      <c r="C24" s="243"/>
      <c r="D24" s="1050" t="s">
        <v>835</v>
      </c>
      <c r="E24" s="1212" t="s">
        <v>1103</v>
      </c>
      <c r="F24" s="1213">
        <v>11675.936835</v>
      </c>
      <c r="G24" s="1213">
        <v>12843.530518500002</v>
      </c>
      <c r="H24" s="1213">
        <v>12259.733676750002</v>
      </c>
      <c r="I24" s="511">
        <v>11675.936835</v>
      </c>
      <c r="J24" s="283"/>
      <c r="K24" s="283"/>
      <c r="L24" s="1221" t="s">
        <v>1104</v>
      </c>
      <c r="M24" s="1222">
        <v>15.5</v>
      </c>
      <c r="N24" s="1223" t="s">
        <v>1105</v>
      </c>
      <c r="O24" s="1223"/>
      <c r="P24" s="1223"/>
      <c r="Q24" s="1224"/>
      <c r="R24" s="283"/>
      <c r="S24" s="283"/>
      <c r="T24" s="283"/>
      <c r="U24" s="283"/>
      <c r="V24" s="283"/>
      <c r="W24" s="283"/>
      <c r="X24" s="283"/>
      <c r="Y24" s="283"/>
      <c r="Z24" s="283"/>
    </row>
    <row r="25" spans="1:26" ht="12.75">
      <c r="A25" s="240"/>
      <c r="B25" s="242"/>
      <c r="C25" s="243"/>
      <c r="D25" s="1050" t="s">
        <v>1106</v>
      </c>
      <c r="E25" s="1212" t="s">
        <v>1107</v>
      </c>
      <c r="F25" s="1213">
        <v>11451.631500000001</v>
      </c>
      <c r="G25" s="1213">
        <v>12596.794650000002</v>
      </c>
      <c r="H25" s="1213">
        <v>12024.213075000001</v>
      </c>
      <c r="I25" s="511">
        <v>11451.631500000001</v>
      </c>
      <c r="J25" s="283"/>
      <c r="K25" s="283"/>
      <c r="L25" s="283"/>
      <c r="M25" s="283"/>
      <c r="N25" s="283"/>
      <c r="O25" s="283"/>
      <c r="P25" s="283"/>
      <c r="Q25" s="283"/>
      <c r="R25" s="283"/>
      <c r="S25" s="283"/>
      <c r="T25" s="283"/>
      <c r="U25" s="283"/>
      <c r="V25" s="283"/>
      <c r="W25" s="283"/>
      <c r="X25" s="283"/>
      <c r="Y25" s="283"/>
      <c r="Z25" s="283"/>
    </row>
    <row r="26" spans="1:26" ht="12.75">
      <c r="A26" s="240"/>
      <c r="B26" s="242"/>
      <c r="C26" s="243"/>
      <c r="D26" s="1050" t="s">
        <v>770</v>
      </c>
      <c r="E26" s="1212" t="s">
        <v>1108</v>
      </c>
      <c r="F26" s="1213">
        <v>10981.17</v>
      </c>
      <c r="G26" s="1213">
        <v>12079.287</v>
      </c>
      <c r="H26" s="1213">
        <v>11530.228500000001</v>
      </c>
      <c r="I26" s="511">
        <v>10981.17</v>
      </c>
      <c r="J26" s="283"/>
      <c r="K26" s="283"/>
      <c r="L26" s="283"/>
      <c r="M26" s="283"/>
      <c r="N26" s="283"/>
      <c r="O26" s="283"/>
      <c r="P26" s="283"/>
      <c r="Q26" s="283"/>
      <c r="R26" s="283"/>
      <c r="S26" s="283"/>
      <c r="T26" s="283"/>
      <c r="U26" s="283"/>
      <c r="V26" s="283"/>
      <c r="W26" s="283"/>
      <c r="X26" s="283"/>
      <c r="Y26" s="283"/>
      <c r="Z26" s="283"/>
    </row>
    <row r="27" spans="1:26" ht="12.75">
      <c r="A27" s="240"/>
      <c r="B27" s="242"/>
      <c r="C27" s="243"/>
      <c r="D27" s="1050" t="s">
        <v>1109</v>
      </c>
      <c r="E27" s="1212" t="s">
        <v>1110</v>
      </c>
      <c r="F27" s="1213">
        <v>10981.17</v>
      </c>
      <c r="G27" s="1213">
        <v>12079.287</v>
      </c>
      <c r="H27" s="1213">
        <v>11530.228500000001</v>
      </c>
      <c r="I27" s="511">
        <v>10981.17</v>
      </c>
      <c r="J27" s="283"/>
      <c r="K27" s="283"/>
      <c r="L27" s="283"/>
      <c r="M27" s="283"/>
      <c r="N27" s="283"/>
      <c r="O27" s="283"/>
      <c r="P27" s="283"/>
      <c r="Q27" s="283"/>
      <c r="R27" s="283"/>
      <c r="S27" s="283"/>
      <c r="T27" s="283"/>
      <c r="U27" s="283"/>
      <c r="V27" s="283"/>
      <c r="W27" s="283"/>
      <c r="X27" s="283"/>
      <c r="Y27" s="283"/>
      <c r="Z27" s="283"/>
    </row>
    <row r="28" spans="1:26" ht="12.75">
      <c r="A28" s="240"/>
      <c r="B28" s="242"/>
      <c r="C28" s="243"/>
      <c r="D28" s="1050" t="s">
        <v>829</v>
      </c>
      <c r="E28" s="1212" t="s">
        <v>1111</v>
      </c>
      <c r="F28" s="1213">
        <v>10981.17</v>
      </c>
      <c r="G28" s="1213">
        <v>12079.287</v>
      </c>
      <c r="H28" s="1213">
        <v>11530.228500000001</v>
      </c>
      <c r="I28" s="511">
        <v>10981.17</v>
      </c>
      <c r="J28" s="283"/>
      <c r="K28" s="283"/>
      <c r="L28" s="283"/>
      <c r="M28" s="283"/>
      <c r="N28" s="283"/>
      <c r="O28" s="283"/>
      <c r="P28" s="283"/>
      <c r="Q28" s="283"/>
      <c r="R28" s="283"/>
      <c r="S28" s="283"/>
      <c r="T28" s="283"/>
      <c r="U28" s="283"/>
      <c r="V28" s="283"/>
      <c r="W28" s="283"/>
      <c r="X28" s="283"/>
      <c r="Y28" s="283"/>
      <c r="Z28" s="283"/>
    </row>
    <row r="29" spans="1:26" ht="12.75">
      <c r="A29" s="240"/>
      <c r="B29" s="242"/>
      <c r="C29" s="243"/>
      <c r="D29" s="1050" t="s">
        <v>839</v>
      </c>
      <c r="E29" s="1212" t="s">
        <v>1112</v>
      </c>
      <c r="F29" s="1213">
        <v>10981.17</v>
      </c>
      <c r="G29" s="1213">
        <v>12079.287</v>
      </c>
      <c r="H29" s="1213">
        <v>11530.228500000001</v>
      </c>
      <c r="I29" s="511">
        <v>10981.17</v>
      </c>
      <c r="J29" s="283"/>
      <c r="K29" s="283"/>
      <c r="L29" s="283"/>
      <c r="M29" s="283"/>
      <c r="N29" s="283"/>
      <c r="O29" s="283"/>
      <c r="P29" s="283"/>
      <c r="Q29" s="283"/>
      <c r="R29" s="283"/>
      <c r="S29" s="283"/>
      <c r="T29" s="283"/>
      <c r="U29" s="283"/>
      <c r="V29" s="283"/>
      <c r="W29" s="283"/>
      <c r="X29" s="283"/>
      <c r="Y29" s="283"/>
      <c r="Z29" s="283"/>
    </row>
    <row r="30" spans="1:26" ht="12.75">
      <c r="A30" s="240"/>
      <c r="B30" s="242"/>
      <c r="C30" s="243"/>
      <c r="D30" s="1050" t="s">
        <v>873</v>
      </c>
      <c r="E30" s="1212" t="s">
        <v>1113</v>
      </c>
      <c r="F30" s="1213">
        <v>10981.17</v>
      </c>
      <c r="G30" s="1213">
        <v>12079.287</v>
      </c>
      <c r="H30" s="1213">
        <v>11530.228500000001</v>
      </c>
      <c r="I30" s="511">
        <v>10981.17</v>
      </c>
      <c r="J30" s="283"/>
      <c r="K30" s="283"/>
      <c r="L30" s="283"/>
      <c r="M30" s="283"/>
      <c r="N30" s="283"/>
      <c r="O30" s="283"/>
      <c r="P30" s="283"/>
      <c r="Q30" s="283"/>
      <c r="R30" s="283"/>
      <c r="S30" s="283"/>
      <c r="T30" s="283"/>
      <c r="U30" s="283"/>
      <c r="V30" s="283"/>
      <c r="W30" s="283"/>
      <c r="X30" s="283"/>
      <c r="Y30" s="283"/>
      <c r="Z30" s="283"/>
    </row>
    <row r="31" spans="1:26" ht="12.75">
      <c r="A31" s="240"/>
      <c r="B31" s="242"/>
      <c r="C31" s="243"/>
      <c r="D31" s="1050" t="s">
        <v>841</v>
      </c>
      <c r="E31" s="1212" t="s">
        <v>1114</v>
      </c>
      <c r="F31" s="1213">
        <v>10981.17</v>
      </c>
      <c r="G31" s="1213">
        <v>12079.287</v>
      </c>
      <c r="H31" s="1213">
        <v>11530.228500000001</v>
      </c>
      <c r="I31" s="511">
        <v>10981.17</v>
      </c>
      <c r="J31" s="283"/>
      <c r="K31" s="283"/>
      <c r="L31" s="283"/>
      <c r="M31" s="283"/>
      <c r="N31" s="283"/>
      <c r="O31" s="283"/>
      <c r="P31" s="283"/>
      <c r="Q31" s="283"/>
      <c r="R31" s="283"/>
      <c r="S31" s="283"/>
      <c r="T31" s="283"/>
      <c r="U31" s="283"/>
      <c r="V31" s="283"/>
      <c r="W31" s="283"/>
      <c r="X31" s="283"/>
      <c r="Y31" s="283"/>
      <c r="Z31" s="283"/>
    </row>
    <row r="32" spans="1:26" ht="12.75">
      <c r="A32" s="240"/>
      <c r="B32" s="242"/>
      <c r="C32" s="243"/>
      <c r="D32" s="1050" t="s">
        <v>1115</v>
      </c>
      <c r="E32" s="1212" t="s">
        <v>1116</v>
      </c>
      <c r="F32" s="1213">
        <v>10981.17</v>
      </c>
      <c r="G32" s="1213">
        <v>12079.287</v>
      </c>
      <c r="H32" s="1213">
        <v>11530.228500000001</v>
      </c>
      <c r="I32" s="511">
        <v>10981.17</v>
      </c>
      <c r="J32" s="283"/>
      <c r="K32" s="283"/>
      <c r="L32" s="283"/>
      <c r="M32" s="283"/>
      <c r="N32" s="283"/>
      <c r="O32" s="283"/>
      <c r="P32" s="283"/>
      <c r="Q32" s="283"/>
      <c r="R32" s="283"/>
      <c r="S32" s="283"/>
      <c r="T32" s="283"/>
      <c r="U32" s="283"/>
      <c r="V32" s="283"/>
      <c r="W32" s="283"/>
      <c r="X32" s="283"/>
      <c r="Y32" s="283"/>
      <c r="Z32" s="283"/>
    </row>
    <row r="33" spans="1:26" ht="12.75">
      <c r="A33" s="240"/>
      <c r="B33" s="242"/>
      <c r="C33" s="243"/>
      <c r="D33" s="1050" t="s">
        <v>831</v>
      </c>
      <c r="E33" s="1212" t="s">
        <v>1117</v>
      </c>
      <c r="F33" s="1213">
        <v>10981.17</v>
      </c>
      <c r="G33" s="1213">
        <v>12079.287</v>
      </c>
      <c r="H33" s="1213">
        <v>11530.228500000001</v>
      </c>
      <c r="I33" s="511">
        <v>10981.17</v>
      </c>
      <c r="J33" s="283"/>
      <c r="K33" s="283"/>
      <c r="L33" s="283"/>
      <c r="M33" s="283"/>
      <c r="N33" s="283"/>
      <c r="O33" s="283"/>
      <c r="P33" s="283"/>
      <c r="Q33" s="283"/>
      <c r="R33" s="283"/>
      <c r="S33" s="283"/>
      <c r="T33" s="283"/>
      <c r="U33" s="283"/>
      <c r="V33" s="283"/>
      <c r="W33" s="283"/>
      <c r="X33" s="283"/>
      <c r="Y33" s="283"/>
      <c r="Z33" s="283"/>
    </row>
    <row r="34" spans="1:26" ht="12.75">
      <c r="A34" s="240"/>
      <c r="B34" s="242"/>
      <c r="C34" s="243"/>
      <c r="D34" s="1050" t="s">
        <v>832</v>
      </c>
      <c r="E34" s="1212" t="s">
        <v>1118</v>
      </c>
      <c r="F34" s="1213">
        <v>10981.17</v>
      </c>
      <c r="G34" s="1213">
        <v>12079.287</v>
      </c>
      <c r="H34" s="1213">
        <v>11530.228500000001</v>
      </c>
      <c r="I34" s="511">
        <v>10981.17</v>
      </c>
      <c r="J34" s="283"/>
      <c r="K34" s="283"/>
      <c r="L34" s="283"/>
      <c r="M34" s="283"/>
      <c r="N34" s="283"/>
      <c r="O34" s="283"/>
      <c r="P34" s="283"/>
      <c r="Q34" s="283"/>
      <c r="R34" s="283"/>
      <c r="S34" s="283"/>
      <c r="T34" s="283"/>
      <c r="U34" s="283"/>
      <c r="V34" s="283"/>
      <c r="W34" s="283"/>
      <c r="X34" s="283"/>
      <c r="Y34" s="283"/>
      <c r="Z34" s="283"/>
    </row>
    <row r="35" spans="1:26" ht="12.75">
      <c r="A35" s="240"/>
      <c r="B35" s="242"/>
      <c r="C35" s="243"/>
      <c r="D35" s="1050" t="s">
        <v>808</v>
      </c>
      <c r="E35" s="1212" t="s">
        <v>1119</v>
      </c>
      <c r="F35" s="1213">
        <v>10981.17</v>
      </c>
      <c r="G35" s="1213">
        <v>12079.287</v>
      </c>
      <c r="H35" s="1213">
        <v>11530.228500000001</v>
      </c>
      <c r="I35" s="511">
        <v>10981.17</v>
      </c>
      <c r="J35" s="283"/>
      <c r="K35" s="283"/>
      <c r="L35" s="283"/>
      <c r="M35" s="283"/>
      <c r="N35" s="283"/>
      <c r="O35" s="283"/>
      <c r="P35" s="283"/>
      <c r="Q35" s="283"/>
      <c r="R35" s="283"/>
      <c r="S35" s="283"/>
      <c r="T35" s="283"/>
      <c r="U35" s="283"/>
      <c r="V35" s="283"/>
      <c r="W35" s="283"/>
      <c r="X35" s="283"/>
      <c r="Y35" s="283"/>
      <c r="Z35" s="283"/>
    </row>
    <row r="36" spans="1:26" ht="12.75">
      <c r="A36" s="240"/>
      <c r="B36" s="242"/>
      <c r="C36" s="243"/>
      <c r="D36" s="1050" t="s">
        <v>1120</v>
      </c>
      <c r="E36" s="1212" t="s">
        <v>1121</v>
      </c>
      <c r="F36" s="1213">
        <v>10981.17</v>
      </c>
      <c r="G36" s="1213">
        <v>12079.287</v>
      </c>
      <c r="H36" s="1213">
        <v>11530.228500000001</v>
      </c>
      <c r="I36" s="511">
        <v>10981.17</v>
      </c>
      <c r="J36" s="283"/>
      <c r="K36" s="283"/>
      <c r="L36" s="283"/>
      <c r="M36" s="283"/>
      <c r="N36" s="283"/>
      <c r="O36" s="283"/>
      <c r="P36" s="283"/>
      <c r="Q36" s="283"/>
      <c r="R36" s="283"/>
      <c r="S36" s="283"/>
      <c r="T36" s="283"/>
      <c r="U36" s="283"/>
      <c r="V36" s="283"/>
      <c r="W36" s="283"/>
      <c r="X36" s="283"/>
      <c r="Y36" s="283"/>
      <c r="Z36" s="283"/>
    </row>
    <row r="37" spans="1:26" ht="12.75">
      <c r="A37" s="240"/>
      <c r="B37" s="242"/>
      <c r="C37" s="243"/>
      <c r="D37" s="1050" t="s">
        <v>842</v>
      </c>
      <c r="E37" s="1212" t="s">
        <v>1122</v>
      </c>
      <c r="F37" s="1213">
        <v>10981.17</v>
      </c>
      <c r="G37" s="1213">
        <v>12079.287</v>
      </c>
      <c r="H37" s="1213">
        <v>11530.228500000001</v>
      </c>
      <c r="I37" s="511">
        <v>10981.17</v>
      </c>
      <c r="J37" s="283"/>
      <c r="K37" s="283"/>
      <c r="L37" s="283"/>
      <c r="M37" s="283"/>
      <c r="N37" s="283"/>
      <c r="O37" s="283"/>
      <c r="P37" s="283"/>
      <c r="Q37" s="283"/>
      <c r="R37" s="283"/>
      <c r="S37" s="283"/>
      <c r="T37" s="283"/>
      <c r="U37" s="283"/>
      <c r="V37" s="283"/>
      <c r="W37" s="283"/>
      <c r="X37" s="283"/>
      <c r="Y37" s="283"/>
      <c r="Z37" s="283"/>
    </row>
    <row r="38" spans="1:26" ht="12.75">
      <c r="A38" s="240"/>
      <c r="B38" s="242"/>
      <c r="C38" s="243"/>
      <c r="D38" s="1050" t="s">
        <v>1123</v>
      </c>
      <c r="E38" s="1212" t="s">
        <v>1124</v>
      </c>
      <c r="F38" s="1213">
        <v>10981.17</v>
      </c>
      <c r="G38" s="1213">
        <v>12079.287</v>
      </c>
      <c r="H38" s="1213">
        <v>11530.228500000001</v>
      </c>
      <c r="I38" s="511">
        <v>10981.17</v>
      </c>
    </row>
    <row r="39" spans="1:26" ht="12.75">
      <c r="A39" s="240"/>
      <c r="B39" s="242"/>
      <c r="C39" s="243"/>
      <c r="D39" s="1050" t="s">
        <v>1125</v>
      </c>
      <c r="E39" s="1212" t="s">
        <v>1126</v>
      </c>
      <c r="F39" s="1213">
        <v>10981.17</v>
      </c>
      <c r="G39" s="1213">
        <v>12079.287</v>
      </c>
      <c r="H39" s="1213">
        <v>11530.228500000001</v>
      </c>
      <c r="I39" s="511">
        <v>10981.17</v>
      </c>
    </row>
    <row r="40" spans="1:26" ht="12.75">
      <c r="A40" s="240"/>
      <c r="B40" s="242"/>
      <c r="C40" s="243"/>
      <c r="D40" s="1050" t="s">
        <v>773</v>
      </c>
      <c r="E40" s="1212" t="s">
        <v>1127</v>
      </c>
      <c r="F40" s="1213">
        <v>9928.8297450000009</v>
      </c>
      <c r="G40" s="1213">
        <v>10921.712719500001</v>
      </c>
      <c r="H40" s="1213">
        <v>10425.271232250001</v>
      </c>
      <c r="I40" s="511">
        <v>9928.8297450000009</v>
      </c>
    </row>
    <row r="41" spans="1:26" ht="12.75">
      <c r="A41" s="240"/>
      <c r="B41" s="242"/>
      <c r="C41" s="243"/>
      <c r="D41" s="1050" t="s">
        <v>761</v>
      </c>
      <c r="E41" s="1050" t="s">
        <v>1128</v>
      </c>
      <c r="F41" s="1213">
        <v>8806.2192900000009</v>
      </c>
      <c r="G41" s="1213">
        <v>9686.8412190000017</v>
      </c>
      <c r="H41" s="1213">
        <v>9246.5302545000013</v>
      </c>
      <c r="I41" s="511">
        <v>8806.2192900000009</v>
      </c>
    </row>
    <row r="42" spans="1:26" ht="12.75">
      <c r="A42" s="240"/>
      <c r="B42" s="242"/>
      <c r="C42" s="243"/>
      <c r="D42" s="1050" t="s">
        <v>1129</v>
      </c>
      <c r="E42" s="1212" t="s">
        <v>1130</v>
      </c>
      <c r="F42" s="1213">
        <v>8395.3967400000001</v>
      </c>
      <c r="G42" s="1213">
        <v>9234.9364140000016</v>
      </c>
      <c r="H42" s="1213">
        <v>8815.166577</v>
      </c>
      <c r="I42" s="511">
        <v>8395.3967400000001</v>
      </c>
    </row>
    <row r="43" spans="1:26" ht="12.75">
      <c r="A43" s="240"/>
      <c r="B43" s="242"/>
      <c r="C43" s="243"/>
      <c r="D43" s="1050" t="s">
        <v>797</v>
      </c>
      <c r="E43" s="1212" t="s">
        <v>1131</v>
      </c>
      <c r="F43" s="1213">
        <v>7645.05</v>
      </c>
      <c r="G43" s="1213">
        <v>8409.5550000000003</v>
      </c>
      <c r="H43" s="1213">
        <v>8027.3024999999998</v>
      </c>
      <c r="I43" s="511">
        <v>7645.05</v>
      </c>
    </row>
    <row r="44" spans="1:26" ht="12.75">
      <c r="A44" s="240"/>
      <c r="B44" s="242"/>
      <c r="C44" s="243"/>
      <c r="D44" s="1050" t="s">
        <v>764</v>
      </c>
      <c r="E44" s="1050" t="s">
        <v>1132</v>
      </c>
      <c r="F44" s="1213">
        <v>7484.687820000001</v>
      </c>
      <c r="G44" s="1213">
        <v>8233.1566020000009</v>
      </c>
      <c r="H44" s="1213">
        <v>7858.922211000001</v>
      </c>
      <c r="I44" s="511">
        <v>7484.687820000001</v>
      </c>
    </row>
    <row r="45" spans="1:26" ht="12.75">
      <c r="A45" s="240"/>
      <c r="B45" s="242"/>
      <c r="C45" s="243"/>
      <c r="D45" s="1050" t="s">
        <v>1133</v>
      </c>
      <c r="E45" s="1050" t="s">
        <v>1134</v>
      </c>
      <c r="F45" s="1213">
        <v>7484.687820000001</v>
      </c>
      <c r="G45" s="1213">
        <v>8233.1566020000009</v>
      </c>
      <c r="H45" s="1213">
        <v>7858.922211000001</v>
      </c>
      <c r="I45" s="511">
        <v>7484.687820000001</v>
      </c>
    </row>
    <row r="46" spans="1:26" ht="12.75">
      <c r="A46" s="240"/>
      <c r="B46" s="242"/>
      <c r="C46" s="243"/>
      <c r="D46" s="1050" t="s">
        <v>779</v>
      </c>
      <c r="E46" s="1050" t="s">
        <v>1135</v>
      </c>
      <c r="F46" s="1213">
        <v>7484.687820000001</v>
      </c>
      <c r="G46" s="1213">
        <v>8233.1566020000009</v>
      </c>
      <c r="H46" s="1213">
        <v>7858.922211000001</v>
      </c>
      <c r="I46" s="511">
        <v>7484.687820000001</v>
      </c>
    </row>
    <row r="47" spans="1:26" ht="12.75">
      <c r="A47" s="240"/>
      <c r="B47" s="242"/>
      <c r="C47" s="243"/>
      <c r="D47" s="1050" t="s">
        <v>776</v>
      </c>
      <c r="E47" s="1050" t="s">
        <v>1136</v>
      </c>
      <c r="F47" s="1213">
        <v>7484.687820000001</v>
      </c>
      <c r="G47" s="1213">
        <v>8233.1566020000009</v>
      </c>
      <c r="H47" s="1213">
        <v>7858.922211000001</v>
      </c>
      <c r="I47" s="511">
        <v>7484.687820000001</v>
      </c>
    </row>
    <row r="48" spans="1:26" ht="12.75">
      <c r="A48" s="240"/>
      <c r="B48" s="242"/>
      <c r="C48" s="243"/>
      <c r="D48" s="1050" t="s">
        <v>1137</v>
      </c>
      <c r="E48" s="1050" t="s">
        <v>1138</v>
      </c>
      <c r="F48" s="1213">
        <v>7484.687820000001</v>
      </c>
      <c r="G48" s="1213">
        <v>8233.1566020000009</v>
      </c>
      <c r="H48" s="1213">
        <v>7858.922211000001</v>
      </c>
      <c r="I48" s="511">
        <v>7484.687820000001</v>
      </c>
    </row>
    <row r="49" spans="1:9" ht="12.75">
      <c r="A49" s="240"/>
      <c r="B49" s="242"/>
      <c r="C49" s="243"/>
      <c r="D49" s="1050" t="s">
        <v>1139</v>
      </c>
      <c r="E49" s="1050" t="s">
        <v>1140</v>
      </c>
      <c r="F49" s="1213">
        <v>7484.687820000001</v>
      </c>
      <c r="G49" s="1213">
        <v>8233.1566020000009</v>
      </c>
      <c r="H49" s="1213">
        <v>7858.922211000001</v>
      </c>
      <c r="I49" s="511">
        <v>7484.687820000001</v>
      </c>
    </row>
    <row r="50" spans="1:9" ht="12.75">
      <c r="A50" s="240"/>
      <c r="B50" s="242"/>
      <c r="C50" s="243"/>
      <c r="D50" s="1050" t="s">
        <v>1141</v>
      </c>
      <c r="E50" s="1050" t="s">
        <v>1142</v>
      </c>
      <c r="F50" s="1213">
        <v>7484.687820000001</v>
      </c>
      <c r="G50" s="1213">
        <v>8233.1566020000009</v>
      </c>
      <c r="H50" s="1213">
        <v>7858.922211000001</v>
      </c>
      <c r="I50" s="511">
        <v>7484.687820000001</v>
      </c>
    </row>
    <row r="51" spans="1:9" ht="12.75">
      <c r="A51" s="240"/>
      <c r="B51" s="242"/>
      <c r="C51" s="243"/>
      <c r="D51" s="1050" t="s">
        <v>1143</v>
      </c>
      <c r="E51" s="1050" t="s">
        <v>1144</v>
      </c>
      <c r="F51" s="1213">
        <v>7484.687820000001</v>
      </c>
      <c r="G51" s="1213">
        <v>8233.1566020000009</v>
      </c>
      <c r="H51" s="1213">
        <v>7858.922211000001</v>
      </c>
      <c r="I51" s="511">
        <v>7484.687820000001</v>
      </c>
    </row>
    <row r="52" spans="1:9" ht="12.75">
      <c r="A52" s="240"/>
      <c r="B52" s="242"/>
      <c r="C52" s="243"/>
      <c r="D52" s="1050" t="s">
        <v>774</v>
      </c>
      <c r="E52" s="1212" t="s">
        <v>1145</v>
      </c>
      <c r="F52" s="1213">
        <v>7480.7609400000001</v>
      </c>
      <c r="G52" s="1213">
        <v>8228.8370340000001</v>
      </c>
      <c r="H52" s="1213">
        <v>7854.7989870000001</v>
      </c>
      <c r="I52" s="511">
        <v>7480.7609400000001</v>
      </c>
    </row>
    <row r="53" spans="1:9" ht="12.75">
      <c r="A53" s="240"/>
      <c r="B53" s="242"/>
      <c r="C53" s="243"/>
      <c r="D53" s="1050" t="s">
        <v>818</v>
      </c>
      <c r="E53" s="1212" t="s">
        <v>1146</v>
      </c>
      <c r="F53" s="1213">
        <v>7469.566605</v>
      </c>
      <c r="G53" s="1213">
        <v>8216.5232655</v>
      </c>
      <c r="H53" s="1213">
        <v>7843.04493525</v>
      </c>
      <c r="I53" s="511">
        <v>7469.566605</v>
      </c>
    </row>
    <row r="54" spans="1:9" ht="12.75">
      <c r="A54" s="240"/>
      <c r="B54" s="242"/>
      <c r="C54" s="243"/>
      <c r="D54" s="1050" t="s">
        <v>1147</v>
      </c>
      <c r="E54" s="1212" t="s">
        <v>1148</v>
      </c>
      <c r="F54" s="1213">
        <v>6353.1</v>
      </c>
      <c r="G54" s="1213">
        <v>6988.4100000000008</v>
      </c>
      <c r="H54" s="1213">
        <v>6670.755000000001</v>
      </c>
      <c r="I54" s="511">
        <v>6353.1</v>
      </c>
    </row>
    <row r="55" spans="1:9" ht="12.75">
      <c r="A55" s="240"/>
      <c r="B55" s="242"/>
      <c r="C55" s="243"/>
      <c r="D55" s="1050" t="s">
        <v>1149</v>
      </c>
      <c r="E55" s="1212" t="s">
        <v>1150</v>
      </c>
      <c r="F55" s="1213">
        <v>6353.1</v>
      </c>
      <c r="G55" s="1213">
        <v>6988.4100000000008</v>
      </c>
      <c r="H55" s="1213">
        <v>6670.755000000001</v>
      </c>
      <c r="I55" s="511">
        <v>6353.1</v>
      </c>
    </row>
    <row r="56" spans="1:9" ht="12.75">
      <c r="A56" s="240"/>
      <c r="B56" s="242"/>
      <c r="C56" s="243"/>
      <c r="D56" s="1050" t="s">
        <v>1151</v>
      </c>
      <c r="E56" s="1212" t="s">
        <v>1152</v>
      </c>
      <c r="F56" s="1213">
        <v>6353.1</v>
      </c>
      <c r="G56" s="1213">
        <v>6988.4100000000008</v>
      </c>
      <c r="H56" s="1213">
        <v>6670.755000000001</v>
      </c>
      <c r="I56" s="511">
        <v>6353.1</v>
      </c>
    </row>
    <row r="57" spans="1:9" ht="12.75">
      <c r="A57" s="240"/>
      <c r="B57" s="242"/>
      <c r="C57" s="243"/>
      <c r="D57" s="1050" t="s">
        <v>1153</v>
      </c>
      <c r="E57" s="1212" t="s">
        <v>1154</v>
      </c>
      <c r="F57" s="1213">
        <v>6353.1</v>
      </c>
      <c r="G57" s="1213">
        <v>6988.4100000000008</v>
      </c>
      <c r="H57" s="1213">
        <v>6670.755000000001</v>
      </c>
      <c r="I57" s="511">
        <v>6353.1</v>
      </c>
    </row>
    <row r="58" spans="1:9" ht="12.75">
      <c r="A58" s="240"/>
      <c r="B58" s="242"/>
      <c r="C58" s="243"/>
      <c r="D58" s="1050" t="s">
        <v>1155</v>
      </c>
      <c r="E58" s="1212" t="s">
        <v>1156</v>
      </c>
      <c r="F58" s="1213">
        <v>6353.1</v>
      </c>
      <c r="G58" s="1213">
        <v>6988.4100000000008</v>
      </c>
      <c r="H58" s="1213">
        <v>6670.755000000001</v>
      </c>
      <c r="I58" s="511">
        <v>6353.1</v>
      </c>
    </row>
    <row r="59" spans="1:9" ht="12.75">
      <c r="A59" s="240"/>
      <c r="B59" s="242"/>
      <c r="C59" s="243"/>
      <c r="D59" s="1050" t="s">
        <v>780</v>
      </c>
      <c r="E59" s="1212" t="s">
        <v>1157</v>
      </c>
      <c r="F59" s="1213">
        <v>6353.1</v>
      </c>
      <c r="G59" s="1213">
        <v>6988.4100000000008</v>
      </c>
      <c r="H59" s="1213">
        <v>6670.755000000001</v>
      </c>
      <c r="I59" s="511">
        <v>6353.1</v>
      </c>
    </row>
    <row r="60" spans="1:9" ht="12.75">
      <c r="A60" s="240"/>
      <c r="B60" s="242"/>
      <c r="C60" s="243"/>
      <c r="D60" s="1050" t="s">
        <v>1158</v>
      </c>
      <c r="E60" s="1212" t="s">
        <v>1159</v>
      </c>
      <c r="F60" s="1213">
        <v>6353.1</v>
      </c>
      <c r="G60" s="1213">
        <v>6988.4100000000008</v>
      </c>
      <c r="H60" s="1213">
        <v>6670.755000000001</v>
      </c>
      <c r="I60" s="511">
        <v>6353.1</v>
      </c>
    </row>
    <row r="61" spans="1:9" ht="12.75">
      <c r="A61" s="240"/>
      <c r="B61" s="242"/>
      <c r="C61" s="243"/>
      <c r="D61" s="1050" t="s">
        <v>1160</v>
      </c>
      <c r="E61" s="1212" t="s">
        <v>1161</v>
      </c>
      <c r="F61" s="1213">
        <v>6353.1</v>
      </c>
      <c r="G61" s="1213">
        <v>6988.4100000000008</v>
      </c>
      <c r="H61" s="1213">
        <v>6670.755000000001</v>
      </c>
      <c r="I61" s="511">
        <v>6353.1</v>
      </c>
    </row>
    <row r="62" spans="1:9" ht="12.75">
      <c r="A62" s="240"/>
      <c r="B62" s="242"/>
      <c r="C62" s="243"/>
      <c r="D62" s="1050" t="s">
        <v>1162</v>
      </c>
      <c r="E62" s="1212" t="s">
        <v>1163</v>
      </c>
      <c r="F62" s="1213">
        <v>6353.1</v>
      </c>
      <c r="G62" s="1213">
        <v>6988.4100000000008</v>
      </c>
      <c r="H62" s="1213">
        <v>6670.755000000001</v>
      </c>
      <c r="I62" s="511">
        <v>6353.1</v>
      </c>
    </row>
    <row r="63" spans="1:9" ht="12.75">
      <c r="A63" s="240"/>
      <c r="B63" s="242"/>
      <c r="C63" s="243"/>
      <c r="D63" s="1050" t="s">
        <v>813</v>
      </c>
      <c r="E63" s="1212" t="s">
        <v>1164</v>
      </c>
      <c r="F63" s="1213">
        <v>6353.1</v>
      </c>
      <c r="G63" s="1213">
        <v>6988.4100000000008</v>
      </c>
      <c r="H63" s="1213">
        <v>6670.755000000001</v>
      </c>
      <c r="I63" s="511">
        <v>6353.1</v>
      </c>
    </row>
    <row r="64" spans="1:9" ht="12.75">
      <c r="A64" s="240"/>
      <c r="B64" s="242"/>
      <c r="C64" s="243"/>
      <c r="D64" s="1050" t="s">
        <v>1165</v>
      </c>
      <c r="E64" s="1225" t="s">
        <v>1166</v>
      </c>
      <c r="F64" s="1213">
        <v>6315.1866000000009</v>
      </c>
      <c r="G64" s="1213">
        <v>6946.7052600000015</v>
      </c>
      <c r="H64" s="1213">
        <v>6630.9459300000017</v>
      </c>
      <c r="I64" s="511">
        <v>6315.1866000000009</v>
      </c>
    </row>
    <row r="65" spans="1:9" ht="12.75">
      <c r="A65" s="240"/>
      <c r="B65" s="242"/>
      <c r="C65" s="243"/>
      <c r="D65" s="1050" t="s">
        <v>1167</v>
      </c>
      <c r="E65" s="1212" t="s">
        <v>1168</v>
      </c>
      <c r="F65" s="1213">
        <v>6315.1866000000009</v>
      </c>
      <c r="G65" s="1213">
        <v>6946.7052600000015</v>
      </c>
      <c r="H65" s="1213">
        <v>6630.9459300000017</v>
      </c>
      <c r="I65" s="511">
        <v>6315.1866000000009</v>
      </c>
    </row>
    <row r="66" spans="1:9" ht="12.75">
      <c r="A66" s="240"/>
      <c r="B66" s="242"/>
      <c r="C66" s="243"/>
      <c r="D66" s="1050" t="s">
        <v>810</v>
      </c>
      <c r="E66" s="1212" t="s">
        <v>1169</v>
      </c>
      <c r="F66" s="1213">
        <v>5985.1786949999996</v>
      </c>
      <c r="G66" s="1213">
        <v>6583.6965645</v>
      </c>
      <c r="H66" s="1213">
        <v>6284.4376297500003</v>
      </c>
      <c r="I66" s="511">
        <v>5985.1786949999996</v>
      </c>
    </row>
    <row r="67" spans="1:9" ht="12.75">
      <c r="A67" s="240"/>
      <c r="B67" s="242"/>
      <c r="C67" s="243"/>
      <c r="D67" s="1050" t="s">
        <v>799</v>
      </c>
      <c r="E67" s="1050" t="s">
        <v>919</v>
      </c>
      <c r="F67" s="1213">
        <v>5705.8111800000015</v>
      </c>
      <c r="G67" s="1213">
        <v>6276.3922980000025</v>
      </c>
      <c r="H67" s="1213">
        <v>5991.1017390000015</v>
      </c>
      <c r="I67" s="511">
        <v>5705.8111800000015</v>
      </c>
    </row>
    <row r="68" spans="1:9" ht="12.75">
      <c r="A68" s="240"/>
      <c r="B68" s="242"/>
      <c r="C68" s="243"/>
      <c r="D68" s="1050" t="s">
        <v>792</v>
      </c>
      <c r="E68" s="1212" t="s">
        <v>1170</v>
      </c>
      <c r="F68" s="1213">
        <v>5587.8957</v>
      </c>
      <c r="G68" s="1213">
        <v>6146.6852700000009</v>
      </c>
      <c r="H68" s="1213">
        <v>5867.2904850000004</v>
      </c>
      <c r="I68" s="511">
        <v>5587.8957</v>
      </c>
    </row>
    <row r="69" spans="1:9" ht="12.75">
      <c r="A69" s="240"/>
      <c r="B69" s="242"/>
      <c r="C69" s="243"/>
      <c r="D69" s="1050" t="s">
        <v>1171</v>
      </c>
      <c r="E69" s="1212" t="s">
        <v>1172</v>
      </c>
      <c r="F69" s="1213">
        <v>5273.4726000000001</v>
      </c>
      <c r="G69" s="1213">
        <v>5800.8198600000005</v>
      </c>
      <c r="H69" s="1213">
        <v>5537.1462300000003</v>
      </c>
      <c r="I69" s="511">
        <v>5273.4726000000001</v>
      </c>
    </row>
    <row r="70" spans="1:9" ht="12.75">
      <c r="A70" s="240"/>
      <c r="B70" s="242"/>
      <c r="C70" s="243"/>
      <c r="D70" s="1050" t="s">
        <v>1173</v>
      </c>
      <c r="E70" s="1212" t="s">
        <v>1174</v>
      </c>
      <c r="F70" s="1213">
        <v>5273.4726000000001</v>
      </c>
      <c r="G70" s="1213">
        <v>5800.8198600000005</v>
      </c>
      <c r="H70" s="1213">
        <v>5537.1462300000003</v>
      </c>
      <c r="I70" s="511">
        <v>5273.4726000000001</v>
      </c>
    </row>
    <row r="71" spans="1:9" ht="12.75">
      <c r="A71" s="240"/>
      <c r="B71" s="242"/>
      <c r="C71" s="243"/>
      <c r="D71" s="1050" t="s">
        <v>1175</v>
      </c>
      <c r="E71" s="1212" t="s">
        <v>1176</v>
      </c>
      <c r="F71" s="1213">
        <v>5273.4726000000001</v>
      </c>
      <c r="G71" s="1213">
        <v>5800.8198600000005</v>
      </c>
      <c r="H71" s="1213">
        <v>5537.1462300000003</v>
      </c>
      <c r="I71" s="511">
        <v>5273.4726000000001</v>
      </c>
    </row>
    <row r="72" spans="1:9" ht="12.75">
      <c r="A72" s="240"/>
      <c r="B72" s="242"/>
      <c r="C72" s="243"/>
      <c r="D72" s="1050" t="s">
        <v>791</v>
      </c>
      <c r="E72" s="1212" t="s">
        <v>1177</v>
      </c>
      <c r="F72" s="1213">
        <v>5273.4726000000001</v>
      </c>
      <c r="G72" s="1213">
        <v>5800.8198600000005</v>
      </c>
      <c r="H72" s="1213">
        <v>5537.1462300000003</v>
      </c>
      <c r="I72" s="511">
        <v>5273.4726000000001</v>
      </c>
    </row>
    <row r="73" spans="1:9" ht="12.75">
      <c r="A73" s="240"/>
      <c r="B73" s="242"/>
      <c r="C73" s="243"/>
      <c r="D73" s="1050" t="s">
        <v>1178</v>
      </c>
      <c r="E73" s="1212" t="s">
        <v>1179</v>
      </c>
      <c r="F73" s="1213">
        <v>4753.7609400000001</v>
      </c>
      <c r="G73" s="1213">
        <v>5229.1370340000003</v>
      </c>
      <c r="H73" s="1213">
        <v>4991.4489869999998</v>
      </c>
      <c r="I73" s="511">
        <v>4753.7609400000001</v>
      </c>
    </row>
    <row r="74" spans="1:9" ht="12.75">
      <c r="A74" s="240"/>
      <c r="B74" s="242"/>
      <c r="C74" s="243"/>
      <c r="D74" s="1050" t="s">
        <v>756</v>
      </c>
      <c r="E74" s="1212" t="s">
        <v>1180</v>
      </c>
      <c r="F74" s="1213">
        <v>4727.7000000000007</v>
      </c>
      <c r="G74" s="1213">
        <v>5200.4700000000012</v>
      </c>
      <c r="H74" s="1213">
        <v>4964.0850000000009</v>
      </c>
      <c r="I74" s="511">
        <v>4727.7000000000007</v>
      </c>
    </row>
    <row r="75" spans="1:9" ht="12.75">
      <c r="A75" s="240"/>
      <c r="B75" s="242"/>
      <c r="C75" s="243"/>
      <c r="D75" s="1050" t="s">
        <v>1181</v>
      </c>
      <c r="E75" s="1212" t="s">
        <v>1182</v>
      </c>
      <c r="F75" s="1213">
        <v>4700.1208500000002</v>
      </c>
      <c r="G75" s="1213">
        <v>5170.1329350000005</v>
      </c>
      <c r="H75" s="1213">
        <v>4935.1268925000004</v>
      </c>
      <c r="I75" s="511">
        <v>4700.1208500000002</v>
      </c>
    </row>
    <row r="76" spans="1:9" ht="12.75">
      <c r="A76" s="240"/>
      <c r="B76" s="242"/>
      <c r="C76" s="243"/>
      <c r="D76" s="1050" t="s">
        <v>777</v>
      </c>
      <c r="E76" s="1212" t="s">
        <v>1183</v>
      </c>
      <c r="F76" s="1213">
        <v>4303.8</v>
      </c>
      <c r="G76" s="1213">
        <v>4734.18</v>
      </c>
      <c r="H76" s="1213">
        <v>4518.99</v>
      </c>
      <c r="I76" s="511">
        <v>4303.8</v>
      </c>
    </row>
    <row r="77" spans="1:9" ht="12.75">
      <c r="A77" s="240"/>
      <c r="B77" s="242"/>
      <c r="C77" s="243"/>
      <c r="D77" s="1050" t="s">
        <v>809</v>
      </c>
      <c r="E77" s="1212" t="s">
        <v>1184</v>
      </c>
      <c r="F77" s="1213">
        <v>3965.1943500000002</v>
      </c>
      <c r="G77" s="1213">
        <v>4361.7137850000008</v>
      </c>
      <c r="H77" s="1213">
        <v>4163.4540675000007</v>
      </c>
      <c r="I77" s="511">
        <v>3965.1943500000002</v>
      </c>
    </row>
    <row r="78" spans="1:9" ht="12.75">
      <c r="A78" s="240"/>
      <c r="B78" s="242"/>
      <c r="C78" s="243"/>
      <c r="D78" s="1050" t="s">
        <v>1185</v>
      </c>
      <c r="E78" s="1212" t="s">
        <v>1186</v>
      </c>
      <c r="F78" s="1213">
        <v>3716.4237750000002</v>
      </c>
      <c r="G78" s="1213">
        <v>4088.0661525000005</v>
      </c>
      <c r="H78" s="1213">
        <v>3902.2449637500004</v>
      </c>
      <c r="I78" s="511">
        <v>3716.4237750000002</v>
      </c>
    </row>
    <row r="79" spans="1:9" ht="12.75">
      <c r="A79" s="240"/>
      <c r="B79" s="242"/>
      <c r="C79" s="243"/>
      <c r="D79" s="1050" t="s">
        <v>1187</v>
      </c>
      <c r="E79" s="1212" t="s">
        <v>1188</v>
      </c>
      <c r="F79" s="1213">
        <v>3466.1250000000005</v>
      </c>
      <c r="G79" s="1213">
        <v>3812.7375000000006</v>
      </c>
      <c r="H79" s="1213">
        <v>3639.4312500000005</v>
      </c>
      <c r="I79" s="511">
        <v>3466.1250000000005</v>
      </c>
    </row>
    <row r="80" spans="1:9" ht="12.75">
      <c r="A80" s="240"/>
      <c r="B80" s="242"/>
      <c r="C80" s="243"/>
      <c r="D80" s="1050" t="s">
        <v>767</v>
      </c>
      <c r="E80" s="1212" t="s">
        <v>1189</v>
      </c>
      <c r="F80" s="1213">
        <v>3404.7000000000003</v>
      </c>
      <c r="G80" s="1213">
        <v>3745.1700000000005</v>
      </c>
      <c r="H80" s="1213">
        <v>3574.9350000000004</v>
      </c>
      <c r="I80" s="511">
        <v>3404.7000000000003</v>
      </c>
    </row>
    <row r="81" spans="1:9" ht="12.75">
      <c r="A81" s="240"/>
      <c r="B81" s="242"/>
      <c r="C81" s="243"/>
      <c r="D81" s="1050" t="s">
        <v>815</v>
      </c>
      <c r="E81" s="1050" t="s">
        <v>918</v>
      </c>
      <c r="F81" s="1213">
        <v>3072.6000000000004</v>
      </c>
      <c r="G81" s="1213">
        <v>3379.8600000000006</v>
      </c>
      <c r="H81" s="1213">
        <v>3226.2300000000005</v>
      </c>
      <c r="I81" s="511">
        <v>3072.6000000000004</v>
      </c>
    </row>
    <row r="82" spans="1:9" ht="12.75">
      <c r="A82" s="240"/>
      <c r="B82" s="242"/>
      <c r="C82" s="243"/>
      <c r="D82" s="1050" t="s">
        <v>843</v>
      </c>
      <c r="E82" s="1212" t="s">
        <v>1190</v>
      </c>
      <c r="F82" s="1213">
        <v>2943.0738449999999</v>
      </c>
      <c r="G82" s="1213">
        <v>3237.3812295000002</v>
      </c>
      <c r="H82" s="1213">
        <v>3090.2275372499998</v>
      </c>
      <c r="I82" s="511">
        <v>2943.0738449999999</v>
      </c>
    </row>
    <row r="83" spans="1:9" ht="12.75">
      <c r="A83" s="240"/>
      <c r="B83" s="242"/>
      <c r="C83" s="243"/>
      <c r="D83" s="1050" t="s">
        <v>1191</v>
      </c>
      <c r="E83" s="1212" t="s">
        <v>1192</v>
      </c>
      <c r="F83" s="1213">
        <v>2927.7072000000003</v>
      </c>
      <c r="G83" s="1213">
        <v>3220.4779200000007</v>
      </c>
      <c r="H83" s="1213">
        <v>3074.0925600000005</v>
      </c>
      <c r="I83" s="511">
        <v>2927.7072000000003</v>
      </c>
    </row>
    <row r="84" spans="1:9" ht="12.75">
      <c r="A84" s="240"/>
      <c r="B84" s="242"/>
      <c r="C84" s="243"/>
      <c r="D84" s="1050" t="s">
        <v>1193</v>
      </c>
      <c r="E84" s="1212" t="s">
        <v>1194</v>
      </c>
      <c r="F84" s="1213">
        <v>2909.25</v>
      </c>
      <c r="G84" s="1213">
        <v>3200.1750000000002</v>
      </c>
      <c r="H84" s="1213">
        <v>3054.7125000000001</v>
      </c>
      <c r="I84" s="511">
        <v>2909.25</v>
      </c>
    </row>
    <row r="85" spans="1:9" ht="12.75">
      <c r="A85" s="240"/>
      <c r="B85" s="242"/>
      <c r="C85" s="243"/>
      <c r="D85" s="1050" t="s">
        <v>1195</v>
      </c>
      <c r="E85" s="1212" t="s">
        <v>1196</v>
      </c>
      <c r="F85" s="1213">
        <v>2861.7138</v>
      </c>
      <c r="G85" s="1213">
        <v>3147.8851800000002</v>
      </c>
      <c r="H85" s="1213">
        <v>3004.7994900000003</v>
      </c>
      <c r="I85" s="511">
        <v>2861.7138</v>
      </c>
    </row>
    <row r="86" spans="1:9" ht="12.75">
      <c r="A86" s="240"/>
      <c r="B86" s="242"/>
      <c r="C86" s="243"/>
      <c r="D86" s="1050" t="s">
        <v>1197</v>
      </c>
      <c r="E86" s="1212" t="s">
        <v>1198</v>
      </c>
      <c r="F86" s="1213">
        <v>2861.7138</v>
      </c>
      <c r="G86" s="1213">
        <v>3147.8851800000002</v>
      </c>
      <c r="H86" s="1213">
        <v>3004.7994900000003</v>
      </c>
      <c r="I86" s="511">
        <v>2861.7138</v>
      </c>
    </row>
    <row r="87" spans="1:9" ht="12.75">
      <c r="A87" s="240"/>
      <c r="B87" s="242"/>
      <c r="C87" s="243"/>
      <c r="D87" s="1050" t="s">
        <v>868</v>
      </c>
      <c r="E87" s="1212" t="s">
        <v>1199</v>
      </c>
      <c r="F87" s="1213">
        <v>2861.7138</v>
      </c>
      <c r="G87" s="1213">
        <v>3147.8851800000002</v>
      </c>
      <c r="H87" s="1213">
        <v>3004.7994900000003</v>
      </c>
      <c r="I87" s="511">
        <v>2861.7138</v>
      </c>
    </row>
    <row r="88" spans="1:9" ht="12.75">
      <c r="A88" s="240"/>
      <c r="B88" s="242"/>
      <c r="C88" s="243"/>
      <c r="D88" s="1050" t="s">
        <v>851</v>
      </c>
      <c r="E88" s="1212" t="s">
        <v>1200</v>
      </c>
      <c r="F88" s="1213">
        <v>2861.7138</v>
      </c>
      <c r="G88" s="1213">
        <v>3147.8851800000002</v>
      </c>
      <c r="H88" s="1213">
        <v>3004.7994900000003</v>
      </c>
      <c r="I88" s="511">
        <v>2861.7138</v>
      </c>
    </row>
    <row r="89" spans="1:9" ht="12.75">
      <c r="A89" s="240"/>
      <c r="B89" s="242"/>
      <c r="C89" s="243"/>
      <c r="D89" s="1050" t="s">
        <v>862</v>
      </c>
      <c r="E89" s="1212" t="s">
        <v>1201</v>
      </c>
      <c r="F89" s="1213">
        <v>2861.7138</v>
      </c>
      <c r="G89" s="1213">
        <v>3147.8851800000002</v>
      </c>
      <c r="H89" s="1213">
        <v>3004.7994900000003</v>
      </c>
      <c r="I89" s="511">
        <v>2861.7138</v>
      </c>
    </row>
    <row r="90" spans="1:9" ht="12.75">
      <c r="A90" s="240"/>
      <c r="B90" s="242"/>
      <c r="C90" s="243"/>
      <c r="D90" s="1050" t="s">
        <v>879</v>
      </c>
      <c r="E90" s="1212" t="s">
        <v>1202</v>
      </c>
      <c r="F90" s="1213">
        <v>2861.7138</v>
      </c>
      <c r="G90" s="1213">
        <v>3147.8851800000002</v>
      </c>
      <c r="H90" s="1213">
        <v>3004.7994900000003</v>
      </c>
      <c r="I90" s="511">
        <v>2861.7138</v>
      </c>
    </row>
    <row r="91" spans="1:9" ht="12.75">
      <c r="A91" s="240"/>
      <c r="B91" s="242"/>
      <c r="C91" s="243"/>
      <c r="D91" s="1050" t="s">
        <v>856</v>
      </c>
      <c r="E91" s="1212" t="s">
        <v>1203</v>
      </c>
      <c r="F91" s="1213">
        <v>2861.7138</v>
      </c>
      <c r="G91" s="1213">
        <v>3147.8851800000002</v>
      </c>
      <c r="H91" s="1213">
        <v>3004.7994900000003</v>
      </c>
      <c r="I91" s="511">
        <v>2861.7138</v>
      </c>
    </row>
    <row r="92" spans="1:9" ht="12.75">
      <c r="A92" s="240"/>
      <c r="B92" s="242"/>
      <c r="C92" s="243"/>
      <c r="D92" s="1050" t="s">
        <v>899</v>
      </c>
      <c r="E92" s="1212" t="s">
        <v>1204</v>
      </c>
      <c r="F92" s="1213">
        <v>2771.7228000000005</v>
      </c>
      <c r="G92" s="1213">
        <v>3048.8950800000007</v>
      </c>
      <c r="H92" s="1213">
        <v>2910.3089400000008</v>
      </c>
      <c r="I92" s="511">
        <v>2771.7228000000005</v>
      </c>
    </row>
    <row r="93" spans="1:9" ht="12.75">
      <c r="A93" s="240"/>
      <c r="B93" s="242"/>
      <c r="C93" s="243"/>
      <c r="D93" s="1050" t="s">
        <v>1205</v>
      </c>
      <c r="E93" s="1212" t="s">
        <v>1206</v>
      </c>
      <c r="F93" s="1213">
        <v>2741.2485750000001</v>
      </c>
      <c r="G93" s="1213">
        <v>3015.3734325000005</v>
      </c>
      <c r="H93" s="1213">
        <v>2878.3110037500001</v>
      </c>
      <c r="I93" s="511">
        <v>2741.2485750000001</v>
      </c>
    </row>
    <row r="94" spans="1:9" ht="12.75">
      <c r="A94" s="240"/>
      <c r="B94" s="242"/>
      <c r="C94" s="243"/>
      <c r="D94" s="1050" t="s">
        <v>833</v>
      </c>
      <c r="E94" s="1212" t="s">
        <v>1207</v>
      </c>
      <c r="F94" s="1213">
        <v>2741.2485750000001</v>
      </c>
      <c r="G94" s="1213">
        <v>3015.3734325000005</v>
      </c>
      <c r="H94" s="1213">
        <v>2878.3110037500001</v>
      </c>
      <c r="I94" s="511">
        <v>2741.2485750000001</v>
      </c>
    </row>
    <row r="95" spans="1:9" ht="12.75">
      <c r="A95" s="240"/>
      <c r="B95" s="242"/>
      <c r="C95" s="243"/>
      <c r="D95" s="1050" t="s">
        <v>1208</v>
      </c>
      <c r="E95" s="1212" t="s">
        <v>1209</v>
      </c>
      <c r="F95" s="1213">
        <v>2741.2485750000001</v>
      </c>
      <c r="G95" s="1213">
        <v>3015.3734325000005</v>
      </c>
      <c r="H95" s="1213">
        <v>2878.3110037500001</v>
      </c>
      <c r="I95" s="511">
        <v>2741.2485750000001</v>
      </c>
    </row>
    <row r="96" spans="1:9" ht="12.75">
      <c r="A96" s="240"/>
      <c r="B96" s="242"/>
      <c r="C96" s="243"/>
      <c r="D96" s="1050" t="s">
        <v>793</v>
      </c>
      <c r="E96" s="1212" t="s">
        <v>1210</v>
      </c>
      <c r="F96" s="1213">
        <v>2548.8996300000003</v>
      </c>
      <c r="G96" s="1213">
        <v>2803.7895930000004</v>
      </c>
      <c r="H96" s="1213">
        <v>2676.3446115000006</v>
      </c>
      <c r="I96" s="511">
        <v>2548.8996300000003</v>
      </c>
    </row>
    <row r="97" spans="1:9" ht="12.75">
      <c r="A97" s="240"/>
      <c r="B97" s="242"/>
      <c r="C97" s="243"/>
      <c r="D97" s="1050" t="s">
        <v>814</v>
      </c>
      <c r="E97" s="1212" t="s">
        <v>1211</v>
      </c>
      <c r="F97" s="1213">
        <v>2490.5691000000002</v>
      </c>
      <c r="G97" s="1213">
        <v>2739.6260100000004</v>
      </c>
      <c r="H97" s="1213">
        <v>2615.0975550000003</v>
      </c>
      <c r="I97" s="511">
        <v>2490.5691000000002</v>
      </c>
    </row>
    <row r="98" spans="1:9" ht="12.75">
      <c r="A98" s="240"/>
      <c r="B98" s="242"/>
      <c r="C98" s="243"/>
      <c r="D98" s="1050" t="s">
        <v>1212</v>
      </c>
      <c r="E98" s="1212" t="s">
        <v>1213</v>
      </c>
      <c r="F98" s="1213">
        <v>2487.9102750000002</v>
      </c>
      <c r="G98" s="1213">
        <v>2736.7013025000006</v>
      </c>
      <c r="H98" s="1213">
        <v>2612.3057887500004</v>
      </c>
      <c r="I98" s="511">
        <v>2487.9102750000002</v>
      </c>
    </row>
    <row r="99" spans="1:9" ht="12.75">
      <c r="A99" s="240"/>
      <c r="B99" s="242"/>
      <c r="C99" s="243"/>
      <c r="D99" s="1050" t="s">
        <v>1214</v>
      </c>
      <c r="E99" s="1212" t="s">
        <v>1215</v>
      </c>
      <c r="F99" s="1213">
        <v>2472.7072499999999</v>
      </c>
      <c r="G99" s="1213">
        <v>2719.9779750000002</v>
      </c>
      <c r="H99" s="1213">
        <v>2596.3426125000001</v>
      </c>
      <c r="I99" s="511">
        <v>2472.7072499999999</v>
      </c>
    </row>
    <row r="100" spans="1:9" ht="12.75">
      <c r="A100" s="240"/>
      <c r="B100" s="242"/>
      <c r="C100" s="243"/>
      <c r="D100" s="1050" t="s">
        <v>819</v>
      </c>
      <c r="E100" s="1212" t="s">
        <v>1216</v>
      </c>
      <c r="F100" s="1213">
        <v>2471.7528000000002</v>
      </c>
      <c r="G100" s="1213">
        <v>2718.9280800000006</v>
      </c>
      <c r="H100" s="1213">
        <v>2595.3404400000004</v>
      </c>
      <c r="I100" s="511">
        <v>2471.7528000000002</v>
      </c>
    </row>
    <row r="101" spans="1:9" ht="12.75">
      <c r="A101" s="240"/>
      <c r="B101" s="242"/>
      <c r="C101" s="243"/>
      <c r="D101" s="1050" t="s">
        <v>840</v>
      </c>
      <c r="E101" s="1212" t="s">
        <v>1217</v>
      </c>
      <c r="F101" s="1213">
        <v>2471.7528000000002</v>
      </c>
      <c r="G101" s="1213">
        <v>2718.9280800000006</v>
      </c>
      <c r="H101" s="1213">
        <v>2595.3404400000004</v>
      </c>
      <c r="I101" s="511">
        <v>2471.7528000000002</v>
      </c>
    </row>
    <row r="102" spans="1:9" ht="12.75">
      <c r="A102" s="240"/>
      <c r="B102" s="242"/>
      <c r="C102" s="243"/>
      <c r="D102" s="1050" t="s">
        <v>786</v>
      </c>
      <c r="E102" s="1212" t="s">
        <v>1218</v>
      </c>
      <c r="F102" s="1213">
        <v>2471.7528000000002</v>
      </c>
      <c r="G102" s="1213">
        <v>2718.9280800000006</v>
      </c>
      <c r="H102" s="1213">
        <v>2595.3404400000004</v>
      </c>
      <c r="I102" s="511">
        <v>2471.7528000000002</v>
      </c>
    </row>
    <row r="103" spans="1:9" ht="12.75">
      <c r="A103" s="240"/>
      <c r="B103" s="242"/>
      <c r="C103" s="243"/>
      <c r="D103" s="1050" t="s">
        <v>888</v>
      </c>
      <c r="E103" s="1212" t="s">
        <v>1219</v>
      </c>
      <c r="F103" s="1213">
        <v>2471.7528000000002</v>
      </c>
      <c r="G103" s="1213">
        <v>2718.9280800000006</v>
      </c>
      <c r="H103" s="1213">
        <v>2595.3404400000004</v>
      </c>
      <c r="I103" s="511">
        <v>2471.7528000000002</v>
      </c>
    </row>
    <row r="104" spans="1:9" ht="12.75">
      <c r="A104" s="240"/>
      <c r="B104" s="242"/>
      <c r="C104" s="243"/>
      <c r="D104" s="1050" t="s">
        <v>1220</v>
      </c>
      <c r="E104" s="1212" t="s">
        <v>1221</v>
      </c>
      <c r="F104" s="1213">
        <v>2417.62185</v>
      </c>
      <c r="G104" s="1213">
        <v>2659.384035</v>
      </c>
      <c r="H104" s="1213">
        <v>2538.5029425000002</v>
      </c>
      <c r="I104" s="511">
        <v>2417.62185</v>
      </c>
    </row>
    <row r="105" spans="1:9" ht="12.75">
      <c r="A105" s="240"/>
      <c r="B105" s="242"/>
      <c r="C105" s="243"/>
      <c r="D105" s="1050" t="s">
        <v>1222</v>
      </c>
      <c r="E105" s="1212" t="s">
        <v>1223</v>
      </c>
      <c r="F105" s="1213">
        <v>2378.8984500000006</v>
      </c>
      <c r="G105" s="1213">
        <v>2616.7882950000007</v>
      </c>
      <c r="H105" s="1213">
        <v>2497.8433725000004</v>
      </c>
      <c r="I105" s="511">
        <v>2378.8984500000006</v>
      </c>
    </row>
    <row r="106" spans="1:9" ht="12.75">
      <c r="A106" s="240"/>
      <c r="B106" s="242"/>
      <c r="C106" s="243"/>
      <c r="D106" s="1050" t="s">
        <v>903</v>
      </c>
      <c r="E106" s="1050" t="s">
        <v>1224</v>
      </c>
      <c r="F106" s="1213">
        <v>2292.8616000000002</v>
      </c>
      <c r="G106" s="1213">
        <v>2522.1477600000003</v>
      </c>
      <c r="H106" s="1213">
        <v>2407.50468</v>
      </c>
      <c r="I106" s="511">
        <v>2292.8616000000002</v>
      </c>
    </row>
    <row r="107" spans="1:9" ht="12.75">
      <c r="A107" s="240"/>
      <c r="B107" s="242"/>
      <c r="C107" s="243"/>
      <c r="D107" s="1050" t="s">
        <v>902</v>
      </c>
      <c r="E107" s="1050" t="s">
        <v>1225</v>
      </c>
      <c r="F107" s="1213">
        <v>2292.8616000000002</v>
      </c>
      <c r="G107" s="1213">
        <v>2522.1477600000003</v>
      </c>
      <c r="H107" s="1213">
        <v>2407.50468</v>
      </c>
      <c r="I107" s="511">
        <v>2292.8616000000002</v>
      </c>
    </row>
    <row r="108" spans="1:9" ht="12.75">
      <c r="A108" s="240"/>
      <c r="B108" s="242"/>
      <c r="C108" s="243"/>
      <c r="D108" s="1050" t="s">
        <v>892</v>
      </c>
      <c r="E108" s="1212" t="s">
        <v>1226</v>
      </c>
      <c r="F108" s="1213">
        <v>2292.8616000000002</v>
      </c>
      <c r="G108" s="1213">
        <v>2522.1477600000003</v>
      </c>
      <c r="H108" s="1213">
        <v>2407.50468</v>
      </c>
      <c r="I108" s="511">
        <v>2292.8616000000002</v>
      </c>
    </row>
    <row r="109" spans="1:9" ht="12.75">
      <c r="A109" s="240"/>
      <c r="B109" s="242"/>
      <c r="C109" s="243"/>
      <c r="D109" s="1050" t="s">
        <v>891</v>
      </c>
      <c r="E109" s="1212" t="s">
        <v>1227</v>
      </c>
      <c r="F109" s="1213">
        <v>2292.8616000000002</v>
      </c>
      <c r="G109" s="1213">
        <v>2522.1477600000003</v>
      </c>
      <c r="H109" s="1213">
        <v>2407.50468</v>
      </c>
      <c r="I109" s="511">
        <v>2292.8616000000002</v>
      </c>
    </row>
    <row r="110" spans="1:9" ht="12.75">
      <c r="A110" s="240"/>
      <c r="B110" s="242"/>
      <c r="C110" s="243"/>
      <c r="D110" s="1050" t="s">
        <v>890</v>
      </c>
      <c r="E110" s="1212" t="s">
        <v>1228</v>
      </c>
      <c r="F110" s="1213">
        <v>2292.8616000000002</v>
      </c>
      <c r="G110" s="1213">
        <v>2522.1477600000003</v>
      </c>
      <c r="H110" s="1213">
        <v>2407.50468</v>
      </c>
      <c r="I110" s="511">
        <v>2292.8616000000002</v>
      </c>
    </row>
    <row r="111" spans="1:9" ht="12.75">
      <c r="A111" s="240"/>
      <c r="B111" s="242"/>
      <c r="C111" s="243"/>
      <c r="D111" s="1050" t="s">
        <v>885</v>
      </c>
      <c r="E111" s="1212" t="s">
        <v>1229</v>
      </c>
      <c r="F111" s="1213">
        <v>2292.8616000000002</v>
      </c>
      <c r="G111" s="1213">
        <v>2522.1477600000003</v>
      </c>
      <c r="H111" s="1213">
        <v>2407.50468</v>
      </c>
      <c r="I111" s="511">
        <v>2292.8616000000002</v>
      </c>
    </row>
    <row r="112" spans="1:9" ht="12.75">
      <c r="A112" s="240"/>
      <c r="B112" s="242"/>
      <c r="C112" s="243"/>
      <c r="D112" s="1050" t="s">
        <v>1230</v>
      </c>
      <c r="E112" s="1212" t="s">
        <v>1231</v>
      </c>
      <c r="F112" s="1213">
        <v>2253.3200999999999</v>
      </c>
      <c r="G112" s="1213">
        <v>2478.65211</v>
      </c>
      <c r="H112" s="1213">
        <v>2365.986105</v>
      </c>
      <c r="I112" s="511">
        <v>2253.3200999999999</v>
      </c>
    </row>
    <row r="113" spans="1:14" ht="12.75">
      <c r="A113" s="240"/>
      <c r="B113" s="242"/>
      <c r="C113" s="243"/>
      <c r="D113" s="1050" t="s">
        <v>1232</v>
      </c>
      <c r="E113" s="1212" t="s">
        <v>1233</v>
      </c>
      <c r="F113" s="1213">
        <v>2243.2302000000004</v>
      </c>
      <c r="G113" s="1213">
        <v>2467.5532200000007</v>
      </c>
      <c r="H113" s="1213">
        <v>2355.3917100000008</v>
      </c>
      <c r="I113" s="511">
        <v>2243.2302000000004</v>
      </c>
    </row>
    <row r="114" spans="1:14" ht="12.75">
      <c r="A114" s="240"/>
      <c r="B114" s="242"/>
      <c r="C114" s="243"/>
      <c r="D114" s="1050" t="s">
        <v>1234</v>
      </c>
      <c r="E114" s="1212" t="s">
        <v>1235</v>
      </c>
      <c r="F114" s="1213">
        <v>2243.2302000000004</v>
      </c>
      <c r="G114" s="1213">
        <v>2467.5532200000007</v>
      </c>
      <c r="H114" s="1213">
        <v>2355.3917100000008</v>
      </c>
      <c r="I114" s="511">
        <v>2243.2302000000004</v>
      </c>
    </row>
    <row r="115" spans="1:14" ht="12.75">
      <c r="A115" s="240"/>
      <c r="B115" s="242"/>
      <c r="C115" s="243"/>
      <c r="D115" s="1050" t="s">
        <v>875</v>
      </c>
      <c r="E115" s="1212" t="s">
        <v>1236</v>
      </c>
      <c r="F115" s="1213">
        <v>2243.2302000000004</v>
      </c>
      <c r="G115" s="1213">
        <v>2467.5532200000007</v>
      </c>
      <c r="H115" s="1213">
        <v>2355.3917100000008</v>
      </c>
      <c r="I115" s="511">
        <v>2243.2302000000004</v>
      </c>
    </row>
    <row r="116" spans="1:14" ht="12.75">
      <c r="A116" s="240"/>
      <c r="B116" s="242"/>
      <c r="C116" s="243"/>
      <c r="D116" s="1050" t="s">
        <v>883</v>
      </c>
      <c r="E116" s="1212" t="s">
        <v>1237</v>
      </c>
      <c r="F116" s="1213">
        <v>2243.2302000000004</v>
      </c>
      <c r="G116" s="1213">
        <v>2467.5532200000007</v>
      </c>
      <c r="H116" s="1213">
        <v>2355.3917100000008</v>
      </c>
      <c r="I116" s="511">
        <v>2243.2302000000004</v>
      </c>
    </row>
    <row r="117" spans="1:14" ht="12.75">
      <c r="A117" s="240"/>
      <c r="B117" s="242"/>
      <c r="C117" s="243"/>
      <c r="D117" s="1050" t="s">
        <v>900</v>
      </c>
      <c r="E117" s="1212" t="s">
        <v>1238</v>
      </c>
      <c r="F117" s="1213">
        <v>2243.2302000000004</v>
      </c>
      <c r="G117" s="1213">
        <v>2467.5532200000007</v>
      </c>
      <c r="H117" s="1213">
        <v>2355.3917100000008</v>
      </c>
      <c r="I117" s="511">
        <v>2243.2302000000004</v>
      </c>
    </row>
    <row r="118" spans="1:14" ht="12.75">
      <c r="A118" s="240"/>
      <c r="B118" s="242"/>
      <c r="C118" s="243"/>
      <c r="D118" s="1050" t="s">
        <v>876</v>
      </c>
      <c r="E118" s="1212" t="s">
        <v>1239</v>
      </c>
      <c r="F118" s="1213">
        <v>2243.2302000000004</v>
      </c>
      <c r="G118" s="1213">
        <v>2467.5532200000007</v>
      </c>
      <c r="H118" s="1213">
        <v>2355.3917100000008</v>
      </c>
      <c r="I118" s="511">
        <v>2243.2302000000004</v>
      </c>
      <c r="N118">
        <f>954*8</f>
        <v>7632</v>
      </c>
    </row>
    <row r="119" spans="1:14" ht="12.75">
      <c r="A119" s="240"/>
      <c r="B119" s="242"/>
      <c r="C119" s="243"/>
      <c r="D119" s="1050" t="s">
        <v>1240</v>
      </c>
      <c r="E119" s="1212" t="s">
        <v>1241</v>
      </c>
      <c r="F119" s="1213">
        <v>2243.2302000000004</v>
      </c>
      <c r="G119" s="1213">
        <v>2467.5532200000007</v>
      </c>
      <c r="H119" s="1213">
        <v>2355.3917100000008</v>
      </c>
      <c r="I119" s="511">
        <v>2243.2302000000004</v>
      </c>
    </row>
    <row r="120" spans="1:14" ht="12.75">
      <c r="A120" s="240"/>
      <c r="B120" s="242"/>
      <c r="C120" s="243"/>
      <c r="D120" s="1050" t="s">
        <v>1242</v>
      </c>
      <c r="E120" s="1212" t="s">
        <v>1243</v>
      </c>
      <c r="F120" s="1213">
        <v>2243.2302000000004</v>
      </c>
      <c r="G120" s="1213">
        <v>2467.5532200000007</v>
      </c>
      <c r="H120" s="1213">
        <v>2355.3917100000008</v>
      </c>
      <c r="I120" s="511">
        <v>2243.2302000000004</v>
      </c>
    </row>
    <row r="121" spans="1:14" ht="12.75">
      <c r="A121" s="240"/>
      <c r="B121" s="242"/>
      <c r="C121" s="243"/>
      <c r="D121" s="1050" t="s">
        <v>874</v>
      </c>
      <c r="E121" s="1212" t="s">
        <v>1244</v>
      </c>
      <c r="F121" s="1213">
        <v>2243.2302000000004</v>
      </c>
      <c r="G121" s="1213">
        <v>2467.5532200000007</v>
      </c>
      <c r="H121" s="1213">
        <v>2355.3917100000008</v>
      </c>
      <c r="I121" s="511">
        <v>2243.2302000000004</v>
      </c>
    </row>
    <row r="122" spans="1:14" ht="12.75">
      <c r="A122" s="240"/>
      <c r="B122" s="242"/>
      <c r="C122" s="243"/>
      <c r="D122" s="1050" t="s">
        <v>787</v>
      </c>
      <c r="E122" s="1212" t="s">
        <v>1245</v>
      </c>
      <c r="F122" s="1213">
        <v>2126.5146</v>
      </c>
      <c r="G122" s="1213">
        <v>2339.16606</v>
      </c>
      <c r="H122" s="1213">
        <v>2232.84033</v>
      </c>
      <c r="I122" s="511">
        <v>2126.5146</v>
      </c>
    </row>
    <row r="123" spans="1:14" ht="12.75">
      <c r="A123" s="240"/>
      <c r="B123" s="242"/>
      <c r="C123" s="243"/>
      <c r="D123" s="1050" t="s">
        <v>1246</v>
      </c>
      <c r="E123" s="1212" t="s">
        <v>1247</v>
      </c>
      <c r="F123" s="1213">
        <v>1985.6923200000001</v>
      </c>
      <c r="G123" s="1213">
        <v>2184.2615520000004</v>
      </c>
      <c r="H123" s="1213">
        <v>2084.976936</v>
      </c>
      <c r="I123" s="511">
        <v>1985.6923200000001</v>
      </c>
    </row>
    <row r="124" spans="1:14" ht="12.75">
      <c r="A124" s="240"/>
      <c r="B124" s="242"/>
      <c r="C124" s="243"/>
      <c r="D124" s="1050" t="s">
        <v>1248</v>
      </c>
      <c r="E124" s="1212" t="s">
        <v>1249</v>
      </c>
      <c r="F124" s="1213">
        <v>1934.6701500000004</v>
      </c>
      <c r="G124" s="1213">
        <v>2128.1371650000006</v>
      </c>
      <c r="H124" s="1213">
        <v>2031.4036575000005</v>
      </c>
      <c r="I124" s="511">
        <v>1934.6701500000004</v>
      </c>
    </row>
    <row r="125" spans="1:14" ht="12.75">
      <c r="A125" s="240"/>
      <c r="B125" s="242"/>
      <c r="C125" s="243"/>
      <c r="D125" s="1050" t="s">
        <v>816</v>
      </c>
      <c r="E125" s="1212" t="s">
        <v>1250</v>
      </c>
      <c r="F125" s="1213">
        <v>1888.9929000000002</v>
      </c>
      <c r="G125" s="1213">
        <v>2077.8921900000005</v>
      </c>
      <c r="H125" s="1213">
        <v>1983.4425450000003</v>
      </c>
      <c r="I125" s="511">
        <v>1888.9929000000002</v>
      </c>
    </row>
    <row r="126" spans="1:14" ht="12.75">
      <c r="A126" s="240"/>
      <c r="B126" s="242"/>
      <c r="C126" s="243"/>
      <c r="D126" s="1050" t="s">
        <v>781</v>
      </c>
      <c r="E126" s="1212" t="s">
        <v>1251</v>
      </c>
      <c r="F126" s="1213">
        <v>1888.9929000000002</v>
      </c>
      <c r="G126" s="1213">
        <v>2077.8921900000005</v>
      </c>
      <c r="H126" s="1213">
        <v>1983.4425450000003</v>
      </c>
      <c r="I126" s="511">
        <v>1888.9929000000002</v>
      </c>
    </row>
    <row r="127" spans="1:14" ht="12.75">
      <c r="A127" s="240"/>
      <c r="B127" s="242"/>
      <c r="C127" s="243"/>
      <c r="D127" s="1050" t="s">
        <v>1252</v>
      </c>
      <c r="E127" s="1212" t="s">
        <v>1253</v>
      </c>
      <c r="F127" s="1213">
        <v>1888.9929000000002</v>
      </c>
      <c r="G127" s="1213">
        <v>2077.8921900000005</v>
      </c>
      <c r="H127" s="1213">
        <v>1983.4425450000003</v>
      </c>
      <c r="I127" s="511">
        <v>1888.9929000000002</v>
      </c>
    </row>
    <row r="128" spans="1:14" ht="12.75">
      <c r="A128" s="240"/>
      <c r="B128" s="242"/>
      <c r="C128" s="243"/>
      <c r="D128" s="1050" t="s">
        <v>800</v>
      </c>
      <c r="E128" s="1212" t="s">
        <v>1254</v>
      </c>
      <c r="F128" s="1213">
        <v>1888.9929000000002</v>
      </c>
      <c r="G128" s="1213">
        <v>2077.8921900000005</v>
      </c>
      <c r="H128" s="1213">
        <v>1983.4425450000003</v>
      </c>
      <c r="I128" s="511">
        <v>1888.9929000000002</v>
      </c>
    </row>
    <row r="129" spans="1:9" ht="12.75">
      <c r="A129" s="240"/>
      <c r="B129" s="242"/>
      <c r="C129" s="243"/>
      <c r="D129" s="1050" t="s">
        <v>1255</v>
      </c>
      <c r="E129" s="1212" t="s">
        <v>1256</v>
      </c>
      <c r="F129" s="1213">
        <v>1857.4960500000002</v>
      </c>
      <c r="G129" s="1213">
        <v>2043.2456550000004</v>
      </c>
      <c r="H129" s="1213">
        <v>1950.3708525000002</v>
      </c>
      <c r="I129" s="511">
        <v>1857.4960500000002</v>
      </c>
    </row>
    <row r="130" spans="1:9" ht="12.75">
      <c r="A130" s="240"/>
      <c r="B130" s="242"/>
      <c r="C130" s="243"/>
      <c r="D130" s="1050" t="s">
        <v>762</v>
      </c>
      <c r="E130" s="1212" t="s">
        <v>1257</v>
      </c>
      <c r="F130" s="1213">
        <v>1808.8872750000003</v>
      </c>
      <c r="G130" s="1213">
        <v>1989.7760025000005</v>
      </c>
      <c r="H130" s="1213">
        <v>1899.3316387500004</v>
      </c>
      <c r="I130" s="511">
        <v>1808.8872750000003</v>
      </c>
    </row>
    <row r="131" spans="1:9" ht="12.75">
      <c r="A131" s="240"/>
      <c r="B131" s="242"/>
      <c r="C131" s="243"/>
      <c r="D131" s="1050" t="s">
        <v>870</v>
      </c>
      <c r="E131" s="1212" t="s">
        <v>1258</v>
      </c>
      <c r="F131" s="1213">
        <v>1805.9557500000003</v>
      </c>
      <c r="G131" s="1213">
        <v>1986.5513250000006</v>
      </c>
      <c r="H131" s="1213">
        <v>1896.2535375000004</v>
      </c>
      <c r="I131" s="511">
        <v>1805.9557500000003</v>
      </c>
    </row>
    <row r="132" spans="1:9" ht="12.75">
      <c r="A132" s="240"/>
      <c r="B132" s="242"/>
      <c r="C132" s="243"/>
      <c r="D132" s="1050" t="s">
        <v>1259</v>
      </c>
      <c r="E132" s="1212" t="s">
        <v>1260</v>
      </c>
      <c r="F132" s="1213">
        <v>1800.2290499999999</v>
      </c>
      <c r="G132" s="1213">
        <v>1980.2519550000002</v>
      </c>
      <c r="H132" s="1213">
        <v>1890.2405025</v>
      </c>
      <c r="I132" s="511">
        <v>1800.2290499999999</v>
      </c>
    </row>
    <row r="133" spans="1:9" ht="12.75">
      <c r="A133" s="240"/>
      <c r="B133" s="242"/>
      <c r="C133" s="243"/>
      <c r="D133" s="1050" t="s">
        <v>1261</v>
      </c>
      <c r="E133" s="1212" t="s">
        <v>1262</v>
      </c>
      <c r="F133" s="1213">
        <v>1800.2290499999999</v>
      </c>
      <c r="G133" s="1213">
        <v>1980.2519550000002</v>
      </c>
      <c r="H133" s="1213">
        <v>1890.2405025</v>
      </c>
      <c r="I133" s="511">
        <v>1800.2290499999999</v>
      </c>
    </row>
    <row r="134" spans="1:9" ht="12.75">
      <c r="A134" s="240"/>
      <c r="B134" s="242"/>
      <c r="C134" s="243"/>
      <c r="D134" s="1050" t="s">
        <v>1263</v>
      </c>
      <c r="E134" s="1212" t="s">
        <v>1264</v>
      </c>
      <c r="F134" s="1213">
        <v>1800.2290499999999</v>
      </c>
      <c r="G134" s="1213">
        <v>1980.2519550000002</v>
      </c>
      <c r="H134" s="1213">
        <v>1890.2405025</v>
      </c>
      <c r="I134" s="511">
        <v>1800.2290499999999</v>
      </c>
    </row>
    <row r="135" spans="1:9" ht="12.75">
      <c r="A135" s="240"/>
      <c r="B135" s="242"/>
      <c r="C135" s="243"/>
      <c r="D135" s="1050" t="s">
        <v>1265</v>
      </c>
      <c r="E135" s="1212" t="s">
        <v>1266</v>
      </c>
      <c r="F135" s="1213">
        <v>1800.2290499999999</v>
      </c>
      <c r="G135" s="1213">
        <v>1980.2519550000002</v>
      </c>
      <c r="H135" s="1213">
        <v>1890.2405025</v>
      </c>
      <c r="I135" s="511">
        <v>1800.2290499999999</v>
      </c>
    </row>
    <row r="136" spans="1:9" ht="12.75">
      <c r="A136" s="240"/>
      <c r="B136" s="242"/>
      <c r="C136" s="243"/>
      <c r="D136" s="1050" t="s">
        <v>901</v>
      </c>
      <c r="E136" s="1212" t="s">
        <v>1267</v>
      </c>
      <c r="F136" s="1213">
        <v>1800.2290499999999</v>
      </c>
      <c r="G136" s="1213">
        <v>1980.2519550000002</v>
      </c>
      <c r="H136" s="1213">
        <v>1890.2405025</v>
      </c>
      <c r="I136" s="511">
        <v>1800.2290499999999</v>
      </c>
    </row>
    <row r="137" spans="1:9" ht="12.75">
      <c r="A137" s="240"/>
      <c r="B137" s="242"/>
      <c r="C137" s="243"/>
      <c r="D137" s="1050" t="s">
        <v>852</v>
      </c>
      <c r="E137" s="1212" t="s">
        <v>1268</v>
      </c>
      <c r="F137" s="1213">
        <v>1800.2290499999999</v>
      </c>
      <c r="G137" s="1213">
        <v>1980.2519550000002</v>
      </c>
      <c r="H137" s="1213">
        <v>1890.2405025</v>
      </c>
      <c r="I137" s="511">
        <v>1800.2290499999999</v>
      </c>
    </row>
    <row r="138" spans="1:9" ht="12.75">
      <c r="A138" s="240"/>
      <c r="B138" s="242"/>
      <c r="C138" s="243"/>
      <c r="D138" s="1050" t="s">
        <v>757</v>
      </c>
      <c r="E138" s="1212" t="s">
        <v>1269</v>
      </c>
      <c r="F138" s="1213">
        <v>1781.2764000000004</v>
      </c>
      <c r="G138" s="1213">
        <v>1959.4040400000006</v>
      </c>
      <c r="H138" s="1213">
        <v>1870.3402200000005</v>
      </c>
      <c r="I138" s="511">
        <v>1781.2764000000004</v>
      </c>
    </row>
    <row r="139" spans="1:9" ht="12.75">
      <c r="A139" s="240"/>
      <c r="B139" s="242"/>
      <c r="C139" s="243"/>
      <c r="D139" s="1050" t="s">
        <v>857</v>
      </c>
      <c r="E139" s="1212" t="s">
        <v>1270</v>
      </c>
      <c r="F139" s="1213">
        <v>1781.2764000000004</v>
      </c>
      <c r="G139" s="1213">
        <v>1959.4040400000006</v>
      </c>
      <c r="H139" s="1213">
        <v>1870.3402200000005</v>
      </c>
      <c r="I139" s="511">
        <v>1781.2764000000004</v>
      </c>
    </row>
    <row r="140" spans="1:9" ht="12.75">
      <c r="A140" s="240"/>
      <c r="B140" s="242"/>
      <c r="C140" s="243"/>
      <c r="D140" s="1050" t="s">
        <v>1271</v>
      </c>
      <c r="E140" s="1212" t="s">
        <v>1272</v>
      </c>
      <c r="F140" s="1213">
        <v>1764.6417000000001</v>
      </c>
      <c r="G140" s="1213">
        <v>1941.1058700000003</v>
      </c>
      <c r="H140" s="1213">
        <v>1852.8737850000002</v>
      </c>
      <c r="I140" s="511">
        <v>1764.6417000000001</v>
      </c>
    </row>
    <row r="141" spans="1:9" ht="12.75">
      <c r="A141" s="240"/>
      <c r="B141" s="242"/>
      <c r="C141" s="243"/>
      <c r="D141" s="1050" t="s">
        <v>788</v>
      </c>
      <c r="E141" s="1212" t="s">
        <v>1273</v>
      </c>
      <c r="F141" s="1213">
        <v>1764.6417000000001</v>
      </c>
      <c r="G141" s="1213">
        <v>1941.1058700000003</v>
      </c>
      <c r="H141" s="1213">
        <v>1852.8737850000002</v>
      </c>
      <c r="I141" s="511">
        <v>1764.6417000000001</v>
      </c>
    </row>
    <row r="142" spans="1:9" ht="12.75">
      <c r="A142" s="240"/>
      <c r="B142" s="242"/>
      <c r="C142" s="243"/>
      <c r="D142" s="1050" t="s">
        <v>1274</v>
      </c>
      <c r="E142" s="1212" t="s">
        <v>1275</v>
      </c>
      <c r="F142" s="1213">
        <v>1764.6417000000001</v>
      </c>
      <c r="G142" s="1213">
        <v>1941.1058700000003</v>
      </c>
      <c r="H142" s="1213">
        <v>1852.8737850000002</v>
      </c>
      <c r="I142" s="511">
        <v>1764.6417000000001</v>
      </c>
    </row>
    <row r="143" spans="1:9" ht="12.75">
      <c r="A143" s="240"/>
      <c r="B143" s="242"/>
      <c r="C143" s="243"/>
      <c r="D143" s="1050" t="s">
        <v>1276</v>
      </c>
      <c r="E143" s="1212" t="s">
        <v>1277</v>
      </c>
      <c r="F143" s="1213">
        <v>1747.8706500000003</v>
      </c>
      <c r="G143" s="1213">
        <v>1922.6577150000005</v>
      </c>
      <c r="H143" s="1213">
        <v>1835.2641825000005</v>
      </c>
      <c r="I143" s="511">
        <v>1747.8706500000003</v>
      </c>
    </row>
    <row r="144" spans="1:9" ht="12.75">
      <c r="A144" s="240"/>
      <c r="B144" s="242"/>
      <c r="C144" s="243"/>
      <c r="D144" s="1050" t="s">
        <v>1278</v>
      </c>
      <c r="E144" s="1212" t="s">
        <v>1279</v>
      </c>
      <c r="F144" s="1213">
        <v>1747.8706500000003</v>
      </c>
      <c r="G144" s="1213">
        <v>1922.6577150000005</v>
      </c>
      <c r="H144" s="1213">
        <v>1835.2641825000005</v>
      </c>
      <c r="I144" s="511">
        <v>1747.8706500000003</v>
      </c>
    </row>
    <row r="145" spans="1:9" ht="12.75">
      <c r="A145" s="240"/>
      <c r="B145" s="242"/>
      <c r="C145" s="243"/>
      <c r="D145" s="1050" t="s">
        <v>798</v>
      </c>
      <c r="E145" s="1212" t="s">
        <v>1280</v>
      </c>
      <c r="F145" s="1213">
        <v>1747.8706500000003</v>
      </c>
      <c r="G145" s="1213">
        <v>1922.6577150000005</v>
      </c>
      <c r="H145" s="1213">
        <v>1835.2641825000005</v>
      </c>
      <c r="I145" s="511">
        <v>1747.8706500000003</v>
      </c>
    </row>
    <row r="146" spans="1:9" ht="12.75">
      <c r="A146" s="240"/>
      <c r="B146" s="242"/>
      <c r="C146" s="243"/>
      <c r="D146" s="1050" t="s">
        <v>887</v>
      </c>
      <c r="E146" s="1212" t="s">
        <v>1281</v>
      </c>
      <c r="F146" s="1213">
        <v>1747.8706500000003</v>
      </c>
      <c r="G146" s="1213">
        <v>1922.6577150000005</v>
      </c>
      <c r="H146" s="1213">
        <v>1835.2641825000005</v>
      </c>
      <c r="I146" s="511">
        <v>1747.8706500000003</v>
      </c>
    </row>
    <row r="147" spans="1:9" ht="12.75">
      <c r="A147" s="240"/>
      <c r="B147" s="242"/>
      <c r="C147" s="243"/>
      <c r="D147" s="1050" t="s">
        <v>858</v>
      </c>
      <c r="E147" s="1050" t="s">
        <v>1282</v>
      </c>
      <c r="F147" s="1213">
        <v>1700.9935200000002</v>
      </c>
      <c r="G147" s="1213">
        <v>1871.0928720000004</v>
      </c>
      <c r="H147" s="1213">
        <v>1786.0431960000003</v>
      </c>
      <c r="I147" s="511">
        <v>1700.9935200000002</v>
      </c>
    </row>
    <row r="148" spans="1:9" ht="12.75">
      <c r="A148" s="240"/>
      <c r="B148" s="242"/>
      <c r="C148" s="243"/>
      <c r="D148" s="1050" t="s">
        <v>884</v>
      </c>
      <c r="E148" s="1212" t="s">
        <v>1283</v>
      </c>
      <c r="F148" s="1213">
        <v>1690.71273</v>
      </c>
      <c r="G148" s="1213">
        <v>1859.7840030000002</v>
      </c>
      <c r="H148" s="1213">
        <v>1775.2483665</v>
      </c>
      <c r="I148" s="511">
        <v>1690.71273</v>
      </c>
    </row>
    <row r="149" spans="1:9" ht="12.75">
      <c r="A149" s="240"/>
      <c r="B149" s="242"/>
      <c r="C149" s="243"/>
      <c r="D149" s="1050" t="s">
        <v>789</v>
      </c>
      <c r="E149" s="1212" t="s">
        <v>1284</v>
      </c>
      <c r="F149" s="1213">
        <v>1591.7499000000003</v>
      </c>
      <c r="G149" s="1213">
        <v>1750.9248900000005</v>
      </c>
      <c r="H149" s="1213">
        <v>1671.3373950000005</v>
      </c>
      <c r="I149" s="511">
        <v>1591.7499000000003</v>
      </c>
    </row>
    <row r="150" spans="1:9" ht="12.75">
      <c r="A150" s="240"/>
      <c r="B150" s="242"/>
      <c r="C150" s="243"/>
      <c r="D150" s="1050" t="s">
        <v>869</v>
      </c>
      <c r="E150" s="1212" t="s">
        <v>1285</v>
      </c>
      <c r="F150" s="1213">
        <v>1545.6636000000001</v>
      </c>
      <c r="G150" s="1213">
        <v>1700.2299600000003</v>
      </c>
      <c r="H150" s="1213">
        <v>1622.9467800000002</v>
      </c>
      <c r="I150" s="511">
        <v>1545.6636000000001</v>
      </c>
    </row>
    <row r="151" spans="1:9" ht="12.75">
      <c r="A151" s="240"/>
      <c r="B151" s="242"/>
      <c r="C151" s="243"/>
      <c r="D151" s="1050" t="s">
        <v>863</v>
      </c>
      <c r="E151" s="1212" t="s">
        <v>1286</v>
      </c>
      <c r="F151" s="1213">
        <v>1545.6636000000001</v>
      </c>
      <c r="G151" s="1213">
        <v>1700.2299600000003</v>
      </c>
      <c r="H151" s="1213">
        <v>1622.9467800000002</v>
      </c>
      <c r="I151" s="511">
        <v>1545.6636000000001</v>
      </c>
    </row>
    <row r="152" spans="1:9" ht="12.75">
      <c r="A152" s="240"/>
      <c r="B152" s="242"/>
      <c r="C152" s="243"/>
      <c r="D152" s="1050" t="s">
        <v>765</v>
      </c>
      <c r="E152" s="1212" t="s">
        <v>1287</v>
      </c>
      <c r="F152" s="1213">
        <v>1545.6636000000001</v>
      </c>
      <c r="G152" s="1213">
        <v>1700.2299600000003</v>
      </c>
      <c r="H152" s="1213">
        <v>1622.9467800000002</v>
      </c>
      <c r="I152" s="511">
        <v>1545.6636000000001</v>
      </c>
    </row>
    <row r="153" spans="1:9" ht="12.75">
      <c r="A153" s="240"/>
      <c r="B153" s="242"/>
      <c r="C153" s="243"/>
      <c r="D153" s="1050" t="s">
        <v>1288</v>
      </c>
      <c r="E153" s="1212" t="s">
        <v>1289</v>
      </c>
      <c r="F153" s="1213">
        <v>1545.6636000000001</v>
      </c>
      <c r="G153" s="1213">
        <v>1700.2299600000003</v>
      </c>
      <c r="H153" s="1213">
        <v>1622.9467800000002</v>
      </c>
      <c r="I153" s="511">
        <v>1545.6636000000001</v>
      </c>
    </row>
    <row r="154" spans="1:9" ht="12.75">
      <c r="A154" s="240"/>
      <c r="B154" s="242"/>
      <c r="C154" s="243"/>
      <c r="D154" s="1050" t="s">
        <v>771</v>
      </c>
      <c r="E154" s="1212" t="s">
        <v>1290</v>
      </c>
      <c r="F154" s="1213">
        <v>1497.53205</v>
      </c>
      <c r="G154" s="1213">
        <v>1647.2852550000002</v>
      </c>
      <c r="H154" s="1213">
        <v>1572.4086525000002</v>
      </c>
      <c r="I154" s="511">
        <v>1497.53205</v>
      </c>
    </row>
    <row r="155" spans="1:9" ht="12.75">
      <c r="A155" s="240"/>
      <c r="B155" s="242"/>
      <c r="C155" s="243"/>
      <c r="D155" s="1050" t="s">
        <v>1291</v>
      </c>
      <c r="E155" s="1212" t="s">
        <v>1292</v>
      </c>
      <c r="F155" s="1213">
        <v>1497.53205</v>
      </c>
      <c r="G155" s="1213">
        <v>1647.2852550000002</v>
      </c>
      <c r="H155" s="1213">
        <v>1572.4086525000002</v>
      </c>
      <c r="I155" s="511">
        <v>1497.53205</v>
      </c>
    </row>
    <row r="156" spans="1:9" ht="12.75">
      <c r="A156" s="240"/>
      <c r="B156" s="242"/>
      <c r="C156" s="243"/>
      <c r="D156" s="1050" t="s">
        <v>1293</v>
      </c>
      <c r="E156" s="1212" t="s">
        <v>1294</v>
      </c>
      <c r="F156" s="1213">
        <v>1497.53205</v>
      </c>
      <c r="G156" s="1213">
        <v>1647.2852550000002</v>
      </c>
      <c r="H156" s="1213">
        <v>1572.4086525000002</v>
      </c>
      <c r="I156" s="511">
        <v>1497.53205</v>
      </c>
    </row>
    <row r="157" spans="1:9" ht="12.75">
      <c r="A157" s="240"/>
      <c r="B157" s="242"/>
      <c r="C157" s="243"/>
      <c r="D157" s="1050" t="s">
        <v>1295</v>
      </c>
      <c r="E157" s="1212" t="s">
        <v>1296</v>
      </c>
      <c r="F157" s="1213">
        <v>1483.4880000000003</v>
      </c>
      <c r="G157" s="1213">
        <v>1631.8368000000005</v>
      </c>
      <c r="H157" s="1213">
        <v>1557.6624000000004</v>
      </c>
      <c r="I157" s="511">
        <v>1483.4880000000003</v>
      </c>
    </row>
    <row r="158" spans="1:9" ht="12.75">
      <c r="A158" s="240"/>
      <c r="B158" s="242"/>
      <c r="C158" s="243"/>
      <c r="D158" s="1050" t="s">
        <v>880</v>
      </c>
      <c r="E158" s="1212" t="s">
        <v>1297</v>
      </c>
      <c r="F158" s="1213">
        <v>1483.4880000000003</v>
      </c>
      <c r="G158" s="1213">
        <v>1631.8368000000005</v>
      </c>
      <c r="H158" s="1213">
        <v>1557.6624000000004</v>
      </c>
      <c r="I158" s="511">
        <v>1483.4880000000003</v>
      </c>
    </row>
    <row r="159" spans="1:9" ht="12.75">
      <c r="A159" s="240"/>
      <c r="B159" s="242"/>
      <c r="C159" s="243"/>
      <c r="D159" s="1050" t="s">
        <v>795</v>
      </c>
      <c r="E159" s="1212" t="s">
        <v>1298</v>
      </c>
      <c r="F159" s="1213">
        <v>1483.4880000000003</v>
      </c>
      <c r="G159" s="1213">
        <v>1631.8368000000005</v>
      </c>
      <c r="H159" s="1213">
        <v>1557.6624000000004</v>
      </c>
      <c r="I159" s="511">
        <v>1483.4880000000003</v>
      </c>
    </row>
    <row r="160" spans="1:9" ht="12.75">
      <c r="A160" s="240"/>
      <c r="B160" s="242"/>
      <c r="C160" s="243"/>
      <c r="D160" s="1050" t="s">
        <v>794</v>
      </c>
      <c r="E160" s="1212" t="s">
        <v>1299</v>
      </c>
      <c r="F160" s="1213">
        <v>1483.4880000000003</v>
      </c>
      <c r="G160" s="1213">
        <v>1631.8368000000005</v>
      </c>
      <c r="H160" s="1213">
        <v>1557.6624000000004</v>
      </c>
      <c r="I160" s="511">
        <v>1483.4880000000003</v>
      </c>
    </row>
    <row r="161" spans="1:9" ht="12.75">
      <c r="A161" s="240"/>
      <c r="B161" s="242"/>
      <c r="C161" s="243"/>
      <c r="D161" s="1050" t="s">
        <v>811</v>
      </c>
      <c r="E161" s="1212" t="s">
        <v>1300</v>
      </c>
      <c r="F161" s="1213">
        <v>1483.4880000000003</v>
      </c>
      <c r="G161" s="1213">
        <v>1631.8368000000005</v>
      </c>
      <c r="H161" s="1213">
        <v>1557.6624000000004</v>
      </c>
      <c r="I161" s="511">
        <v>1483.4880000000003</v>
      </c>
    </row>
    <row r="162" spans="1:9" ht="12.75">
      <c r="A162" s="240"/>
      <c r="B162" s="242"/>
      <c r="C162" s="243"/>
      <c r="D162" s="1050" t="s">
        <v>859</v>
      </c>
      <c r="E162" s="1212" t="s">
        <v>1301</v>
      </c>
      <c r="F162" s="1213">
        <v>1483.4880000000003</v>
      </c>
      <c r="G162" s="1213">
        <v>1631.8368000000005</v>
      </c>
      <c r="H162" s="1213">
        <v>1557.6624000000004</v>
      </c>
      <c r="I162" s="511">
        <v>1483.4880000000003</v>
      </c>
    </row>
    <row r="163" spans="1:9" ht="12.75">
      <c r="A163" s="240"/>
      <c r="B163" s="242"/>
      <c r="C163" s="243"/>
      <c r="D163" s="1050" t="s">
        <v>1302</v>
      </c>
      <c r="E163" s="1212" t="s">
        <v>1303</v>
      </c>
      <c r="F163" s="1213">
        <v>1483.4880000000003</v>
      </c>
      <c r="G163" s="1213">
        <v>1631.8368000000005</v>
      </c>
      <c r="H163" s="1213">
        <v>1557.6624000000004</v>
      </c>
      <c r="I163" s="511">
        <v>1483.4880000000003</v>
      </c>
    </row>
    <row r="164" spans="1:9" ht="12.75">
      <c r="A164" s="240"/>
      <c r="B164" s="242"/>
      <c r="C164" s="243"/>
      <c r="D164" s="1050" t="s">
        <v>864</v>
      </c>
      <c r="E164" s="1212" t="s">
        <v>1304</v>
      </c>
      <c r="F164" s="1213">
        <v>1483.4880000000003</v>
      </c>
      <c r="G164" s="1213">
        <v>1631.8368000000005</v>
      </c>
      <c r="H164" s="1213">
        <v>1557.6624000000004</v>
      </c>
      <c r="I164" s="511">
        <v>1483.4880000000003</v>
      </c>
    </row>
    <row r="165" spans="1:9" ht="12.75">
      <c r="A165" s="240"/>
      <c r="B165" s="242"/>
      <c r="C165" s="243"/>
      <c r="D165" s="1050" t="s">
        <v>751</v>
      </c>
      <c r="E165" s="1212" t="s">
        <v>1305</v>
      </c>
      <c r="F165" s="1213">
        <v>1483.4880000000003</v>
      </c>
      <c r="G165" s="1213">
        <v>1631.8368000000005</v>
      </c>
      <c r="H165" s="1213">
        <v>1557.6624000000004</v>
      </c>
      <c r="I165" s="511">
        <v>1483.4880000000003</v>
      </c>
    </row>
    <row r="166" spans="1:9" ht="12.75">
      <c r="A166" s="240"/>
      <c r="B166" s="242"/>
      <c r="C166" s="243"/>
      <c r="D166" s="1050" t="s">
        <v>752</v>
      </c>
      <c r="E166" s="1212" t="s">
        <v>1306</v>
      </c>
      <c r="F166" s="1213">
        <v>1483.4880000000003</v>
      </c>
      <c r="G166" s="1213">
        <v>1631.8368000000005</v>
      </c>
      <c r="H166" s="1213">
        <v>1557.6624000000004</v>
      </c>
      <c r="I166" s="511">
        <v>1483.4880000000003</v>
      </c>
    </row>
    <row r="167" spans="1:9" ht="12.75">
      <c r="A167" s="240"/>
      <c r="B167" s="242"/>
      <c r="C167" s="243"/>
      <c r="D167" s="1050" t="s">
        <v>804</v>
      </c>
      <c r="E167" s="1212" t="s">
        <v>1307</v>
      </c>
      <c r="F167" s="1213">
        <v>1483.4880000000003</v>
      </c>
      <c r="G167" s="1213">
        <v>1631.8368000000005</v>
      </c>
      <c r="H167" s="1213">
        <v>1557.6624000000004</v>
      </c>
      <c r="I167" s="511">
        <v>1483.4880000000003</v>
      </c>
    </row>
    <row r="168" spans="1:9" ht="12.75">
      <c r="A168" s="240"/>
      <c r="B168" s="242"/>
      <c r="C168" s="243"/>
      <c r="D168" s="1050" t="s">
        <v>1308</v>
      </c>
      <c r="E168" s="1212" t="s">
        <v>1309</v>
      </c>
      <c r="F168" s="1213">
        <v>1437.6744000000003</v>
      </c>
      <c r="G168" s="1213">
        <v>1581.4418400000004</v>
      </c>
      <c r="H168" s="1213">
        <v>1509.5581200000004</v>
      </c>
      <c r="I168" s="511">
        <v>1437.6744000000003</v>
      </c>
    </row>
    <row r="169" spans="1:9" ht="12.75">
      <c r="A169" s="240"/>
      <c r="B169" s="242"/>
      <c r="C169" s="243"/>
      <c r="D169" s="1050" t="s">
        <v>805</v>
      </c>
      <c r="E169" s="1212" t="s">
        <v>1310</v>
      </c>
      <c r="F169" s="1213">
        <v>1432.9021500000003</v>
      </c>
      <c r="G169" s="1213">
        <v>1576.1923650000006</v>
      </c>
      <c r="H169" s="1213">
        <v>1504.5472575000003</v>
      </c>
      <c r="I169" s="511">
        <v>1432.9021500000003</v>
      </c>
    </row>
    <row r="170" spans="1:9" ht="12.75">
      <c r="A170" s="240"/>
      <c r="B170" s="242"/>
      <c r="C170" s="243"/>
      <c r="D170" s="1050" t="s">
        <v>896</v>
      </c>
      <c r="E170" s="1212" t="s">
        <v>1311</v>
      </c>
      <c r="F170" s="1213">
        <v>1432.9021500000003</v>
      </c>
      <c r="G170" s="1213">
        <v>1576.1923650000006</v>
      </c>
      <c r="H170" s="1213">
        <v>1504.5472575000003</v>
      </c>
      <c r="I170" s="511">
        <v>1432.9021500000003</v>
      </c>
    </row>
    <row r="171" spans="1:9" ht="12.75">
      <c r="A171" s="240"/>
      <c r="B171" s="242"/>
      <c r="C171" s="243"/>
      <c r="D171" s="1050" t="s">
        <v>1312</v>
      </c>
      <c r="E171" s="1212" t="s">
        <v>1313</v>
      </c>
      <c r="F171" s="1213">
        <v>1432.9021500000003</v>
      </c>
      <c r="G171" s="1213">
        <v>1576.1923650000006</v>
      </c>
      <c r="H171" s="1213">
        <v>1504.5472575000003</v>
      </c>
      <c r="I171" s="511">
        <v>1432.9021500000003</v>
      </c>
    </row>
    <row r="172" spans="1:9" ht="12.75">
      <c r="A172" s="240"/>
      <c r="B172" s="242"/>
      <c r="C172" s="243"/>
      <c r="D172" s="1050" t="s">
        <v>895</v>
      </c>
      <c r="E172" s="1212" t="s">
        <v>916</v>
      </c>
      <c r="F172" s="1213">
        <v>1432.9021500000003</v>
      </c>
      <c r="G172" s="1213">
        <v>1576.1923650000006</v>
      </c>
      <c r="H172" s="1213">
        <v>1504.5472575000003</v>
      </c>
      <c r="I172" s="511">
        <v>1432.9021500000003</v>
      </c>
    </row>
    <row r="173" spans="1:9" ht="12.75">
      <c r="A173" s="240"/>
      <c r="B173" s="242"/>
      <c r="C173" s="243"/>
      <c r="D173" s="1050" t="s">
        <v>865</v>
      </c>
      <c r="E173" s="1212" t="s">
        <v>1314</v>
      </c>
      <c r="F173" s="1213">
        <v>1432.9021500000003</v>
      </c>
      <c r="G173" s="1213">
        <v>1576.1923650000006</v>
      </c>
      <c r="H173" s="1213">
        <v>1504.5472575000003</v>
      </c>
      <c r="I173" s="511">
        <v>1432.9021500000003</v>
      </c>
    </row>
    <row r="174" spans="1:9" ht="12.75">
      <c r="A174" s="240"/>
      <c r="B174" s="242"/>
      <c r="C174" s="243"/>
      <c r="D174" s="1050" t="s">
        <v>853</v>
      </c>
      <c r="E174" s="1212" t="s">
        <v>913</v>
      </c>
      <c r="F174" s="1213">
        <v>1432.9021500000003</v>
      </c>
      <c r="G174" s="1213">
        <v>1576.1923650000006</v>
      </c>
      <c r="H174" s="1213">
        <v>1504.5472575000003</v>
      </c>
      <c r="I174" s="511">
        <v>1432.9021500000003</v>
      </c>
    </row>
    <row r="175" spans="1:9" ht="12.75">
      <c r="A175" s="240"/>
      <c r="B175" s="242"/>
      <c r="C175" s="243"/>
      <c r="D175" s="1050" t="s">
        <v>802</v>
      </c>
      <c r="E175" s="1212" t="s">
        <v>917</v>
      </c>
      <c r="F175" s="1213">
        <v>1432.9021500000003</v>
      </c>
      <c r="G175" s="1213">
        <v>1576.1923650000006</v>
      </c>
      <c r="H175" s="1213">
        <v>1504.5472575000003</v>
      </c>
      <c r="I175" s="511">
        <v>1432.9021500000003</v>
      </c>
    </row>
    <row r="176" spans="1:9" ht="12.75">
      <c r="A176" s="240"/>
      <c r="B176" s="242"/>
      <c r="C176" s="243"/>
      <c r="D176" s="1050" t="s">
        <v>806</v>
      </c>
      <c r="E176" s="1212" t="s">
        <v>1315</v>
      </c>
      <c r="F176" s="1213">
        <v>1432.9021500000003</v>
      </c>
      <c r="G176" s="1213">
        <v>1576.1923650000006</v>
      </c>
      <c r="H176" s="1213">
        <v>1504.5472575000003</v>
      </c>
      <c r="I176" s="511">
        <v>1432.9021500000003</v>
      </c>
    </row>
    <row r="177" spans="1:9" ht="12.75">
      <c r="A177" s="240"/>
      <c r="B177" s="242"/>
      <c r="C177" s="243"/>
      <c r="D177" s="1050" t="s">
        <v>1316</v>
      </c>
      <c r="E177" s="1212" t="s">
        <v>1317</v>
      </c>
      <c r="F177" s="1213">
        <v>1432.9021500000003</v>
      </c>
      <c r="G177" s="1213">
        <v>1576.1923650000006</v>
      </c>
      <c r="H177" s="1213">
        <v>1504.5472575000003</v>
      </c>
      <c r="I177" s="511">
        <v>1432.9021500000003</v>
      </c>
    </row>
    <row r="178" spans="1:9" ht="12.75">
      <c r="A178" s="240"/>
      <c r="B178" s="242"/>
      <c r="C178" s="243"/>
      <c r="D178" s="1050" t="s">
        <v>1318</v>
      </c>
      <c r="E178" s="1212" t="s">
        <v>1319</v>
      </c>
      <c r="F178" s="1213">
        <v>1432.9021500000003</v>
      </c>
      <c r="G178" s="1213">
        <v>1576.1923650000006</v>
      </c>
      <c r="H178" s="1213">
        <v>1504.5472575000003</v>
      </c>
      <c r="I178" s="511">
        <v>1432.9021500000003</v>
      </c>
    </row>
    <row r="179" spans="1:9" ht="12.75">
      <c r="A179" s="240"/>
      <c r="B179" s="242"/>
      <c r="C179" s="243"/>
      <c r="D179" s="1050" t="s">
        <v>1320</v>
      </c>
      <c r="E179" s="1212" t="s">
        <v>1321</v>
      </c>
      <c r="F179" s="1213">
        <v>1432.9021500000003</v>
      </c>
      <c r="G179" s="1213">
        <v>1576.1923650000006</v>
      </c>
      <c r="H179" s="1213">
        <v>1504.5472575000003</v>
      </c>
      <c r="I179" s="511">
        <v>1432.9021500000003</v>
      </c>
    </row>
    <row r="180" spans="1:9" ht="12.75">
      <c r="A180" s="240"/>
      <c r="B180" s="242"/>
      <c r="C180" s="243"/>
      <c r="D180" s="1050" t="s">
        <v>1322</v>
      </c>
      <c r="E180" s="1212" t="s">
        <v>1323</v>
      </c>
      <c r="F180" s="1213">
        <v>1432.9021500000003</v>
      </c>
      <c r="G180" s="1213">
        <v>1576.1923650000006</v>
      </c>
      <c r="H180" s="1213">
        <v>1504.5472575000003</v>
      </c>
      <c r="I180" s="511">
        <v>1432.9021500000003</v>
      </c>
    </row>
    <row r="181" spans="1:9" ht="12.75">
      <c r="A181" s="240"/>
      <c r="B181" s="242"/>
      <c r="C181" s="243"/>
      <c r="D181" s="1050" t="s">
        <v>1324</v>
      </c>
      <c r="E181" s="1212" t="s">
        <v>1325</v>
      </c>
      <c r="F181" s="1213">
        <v>1432.9021500000003</v>
      </c>
      <c r="G181" s="1213">
        <v>1576.1923650000006</v>
      </c>
      <c r="H181" s="1213">
        <v>1504.5472575000003</v>
      </c>
      <c r="I181" s="511">
        <v>1432.9021500000003</v>
      </c>
    </row>
    <row r="182" spans="1:9" ht="12.75">
      <c r="A182" s="240"/>
      <c r="B182" s="242"/>
      <c r="C182" s="243"/>
      <c r="D182" s="1050" t="s">
        <v>766</v>
      </c>
      <c r="E182" s="1212" t="s">
        <v>915</v>
      </c>
      <c r="F182" s="1213">
        <v>1432.9021500000003</v>
      </c>
      <c r="G182" s="1213">
        <v>1576.1923650000006</v>
      </c>
      <c r="H182" s="1213">
        <v>1504.5472575000003</v>
      </c>
      <c r="I182" s="511">
        <v>1432.9021500000003</v>
      </c>
    </row>
    <row r="183" spans="1:9" ht="12.75">
      <c r="A183" s="240"/>
      <c r="B183" s="242"/>
      <c r="C183" s="243"/>
      <c r="D183" s="1050" t="s">
        <v>803</v>
      </c>
      <c r="E183" s="1212" t="s">
        <v>914</v>
      </c>
      <c r="F183" s="1213">
        <v>1432.9021500000003</v>
      </c>
      <c r="G183" s="1213">
        <v>1576.1923650000006</v>
      </c>
      <c r="H183" s="1213">
        <v>1504.5472575000003</v>
      </c>
      <c r="I183" s="511">
        <v>1432.9021500000003</v>
      </c>
    </row>
    <row r="184" spans="1:9" ht="12.75">
      <c r="A184" s="240"/>
      <c r="B184" s="242"/>
      <c r="C184" s="243"/>
      <c r="D184" s="1050"/>
      <c r="E184" s="1212"/>
      <c r="F184" s="1213"/>
      <c r="G184" s="1213"/>
      <c r="H184" s="1213"/>
      <c r="I184" s="509"/>
    </row>
    <row r="185" spans="1:9" ht="12.75">
      <c r="A185" s="240"/>
      <c r="B185" s="242"/>
      <c r="C185" s="243"/>
      <c r="D185" s="1050"/>
      <c r="E185" s="1212"/>
      <c r="F185" s="1213"/>
      <c r="G185" s="1213"/>
      <c r="H185" s="1213"/>
      <c r="I185" s="509"/>
    </row>
    <row r="186" spans="1:9" ht="12.75">
      <c r="A186" s="240"/>
      <c r="B186" s="242"/>
      <c r="C186" s="243"/>
      <c r="D186" s="1050"/>
      <c r="E186" s="1212"/>
      <c r="F186" s="1213"/>
      <c r="G186" s="1213"/>
      <c r="H186" s="1213"/>
      <c r="I186" s="509"/>
    </row>
    <row r="187" spans="1:9">
      <c r="A187" s="240"/>
      <c r="B187" s="242"/>
      <c r="C187" s="243"/>
    </row>
    <row r="188" spans="1:9">
      <c r="A188" s="240"/>
      <c r="B188" s="242"/>
      <c r="C188" s="243"/>
    </row>
    <row r="189" spans="1:9">
      <c r="A189" s="240"/>
      <c r="B189" s="242"/>
      <c r="C189" s="243"/>
    </row>
    <row r="190" spans="1:9">
      <c r="A190" s="240"/>
      <c r="B190" s="242"/>
      <c r="C190" s="243"/>
    </row>
    <row r="191" spans="1:9">
      <c r="A191" s="240"/>
      <c r="B191" s="242"/>
      <c r="C191" s="243"/>
    </row>
    <row r="192" spans="1:9">
      <c r="A192" s="240"/>
      <c r="B192" s="242"/>
      <c r="C192" s="243"/>
    </row>
    <row r="193" spans="1:8" ht="12.75">
      <c r="A193" s="240"/>
      <c r="B193" s="242"/>
      <c r="C193" s="243"/>
      <c r="E193"/>
      <c r="F193"/>
      <c r="G193"/>
      <c r="H193"/>
    </row>
    <row r="194" spans="1:8" ht="12.75">
      <c r="A194" s="240"/>
      <c r="B194" s="242"/>
      <c r="C194" s="243"/>
      <c r="E194"/>
      <c r="F194"/>
      <c r="G194"/>
      <c r="H194"/>
    </row>
    <row r="195" spans="1:8" ht="12.75">
      <c r="A195" s="240"/>
      <c r="B195" s="242"/>
      <c r="C195" s="243"/>
      <c r="E195"/>
      <c r="F195"/>
      <c r="G195"/>
      <c r="H195"/>
    </row>
    <row r="196" spans="1:8" ht="12.75">
      <c r="A196" s="240"/>
      <c r="B196" s="242"/>
      <c r="C196" s="243"/>
      <c r="E196"/>
      <c r="F196"/>
      <c r="G196"/>
      <c r="H196"/>
    </row>
    <row r="197" spans="1:8" ht="12.75">
      <c r="A197" s="240"/>
      <c r="B197" s="242"/>
      <c r="C197" s="243"/>
      <c r="E197"/>
      <c r="F197"/>
      <c r="G197"/>
      <c r="H197"/>
    </row>
    <row r="198" spans="1:8" ht="12.75">
      <c r="A198" s="240"/>
      <c r="B198" s="242"/>
      <c r="C198" s="243"/>
      <c r="E198"/>
      <c r="F198"/>
      <c r="G198"/>
      <c r="H198"/>
    </row>
    <row r="199" spans="1:8" ht="12.75">
      <c r="A199" s="240"/>
      <c r="B199" s="242"/>
      <c r="C199" s="243"/>
      <c r="E199"/>
      <c r="F199"/>
      <c r="G199"/>
      <c r="H199"/>
    </row>
    <row r="200" spans="1:8" ht="12.75">
      <c r="A200" s="240"/>
      <c r="B200" s="242"/>
      <c r="C200" s="243"/>
      <c r="E200"/>
      <c r="F200"/>
      <c r="G200"/>
      <c r="H200"/>
    </row>
    <row r="201" spans="1:8" ht="12.75">
      <c r="A201" s="240"/>
      <c r="B201" s="242"/>
      <c r="C201" s="243"/>
      <c r="E201"/>
      <c r="F201"/>
      <c r="G201"/>
      <c r="H201"/>
    </row>
    <row r="202" spans="1:8" ht="12.75">
      <c r="A202" s="240"/>
      <c r="B202" s="242"/>
      <c r="C202" s="243"/>
      <c r="E202"/>
      <c r="F202"/>
      <c r="G202"/>
      <c r="H202"/>
    </row>
    <row r="203" spans="1:8" ht="12.75">
      <c r="A203" s="240"/>
      <c r="B203" s="242"/>
      <c r="C203" s="243"/>
      <c r="E203"/>
      <c r="F203"/>
      <c r="G203"/>
      <c r="H203"/>
    </row>
    <row r="204" spans="1:8" ht="12.75">
      <c r="A204" s="240"/>
      <c r="B204" s="242"/>
      <c r="C204" s="243"/>
      <c r="E204"/>
      <c r="F204"/>
      <c r="G204"/>
      <c r="H204"/>
    </row>
    <row r="205" spans="1:8" ht="12.75">
      <c r="A205" s="240"/>
      <c r="B205" s="242"/>
      <c r="C205" s="243"/>
      <c r="E205"/>
      <c r="F205"/>
      <c r="G205"/>
      <c r="H205"/>
    </row>
    <row r="206" spans="1:8" ht="12.75">
      <c r="A206" s="240"/>
      <c r="B206" s="242"/>
      <c r="C206" s="243"/>
      <c r="E206"/>
      <c r="F206"/>
      <c r="G206"/>
      <c r="H206"/>
    </row>
    <row r="207" spans="1:8" ht="12.75">
      <c r="A207" s="240"/>
      <c r="B207" s="242"/>
      <c r="C207" s="243"/>
      <c r="E207"/>
      <c r="F207"/>
      <c r="G207"/>
      <c r="H207"/>
    </row>
    <row r="208" spans="1:8" ht="12.75">
      <c r="A208" s="240"/>
      <c r="B208" s="242"/>
      <c r="C208" s="243"/>
      <c r="E208"/>
      <c r="F208"/>
      <c r="G208"/>
      <c r="H208"/>
    </row>
    <row r="209" spans="1:8" ht="12.75">
      <c r="A209" s="240"/>
      <c r="B209" s="242"/>
      <c r="C209" s="243"/>
      <c r="E209"/>
      <c r="F209"/>
      <c r="G209"/>
      <c r="H209"/>
    </row>
    <row r="210" spans="1:8" ht="12.75">
      <c r="A210" s="240"/>
      <c r="B210" s="242"/>
      <c r="C210" s="243"/>
      <c r="E210"/>
      <c r="F210"/>
      <c r="G210"/>
      <c r="H210"/>
    </row>
    <row r="211" spans="1:8" ht="12.75">
      <c r="A211" s="240"/>
      <c r="B211" s="242"/>
      <c r="C211" s="243"/>
      <c r="E211"/>
      <c r="F211"/>
      <c r="G211"/>
      <c r="H211"/>
    </row>
    <row r="212" spans="1:8" ht="12.75">
      <c r="A212" s="240"/>
      <c r="B212" s="242"/>
      <c r="C212" s="243"/>
      <c r="E212"/>
      <c r="F212"/>
      <c r="G212"/>
      <c r="H212"/>
    </row>
    <row r="213" spans="1:8" ht="12.75">
      <c r="A213" s="240"/>
      <c r="B213" s="242"/>
      <c r="C213" s="243"/>
      <c r="E213"/>
      <c r="F213"/>
      <c r="G213"/>
      <c r="H213"/>
    </row>
    <row r="214" spans="1:8" ht="12.75">
      <c r="A214" s="240"/>
      <c r="B214" s="242"/>
      <c r="C214" s="243"/>
      <c r="E214"/>
      <c r="F214"/>
      <c r="G214"/>
      <c r="H214"/>
    </row>
    <row r="215" spans="1:8" ht="12.75">
      <c r="A215" s="240"/>
      <c r="B215" s="242"/>
      <c r="C215" s="243"/>
      <c r="E215"/>
      <c r="F215"/>
      <c r="G215"/>
      <c r="H215"/>
    </row>
    <row r="216" spans="1:8" ht="12.75">
      <c r="A216" s="240"/>
      <c r="B216" s="242"/>
      <c r="C216" s="243"/>
      <c r="E216"/>
      <c r="F216"/>
      <c r="G216"/>
      <c r="H216"/>
    </row>
    <row r="217" spans="1:8" ht="12.75">
      <c r="A217" s="240"/>
      <c r="B217" s="242"/>
      <c r="C217" s="243"/>
      <c r="E217"/>
      <c r="F217"/>
      <c r="G217"/>
      <c r="H217"/>
    </row>
    <row r="218" spans="1:8" ht="12.75">
      <c r="A218" s="240"/>
      <c r="B218" s="242"/>
      <c r="C218" s="243"/>
      <c r="E218"/>
      <c r="F218"/>
      <c r="G218"/>
      <c r="H218"/>
    </row>
    <row r="219" spans="1:8" ht="12.75">
      <c r="A219" s="240"/>
      <c r="B219" s="242"/>
      <c r="C219" s="243"/>
      <c r="E219"/>
      <c r="F219"/>
      <c r="G219"/>
      <c r="H219"/>
    </row>
    <row r="220" spans="1:8" ht="12.75">
      <c r="A220" s="240"/>
      <c r="B220" s="242"/>
      <c r="C220" s="243"/>
      <c r="E220"/>
      <c r="F220"/>
      <c r="G220"/>
      <c r="H220"/>
    </row>
    <row r="221" spans="1:8" ht="12.75">
      <c r="A221" s="240"/>
      <c r="B221" s="242"/>
      <c r="C221" s="243"/>
      <c r="E221"/>
      <c r="F221"/>
      <c r="G221"/>
      <c r="H221"/>
    </row>
    <row r="222" spans="1:8" ht="12.75">
      <c r="A222" s="240"/>
      <c r="B222" s="242"/>
      <c r="C222" s="243"/>
      <c r="E222"/>
      <c r="F222"/>
      <c r="G222"/>
      <c r="H222"/>
    </row>
    <row r="223" spans="1:8" ht="12.75">
      <c r="A223" s="240"/>
      <c r="B223" s="242"/>
      <c r="C223" s="243"/>
      <c r="E223"/>
      <c r="F223"/>
      <c r="G223"/>
      <c r="H223"/>
    </row>
    <row r="224" spans="1:8" ht="12.75">
      <c r="A224" s="240"/>
      <c r="B224" s="242"/>
      <c r="C224" s="243"/>
      <c r="E224"/>
      <c r="F224"/>
      <c r="G224"/>
      <c r="H224"/>
    </row>
    <row r="225" spans="1:8" ht="12.75">
      <c r="A225" s="240"/>
      <c r="B225" s="242"/>
      <c r="C225" s="243"/>
      <c r="E225"/>
      <c r="F225"/>
      <c r="G225"/>
      <c r="H225"/>
    </row>
    <row r="226" spans="1:8" ht="12.75">
      <c r="A226" s="240"/>
      <c r="B226" s="242"/>
      <c r="C226" s="243"/>
      <c r="E226"/>
      <c r="F226"/>
      <c r="G226"/>
      <c r="H226"/>
    </row>
    <row r="227" spans="1:8" ht="12.75">
      <c r="A227" s="240"/>
      <c r="B227" s="242"/>
      <c r="C227" s="243"/>
      <c r="E227"/>
      <c r="F227"/>
      <c r="G227"/>
      <c r="H227"/>
    </row>
    <row r="228" spans="1:8" ht="12.75">
      <c r="A228" s="240"/>
      <c r="B228" s="242"/>
      <c r="C228" s="243"/>
      <c r="E228"/>
      <c r="F228"/>
      <c r="G228"/>
      <c r="H228"/>
    </row>
    <row r="229" spans="1:8" ht="12.75">
      <c r="A229" s="240"/>
      <c r="B229" s="242"/>
      <c r="C229" s="243"/>
      <c r="E229"/>
      <c r="F229"/>
      <c r="G229"/>
      <c r="H229"/>
    </row>
    <row r="230" spans="1:8" ht="12.75">
      <c r="A230" s="240"/>
      <c r="B230" s="242"/>
      <c r="C230" s="243"/>
      <c r="E230"/>
      <c r="F230"/>
      <c r="G230"/>
      <c r="H230"/>
    </row>
    <row r="231" spans="1:8" ht="12.75">
      <c r="A231" s="240"/>
      <c r="B231" s="242"/>
      <c r="C231" s="243"/>
      <c r="E231"/>
      <c r="F231"/>
      <c r="G231"/>
      <c r="H231"/>
    </row>
    <row r="232" spans="1:8" ht="12.75">
      <c r="A232" s="240"/>
      <c r="B232" s="242"/>
      <c r="C232" s="243"/>
      <c r="E232"/>
      <c r="F232"/>
      <c r="G232"/>
      <c r="H232"/>
    </row>
    <row r="233" spans="1:8" ht="12.75">
      <c r="A233" s="240"/>
      <c r="B233" s="242"/>
      <c r="C233" s="243"/>
      <c r="E233"/>
      <c r="F233"/>
      <c r="G233"/>
      <c r="H233"/>
    </row>
    <row r="234" spans="1:8" ht="12.75">
      <c r="A234" s="240"/>
      <c r="B234" s="242"/>
      <c r="C234" s="243"/>
      <c r="E234"/>
      <c r="F234"/>
      <c r="G234"/>
      <c r="H234"/>
    </row>
    <row r="235" spans="1:8" ht="12.75">
      <c r="A235" s="240"/>
      <c r="B235" s="242"/>
      <c r="C235" s="243"/>
      <c r="E235"/>
      <c r="F235"/>
      <c r="G235"/>
      <c r="H235"/>
    </row>
    <row r="236" spans="1:8" ht="12.75">
      <c r="A236" s="240"/>
      <c r="B236" s="242"/>
      <c r="C236" s="243"/>
      <c r="E236"/>
      <c r="F236"/>
      <c r="G236"/>
      <c r="H236"/>
    </row>
    <row r="237" spans="1:8" ht="12.75">
      <c r="A237" s="240"/>
      <c r="B237" s="242"/>
      <c r="C237" s="243"/>
      <c r="E237"/>
      <c r="F237"/>
      <c r="G237"/>
      <c r="H237"/>
    </row>
    <row r="238" spans="1:8" ht="12.75">
      <c r="A238" s="240"/>
      <c r="B238" s="242"/>
      <c r="C238" s="243"/>
      <c r="E238"/>
      <c r="F238"/>
      <c r="G238"/>
      <c r="H238"/>
    </row>
    <row r="239" spans="1:8" ht="12.75">
      <c r="A239" s="240"/>
      <c r="B239" s="242"/>
      <c r="C239" s="243"/>
      <c r="E239"/>
      <c r="F239"/>
      <c r="G239"/>
      <c r="H239"/>
    </row>
    <row r="240" spans="1:8" ht="12.75">
      <c r="A240" s="240"/>
      <c r="B240" s="242"/>
      <c r="C240" s="243"/>
      <c r="E240"/>
      <c r="F240"/>
      <c r="G240"/>
      <c r="H240"/>
    </row>
    <row r="241" spans="1:8" ht="12.75">
      <c r="A241" s="240"/>
      <c r="B241" s="242"/>
      <c r="C241" s="243"/>
      <c r="E241"/>
      <c r="F241"/>
      <c r="G241"/>
      <c r="H241"/>
    </row>
    <row r="242" spans="1:8" ht="12.75">
      <c r="A242" s="240"/>
      <c r="B242" s="242"/>
      <c r="C242" s="243"/>
      <c r="E242"/>
      <c r="F242"/>
      <c r="G242"/>
      <c r="H242"/>
    </row>
    <row r="243" spans="1:8" ht="12.75">
      <c r="A243" s="240"/>
      <c r="B243" s="242"/>
      <c r="C243" s="243"/>
      <c r="E243"/>
      <c r="F243"/>
      <c r="G243"/>
      <c r="H243"/>
    </row>
    <row r="244" spans="1:8" ht="12.75">
      <c r="A244" s="240"/>
      <c r="B244" s="242"/>
      <c r="C244" s="243"/>
      <c r="E244"/>
      <c r="F244"/>
      <c r="G244"/>
      <c r="H244"/>
    </row>
    <row r="245" spans="1:8" ht="12.75">
      <c r="A245" s="240"/>
      <c r="B245" s="242"/>
      <c r="C245" s="243"/>
      <c r="E245"/>
      <c r="F245"/>
      <c r="G245"/>
      <c r="H245"/>
    </row>
    <row r="246" spans="1:8" ht="12.75">
      <c r="A246" s="240"/>
      <c r="B246" s="242"/>
      <c r="C246" s="243"/>
      <c r="E246"/>
      <c r="F246"/>
      <c r="G246"/>
      <c r="H246"/>
    </row>
    <row r="247" spans="1:8" ht="12.75">
      <c r="A247" s="240"/>
      <c r="B247" s="242"/>
      <c r="C247" s="243"/>
      <c r="E247"/>
      <c r="F247"/>
      <c r="G247"/>
      <c r="H247"/>
    </row>
    <row r="248" spans="1:8" ht="12.75">
      <c r="A248" s="240"/>
      <c r="B248" s="242"/>
      <c r="C248" s="243"/>
      <c r="E248"/>
      <c r="F248"/>
      <c r="G248"/>
      <c r="H248"/>
    </row>
    <row r="249" spans="1:8" ht="12.75">
      <c r="A249" s="240"/>
      <c r="B249" s="242"/>
      <c r="C249" s="243"/>
      <c r="E249"/>
      <c r="F249"/>
      <c r="G249"/>
      <c r="H249"/>
    </row>
    <row r="250" spans="1:8" ht="12.75">
      <c r="A250" s="240"/>
      <c r="B250" s="242"/>
      <c r="C250" s="243"/>
      <c r="E250"/>
      <c r="F250"/>
      <c r="G250"/>
      <c r="H250"/>
    </row>
    <row r="251" spans="1:8" ht="12.75">
      <c r="A251" s="240"/>
      <c r="B251" s="242"/>
      <c r="C251" s="243"/>
      <c r="E251"/>
      <c r="F251"/>
      <c r="G251"/>
      <c r="H251"/>
    </row>
    <row r="252" spans="1:8" ht="12.75">
      <c r="A252" s="240"/>
      <c r="B252" s="242"/>
      <c r="C252" s="243"/>
      <c r="E252"/>
      <c r="F252"/>
      <c r="G252"/>
      <c r="H252"/>
    </row>
    <row r="253" spans="1:8" ht="12.75">
      <c r="A253" s="240"/>
      <c r="B253" s="242"/>
      <c r="C253" s="243"/>
      <c r="E253"/>
      <c r="F253"/>
      <c r="G253"/>
      <c r="H253"/>
    </row>
    <row r="254" spans="1:8" ht="12.75">
      <c r="A254" s="240"/>
      <c r="B254" s="242"/>
      <c r="C254" s="243"/>
      <c r="E254"/>
      <c r="F254"/>
      <c r="G254"/>
      <c r="H254"/>
    </row>
    <row r="255" spans="1:8" ht="12.75">
      <c r="A255" s="240"/>
      <c r="B255" s="242"/>
      <c r="C255" s="243"/>
      <c r="E255"/>
      <c r="F255"/>
      <c r="G255"/>
      <c r="H255"/>
    </row>
    <row r="256" spans="1:8" ht="12.75">
      <c r="A256" s="240"/>
      <c r="B256" s="242"/>
      <c r="C256" s="243"/>
      <c r="E256"/>
      <c r="F256"/>
      <c r="G256"/>
      <c r="H256"/>
    </row>
    <row r="257" spans="1:8" ht="12.75">
      <c r="A257" s="240"/>
      <c r="B257" s="242"/>
      <c r="C257" s="243"/>
      <c r="E257"/>
      <c r="F257"/>
      <c r="G257"/>
      <c r="H257"/>
    </row>
    <row r="258" spans="1:8" ht="12.75">
      <c r="A258" s="240"/>
      <c r="B258" s="242"/>
      <c r="C258" s="243"/>
      <c r="E258"/>
      <c r="F258"/>
      <c r="G258"/>
      <c r="H258"/>
    </row>
    <row r="259" spans="1:8" ht="12.75">
      <c r="A259" s="240"/>
      <c r="B259" s="242"/>
      <c r="C259" s="243"/>
      <c r="E259"/>
      <c r="F259"/>
      <c r="G259"/>
      <c r="H259"/>
    </row>
    <row r="260" spans="1:8" ht="12.75">
      <c r="A260" s="240"/>
      <c r="B260" s="242"/>
      <c r="C260" s="243"/>
      <c r="E260"/>
      <c r="F260"/>
      <c r="G260"/>
      <c r="H260"/>
    </row>
    <row r="261" spans="1:8" ht="12.75">
      <c r="A261" s="240"/>
      <c r="B261" s="242"/>
      <c r="C261" s="243"/>
      <c r="E261"/>
      <c r="F261"/>
      <c r="G261"/>
      <c r="H261"/>
    </row>
    <row r="262" spans="1:8" ht="12.75">
      <c r="A262" s="240"/>
      <c r="B262" s="242"/>
      <c r="C262" s="243"/>
      <c r="E262"/>
      <c r="F262"/>
      <c r="G262"/>
      <c r="H262"/>
    </row>
    <row r="263" spans="1:8" ht="12.75">
      <c r="A263" s="240"/>
      <c r="B263" s="242"/>
      <c r="C263" s="243"/>
      <c r="E263"/>
      <c r="F263"/>
      <c r="G263"/>
      <c r="H263"/>
    </row>
    <row r="264" spans="1:8" ht="12.75">
      <c r="A264" s="240"/>
      <c r="B264" s="242"/>
      <c r="C264" s="243"/>
      <c r="E264"/>
      <c r="F264"/>
      <c r="G264"/>
      <c r="H264"/>
    </row>
    <row r="265" spans="1:8" ht="12.75">
      <c r="A265" s="240"/>
      <c r="B265" s="242"/>
      <c r="C265" s="243"/>
      <c r="E265"/>
      <c r="F265"/>
      <c r="G265"/>
      <c r="H265"/>
    </row>
    <row r="266" spans="1:8" ht="12.75">
      <c r="A266" s="240"/>
      <c r="B266" s="242"/>
      <c r="C266" s="243"/>
      <c r="E266"/>
      <c r="F266"/>
      <c r="G266"/>
      <c r="H266"/>
    </row>
    <row r="267" spans="1:8" ht="12.75">
      <c r="A267" s="240"/>
      <c r="B267" s="242"/>
      <c r="C267" s="243"/>
      <c r="E267"/>
      <c r="F267"/>
      <c r="G267"/>
      <c r="H267"/>
    </row>
    <row r="268" spans="1:8" ht="12.75">
      <c r="A268" s="240"/>
      <c r="B268" s="242"/>
      <c r="C268" s="243"/>
      <c r="E268"/>
      <c r="F268"/>
      <c r="G268"/>
      <c r="H268"/>
    </row>
    <row r="269" spans="1:8" ht="12.75">
      <c r="A269" s="240"/>
      <c r="B269" s="242"/>
      <c r="C269" s="243"/>
      <c r="E269"/>
      <c r="F269"/>
      <c r="G269"/>
      <c r="H269"/>
    </row>
    <row r="270" spans="1:8" ht="12.75">
      <c r="A270" s="240"/>
      <c r="B270" s="242"/>
      <c r="C270" s="243"/>
      <c r="E270"/>
      <c r="F270"/>
      <c r="G270"/>
      <c r="H270"/>
    </row>
    <row r="271" spans="1:8" ht="12.75">
      <c r="A271" s="240"/>
      <c r="B271" s="242"/>
      <c r="C271" s="243"/>
      <c r="E271"/>
      <c r="F271"/>
      <c r="G271"/>
      <c r="H271"/>
    </row>
    <row r="272" spans="1:8" ht="12.75">
      <c r="A272" s="240"/>
      <c r="B272" s="242"/>
      <c r="C272" s="243"/>
      <c r="E272"/>
      <c r="F272"/>
      <c r="G272"/>
      <c r="H272"/>
    </row>
    <row r="273" spans="1:8" ht="12.75">
      <c r="A273" s="240"/>
      <c r="B273" s="242"/>
      <c r="C273" s="243"/>
      <c r="E273"/>
      <c r="F273"/>
      <c r="G273"/>
      <c r="H273"/>
    </row>
    <row r="274" spans="1:8" ht="12.75">
      <c r="A274" s="240"/>
      <c r="B274" s="242"/>
      <c r="C274" s="243"/>
      <c r="E274"/>
      <c r="F274"/>
      <c r="G274"/>
      <c r="H274"/>
    </row>
    <row r="275" spans="1:8" ht="12.75">
      <c r="A275" s="240"/>
      <c r="B275" s="242"/>
      <c r="C275" s="243"/>
      <c r="E275"/>
      <c r="F275"/>
      <c r="G275"/>
      <c r="H275"/>
    </row>
    <row r="276" spans="1:8" ht="12.75">
      <c r="A276" s="240"/>
      <c r="B276" s="242"/>
      <c r="C276" s="243"/>
      <c r="E276"/>
      <c r="F276"/>
      <c r="G276"/>
      <c r="H276"/>
    </row>
    <row r="277" spans="1:8" ht="12.75">
      <c r="A277" s="240"/>
      <c r="B277" s="242"/>
      <c r="C277" s="243"/>
      <c r="E277"/>
      <c r="F277"/>
      <c r="G277"/>
      <c r="H277"/>
    </row>
    <row r="278" spans="1:8" ht="12.75">
      <c r="A278" s="240"/>
      <c r="B278" s="242"/>
      <c r="C278" s="243"/>
      <c r="E278"/>
      <c r="F278"/>
      <c r="G278"/>
      <c r="H278"/>
    </row>
    <row r="279" spans="1:8" ht="12.75">
      <c r="A279" s="240"/>
      <c r="B279" s="242"/>
      <c r="C279" s="243"/>
      <c r="E279"/>
      <c r="F279"/>
      <c r="G279"/>
      <c r="H279"/>
    </row>
    <row r="280" spans="1:8" ht="12.75">
      <c r="A280" s="240"/>
      <c r="B280" s="242"/>
      <c r="C280" s="243"/>
      <c r="E280"/>
      <c r="F280"/>
      <c r="G280"/>
      <c r="H280"/>
    </row>
    <row r="281" spans="1:8" ht="12.75">
      <c r="A281" s="240"/>
      <c r="B281" s="242"/>
      <c r="C281" s="243"/>
      <c r="E281"/>
      <c r="F281"/>
      <c r="G281"/>
      <c r="H281"/>
    </row>
    <row r="282" spans="1:8" ht="12.75">
      <c r="A282" s="240"/>
      <c r="B282" s="242"/>
      <c r="C282" s="243"/>
      <c r="E282"/>
      <c r="F282"/>
      <c r="G282"/>
      <c r="H282"/>
    </row>
    <row r="283" spans="1:8" ht="12.75">
      <c r="A283" s="240"/>
      <c r="B283" s="242"/>
      <c r="C283" s="243"/>
      <c r="E283"/>
      <c r="F283"/>
      <c r="G283"/>
      <c r="H283"/>
    </row>
    <row r="284" spans="1:8" ht="12.75">
      <c r="A284" s="240"/>
      <c r="B284" s="242"/>
      <c r="C284" s="243"/>
      <c r="E284"/>
      <c r="F284"/>
      <c r="G284"/>
      <c r="H284"/>
    </row>
    <row r="285" spans="1:8" ht="12.75">
      <c r="A285" s="240"/>
      <c r="B285" s="242"/>
      <c r="C285" s="243"/>
      <c r="E285"/>
      <c r="F285"/>
      <c r="G285"/>
      <c r="H285"/>
    </row>
    <row r="286" spans="1:8" ht="12.75">
      <c r="A286" s="240"/>
      <c r="B286" s="242"/>
      <c r="C286" s="243"/>
      <c r="E286"/>
      <c r="F286"/>
      <c r="G286"/>
      <c r="H286"/>
    </row>
    <row r="287" spans="1:8" ht="12.75">
      <c r="A287" s="240"/>
      <c r="B287" s="242"/>
      <c r="C287" s="243"/>
      <c r="E287"/>
      <c r="F287"/>
      <c r="G287"/>
      <c r="H287"/>
    </row>
    <row r="288" spans="1:8" ht="12.75">
      <c r="A288" s="240"/>
      <c r="B288" s="242"/>
      <c r="C288" s="243"/>
      <c r="E288"/>
      <c r="F288"/>
      <c r="G288"/>
      <c r="H288"/>
    </row>
    <row r="289" spans="1:8" ht="12.75">
      <c r="A289" s="240"/>
      <c r="B289" s="242"/>
      <c r="C289" s="243"/>
      <c r="E289"/>
      <c r="F289"/>
      <c r="G289"/>
      <c r="H289"/>
    </row>
    <row r="290" spans="1:8" ht="12.75">
      <c r="A290" s="240"/>
      <c r="B290" s="242"/>
      <c r="C290" s="243"/>
      <c r="E290"/>
      <c r="F290"/>
      <c r="G290"/>
      <c r="H290"/>
    </row>
    <row r="291" spans="1:8" ht="12.75">
      <c r="A291" s="240"/>
      <c r="B291" s="242"/>
      <c r="C291" s="243"/>
      <c r="E291"/>
      <c r="F291"/>
      <c r="G291"/>
      <c r="H291"/>
    </row>
    <row r="292" spans="1:8" ht="12.75">
      <c r="A292" s="240"/>
      <c r="B292" s="242"/>
      <c r="C292" s="243"/>
      <c r="E292"/>
      <c r="F292"/>
      <c r="G292"/>
      <c r="H292"/>
    </row>
    <row r="293" spans="1:8" ht="12.75">
      <c r="A293" s="240"/>
      <c r="B293" s="242"/>
      <c r="C293" s="243"/>
      <c r="E293"/>
      <c r="F293"/>
      <c r="G293"/>
      <c r="H293"/>
    </row>
    <row r="294" spans="1:8" ht="12.75">
      <c r="A294" s="240"/>
      <c r="B294" s="242"/>
      <c r="C294" s="243"/>
      <c r="E294"/>
      <c r="F294"/>
      <c r="G294"/>
      <c r="H294"/>
    </row>
    <row r="295" spans="1:8" ht="12.75">
      <c r="A295" s="240"/>
      <c r="B295" s="242"/>
      <c r="C295" s="243"/>
      <c r="E295"/>
      <c r="F295"/>
      <c r="G295"/>
      <c r="H295"/>
    </row>
    <row r="296" spans="1:8" ht="12.75">
      <c r="A296" s="240"/>
      <c r="B296" s="242"/>
      <c r="C296" s="243"/>
      <c r="E296"/>
      <c r="F296"/>
      <c r="G296"/>
      <c r="H296"/>
    </row>
    <row r="297" spans="1:8" ht="12.75">
      <c r="A297" s="240"/>
      <c r="B297" s="242"/>
      <c r="C297" s="243"/>
      <c r="E297"/>
      <c r="F297"/>
      <c r="G297"/>
      <c r="H297"/>
    </row>
    <row r="298" spans="1:8" ht="12.75">
      <c r="A298" s="240"/>
      <c r="B298" s="242"/>
      <c r="C298" s="243"/>
      <c r="E298"/>
      <c r="F298"/>
      <c r="G298"/>
      <c r="H298"/>
    </row>
    <row r="299" spans="1:8" ht="12.75">
      <c r="A299" s="240"/>
      <c r="B299" s="242"/>
      <c r="C299" s="243"/>
      <c r="E299"/>
      <c r="F299"/>
      <c r="G299"/>
      <c r="H299"/>
    </row>
    <row r="300" spans="1:8" ht="12.75">
      <c r="A300" s="240"/>
      <c r="B300" s="242"/>
      <c r="C300" s="243"/>
      <c r="E300"/>
      <c r="F300"/>
      <c r="G300"/>
      <c r="H300"/>
    </row>
    <row r="301" spans="1:8" ht="12.75">
      <c r="A301" s="240"/>
      <c r="B301" s="242"/>
      <c r="C301" s="243"/>
      <c r="E301"/>
      <c r="F301"/>
      <c r="G301"/>
      <c r="H301"/>
    </row>
    <row r="302" spans="1:8" ht="12.75">
      <c r="A302" s="240"/>
      <c r="B302" s="242"/>
      <c r="C302" s="243"/>
      <c r="E302"/>
      <c r="F302"/>
      <c r="G302"/>
      <c r="H302"/>
    </row>
    <row r="303" spans="1:8" ht="12.75">
      <c r="A303" s="240"/>
      <c r="B303" s="242"/>
      <c r="C303" s="243"/>
      <c r="E303"/>
      <c r="F303"/>
      <c r="G303"/>
      <c r="H303"/>
    </row>
    <row r="304" spans="1:8" ht="12.75">
      <c r="A304" s="240"/>
      <c r="B304" s="242"/>
      <c r="C304" s="243"/>
      <c r="E304"/>
      <c r="F304"/>
      <c r="G304"/>
      <c r="H304"/>
    </row>
    <row r="305" spans="1:8" ht="12.75">
      <c r="A305" s="240"/>
      <c r="B305" s="242"/>
      <c r="C305" s="243"/>
      <c r="E305"/>
      <c r="F305"/>
      <c r="G305"/>
      <c r="H305"/>
    </row>
    <row r="306" spans="1:8" ht="12.75">
      <c r="A306" s="240"/>
      <c r="B306" s="242"/>
      <c r="C306" s="243"/>
      <c r="E306"/>
      <c r="F306"/>
      <c r="G306"/>
      <c r="H306"/>
    </row>
    <row r="307" spans="1:8" ht="12.75">
      <c r="A307" s="240"/>
      <c r="B307" s="242"/>
      <c r="C307" s="243"/>
      <c r="E307"/>
      <c r="F307"/>
      <c r="G307"/>
      <c r="H307"/>
    </row>
    <row r="308" spans="1:8" ht="12.75">
      <c r="A308" s="240"/>
      <c r="B308" s="242"/>
      <c r="C308" s="243"/>
      <c r="E308"/>
      <c r="F308"/>
      <c r="G308"/>
      <c r="H308"/>
    </row>
    <row r="309" spans="1:8" ht="12.75">
      <c r="A309" s="240"/>
      <c r="B309" s="242"/>
      <c r="C309" s="243"/>
      <c r="E309"/>
      <c r="F309"/>
      <c r="G309"/>
      <c r="H309"/>
    </row>
    <row r="310" spans="1:8" ht="12.75">
      <c r="A310" s="240"/>
      <c r="B310" s="242"/>
      <c r="C310" s="243"/>
      <c r="E310"/>
      <c r="F310"/>
      <c r="G310"/>
      <c r="H310"/>
    </row>
    <row r="311" spans="1:8" ht="12.75">
      <c r="A311" s="240"/>
      <c r="B311" s="242"/>
      <c r="C311" s="243"/>
      <c r="E311"/>
      <c r="F311"/>
      <c r="G311"/>
      <c r="H311"/>
    </row>
    <row r="312" spans="1:8" ht="12.75">
      <c r="A312" s="240"/>
      <c r="B312" s="242"/>
      <c r="C312" s="243"/>
      <c r="E312"/>
      <c r="F312"/>
      <c r="G312"/>
      <c r="H312"/>
    </row>
    <row r="313" spans="1:8" ht="12.75">
      <c r="A313" s="240"/>
      <c r="B313" s="242"/>
      <c r="C313" s="243"/>
      <c r="E313"/>
      <c r="F313"/>
      <c r="G313"/>
      <c r="H313"/>
    </row>
    <row r="314" spans="1:8" ht="12.75">
      <c r="A314" s="240"/>
      <c r="B314" s="242"/>
      <c r="C314" s="243"/>
      <c r="E314"/>
      <c r="F314"/>
      <c r="G314"/>
      <c r="H314"/>
    </row>
    <row r="315" spans="1:8" ht="12.75">
      <c r="A315" s="240"/>
      <c r="B315" s="242"/>
      <c r="C315" s="243"/>
      <c r="E315"/>
      <c r="F315"/>
      <c r="G315"/>
      <c r="H315"/>
    </row>
    <row r="316" spans="1:8" ht="12.75">
      <c r="A316" s="240"/>
      <c r="B316" s="242"/>
      <c r="C316" s="243"/>
      <c r="E316"/>
      <c r="F316"/>
      <c r="G316"/>
      <c r="H316"/>
    </row>
    <row r="317" spans="1:8" ht="12.75">
      <c r="A317" s="240"/>
      <c r="B317" s="242"/>
      <c r="C317" s="243"/>
      <c r="E317"/>
      <c r="F317"/>
      <c r="G317"/>
      <c r="H317"/>
    </row>
    <row r="318" spans="1:8" ht="12.75">
      <c r="A318" s="240"/>
      <c r="B318" s="242"/>
      <c r="C318" s="243"/>
      <c r="E318"/>
      <c r="F318"/>
      <c r="G318"/>
      <c r="H318"/>
    </row>
    <row r="319" spans="1:8" ht="12.75">
      <c r="A319" s="240"/>
      <c r="B319" s="242"/>
      <c r="C319" s="243"/>
      <c r="E319"/>
      <c r="F319"/>
      <c r="G319"/>
      <c r="H319"/>
    </row>
    <row r="320" spans="1:8" ht="12.75">
      <c r="A320" s="240"/>
      <c r="B320" s="242"/>
      <c r="C320" s="243"/>
      <c r="E320"/>
      <c r="F320"/>
      <c r="G320"/>
      <c r="H320"/>
    </row>
    <row r="321" spans="1:8" ht="12.75">
      <c r="A321" s="240"/>
      <c r="B321" s="242"/>
      <c r="C321" s="243"/>
      <c r="E321"/>
      <c r="F321"/>
      <c r="G321"/>
      <c r="H321"/>
    </row>
    <row r="322" spans="1:8" ht="12.75">
      <c r="A322" s="240"/>
      <c r="B322" s="242"/>
      <c r="C322" s="243"/>
      <c r="E322"/>
      <c r="F322"/>
      <c r="G322"/>
      <c r="H322"/>
    </row>
    <row r="323" spans="1:8" ht="12.75">
      <c r="A323" s="240"/>
      <c r="B323" s="242"/>
      <c r="C323" s="243"/>
      <c r="E323"/>
      <c r="F323"/>
      <c r="G323"/>
      <c r="H323"/>
    </row>
    <row r="324" spans="1:8" ht="12.75">
      <c r="A324" s="240"/>
      <c r="B324" s="242"/>
      <c r="C324" s="243"/>
      <c r="E324"/>
      <c r="F324"/>
      <c r="G324"/>
      <c r="H324"/>
    </row>
    <row r="325" spans="1:8" ht="12.75">
      <c r="A325" s="240"/>
      <c r="B325" s="242"/>
      <c r="C325" s="243"/>
      <c r="E325"/>
      <c r="F325"/>
      <c r="G325"/>
      <c r="H325"/>
    </row>
    <row r="326" spans="1:8" ht="12.75">
      <c r="A326" s="240"/>
      <c r="B326" s="242"/>
      <c r="C326" s="243"/>
      <c r="E326"/>
      <c r="F326"/>
      <c r="G326"/>
      <c r="H326"/>
    </row>
    <row r="327" spans="1:8" ht="12.75">
      <c r="A327" s="240"/>
      <c r="B327" s="242"/>
      <c r="C327" s="243"/>
      <c r="E327"/>
      <c r="F327"/>
      <c r="G327"/>
      <c r="H327"/>
    </row>
    <row r="328" spans="1:8" ht="12.75">
      <c r="A328" s="240"/>
      <c r="B328" s="242"/>
      <c r="C328" s="243"/>
      <c r="E328"/>
      <c r="F328"/>
      <c r="G328"/>
      <c r="H328"/>
    </row>
    <row r="329" spans="1:8" ht="12.75">
      <c r="A329" s="240"/>
      <c r="B329" s="242"/>
      <c r="C329" s="243"/>
      <c r="E329"/>
      <c r="F329"/>
      <c r="G329"/>
      <c r="H329"/>
    </row>
    <row r="330" spans="1:8" ht="12.75">
      <c r="A330" s="240"/>
      <c r="B330" s="242"/>
      <c r="C330" s="243"/>
      <c r="E330"/>
      <c r="F330"/>
      <c r="G330"/>
      <c r="H330"/>
    </row>
    <row r="331" spans="1:8" ht="12.75">
      <c r="A331" s="240"/>
      <c r="B331" s="242"/>
      <c r="C331" s="243"/>
      <c r="E331"/>
      <c r="F331"/>
      <c r="G331"/>
      <c r="H331"/>
    </row>
    <row r="332" spans="1:8" ht="12.75">
      <c r="A332" s="240"/>
      <c r="B332" s="242"/>
      <c r="C332" s="243"/>
      <c r="E332"/>
      <c r="F332"/>
      <c r="G332"/>
      <c r="H332"/>
    </row>
    <row r="333" spans="1:8" ht="12.75">
      <c r="A333" s="240"/>
      <c r="B333" s="242"/>
      <c r="C333" s="243"/>
      <c r="E333"/>
      <c r="F333"/>
      <c r="G333"/>
      <c r="H333"/>
    </row>
    <row r="334" spans="1:8" ht="12.75">
      <c r="A334" s="240"/>
      <c r="B334" s="242"/>
      <c r="C334" s="243"/>
      <c r="E334"/>
      <c r="F334"/>
      <c r="G334"/>
      <c r="H334"/>
    </row>
    <row r="335" spans="1:8" ht="12.75">
      <c r="A335" s="240"/>
      <c r="B335" s="242"/>
      <c r="C335" s="243"/>
      <c r="E335"/>
      <c r="F335"/>
      <c r="G335"/>
      <c r="H335"/>
    </row>
    <row r="336" spans="1:8" ht="12.75">
      <c r="A336" s="240"/>
      <c r="B336" s="242"/>
      <c r="C336" s="243"/>
      <c r="E336"/>
      <c r="F336"/>
      <c r="G336"/>
      <c r="H336"/>
    </row>
    <row r="337" spans="1:8" ht="12.75">
      <c r="A337" s="240"/>
      <c r="B337" s="242"/>
      <c r="C337" s="243"/>
      <c r="E337"/>
      <c r="F337"/>
      <c r="G337"/>
      <c r="H337"/>
    </row>
    <row r="338" spans="1:8" ht="12.75">
      <c r="A338" s="240"/>
      <c r="B338" s="242"/>
      <c r="C338" s="243"/>
      <c r="E338"/>
      <c r="F338"/>
      <c r="G338"/>
      <c r="H338"/>
    </row>
    <row r="339" spans="1:8" ht="12.75">
      <c r="A339" s="240"/>
      <c r="B339" s="242"/>
      <c r="C339" s="243"/>
      <c r="E339"/>
      <c r="F339"/>
      <c r="G339"/>
      <c r="H339"/>
    </row>
    <row r="340" spans="1:8" ht="12.75">
      <c r="A340" s="240"/>
      <c r="B340" s="242"/>
      <c r="C340" s="243"/>
      <c r="E340"/>
      <c r="F340"/>
      <c r="G340"/>
      <c r="H340"/>
    </row>
    <row r="341" spans="1:8" ht="12.75">
      <c r="A341" s="240"/>
      <c r="B341" s="242"/>
      <c r="C341" s="243"/>
      <c r="E341"/>
      <c r="F341"/>
      <c r="G341"/>
      <c r="H341"/>
    </row>
    <row r="342" spans="1:8" ht="12.75">
      <c r="A342" s="240"/>
      <c r="B342" s="242"/>
      <c r="C342" s="243"/>
      <c r="E342"/>
      <c r="F342"/>
      <c r="G342"/>
      <c r="H342"/>
    </row>
    <row r="343" spans="1:8" ht="12.75">
      <c r="A343" s="240"/>
      <c r="B343" s="242"/>
      <c r="C343" s="243"/>
      <c r="E343"/>
      <c r="F343"/>
      <c r="G343"/>
      <c r="H343"/>
    </row>
    <row r="344" spans="1:8" ht="12.75">
      <c r="A344" s="240"/>
      <c r="B344" s="242"/>
      <c r="C344" s="243"/>
      <c r="E344"/>
      <c r="F344"/>
      <c r="G344"/>
      <c r="H344"/>
    </row>
    <row r="345" spans="1:8" ht="12.75">
      <c r="A345" s="240"/>
      <c r="B345" s="242"/>
      <c r="C345" s="243"/>
      <c r="E345"/>
      <c r="F345"/>
      <c r="G345"/>
      <c r="H345"/>
    </row>
    <row r="346" spans="1:8" ht="12.75">
      <c r="A346" s="240"/>
      <c r="B346" s="242"/>
      <c r="C346" s="243"/>
      <c r="E346"/>
      <c r="F346"/>
      <c r="G346"/>
      <c r="H346"/>
    </row>
    <row r="347" spans="1:8" ht="12.75">
      <c r="A347" s="240"/>
      <c r="B347" s="242"/>
      <c r="C347" s="243"/>
      <c r="E347"/>
      <c r="F347"/>
      <c r="G347"/>
      <c r="H347"/>
    </row>
    <row r="348" spans="1:8" ht="12.75">
      <c r="A348" s="240"/>
      <c r="B348" s="242"/>
      <c r="C348" s="243"/>
      <c r="E348"/>
      <c r="F348"/>
      <c r="G348"/>
      <c r="H348"/>
    </row>
    <row r="349" spans="1:8" ht="12.75">
      <c r="A349" s="240"/>
      <c r="B349" s="242"/>
      <c r="C349" s="243"/>
      <c r="E349"/>
      <c r="F349"/>
      <c r="G349"/>
      <c r="H349"/>
    </row>
    <row r="350" spans="1:8" ht="12.75">
      <c r="A350" s="240"/>
      <c r="B350" s="242"/>
      <c r="C350" s="243"/>
      <c r="E350"/>
      <c r="F350"/>
      <c r="G350"/>
      <c r="H350"/>
    </row>
    <row r="351" spans="1:8" ht="12.75">
      <c r="A351" s="240"/>
      <c r="B351" s="242"/>
      <c r="C351" s="243"/>
      <c r="E351"/>
      <c r="F351"/>
      <c r="G351"/>
      <c r="H351"/>
    </row>
    <row r="352" spans="1:8" ht="12.75">
      <c r="A352" s="240"/>
      <c r="B352" s="242"/>
      <c r="C352" s="243"/>
      <c r="E352"/>
      <c r="F352"/>
      <c r="G352"/>
      <c r="H352"/>
    </row>
    <row r="353" spans="1:8" ht="12.75">
      <c r="A353" s="240"/>
      <c r="B353" s="242"/>
      <c r="C353" s="243"/>
      <c r="E353"/>
      <c r="F353"/>
      <c r="G353"/>
      <c r="H353"/>
    </row>
    <row r="354" spans="1:8" ht="12.75">
      <c r="A354" s="240"/>
      <c r="B354" s="242"/>
      <c r="C354" s="243"/>
      <c r="E354"/>
      <c r="F354"/>
      <c r="G354"/>
      <c r="H354"/>
    </row>
    <row r="355" spans="1:8" ht="12.75">
      <c r="A355" s="240"/>
      <c r="B355" s="242"/>
      <c r="C355" s="243"/>
      <c r="E355"/>
      <c r="F355"/>
      <c r="G355"/>
      <c r="H355"/>
    </row>
    <row r="356" spans="1:8" ht="12.75">
      <c r="A356" s="240"/>
      <c r="B356" s="242"/>
      <c r="C356" s="243"/>
      <c r="E356"/>
      <c r="F356"/>
      <c r="G356"/>
      <c r="H356"/>
    </row>
    <row r="357" spans="1:8" ht="12.75">
      <c r="A357" s="240"/>
      <c r="B357" s="242"/>
      <c r="C357" s="243"/>
      <c r="E357"/>
      <c r="F357"/>
      <c r="G357"/>
      <c r="H357"/>
    </row>
    <row r="358" spans="1:8" ht="12.75">
      <c r="A358" s="240"/>
      <c r="B358" s="242"/>
      <c r="C358" s="243"/>
      <c r="E358"/>
      <c r="F358"/>
      <c r="G358"/>
      <c r="H358"/>
    </row>
    <row r="359" spans="1:8" ht="12.75">
      <c r="A359" s="240"/>
      <c r="B359" s="242"/>
      <c r="C359" s="243"/>
      <c r="E359"/>
      <c r="F359"/>
      <c r="G359"/>
      <c r="H359"/>
    </row>
    <row r="360" spans="1:8" ht="12.75">
      <c r="A360" s="240"/>
      <c r="B360" s="242"/>
      <c r="C360" s="243"/>
      <c r="E360"/>
      <c r="F360"/>
      <c r="G360"/>
      <c r="H360"/>
    </row>
    <row r="361" spans="1:8" ht="12.75">
      <c r="A361" s="240"/>
      <c r="B361" s="242"/>
      <c r="C361" s="243"/>
      <c r="E361"/>
      <c r="F361"/>
      <c r="G361"/>
      <c r="H361"/>
    </row>
    <row r="362" spans="1:8" ht="12.75">
      <c r="A362" s="240"/>
      <c r="B362" s="242"/>
      <c r="C362" s="243"/>
      <c r="E362"/>
      <c r="F362"/>
      <c r="G362"/>
      <c r="H362"/>
    </row>
    <row r="363" spans="1:8" ht="12.75">
      <c r="A363" s="240"/>
      <c r="B363" s="242"/>
      <c r="C363" s="243"/>
      <c r="E363"/>
      <c r="F363"/>
      <c r="G363"/>
      <c r="H363"/>
    </row>
    <row r="364" spans="1:8" ht="12.75">
      <c r="A364" s="240"/>
      <c r="B364" s="242"/>
      <c r="C364" s="243"/>
      <c r="E364"/>
      <c r="F364"/>
      <c r="G364"/>
      <c r="H364"/>
    </row>
    <row r="365" spans="1:8" ht="12.75">
      <c r="A365" s="240"/>
      <c r="B365" s="242"/>
      <c r="C365" s="243"/>
      <c r="E365"/>
      <c r="F365"/>
      <c r="G365"/>
      <c r="H365"/>
    </row>
    <row r="366" spans="1:8" ht="12.75">
      <c r="A366" s="240"/>
      <c r="B366" s="242"/>
      <c r="C366" s="243"/>
      <c r="E366"/>
      <c r="F366"/>
      <c r="G366"/>
      <c r="H366"/>
    </row>
    <row r="367" spans="1:8" ht="12.75">
      <c r="A367" s="240"/>
      <c r="B367" s="242"/>
      <c r="C367" s="243"/>
      <c r="E367"/>
      <c r="F367"/>
      <c r="G367"/>
      <c r="H367"/>
    </row>
    <row r="368" spans="1:8" ht="12.75">
      <c r="A368" s="240"/>
      <c r="B368" s="242"/>
      <c r="C368" s="243"/>
      <c r="E368"/>
      <c r="F368"/>
      <c r="G368"/>
      <c r="H368"/>
    </row>
    <row r="369" spans="1:8" ht="12.75">
      <c r="A369" s="240"/>
      <c r="B369" s="242"/>
      <c r="C369" s="243"/>
      <c r="E369"/>
      <c r="F369"/>
      <c r="G369"/>
      <c r="H369"/>
    </row>
    <row r="370" spans="1:8" ht="12.75">
      <c r="A370" s="240"/>
      <c r="B370" s="242"/>
      <c r="C370" s="243"/>
      <c r="E370"/>
      <c r="F370"/>
      <c r="G370"/>
      <c r="H370"/>
    </row>
    <row r="371" spans="1:8" ht="12.75">
      <c r="A371" s="240"/>
      <c r="B371" s="242"/>
      <c r="C371" s="243"/>
      <c r="E371"/>
      <c r="F371"/>
      <c r="G371"/>
      <c r="H371"/>
    </row>
    <row r="372" spans="1:8" ht="12.75">
      <c r="A372" s="240"/>
      <c r="B372" s="242"/>
      <c r="C372" s="243"/>
      <c r="E372"/>
      <c r="F372"/>
      <c r="G372"/>
      <c r="H372"/>
    </row>
    <row r="373" spans="1:8" ht="12.75">
      <c r="A373" s="240"/>
      <c r="B373" s="242"/>
      <c r="C373" s="243"/>
      <c r="E373"/>
      <c r="F373"/>
      <c r="G373"/>
      <c r="H373"/>
    </row>
    <row r="374" spans="1:8" ht="12.75">
      <c r="A374" s="240"/>
      <c r="B374" s="242"/>
      <c r="C374" s="243"/>
      <c r="E374"/>
      <c r="F374"/>
      <c r="G374"/>
      <c r="H374"/>
    </row>
    <row r="375" spans="1:8" ht="12.75">
      <c r="A375" s="240"/>
      <c r="B375" s="242"/>
      <c r="C375" s="243"/>
      <c r="E375"/>
      <c r="F375"/>
      <c r="G375"/>
      <c r="H375"/>
    </row>
    <row r="376" spans="1:8" ht="12.75">
      <c r="A376" s="240"/>
      <c r="B376" s="242"/>
      <c r="C376" s="243"/>
      <c r="E376"/>
      <c r="F376"/>
      <c r="G376"/>
      <c r="H376"/>
    </row>
    <row r="377" spans="1:8" ht="12.75">
      <c r="A377" s="240"/>
      <c r="B377" s="242"/>
      <c r="C377" s="243"/>
      <c r="E377"/>
      <c r="F377"/>
      <c r="G377"/>
      <c r="H377"/>
    </row>
    <row r="378" spans="1:8" ht="12.75">
      <c r="A378" s="240"/>
      <c r="B378" s="242"/>
      <c r="C378" s="243"/>
      <c r="E378"/>
      <c r="F378"/>
      <c r="G378"/>
      <c r="H378"/>
    </row>
    <row r="379" spans="1:8" ht="12.75">
      <c r="A379" s="240"/>
      <c r="B379" s="242"/>
      <c r="C379" s="243"/>
      <c r="E379"/>
      <c r="F379"/>
      <c r="G379"/>
      <c r="H379"/>
    </row>
    <row r="380" spans="1:8" ht="12.75">
      <c r="A380" s="240"/>
      <c r="B380" s="242"/>
      <c r="C380" s="243"/>
      <c r="E380"/>
      <c r="F380"/>
      <c r="G380"/>
      <c r="H380"/>
    </row>
    <row r="381" spans="1:8" ht="12.75">
      <c r="A381" s="240"/>
      <c r="B381" s="242"/>
      <c r="C381" s="243"/>
      <c r="E381"/>
      <c r="F381"/>
      <c r="G381"/>
      <c r="H381"/>
    </row>
    <row r="382" spans="1:8" ht="12.75">
      <c r="A382" s="240"/>
      <c r="B382" s="242"/>
      <c r="C382" s="243"/>
      <c r="E382"/>
      <c r="F382"/>
      <c r="G382"/>
      <c r="H382"/>
    </row>
    <row r="383" spans="1:8" ht="12.75">
      <c r="A383" s="240"/>
      <c r="B383" s="242"/>
      <c r="C383" s="243"/>
      <c r="E383"/>
      <c r="F383"/>
      <c r="G383"/>
      <c r="H383"/>
    </row>
    <row r="384" spans="1:8" ht="12.75">
      <c r="A384" s="240"/>
      <c r="B384" s="242"/>
      <c r="C384" s="243"/>
      <c r="E384"/>
      <c r="F384"/>
      <c r="G384"/>
      <c r="H384"/>
    </row>
    <row r="385" spans="1:8" ht="12.75">
      <c r="A385" s="240"/>
      <c r="B385" s="242"/>
      <c r="C385" s="243"/>
      <c r="E385"/>
      <c r="F385"/>
      <c r="G385"/>
      <c r="H385"/>
    </row>
    <row r="386" spans="1:8" ht="12.75">
      <c r="A386" s="240"/>
      <c r="B386" s="242"/>
      <c r="C386" s="243"/>
      <c r="E386"/>
      <c r="F386"/>
      <c r="G386"/>
      <c r="H386"/>
    </row>
    <row r="387" spans="1:8" ht="12.75">
      <c r="A387" s="240"/>
      <c r="B387" s="242"/>
      <c r="C387" s="243"/>
      <c r="E387"/>
      <c r="F387"/>
      <c r="G387"/>
      <c r="H387"/>
    </row>
    <row r="388" spans="1:8" ht="12.75">
      <c r="A388" s="240"/>
      <c r="B388" s="242"/>
      <c r="C388" s="243"/>
      <c r="E388"/>
      <c r="F388"/>
      <c r="G388"/>
      <c r="H388"/>
    </row>
    <row r="389" spans="1:8" ht="12.75">
      <c r="A389" s="240"/>
      <c r="B389" s="242"/>
      <c r="C389" s="243"/>
      <c r="E389"/>
      <c r="F389"/>
      <c r="G389"/>
      <c r="H389"/>
    </row>
    <row r="390" spans="1:8" ht="12.75">
      <c r="A390" s="240"/>
      <c r="B390" s="242"/>
      <c r="C390" s="243"/>
      <c r="E390"/>
      <c r="F390"/>
      <c r="G390"/>
      <c r="H390"/>
    </row>
    <row r="391" spans="1:8" ht="12.75">
      <c r="A391" s="240"/>
      <c r="B391" s="242"/>
      <c r="C391" s="243"/>
      <c r="E391"/>
      <c r="F391"/>
      <c r="G391"/>
      <c r="H391"/>
    </row>
    <row r="392" spans="1:8" ht="12.75">
      <c r="A392" s="240"/>
      <c r="B392" s="242"/>
      <c r="C392" s="243"/>
      <c r="E392"/>
      <c r="F392"/>
      <c r="G392"/>
      <c r="H392"/>
    </row>
    <row r="393" spans="1:8" ht="12.75">
      <c r="A393" s="240"/>
      <c r="B393" s="242"/>
      <c r="C393" s="243"/>
      <c r="E393"/>
      <c r="F393"/>
      <c r="G393"/>
      <c r="H393"/>
    </row>
    <row r="394" spans="1:8" ht="12.75">
      <c r="A394" s="240"/>
      <c r="B394" s="242"/>
      <c r="C394" s="243"/>
      <c r="E394"/>
      <c r="F394"/>
      <c r="G394"/>
      <c r="H394"/>
    </row>
    <row r="395" spans="1:8" ht="12.75">
      <c r="A395" s="240"/>
      <c r="B395" s="242"/>
      <c r="C395" s="243"/>
      <c r="E395"/>
      <c r="F395"/>
      <c r="G395"/>
      <c r="H395"/>
    </row>
    <row r="396" spans="1:8" ht="12.75">
      <c r="A396" s="240"/>
      <c r="B396" s="242"/>
      <c r="C396" s="243"/>
      <c r="E396"/>
      <c r="F396"/>
      <c r="G396"/>
      <c r="H396"/>
    </row>
    <row r="397" spans="1:8" ht="12.75">
      <c r="A397" s="240"/>
      <c r="B397" s="242"/>
      <c r="C397" s="243"/>
      <c r="E397"/>
      <c r="F397"/>
      <c r="G397"/>
      <c r="H397"/>
    </row>
    <row r="398" spans="1:8" ht="12.75">
      <c r="A398" s="240"/>
      <c r="B398" s="242"/>
      <c r="C398" s="243"/>
      <c r="E398"/>
      <c r="F398"/>
      <c r="G398"/>
      <c r="H398"/>
    </row>
  </sheetData>
  <autoFilter ref="D5:I5" xr:uid="{00000000-0009-0000-0000-000014000000}">
    <sortState xmlns:xlrd2="http://schemas.microsoft.com/office/spreadsheetml/2017/richdata2" ref="D6:I183">
      <sortCondition descending="1" ref="F5"/>
    </sortState>
  </autoFilter>
  <mergeCells count="1">
    <mergeCell ref="E4:H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Plan21">
    <tabColor rgb="FF3333FF"/>
  </sheetPr>
  <dimension ref="A1:AP76"/>
  <sheetViews>
    <sheetView showGridLines="0" topLeftCell="D1" workbookViewId="0">
      <selection activeCell="D4" sqref="D4:G36"/>
    </sheetView>
  </sheetViews>
  <sheetFormatPr defaultColWidth="10.7109375" defaultRowHeight="12.75"/>
  <cols>
    <col min="1" max="1" width="2.85546875" style="654" customWidth="1"/>
    <col min="2" max="3" width="2.85546875" style="374" customWidth="1"/>
    <col min="4" max="4" width="53" style="374" bestFit="1" customWidth="1"/>
    <col min="5" max="5" width="15.7109375" style="374" hidden="1" customWidth="1"/>
    <col min="6" max="6" width="20.140625" style="142" customWidth="1"/>
    <col min="7" max="7" width="19.28515625" style="374" customWidth="1"/>
    <col min="8" max="16384" width="10.7109375" style="374"/>
  </cols>
  <sheetData>
    <row r="1" spans="1:42" s="654" customFormat="1">
      <c r="A1" s="595"/>
      <c r="B1" s="595"/>
      <c r="C1" s="595"/>
      <c r="D1" s="596"/>
      <c r="E1" s="596"/>
      <c r="F1" s="643"/>
      <c r="G1" s="596"/>
      <c r="H1" s="596"/>
      <c r="I1" s="596"/>
      <c r="J1" s="596"/>
      <c r="K1" s="596"/>
      <c r="L1" s="596"/>
      <c r="M1" s="596"/>
      <c r="N1" s="596"/>
      <c r="O1" s="596"/>
      <c r="P1" s="596"/>
      <c r="Q1" s="596"/>
      <c r="R1" s="596"/>
      <c r="S1" s="596"/>
      <c r="T1" s="596"/>
      <c r="U1" s="596"/>
      <c r="V1" s="596"/>
      <c r="W1" s="596"/>
      <c r="X1" s="596"/>
      <c r="Y1" s="596"/>
      <c r="Z1" s="596"/>
      <c r="AA1" s="596"/>
      <c r="AB1" s="596"/>
      <c r="AC1" s="596"/>
      <c r="AD1" s="596"/>
      <c r="AE1" s="596"/>
      <c r="AF1" s="596"/>
      <c r="AG1" s="596"/>
      <c r="AH1" s="596"/>
      <c r="AI1" s="596"/>
      <c r="AJ1" s="596"/>
      <c r="AK1" s="596"/>
      <c r="AL1" s="596"/>
      <c r="AM1" s="596"/>
      <c r="AN1" s="596"/>
      <c r="AO1" s="596"/>
      <c r="AP1" s="596"/>
    </row>
    <row r="2" spans="1:42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598"/>
      <c r="AI2" s="598"/>
      <c r="AJ2" s="598"/>
      <c r="AK2" s="598"/>
      <c r="AL2" s="598"/>
      <c r="AM2" s="242"/>
      <c r="AN2" s="242"/>
      <c r="AO2" s="242"/>
      <c r="AP2" s="242"/>
    </row>
    <row r="3" spans="1:42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599"/>
      <c r="AI3" s="599"/>
      <c r="AJ3" s="599"/>
      <c r="AK3" s="599"/>
      <c r="AL3" s="599"/>
      <c r="AM3" s="243"/>
      <c r="AN3" s="243"/>
      <c r="AO3" s="243"/>
      <c r="AP3" s="243"/>
    </row>
    <row r="4" spans="1:42">
      <c r="A4" s="595"/>
      <c r="B4" s="598"/>
      <c r="C4" s="599"/>
      <c r="D4" s="1929" t="s">
        <v>1326</v>
      </c>
      <c r="E4" s="1930"/>
      <c r="F4" s="1930"/>
      <c r="G4" s="1931"/>
    </row>
    <row r="5" spans="1:42">
      <c r="A5" s="595"/>
      <c r="B5" s="598"/>
      <c r="C5" s="599"/>
      <c r="D5" s="1933" t="s">
        <v>4</v>
      </c>
      <c r="E5" s="1934" t="s">
        <v>1327</v>
      </c>
      <c r="F5" s="1935"/>
      <c r="G5" s="1932" t="s">
        <v>1328</v>
      </c>
    </row>
    <row r="6" spans="1:42">
      <c r="A6" s="595"/>
      <c r="B6" s="598"/>
      <c r="C6" s="599"/>
      <c r="D6" s="1884"/>
      <c r="E6" s="1936"/>
      <c r="F6" s="1937"/>
      <c r="G6" s="1933"/>
    </row>
    <row r="7" spans="1:42">
      <c r="A7" s="595"/>
      <c r="B7" s="598"/>
      <c r="C7" s="599"/>
      <c r="D7" s="1884" t="s">
        <v>1329</v>
      </c>
      <c r="E7" s="1884"/>
      <c r="F7" s="1884"/>
      <c r="G7" s="656"/>
    </row>
    <row r="8" spans="1:42">
      <c r="A8" s="595"/>
      <c r="B8" s="598"/>
      <c r="C8" s="599"/>
      <c r="D8" s="1102" t="s">
        <v>1330</v>
      </c>
      <c r="E8" s="1226">
        <v>0.2</v>
      </c>
      <c r="F8" s="1226">
        <v>0.2</v>
      </c>
      <c r="G8" s="1227"/>
    </row>
    <row r="9" spans="1:42">
      <c r="A9" s="595"/>
      <c r="B9" s="598"/>
      <c r="C9" s="599"/>
      <c r="D9" s="1102" t="s">
        <v>1331</v>
      </c>
      <c r="E9" s="1228">
        <v>0.08</v>
      </c>
      <c r="F9" s="1226">
        <v>0.08</v>
      </c>
      <c r="G9" s="1227"/>
    </row>
    <row r="10" spans="1:42">
      <c r="A10" s="595"/>
      <c r="B10" s="598"/>
      <c r="C10" s="599"/>
      <c r="D10" s="1102" t="s">
        <v>1332</v>
      </c>
      <c r="E10" s="1228">
        <v>0</v>
      </c>
      <c r="F10" s="1226">
        <v>0</v>
      </c>
      <c r="G10" s="1227" t="s">
        <v>1333</v>
      </c>
    </row>
    <row r="11" spans="1:42">
      <c r="A11" s="595"/>
      <c r="B11" s="598"/>
      <c r="C11" s="599"/>
      <c r="D11" s="1102" t="s">
        <v>1334</v>
      </c>
      <c r="E11" s="1228">
        <v>1.4999999999999999E-2</v>
      </c>
      <c r="F11" s="1226">
        <v>1.4999999999999999E-2</v>
      </c>
      <c r="G11" s="1227"/>
    </row>
    <row r="12" spans="1:42">
      <c r="A12" s="595"/>
      <c r="B12" s="598"/>
      <c r="C12" s="599"/>
      <c r="D12" s="1102" t="s">
        <v>1335</v>
      </c>
      <c r="E12" s="1228">
        <v>0.01</v>
      </c>
      <c r="F12" s="1226">
        <v>0.01</v>
      </c>
      <c r="G12" s="1227"/>
    </row>
    <row r="13" spans="1:42">
      <c r="A13" s="595"/>
      <c r="B13" s="598"/>
      <c r="C13" s="599"/>
      <c r="D13" s="1102" t="s">
        <v>1336</v>
      </c>
      <c r="E13" s="1228">
        <v>6.0000000000000001E-3</v>
      </c>
      <c r="F13" s="1226">
        <v>6.0000000000000001E-3</v>
      </c>
      <c r="G13" s="1227"/>
    </row>
    <row r="14" spans="1:42">
      <c r="A14" s="595"/>
      <c r="B14" s="598"/>
      <c r="C14" s="599"/>
      <c r="D14" s="1102" t="s">
        <v>1337</v>
      </c>
      <c r="E14" s="1228">
        <v>2E-3</v>
      </c>
      <c r="F14" s="1226">
        <v>3.0000000000000001E-3</v>
      </c>
      <c r="G14" s="1227"/>
    </row>
    <row r="15" spans="1:42">
      <c r="A15" s="595"/>
      <c r="B15" s="598"/>
      <c r="C15" s="599"/>
      <c r="D15" s="1102" t="s">
        <v>1338</v>
      </c>
      <c r="E15" s="1228">
        <v>2.5000000000000001E-2</v>
      </c>
      <c r="F15" s="1226">
        <v>2.5000000000000001E-2</v>
      </c>
      <c r="G15" s="1227"/>
    </row>
    <row r="16" spans="1:42">
      <c r="A16" s="595"/>
      <c r="B16" s="598"/>
      <c r="C16" s="599"/>
      <c r="D16" s="1102" t="s">
        <v>1339</v>
      </c>
      <c r="E16" s="1226">
        <v>0.03</v>
      </c>
      <c r="F16" s="1226">
        <v>0.03</v>
      </c>
      <c r="G16" s="1229"/>
    </row>
    <row r="17" spans="1:10">
      <c r="A17" s="595"/>
      <c r="B17" s="598"/>
      <c r="C17" s="599"/>
      <c r="D17" s="1230" t="s">
        <v>1340</v>
      </c>
      <c r="E17" s="1231">
        <f>SUM(E8:E16)</f>
        <v>0.3680000000000001</v>
      </c>
      <c r="F17" s="1231">
        <f>SUM(F8:F16)</f>
        <v>0.36900000000000011</v>
      </c>
      <c r="G17" s="1232"/>
    </row>
    <row r="18" spans="1:10">
      <c r="A18" s="595"/>
      <c r="B18" s="598"/>
      <c r="C18" s="599"/>
      <c r="D18" s="1928" t="s">
        <v>1341</v>
      </c>
      <c r="E18" s="1928"/>
      <c r="F18" s="1928"/>
      <c r="G18" s="1233"/>
    </row>
    <row r="19" spans="1:10">
      <c r="A19" s="595"/>
      <c r="B19" s="598"/>
      <c r="C19" s="599"/>
      <c r="D19" s="1102" t="s">
        <v>1342</v>
      </c>
      <c r="E19" s="1228">
        <v>0</v>
      </c>
      <c r="F19" s="1226">
        <v>0</v>
      </c>
      <c r="G19" s="1227" t="s">
        <v>1343</v>
      </c>
    </row>
    <row r="20" spans="1:10">
      <c r="A20" s="595"/>
      <c r="B20" s="598"/>
      <c r="C20" s="599"/>
      <c r="D20" s="1102" t="s">
        <v>1344</v>
      </c>
      <c r="E20" s="1226">
        <v>0.13</v>
      </c>
      <c r="F20" s="1226">
        <v>0.1111</v>
      </c>
      <c r="G20" s="1227"/>
    </row>
    <row r="21" spans="1:10">
      <c r="A21" s="595"/>
      <c r="B21" s="598"/>
      <c r="C21" s="599"/>
      <c r="D21" s="1102" t="s">
        <v>1345</v>
      </c>
      <c r="E21" s="1228">
        <v>0</v>
      </c>
      <c r="F21" s="1226">
        <v>0</v>
      </c>
      <c r="G21" s="1227" t="s">
        <v>1346</v>
      </c>
    </row>
    <row r="22" spans="1:10">
      <c r="A22" s="595"/>
      <c r="B22" s="598"/>
      <c r="C22" s="599"/>
      <c r="D22" s="1102" t="s">
        <v>1347</v>
      </c>
      <c r="E22" s="1226">
        <v>6.6666666666666666E-2</v>
      </c>
      <c r="F22" s="1226">
        <v>4.1666666666666664E-2</v>
      </c>
      <c r="G22" s="1227"/>
    </row>
    <row r="23" spans="1:10">
      <c r="A23" s="595"/>
      <c r="B23" s="598"/>
      <c r="C23" s="599"/>
      <c r="D23" s="1102" t="s">
        <v>1348</v>
      </c>
      <c r="E23" s="1226">
        <v>0</v>
      </c>
      <c r="F23" s="1226">
        <v>7.9299999999999995E-2</v>
      </c>
      <c r="G23" s="1227" t="s">
        <v>1346</v>
      </c>
    </row>
    <row r="24" spans="1:10">
      <c r="A24" s="595"/>
      <c r="B24" s="598"/>
      <c r="C24" s="599"/>
      <c r="D24" s="1102" t="s">
        <v>1349</v>
      </c>
      <c r="E24" s="1226">
        <v>9.7500000000000003E-2</v>
      </c>
      <c r="F24" s="1226">
        <v>8.3333333333333329E-2</v>
      </c>
      <c r="G24" s="1227"/>
    </row>
    <row r="25" spans="1:10">
      <c r="A25" s="595"/>
      <c r="B25" s="598"/>
      <c r="C25" s="599"/>
      <c r="D25" s="1102" t="s">
        <v>1350</v>
      </c>
      <c r="E25" s="1226">
        <v>0</v>
      </c>
      <c r="F25" s="1226">
        <v>0</v>
      </c>
      <c r="G25" s="1227" t="s">
        <v>1351</v>
      </c>
    </row>
    <row r="26" spans="1:10">
      <c r="A26" s="595"/>
      <c r="B26" s="598"/>
      <c r="C26" s="599"/>
      <c r="D26" s="1230" t="s">
        <v>1352</v>
      </c>
      <c r="E26" s="1231">
        <f>SUM(E19:E25)</f>
        <v>0.29416666666666669</v>
      </c>
      <c r="F26" s="1231">
        <f>SUM(F19:F25)</f>
        <v>0.31539999999999996</v>
      </c>
      <c r="G26" s="1232"/>
      <c r="J26" s="375"/>
    </row>
    <row r="27" spans="1:10">
      <c r="A27" s="595"/>
      <c r="B27" s="598"/>
      <c r="C27" s="599"/>
      <c r="D27" s="1928" t="s">
        <v>1353</v>
      </c>
      <c r="E27" s="1928"/>
      <c r="F27" s="1928"/>
      <c r="G27" s="1233"/>
    </row>
    <row r="28" spans="1:10">
      <c r="A28" s="595"/>
      <c r="B28" s="598"/>
      <c r="C28" s="599"/>
      <c r="D28" s="1102" t="s">
        <v>1354</v>
      </c>
      <c r="E28" s="1226">
        <v>0.04</v>
      </c>
      <c r="F28" s="1226">
        <v>0.04</v>
      </c>
      <c r="G28" s="1227"/>
    </row>
    <row r="29" spans="1:10">
      <c r="A29" s="595"/>
      <c r="B29" s="598"/>
      <c r="C29" s="599"/>
      <c r="D29" s="1102" t="s">
        <v>1355</v>
      </c>
      <c r="E29" s="1226">
        <v>8.0000000000000002E-3</v>
      </c>
      <c r="F29" s="1226">
        <v>8.0000000000000002E-3</v>
      </c>
      <c r="G29" s="1227"/>
    </row>
    <row r="30" spans="1:10">
      <c r="A30" s="595"/>
      <c r="B30" s="598"/>
      <c r="C30" s="599"/>
      <c r="D30" s="1230" t="s">
        <v>1356</v>
      </c>
      <c r="E30" s="1231">
        <f>SUM(E28:E29)</f>
        <v>4.8000000000000001E-2</v>
      </c>
      <c r="F30" s="1231">
        <f>SUM(F28:F29)</f>
        <v>4.8000000000000001E-2</v>
      </c>
      <c r="G30" s="1232"/>
    </row>
    <row r="31" spans="1:10">
      <c r="A31" s="595"/>
      <c r="B31" s="598"/>
      <c r="C31" s="599"/>
      <c r="D31" s="1884" t="s">
        <v>1357</v>
      </c>
      <c r="E31" s="1884"/>
      <c r="F31" s="1884"/>
      <c r="G31" s="1233"/>
    </row>
    <row r="32" spans="1:10">
      <c r="A32" s="595"/>
      <c r="B32" s="598"/>
      <c r="C32" s="599"/>
      <c r="D32" s="1102" t="s">
        <v>1358</v>
      </c>
      <c r="E32" s="1226">
        <f>E26*E17</f>
        <v>0.10825333333333337</v>
      </c>
      <c r="F32" s="1226">
        <f>F26*F17</f>
        <v>0.11638260000000002</v>
      </c>
      <c r="G32" s="1227"/>
    </row>
    <row r="33" spans="1:7">
      <c r="A33" s="595"/>
      <c r="B33" s="598"/>
      <c r="C33" s="599"/>
      <c r="D33" s="1230" t="s">
        <v>1359</v>
      </c>
      <c r="E33" s="1231">
        <f>SUM(E32)</f>
        <v>0.10825333333333337</v>
      </c>
      <c r="F33" s="1231">
        <f>SUM(F32)</f>
        <v>0.11638260000000002</v>
      </c>
      <c r="G33" s="1232"/>
    </row>
    <row r="34" spans="1:7">
      <c r="A34" s="595"/>
      <c r="B34" s="598"/>
      <c r="C34" s="599"/>
      <c r="D34" s="499"/>
      <c r="E34" s="500"/>
      <c r="F34" s="500"/>
      <c r="G34" s="501"/>
    </row>
    <row r="35" spans="1:7">
      <c r="A35" s="595"/>
      <c r="B35" s="598"/>
      <c r="C35" s="599"/>
      <c r="D35" s="1230" t="s">
        <v>1360</v>
      </c>
      <c r="E35" s="1231"/>
      <c r="F35" s="1234">
        <f>(F17+F26+F30+F33)</f>
        <v>0.84878260000000016</v>
      </c>
      <c r="G35" s="1235"/>
    </row>
    <row r="36" spans="1:7">
      <c r="A36" s="595"/>
      <c r="B36" s="598"/>
      <c r="C36" s="599"/>
      <c r="D36" s="1236" t="s">
        <v>1361</v>
      </c>
      <c r="E36" s="1237">
        <f>E17+E26+E30+E33</f>
        <v>0.81842000000000015</v>
      </c>
      <c r="F36" s="1237">
        <v>0.85</v>
      </c>
      <c r="G36" s="1232"/>
    </row>
    <row r="37" spans="1:7">
      <c r="A37" s="595"/>
      <c r="B37" s="598"/>
      <c r="C37" s="599"/>
    </row>
    <row r="38" spans="1:7">
      <c r="A38" s="595"/>
      <c r="B38" s="598"/>
      <c r="C38" s="599"/>
    </row>
    <row r="39" spans="1:7">
      <c r="A39" s="595"/>
      <c r="B39" s="598"/>
      <c r="C39" s="599"/>
      <c r="E39" s="375"/>
      <c r="F39" s="395"/>
    </row>
    <row r="40" spans="1:7">
      <c r="A40" s="595"/>
      <c r="B40" s="598"/>
      <c r="C40" s="599"/>
    </row>
    <row r="41" spans="1:7">
      <c r="A41" s="595"/>
      <c r="B41" s="598"/>
      <c r="C41" s="599"/>
    </row>
    <row r="42" spans="1:7">
      <c r="A42" s="595"/>
      <c r="B42" s="598"/>
      <c r="C42" s="599"/>
    </row>
    <row r="43" spans="1:7">
      <c r="A43" s="595"/>
      <c r="B43" s="598"/>
      <c r="C43" s="599"/>
    </row>
    <row r="44" spans="1:7">
      <c r="A44" s="595"/>
      <c r="B44" s="598"/>
      <c r="C44" s="599"/>
    </row>
    <row r="45" spans="1:7">
      <c r="A45" s="595"/>
      <c r="B45" s="598"/>
      <c r="C45" s="599"/>
    </row>
    <row r="46" spans="1:7">
      <c r="A46" s="595"/>
      <c r="B46" s="598"/>
      <c r="C46" s="599"/>
    </row>
    <row r="47" spans="1:7">
      <c r="A47" s="595"/>
      <c r="B47" s="598"/>
      <c r="C47" s="599"/>
    </row>
    <row r="48" spans="1:7">
      <c r="A48" s="595"/>
      <c r="B48" s="598"/>
      <c r="C48" s="599"/>
    </row>
    <row r="49" spans="1:6">
      <c r="A49" s="595"/>
      <c r="B49" s="598"/>
      <c r="C49" s="599"/>
    </row>
    <row r="50" spans="1:6">
      <c r="A50" s="595"/>
      <c r="B50" s="598"/>
      <c r="C50" s="599"/>
      <c r="F50" s="374"/>
    </row>
    <row r="51" spans="1:6">
      <c r="A51" s="595"/>
      <c r="B51" s="598"/>
      <c r="C51" s="599"/>
      <c r="F51" s="374"/>
    </row>
    <row r="52" spans="1:6">
      <c r="A52" s="595"/>
      <c r="B52" s="598"/>
      <c r="C52" s="599"/>
      <c r="F52" s="374"/>
    </row>
    <row r="53" spans="1:6">
      <c r="A53" s="595"/>
      <c r="B53" s="598"/>
      <c r="C53" s="599"/>
      <c r="F53" s="374"/>
    </row>
    <row r="54" spans="1:6">
      <c r="A54" s="595"/>
      <c r="B54" s="598"/>
      <c r="C54" s="599"/>
      <c r="F54" s="374"/>
    </row>
    <row r="55" spans="1:6">
      <c r="A55" s="595"/>
      <c r="B55" s="598"/>
      <c r="C55" s="599"/>
      <c r="F55" s="374"/>
    </row>
    <row r="56" spans="1:6">
      <c r="A56" s="595"/>
      <c r="B56" s="598"/>
      <c r="C56" s="599"/>
      <c r="F56" s="374"/>
    </row>
    <row r="57" spans="1:6">
      <c r="A57" s="595"/>
      <c r="B57" s="598"/>
      <c r="C57" s="599"/>
      <c r="F57" s="374"/>
    </row>
    <row r="58" spans="1:6">
      <c r="A58" s="595"/>
      <c r="B58" s="598"/>
      <c r="C58" s="599"/>
      <c r="F58" s="374"/>
    </row>
    <row r="59" spans="1:6">
      <c r="A59" s="595"/>
      <c r="B59" s="598"/>
      <c r="C59" s="599"/>
      <c r="F59" s="374"/>
    </row>
    <row r="60" spans="1:6">
      <c r="A60" s="595"/>
      <c r="B60" s="598"/>
      <c r="C60" s="599"/>
      <c r="F60" s="374"/>
    </row>
    <row r="61" spans="1:6">
      <c r="A61" s="595"/>
      <c r="B61" s="598"/>
      <c r="C61" s="599"/>
      <c r="F61" s="374"/>
    </row>
    <row r="62" spans="1:6">
      <c r="A62" s="595"/>
      <c r="B62" s="598"/>
      <c r="C62" s="599"/>
      <c r="F62" s="374"/>
    </row>
    <row r="63" spans="1:6">
      <c r="A63" s="595"/>
      <c r="B63" s="598"/>
      <c r="C63" s="599"/>
      <c r="F63" s="374"/>
    </row>
    <row r="64" spans="1:6">
      <c r="A64" s="595"/>
      <c r="B64" s="598"/>
      <c r="C64" s="599"/>
      <c r="F64" s="374"/>
    </row>
    <row r="65" spans="1:6">
      <c r="A65" s="595"/>
      <c r="B65" s="598"/>
      <c r="C65" s="599"/>
      <c r="F65" s="374"/>
    </row>
    <row r="66" spans="1:6">
      <c r="A66" s="595"/>
      <c r="B66" s="598"/>
      <c r="C66" s="599"/>
      <c r="F66" s="374"/>
    </row>
    <row r="67" spans="1:6">
      <c r="A67" s="595"/>
      <c r="B67" s="598"/>
      <c r="C67" s="599"/>
      <c r="F67" s="374"/>
    </row>
    <row r="68" spans="1:6">
      <c r="A68" s="595"/>
      <c r="B68" s="598"/>
      <c r="C68" s="599"/>
      <c r="F68" s="374"/>
    </row>
    <row r="69" spans="1:6">
      <c r="A69" s="595"/>
      <c r="B69" s="598"/>
      <c r="C69" s="599"/>
      <c r="F69" s="374"/>
    </row>
    <row r="70" spans="1:6">
      <c r="A70" s="595"/>
      <c r="B70" s="598"/>
      <c r="C70" s="243"/>
      <c r="F70" s="374"/>
    </row>
    <row r="71" spans="1:6">
      <c r="A71" s="595"/>
      <c r="B71" s="598"/>
      <c r="C71" s="243"/>
      <c r="F71" s="374"/>
    </row>
    <row r="72" spans="1:6">
      <c r="A72" s="595"/>
      <c r="B72" s="598"/>
      <c r="C72" s="243"/>
      <c r="F72" s="374"/>
    </row>
    <row r="73" spans="1:6">
      <c r="A73" s="595"/>
      <c r="B73" s="598"/>
      <c r="C73" s="243"/>
      <c r="F73" s="374"/>
    </row>
    <row r="74" spans="1:6">
      <c r="A74" s="595"/>
      <c r="B74" s="598"/>
      <c r="C74" s="243"/>
      <c r="F74" s="374"/>
    </row>
    <row r="75" spans="1:6">
      <c r="B75" s="655"/>
    </row>
    <row r="76" spans="1:6">
      <c r="B76" s="655"/>
    </row>
  </sheetData>
  <mergeCells count="8">
    <mergeCell ref="D18:F18"/>
    <mergeCell ref="D27:F27"/>
    <mergeCell ref="D31:F31"/>
    <mergeCell ref="D4:G4"/>
    <mergeCell ref="G5:G6"/>
    <mergeCell ref="D5:D6"/>
    <mergeCell ref="D7:F7"/>
    <mergeCell ref="E5:F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Plan45">
    <tabColor indexed="12"/>
    <pageSetUpPr fitToPage="1"/>
  </sheetPr>
  <dimension ref="A1:DB349"/>
  <sheetViews>
    <sheetView showGridLines="0" showZeros="0" topLeftCell="A131" zoomScaleNormal="100" zoomScaleSheetLayoutView="100" workbookViewId="0">
      <pane xSplit="8" topLeftCell="I1" activePane="topRight" state="frozen"/>
      <selection activeCell="D4" sqref="D4:G36"/>
      <selection pane="topRight" activeCell="D4" sqref="D4:G36"/>
    </sheetView>
  </sheetViews>
  <sheetFormatPr defaultColWidth="9.140625" defaultRowHeight="12.75"/>
  <cols>
    <col min="1" max="1" width="2.5703125" style="657" customWidth="1"/>
    <col min="2" max="3" width="2.5703125" style="4" customWidth="1"/>
    <col min="4" max="4" width="4.42578125" style="4" hidden="1" customWidth="1"/>
    <col min="5" max="5" width="7.42578125" style="6" customWidth="1"/>
    <col min="6" max="6" width="45.85546875" style="4" customWidth="1"/>
    <col min="7" max="7" width="10.85546875" style="4" customWidth="1"/>
    <col min="8" max="8" width="6.85546875" style="4" customWidth="1"/>
    <col min="9" max="9" width="6" style="5" customWidth="1"/>
    <col min="10" max="37" width="5.7109375" style="6" customWidth="1"/>
    <col min="38" max="38" width="5.28515625" style="6" customWidth="1"/>
    <col min="39" max="39" width="15.5703125" style="4" bestFit="1" customWidth="1"/>
    <col min="40" max="40" width="7" style="4" bestFit="1" customWidth="1"/>
    <col min="41" max="41" width="10.85546875" style="4" bestFit="1" customWidth="1"/>
    <col min="42" max="42" width="7" style="4" bestFit="1" customWidth="1"/>
    <col min="43" max="43" width="13.42578125" style="4" customWidth="1"/>
    <col min="44" max="44" width="7.42578125" style="4" customWidth="1"/>
    <col min="45" max="45" width="4" style="4" bestFit="1" customWidth="1"/>
    <col min="46" max="46" width="9.7109375" style="4" bestFit="1" customWidth="1"/>
    <col min="47" max="16384" width="9.140625" style="4"/>
  </cols>
  <sheetData>
    <row r="1" spans="1:106" s="595" customFormat="1" ht="15" customHeight="1">
      <c r="B1" s="596"/>
      <c r="D1" s="596" t="s">
        <v>738</v>
      </c>
    </row>
    <row r="2" spans="1:106" s="241" customFormat="1" ht="10.5" customHeight="1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598"/>
      <c r="AI2" s="598"/>
      <c r="AJ2" s="598"/>
      <c r="AK2" s="598"/>
      <c r="AL2" s="598"/>
      <c r="AM2" s="598"/>
      <c r="AN2" s="598"/>
      <c r="AO2" s="598"/>
      <c r="AP2" s="598"/>
      <c r="AQ2" s="598"/>
      <c r="AR2" s="598"/>
      <c r="AS2" s="598"/>
      <c r="AT2" s="598"/>
      <c r="AU2" s="598"/>
      <c r="AV2" s="598"/>
      <c r="AW2" s="598"/>
      <c r="AX2" s="598"/>
      <c r="AY2" s="598"/>
      <c r="AZ2" s="598"/>
      <c r="BA2" s="598"/>
      <c r="BB2" s="598"/>
      <c r="BC2" s="598"/>
      <c r="BD2" s="598"/>
      <c r="BE2" s="598"/>
      <c r="BF2" s="598"/>
      <c r="BG2" s="598"/>
      <c r="BH2" s="598"/>
      <c r="BI2" s="598"/>
      <c r="BJ2" s="598"/>
      <c r="BK2" s="598"/>
      <c r="BL2" s="598"/>
      <c r="BM2" s="598"/>
      <c r="BN2" s="242"/>
      <c r="BO2" s="242"/>
      <c r="BP2" s="242"/>
      <c r="BQ2" s="242"/>
      <c r="BR2" s="242"/>
      <c r="BS2" s="242"/>
      <c r="BT2" s="242"/>
      <c r="BU2" s="242"/>
      <c r="BV2" s="242"/>
      <c r="BW2" s="242"/>
      <c r="BX2" s="242"/>
      <c r="BY2" s="242"/>
      <c r="BZ2" s="242"/>
      <c r="CA2" s="242"/>
      <c r="CB2" s="242"/>
      <c r="CC2" s="242"/>
      <c r="CD2" s="242"/>
      <c r="CE2" s="242"/>
      <c r="CF2" s="242"/>
      <c r="CG2" s="242"/>
      <c r="CH2" s="242"/>
      <c r="CI2" s="242"/>
      <c r="CJ2" s="242"/>
      <c r="CK2" s="242"/>
      <c r="CL2" s="242"/>
      <c r="CM2" s="242"/>
      <c r="CN2" s="242"/>
      <c r="CO2" s="242"/>
      <c r="CP2" s="242"/>
      <c r="CQ2" s="242"/>
      <c r="CR2" s="242"/>
      <c r="CS2" s="242"/>
      <c r="CT2" s="242"/>
      <c r="CU2" s="242"/>
      <c r="CV2" s="242"/>
      <c r="CW2" s="242"/>
      <c r="CX2" s="242"/>
      <c r="CY2" s="242"/>
      <c r="CZ2" s="242"/>
      <c r="DA2" s="242"/>
      <c r="DB2" s="242"/>
    </row>
    <row r="3" spans="1:106" s="241" customFormat="1" ht="10.5" customHeight="1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599"/>
      <c r="AI3" s="599"/>
      <c r="AJ3" s="599"/>
      <c r="AK3" s="599"/>
      <c r="AL3" s="599"/>
      <c r="AM3" s="599"/>
      <c r="AN3" s="599"/>
      <c r="AO3" s="599"/>
      <c r="AP3" s="599"/>
      <c r="AQ3" s="599"/>
      <c r="AR3" s="599"/>
      <c r="AS3" s="599"/>
      <c r="AT3" s="599"/>
      <c r="AU3" s="599"/>
      <c r="AV3" s="599"/>
      <c r="AW3" s="599"/>
      <c r="AX3" s="599"/>
      <c r="AY3" s="599"/>
      <c r="AZ3" s="599"/>
      <c r="BA3" s="599"/>
      <c r="BB3" s="599"/>
      <c r="BC3" s="599"/>
      <c r="BD3" s="599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</row>
    <row r="4" spans="1:106">
      <c r="A4" s="595"/>
      <c r="B4" s="598"/>
      <c r="C4" s="599"/>
      <c r="E4" s="274" t="s">
        <v>1362</v>
      </c>
      <c r="F4" s="275"/>
      <c r="G4" s="275"/>
      <c r="H4" s="275"/>
      <c r="I4" s="276"/>
      <c r="J4" s="276"/>
      <c r="K4" s="276"/>
      <c r="L4" s="276"/>
      <c r="M4" s="276"/>
      <c r="N4" s="276"/>
      <c r="O4" s="276"/>
      <c r="P4" s="260"/>
      <c r="Q4" s="260"/>
      <c r="R4" s="260"/>
      <c r="S4" s="260"/>
      <c r="T4" s="260"/>
      <c r="U4" s="260"/>
      <c r="V4" s="260"/>
      <c r="W4" s="260"/>
      <c r="X4" s="260"/>
      <c r="Y4" s="260"/>
      <c r="Z4" s="260"/>
      <c r="AA4" s="260"/>
      <c r="AB4" s="260"/>
      <c r="AC4" s="260"/>
      <c r="AD4" s="260"/>
      <c r="AE4" s="260"/>
      <c r="AF4" s="260"/>
      <c r="AG4" s="260"/>
      <c r="AH4" s="260"/>
      <c r="AI4" s="260"/>
      <c r="AJ4" s="260"/>
      <c r="AK4" s="260"/>
      <c r="AL4" s="260"/>
      <c r="AM4" s="275"/>
      <c r="AN4" s="275"/>
      <c r="AO4" s="275"/>
      <c r="AP4" s="275"/>
      <c r="AQ4" s="275"/>
      <c r="AR4" s="275"/>
      <c r="AS4" s="275"/>
      <c r="AT4" s="275"/>
      <c r="AU4" s="275"/>
      <c r="AV4" s="275"/>
      <c r="AW4" s="275"/>
      <c r="AX4" s="275"/>
      <c r="AY4" s="275"/>
      <c r="AZ4" s="275"/>
      <c r="BA4" s="275"/>
      <c r="BB4" s="275"/>
      <c r="BC4" s="275"/>
      <c r="BD4" s="275"/>
      <c r="BE4" s="275"/>
      <c r="BF4" s="275"/>
      <c r="BG4" s="275"/>
      <c r="BH4" s="275"/>
      <c r="BI4" s="275"/>
    </row>
    <row r="5" spans="1:106">
      <c r="A5" s="595"/>
      <c r="B5" s="598"/>
      <c r="C5" s="599"/>
      <c r="E5" s="260"/>
      <c r="F5" s="275"/>
      <c r="G5" s="275"/>
      <c r="H5" s="275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77"/>
      <c r="AC5" s="277"/>
      <c r="AD5" s="277"/>
      <c r="AE5" s="277"/>
      <c r="AF5" s="277"/>
      <c r="AG5" s="277"/>
      <c r="AH5" s="277"/>
      <c r="AI5" s="277"/>
      <c r="AJ5" s="277"/>
      <c r="AK5" s="277"/>
      <c r="AL5" s="277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</row>
    <row r="6" spans="1:106" s="7" customFormat="1">
      <c r="A6" s="595"/>
      <c r="B6" s="598"/>
      <c r="C6" s="599"/>
      <c r="E6" s="1938" t="s">
        <v>472</v>
      </c>
      <c r="F6" s="1938" t="s">
        <v>741</v>
      </c>
      <c r="G6" s="1238" t="s">
        <v>1363</v>
      </c>
      <c r="H6" s="1238"/>
      <c r="I6" s="1239">
        <v>2018</v>
      </c>
      <c r="J6" s="1238">
        <v>2019</v>
      </c>
      <c r="K6" s="1239">
        <v>2020</v>
      </c>
      <c r="L6" s="1238">
        <v>2021</v>
      </c>
      <c r="M6" s="1239">
        <v>2022</v>
      </c>
      <c r="N6" s="1238">
        <v>2023</v>
      </c>
      <c r="O6" s="1239">
        <v>2024</v>
      </c>
      <c r="P6" s="1238">
        <v>2025</v>
      </c>
      <c r="Q6" s="1239">
        <v>2026</v>
      </c>
      <c r="R6" s="1238">
        <v>2027</v>
      </c>
      <c r="S6" s="1239">
        <v>2028</v>
      </c>
      <c r="T6" s="1238">
        <v>2029</v>
      </c>
      <c r="U6" s="1239">
        <v>2030</v>
      </c>
      <c r="V6" s="1238">
        <v>2031</v>
      </c>
      <c r="W6" s="1239">
        <v>2032</v>
      </c>
      <c r="X6" s="1238">
        <v>2033</v>
      </c>
      <c r="Y6" s="1239">
        <v>2034</v>
      </c>
      <c r="Z6" s="1238">
        <v>2035</v>
      </c>
      <c r="AA6" s="1239">
        <v>2036</v>
      </c>
      <c r="AB6" s="1238">
        <v>2037</v>
      </c>
      <c r="AC6" s="1239">
        <v>2038</v>
      </c>
      <c r="AD6" s="1238">
        <v>2039</v>
      </c>
      <c r="AE6" s="1239">
        <v>2040</v>
      </c>
      <c r="AF6" s="1238">
        <v>2041</v>
      </c>
      <c r="AG6" s="1239">
        <v>2042</v>
      </c>
      <c r="AH6" s="1238">
        <v>2043</v>
      </c>
      <c r="AI6" s="1239">
        <v>2044</v>
      </c>
      <c r="AJ6" s="1238">
        <v>2045</v>
      </c>
      <c r="AK6" s="1239">
        <v>2046</v>
      </c>
      <c r="AL6" s="1238">
        <v>2047</v>
      </c>
      <c r="AM6" s="1238" t="s">
        <v>1364</v>
      </c>
      <c r="AN6" s="1238"/>
      <c r="AO6" s="1238" t="s">
        <v>1066</v>
      </c>
      <c r="AP6" s="1238"/>
      <c r="AQ6" s="1238" t="s">
        <v>1365</v>
      </c>
      <c r="AR6" s="1238"/>
      <c r="AS6" s="258"/>
      <c r="AT6" s="258"/>
      <c r="AU6" s="258"/>
      <c r="AV6" s="258"/>
      <c r="AW6" s="258"/>
      <c r="AX6" s="258"/>
      <c r="AY6" s="258"/>
      <c r="AZ6" s="258"/>
      <c r="BA6" s="258"/>
      <c r="BB6" s="258"/>
      <c r="BC6" s="258"/>
      <c r="BD6" s="258"/>
      <c r="BE6" s="258"/>
      <c r="BF6" s="258"/>
      <c r="BG6" s="258"/>
      <c r="BH6" s="258"/>
      <c r="BI6" s="258"/>
      <c r="BJ6" s="258"/>
    </row>
    <row r="7" spans="1:106" s="7" customFormat="1">
      <c r="A7" s="595"/>
      <c r="B7" s="598"/>
      <c r="C7" s="599"/>
      <c r="E7" s="1939"/>
      <c r="F7" s="1939"/>
      <c r="G7" s="1240" t="s">
        <v>1366</v>
      </c>
      <c r="H7" s="1240" t="s">
        <v>1367</v>
      </c>
      <c r="I7" s="1112">
        <v>1</v>
      </c>
      <c r="J7" s="1112">
        <v>2</v>
      </c>
      <c r="K7" s="1112">
        <v>3</v>
      </c>
      <c r="L7" s="1112">
        <v>4</v>
      </c>
      <c r="M7" s="1112">
        <v>5</v>
      </c>
      <c r="N7" s="1112">
        <v>6</v>
      </c>
      <c r="O7" s="1112">
        <v>7</v>
      </c>
      <c r="P7" s="1112">
        <v>8</v>
      </c>
      <c r="Q7" s="1112">
        <v>9</v>
      </c>
      <c r="R7" s="1112">
        <v>10</v>
      </c>
      <c r="S7" s="1112">
        <v>11</v>
      </c>
      <c r="T7" s="1112">
        <v>12</v>
      </c>
      <c r="U7" s="1112">
        <v>13</v>
      </c>
      <c r="V7" s="1112">
        <v>14</v>
      </c>
      <c r="W7" s="1112">
        <v>15</v>
      </c>
      <c r="X7" s="1112">
        <v>16</v>
      </c>
      <c r="Y7" s="1112">
        <v>17</v>
      </c>
      <c r="Z7" s="1112">
        <v>18</v>
      </c>
      <c r="AA7" s="1112">
        <v>19</v>
      </c>
      <c r="AB7" s="1112">
        <v>20</v>
      </c>
      <c r="AC7" s="1112">
        <v>21</v>
      </c>
      <c r="AD7" s="1112">
        <v>22</v>
      </c>
      <c r="AE7" s="1112">
        <v>23</v>
      </c>
      <c r="AF7" s="1112">
        <v>24</v>
      </c>
      <c r="AG7" s="1112">
        <v>25</v>
      </c>
      <c r="AH7" s="1112">
        <v>26</v>
      </c>
      <c r="AI7" s="1112">
        <v>27</v>
      </c>
      <c r="AJ7" s="1112">
        <v>28</v>
      </c>
      <c r="AK7" s="1112">
        <v>29</v>
      </c>
      <c r="AL7" s="1112">
        <v>30</v>
      </c>
      <c r="AM7" s="1240" t="s">
        <v>1366</v>
      </c>
      <c r="AN7" s="1240" t="s">
        <v>1367</v>
      </c>
      <c r="AO7" s="1240" t="s">
        <v>1366</v>
      </c>
      <c r="AP7" s="1240" t="s">
        <v>1367</v>
      </c>
      <c r="AQ7" s="1240" t="s">
        <v>701</v>
      </c>
      <c r="AR7" s="1240" t="s">
        <v>1367</v>
      </c>
      <c r="AS7" s="258"/>
      <c r="AT7" s="258"/>
      <c r="AU7" s="258"/>
      <c r="AV7" s="258"/>
      <c r="AW7" s="258"/>
      <c r="AX7" s="258"/>
      <c r="AY7" s="258"/>
      <c r="AZ7" s="258"/>
      <c r="BA7" s="258"/>
      <c r="BB7" s="258"/>
      <c r="BC7" s="258"/>
      <c r="BD7" s="258"/>
      <c r="BE7" s="258"/>
      <c r="BF7" s="258"/>
      <c r="BG7" s="258"/>
      <c r="BH7" s="258"/>
      <c r="BI7" s="258"/>
      <c r="BJ7" s="258"/>
    </row>
    <row r="8" spans="1:106" s="7" customFormat="1">
      <c r="A8" s="595"/>
      <c r="B8" s="598"/>
      <c r="C8" s="599"/>
      <c r="D8" s="8" t="s">
        <v>1368</v>
      </c>
      <c r="E8" s="1241" t="s">
        <v>43</v>
      </c>
      <c r="F8" s="1242" t="s">
        <v>168</v>
      </c>
      <c r="G8" s="1242"/>
      <c r="H8" s="1242"/>
      <c r="I8" s="1241">
        <f t="shared" ref="I8:AL8" si="0">SUBTOTAL(9,I9:I123)</f>
        <v>71</v>
      </c>
      <c r="J8" s="1241">
        <f t="shared" si="0"/>
        <v>72</v>
      </c>
      <c r="K8" s="1241">
        <f t="shared" si="0"/>
        <v>72</v>
      </c>
      <c r="L8" s="1241">
        <f t="shared" si="0"/>
        <v>72</v>
      </c>
      <c r="M8" s="1241">
        <f t="shared" si="0"/>
        <v>72</v>
      </c>
      <c r="N8" s="1241">
        <f t="shared" si="0"/>
        <v>72</v>
      </c>
      <c r="O8" s="1241">
        <f t="shared" si="0"/>
        <v>72</v>
      </c>
      <c r="P8" s="1241">
        <f t="shared" si="0"/>
        <v>72</v>
      </c>
      <c r="Q8" s="1241">
        <f t="shared" si="0"/>
        <v>72</v>
      </c>
      <c r="R8" s="1241">
        <f t="shared" si="0"/>
        <v>72</v>
      </c>
      <c r="S8" s="1241">
        <f t="shared" si="0"/>
        <v>72</v>
      </c>
      <c r="T8" s="1241">
        <f t="shared" si="0"/>
        <v>72</v>
      </c>
      <c r="U8" s="1241">
        <f t="shared" si="0"/>
        <v>72</v>
      </c>
      <c r="V8" s="1241">
        <f t="shared" si="0"/>
        <v>72</v>
      </c>
      <c r="W8" s="1241">
        <f t="shared" si="0"/>
        <v>72</v>
      </c>
      <c r="X8" s="1241">
        <f t="shared" si="0"/>
        <v>72</v>
      </c>
      <c r="Y8" s="1241">
        <f t="shared" si="0"/>
        <v>72</v>
      </c>
      <c r="Z8" s="1241">
        <f t="shared" si="0"/>
        <v>72</v>
      </c>
      <c r="AA8" s="1241">
        <f t="shared" si="0"/>
        <v>72</v>
      </c>
      <c r="AB8" s="1241">
        <f t="shared" si="0"/>
        <v>72</v>
      </c>
      <c r="AC8" s="1241">
        <f t="shared" si="0"/>
        <v>72</v>
      </c>
      <c r="AD8" s="1241">
        <f t="shared" si="0"/>
        <v>72</v>
      </c>
      <c r="AE8" s="1241">
        <f t="shared" si="0"/>
        <v>72</v>
      </c>
      <c r="AF8" s="1241">
        <f t="shared" si="0"/>
        <v>72</v>
      </c>
      <c r="AG8" s="1241">
        <f t="shared" si="0"/>
        <v>72</v>
      </c>
      <c r="AH8" s="1241">
        <f t="shared" si="0"/>
        <v>72</v>
      </c>
      <c r="AI8" s="1241">
        <f t="shared" si="0"/>
        <v>72</v>
      </c>
      <c r="AJ8" s="1241">
        <f t="shared" si="0"/>
        <v>72</v>
      </c>
      <c r="AK8" s="1241">
        <f t="shared" si="0"/>
        <v>72</v>
      </c>
      <c r="AL8" s="1241">
        <f t="shared" si="0"/>
        <v>72</v>
      </c>
      <c r="AM8" s="1242"/>
      <c r="AN8" s="1242"/>
      <c r="AO8" s="1242"/>
      <c r="AP8" s="1242"/>
      <c r="AQ8" s="1242"/>
      <c r="AR8" s="1242"/>
      <c r="AS8" s="258"/>
      <c r="AT8" s="258"/>
      <c r="AU8" s="258"/>
      <c r="AV8" s="258"/>
      <c r="AW8" s="258"/>
      <c r="AX8" s="258"/>
      <c r="AY8" s="258"/>
      <c r="AZ8" s="258"/>
      <c r="BA8" s="258"/>
      <c r="BB8" s="258"/>
      <c r="BC8" s="258"/>
      <c r="BD8" s="258"/>
      <c r="BE8" s="258"/>
      <c r="BF8" s="258"/>
      <c r="BG8" s="258"/>
      <c r="BH8" s="258"/>
      <c r="BI8" s="258"/>
      <c r="BJ8" s="258"/>
    </row>
    <row r="9" spans="1:106" s="7" customFormat="1">
      <c r="A9" s="595"/>
      <c r="B9" s="598"/>
      <c r="C9" s="599"/>
      <c r="D9" s="8"/>
      <c r="E9" s="1241"/>
      <c r="F9" s="1243" t="s">
        <v>749</v>
      </c>
      <c r="G9" s="1242"/>
      <c r="H9" s="1244"/>
      <c r="I9" s="1245">
        <f t="shared" ref="I9:AF9" si="1">SUBTOTAL(9,I10:I11)</f>
        <v>5</v>
      </c>
      <c r="J9" s="1245">
        <f t="shared" si="1"/>
        <v>5</v>
      </c>
      <c r="K9" s="1245">
        <f t="shared" si="1"/>
        <v>5</v>
      </c>
      <c r="L9" s="1245">
        <f t="shared" si="1"/>
        <v>5</v>
      </c>
      <c r="M9" s="1245">
        <f t="shared" si="1"/>
        <v>5</v>
      </c>
      <c r="N9" s="1245">
        <f t="shared" si="1"/>
        <v>5</v>
      </c>
      <c r="O9" s="1245">
        <f t="shared" si="1"/>
        <v>5</v>
      </c>
      <c r="P9" s="1245">
        <f t="shared" si="1"/>
        <v>5</v>
      </c>
      <c r="Q9" s="1245">
        <f t="shared" si="1"/>
        <v>5</v>
      </c>
      <c r="R9" s="1245">
        <f t="shared" si="1"/>
        <v>5</v>
      </c>
      <c r="S9" s="1245">
        <f t="shared" si="1"/>
        <v>5</v>
      </c>
      <c r="T9" s="1245">
        <f t="shared" si="1"/>
        <v>5</v>
      </c>
      <c r="U9" s="1245">
        <f t="shared" si="1"/>
        <v>5</v>
      </c>
      <c r="V9" s="1245">
        <f t="shared" si="1"/>
        <v>5</v>
      </c>
      <c r="W9" s="1245">
        <f t="shared" si="1"/>
        <v>5</v>
      </c>
      <c r="X9" s="1245">
        <f t="shared" si="1"/>
        <v>5</v>
      </c>
      <c r="Y9" s="1245">
        <f t="shared" si="1"/>
        <v>5</v>
      </c>
      <c r="Z9" s="1245">
        <f t="shared" si="1"/>
        <v>5</v>
      </c>
      <c r="AA9" s="1245">
        <f t="shared" si="1"/>
        <v>5</v>
      </c>
      <c r="AB9" s="1245">
        <f t="shared" si="1"/>
        <v>5</v>
      </c>
      <c r="AC9" s="1245">
        <f t="shared" si="1"/>
        <v>5</v>
      </c>
      <c r="AD9" s="1245">
        <f t="shared" si="1"/>
        <v>5</v>
      </c>
      <c r="AE9" s="1245">
        <f t="shared" si="1"/>
        <v>5</v>
      </c>
      <c r="AF9" s="1245">
        <f t="shared" si="1"/>
        <v>5</v>
      </c>
      <c r="AG9" s="1245">
        <f t="shared" ref="AG9:AL9" si="2">SUBTOTAL(9,AG10:AG11)</f>
        <v>5</v>
      </c>
      <c r="AH9" s="1245">
        <f t="shared" si="2"/>
        <v>5</v>
      </c>
      <c r="AI9" s="1245">
        <f t="shared" si="2"/>
        <v>5</v>
      </c>
      <c r="AJ9" s="1245">
        <f t="shared" si="2"/>
        <v>5</v>
      </c>
      <c r="AK9" s="1245">
        <f t="shared" si="2"/>
        <v>5</v>
      </c>
      <c r="AL9" s="1245">
        <f t="shared" si="2"/>
        <v>5</v>
      </c>
      <c r="AM9" s="1242"/>
      <c r="AN9" s="1244"/>
      <c r="AO9" s="1242"/>
      <c r="AP9" s="1244"/>
      <c r="AQ9" s="1242"/>
      <c r="AR9" s="1244"/>
      <c r="AS9" s="258"/>
      <c r="AT9" s="258"/>
      <c r="AU9" s="258"/>
      <c r="AV9" s="258"/>
      <c r="AW9" s="258"/>
      <c r="AX9" s="258"/>
      <c r="AY9" s="258"/>
      <c r="AZ9" s="258"/>
      <c r="BA9" s="258"/>
      <c r="BB9" s="258"/>
      <c r="BC9" s="258"/>
      <c r="BD9" s="258"/>
      <c r="BE9" s="258"/>
      <c r="BF9" s="258"/>
      <c r="BG9" s="258"/>
      <c r="BH9" s="258"/>
      <c r="BI9" s="258"/>
      <c r="BJ9" s="258"/>
    </row>
    <row r="10" spans="1:106" s="10" customFormat="1">
      <c r="A10" s="595"/>
      <c r="B10" s="598"/>
      <c r="C10" s="599"/>
      <c r="D10" s="9"/>
      <c r="E10" s="1246" t="str">
        <f>'Despesas com Pessoal'!F10</f>
        <v>P058</v>
      </c>
      <c r="F10" s="1247" t="str">
        <f>'Despesas com Pessoal'!G10</f>
        <v>Conselheiro - Conselho Administrativo</v>
      </c>
      <c r="G10" s="1248"/>
      <c r="H10" s="1249"/>
      <c r="I10" s="1250">
        <v>1</v>
      </c>
      <c r="J10" s="1250">
        <f>I10</f>
        <v>1</v>
      </c>
      <c r="K10" s="1250">
        <f t="shared" ref="K10:AF11" si="3">J10</f>
        <v>1</v>
      </c>
      <c r="L10" s="1250">
        <f t="shared" si="3"/>
        <v>1</v>
      </c>
      <c r="M10" s="1250">
        <f t="shared" si="3"/>
        <v>1</v>
      </c>
      <c r="N10" s="1250">
        <f t="shared" si="3"/>
        <v>1</v>
      </c>
      <c r="O10" s="1250">
        <f t="shared" si="3"/>
        <v>1</v>
      </c>
      <c r="P10" s="1250">
        <f t="shared" si="3"/>
        <v>1</v>
      </c>
      <c r="Q10" s="1250">
        <f t="shared" si="3"/>
        <v>1</v>
      </c>
      <c r="R10" s="1250">
        <f t="shared" si="3"/>
        <v>1</v>
      </c>
      <c r="S10" s="1250">
        <f t="shared" si="3"/>
        <v>1</v>
      </c>
      <c r="T10" s="1250">
        <f t="shared" si="3"/>
        <v>1</v>
      </c>
      <c r="U10" s="1250">
        <f t="shared" si="3"/>
        <v>1</v>
      </c>
      <c r="V10" s="1250">
        <f t="shared" si="3"/>
        <v>1</v>
      </c>
      <c r="W10" s="1250">
        <f t="shared" si="3"/>
        <v>1</v>
      </c>
      <c r="X10" s="1250">
        <f t="shared" si="3"/>
        <v>1</v>
      </c>
      <c r="Y10" s="1250">
        <f t="shared" si="3"/>
        <v>1</v>
      </c>
      <c r="Z10" s="1250">
        <f t="shared" si="3"/>
        <v>1</v>
      </c>
      <c r="AA10" s="1250">
        <f t="shared" si="3"/>
        <v>1</v>
      </c>
      <c r="AB10" s="1250">
        <f t="shared" si="3"/>
        <v>1</v>
      </c>
      <c r="AC10" s="1250">
        <f t="shared" si="3"/>
        <v>1</v>
      </c>
      <c r="AD10" s="1250">
        <f t="shared" si="3"/>
        <v>1</v>
      </c>
      <c r="AE10" s="1250">
        <f t="shared" si="3"/>
        <v>1</v>
      </c>
      <c r="AF10" s="1250">
        <f t="shared" si="3"/>
        <v>1</v>
      </c>
      <c r="AG10" s="1250">
        <f t="shared" ref="AG10:AG11" si="4">AF10</f>
        <v>1</v>
      </c>
      <c r="AH10" s="1250">
        <f t="shared" ref="AH10:AH11" si="5">AG10</f>
        <v>1</v>
      </c>
      <c r="AI10" s="1250">
        <f t="shared" ref="AI10:AI11" si="6">AH10</f>
        <v>1</v>
      </c>
      <c r="AJ10" s="1250">
        <f t="shared" ref="AJ10:AJ11" si="7">AI10</f>
        <v>1</v>
      </c>
      <c r="AK10" s="1250">
        <f t="shared" ref="AK10:AK11" si="8">AJ10</f>
        <v>1</v>
      </c>
      <c r="AL10" s="1250">
        <f t="shared" ref="AL10:AL11" si="9">AK10</f>
        <v>1</v>
      </c>
      <c r="AM10" s="1251" t="s">
        <v>1369</v>
      </c>
      <c r="AN10" s="1252"/>
      <c r="AO10" s="1248" t="s">
        <v>1370</v>
      </c>
      <c r="AP10" s="1252">
        <v>1</v>
      </c>
      <c r="AQ10" s="1248" t="s">
        <v>1371</v>
      </c>
      <c r="AR10" s="1252">
        <f>MAX(I10:AL10)</f>
        <v>1</v>
      </c>
      <c r="AS10" s="275"/>
      <c r="AT10" s="278"/>
      <c r="AU10" s="278"/>
      <c r="AV10" s="278"/>
      <c r="AW10" s="278"/>
      <c r="AX10" s="278"/>
      <c r="AY10" s="278"/>
      <c r="AZ10" s="278"/>
      <c r="BA10" s="278"/>
      <c r="BB10" s="278"/>
      <c r="BC10" s="278"/>
      <c r="BD10" s="278"/>
      <c r="BE10" s="278"/>
      <c r="BF10" s="278"/>
      <c r="BG10" s="278"/>
      <c r="BH10" s="278"/>
      <c r="BI10" s="278"/>
      <c r="BJ10" s="278"/>
    </row>
    <row r="11" spans="1:106">
      <c r="A11" s="595"/>
      <c r="B11" s="598"/>
      <c r="C11" s="599"/>
      <c r="D11" s="11"/>
      <c r="E11" s="1246" t="str">
        <f>'Despesas com Pessoal'!F11</f>
        <v>P059</v>
      </c>
      <c r="F11" s="1247" t="str">
        <f>'Despesas com Pessoal'!G11</f>
        <v>Conselheiro - Conselho Fiscal</v>
      </c>
      <c r="G11" s="1253"/>
      <c r="H11" s="1249"/>
      <c r="I11" s="1250">
        <v>4</v>
      </c>
      <c r="J11" s="1250">
        <f>I11</f>
        <v>4</v>
      </c>
      <c r="K11" s="1250">
        <f t="shared" si="3"/>
        <v>4</v>
      </c>
      <c r="L11" s="1250">
        <f t="shared" si="3"/>
        <v>4</v>
      </c>
      <c r="M11" s="1250">
        <f t="shared" si="3"/>
        <v>4</v>
      </c>
      <c r="N11" s="1250">
        <f t="shared" si="3"/>
        <v>4</v>
      </c>
      <c r="O11" s="1250">
        <f t="shared" si="3"/>
        <v>4</v>
      </c>
      <c r="P11" s="1250">
        <f t="shared" si="3"/>
        <v>4</v>
      </c>
      <c r="Q11" s="1250">
        <f t="shared" si="3"/>
        <v>4</v>
      </c>
      <c r="R11" s="1250">
        <f t="shared" si="3"/>
        <v>4</v>
      </c>
      <c r="S11" s="1250">
        <f t="shared" si="3"/>
        <v>4</v>
      </c>
      <c r="T11" s="1250">
        <f t="shared" si="3"/>
        <v>4</v>
      </c>
      <c r="U11" s="1250">
        <f t="shared" si="3"/>
        <v>4</v>
      </c>
      <c r="V11" s="1250">
        <f t="shared" si="3"/>
        <v>4</v>
      </c>
      <c r="W11" s="1250">
        <f t="shared" si="3"/>
        <v>4</v>
      </c>
      <c r="X11" s="1250">
        <f t="shared" si="3"/>
        <v>4</v>
      </c>
      <c r="Y11" s="1250">
        <f t="shared" si="3"/>
        <v>4</v>
      </c>
      <c r="Z11" s="1250">
        <f t="shared" si="3"/>
        <v>4</v>
      </c>
      <c r="AA11" s="1250">
        <f t="shared" si="3"/>
        <v>4</v>
      </c>
      <c r="AB11" s="1250">
        <f t="shared" si="3"/>
        <v>4</v>
      </c>
      <c r="AC11" s="1250">
        <f t="shared" si="3"/>
        <v>4</v>
      </c>
      <c r="AD11" s="1250">
        <f t="shared" si="3"/>
        <v>4</v>
      </c>
      <c r="AE11" s="1250">
        <f t="shared" si="3"/>
        <v>4</v>
      </c>
      <c r="AF11" s="1250">
        <f t="shared" si="3"/>
        <v>4</v>
      </c>
      <c r="AG11" s="1250">
        <f t="shared" si="4"/>
        <v>4</v>
      </c>
      <c r="AH11" s="1250">
        <f t="shared" si="5"/>
        <v>4</v>
      </c>
      <c r="AI11" s="1250">
        <f t="shared" si="6"/>
        <v>4</v>
      </c>
      <c r="AJ11" s="1250">
        <f t="shared" si="7"/>
        <v>4</v>
      </c>
      <c r="AK11" s="1250">
        <f t="shared" si="8"/>
        <v>4</v>
      </c>
      <c r="AL11" s="1250">
        <f t="shared" si="9"/>
        <v>4</v>
      </c>
      <c r="AM11" s="1251" t="s">
        <v>1369</v>
      </c>
      <c r="AN11" s="1252"/>
      <c r="AO11" s="1248" t="s">
        <v>1370</v>
      </c>
      <c r="AP11" s="1252">
        <v>1</v>
      </c>
      <c r="AQ11" s="1248" t="s">
        <v>1371</v>
      </c>
      <c r="AR11" s="1252">
        <v>3</v>
      </c>
      <c r="AS11" s="275"/>
      <c r="AT11" s="275"/>
      <c r="AU11" s="275"/>
      <c r="AV11" s="275"/>
      <c r="AW11" s="275"/>
      <c r="AX11" s="275"/>
      <c r="AY11" s="275"/>
      <c r="AZ11" s="275"/>
      <c r="BA11" s="275"/>
      <c r="BB11" s="275"/>
      <c r="BC11" s="275"/>
      <c r="BD11" s="275"/>
      <c r="BE11" s="275"/>
      <c r="BF11" s="275"/>
      <c r="BG11" s="275"/>
      <c r="BH11" s="275"/>
      <c r="BI11" s="275"/>
      <c r="BJ11" s="275"/>
    </row>
    <row r="12" spans="1:106">
      <c r="A12" s="595"/>
      <c r="B12" s="598"/>
      <c r="C12" s="599"/>
      <c r="D12" s="11"/>
      <c r="E12" s="1246"/>
      <c r="F12" s="1243" t="s">
        <v>754</v>
      </c>
      <c r="G12" s="1242"/>
      <c r="H12" s="1254"/>
      <c r="I12" s="1245">
        <f t="shared" ref="I12:AF12" si="10">SUBTOTAL(9,I13:I15)</f>
        <v>3</v>
      </c>
      <c r="J12" s="1245">
        <f t="shared" si="10"/>
        <v>3</v>
      </c>
      <c r="K12" s="1245">
        <f t="shared" si="10"/>
        <v>3</v>
      </c>
      <c r="L12" s="1245">
        <f t="shared" si="10"/>
        <v>3</v>
      </c>
      <c r="M12" s="1245">
        <f t="shared" si="10"/>
        <v>3</v>
      </c>
      <c r="N12" s="1245">
        <f t="shared" si="10"/>
        <v>3</v>
      </c>
      <c r="O12" s="1245">
        <f t="shared" si="10"/>
        <v>3</v>
      </c>
      <c r="P12" s="1245">
        <f t="shared" si="10"/>
        <v>3</v>
      </c>
      <c r="Q12" s="1245">
        <f t="shared" si="10"/>
        <v>3</v>
      </c>
      <c r="R12" s="1245">
        <f t="shared" si="10"/>
        <v>3</v>
      </c>
      <c r="S12" s="1245">
        <f t="shared" si="10"/>
        <v>3</v>
      </c>
      <c r="T12" s="1245">
        <f t="shared" si="10"/>
        <v>3</v>
      </c>
      <c r="U12" s="1245">
        <f t="shared" si="10"/>
        <v>3</v>
      </c>
      <c r="V12" s="1245">
        <f t="shared" si="10"/>
        <v>3</v>
      </c>
      <c r="W12" s="1245">
        <f t="shared" si="10"/>
        <v>3</v>
      </c>
      <c r="X12" s="1245">
        <f t="shared" si="10"/>
        <v>3</v>
      </c>
      <c r="Y12" s="1245">
        <f t="shared" si="10"/>
        <v>3</v>
      </c>
      <c r="Z12" s="1245">
        <f t="shared" si="10"/>
        <v>3</v>
      </c>
      <c r="AA12" s="1245">
        <f t="shared" si="10"/>
        <v>3</v>
      </c>
      <c r="AB12" s="1245">
        <f t="shared" si="10"/>
        <v>3</v>
      </c>
      <c r="AC12" s="1245">
        <f t="shared" si="10"/>
        <v>3</v>
      </c>
      <c r="AD12" s="1245">
        <f t="shared" si="10"/>
        <v>3</v>
      </c>
      <c r="AE12" s="1245">
        <f t="shared" si="10"/>
        <v>3</v>
      </c>
      <c r="AF12" s="1245">
        <f t="shared" si="10"/>
        <v>3</v>
      </c>
      <c r="AG12" s="1245">
        <f t="shared" ref="AG12:AL12" si="11">SUBTOTAL(9,AG13:AG15)</f>
        <v>3</v>
      </c>
      <c r="AH12" s="1245">
        <f t="shared" si="11"/>
        <v>3</v>
      </c>
      <c r="AI12" s="1245">
        <f t="shared" si="11"/>
        <v>3</v>
      </c>
      <c r="AJ12" s="1245">
        <f t="shared" si="11"/>
        <v>3</v>
      </c>
      <c r="AK12" s="1245">
        <f t="shared" si="11"/>
        <v>3</v>
      </c>
      <c r="AL12" s="1245">
        <f t="shared" si="11"/>
        <v>3</v>
      </c>
      <c r="AM12" s="1242"/>
      <c r="AN12" s="1244"/>
      <c r="AO12" s="1242"/>
      <c r="AP12" s="1244"/>
      <c r="AQ12" s="1242"/>
      <c r="AR12" s="1244"/>
      <c r="AS12" s="275"/>
      <c r="AT12" s="275"/>
      <c r="AU12" s="275"/>
      <c r="AV12" s="275"/>
      <c r="AW12" s="275"/>
      <c r="AX12" s="275"/>
      <c r="AY12" s="275"/>
      <c r="AZ12" s="275"/>
      <c r="BA12" s="275"/>
      <c r="BB12" s="275"/>
      <c r="BC12" s="275"/>
      <c r="BD12" s="275"/>
      <c r="BE12" s="275"/>
      <c r="BF12" s="275"/>
      <c r="BG12" s="275"/>
      <c r="BH12" s="275"/>
      <c r="BI12" s="275"/>
      <c r="BJ12" s="275"/>
    </row>
    <row r="13" spans="1:106">
      <c r="A13" s="595"/>
      <c r="B13" s="598"/>
      <c r="C13" s="599"/>
      <c r="D13" s="11"/>
      <c r="E13" s="1246" t="str">
        <f>'Despesas com Pessoal'!F13</f>
        <v>P079</v>
      </c>
      <c r="F13" s="1247" t="str">
        <f>'Despesas com Pessoal'!G13</f>
        <v>Diretor Superintendente</v>
      </c>
      <c r="G13" s="1251" t="s">
        <v>1372</v>
      </c>
      <c r="H13" s="1249">
        <v>1</v>
      </c>
      <c r="I13" s="1250">
        <v>1</v>
      </c>
      <c r="J13" s="1250">
        <f>I13</f>
        <v>1</v>
      </c>
      <c r="K13" s="1250">
        <f t="shared" ref="K13:AF15" si="12">J13</f>
        <v>1</v>
      </c>
      <c r="L13" s="1250">
        <f t="shared" si="12"/>
        <v>1</v>
      </c>
      <c r="M13" s="1250">
        <f t="shared" si="12"/>
        <v>1</v>
      </c>
      <c r="N13" s="1250">
        <v>1</v>
      </c>
      <c r="O13" s="1250">
        <f t="shared" si="12"/>
        <v>1</v>
      </c>
      <c r="P13" s="1250">
        <f t="shared" si="12"/>
        <v>1</v>
      </c>
      <c r="Q13" s="1250">
        <f t="shared" si="12"/>
        <v>1</v>
      </c>
      <c r="R13" s="1250">
        <f t="shared" si="12"/>
        <v>1</v>
      </c>
      <c r="S13" s="1250">
        <f t="shared" si="12"/>
        <v>1</v>
      </c>
      <c r="T13" s="1250">
        <f t="shared" si="12"/>
        <v>1</v>
      </c>
      <c r="U13" s="1250">
        <f t="shared" si="12"/>
        <v>1</v>
      </c>
      <c r="V13" s="1250">
        <f t="shared" si="12"/>
        <v>1</v>
      </c>
      <c r="W13" s="1250">
        <f t="shared" si="12"/>
        <v>1</v>
      </c>
      <c r="X13" s="1250">
        <f t="shared" si="12"/>
        <v>1</v>
      </c>
      <c r="Y13" s="1250">
        <f t="shared" si="12"/>
        <v>1</v>
      </c>
      <c r="Z13" s="1250">
        <f t="shared" si="12"/>
        <v>1</v>
      </c>
      <c r="AA13" s="1250">
        <f t="shared" si="12"/>
        <v>1</v>
      </c>
      <c r="AB13" s="1250">
        <f t="shared" si="12"/>
        <v>1</v>
      </c>
      <c r="AC13" s="1250">
        <f t="shared" si="12"/>
        <v>1</v>
      </c>
      <c r="AD13" s="1250">
        <f t="shared" si="12"/>
        <v>1</v>
      </c>
      <c r="AE13" s="1250">
        <f t="shared" si="12"/>
        <v>1</v>
      </c>
      <c r="AF13" s="1250">
        <f t="shared" si="12"/>
        <v>1</v>
      </c>
      <c r="AG13" s="1250">
        <f t="shared" ref="AG13:AG15" si="13">AF13</f>
        <v>1</v>
      </c>
      <c r="AH13" s="1250">
        <f t="shared" ref="AH13:AH15" si="14">AG13</f>
        <v>1</v>
      </c>
      <c r="AI13" s="1250">
        <f t="shared" ref="AI13:AI15" si="15">AH13</f>
        <v>1</v>
      </c>
      <c r="AJ13" s="1250">
        <f t="shared" ref="AJ13:AJ15" si="16">AI13</f>
        <v>1</v>
      </c>
      <c r="AK13" s="1250">
        <f t="shared" ref="AK13:AK15" si="17">AJ13</f>
        <v>1</v>
      </c>
      <c r="AL13" s="1250">
        <f t="shared" ref="AL13:AL15" si="18">AK13</f>
        <v>1</v>
      </c>
      <c r="AM13" s="1251" t="s">
        <v>1373</v>
      </c>
      <c r="AN13" s="1252">
        <f>MAX(I13:AL13)</f>
        <v>1</v>
      </c>
      <c r="AO13" s="1248" t="s">
        <v>1370</v>
      </c>
      <c r="AP13" s="1252">
        <f>MAX(K13:AN13)</f>
        <v>1</v>
      </c>
      <c r="AQ13" s="1251" t="s">
        <v>1374</v>
      </c>
      <c r="AR13" s="1252">
        <f>MAX(I13:AL13)</f>
        <v>1</v>
      </c>
      <c r="AS13" s="275"/>
      <c r="AT13" s="275"/>
      <c r="AU13" s="275"/>
      <c r="AV13" s="275"/>
      <c r="AW13" s="275"/>
      <c r="AX13" s="275"/>
      <c r="AY13" s="275"/>
      <c r="AZ13" s="275"/>
      <c r="BA13" s="275"/>
      <c r="BB13" s="275"/>
      <c r="BC13" s="275"/>
      <c r="BD13" s="275"/>
      <c r="BE13" s="275"/>
      <c r="BF13" s="275"/>
      <c r="BG13" s="275"/>
      <c r="BH13" s="275"/>
      <c r="BI13" s="275"/>
      <c r="BJ13" s="275"/>
    </row>
    <row r="14" spans="1:106" s="10" customFormat="1">
      <c r="A14" s="595"/>
      <c r="B14" s="598"/>
      <c r="C14" s="599"/>
      <c r="D14" s="9"/>
      <c r="E14" s="1246" t="str">
        <f>'Despesas com Pessoal'!F14</f>
        <v>P136</v>
      </c>
      <c r="F14" s="1247" t="str">
        <f>'Despesas com Pessoal'!G14</f>
        <v>Secretária Executiva</v>
      </c>
      <c r="G14" s="1251"/>
      <c r="H14" s="1249"/>
      <c r="I14" s="1250">
        <v>1</v>
      </c>
      <c r="J14" s="1250">
        <f>I14</f>
        <v>1</v>
      </c>
      <c r="K14" s="1250">
        <f t="shared" si="12"/>
        <v>1</v>
      </c>
      <c r="L14" s="1250">
        <f t="shared" si="12"/>
        <v>1</v>
      </c>
      <c r="M14" s="1250">
        <f t="shared" si="12"/>
        <v>1</v>
      </c>
      <c r="N14" s="1250">
        <v>1</v>
      </c>
      <c r="O14" s="1250">
        <f t="shared" si="12"/>
        <v>1</v>
      </c>
      <c r="P14" s="1250">
        <f t="shared" si="12"/>
        <v>1</v>
      </c>
      <c r="Q14" s="1250">
        <f t="shared" si="12"/>
        <v>1</v>
      </c>
      <c r="R14" s="1250">
        <f t="shared" si="12"/>
        <v>1</v>
      </c>
      <c r="S14" s="1250">
        <f t="shared" si="12"/>
        <v>1</v>
      </c>
      <c r="T14" s="1250">
        <f t="shared" si="12"/>
        <v>1</v>
      </c>
      <c r="U14" s="1250">
        <f t="shared" si="12"/>
        <v>1</v>
      </c>
      <c r="V14" s="1250">
        <f t="shared" si="12"/>
        <v>1</v>
      </c>
      <c r="W14" s="1250">
        <f t="shared" si="12"/>
        <v>1</v>
      </c>
      <c r="X14" s="1250">
        <f t="shared" si="12"/>
        <v>1</v>
      </c>
      <c r="Y14" s="1250">
        <f t="shared" si="12"/>
        <v>1</v>
      </c>
      <c r="Z14" s="1250">
        <f t="shared" si="12"/>
        <v>1</v>
      </c>
      <c r="AA14" s="1250">
        <f t="shared" si="12"/>
        <v>1</v>
      </c>
      <c r="AB14" s="1250">
        <f t="shared" si="12"/>
        <v>1</v>
      </c>
      <c r="AC14" s="1250">
        <f t="shared" si="12"/>
        <v>1</v>
      </c>
      <c r="AD14" s="1250">
        <f t="shared" si="12"/>
        <v>1</v>
      </c>
      <c r="AE14" s="1250">
        <f t="shared" si="12"/>
        <v>1</v>
      </c>
      <c r="AF14" s="1250">
        <f t="shared" si="12"/>
        <v>1</v>
      </c>
      <c r="AG14" s="1250">
        <f t="shared" si="13"/>
        <v>1</v>
      </c>
      <c r="AH14" s="1250">
        <f t="shared" si="14"/>
        <v>1</v>
      </c>
      <c r="AI14" s="1250">
        <f t="shared" si="15"/>
        <v>1</v>
      </c>
      <c r="AJ14" s="1250">
        <f t="shared" si="16"/>
        <v>1</v>
      </c>
      <c r="AK14" s="1250">
        <f t="shared" si="17"/>
        <v>1</v>
      </c>
      <c r="AL14" s="1250">
        <f t="shared" si="18"/>
        <v>1</v>
      </c>
      <c r="AM14" s="1251" t="s">
        <v>1373</v>
      </c>
      <c r="AN14" s="1252">
        <f>MAX(I14:AL14)</f>
        <v>1</v>
      </c>
      <c r="AO14" s="1248" t="s">
        <v>1370</v>
      </c>
      <c r="AP14" s="1252">
        <f>MAX(K14:AN14)</f>
        <v>1</v>
      </c>
      <c r="AQ14" s="1251" t="s">
        <v>1374</v>
      </c>
      <c r="AR14" s="1252">
        <f>MAX(I14:AL14)</f>
        <v>1</v>
      </c>
      <c r="AS14" s="275"/>
      <c r="AT14" s="278"/>
      <c r="AU14" s="278"/>
      <c r="AV14" s="278"/>
      <c r="AW14" s="278"/>
      <c r="AX14" s="278"/>
      <c r="AY14" s="278"/>
      <c r="AZ14" s="278"/>
      <c r="BA14" s="278"/>
      <c r="BB14" s="278"/>
      <c r="BC14" s="278"/>
      <c r="BD14" s="278"/>
      <c r="BE14" s="278"/>
      <c r="BF14" s="278"/>
      <c r="BG14" s="278"/>
      <c r="BH14" s="278"/>
      <c r="BI14" s="278"/>
      <c r="BJ14" s="278"/>
    </row>
    <row r="15" spans="1:106">
      <c r="A15" s="595"/>
      <c r="B15" s="598"/>
      <c r="C15" s="599"/>
      <c r="D15" s="11"/>
      <c r="E15" s="1246" t="str">
        <f>'Despesas com Pessoal'!F15</f>
        <v>P114</v>
      </c>
      <c r="F15" s="1247" t="str">
        <f>'Despesas com Pessoal'!G15</f>
        <v>Motorista</v>
      </c>
      <c r="G15" s="1251"/>
      <c r="H15" s="1249"/>
      <c r="I15" s="1250">
        <v>1</v>
      </c>
      <c r="J15" s="1250">
        <f>I15</f>
        <v>1</v>
      </c>
      <c r="K15" s="1250">
        <f t="shared" si="12"/>
        <v>1</v>
      </c>
      <c r="L15" s="1250">
        <f t="shared" si="12"/>
        <v>1</v>
      </c>
      <c r="M15" s="1250">
        <f t="shared" si="12"/>
        <v>1</v>
      </c>
      <c r="N15" s="1250">
        <f t="shared" si="12"/>
        <v>1</v>
      </c>
      <c r="O15" s="1250">
        <f t="shared" si="12"/>
        <v>1</v>
      </c>
      <c r="P15" s="1250">
        <f t="shared" si="12"/>
        <v>1</v>
      </c>
      <c r="Q15" s="1250">
        <f t="shared" si="12"/>
        <v>1</v>
      </c>
      <c r="R15" s="1250">
        <f t="shared" si="12"/>
        <v>1</v>
      </c>
      <c r="S15" s="1250">
        <f t="shared" si="12"/>
        <v>1</v>
      </c>
      <c r="T15" s="1250">
        <f t="shared" si="12"/>
        <v>1</v>
      </c>
      <c r="U15" s="1250">
        <f t="shared" si="12"/>
        <v>1</v>
      </c>
      <c r="V15" s="1250">
        <f t="shared" si="12"/>
        <v>1</v>
      </c>
      <c r="W15" s="1250">
        <f t="shared" si="12"/>
        <v>1</v>
      </c>
      <c r="X15" s="1250">
        <f t="shared" si="12"/>
        <v>1</v>
      </c>
      <c r="Y15" s="1250">
        <f t="shared" si="12"/>
        <v>1</v>
      </c>
      <c r="Z15" s="1250">
        <f t="shared" si="12"/>
        <v>1</v>
      </c>
      <c r="AA15" s="1250">
        <f t="shared" si="12"/>
        <v>1</v>
      </c>
      <c r="AB15" s="1250">
        <f t="shared" si="12"/>
        <v>1</v>
      </c>
      <c r="AC15" s="1250">
        <f t="shared" si="12"/>
        <v>1</v>
      </c>
      <c r="AD15" s="1250">
        <f t="shared" si="12"/>
        <v>1</v>
      </c>
      <c r="AE15" s="1250">
        <f t="shared" si="12"/>
        <v>1</v>
      </c>
      <c r="AF15" s="1250">
        <f t="shared" si="12"/>
        <v>1</v>
      </c>
      <c r="AG15" s="1250">
        <f t="shared" si="13"/>
        <v>1</v>
      </c>
      <c r="AH15" s="1250">
        <f t="shared" si="14"/>
        <v>1</v>
      </c>
      <c r="AI15" s="1250">
        <f t="shared" si="15"/>
        <v>1</v>
      </c>
      <c r="AJ15" s="1250">
        <f t="shared" si="16"/>
        <v>1</v>
      </c>
      <c r="AK15" s="1250">
        <f t="shared" si="17"/>
        <v>1</v>
      </c>
      <c r="AL15" s="1250">
        <f t="shared" si="18"/>
        <v>1</v>
      </c>
      <c r="AM15" s="1251"/>
      <c r="AN15" s="1252"/>
      <c r="AO15" s="1251"/>
      <c r="AP15" s="1252"/>
      <c r="AQ15" s="1251"/>
      <c r="AR15" s="1252"/>
      <c r="AS15" s="275"/>
      <c r="AT15" s="275"/>
      <c r="AU15" s="275"/>
      <c r="AV15" s="275"/>
      <c r="AW15" s="275"/>
      <c r="AX15" s="275"/>
      <c r="AY15" s="275"/>
      <c r="AZ15" s="275"/>
      <c r="BA15" s="275"/>
      <c r="BB15" s="275"/>
      <c r="BC15" s="275"/>
      <c r="BD15" s="275"/>
      <c r="BE15" s="275"/>
      <c r="BF15" s="275"/>
      <c r="BG15" s="275"/>
      <c r="BH15" s="275"/>
      <c r="BI15" s="275"/>
      <c r="BJ15" s="275"/>
    </row>
    <row r="16" spans="1:106">
      <c r="A16" s="595"/>
      <c r="B16" s="598"/>
      <c r="C16" s="599"/>
      <c r="D16" s="11"/>
      <c r="E16" s="1246"/>
      <c r="F16" s="1243" t="s">
        <v>759</v>
      </c>
      <c r="G16" s="1255"/>
      <c r="H16" s="1254"/>
      <c r="I16" s="1245">
        <f>SUBTOTAL(9,I17:I37)</f>
        <v>13</v>
      </c>
      <c r="J16" s="1245">
        <f t="shared" ref="J16:AF16" si="19">SUBTOTAL(9,J17:J37)</f>
        <v>12</v>
      </c>
      <c r="K16" s="1245">
        <f t="shared" si="19"/>
        <v>12</v>
      </c>
      <c r="L16" s="1245">
        <f t="shared" si="19"/>
        <v>12</v>
      </c>
      <c r="M16" s="1245">
        <f t="shared" si="19"/>
        <v>12</v>
      </c>
      <c r="N16" s="1245">
        <f t="shared" si="19"/>
        <v>12</v>
      </c>
      <c r="O16" s="1245">
        <f t="shared" si="19"/>
        <v>12</v>
      </c>
      <c r="P16" s="1245">
        <f t="shared" si="19"/>
        <v>12</v>
      </c>
      <c r="Q16" s="1245">
        <f t="shared" si="19"/>
        <v>12</v>
      </c>
      <c r="R16" s="1245">
        <f t="shared" si="19"/>
        <v>12</v>
      </c>
      <c r="S16" s="1245">
        <f t="shared" si="19"/>
        <v>12</v>
      </c>
      <c r="T16" s="1245">
        <f t="shared" si="19"/>
        <v>12</v>
      </c>
      <c r="U16" s="1245">
        <f t="shared" si="19"/>
        <v>12</v>
      </c>
      <c r="V16" s="1245">
        <f t="shared" si="19"/>
        <v>12</v>
      </c>
      <c r="W16" s="1245">
        <f t="shared" si="19"/>
        <v>12</v>
      </c>
      <c r="X16" s="1245">
        <f t="shared" si="19"/>
        <v>12</v>
      </c>
      <c r="Y16" s="1245">
        <f t="shared" si="19"/>
        <v>12</v>
      </c>
      <c r="Z16" s="1245">
        <f t="shared" si="19"/>
        <v>12</v>
      </c>
      <c r="AA16" s="1245">
        <f t="shared" si="19"/>
        <v>12</v>
      </c>
      <c r="AB16" s="1245">
        <f t="shared" si="19"/>
        <v>12</v>
      </c>
      <c r="AC16" s="1245">
        <f t="shared" si="19"/>
        <v>12</v>
      </c>
      <c r="AD16" s="1245">
        <f t="shared" si="19"/>
        <v>12</v>
      </c>
      <c r="AE16" s="1245">
        <f t="shared" si="19"/>
        <v>12</v>
      </c>
      <c r="AF16" s="1245">
        <f t="shared" si="19"/>
        <v>12</v>
      </c>
      <c r="AG16" s="1245">
        <f t="shared" ref="AG16:AL16" si="20">SUBTOTAL(9,AG17:AG37)</f>
        <v>12</v>
      </c>
      <c r="AH16" s="1245">
        <f t="shared" si="20"/>
        <v>12</v>
      </c>
      <c r="AI16" s="1245">
        <f t="shared" si="20"/>
        <v>12</v>
      </c>
      <c r="AJ16" s="1245">
        <f t="shared" si="20"/>
        <v>12</v>
      </c>
      <c r="AK16" s="1245">
        <f t="shared" si="20"/>
        <v>12</v>
      </c>
      <c r="AL16" s="1245">
        <f t="shared" si="20"/>
        <v>12</v>
      </c>
      <c r="AM16" s="1255"/>
      <c r="AN16" s="1244"/>
      <c r="AO16" s="1255"/>
      <c r="AP16" s="1244"/>
      <c r="AQ16" s="1255"/>
      <c r="AR16" s="1244"/>
      <c r="AS16" s="275"/>
      <c r="AT16" s="275"/>
      <c r="AU16" s="275"/>
      <c r="AV16" s="275"/>
      <c r="AW16" s="275"/>
      <c r="AX16" s="275"/>
      <c r="AY16" s="275"/>
      <c r="AZ16" s="275"/>
      <c r="BA16" s="275"/>
      <c r="BB16" s="275"/>
      <c r="BC16" s="275"/>
      <c r="BD16" s="275"/>
      <c r="BE16" s="275"/>
      <c r="BF16" s="275"/>
      <c r="BG16" s="275"/>
      <c r="BH16" s="275"/>
      <c r="BI16" s="275"/>
      <c r="BJ16" s="275"/>
    </row>
    <row r="17" spans="1:62">
      <c r="A17" s="595"/>
      <c r="B17" s="598"/>
      <c r="C17" s="599"/>
      <c r="D17" s="11"/>
      <c r="E17" s="1246"/>
      <c r="F17" s="1256" t="s">
        <v>760</v>
      </c>
      <c r="G17" s="1255"/>
      <c r="H17" s="1249"/>
      <c r="I17" s="1245"/>
      <c r="J17" s="1245"/>
      <c r="K17" s="1245"/>
      <c r="L17" s="1245"/>
      <c r="M17" s="1245"/>
      <c r="N17" s="1245"/>
      <c r="O17" s="1245"/>
      <c r="P17" s="1245"/>
      <c r="Q17" s="1245"/>
      <c r="R17" s="1245"/>
      <c r="S17" s="1245"/>
      <c r="T17" s="1245"/>
      <c r="U17" s="1245"/>
      <c r="V17" s="1245"/>
      <c r="W17" s="1245"/>
      <c r="X17" s="1245"/>
      <c r="Y17" s="1245"/>
      <c r="Z17" s="1245"/>
      <c r="AA17" s="1245"/>
      <c r="AB17" s="1245"/>
      <c r="AC17" s="1245"/>
      <c r="AD17" s="1245"/>
      <c r="AE17" s="1257"/>
      <c r="AF17" s="1258"/>
      <c r="AG17" s="1258"/>
      <c r="AH17" s="1258"/>
      <c r="AI17" s="1258"/>
      <c r="AJ17" s="1258"/>
      <c r="AK17" s="1258"/>
      <c r="AL17" s="1258"/>
      <c r="AM17" s="1255"/>
      <c r="AN17" s="1244"/>
      <c r="AO17" s="1255"/>
      <c r="AP17" s="1244"/>
      <c r="AQ17" s="1255"/>
      <c r="AR17" s="1244"/>
      <c r="AS17" s="275"/>
      <c r="AT17" s="275"/>
      <c r="AU17" s="275"/>
      <c r="AV17" s="275"/>
      <c r="AW17" s="275"/>
      <c r="AX17" s="275"/>
      <c r="AY17" s="275"/>
      <c r="AZ17" s="275"/>
      <c r="BA17" s="275"/>
      <c r="BB17" s="275"/>
      <c r="BC17" s="275"/>
      <c r="BD17" s="275"/>
      <c r="BE17" s="275"/>
      <c r="BF17" s="275"/>
      <c r="BG17" s="275"/>
      <c r="BH17" s="275"/>
      <c r="BI17" s="275"/>
      <c r="BJ17" s="275"/>
    </row>
    <row r="18" spans="1:62">
      <c r="A18" s="595"/>
      <c r="B18" s="598"/>
      <c r="C18" s="599"/>
      <c r="D18" s="11"/>
      <c r="E18" s="1246" t="str">
        <f>'Despesas com Pessoal'!F18</f>
        <v>P163</v>
      </c>
      <c r="F18" s="1259" t="str">
        <f>'Despesas com Pessoal'!G18</f>
        <v>Assessor de Relações Externas</v>
      </c>
      <c r="G18" s="1251"/>
      <c r="H18" s="1249"/>
      <c r="I18" s="1250">
        <v>1</v>
      </c>
      <c r="J18" s="1250">
        <f>I18</f>
        <v>1</v>
      </c>
      <c r="K18" s="1250">
        <f t="shared" ref="K18:AF18" si="21">J18</f>
        <v>1</v>
      </c>
      <c r="L18" s="1250">
        <f t="shared" si="21"/>
        <v>1</v>
      </c>
      <c r="M18" s="1250">
        <f t="shared" si="21"/>
        <v>1</v>
      </c>
      <c r="N18" s="1250">
        <f t="shared" si="21"/>
        <v>1</v>
      </c>
      <c r="O18" s="1250">
        <f t="shared" si="21"/>
        <v>1</v>
      </c>
      <c r="P18" s="1250">
        <f t="shared" si="21"/>
        <v>1</v>
      </c>
      <c r="Q18" s="1250">
        <f t="shared" si="21"/>
        <v>1</v>
      </c>
      <c r="R18" s="1250">
        <f t="shared" si="21"/>
        <v>1</v>
      </c>
      <c r="S18" s="1250">
        <f t="shared" si="21"/>
        <v>1</v>
      </c>
      <c r="T18" s="1250">
        <f t="shared" si="21"/>
        <v>1</v>
      </c>
      <c r="U18" s="1250">
        <f t="shared" si="21"/>
        <v>1</v>
      </c>
      <c r="V18" s="1250">
        <f t="shared" si="21"/>
        <v>1</v>
      </c>
      <c r="W18" s="1250">
        <f t="shared" si="21"/>
        <v>1</v>
      </c>
      <c r="X18" s="1250">
        <f t="shared" si="21"/>
        <v>1</v>
      </c>
      <c r="Y18" s="1250">
        <f t="shared" si="21"/>
        <v>1</v>
      </c>
      <c r="Z18" s="1250">
        <f t="shared" si="21"/>
        <v>1</v>
      </c>
      <c r="AA18" s="1250">
        <f t="shared" si="21"/>
        <v>1</v>
      </c>
      <c r="AB18" s="1250">
        <f t="shared" si="21"/>
        <v>1</v>
      </c>
      <c r="AC18" s="1250">
        <f t="shared" si="21"/>
        <v>1</v>
      </c>
      <c r="AD18" s="1250">
        <f t="shared" si="21"/>
        <v>1</v>
      </c>
      <c r="AE18" s="1250">
        <f t="shared" si="21"/>
        <v>1</v>
      </c>
      <c r="AF18" s="1250">
        <f t="shared" si="21"/>
        <v>1</v>
      </c>
      <c r="AG18" s="1250">
        <f t="shared" ref="AG18" si="22">AF18</f>
        <v>1</v>
      </c>
      <c r="AH18" s="1250">
        <f t="shared" ref="AH18" si="23">AG18</f>
        <v>1</v>
      </c>
      <c r="AI18" s="1250">
        <f t="shared" ref="AI18" si="24">AH18</f>
        <v>1</v>
      </c>
      <c r="AJ18" s="1250">
        <f t="shared" ref="AJ18" si="25">AI18</f>
        <v>1</v>
      </c>
      <c r="AK18" s="1250">
        <f t="shared" ref="AK18" si="26">AJ18</f>
        <v>1</v>
      </c>
      <c r="AL18" s="1250">
        <f t="shared" ref="AL18" si="27">AK18</f>
        <v>1</v>
      </c>
      <c r="AM18" s="1251" t="s">
        <v>1373</v>
      </c>
      <c r="AN18" s="1252">
        <f>MAX(I18:AL18)</f>
        <v>1</v>
      </c>
      <c r="AO18" s="1248" t="s">
        <v>1370</v>
      </c>
      <c r="AP18" s="1252">
        <f>MAX(K18:AN18)</f>
        <v>1</v>
      </c>
      <c r="AQ18" s="1251" t="s">
        <v>1374</v>
      </c>
      <c r="AR18" s="1252">
        <f>MAX(I18:AL18)</f>
        <v>1</v>
      </c>
      <c r="AS18" s="275"/>
      <c r="AT18" s="275"/>
      <c r="AU18" s="275"/>
      <c r="AV18" s="275"/>
      <c r="AW18" s="275"/>
      <c r="AX18" s="275"/>
      <c r="AY18" s="275"/>
      <c r="AZ18" s="275"/>
      <c r="BA18" s="275"/>
      <c r="BB18" s="275"/>
      <c r="BC18" s="275"/>
      <c r="BD18" s="275"/>
      <c r="BE18" s="275"/>
      <c r="BF18" s="275"/>
      <c r="BG18" s="275"/>
      <c r="BH18" s="275"/>
      <c r="BI18" s="275"/>
      <c r="BJ18" s="275"/>
    </row>
    <row r="19" spans="1:62" s="10" customFormat="1">
      <c r="A19" s="595"/>
      <c r="B19" s="598"/>
      <c r="C19" s="599"/>
      <c r="D19" s="9"/>
      <c r="E19" s="1246" t="str">
        <f>'Despesas com Pessoal'!F19</f>
        <v>P128</v>
      </c>
      <c r="F19" s="1259" t="str">
        <f>'Despesas com Pessoal'!G19</f>
        <v>Ouvidor</v>
      </c>
      <c r="G19" s="1251"/>
      <c r="H19" s="1249"/>
      <c r="I19" s="1250">
        <v>1</v>
      </c>
      <c r="J19" s="1250">
        <v>1</v>
      </c>
      <c r="K19" s="1250">
        <v>1</v>
      </c>
      <c r="L19" s="1250">
        <v>1</v>
      </c>
      <c r="M19" s="1250">
        <v>1</v>
      </c>
      <c r="N19" s="1250">
        <v>1</v>
      </c>
      <c r="O19" s="1250">
        <v>1</v>
      </c>
      <c r="P19" s="1250">
        <v>1</v>
      </c>
      <c r="Q19" s="1250">
        <v>1</v>
      </c>
      <c r="R19" s="1250">
        <v>1</v>
      </c>
      <c r="S19" s="1250">
        <v>1</v>
      </c>
      <c r="T19" s="1250">
        <v>1</v>
      </c>
      <c r="U19" s="1250">
        <v>1</v>
      </c>
      <c r="V19" s="1250">
        <v>1</v>
      </c>
      <c r="W19" s="1250">
        <v>1</v>
      </c>
      <c r="X19" s="1250">
        <v>1</v>
      </c>
      <c r="Y19" s="1250">
        <v>1</v>
      </c>
      <c r="Z19" s="1250">
        <v>1</v>
      </c>
      <c r="AA19" s="1250">
        <v>1</v>
      </c>
      <c r="AB19" s="1250">
        <v>1</v>
      </c>
      <c r="AC19" s="1250">
        <v>1</v>
      </c>
      <c r="AD19" s="1250">
        <v>1</v>
      </c>
      <c r="AE19" s="1250">
        <v>1</v>
      </c>
      <c r="AF19" s="1250">
        <v>1</v>
      </c>
      <c r="AG19" s="1250">
        <v>1</v>
      </c>
      <c r="AH19" s="1250">
        <v>1</v>
      </c>
      <c r="AI19" s="1250">
        <v>1</v>
      </c>
      <c r="AJ19" s="1250">
        <v>1</v>
      </c>
      <c r="AK19" s="1250">
        <v>1</v>
      </c>
      <c r="AL19" s="1250">
        <v>1</v>
      </c>
      <c r="AM19" s="1251" t="s">
        <v>1369</v>
      </c>
      <c r="AN19" s="1252">
        <f>MAX(I19:AL19)</f>
        <v>1</v>
      </c>
      <c r="AO19" s="1248" t="s">
        <v>1375</v>
      </c>
      <c r="AP19" s="1252">
        <f>MAX(K19:AN19)</f>
        <v>1</v>
      </c>
      <c r="AQ19" s="1251" t="s">
        <v>1374</v>
      </c>
      <c r="AR19" s="1252">
        <f>MAX(I19:AL19)</f>
        <v>1</v>
      </c>
      <c r="AS19" s="275"/>
      <c r="AT19" s="278"/>
      <c r="AU19" s="278"/>
      <c r="AV19" s="278"/>
      <c r="AW19" s="278"/>
      <c r="AX19" s="278"/>
      <c r="AY19" s="278"/>
      <c r="AZ19" s="278"/>
      <c r="BA19" s="278"/>
      <c r="BB19" s="278"/>
      <c r="BC19" s="278"/>
      <c r="BD19" s="278"/>
      <c r="BE19" s="278"/>
      <c r="BF19" s="278"/>
      <c r="BG19" s="278"/>
      <c r="BH19" s="278"/>
      <c r="BI19" s="278"/>
      <c r="BJ19" s="278"/>
    </row>
    <row r="20" spans="1:62" s="10" customFormat="1">
      <c r="A20" s="595"/>
      <c r="B20" s="598"/>
      <c r="C20" s="599"/>
      <c r="D20" s="9"/>
      <c r="E20" s="1246"/>
      <c r="F20" s="1256" t="s">
        <v>763</v>
      </c>
      <c r="G20" s="1251"/>
      <c r="H20" s="1249"/>
      <c r="I20" s="1250"/>
      <c r="J20" s="1250"/>
      <c r="K20" s="1250"/>
      <c r="L20" s="1250"/>
      <c r="M20" s="1250"/>
      <c r="N20" s="1250"/>
      <c r="O20" s="1250"/>
      <c r="P20" s="1250"/>
      <c r="Q20" s="1250"/>
      <c r="R20" s="1250"/>
      <c r="S20" s="1250"/>
      <c r="T20" s="1250"/>
      <c r="U20" s="1250"/>
      <c r="V20" s="1250"/>
      <c r="W20" s="1250"/>
      <c r="X20" s="1250"/>
      <c r="Y20" s="1250"/>
      <c r="Z20" s="1250"/>
      <c r="AA20" s="1250"/>
      <c r="AB20" s="1250"/>
      <c r="AC20" s="1250"/>
      <c r="AD20" s="1250"/>
      <c r="AE20" s="1250"/>
      <c r="AF20" s="1250"/>
      <c r="AG20" s="1250"/>
      <c r="AH20" s="1250"/>
      <c r="AI20" s="1250"/>
      <c r="AJ20" s="1250"/>
      <c r="AK20" s="1250"/>
      <c r="AL20" s="1250"/>
      <c r="AM20" s="1251"/>
      <c r="AN20" s="1244"/>
      <c r="AO20" s="1251"/>
      <c r="AP20" s="1244"/>
      <c r="AQ20" s="1251"/>
      <c r="AR20" s="1252">
        <f t="shared" ref="AR20:AR37" si="28">MAX(I20:AL20)</f>
        <v>0</v>
      </c>
      <c r="AS20" s="275"/>
      <c r="AT20" s="278"/>
      <c r="AU20" s="278"/>
      <c r="AV20" s="278"/>
      <c r="AW20" s="278"/>
      <c r="AX20" s="278"/>
      <c r="AY20" s="278"/>
      <c r="AZ20" s="278"/>
      <c r="BA20" s="278"/>
      <c r="BB20" s="278"/>
      <c r="BC20" s="278"/>
      <c r="BD20" s="278"/>
      <c r="BE20" s="278"/>
      <c r="BF20" s="278"/>
      <c r="BG20" s="278"/>
      <c r="BH20" s="278"/>
      <c r="BI20" s="278"/>
      <c r="BJ20" s="278"/>
    </row>
    <row r="21" spans="1:62" s="10" customFormat="1">
      <c r="A21" s="595"/>
      <c r="B21" s="598"/>
      <c r="C21" s="599"/>
      <c r="D21" s="9"/>
      <c r="E21" s="1246" t="str">
        <f>'Despesas com Pessoal'!F21</f>
        <v>P164</v>
      </c>
      <c r="F21" s="1259" t="str">
        <f>'Despesas com Pessoal'!G21</f>
        <v>Assessor de Comun. e Marketing</v>
      </c>
      <c r="G21" s="1251"/>
      <c r="H21" s="1249"/>
      <c r="I21" s="1250">
        <v>1</v>
      </c>
      <c r="J21" s="1250">
        <f>I21</f>
        <v>1</v>
      </c>
      <c r="K21" s="1250">
        <f t="shared" ref="K21:AL24" si="29">J21</f>
        <v>1</v>
      </c>
      <c r="L21" s="1250">
        <f t="shared" si="29"/>
        <v>1</v>
      </c>
      <c r="M21" s="1250">
        <f t="shared" si="29"/>
        <v>1</v>
      </c>
      <c r="N21" s="1250">
        <f t="shared" si="29"/>
        <v>1</v>
      </c>
      <c r="O21" s="1250">
        <f t="shared" si="29"/>
        <v>1</v>
      </c>
      <c r="P21" s="1250">
        <f t="shared" si="29"/>
        <v>1</v>
      </c>
      <c r="Q21" s="1250">
        <f t="shared" si="29"/>
        <v>1</v>
      </c>
      <c r="R21" s="1250">
        <f t="shared" si="29"/>
        <v>1</v>
      </c>
      <c r="S21" s="1250">
        <f t="shared" si="29"/>
        <v>1</v>
      </c>
      <c r="T21" s="1250">
        <f t="shared" si="29"/>
        <v>1</v>
      </c>
      <c r="U21" s="1250">
        <f t="shared" si="29"/>
        <v>1</v>
      </c>
      <c r="V21" s="1250">
        <f t="shared" si="29"/>
        <v>1</v>
      </c>
      <c r="W21" s="1250">
        <f t="shared" si="29"/>
        <v>1</v>
      </c>
      <c r="X21" s="1250">
        <f t="shared" si="29"/>
        <v>1</v>
      </c>
      <c r="Y21" s="1250">
        <f t="shared" si="29"/>
        <v>1</v>
      </c>
      <c r="Z21" s="1250">
        <f t="shared" si="29"/>
        <v>1</v>
      </c>
      <c r="AA21" s="1250">
        <f t="shared" si="29"/>
        <v>1</v>
      </c>
      <c r="AB21" s="1250">
        <f t="shared" si="29"/>
        <v>1</v>
      </c>
      <c r="AC21" s="1250">
        <f t="shared" si="29"/>
        <v>1</v>
      </c>
      <c r="AD21" s="1250">
        <f t="shared" si="29"/>
        <v>1</v>
      </c>
      <c r="AE21" s="1250">
        <f t="shared" si="29"/>
        <v>1</v>
      </c>
      <c r="AF21" s="1250">
        <f t="shared" si="29"/>
        <v>1</v>
      </c>
      <c r="AG21" s="1250">
        <f t="shared" si="29"/>
        <v>1</v>
      </c>
      <c r="AH21" s="1250">
        <f t="shared" si="29"/>
        <v>1</v>
      </c>
      <c r="AI21" s="1250">
        <f t="shared" si="29"/>
        <v>1</v>
      </c>
      <c r="AJ21" s="1250">
        <f t="shared" si="29"/>
        <v>1</v>
      </c>
      <c r="AK21" s="1250">
        <f t="shared" si="29"/>
        <v>1</v>
      </c>
      <c r="AL21" s="1250">
        <f t="shared" si="29"/>
        <v>1</v>
      </c>
      <c r="AM21" s="1251" t="s">
        <v>1369</v>
      </c>
      <c r="AN21" s="1252">
        <f>MAX(I21:AL21)</f>
        <v>1</v>
      </c>
      <c r="AO21" s="1248" t="s">
        <v>1370</v>
      </c>
      <c r="AP21" s="1252">
        <f>MAX(K21:AN21)</f>
        <v>1</v>
      </c>
      <c r="AQ21" s="1251" t="s">
        <v>1374</v>
      </c>
      <c r="AR21" s="1252">
        <f t="shared" si="28"/>
        <v>1</v>
      </c>
      <c r="AS21" s="275"/>
      <c r="AT21" s="278"/>
      <c r="AU21" s="278"/>
      <c r="AV21" s="278"/>
      <c r="AW21" s="278"/>
      <c r="AX21" s="278"/>
      <c r="AY21" s="278"/>
      <c r="AZ21" s="278"/>
      <c r="BA21" s="278"/>
      <c r="BB21" s="278"/>
      <c r="BC21" s="278"/>
      <c r="BD21" s="278"/>
      <c r="BE21" s="278"/>
      <c r="BF21" s="278"/>
      <c r="BG21" s="278"/>
      <c r="BH21" s="278"/>
      <c r="BI21" s="278"/>
      <c r="BJ21" s="278"/>
    </row>
    <row r="22" spans="1:62" s="10" customFormat="1">
      <c r="A22" s="595"/>
      <c r="B22" s="598"/>
      <c r="C22" s="599"/>
      <c r="D22" s="9"/>
      <c r="E22" s="1246" t="str">
        <f>'Despesas com Pessoal'!F22</f>
        <v>P026</v>
      </c>
      <c r="F22" s="1259" t="str">
        <f>'Despesas com Pessoal'!G22</f>
        <v>Assistente de Comunicação</v>
      </c>
      <c r="G22" s="1251"/>
      <c r="H22" s="1249"/>
      <c r="I22" s="1250">
        <v>1</v>
      </c>
      <c r="J22" s="1250">
        <f t="shared" ref="J22:Y24" si="30">I22</f>
        <v>1</v>
      </c>
      <c r="K22" s="1250">
        <f t="shared" si="30"/>
        <v>1</v>
      </c>
      <c r="L22" s="1250">
        <f t="shared" si="30"/>
        <v>1</v>
      </c>
      <c r="M22" s="1250">
        <f t="shared" si="30"/>
        <v>1</v>
      </c>
      <c r="N22" s="1250">
        <f t="shared" si="30"/>
        <v>1</v>
      </c>
      <c r="O22" s="1250">
        <f t="shared" si="30"/>
        <v>1</v>
      </c>
      <c r="P22" s="1250">
        <f t="shared" si="30"/>
        <v>1</v>
      </c>
      <c r="Q22" s="1250">
        <f t="shared" si="30"/>
        <v>1</v>
      </c>
      <c r="R22" s="1250">
        <f t="shared" si="30"/>
        <v>1</v>
      </c>
      <c r="S22" s="1250">
        <f t="shared" si="30"/>
        <v>1</v>
      </c>
      <c r="T22" s="1250">
        <f t="shared" si="30"/>
        <v>1</v>
      </c>
      <c r="U22" s="1250">
        <f t="shared" si="30"/>
        <v>1</v>
      </c>
      <c r="V22" s="1250">
        <f t="shared" si="30"/>
        <v>1</v>
      </c>
      <c r="W22" s="1250">
        <f t="shared" si="30"/>
        <v>1</v>
      </c>
      <c r="X22" s="1250">
        <f t="shared" si="30"/>
        <v>1</v>
      </c>
      <c r="Y22" s="1250">
        <f t="shared" si="30"/>
        <v>1</v>
      </c>
      <c r="Z22" s="1250">
        <f t="shared" si="29"/>
        <v>1</v>
      </c>
      <c r="AA22" s="1250">
        <f t="shared" si="29"/>
        <v>1</v>
      </c>
      <c r="AB22" s="1250">
        <f t="shared" si="29"/>
        <v>1</v>
      </c>
      <c r="AC22" s="1250">
        <f t="shared" si="29"/>
        <v>1</v>
      </c>
      <c r="AD22" s="1250">
        <f t="shared" si="29"/>
        <v>1</v>
      </c>
      <c r="AE22" s="1250">
        <f t="shared" si="29"/>
        <v>1</v>
      </c>
      <c r="AF22" s="1250">
        <f t="shared" si="29"/>
        <v>1</v>
      </c>
      <c r="AG22" s="1250">
        <f t="shared" si="29"/>
        <v>1</v>
      </c>
      <c r="AH22" s="1250">
        <f t="shared" si="29"/>
        <v>1</v>
      </c>
      <c r="AI22" s="1250">
        <f t="shared" si="29"/>
        <v>1</v>
      </c>
      <c r="AJ22" s="1250">
        <f t="shared" si="29"/>
        <v>1</v>
      </c>
      <c r="AK22" s="1250">
        <f t="shared" si="29"/>
        <v>1</v>
      </c>
      <c r="AL22" s="1250">
        <f t="shared" si="29"/>
        <v>1</v>
      </c>
      <c r="AM22" s="1251" t="s">
        <v>1369</v>
      </c>
      <c r="AN22" s="1252">
        <f>MAX(I22:AL22)</f>
        <v>1</v>
      </c>
      <c r="AO22" s="1248" t="s">
        <v>1370</v>
      </c>
      <c r="AP22" s="1252">
        <f>MAX(K22:AN22)</f>
        <v>1</v>
      </c>
      <c r="AQ22" s="1251" t="s">
        <v>1374</v>
      </c>
      <c r="AR22" s="1252">
        <f>MAX(I22:AL22)</f>
        <v>1</v>
      </c>
      <c r="AS22" s="275"/>
      <c r="AT22" s="278"/>
      <c r="AU22" s="278"/>
      <c r="AV22" s="278"/>
      <c r="AW22" s="278"/>
      <c r="AX22" s="278"/>
      <c r="AY22" s="278"/>
      <c r="AZ22" s="278"/>
      <c r="BA22" s="278"/>
      <c r="BB22" s="278"/>
      <c r="BC22" s="278"/>
      <c r="BD22" s="278"/>
      <c r="BE22" s="278"/>
      <c r="BF22" s="278"/>
      <c r="BG22" s="278"/>
      <c r="BH22" s="278"/>
      <c r="BI22" s="278"/>
      <c r="BJ22" s="278"/>
    </row>
    <row r="23" spans="1:62" s="10" customFormat="1">
      <c r="A23" s="595"/>
      <c r="B23" s="598"/>
      <c r="C23" s="599"/>
      <c r="D23" s="9"/>
      <c r="E23" s="1246" t="str">
        <f>'Despesas com Pessoal'!F23</f>
        <v>P104</v>
      </c>
      <c r="F23" s="1259" t="str">
        <f>'Despesas com Pessoal'!G23</f>
        <v>Estagiário</v>
      </c>
      <c r="G23" s="1251"/>
      <c r="H23" s="1249"/>
      <c r="I23" s="1250"/>
      <c r="J23" s="1250">
        <f t="shared" si="30"/>
        <v>0</v>
      </c>
      <c r="K23" s="1250">
        <f t="shared" si="29"/>
        <v>0</v>
      </c>
      <c r="L23" s="1250">
        <f t="shared" si="29"/>
        <v>0</v>
      </c>
      <c r="M23" s="1250">
        <f t="shared" si="29"/>
        <v>0</v>
      </c>
      <c r="N23" s="1250">
        <f t="shared" si="29"/>
        <v>0</v>
      </c>
      <c r="O23" s="1250">
        <f t="shared" si="29"/>
        <v>0</v>
      </c>
      <c r="P23" s="1250">
        <f t="shared" si="29"/>
        <v>0</v>
      </c>
      <c r="Q23" s="1250">
        <f t="shared" si="29"/>
        <v>0</v>
      </c>
      <c r="R23" s="1250">
        <f t="shared" si="29"/>
        <v>0</v>
      </c>
      <c r="S23" s="1250">
        <f t="shared" si="29"/>
        <v>0</v>
      </c>
      <c r="T23" s="1250">
        <f t="shared" si="29"/>
        <v>0</v>
      </c>
      <c r="U23" s="1250">
        <f t="shared" si="29"/>
        <v>0</v>
      </c>
      <c r="V23" s="1250">
        <f t="shared" si="29"/>
        <v>0</v>
      </c>
      <c r="W23" s="1250">
        <f t="shared" si="29"/>
        <v>0</v>
      </c>
      <c r="X23" s="1250">
        <f t="shared" si="29"/>
        <v>0</v>
      </c>
      <c r="Y23" s="1250">
        <f t="shared" si="29"/>
        <v>0</v>
      </c>
      <c r="Z23" s="1250">
        <f t="shared" si="29"/>
        <v>0</v>
      </c>
      <c r="AA23" s="1250">
        <f t="shared" si="29"/>
        <v>0</v>
      </c>
      <c r="AB23" s="1250">
        <f t="shared" si="29"/>
        <v>0</v>
      </c>
      <c r="AC23" s="1250">
        <f t="shared" si="29"/>
        <v>0</v>
      </c>
      <c r="AD23" s="1250">
        <f t="shared" si="29"/>
        <v>0</v>
      </c>
      <c r="AE23" s="1250">
        <f t="shared" si="29"/>
        <v>0</v>
      </c>
      <c r="AF23" s="1250">
        <f t="shared" si="29"/>
        <v>0</v>
      </c>
      <c r="AG23" s="1250">
        <f t="shared" si="29"/>
        <v>0</v>
      </c>
      <c r="AH23" s="1250">
        <f t="shared" si="29"/>
        <v>0</v>
      </c>
      <c r="AI23" s="1250">
        <f t="shared" si="29"/>
        <v>0</v>
      </c>
      <c r="AJ23" s="1250">
        <f t="shared" si="29"/>
        <v>0</v>
      </c>
      <c r="AK23" s="1250">
        <f t="shared" si="29"/>
        <v>0</v>
      </c>
      <c r="AL23" s="1250">
        <f t="shared" si="29"/>
        <v>0</v>
      </c>
      <c r="AM23" s="1251" t="s">
        <v>1369</v>
      </c>
      <c r="AN23" s="1252">
        <f>MAX(I23:AL23)</f>
        <v>0</v>
      </c>
      <c r="AO23" s="1248" t="s">
        <v>1370</v>
      </c>
      <c r="AP23" s="1252">
        <f>MAX(K23:AN23)</f>
        <v>0</v>
      </c>
      <c r="AQ23" s="1248" t="s">
        <v>1371</v>
      </c>
      <c r="AR23" s="1252">
        <f t="shared" si="28"/>
        <v>0</v>
      </c>
      <c r="AS23" s="275"/>
      <c r="AT23" s="278"/>
      <c r="AU23" s="278"/>
      <c r="AV23" s="278"/>
      <c r="AW23" s="278"/>
      <c r="AX23" s="278"/>
      <c r="AY23" s="278"/>
      <c r="AZ23" s="278"/>
      <c r="BA23" s="278"/>
      <c r="BB23" s="278"/>
      <c r="BC23" s="278"/>
      <c r="BD23" s="278"/>
      <c r="BE23" s="278"/>
      <c r="BF23" s="278"/>
      <c r="BG23" s="278"/>
      <c r="BH23" s="278"/>
      <c r="BI23" s="278"/>
      <c r="BJ23" s="278"/>
    </row>
    <row r="24" spans="1:62">
      <c r="A24" s="595"/>
      <c r="B24" s="598"/>
      <c r="C24" s="599"/>
      <c r="D24" s="11"/>
      <c r="E24" s="1246" t="str">
        <f>'Despesas com Pessoal'!F24</f>
        <v>P135</v>
      </c>
      <c r="F24" s="1259" t="str">
        <f>'Despesas com Pessoal'!G24</f>
        <v>Secretária</v>
      </c>
      <c r="G24" s="1251"/>
      <c r="H24" s="1249"/>
      <c r="I24" s="1250">
        <v>1</v>
      </c>
      <c r="J24" s="1250">
        <f t="shared" si="30"/>
        <v>1</v>
      </c>
      <c r="K24" s="1250">
        <f t="shared" si="29"/>
        <v>1</v>
      </c>
      <c r="L24" s="1250">
        <f t="shared" si="29"/>
        <v>1</v>
      </c>
      <c r="M24" s="1250">
        <f t="shared" si="29"/>
        <v>1</v>
      </c>
      <c r="N24" s="1250">
        <f t="shared" si="29"/>
        <v>1</v>
      </c>
      <c r="O24" s="1250">
        <f t="shared" si="29"/>
        <v>1</v>
      </c>
      <c r="P24" s="1250">
        <f t="shared" si="29"/>
        <v>1</v>
      </c>
      <c r="Q24" s="1250">
        <f t="shared" si="29"/>
        <v>1</v>
      </c>
      <c r="R24" s="1250">
        <f t="shared" si="29"/>
        <v>1</v>
      </c>
      <c r="S24" s="1250">
        <f t="shared" si="29"/>
        <v>1</v>
      </c>
      <c r="T24" s="1250">
        <f t="shared" si="29"/>
        <v>1</v>
      </c>
      <c r="U24" s="1250">
        <f t="shared" si="29"/>
        <v>1</v>
      </c>
      <c r="V24" s="1250">
        <f t="shared" si="29"/>
        <v>1</v>
      </c>
      <c r="W24" s="1250">
        <f t="shared" si="29"/>
        <v>1</v>
      </c>
      <c r="X24" s="1250">
        <f t="shared" si="29"/>
        <v>1</v>
      </c>
      <c r="Y24" s="1250">
        <f t="shared" si="29"/>
        <v>1</v>
      </c>
      <c r="Z24" s="1250">
        <f t="shared" si="29"/>
        <v>1</v>
      </c>
      <c r="AA24" s="1250">
        <f t="shared" si="29"/>
        <v>1</v>
      </c>
      <c r="AB24" s="1250">
        <f t="shared" si="29"/>
        <v>1</v>
      </c>
      <c r="AC24" s="1250">
        <f t="shared" si="29"/>
        <v>1</v>
      </c>
      <c r="AD24" s="1250">
        <f t="shared" si="29"/>
        <v>1</v>
      </c>
      <c r="AE24" s="1250">
        <f t="shared" si="29"/>
        <v>1</v>
      </c>
      <c r="AF24" s="1250">
        <f t="shared" si="29"/>
        <v>1</v>
      </c>
      <c r="AG24" s="1250">
        <f t="shared" si="29"/>
        <v>1</v>
      </c>
      <c r="AH24" s="1250">
        <f t="shared" si="29"/>
        <v>1</v>
      </c>
      <c r="AI24" s="1250">
        <f t="shared" si="29"/>
        <v>1</v>
      </c>
      <c r="AJ24" s="1250">
        <f t="shared" si="29"/>
        <v>1</v>
      </c>
      <c r="AK24" s="1250">
        <f t="shared" si="29"/>
        <v>1</v>
      </c>
      <c r="AL24" s="1250">
        <f t="shared" si="29"/>
        <v>1</v>
      </c>
      <c r="AM24" s="1251" t="s">
        <v>1369</v>
      </c>
      <c r="AN24" s="1252">
        <f>MAX(I24:AL24)</f>
        <v>1</v>
      </c>
      <c r="AO24" s="1248" t="s">
        <v>1370</v>
      </c>
      <c r="AP24" s="1252">
        <f>MAX(K24:AN24)</f>
        <v>1</v>
      </c>
      <c r="AQ24" s="1248" t="s">
        <v>1371</v>
      </c>
      <c r="AR24" s="1252">
        <f t="shared" si="28"/>
        <v>1</v>
      </c>
      <c r="AS24" s="275"/>
      <c r="AT24" s="275"/>
      <c r="AU24" s="275"/>
      <c r="AV24" s="275"/>
      <c r="AW24" s="275"/>
      <c r="AX24" s="275"/>
      <c r="AY24" s="275"/>
      <c r="AZ24" s="275"/>
      <c r="BA24" s="275"/>
      <c r="BB24" s="275"/>
      <c r="BC24" s="275"/>
      <c r="BD24" s="275"/>
      <c r="BE24" s="275"/>
      <c r="BF24" s="275"/>
      <c r="BG24" s="275"/>
      <c r="BH24" s="275"/>
      <c r="BI24" s="275"/>
      <c r="BJ24" s="275"/>
    </row>
    <row r="25" spans="1:62">
      <c r="A25" s="595"/>
      <c r="B25" s="598"/>
      <c r="C25" s="599"/>
      <c r="D25" s="11"/>
      <c r="E25" s="1246"/>
      <c r="F25" s="1256" t="s">
        <v>768</v>
      </c>
      <c r="G25" s="1255"/>
      <c r="H25" s="1249"/>
      <c r="I25" s="1245"/>
      <c r="J25" s="1245"/>
      <c r="K25" s="1245"/>
      <c r="L25" s="1245"/>
      <c r="M25" s="1245"/>
      <c r="N25" s="1245"/>
      <c r="O25" s="1245"/>
      <c r="P25" s="1245"/>
      <c r="Q25" s="1245"/>
      <c r="R25" s="1245"/>
      <c r="S25" s="1245"/>
      <c r="T25" s="1245"/>
      <c r="U25" s="1245"/>
      <c r="V25" s="1245"/>
      <c r="W25" s="1245"/>
      <c r="X25" s="1245"/>
      <c r="Y25" s="1245"/>
      <c r="Z25" s="1245"/>
      <c r="AA25" s="1245"/>
      <c r="AB25" s="1245"/>
      <c r="AC25" s="1245"/>
      <c r="AD25" s="1245"/>
      <c r="AE25" s="1257"/>
      <c r="AF25" s="1258"/>
      <c r="AG25" s="1258"/>
      <c r="AH25" s="1258"/>
      <c r="AI25" s="1258"/>
      <c r="AJ25" s="1258"/>
      <c r="AK25" s="1258"/>
      <c r="AL25" s="1258"/>
      <c r="AM25" s="1255"/>
      <c r="AN25" s="1244"/>
      <c r="AO25" s="1255"/>
      <c r="AP25" s="1244"/>
      <c r="AQ25" s="1255"/>
      <c r="AR25" s="1252">
        <f t="shared" si="28"/>
        <v>0</v>
      </c>
      <c r="AS25" s="275"/>
      <c r="AT25" s="275"/>
      <c r="AU25" s="275"/>
      <c r="AV25" s="275"/>
      <c r="AW25" s="275"/>
      <c r="AX25" s="275"/>
      <c r="AY25" s="275"/>
      <c r="AZ25" s="275"/>
      <c r="BA25" s="275"/>
      <c r="BB25" s="275"/>
      <c r="BC25" s="275"/>
      <c r="BD25" s="275"/>
      <c r="BE25" s="275"/>
      <c r="BF25" s="275"/>
      <c r="BG25" s="275"/>
      <c r="BH25" s="275"/>
      <c r="BI25" s="275"/>
      <c r="BJ25" s="275"/>
    </row>
    <row r="26" spans="1:62">
      <c r="A26" s="595"/>
      <c r="B26" s="598"/>
      <c r="C26" s="599"/>
      <c r="D26" s="11"/>
      <c r="E26" s="1246" t="str">
        <f>'Despesas com Pessoal'!F26</f>
        <v>P087</v>
      </c>
      <c r="F26" s="1259" t="str">
        <f>'Despesas com Pessoal'!G26</f>
        <v>Engenheiro Ambiental</v>
      </c>
      <c r="G26" s="1251" t="s">
        <v>1376</v>
      </c>
      <c r="H26" s="1249">
        <v>1</v>
      </c>
      <c r="I26" s="1250">
        <v>1</v>
      </c>
      <c r="J26" s="1250">
        <f>I26</f>
        <v>1</v>
      </c>
      <c r="K26" s="1250">
        <f t="shared" ref="K26:AL26" si="31">J26</f>
        <v>1</v>
      </c>
      <c r="L26" s="1250">
        <f t="shared" si="31"/>
        <v>1</v>
      </c>
      <c r="M26" s="1250">
        <f t="shared" si="31"/>
        <v>1</v>
      </c>
      <c r="N26" s="1250">
        <f t="shared" si="31"/>
        <v>1</v>
      </c>
      <c r="O26" s="1250">
        <f t="shared" si="31"/>
        <v>1</v>
      </c>
      <c r="P26" s="1250">
        <f t="shared" si="31"/>
        <v>1</v>
      </c>
      <c r="Q26" s="1250">
        <f t="shared" si="31"/>
        <v>1</v>
      </c>
      <c r="R26" s="1250">
        <f t="shared" si="31"/>
        <v>1</v>
      </c>
      <c r="S26" s="1250">
        <f t="shared" si="31"/>
        <v>1</v>
      </c>
      <c r="T26" s="1250">
        <f t="shared" si="31"/>
        <v>1</v>
      </c>
      <c r="U26" s="1250">
        <f t="shared" si="31"/>
        <v>1</v>
      </c>
      <c r="V26" s="1250">
        <f t="shared" si="31"/>
        <v>1</v>
      </c>
      <c r="W26" s="1250">
        <f t="shared" si="31"/>
        <v>1</v>
      </c>
      <c r="X26" s="1250">
        <f t="shared" si="31"/>
        <v>1</v>
      </c>
      <c r="Y26" s="1250">
        <f t="shared" si="31"/>
        <v>1</v>
      </c>
      <c r="Z26" s="1250">
        <f t="shared" si="31"/>
        <v>1</v>
      </c>
      <c r="AA26" s="1250">
        <f t="shared" si="31"/>
        <v>1</v>
      </c>
      <c r="AB26" s="1250">
        <f t="shared" si="31"/>
        <v>1</v>
      </c>
      <c r="AC26" s="1250">
        <f t="shared" si="31"/>
        <v>1</v>
      </c>
      <c r="AD26" s="1250">
        <f t="shared" si="31"/>
        <v>1</v>
      </c>
      <c r="AE26" s="1250">
        <f t="shared" si="31"/>
        <v>1</v>
      </c>
      <c r="AF26" s="1250">
        <f t="shared" si="31"/>
        <v>1</v>
      </c>
      <c r="AG26" s="1250">
        <f t="shared" si="31"/>
        <v>1</v>
      </c>
      <c r="AH26" s="1250">
        <f t="shared" si="31"/>
        <v>1</v>
      </c>
      <c r="AI26" s="1250">
        <f t="shared" si="31"/>
        <v>1</v>
      </c>
      <c r="AJ26" s="1250">
        <f t="shared" si="31"/>
        <v>1</v>
      </c>
      <c r="AK26" s="1250">
        <f t="shared" si="31"/>
        <v>1</v>
      </c>
      <c r="AL26" s="1250">
        <f t="shared" si="31"/>
        <v>1</v>
      </c>
      <c r="AM26" s="1251" t="s">
        <v>1369</v>
      </c>
      <c r="AN26" s="1252">
        <f>MAX(I26:AL26)</f>
        <v>1</v>
      </c>
      <c r="AO26" s="1248" t="s">
        <v>1370</v>
      </c>
      <c r="AP26" s="1252">
        <f>MAX(K26:AN26)</f>
        <v>1</v>
      </c>
      <c r="AQ26" s="1251" t="s">
        <v>1374</v>
      </c>
      <c r="AR26" s="1252">
        <f t="shared" si="28"/>
        <v>1</v>
      </c>
      <c r="AS26" s="275"/>
      <c r="AT26" s="275"/>
      <c r="AU26" s="275"/>
      <c r="AV26" s="275"/>
      <c r="AW26" s="275"/>
      <c r="AX26" s="275"/>
      <c r="AY26" s="275"/>
      <c r="AZ26" s="275"/>
      <c r="BA26" s="275"/>
      <c r="BB26" s="275"/>
      <c r="BC26" s="275"/>
      <c r="BD26" s="275"/>
      <c r="BE26" s="275"/>
      <c r="BF26" s="275"/>
      <c r="BG26" s="275"/>
      <c r="BH26" s="275"/>
      <c r="BI26" s="275"/>
      <c r="BJ26" s="275"/>
    </row>
    <row r="27" spans="1:62">
      <c r="A27" s="595"/>
      <c r="B27" s="598"/>
      <c r="C27" s="599"/>
      <c r="D27" s="11"/>
      <c r="E27" s="1260" t="str">
        <f>'Despesas com Pessoal'!F27</f>
        <v>P031</v>
      </c>
      <c r="F27" s="1259" t="str">
        <f>'Despesas com Pessoal'!G27</f>
        <v>Assistente de Meio Ambiente</v>
      </c>
      <c r="G27" s="1251"/>
      <c r="H27" s="1249"/>
      <c r="I27" s="1250">
        <v>1</v>
      </c>
      <c r="J27" s="1250"/>
      <c r="K27" s="1250"/>
      <c r="L27" s="1250"/>
      <c r="M27" s="1250"/>
      <c r="N27" s="1250"/>
      <c r="O27" s="1250"/>
      <c r="P27" s="1250"/>
      <c r="Q27" s="1250"/>
      <c r="R27" s="1250"/>
      <c r="S27" s="1250"/>
      <c r="T27" s="1250"/>
      <c r="U27" s="1250"/>
      <c r="V27" s="1250"/>
      <c r="W27" s="1250"/>
      <c r="X27" s="1250"/>
      <c r="Y27" s="1250"/>
      <c r="Z27" s="1250"/>
      <c r="AA27" s="1250"/>
      <c r="AB27" s="1250"/>
      <c r="AC27" s="1250"/>
      <c r="AD27" s="1250"/>
      <c r="AE27" s="1250"/>
      <c r="AF27" s="1250"/>
      <c r="AG27" s="1250"/>
      <c r="AH27" s="1250"/>
      <c r="AI27" s="1250"/>
      <c r="AJ27" s="1250"/>
      <c r="AK27" s="1250"/>
      <c r="AL27" s="1250"/>
      <c r="AM27" s="1251" t="s">
        <v>1369</v>
      </c>
      <c r="AN27" s="1252">
        <f>MAX(I27:AL27)</f>
        <v>1</v>
      </c>
      <c r="AO27" s="1248" t="s">
        <v>1370</v>
      </c>
      <c r="AP27" s="1252">
        <f>MAX(K27:AN27)</f>
        <v>1</v>
      </c>
      <c r="AQ27" s="1251" t="s">
        <v>1374</v>
      </c>
      <c r="AR27" s="1252">
        <f t="shared" si="28"/>
        <v>1</v>
      </c>
      <c r="AS27" s="275"/>
      <c r="AT27" s="275"/>
      <c r="AU27" s="275"/>
      <c r="AV27" s="275"/>
      <c r="AW27" s="275"/>
      <c r="AX27" s="275"/>
      <c r="AY27" s="275"/>
      <c r="AZ27" s="275"/>
      <c r="BA27" s="275"/>
      <c r="BB27" s="275"/>
      <c r="BC27" s="275"/>
      <c r="BD27" s="275"/>
      <c r="BE27" s="275"/>
      <c r="BF27" s="275"/>
      <c r="BG27" s="275"/>
      <c r="BH27" s="275"/>
      <c r="BI27" s="275"/>
      <c r="BJ27" s="275"/>
    </row>
    <row r="28" spans="1:62" s="10" customFormat="1">
      <c r="A28" s="595"/>
      <c r="B28" s="598"/>
      <c r="C28" s="599"/>
      <c r="D28" s="9"/>
      <c r="E28" s="1246"/>
      <c r="F28" s="1256" t="s">
        <v>772</v>
      </c>
      <c r="G28" s="1255"/>
      <c r="H28" s="1249"/>
      <c r="I28" s="1245"/>
      <c r="J28" s="1245"/>
      <c r="K28" s="1245"/>
      <c r="L28" s="1245"/>
      <c r="M28" s="1245"/>
      <c r="N28" s="1245"/>
      <c r="O28" s="1245"/>
      <c r="P28" s="1245"/>
      <c r="Q28" s="1245"/>
      <c r="R28" s="1245"/>
      <c r="S28" s="1245"/>
      <c r="T28" s="1245"/>
      <c r="U28" s="1245"/>
      <c r="V28" s="1245"/>
      <c r="W28" s="1245"/>
      <c r="X28" s="1245"/>
      <c r="Y28" s="1245"/>
      <c r="Z28" s="1245"/>
      <c r="AA28" s="1245"/>
      <c r="AB28" s="1245"/>
      <c r="AC28" s="1245"/>
      <c r="AD28" s="1245"/>
      <c r="AE28" s="1257"/>
      <c r="AF28" s="1258"/>
      <c r="AG28" s="1258"/>
      <c r="AH28" s="1258"/>
      <c r="AI28" s="1258"/>
      <c r="AJ28" s="1258"/>
      <c r="AK28" s="1258"/>
      <c r="AL28" s="1258"/>
      <c r="AM28" s="1255"/>
      <c r="AN28" s="1244"/>
      <c r="AO28" s="1255"/>
      <c r="AP28" s="1244"/>
      <c r="AQ28" s="1255"/>
      <c r="AR28" s="1252">
        <f t="shared" si="28"/>
        <v>0</v>
      </c>
      <c r="AS28" s="275"/>
      <c r="AT28" s="278"/>
      <c r="AU28" s="278"/>
      <c r="AV28" s="278"/>
      <c r="AW28" s="278"/>
      <c r="AX28" s="278"/>
      <c r="AY28" s="278"/>
      <c r="AZ28" s="278"/>
      <c r="BA28" s="278"/>
      <c r="BB28" s="278"/>
      <c r="BC28" s="278"/>
      <c r="BD28" s="278"/>
      <c r="BE28" s="278"/>
      <c r="BF28" s="278"/>
      <c r="BG28" s="278"/>
      <c r="BH28" s="278"/>
      <c r="BI28" s="278"/>
      <c r="BJ28" s="278"/>
    </row>
    <row r="29" spans="1:62" s="10" customFormat="1">
      <c r="A29" s="595"/>
      <c r="B29" s="598"/>
      <c r="C29" s="599"/>
      <c r="D29" s="9"/>
      <c r="E29" s="1246" t="str">
        <f>'Despesas com Pessoal'!F29</f>
        <v>P004</v>
      </c>
      <c r="F29" s="1259" t="str">
        <f>'Despesas com Pessoal'!G29</f>
        <v>Advogado Sênior</v>
      </c>
      <c r="G29" s="1251"/>
      <c r="H29" s="1249"/>
      <c r="I29" s="1250">
        <v>1</v>
      </c>
      <c r="J29" s="1250">
        <v>1</v>
      </c>
      <c r="K29" s="1250">
        <v>1</v>
      </c>
      <c r="L29" s="1250">
        <v>1</v>
      </c>
      <c r="M29" s="1250">
        <v>1</v>
      </c>
      <c r="N29" s="1250">
        <v>1</v>
      </c>
      <c r="O29" s="1250">
        <v>1</v>
      </c>
      <c r="P29" s="1250">
        <v>1</v>
      </c>
      <c r="Q29" s="1250">
        <v>1</v>
      </c>
      <c r="R29" s="1250">
        <v>1</v>
      </c>
      <c r="S29" s="1250">
        <v>1</v>
      </c>
      <c r="T29" s="1250">
        <v>1</v>
      </c>
      <c r="U29" s="1250">
        <v>1</v>
      </c>
      <c r="V29" s="1250">
        <v>1</v>
      </c>
      <c r="W29" s="1250">
        <v>1</v>
      </c>
      <c r="X29" s="1250">
        <v>1</v>
      </c>
      <c r="Y29" s="1250">
        <v>1</v>
      </c>
      <c r="Z29" s="1250">
        <v>1</v>
      </c>
      <c r="AA29" s="1250">
        <v>1</v>
      </c>
      <c r="AB29" s="1250">
        <v>1</v>
      </c>
      <c r="AC29" s="1250">
        <v>1</v>
      </c>
      <c r="AD29" s="1250">
        <v>1</v>
      </c>
      <c r="AE29" s="1250">
        <v>1</v>
      </c>
      <c r="AF29" s="1250">
        <v>1</v>
      </c>
      <c r="AG29" s="1250">
        <v>1</v>
      </c>
      <c r="AH29" s="1250">
        <v>1</v>
      </c>
      <c r="AI29" s="1250">
        <v>1</v>
      </c>
      <c r="AJ29" s="1250">
        <v>1</v>
      </c>
      <c r="AK29" s="1250">
        <v>1</v>
      </c>
      <c r="AL29" s="1250">
        <v>1</v>
      </c>
      <c r="AM29" s="1251" t="s">
        <v>1373</v>
      </c>
      <c r="AN29" s="1252">
        <f>MAX(I29:AL29)</f>
        <v>1</v>
      </c>
      <c r="AO29" s="1248" t="s">
        <v>1370</v>
      </c>
      <c r="AP29" s="1252">
        <f>MAX(K29:AN29)</f>
        <v>1</v>
      </c>
      <c r="AQ29" s="1251" t="s">
        <v>1374</v>
      </c>
      <c r="AR29" s="1252">
        <f>MAX(I29:AL29)</f>
        <v>1</v>
      </c>
      <c r="AS29" s="275"/>
      <c r="AT29" s="278"/>
      <c r="AU29" s="278"/>
      <c r="AV29" s="278"/>
      <c r="AW29" s="278"/>
      <c r="AX29" s="278"/>
      <c r="AY29" s="278"/>
      <c r="AZ29" s="278"/>
      <c r="BA29" s="278"/>
      <c r="BB29" s="278"/>
      <c r="BC29" s="278"/>
      <c r="BD29" s="278"/>
      <c r="BE29" s="278"/>
      <c r="BF29" s="278"/>
      <c r="BG29" s="278"/>
      <c r="BH29" s="278"/>
      <c r="BI29" s="278"/>
      <c r="BJ29" s="278"/>
    </row>
    <row r="30" spans="1:62" s="10" customFormat="1">
      <c r="A30" s="595"/>
      <c r="B30" s="598"/>
      <c r="C30" s="599"/>
      <c r="D30" s="9"/>
      <c r="E30" s="1246" t="str">
        <f>'Despesas com Pessoal'!F30</f>
        <v>P003</v>
      </c>
      <c r="F30" s="1259" t="str">
        <f>'Despesas com Pessoal'!G30</f>
        <v>Advogado Pleno</v>
      </c>
      <c r="G30" s="1251"/>
      <c r="H30" s="1249"/>
      <c r="I30" s="1250">
        <v>1</v>
      </c>
      <c r="J30" s="1250">
        <f>I30</f>
        <v>1</v>
      </c>
      <c r="K30" s="1250">
        <f t="shared" ref="K30:AL30" si="32">J30</f>
        <v>1</v>
      </c>
      <c r="L30" s="1250">
        <f t="shared" si="32"/>
        <v>1</v>
      </c>
      <c r="M30" s="1250">
        <f t="shared" si="32"/>
        <v>1</v>
      </c>
      <c r="N30" s="1250">
        <f t="shared" si="32"/>
        <v>1</v>
      </c>
      <c r="O30" s="1250">
        <f t="shared" si="32"/>
        <v>1</v>
      </c>
      <c r="P30" s="1250">
        <f t="shared" si="32"/>
        <v>1</v>
      </c>
      <c r="Q30" s="1250">
        <f t="shared" si="32"/>
        <v>1</v>
      </c>
      <c r="R30" s="1250">
        <f t="shared" si="32"/>
        <v>1</v>
      </c>
      <c r="S30" s="1250">
        <f t="shared" si="32"/>
        <v>1</v>
      </c>
      <c r="T30" s="1250">
        <f t="shared" si="32"/>
        <v>1</v>
      </c>
      <c r="U30" s="1250">
        <f t="shared" si="32"/>
        <v>1</v>
      </c>
      <c r="V30" s="1250">
        <f t="shared" si="32"/>
        <v>1</v>
      </c>
      <c r="W30" s="1250">
        <f t="shared" si="32"/>
        <v>1</v>
      </c>
      <c r="X30" s="1250">
        <f t="shared" si="32"/>
        <v>1</v>
      </c>
      <c r="Y30" s="1250">
        <f t="shared" si="32"/>
        <v>1</v>
      </c>
      <c r="Z30" s="1250">
        <f t="shared" si="32"/>
        <v>1</v>
      </c>
      <c r="AA30" s="1250">
        <f t="shared" si="32"/>
        <v>1</v>
      </c>
      <c r="AB30" s="1250">
        <f t="shared" si="32"/>
        <v>1</v>
      </c>
      <c r="AC30" s="1250">
        <f t="shared" si="32"/>
        <v>1</v>
      </c>
      <c r="AD30" s="1250">
        <f t="shared" si="32"/>
        <v>1</v>
      </c>
      <c r="AE30" s="1250">
        <f t="shared" si="32"/>
        <v>1</v>
      </c>
      <c r="AF30" s="1250">
        <f t="shared" si="32"/>
        <v>1</v>
      </c>
      <c r="AG30" s="1250">
        <f t="shared" si="32"/>
        <v>1</v>
      </c>
      <c r="AH30" s="1250">
        <f t="shared" si="32"/>
        <v>1</v>
      </c>
      <c r="AI30" s="1250">
        <f t="shared" si="32"/>
        <v>1</v>
      </c>
      <c r="AJ30" s="1250">
        <f t="shared" si="32"/>
        <v>1</v>
      </c>
      <c r="AK30" s="1250">
        <f t="shared" si="32"/>
        <v>1</v>
      </c>
      <c r="AL30" s="1250">
        <f t="shared" si="32"/>
        <v>1</v>
      </c>
      <c r="AM30" s="1251" t="s">
        <v>1369</v>
      </c>
      <c r="AN30" s="1252">
        <f>MAX(I30:AL30)</f>
        <v>1</v>
      </c>
      <c r="AO30" s="1248" t="s">
        <v>1370</v>
      </c>
      <c r="AP30" s="1252">
        <f>MAX(K30:AN30)</f>
        <v>1</v>
      </c>
      <c r="AQ30" s="1248" t="s">
        <v>1371</v>
      </c>
      <c r="AR30" s="1252">
        <f t="shared" si="28"/>
        <v>1</v>
      </c>
      <c r="AS30" s="275"/>
      <c r="AT30" s="278"/>
      <c r="AU30" s="278"/>
      <c r="AV30" s="278"/>
      <c r="AW30" s="278"/>
      <c r="AX30" s="278"/>
      <c r="AY30" s="278"/>
      <c r="AZ30" s="278"/>
      <c r="BA30" s="278"/>
      <c r="BB30" s="278"/>
      <c r="BC30" s="278"/>
      <c r="BD30" s="278"/>
      <c r="BE30" s="278"/>
      <c r="BF30" s="278"/>
      <c r="BG30" s="278"/>
      <c r="BH30" s="278"/>
      <c r="BI30" s="278"/>
      <c r="BJ30" s="278"/>
    </row>
    <row r="31" spans="1:62" s="10" customFormat="1">
      <c r="A31" s="595"/>
      <c r="B31" s="598"/>
      <c r="C31" s="599"/>
      <c r="D31" s="9"/>
      <c r="E31" s="1246"/>
      <c r="F31" s="1256" t="s">
        <v>775</v>
      </c>
      <c r="G31" s="1255"/>
      <c r="H31" s="1249"/>
      <c r="I31" s="1250"/>
      <c r="J31" s="1250"/>
      <c r="K31" s="1250"/>
      <c r="L31" s="1250"/>
      <c r="M31" s="1250"/>
      <c r="N31" s="1250"/>
      <c r="O31" s="1250"/>
      <c r="P31" s="1250"/>
      <c r="Q31" s="1250"/>
      <c r="R31" s="1250"/>
      <c r="S31" s="1250"/>
      <c r="T31" s="1250"/>
      <c r="U31" s="1250"/>
      <c r="V31" s="1250"/>
      <c r="W31" s="1250"/>
      <c r="X31" s="1250"/>
      <c r="Y31" s="1250"/>
      <c r="Z31" s="1250"/>
      <c r="AA31" s="1250"/>
      <c r="AB31" s="1250"/>
      <c r="AC31" s="1250"/>
      <c r="AD31" s="1250"/>
      <c r="AE31" s="1258"/>
      <c r="AF31" s="1258"/>
      <c r="AG31" s="1258"/>
      <c r="AH31" s="1258"/>
      <c r="AI31" s="1258"/>
      <c r="AJ31" s="1258"/>
      <c r="AK31" s="1258"/>
      <c r="AL31" s="1258"/>
      <c r="AM31" s="1255"/>
      <c r="AN31" s="1244"/>
      <c r="AO31" s="1255"/>
      <c r="AP31" s="1244"/>
      <c r="AQ31" s="1255"/>
      <c r="AR31" s="1252">
        <f t="shared" si="28"/>
        <v>0</v>
      </c>
      <c r="AS31" s="275"/>
      <c r="AT31" s="278"/>
      <c r="AU31" s="278"/>
      <c r="AV31" s="278"/>
      <c r="AW31" s="278"/>
      <c r="AX31" s="278"/>
      <c r="AY31" s="278"/>
      <c r="AZ31" s="278"/>
      <c r="BA31" s="278"/>
      <c r="BB31" s="278"/>
      <c r="BC31" s="278"/>
      <c r="BD31" s="278"/>
      <c r="BE31" s="278"/>
      <c r="BF31" s="278"/>
      <c r="BG31" s="278"/>
      <c r="BH31" s="278"/>
      <c r="BI31" s="278"/>
      <c r="BJ31" s="278"/>
    </row>
    <row r="32" spans="1:62" s="10" customFormat="1">
      <c r="A32" s="595"/>
      <c r="B32" s="598"/>
      <c r="C32" s="599"/>
      <c r="D32" s="9"/>
      <c r="E32" s="1246" t="str">
        <f>'Despesas com Pessoal'!F32</f>
        <v>P167</v>
      </c>
      <c r="F32" s="1259" t="str">
        <f>'Despesas com Pessoal'!G32</f>
        <v>Assessor de Qualidade</v>
      </c>
      <c r="G32" s="1251" t="s">
        <v>1376</v>
      </c>
      <c r="H32" s="1249">
        <v>1</v>
      </c>
      <c r="I32" s="1250">
        <v>1</v>
      </c>
      <c r="J32" s="1250">
        <f>I32</f>
        <v>1</v>
      </c>
      <c r="K32" s="1250">
        <f t="shared" ref="K32:AL32" si="33">J32</f>
        <v>1</v>
      </c>
      <c r="L32" s="1250">
        <f t="shared" si="33"/>
        <v>1</v>
      </c>
      <c r="M32" s="1250">
        <f t="shared" si="33"/>
        <v>1</v>
      </c>
      <c r="N32" s="1250">
        <f t="shared" si="33"/>
        <v>1</v>
      </c>
      <c r="O32" s="1250">
        <f t="shared" si="33"/>
        <v>1</v>
      </c>
      <c r="P32" s="1250">
        <f t="shared" si="33"/>
        <v>1</v>
      </c>
      <c r="Q32" s="1250">
        <f t="shared" si="33"/>
        <v>1</v>
      </c>
      <c r="R32" s="1250">
        <f t="shared" si="33"/>
        <v>1</v>
      </c>
      <c r="S32" s="1250">
        <f t="shared" si="33"/>
        <v>1</v>
      </c>
      <c r="T32" s="1250">
        <f t="shared" si="33"/>
        <v>1</v>
      </c>
      <c r="U32" s="1250">
        <f t="shared" si="33"/>
        <v>1</v>
      </c>
      <c r="V32" s="1250">
        <f t="shared" si="33"/>
        <v>1</v>
      </c>
      <c r="W32" s="1250">
        <f t="shared" si="33"/>
        <v>1</v>
      </c>
      <c r="X32" s="1250">
        <f t="shared" si="33"/>
        <v>1</v>
      </c>
      <c r="Y32" s="1250">
        <f t="shared" si="33"/>
        <v>1</v>
      </c>
      <c r="Z32" s="1250">
        <f t="shared" si="33"/>
        <v>1</v>
      </c>
      <c r="AA32" s="1250">
        <f t="shared" si="33"/>
        <v>1</v>
      </c>
      <c r="AB32" s="1250">
        <f t="shared" si="33"/>
        <v>1</v>
      </c>
      <c r="AC32" s="1250">
        <f t="shared" si="33"/>
        <v>1</v>
      </c>
      <c r="AD32" s="1250">
        <f t="shared" si="33"/>
        <v>1</v>
      </c>
      <c r="AE32" s="1250">
        <f t="shared" si="33"/>
        <v>1</v>
      </c>
      <c r="AF32" s="1250">
        <f t="shared" si="33"/>
        <v>1</v>
      </c>
      <c r="AG32" s="1250">
        <f t="shared" si="33"/>
        <v>1</v>
      </c>
      <c r="AH32" s="1250">
        <f t="shared" si="33"/>
        <v>1</v>
      </c>
      <c r="AI32" s="1250">
        <f t="shared" si="33"/>
        <v>1</v>
      </c>
      <c r="AJ32" s="1250">
        <f t="shared" si="33"/>
        <v>1</v>
      </c>
      <c r="AK32" s="1250">
        <f t="shared" si="33"/>
        <v>1</v>
      </c>
      <c r="AL32" s="1250">
        <f t="shared" si="33"/>
        <v>1</v>
      </c>
      <c r="AM32" s="1251" t="s">
        <v>1373</v>
      </c>
      <c r="AN32" s="1252">
        <f>MAX(I32:AL32)</f>
        <v>1</v>
      </c>
      <c r="AO32" s="1248" t="s">
        <v>1370</v>
      </c>
      <c r="AP32" s="1252"/>
      <c r="AQ32" s="1251" t="s">
        <v>1374</v>
      </c>
      <c r="AR32" s="1252">
        <f>MAX(I32:AL32)</f>
        <v>1</v>
      </c>
      <c r="AS32" s="275"/>
      <c r="AT32" s="278"/>
      <c r="AU32" s="278"/>
      <c r="AV32" s="278"/>
      <c r="AW32" s="278"/>
      <c r="AX32" s="278"/>
      <c r="AY32" s="278"/>
      <c r="AZ32" s="278"/>
      <c r="BA32" s="278"/>
      <c r="BB32" s="278"/>
      <c r="BC32" s="278"/>
      <c r="BD32" s="278"/>
      <c r="BE32" s="278"/>
      <c r="BF32" s="278"/>
      <c r="BG32" s="278"/>
      <c r="BH32" s="278"/>
      <c r="BI32" s="278"/>
      <c r="BJ32" s="278"/>
    </row>
    <row r="33" spans="1:62" s="10" customFormat="1">
      <c r="A33" s="595"/>
      <c r="B33" s="598"/>
      <c r="C33" s="599"/>
      <c r="D33" s="9"/>
      <c r="E33" s="1246" t="str">
        <f>'Despesas com Pessoal'!F33</f>
        <v>P018</v>
      </c>
      <c r="F33" s="1259" t="str">
        <f>'Despesas com Pessoal'!G33</f>
        <v>Analista de Sistema de Qualidade</v>
      </c>
      <c r="G33" s="1251"/>
      <c r="H33" s="1249"/>
      <c r="I33" s="1250">
        <v>1</v>
      </c>
      <c r="J33" s="1250">
        <v>1</v>
      </c>
      <c r="K33" s="1250">
        <v>1</v>
      </c>
      <c r="L33" s="1250">
        <v>1</v>
      </c>
      <c r="M33" s="1250">
        <v>1</v>
      </c>
      <c r="N33" s="1250">
        <v>1</v>
      </c>
      <c r="O33" s="1250">
        <v>1</v>
      </c>
      <c r="P33" s="1250">
        <v>1</v>
      </c>
      <c r="Q33" s="1250">
        <v>1</v>
      </c>
      <c r="R33" s="1250">
        <v>1</v>
      </c>
      <c r="S33" s="1250">
        <v>1</v>
      </c>
      <c r="T33" s="1250">
        <v>1</v>
      </c>
      <c r="U33" s="1250">
        <v>1</v>
      </c>
      <c r="V33" s="1250">
        <v>1</v>
      </c>
      <c r="W33" s="1250">
        <v>1</v>
      </c>
      <c r="X33" s="1250">
        <v>1</v>
      </c>
      <c r="Y33" s="1250">
        <v>1</v>
      </c>
      <c r="Z33" s="1250">
        <v>1</v>
      </c>
      <c r="AA33" s="1250">
        <v>1</v>
      </c>
      <c r="AB33" s="1250">
        <v>1</v>
      </c>
      <c r="AC33" s="1250">
        <v>1</v>
      </c>
      <c r="AD33" s="1250">
        <v>1</v>
      </c>
      <c r="AE33" s="1250">
        <v>1</v>
      </c>
      <c r="AF33" s="1250">
        <v>1</v>
      </c>
      <c r="AG33" s="1250">
        <v>1</v>
      </c>
      <c r="AH33" s="1250">
        <v>1</v>
      </c>
      <c r="AI33" s="1250">
        <v>1</v>
      </c>
      <c r="AJ33" s="1250">
        <v>1</v>
      </c>
      <c r="AK33" s="1250">
        <v>1</v>
      </c>
      <c r="AL33" s="1250">
        <v>1</v>
      </c>
      <c r="AM33" s="1251" t="s">
        <v>1369</v>
      </c>
      <c r="AN33" s="1252">
        <f>MAX(I33:AL33)</f>
        <v>1</v>
      </c>
      <c r="AO33" s="1248" t="s">
        <v>1370</v>
      </c>
      <c r="AP33" s="1252">
        <v>1</v>
      </c>
      <c r="AQ33" s="1248" t="s">
        <v>1371</v>
      </c>
      <c r="AR33" s="1252">
        <f t="shared" si="28"/>
        <v>1</v>
      </c>
      <c r="AS33" s="275"/>
      <c r="AT33" s="278"/>
      <c r="AU33" s="278"/>
      <c r="AV33" s="278"/>
      <c r="AW33" s="278"/>
      <c r="AX33" s="278"/>
      <c r="AY33" s="278"/>
      <c r="AZ33" s="278"/>
      <c r="BA33" s="278"/>
      <c r="BB33" s="278"/>
      <c r="BC33" s="278"/>
      <c r="BD33" s="278"/>
      <c r="BE33" s="278"/>
      <c r="BF33" s="278"/>
      <c r="BG33" s="278"/>
      <c r="BH33" s="278"/>
      <c r="BI33" s="278"/>
      <c r="BJ33" s="278"/>
    </row>
    <row r="34" spans="1:62">
      <c r="A34" s="595"/>
      <c r="B34" s="598"/>
      <c r="C34" s="599"/>
      <c r="D34" s="11"/>
      <c r="E34" s="1246"/>
      <c r="F34" s="1256" t="s">
        <v>778</v>
      </c>
      <c r="G34" s="1255"/>
      <c r="H34" s="1249"/>
      <c r="I34" s="1245"/>
      <c r="J34" s="1245"/>
      <c r="K34" s="1245"/>
      <c r="L34" s="1245"/>
      <c r="M34" s="1245"/>
      <c r="N34" s="1245"/>
      <c r="O34" s="1245"/>
      <c r="P34" s="1245"/>
      <c r="Q34" s="1245"/>
      <c r="R34" s="1245"/>
      <c r="S34" s="1245"/>
      <c r="T34" s="1245"/>
      <c r="U34" s="1245"/>
      <c r="V34" s="1245"/>
      <c r="W34" s="1245"/>
      <c r="X34" s="1245"/>
      <c r="Y34" s="1245"/>
      <c r="Z34" s="1245"/>
      <c r="AA34" s="1245"/>
      <c r="AB34" s="1245"/>
      <c r="AC34" s="1245"/>
      <c r="AD34" s="1245"/>
      <c r="AE34" s="1257"/>
      <c r="AF34" s="1258"/>
      <c r="AG34" s="1258"/>
      <c r="AH34" s="1258"/>
      <c r="AI34" s="1258"/>
      <c r="AJ34" s="1258"/>
      <c r="AK34" s="1258"/>
      <c r="AL34" s="1258"/>
      <c r="AM34" s="1255"/>
      <c r="AN34" s="1244"/>
      <c r="AO34" s="1255"/>
      <c r="AP34" s="1244"/>
      <c r="AQ34" s="1255"/>
      <c r="AR34" s="1252">
        <f t="shared" si="28"/>
        <v>0</v>
      </c>
      <c r="AS34" s="275"/>
      <c r="AT34" s="275"/>
      <c r="AU34" s="275"/>
      <c r="AV34" s="275"/>
      <c r="AW34" s="275"/>
      <c r="AX34" s="275"/>
      <c r="AY34" s="275"/>
      <c r="AZ34" s="275"/>
      <c r="BA34" s="275"/>
      <c r="BB34" s="275"/>
      <c r="BC34" s="275"/>
      <c r="BD34" s="275"/>
      <c r="BE34" s="275"/>
      <c r="BF34" s="275"/>
      <c r="BG34" s="275"/>
      <c r="BH34" s="275"/>
      <c r="BI34" s="275"/>
      <c r="BJ34" s="275"/>
    </row>
    <row r="35" spans="1:62">
      <c r="A35" s="595"/>
      <c r="B35" s="598"/>
      <c r="C35" s="599"/>
      <c r="D35" s="11"/>
      <c r="E35" s="1246" t="str">
        <f>'Despesas com Pessoal'!F35</f>
        <v>P166</v>
      </c>
      <c r="F35" s="1259" t="str">
        <f>'Despesas com Pessoal'!G35</f>
        <v>Assessor de Planejamento Estratégico</v>
      </c>
      <c r="G35" s="1251"/>
      <c r="H35" s="1249"/>
      <c r="I35" s="1250">
        <v>1</v>
      </c>
      <c r="J35" s="1250">
        <f>I35</f>
        <v>1</v>
      </c>
      <c r="K35" s="1250">
        <f t="shared" ref="K35:AL35" si="34">J35</f>
        <v>1</v>
      </c>
      <c r="L35" s="1250">
        <f t="shared" si="34"/>
        <v>1</v>
      </c>
      <c r="M35" s="1250">
        <f t="shared" si="34"/>
        <v>1</v>
      </c>
      <c r="N35" s="1250">
        <f t="shared" si="34"/>
        <v>1</v>
      </c>
      <c r="O35" s="1250">
        <f t="shared" si="34"/>
        <v>1</v>
      </c>
      <c r="P35" s="1250">
        <f t="shared" si="34"/>
        <v>1</v>
      </c>
      <c r="Q35" s="1250">
        <f t="shared" si="34"/>
        <v>1</v>
      </c>
      <c r="R35" s="1250">
        <f t="shared" si="34"/>
        <v>1</v>
      </c>
      <c r="S35" s="1250">
        <f t="shared" si="34"/>
        <v>1</v>
      </c>
      <c r="T35" s="1250">
        <f t="shared" si="34"/>
        <v>1</v>
      </c>
      <c r="U35" s="1250">
        <f t="shared" si="34"/>
        <v>1</v>
      </c>
      <c r="V35" s="1250">
        <f t="shared" si="34"/>
        <v>1</v>
      </c>
      <c r="W35" s="1250">
        <f t="shared" si="34"/>
        <v>1</v>
      </c>
      <c r="X35" s="1250">
        <f t="shared" si="34"/>
        <v>1</v>
      </c>
      <c r="Y35" s="1250">
        <f t="shared" si="34"/>
        <v>1</v>
      </c>
      <c r="Z35" s="1250">
        <f t="shared" si="34"/>
        <v>1</v>
      </c>
      <c r="AA35" s="1250">
        <f t="shared" si="34"/>
        <v>1</v>
      </c>
      <c r="AB35" s="1250">
        <f t="shared" si="34"/>
        <v>1</v>
      </c>
      <c r="AC35" s="1250">
        <f t="shared" si="34"/>
        <v>1</v>
      </c>
      <c r="AD35" s="1250">
        <f t="shared" si="34"/>
        <v>1</v>
      </c>
      <c r="AE35" s="1250">
        <f t="shared" si="34"/>
        <v>1</v>
      </c>
      <c r="AF35" s="1250">
        <f t="shared" si="34"/>
        <v>1</v>
      </c>
      <c r="AG35" s="1250">
        <f t="shared" si="34"/>
        <v>1</v>
      </c>
      <c r="AH35" s="1250">
        <f t="shared" si="34"/>
        <v>1</v>
      </c>
      <c r="AI35" s="1250">
        <f t="shared" si="34"/>
        <v>1</v>
      </c>
      <c r="AJ35" s="1250">
        <f t="shared" si="34"/>
        <v>1</v>
      </c>
      <c r="AK35" s="1250">
        <f t="shared" si="34"/>
        <v>1</v>
      </c>
      <c r="AL35" s="1250">
        <f t="shared" si="34"/>
        <v>1</v>
      </c>
      <c r="AM35" s="1251" t="s">
        <v>1373</v>
      </c>
      <c r="AN35" s="1252">
        <f>MAX(I35:AL35)</f>
        <v>1</v>
      </c>
      <c r="AO35" s="1248" t="s">
        <v>1370</v>
      </c>
      <c r="AP35" s="1252"/>
      <c r="AQ35" s="1251" t="s">
        <v>1374</v>
      </c>
      <c r="AR35" s="1252">
        <f>MAX(I35:AL35)</f>
        <v>1</v>
      </c>
      <c r="AS35" s="275"/>
      <c r="AT35" s="275"/>
      <c r="AU35" s="275"/>
      <c r="AV35" s="275"/>
      <c r="AW35" s="275"/>
      <c r="AX35" s="275"/>
      <c r="AY35" s="275"/>
      <c r="AZ35" s="275"/>
      <c r="BA35" s="275"/>
      <c r="BB35" s="275"/>
      <c r="BC35" s="275"/>
      <c r="BD35" s="275"/>
      <c r="BE35" s="275"/>
      <c r="BF35" s="275"/>
      <c r="BG35" s="275"/>
      <c r="BH35" s="275"/>
      <c r="BI35" s="275"/>
      <c r="BJ35" s="275"/>
    </row>
    <row r="36" spans="1:62">
      <c r="A36" s="595"/>
      <c r="B36" s="598"/>
      <c r="C36" s="599"/>
      <c r="D36" s="11"/>
      <c r="E36" s="1246" t="str">
        <f>'Despesas com Pessoal'!F36</f>
        <v>P068</v>
      </c>
      <c r="F36" s="1259" t="str">
        <f>'Despesas com Pessoal'!G36</f>
        <v>Coordenador de Planejamento</v>
      </c>
      <c r="G36" s="1251" t="s">
        <v>1376</v>
      </c>
      <c r="H36" s="1249">
        <v>1</v>
      </c>
      <c r="I36" s="1250">
        <v>1</v>
      </c>
      <c r="J36" s="1250">
        <f t="shared" ref="J36:AF36" si="35">I36</f>
        <v>1</v>
      </c>
      <c r="K36" s="1250">
        <f t="shared" si="35"/>
        <v>1</v>
      </c>
      <c r="L36" s="1250">
        <f t="shared" si="35"/>
        <v>1</v>
      </c>
      <c r="M36" s="1250">
        <f t="shared" si="35"/>
        <v>1</v>
      </c>
      <c r="N36" s="1250">
        <f t="shared" si="35"/>
        <v>1</v>
      </c>
      <c r="O36" s="1250">
        <f t="shared" si="35"/>
        <v>1</v>
      </c>
      <c r="P36" s="1250">
        <f t="shared" si="35"/>
        <v>1</v>
      </c>
      <c r="Q36" s="1250">
        <f t="shared" si="35"/>
        <v>1</v>
      </c>
      <c r="R36" s="1250">
        <f t="shared" si="35"/>
        <v>1</v>
      </c>
      <c r="S36" s="1250">
        <f t="shared" si="35"/>
        <v>1</v>
      </c>
      <c r="T36" s="1250">
        <f t="shared" si="35"/>
        <v>1</v>
      </c>
      <c r="U36" s="1250">
        <f t="shared" si="35"/>
        <v>1</v>
      </c>
      <c r="V36" s="1250">
        <f t="shared" si="35"/>
        <v>1</v>
      </c>
      <c r="W36" s="1250">
        <f t="shared" si="35"/>
        <v>1</v>
      </c>
      <c r="X36" s="1250">
        <f t="shared" si="35"/>
        <v>1</v>
      </c>
      <c r="Y36" s="1250">
        <f t="shared" si="35"/>
        <v>1</v>
      </c>
      <c r="Z36" s="1250">
        <f t="shared" si="35"/>
        <v>1</v>
      </c>
      <c r="AA36" s="1250">
        <f t="shared" si="35"/>
        <v>1</v>
      </c>
      <c r="AB36" s="1250">
        <f t="shared" si="35"/>
        <v>1</v>
      </c>
      <c r="AC36" s="1250">
        <f t="shared" si="35"/>
        <v>1</v>
      </c>
      <c r="AD36" s="1250">
        <f t="shared" si="35"/>
        <v>1</v>
      </c>
      <c r="AE36" s="1250">
        <f t="shared" si="35"/>
        <v>1</v>
      </c>
      <c r="AF36" s="1250">
        <f t="shared" si="35"/>
        <v>1</v>
      </c>
      <c r="AG36" s="1250">
        <f t="shared" ref="AG36" si="36">AF36</f>
        <v>1</v>
      </c>
      <c r="AH36" s="1250">
        <f t="shared" ref="AH36" si="37">AG36</f>
        <v>1</v>
      </c>
      <c r="AI36" s="1250">
        <f t="shared" ref="AI36" si="38">AH36</f>
        <v>1</v>
      </c>
      <c r="AJ36" s="1250">
        <f t="shared" ref="AJ36" si="39">AI36</f>
        <v>1</v>
      </c>
      <c r="AK36" s="1250">
        <f t="shared" ref="AK36" si="40">AJ36</f>
        <v>1</v>
      </c>
      <c r="AL36" s="1250">
        <f t="shared" ref="AL36" si="41">AK36</f>
        <v>1</v>
      </c>
      <c r="AM36" s="1251" t="s">
        <v>1373</v>
      </c>
      <c r="AN36" s="1252">
        <f>MAX(I36:AL36)</f>
        <v>1</v>
      </c>
      <c r="AO36" s="1248" t="s">
        <v>1370</v>
      </c>
      <c r="AP36" s="1252">
        <v>1</v>
      </c>
      <c r="AQ36" s="1251" t="s">
        <v>1374</v>
      </c>
      <c r="AR36" s="1252">
        <f>MAX(I36:AL36)</f>
        <v>1</v>
      </c>
      <c r="AS36" s="275"/>
      <c r="AT36" s="275"/>
      <c r="AU36" s="275"/>
      <c r="AV36" s="275"/>
      <c r="AW36" s="275"/>
      <c r="AX36" s="275"/>
      <c r="AY36" s="275"/>
      <c r="AZ36" s="275"/>
      <c r="BA36" s="275"/>
      <c r="BB36" s="275"/>
      <c r="BC36" s="275"/>
      <c r="BD36" s="275"/>
      <c r="BE36" s="275"/>
      <c r="BF36" s="275"/>
      <c r="BG36" s="275"/>
      <c r="BH36" s="275"/>
      <c r="BI36" s="275"/>
      <c r="BJ36" s="275"/>
    </row>
    <row r="37" spans="1:62" s="10" customFormat="1">
      <c r="A37" s="595"/>
      <c r="B37" s="598"/>
      <c r="C37" s="599"/>
      <c r="D37" s="9"/>
      <c r="E37" s="1246" t="str">
        <f>'Despesas com Pessoal'!F37</f>
        <v>P030</v>
      </c>
      <c r="F37" s="1259" t="str">
        <f>'Despesas com Pessoal'!G37</f>
        <v>Assistente de Informática</v>
      </c>
      <c r="G37" s="1251"/>
      <c r="H37" s="1249"/>
      <c r="I37" s="1250"/>
      <c r="J37" s="1250"/>
      <c r="K37" s="1250"/>
      <c r="L37" s="1250"/>
      <c r="M37" s="1250"/>
      <c r="N37" s="1250"/>
      <c r="O37" s="1250"/>
      <c r="P37" s="1250"/>
      <c r="Q37" s="1250"/>
      <c r="R37" s="1250"/>
      <c r="S37" s="1250"/>
      <c r="T37" s="1250"/>
      <c r="U37" s="1250"/>
      <c r="V37" s="1250"/>
      <c r="W37" s="1250"/>
      <c r="X37" s="1250"/>
      <c r="Y37" s="1250"/>
      <c r="Z37" s="1250"/>
      <c r="AA37" s="1250"/>
      <c r="AB37" s="1250"/>
      <c r="AC37" s="1250"/>
      <c r="AD37" s="1250"/>
      <c r="AE37" s="1250"/>
      <c r="AF37" s="1250"/>
      <c r="AG37" s="1250"/>
      <c r="AH37" s="1250"/>
      <c r="AI37" s="1250"/>
      <c r="AJ37" s="1250"/>
      <c r="AK37" s="1250"/>
      <c r="AL37" s="1250"/>
      <c r="AM37" s="1251" t="s">
        <v>1373</v>
      </c>
      <c r="AN37" s="1252">
        <f>MAX(I37:AL37)</f>
        <v>0</v>
      </c>
      <c r="AO37" s="1248" t="s">
        <v>1370</v>
      </c>
      <c r="AP37" s="1252"/>
      <c r="AQ37" s="1248" t="s">
        <v>1371</v>
      </c>
      <c r="AR37" s="1252">
        <f t="shared" si="28"/>
        <v>0</v>
      </c>
      <c r="AS37" s="275"/>
      <c r="AT37" s="278"/>
      <c r="AU37" s="278"/>
      <c r="AV37" s="278"/>
      <c r="AW37" s="278"/>
      <c r="AX37" s="278"/>
      <c r="AY37" s="278"/>
      <c r="AZ37" s="278"/>
      <c r="BA37" s="278"/>
      <c r="BB37" s="278"/>
      <c r="BC37" s="278"/>
      <c r="BD37" s="278"/>
      <c r="BE37" s="278"/>
      <c r="BF37" s="278"/>
      <c r="BG37" s="278"/>
      <c r="BH37" s="278"/>
      <c r="BI37" s="278"/>
      <c r="BJ37" s="278"/>
    </row>
    <row r="38" spans="1:62" s="10" customFormat="1">
      <c r="A38" s="595"/>
      <c r="B38" s="598"/>
      <c r="C38" s="599"/>
      <c r="D38" s="9"/>
      <c r="E38" s="1246"/>
      <c r="F38" s="1243" t="s">
        <v>783</v>
      </c>
      <c r="G38" s="1255"/>
      <c r="H38" s="1254"/>
      <c r="I38" s="1261">
        <f>SUBTOTAL(9,I39:I82)</f>
        <v>32</v>
      </c>
      <c r="J38" s="1261">
        <f t="shared" ref="J38:AF38" si="42">SUBTOTAL(9,J39:J82)</f>
        <v>32</v>
      </c>
      <c r="K38" s="1261">
        <f t="shared" si="42"/>
        <v>32</v>
      </c>
      <c r="L38" s="1261">
        <f t="shared" si="42"/>
        <v>32</v>
      </c>
      <c r="M38" s="1261">
        <f t="shared" si="42"/>
        <v>32</v>
      </c>
      <c r="N38" s="1261">
        <f t="shared" si="42"/>
        <v>32</v>
      </c>
      <c r="O38" s="1261">
        <f t="shared" si="42"/>
        <v>32</v>
      </c>
      <c r="P38" s="1261">
        <f t="shared" si="42"/>
        <v>32</v>
      </c>
      <c r="Q38" s="1261">
        <f t="shared" si="42"/>
        <v>32</v>
      </c>
      <c r="R38" s="1261">
        <f t="shared" si="42"/>
        <v>32</v>
      </c>
      <c r="S38" s="1261">
        <f t="shared" si="42"/>
        <v>32</v>
      </c>
      <c r="T38" s="1261">
        <f t="shared" si="42"/>
        <v>32</v>
      </c>
      <c r="U38" s="1261">
        <f t="shared" si="42"/>
        <v>32</v>
      </c>
      <c r="V38" s="1261">
        <f t="shared" si="42"/>
        <v>32</v>
      </c>
      <c r="W38" s="1261">
        <f t="shared" si="42"/>
        <v>32</v>
      </c>
      <c r="X38" s="1261">
        <f t="shared" si="42"/>
        <v>32</v>
      </c>
      <c r="Y38" s="1261">
        <f t="shared" si="42"/>
        <v>32</v>
      </c>
      <c r="Z38" s="1261">
        <f t="shared" si="42"/>
        <v>32</v>
      </c>
      <c r="AA38" s="1261">
        <f t="shared" si="42"/>
        <v>32</v>
      </c>
      <c r="AB38" s="1261">
        <f t="shared" si="42"/>
        <v>32</v>
      </c>
      <c r="AC38" s="1261">
        <f t="shared" si="42"/>
        <v>32</v>
      </c>
      <c r="AD38" s="1261">
        <f t="shared" si="42"/>
        <v>32</v>
      </c>
      <c r="AE38" s="1261">
        <f t="shared" si="42"/>
        <v>32</v>
      </c>
      <c r="AF38" s="1261">
        <f t="shared" si="42"/>
        <v>32</v>
      </c>
      <c r="AG38" s="1261">
        <f t="shared" ref="AG38:AL38" si="43">SUBTOTAL(9,AG39:AG82)</f>
        <v>32</v>
      </c>
      <c r="AH38" s="1261">
        <f t="shared" si="43"/>
        <v>32</v>
      </c>
      <c r="AI38" s="1261">
        <f t="shared" si="43"/>
        <v>32</v>
      </c>
      <c r="AJ38" s="1261">
        <f t="shared" si="43"/>
        <v>32</v>
      </c>
      <c r="AK38" s="1261">
        <f t="shared" si="43"/>
        <v>32</v>
      </c>
      <c r="AL38" s="1261">
        <f t="shared" si="43"/>
        <v>32</v>
      </c>
      <c r="AM38" s="1255"/>
      <c r="AN38" s="1244"/>
      <c r="AO38" s="1255"/>
      <c r="AP38" s="1244"/>
      <c r="AQ38" s="1255"/>
      <c r="AR38" s="1244"/>
      <c r="AS38" s="275"/>
      <c r="AT38" s="278"/>
      <c r="AU38" s="278"/>
      <c r="AV38" s="278"/>
      <c r="AW38" s="278"/>
      <c r="AX38" s="278"/>
      <c r="AY38" s="278"/>
      <c r="AZ38" s="278"/>
      <c r="BA38" s="278"/>
      <c r="BB38" s="278"/>
      <c r="BC38" s="278"/>
      <c r="BD38" s="278"/>
      <c r="BE38" s="278"/>
      <c r="BF38" s="278"/>
      <c r="BG38" s="278"/>
      <c r="BH38" s="278"/>
      <c r="BI38" s="278"/>
      <c r="BJ38" s="278"/>
    </row>
    <row r="39" spans="1:62" s="10" customFormat="1">
      <c r="A39" s="595"/>
      <c r="B39" s="598"/>
      <c r="C39" s="599"/>
      <c r="D39" s="9"/>
      <c r="E39" s="1246" t="str">
        <f>'Despesas com Pessoal'!F39</f>
        <v>p077</v>
      </c>
      <c r="F39" s="1262" t="str">
        <f>'Despesas com Pessoal'!G39</f>
        <v>Diretor administrativo e financeiro</v>
      </c>
      <c r="G39" s="1251" t="s">
        <v>1372</v>
      </c>
      <c r="H39" s="1249">
        <v>1</v>
      </c>
      <c r="I39" s="1250">
        <v>1</v>
      </c>
      <c r="J39" s="1250">
        <f t="shared" ref="J39:AF39" si="44">I39</f>
        <v>1</v>
      </c>
      <c r="K39" s="1250">
        <f t="shared" si="44"/>
        <v>1</v>
      </c>
      <c r="L39" s="1250">
        <f t="shared" si="44"/>
        <v>1</v>
      </c>
      <c r="M39" s="1250">
        <f t="shared" si="44"/>
        <v>1</v>
      </c>
      <c r="N39" s="1250">
        <v>1</v>
      </c>
      <c r="O39" s="1250">
        <f t="shared" si="44"/>
        <v>1</v>
      </c>
      <c r="P39" s="1250">
        <f t="shared" si="44"/>
        <v>1</v>
      </c>
      <c r="Q39" s="1250">
        <f t="shared" si="44"/>
        <v>1</v>
      </c>
      <c r="R39" s="1250">
        <f t="shared" si="44"/>
        <v>1</v>
      </c>
      <c r="S39" s="1250">
        <f t="shared" si="44"/>
        <v>1</v>
      </c>
      <c r="T39" s="1250">
        <f t="shared" si="44"/>
        <v>1</v>
      </c>
      <c r="U39" s="1250">
        <f t="shared" si="44"/>
        <v>1</v>
      </c>
      <c r="V39" s="1250">
        <f t="shared" si="44"/>
        <v>1</v>
      </c>
      <c r="W39" s="1250">
        <f t="shared" si="44"/>
        <v>1</v>
      </c>
      <c r="X39" s="1250">
        <f t="shared" si="44"/>
        <v>1</v>
      </c>
      <c r="Y39" s="1250">
        <f t="shared" si="44"/>
        <v>1</v>
      </c>
      <c r="Z39" s="1250">
        <f t="shared" si="44"/>
        <v>1</v>
      </c>
      <c r="AA39" s="1250">
        <f t="shared" si="44"/>
        <v>1</v>
      </c>
      <c r="AB39" s="1250">
        <f t="shared" si="44"/>
        <v>1</v>
      </c>
      <c r="AC39" s="1250">
        <f t="shared" si="44"/>
        <v>1</v>
      </c>
      <c r="AD39" s="1250">
        <f t="shared" si="44"/>
        <v>1</v>
      </c>
      <c r="AE39" s="1250">
        <f t="shared" si="44"/>
        <v>1</v>
      </c>
      <c r="AF39" s="1250">
        <f t="shared" si="44"/>
        <v>1</v>
      </c>
      <c r="AG39" s="1250">
        <f t="shared" ref="AG39" si="45">AF39</f>
        <v>1</v>
      </c>
      <c r="AH39" s="1250">
        <f t="shared" ref="AH39" si="46">AG39</f>
        <v>1</v>
      </c>
      <c r="AI39" s="1250">
        <f t="shared" ref="AI39" si="47">AH39</f>
        <v>1</v>
      </c>
      <c r="AJ39" s="1250">
        <f t="shared" ref="AJ39" si="48">AI39</f>
        <v>1</v>
      </c>
      <c r="AK39" s="1250">
        <f t="shared" ref="AK39" si="49">AJ39</f>
        <v>1</v>
      </c>
      <c r="AL39" s="1250">
        <f t="shared" ref="AL39" si="50">AK39</f>
        <v>1</v>
      </c>
      <c r="AM39" s="1251" t="s">
        <v>1373</v>
      </c>
      <c r="AN39" s="1252">
        <f>MAX(I39:AL39)</f>
        <v>1</v>
      </c>
      <c r="AO39" s="1248" t="s">
        <v>1370</v>
      </c>
      <c r="AP39" s="1252">
        <v>1</v>
      </c>
      <c r="AQ39" s="1251" t="s">
        <v>1374</v>
      </c>
      <c r="AR39" s="1252">
        <f>MAX(I39:AL39)</f>
        <v>1</v>
      </c>
      <c r="AS39" s="275"/>
      <c r="AT39" s="278"/>
      <c r="AU39" s="278"/>
      <c r="AV39" s="278"/>
      <c r="AW39" s="278"/>
      <c r="AX39" s="278"/>
      <c r="AY39" s="278"/>
      <c r="AZ39" s="278"/>
      <c r="BA39" s="278"/>
      <c r="BB39" s="278"/>
      <c r="BC39" s="278"/>
      <c r="BD39" s="278"/>
      <c r="BE39" s="278"/>
      <c r="BF39" s="278"/>
      <c r="BG39" s="278"/>
      <c r="BH39" s="278"/>
      <c r="BI39" s="278"/>
      <c r="BJ39" s="278"/>
    </row>
    <row r="40" spans="1:62" s="10" customFormat="1">
      <c r="A40" s="595"/>
      <c r="B40" s="598"/>
      <c r="C40" s="599"/>
      <c r="D40" s="9"/>
      <c r="E40" s="1246" t="str">
        <f>'Despesas com Pessoal'!F40</f>
        <v>P104</v>
      </c>
      <c r="F40" s="1262" t="str">
        <f>'Despesas com Pessoal'!G40</f>
        <v>Estagiário</v>
      </c>
      <c r="G40" s="1251"/>
      <c r="H40" s="1249"/>
      <c r="I40" s="1250"/>
      <c r="J40" s="1250"/>
      <c r="K40" s="1250"/>
      <c r="L40" s="1250"/>
      <c r="M40" s="1250"/>
      <c r="N40" s="1250"/>
      <c r="O40" s="1250"/>
      <c r="P40" s="1250"/>
      <c r="Q40" s="1250"/>
      <c r="R40" s="1250"/>
      <c r="S40" s="1250"/>
      <c r="T40" s="1250"/>
      <c r="U40" s="1250"/>
      <c r="V40" s="1250"/>
      <c r="W40" s="1250"/>
      <c r="X40" s="1250"/>
      <c r="Y40" s="1250"/>
      <c r="Z40" s="1250"/>
      <c r="AA40" s="1250"/>
      <c r="AB40" s="1250"/>
      <c r="AC40" s="1250"/>
      <c r="AD40" s="1250"/>
      <c r="AE40" s="1250"/>
      <c r="AF40" s="1250"/>
      <c r="AG40" s="1250"/>
      <c r="AH40" s="1250"/>
      <c r="AI40" s="1250"/>
      <c r="AJ40" s="1250"/>
      <c r="AK40" s="1250"/>
      <c r="AL40" s="1250"/>
      <c r="AM40" s="1251"/>
      <c r="AN40" s="1252"/>
      <c r="AO40" s="1248" t="s">
        <v>1370</v>
      </c>
      <c r="AP40" s="1252"/>
      <c r="AQ40" s="1248" t="s">
        <v>1371</v>
      </c>
      <c r="AR40" s="1252">
        <f t="shared" ref="AR40:AR80" si="51">MAX(I40:AL40)</f>
        <v>0</v>
      </c>
      <c r="AS40" s="275"/>
      <c r="AT40" s="278"/>
      <c r="AU40" s="278"/>
      <c r="AV40" s="278"/>
      <c r="AW40" s="278"/>
      <c r="AX40" s="278"/>
      <c r="AY40" s="278"/>
      <c r="AZ40" s="278"/>
      <c r="BA40" s="278"/>
      <c r="BB40" s="278"/>
      <c r="BC40" s="278"/>
      <c r="BD40" s="278"/>
      <c r="BE40" s="278"/>
      <c r="BF40" s="278"/>
      <c r="BG40" s="278"/>
      <c r="BH40" s="278"/>
      <c r="BI40" s="278"/>
      <c r="BJ40" s="278"/>
    </row>
    <row r="41" spans="1:62" s="10" customFormat="1">
      <c r="A41" s="595"/>
      <c r="B41" s="598"/>
      <c r="C41" s="599"/>
      <c r="D41" s="9"/>
      <c r="E41" s="1246" t="str">
        <f>'Despesas com Pessoal'!F41</f>
        <v>P135</v>
      </c>
      <c r="F41" s="1262" t="str">
        <f>'Despesas com Pessoal'!G41</f>
        <v>Secretária</v>
      </c>
      <c r="G41" s="1251"/>
      <c r="H41" s="1249"/>
      <c r="I41" s="1250">
        <v>1</v>
      </c>
      <c r="J41" s="1250">
        <v>1</v>
      </c>
      <c r="K41" s="1250">
        <v>1</v>
      </c>
      <c r="L41" s="1250">
        <v>1</v>
      </c>
      <c r="M41" s="1250">
        <v>1</v>
      </c>
      <c r="N41" s="1250">
        <v>1</v>
      </c>
      <c r="O41" s="1250">
        <v>1</v>
      </c>
      <c r="P41" s="1250">
        <v>1</v>
      </c>
      <c r="Q41" s="1250">
        <v>1</v>
      </c>
      <c r="R41" s="1250">
        <v>1</v>
      </c>
      <c r="S41" s="1250">
        <v>1</v>
      </c>
      <c r="T41" s="1250">
        <v>1</v>
      </c>
      <c r="U41" s="1250">
        <v>1</v>
      </c>
      <c r="V41" s="1250">
        <v>1</v>
      </c>
      <c r="W41" s="1250">
        <v>1</v>
      </c>
      <c r="X41" s="1250">
        <v>1</v>
      </c>
      <c r="Y41" s="1250">
        <v>1</v>
      </c>
      <c r="Z41" s="1250">
        <v>1</v>
      </c>
      <c r="AA41" s="1250">
        <v>1</v>
      </c>
      <c r="AB41" s="1250">
        <v>1</v>
      </c>
      <c r="AC41" s="1250">
        <v>1</v>
      </c>
      <c r="AD41" s="1250">
        <v>1</v>
      </c>
      <c r="AE41" s="1250">
        <v>1</v>
      </c>
      <c r="AF41" s="1250">
        <v>1</v>
      </c>
      <c r="AG41" s="1250">
        <v>1</v>
      </c>
      <c r="AH41" s="1250">
        <v>1</v>
      </c>
      <c r="AI41" s="1250">
        <v>1</v>
      </c>
      <c r="AJ41" s="1250">
        <v>1</v>
      </c>
      <c r="AK41" s="1250">
        <v>1</v>
      </c>
      <c r="AL41" s="1250">
        <v>1</v>
      </c>
      <c r="AM41" s="1251" t="s">
        <v>1369</v>
      </c>
      <c r="AN41" s="1252">
        <f>MAX(I41:AL41)</f>
        <v>1</v>
      </c>
      <c r="AO41" s="1248" t="s">
        <v>1370</v>
      </c>
      <c r="AP41" s="1252"/>
      <c r="AQ41" s="1248" t="s">
        <v>1371</v>
      </c>
      <c r="AR41" s="1252">
        <f t="shared" si="51"/>
        <v>1</v>
      </c>
      <c r="AS41" s="275"/>
      <c r="AT41" s="278"/>
      <c r="AU41" s="278"/>
      <c r="AV41" s="278"/>
      <c r="AW41" s="278"/>
      <c r="AX41" s="278"/>
      <c r="AY41" s="278"/>
      <c r="AZ41" s="278"/>
      <c r="BA41" s="278"/>
      <c r="BB41" s="278"/>
      <c r="BC41" s="278"/>
      <c r="BD41" s="278"/>
      <c r="BE41" s="278"/>
      <c r="BF41" s="278"/>
      <c r="BG41" s="278"/>
      <c r="BH41" s="278"/>
      <c r="BI41" s="278"/>
      <c r="BJ41" s="278"/>
    </row>
    <row r="42" spans="1:62" s="10" customFormat="1">
      <c r="A42" s="595"/>
      <c r="B42" s="598"/>
      <c r="C42" s="599"/>
      <c r="D42" s="9"/>
      <c r="E42" s="1246"/>
      <c r="F42" s="1263" t="s">
        <v>785</v>
      </c>
      <c r="G42" s="1255"/>
      <c r="H42" s="1249"/>
      <c r="I42" s="1245"/>
      <c r="J42" s="1245"/>
      <c r="K42" s="1245"/>
      <c r="L42" s="1245"/>
      <c r="M42" s="1245"/>
      <c r="N42" s="1245"/>
      <c r="O42" s="1245"/>
      <c r="P42" s="1245"/>
      <c r="Q42" s="1245"/>
      <c r="R42" s="1245"/>
      <c r="S42" s="1245"/>
      <c r="T42" s="1245"/>
      <c r="U42" s="1245"/>
      <c r="V42" s="1245"/>
      <c r="W42" s="1245"/>
      <c r="X42" s="1245"/>
      <c r="Y42" s="1245"/>
      <c r="Z42" s="1245"/>
      <c r="AA42" s="1245"/>
      <c r="AB42" s="1245"/>
      <c r="AC42" s="1245"/>
      <c r="AD42" s="1245"/>
      <c r="AE42" s="1257"/>
      <c r="AF42" s="1258"/>
      <c r="AG42" s="1258"/>
      <c r="AH42" s="1258"/>
      <c r="AI42" s="1258"/>
      <c r="AJ42" s="1258"/>
      <c r="AK42" s="1258"/>
      <c r="AL42" s="1258"/>
      <c r="AM42" s="1255"/>
      <c r="AN42" s="1244"/>
      <c r="AO42" s="1255"/>
      <c r="AP42" s="1244"/>
      <c r="AQ42" s="1255"/>
      <c r="AR42" s="1252">
        <f t="shared" si="51"/>
        <v>0</v>
      </c>
      <c r="AS42" s="275"/>
      <c r="AT42" s="278"/>
      <c r="AU42" s="278"/>
      <c r="AV42" s="278"/>
      <c r="AW42" s="278"/>
      <c r="AX42" s="278"/>
      <c r="AY42" s="278"/>
      <c r="AZ42" s="278"/>
      <c r="BA42" s="278"/>
      <c r="BB42" s="278"/>
      <c r="BC42" s="278"/>
      <c r="BD42" s="278"/>
      <c r="BE42" s="278"/>
      <c r="BF42" s="278"/>
      <c r="BG42" s="278"/>
      <c r="BH42" s="278"/>
      <c r="BI42" s="278"/>
      <c r="BJ42" s="278"/>
    </row>
    <row r="43" spans="1:62">
      <c r="A43" s="595"/>
      <c r="B43" s="598"/>
      <c r="C43" s="599"/>
      <c r="D43" s="11"/>
      <c r="E43" s="1246" t="str">
        <f>'Despesas com Pessoal'!F43</f>
        <v>P080</v>
      </c>
      <c r="F43" s="1262" t="str">
        <f>'Despesas com Pessoal'!G43</f>
        <v>Encarregado Administrativo</v>
      </c>
      <c r="G43" s="1251"/>
      <c r="H43" s="1249"/>
      <c r="I43" s="1250">
        <v>1</v>
      </c>
      <c r="J43" s="1250">
        <f t="shared" ref="J43:AF46" si="52">I43</f>
        <v>1</v>
      </c>
      <c r="K43" s="1250">
        <f t="shared" si="52"/>
        <v>1</v>
      </c>
      <c r="L43" s="1250">
        <f t="shared" si="52"/>
        <v>1</v>
      </c>
      <c r="M43" s="1250">
        <f t="shared" si="52"/>
        <v>1</v>
      </c>
      <c r="N43" s="1250">
        <v>1</v>
      </c>
      <c r="O43" s="1250">
        <f t="shared" si="52"/>
        <v>1</v>
      </c>
      <c r="P43" s="1250">
        <f t="shared" si="52"/>
        <v>1</v>
      </c>
      <c r="Q43" s="1250">
        <f t="shared" si="52"/>
        <v>1</v>
      </c>
      <c r="R43" s="1250">
        <f t="shared" si="52"/>
        <v>1</v>
      </c>
      <c r="S43" s="1250">
        <f t="shared" si="52"/>
        <v>1</v>
      </c>
      <c r="T43" s="1250">
        <f t="shared" si="52"/>
        <v>1</v>
      </c>
      <c r="U43" s="1250">
        <f t="shared" si="52"/>
        <v>1</v>
      </c>
      <c r="V43" s="1250">
        <f t="shared" si="52"/>
        <v>1</v>
      </c>
      <c r="W43" s="1250">
        <f t="shared" si="52"/>
        <v>1</v>
      </c>
      <c r="X43" s="1250">
        <f t="shared" si="52"/>
        <v>1</v>
      </c>
      <c r="Y43" s="1250">
        <f t="shared" si="52"/>
        <v>1</v>
      </c>
      <c r="Z43" s="1250">
        <f t="shared" si="52"/>
        <v>1</v>
      </c>
      <c r="AA43" s="1250">
        <f t="shared" si="52"/>
        <v>1</v>
      </c>
      <c r="AB43" s="1250">
        <f t="shared" si="52"/>
        <v>1</v>
      </c>
      <c r="AC43" s="1250">
        <f t="shared" si="52"/>
        <v>1</v>
      </c>
      <c r="AD43" s="1250">
        <f t="shared" si="52"/>
        <v>1</v>
      </c>
      <c r="AE43" s="1250">
        <f t="shared" si="52"/>
        <v>1</v>
      </c>
      <c r="AF43" s="1250">
        <f t="shared" si="52"/>
        <v>1</v>
      </c>
      <c r="AG43" s="1250">
        <f t="shared" ref="AG43:AG46" si="53">AF43</f>
        <v>1</v>
      </c>
      <c r="AH43" s="1250">
        <f t="shared" ref="AH43:AH46" si="54">AG43</f>
        <v>1</v>
      </c>
      <c r="AI43" s="1250">
        <f t="shared" ref="AI43:AI46" si="55">AH43</f>
        <v>1</v>
      </c>
      <c r="AJ43" s="1250">
        <f t="shared" ref="AJ43:AJ46" si="56">AI43</f>
        <v>1</v>
      </c>
      <c r="AK43" s="1250">
        <f t="shared" ref="AK43:AK46" si="57">AJ43</f>
        <v>1</v>
      </c>
      <c r="AL43" s="1250">
        <f t="shared" ref="AL43:AL46" si="58">AK43</f>
        <v>1</v>
      </c>
      <c r="AM43" s="1251" t="s">
        <v>1373</v>
      </c>
      <c r="AN43" s="1252">
        <f>MAX(I43:AL43)</f>
        <v>1</v>
      </c>
      <c r="AO43" s="1248" t="s">
        <v>1370</v>
      </c>
      <c r="AP43" s="1252">
        <v>1</v>
      </c>
      <c r="AQ43" s="1251" t="s">
        <v>1374</v>
      </c>
      <c r="AR43" s="1252">
        <f t="shared" si="51"/>
        <v>1</v>
      </c>
      <c r="AS43" s="275"/>
      <c r="AT43" s="275"/>
      <c r="AU43" s="275"/>
      <c r="AV43" s="275"/>
      <c r="AW43" s="275"/>
      <c r="AX43" s="275"/>
      <c r="AY43" s="275"/>
      <c r="AZ43" s="275"/>
      <c r="BA43" s="275"/>
      <c r="BB43" s="275"/>
      <c r="BC43" s="275"/>
      <c r="BD43" s="275"/>
      <c r="BE43" s="275"/>
      <c r="BF43" s="275"/>
      <c r="BG43" s="275"/>
      <c r="BH43" s="275"/>
      <c r="BI43" s="275"/>
      <c r="BJ43" s="275"/>
    </row>
    <row r="44" spans="1:62">
      <c r="A44" s="595"/>
      <c r="B44" s="598"/>
      <c r="C44" s="599"/>
      <c r="D44" s="11"/>
      <c r="E44" s="1246" t="str">
        <f>'Despesas com Pessoal'!F44</f>
        <v>P025</v>
      </c>
      <c r="F44" s="1262" t="str">
        <f>'Despesas com Pessoal'!G44</f>
        <v>Assistente de Adm. Pessoal</v>
      </c>
      <c r="G44" s="1251"/>
      <c r="H44" s="1249"/>
      <c r="I44" s="1250">
        <v>1</v>
      </c>
      <c r="J44" s="1250">
        <f t="shared" si="52"/>
        <v>1</v>
      </c>
      <c r="K44" s="1250">
        <f t="shared" si="52"/>
        <v>1</v>
      </c>
      <c r="L44" s="1250">
        <f t="shared" si="52"/>
        <v>1</v>
      </c>
      <c r="M44" s="1250">
        <f t="shared" si="52"/>
        <v>1</v>
      </c>
      <c r="N44" s="1250">
        <f t="shared" si="52"/>
        <v>1</v>
      </c>
      <c r="O44" s="1250">
        <f t="shared" si="52"/>
        <v>1</v>
      </c>
      <c r="P44" s="1250">
        <f t="shared" si="52"/>
        <v>1</v>
      </c>
      <c r="Q44" s="1250">
        <f t="shared" si="52"/>
        <v>1</v>
      </c>
      <c r="R44" s="1250">
        <f t="shared" si="52"/>
        <v>1</v>
      </c>
      <c r="S44" s="1250">
        <f t="shared" si="52"/>
        <v>1</v>
      </c>
      <c r="T44" s="1250">
        <f t="shared" si="52"/>
        <v>1</v>
      </c>
      <c r="U44" s="1250">
        <f t="shared" si="52"/>
        <v>1</v>
      </c>
      <c r="V44" s="1250">
        <f t="shared" si="52"/>
        <v>1</v>
      </c>
      <c r="W44" s="1250">
        <f t="shared" si="52"/>
        <v>1</v>
      </c>
      <c r="X44" s="1250">
        <f t="shared" si="52"/>
        <v>1</v>
      </c>
      <c r="Y44" s="1250">
        <f t="shared" si="52"/>
        <v>1</v>
      </c>
      <c r="Z44" s="1250">
        <f t="shared" si="52"/>
        <v>1</v>
      </c>
      <c r="AA44" s="1250">
        <f t="shared" si="52"/>
        <v>1</v>
      </c>
      <c r="AB44" s="1250">
        <f t="shared" si="52"/>
        <v>1</v>
      </c>
      <c r="AC44" s="1250">
        <f t="shared" si="52"/>
        <v>1</v>
      </c>
      <c r="AD44" s="1250">
        <f t="shared" si="52"/>
        <v>1</v>
      </c>
      <c r="AE44" s="1250">
        <f t="shared" si="52"/>
        <v>1</v>
      </c>
      <c r="AF44" s="1250">
        <f t="shared" si="52"/>
        <v>1</v>
      </c>
      <c r="AG44" s="1250">
        <f t="shared" si="53"/>
        <v>1</v>
      </c>
      <c r="AH44" s="1250">
        <f t="shared" si="54"/>
        <v>1</v>
      </c>
      <c r="AI44" s="1250">
        <f t="shared" si="55"/>
        <v>1</v>
      </c>
      <c r="AJ44" s="1250">
        <f t="shared" si="56"/>
        <v>1</v>
      </c>
      <c r="AK44" s="1250">
        <f t="shared" si="57"/>
        <v>1</v>
      </c>
      <c r="AL44" s="1250">
        <f t="shared" si="58"/>
        <v>1</v>
      </c>
      <c r="AM44" s="1251" t="s">
        <v>1369</v>
      </c>
      <c r="AN44" s="1252">
        <f>MAX(I44:AL44)</f>
        <v>1</v>
      </c>
      <c r="AO44" s="1248" t="s">
        <v>1370</v>
      </c>
      <c r="AP44" s="1252">
        <v>1</v>
      </c>
      <c r="AQ44" s="1248" t="s">
        <v>1371</v>
      </c>
      <c r="AR44" s="1252">
        <f t="shared" si="51"/>
        <v>1</v>
      </c>
      <c r="AS44" s="275"/>
      <c r="AT44" s="275"/>
      <c r="AU44" s="275"/>
      <c r="AV44" s="275"/>
      <c r="AW44" s="275"/>
      <c r="AX44" s="275"/>
      <c r="AY44" s="275"/>
      <c r="AZ44" s="275"/>
      <c r="BA44" s="275"/>
      <c r="BB44" s="275"/>
      <c r="BC44" s="275"/>
      <c r="BD44" s="275"/>
      <c r="BE44" s="275"/>
      <c r="BF44" s="275"/>
      <c r="BG44" s="275"/>
      <c r="BH44" s="275"/>
      <c r="BI44" s="275"/>
      <c r="BJ44" s="275"/>
    </row>
    <row r="45" spans="1:62" s="10" customFormat="1">
      <c r="A45" s="595"/>
      <c r="B45" s="598"/>
      <c r="C45" s="599"/>
      <c r="D45" s="9"/>
      <c r="E45" s="1246" t="str">
        <f>'Despesas com Pessoal'!F45</f>
        <v>P050</v>
      </c>
      <c r="F45" s="1262" t="str">
        <f>'Despesas com Pessoal'!G45</f>
        <v>Auxiliar Técnico I</v>
      </c>
      <c r="G45" s="1251"/>
      <c r="H45" s="1249"/>
      <c r="I45" s="1250">
        <v>1</v>
      </c>
      <c r="J45" s="1250">
        <f>I45</f>
        <v>1</v>
      </c>
      <c r="K45" s="1250">
        <f t="shared" si="52"/>
        <v>1</v>
      </c>
      <c r="L45" s="1250">
        <f t="shared" si="52"/>
        <v>1</v>
      </c>
      <c r="M45" s="1250">
        <f t="shared" si="52"/>
        <v>1</v>
      </c>
      <c r="N45" s="1250">
        <f t="shared" si="52"/>
        <v>1</v>
      </c>
      <c r="O45" s="1250">
        <f t="shared" si="52"/>
        <v>1</v>
      </c>
      <c r="P45" s="1250">
        <f t="shared" si="52"/>
        <v>1</v>
      </c>
      <c r="Q45" s="1250">
        <f t="shared" si="52"/>
        <v>1</v>
      </c>
      <c r="R45" s="1250">
        <f t="shared" si="52"/>
        <v>1</v>
      </c>
      <c r="S45" s="1250">
        <f t="shared" si="52"/>
        <v>1</v>
      </c>
      <c r="T45" s="1250">
        <f t="shared" si="52"/>
        <v>1</v>
      </c>
      <c r="U45" s="1250">
        <f t="shared" si="52"/>
        <v>1</v>
      </c>
      <c r="V45" s="1250">
        <f t="shared" si="52"/>
        <v>1</v>
      </c>
      <c r="W45" s="1250">
        <f t="shared" si="52"/>
        <v>1</v>
      </c>
      <c r="X45" s="1250">
        <f t="shared" si="52"/>
        <v>1</v>
      </c>
      <c r="Y45" s="1250">
        <f t="shared" si="52"/>
        <v>1</v>
      </c>
      <c r="Z45" s="1250">
        <f t="shared" si="52"/>
        <v>1</v>
      </c>
      <c r="AA45" s="1250">
        <f t="shared" si="52"/>
        <v>1</v>
      </c>
      <c r="AB45" s="1250">
        <f t="shared" si="52"/>
        <v>1</v>
      </c>
      <c r="AC45" s="1250">
        <f t="shared" si="52"/>
        <v>1</v>
      </c>
      <c r="AD45" s="1250">
        <f t="shared" si="52"/>
        <v>1</v>
      </c>
      <c r="AE45" s="1250">
        <f t="shared" si="52"/>
        <v>1</v>
      </c>
      <c r="AF45" s="1250">
        <f t="shared" si="52"/>
        <v>1</v>
      </c>
      <c r="AG45" s="1250">
        <f t="shared" si="53"/>
        <v>1</v>
      </c>
      <c r="AH45" s="1250">
        <f t="shared" si="54"/>
        <v>1</v>
      </c>
      <c r="AI45" s="1250">
        <f t="shared" si="55"/>
        <v>1</v>
      </c>
      <c r="AJ45" s="1250">
        <f t="shared" si="56"/>
        <v>1</v>
      </c>
      <c r="AK45" s="1250">
        <f t="shared" si="57"/>
        <v>1</v>
      </c>
      <c r="AL45" s="1250">
        <f t="shared" si="58"/>
        <v>1</v>
      </c>
      <c r="AM45" s="1251" t="s">
        <v>1369</v>
      </c>
      <c r="AN45" s="1252">
        <f>MAX(I45:AL45)</f>
        <v>1</v>
      </c>
      <c r="AO45" s="1248" t="s">
        <v>1370</v>
      </c>
      <c r="AP45" s="1252"/>
      <c r="AQ45" s="1248" t="s">
        <v>1371</v>
      </c>
      <c r="AR45" s="1252">
        <f t="shared" si="51"/>
        <v>1</v>
      </c>
      <c r="AS45" s="275"/>
      <c r="AT45" s="278"/>
      <c r="AU45" s="278"/>
      <c r="AV45" s="278"/>
      <c r="AW45" s="278"/>
      <c r="AX45" s="278"/>
      <c r="AY45" s="278"/>
      <c r="AZ45" s="278"/>
      <c r="BA45" s="278"/>
      <c r="BB45" s="278"/>
      <c r="BC45" s="278"/>
      <c r="BD45" s="278"/>
      <c r="BE45" s="278"/>
      <c r="BF45" s="278"/>
      <c r="BG45" s="278"/>
      <c r="BH45" s="278"/>
      <c r="BI45" s="278"/>
      <c r="BJ45" s="278"/>
    </row>
    <row r="46" spans="1:62">
      <c r="A46" s="595"/>
      <c r="B46" s="598"/>
      <c r="C46" s="599"/>
      <c r="D46" s="11"/>
      <c r="E46" s="1246" t="str">
        <f>'Despesas com Pessoal'!F46</f>
        <v>P038</v>
      </c>
      <c r="F46" s="1262" t="str">
        <f>'Despesas com Pessoal'!G46</f>
        <v>Auxiliar Administrativo II</v>
      </c>
      <c r="G46" s="1251"/>
      <c r="H46" s="1249"/>
      <c r="I46" s="1250"/>
      <c r="J46" s="1250">
        <f t="shared" si="52"/>
        <v>0</v>
      </c>
      <c r="K46" s="1250">
        <f t="shared" si="52"/>
        <v>0</v>
      </c>
      <c r="L46" s="1250">
        <f t="shared" si="52"/>
        <v>0</v>
      </c>
      <c r="M46" s="1250">
        <f t="shared" si="52"/>
        <v>0</v>
      </c>
      <c r="N46" s="1250">
        <f t="shared" si="52"/>
        <v>0</v>
      </c>
      <c r="O46" s="1250">
        <f t="shared" si="52"/>
        <v>0</v>
      </c>
      <c r="P46" s="1250">
        <f t="shared" si="52"/>
        <v>0</v>
      </c>
      <c r="Q46" s="1250">
        <f t="shared" si="52"/>
        <v>0</v>
      </c>
      <c r="R46" s="1250">
        <f t="shared" si="52"/>
        <v>0</v>
      </c>
      <c r="S46" s="1250">
        <f t="shared" si="52"/>
        <v>0</v>
      </c>
      <c r="T46" s="1250">
        <f t="shared" si="52"/>
        <v>0</v>
      </c>
      <c r="U46" s="1250">
        <f t="shared" si="52"/>
        <v>0</v>
      </c>
      <c r="V46" s="1250">
        <f t="shared" si="52"/>
        <v>0</v>
      </c>
      <c r="W46" s="1250">
        <f t="shared" si="52"/>
        <v>0</v>
      </c>
      <c r="X46" s="1250">
        <f t="shared" si="52"/>
        <v>0</v>
      </c>
      <c r="Y46" s="1250">
        <f t="shared" si="52"/>
        <v>0</v>
      </c>
      <c r="Z46" s="1250">
        <f t="shared" si="52"/>
        <v>0</v>
      </c>
      <c r="AA46" s="1250">
        <f t="shared" si="52"/>
        <v>0</v>
      </c>
      <c r="AB46" s="1250">
        <f t="shared" si="52"/>
        <v>0</v>
      </c>
      <c r="AC46" s="1250">
        <f t="shared" si="52"/>
        <v>0</v>
      </c>
      <c r="AD46" s="1250">
        <f t="shared" si="52"/>
        <v>0</v>
      </c>
      <c r="AE46" s="1250">
        <f t="shared" si="52"/>
        <v>0</v>
      </c>
      <c r="AF46" s="1250">
        <f t="shared" si="52"/>
        <v>0</v>
      </c>
      <c r="AG46" s="1250">
        <f t="shared" si="53"/>
        <v>0</v>
      </c>
      <c r="AH46" s="1250">
        <f t="shared" si="54"/>
        <v>0</v>
      </c>
      <c r="AI46" s="1250">
        <f t="shared" si="55"/>
        <v>0</v>
      </c>
      <c r="AJ46" s="1250">
        <f t="shared" si="56"/>
        <v>0</v>
      </c>
      <c r="AK46" s="1250">
        <f t="shared" si="57"/>
        <v>0</v>
      </c>
      <c r="AL46" s="1250">
        <f t="shared" si="58"/>
        <v>0</v>
      </c>
      <c r="AM46" s="1251" t="s">
        <v>1369</v>
      </c>
      <c r="AN46" s="1252">
        <f>MAX(I46:AL46)</f>
        <v>0</v>
      </c>
      <c r="AO46" s="1248" t="s">
        <v>1370</v>
      </c>
      <c r="AP46" s="1252"/>
      <c r="AQ46" s="1248" t="s">
        <v>1371</v>
      </c>
      <c r="AR46" s="1252">
        <f t="shared" si="51"/>
        <v>0</v>
      </c>
      <c r="AS46" s="275"/>
      <c r="AT46" s="275"/>
      <c r="AU46" s="275"/>
      <c r="AV46" s="275"/>
      <c r="AW46" s="275"/>
      <c r="AX46" s="275"/>
      <c r="AY46" s="275"/>
      <c r="AZ46" s="275"/>
      <c r="BA46" s="275"/>
      <c r="BB46" s="275"/>
      <c r="BC46" s="275"/>
      <c r="BD46" s="275"/>
      <c r="BE46" s="275"/>
      <c r="BF46" s="275"/>
      <c r="BG46" s="275"/>
      <c r="BH46" s="275"/>
      <c r="BI46" s="275"/>
      <c r="BJ46" s="275"/>
    </row>
    <row r="47" spans="1:62">
      <c r="A47" s="595"/>
      <c r="B47" s="598"/>
      <c r="C47" s="599"/>
      <c r="D47" s="11"/>
      <c r="E47" s="1246"/>
      <c r="F47" s="1263" t="s">
        <v>790</v>
      </c>
      <c r="G47" s="1255"/>
      <c r="H47" s="1249"/>
      <c r="I47" s="1245"/>
      <c r="J47" s="1245"/>
      <c r="K47" s="1245"/>
      <c r="L47" s="1245"/>
      <c r="M47" s="1245"/>
      <c r="N47" s="1245"/>
      <c r="O47" s="1245"/>
      <c r="P47" s="1245"/>
      <c r="Q47" s="1245"/>
      <c r="R47" s="1245"/>
      <c r="S47" s="1245"/>
      <c r="T47" s="1245"/>
      <c r="U47" s="1245"/>
      <c r="V47" s="1245"/>
      <c r="W47" s="1245"/>
      <c r="X47" s="1245"/>
      <c r="Y47" s="1245"/>
      <c r="Z47" s="1245"/>
      <c r="AA47" s="1245"/>
      <c r="AB47" s="1245"/>
      <c r="AC47" s="1245"/>
      <c r="AD47" s="1245"/>
      <c r="AE47" s="1257"/>
      <c r="AF47" s="1258"/>
      <c r="AG47" s="1258"/>
      <c r="AH47" s="1258"/>
      <c r="AI47" s="1258"/>
      <c r="AJ47" s="1258"/>
      <c r="AK47" s="1258"/>
      <c r="AL47" s="1258"/>
      <c r="AM47" s="1255"/>
      <c r="AN47" s="1244"/>
      <c r="AO47" s="1255"/>
      <c r="AP47" s="1244"/>
      <c r="AQ47" s="1255"/>
      <c r="AR47" s="1252">
        <f t="shared" si="51"/>
        <v>0</v>
      </c>
      <c r="AS47" s="275"/>
      <c r="AT47" s="275"/>
      <c r="AU47" s="275"/>
      <c r="AV47" s="275"/>
      <c r="AW47" s="275"/>
      <c r="AX47" s="275"/>
      <c r="AY47" s="275"/>
      <c r="AZ47" s="275"/>
      <c r="BA47" s="275"/>
      <c r="BB47" s="275"/>
      <c r="BC47" s="275"/>
      <c r="BD47" s="275"/>
      <c r="BE47" s="275"/>
      <c r="BF47" s="275"/>
      <c r="BG47" s="275"/>
      <c r="BH47" s="275"/>
      <c r="BI47" s="275"/>
      <c r="BJ47" s="275"/>
    </row>
    <row r="48" spans="1:62" s="10" customFormat="1">
      <c r="A48" s="595"/>
      <c r="B48" s="598"/>
      <c r="C48" s="599"/>
      <c r="D48" s="9"/>
      <c r="E48" s="1246" t="str">
        <f>'Despesas com Pessoal'!F48</f>
        <v>P085</v>
      </c>
      <c r="F48" s="1262" t="str">
        <f>'Despesas com Pessoal'!G48</f>
        <v>Encarregado de Patrimônio</v>
      </c>
      <c r="G48" s="1251"/>
      <c r="H48" s="1249"/>
      <c r="I48" s="1250">
        <v>1</v>
      </c>
      <c r="J48" s="1250">
        <v>1</v>
      </c>
      <c r="K48" s="1250">
        <v>1</v>
      </c>
      <c r="L48" s="1250">
        <v>1</v>
      </c>
      <c r="M48" s="1250">
        <v>1</v>
      </c>
      <c r="N48" s="1250">
        <v>1</v>
      </c>
      <c r="O48" s="1250">
        <v>1</v>
      </c>
      <c r="P48" s="1250">
        <v>1</v>
      </c>
      <c r="Q48" s="1250">
        <v>1</v>
      </c>
      <c r="R48" s="1250">
        <v>1</v>
      </c>
      <c r="S48" s="1250">
        <v>1</v>
      </c>
      <c r="T48" s="1250">
        <v>1</v>
      </c>
      <c r="U48" s="1250">
        <v>1</v>
      </c>
      <c r="V48" s="1250">
        <v>1</v>
      </c>
      <c r="W48" s="1250">
        <v>1</v>
      </c>
      <c r="X48" s="1250">
        <v>1</v>
      </c>
      <c r="Y48" s="1250">
        <v>1</v>
      </c>
      <c r="Z48" s="1250">
        <v>1</v>
      </c>
      <c r="AA48" s="1250">
        <v>1</v>
      </c>
      <c r="AB48" s="1250">
        <v>1</v>
      </c>
      <c r="AC48" s="1250">
        <v>1</v>
      </c>
      <c r="AD48" s="1250">
        <v>1</v>
      </c>
      <c r="AE48" s="1250">
        <v>1</v>
      </c>
      <c r="AF48" s="1250">
        <v>1</v>
      </c>
      <c r="AG48" s="1250">
        <v>1</v>
      </c>
      <c r="AH48" s="1250">
        <v>1</v>
      </c>
      <c r="AI48" s="1250">
        <v>1</v>
      </c>
      <c r="AJ48" s="1250">
        <v>1</v>
      </c>
      <c r="AK48" s="1250">
        <v>1</v>
      </c>
      <c r="AL48" s="1250">
        <v>1</v>
      </c>
      <c r="AM48" s="1251" t="s">
        <v>1373</v>
      </c>
      <c r="AN48" s="1252">
        <f>MAX(I48:AL48)</f>
        <v>1</v>
      </c>
      <c r="AO48" s="1248" t="s">
        <v>1370</v>
      </c>
      <c r="AP48" s="1252">
        <v>1</v>
      </c>
      <c r="AQ48" s="1251" t="s">
        <v>1374</v>
      </c>
      <c r="AR48" s="1252">
        <f t="shared" si="51"/>
        <v>1</v>
      </c>
      <c r="AS48" s="275"/>
      <c r="AT48" s="278"/>
      <c r="AU48" s="278"/>
      <c r="AV48" s="278"/>
      <c r="AW48" s="278"/>
      <c r="AX48" s="278"/>
      <c r="AY48" s="278"/>
      <c r="AZ48" s="278"/>
      <c r="BA48" s="278"/>
      <c r="BB48" s="278"/>
      <c r="BC48" s="278"/>
      <c r="BD48" s="278"/>
      <c r="BE48" s="278"/>
      <c r="BF48" s="278"/>
      <c r="BG48" s="278"/>
      <c r="BH48" s="278"/>
      <c r="BI48" s="278"/>
      <c r="BJ48" s="278"/>
    </row>
    <row r="49" spans="1:62">
      <c r="A49" s="595"/>
      <c r="B49" s="598"/>
      <c r="C49" s="599"/>
      <c r="D49" s="11"/>
      <c r="E49" s="1246" t="str">
        <f>'Despesas com Pessoal'!F49</f>
        <v>P055</v>
      </c>
      <c r="F49" s="1262" t="str">
        <f>'Despesas com Pessoal'!G49</f>
        <v>Comprador Pleno</v>
      </c>
      <c r="G49" s="1251" t="s">
        <v>1376</v>
      </c>
      <c r="H49" s="1249">
        <v>1</v>
      </c>
      <c r="I49" s="1250">
        <v>1</v>
      </c>
      <c r="J49" s="1250">
        <f t="shared" ref="J49:AF52" si="59">I49</f>
        <v>1</v>
      </c>
      <c r="K49" s="1250">
        <f t="shared" si="59"/>
        <v>1</v>
      </c>
      <c r="L49" s="1250">
        <f t="shared" si="59"/>
        <v>1</v>
      </c>
      <c r="M49" s="1250">
        <f t="shared" si="59"/>
        <v>1</v>
      </c>
      <c r="N49" s="1250">
        <v>1</v>
      </c>
      <c r="O49" s="1250">
        <f t="shared" si="59"/>
        <v>1</v>
      </c>
      <c r="P49" s="1250">
        <f t="shared" si="59"/>
        <v>1</v>
      </c>
      <c r="Q49" s="1250">
        <f t="shared" si="59"/>
        <v>1</v>
      </c>
      <c r="R49" s="1250">
        <f t="shared" si="59"/>
        <v>1</v>
      </c>
      <c r="S49" s="1250">
        <f t="shared" si="59"/>
        <v>1</v>
      </c>
      <c r="T49" s="1250">
        <f t="shared" si="59"/>
        <v>1</v>
      </c>
      <c r="U49" s="1250">
        <f t="shared" si="59"/>
        <v>1</v>
      </c>
      <c r="V49" s="1250">
        <f t="shared" si="59"/>
        <v>1</v>
      </c>
      <c r="W49" s="1250">
        <f t="shared" si="59"/>
        <v>1</v>
      </c>
      <c r="X49" s="1250">
        <f t="shared" si="59"/>
        <v>1</v>
      </c>
      <c r="Y49" s="1250">
        <f t="shared" si="59"/>
        <v>1</v>
      </c>
      <c r="Z49" s="1250">
        <f t="shared" si="59"/>
        <v>1</v>
      </c>
      <c r="AA49" s="1250">
        <f t="shared" si="59"/>
        <v>1</v>
      </c>
      <c r="AB49" s="1250">
        <f t="shared" si="59"/>
        <v>1</v>
      </c>
      <c r="AC49" s="1250">
        <f t="shared" si="59"/>
        <v>1</v>
      </c>
      <c r="AD49" s="1250">
        <f t="shared" si="59"/>
        <v>1</v>
      </c>
      <c r="AE49" s="1250">
        <f t="shared" si="59"/>
        <v>1</v>
      </c>
      <c r="AF49" s="1250">
        <f t="shared" si="59"/>
        <v>1</v>
      </c>
      <c r="AG49" s="1250">
        <f t="shared" ref="AG49:AG52" si="60">AF49</f>
        <v>1</v>
      </c>
      <c r="AH49" s="1250">
        <f t="shared" ref="AH49:AH52" si="61">AG49</f>
        <v>1</v>
      </c>
      <c r="AI49" s="1250">
        <f t="shared" ref="AI49:AI52" si="62">AH49</f>
        <v>1</v>
      </c>
      <c r="AJ49" s="1250">
        <f t="shared" ref="AJ49:AJ52" si="63">AI49</f>
        <v>1</v>
      </c>
      <c r="AK49" s="1250">
        <f t="shared" ref="AK49:AK52" si="64">AJ49</f>
        <v>1</v>
      </c>
      <c r="AL49" s="1250">
        <f t="shared" ref="AL49:AL52" si="65">AK49</f>
        <v>1</v>
      </c>
      <c r="AM49" s="1251" t="s">
        <v>1369</v>
      </c>
      <c r="AN49" s="1252">
        <f>MAX(I49:AL49)</f>
        <v>1</v>
      </c>
      <c r="AO49" s="1248" t="s">
        <v>1370</v>
      </c>
      <c r="AP49" s="1252">
        <v>1</v>
      </c>
      <c r="AQ49" s="1248" t="s">
        <v>1371</v>
      </c>
      <c r="AR49" s="1252">
        <f t="shared" si="51"/>
        <v>1</v>
      </c>
      <c r="AS49" s="275"/>
      <c r="AT49" s="275"/>
      <c r="AU49" s="275"/>
      <c r="AV49" s="275"/>
      <c r="AW49" s="275"/>
      <c r="AX49" s="275"/>
      <c r="AY49" s="275"/>
      <c r="AZ49" s="275"/>
      <c r="BA49" s="275"/>
      <c r="BB49" s="275"/>
      <c r="BC49" s="275"/>
      <c r="BD49" s="275"/>
      <c r="BE49" s="275"/>
      <c r="BF49" s="275"/>
      <c r="BG49" s="275"/>
      <c r="BH49" s="275"/>
      <c r="BI49" s="275"/>
      <c r="BJ49" s="275"/>
    </row>
    <row r="50" spans="1:62">
      <c r="A50" s="595"/>
      <c r="B50" s="598"/>
      <c r="C50" s="599"/>
      <c r="D50" s="11"/>
      <c r="E50" s="1246" t="str">
        <f>'Despesas com Pessoal'!F50</f>
        <v>P014</v>
      </c>
      <c r="F50" s="1262" t="str">
        <f>'Despesas com Pessoal'!G50</f>
        <v>Almoxarife</v>
      </c>
      <c r="G50" s="1251"/>
      <c r="H50" s="1249"/>
      <c r="I50" s="1250">
        <v>1</v>
      </c>
      <c r="J50" s="1250">
        <v>1</v>
      </c>
      <c r="K50" s="1250">
        <f t="shared" si="59"/>
        <v>1</v>
      </c>
      <c r="L50" s="1250">
        <f t="shared" si="59"/>
        <v>1</v>
      </c>
      <c r="M50" s="1250">
        <f t="shared" si="59"/>
        <v>1</v>
      </c>
      <c r="N50" s="1250">
        <f t="shared" si="59"/>
        <v>1</v>
      </c>
      <c r="O50" s="1250">
        <f t="shared" si="59"/>
        <v>1</v>
      </c>
      <c r="P50" s="1250">
        <f t="shared" si="59"/>
        <v>1</v>
      </c>
      <c r="Q50" s="1250">
        <f t="shared" si="59"/>
        <v>1</v>
      </c>
      <c r="R50" s="1250">
        <f t="shared" si="59"/>
        <v>1</v>
      </c>
      <c r="S50" s="1250">
        <f t="shared" si="59"/>
        <v>1</v>
      </c>
      <c r="T50" s="1250">
        <f t="shared" si="59"/>
        <v>1</v>
      </c>
      <c r="U50" s="1250">
        <f t="shared" si="59"/>
        <v>1</v>
      </c>
      <c r="V50" s="1250">
        <f t="shared" si="59"/>
        <v>1</v>
      </c>
      <c r="W50" s="1250">
        <f t="shared" si="59"/>
        <v>1</v>
      </c>
      <c r="X50" s="1250">
        <f t="shared" si="59"/>
        <v>1</v>
      </c>
      <c r="Y50" s="1250">
        <f t="shared" si="59"/>
        <v>1</v>
      </c>
      <c r="Z50" s="1250">
        <f t="shared" si="59"/>
        <v>1</v>
      </c>
      <c r="AA50" s="1250">
        <f t="shared" si="59"/>
        <v>1</v>
      </c>
      <c r="AB50" s="1250">
        <f t="shared" si="59"/>
        <v>1</v>
      </c>
      <c r="AC50" s="1250">
        <f t="shared" si="59"/>
        <v>1</v>
      </c>
      <c r="AD50" s="1250">
        <f t="shared" si="59"/>
        <v>1</v>
      </c>
      <c r="AE50" s="1250">
        <f t="shared" si="59"/>
        <v>1</v>
      </c>
      <c r="AF50" s="1250">
        <f t="shared" si="59"/>
        <v>1</v>
      </c>
      <c r="AG50" s="1250">
        <f t="shared" si="60"/>
        <v>1</v>
      </c>
      <c r="AH50" s="1250">
        <f t="shared" si="61"/>
        <v>1</v>
      </c>
      <c r="AI50" s="1250">
        <f t="shared" si="62"/>
        <v>1</v>
      </c>
      <c r="AJ50" s="1250">
        <f t="shared" si="63"/>
        <v>1</v>
      </c>
      <c r="AK50" s="1250">
        <f t="shared" si="64"/>
        <v>1</v>
      </c>
      <c r="AL50" s="1250">
        <f t="shared" si="65"/>
        <v>1</v>
      </c>
      <c r="AM50" s="1251" t="s">
        <v>1369</v>
      </c>
      <c r="AN50" s="1252"/>
      <c r="AO50" s="1248" t="s">
        <v>1370</v>
      </c>
      <c r="AP50" s="1252"/>
      <c r="AQ50" s="1248" t="s">
        <v>1371</v>
      </c>
      <c r="AR50" s="1252"/>
      <c r="AS50" s="275"/>
      <c r="AT50" s="275"/>
      <c r="AU50" s="275"/>
      <c r="AV50" s="275"/>
      <c r="AW50" s="275"/>
      <c r="AX50" s="275"/>
      <c r="AY50" s="275"/>
      <c r="AZ50" s="275"/>
      <c r="BA50" s="275"/>
      <c r="BB50" s="275"/>
      <c r="BC50" s="275"/>
      <c r="BD50" s="275"/>
      <c r="BE50" s="275"/>
      <c r="BF50" s="275"/>
      <c r="BG50" s="275"/>
      <c r="BH50" s="275"/>
      <c r="BI50" s="275"/>
      <c r="BJ50" s="275"/>
    </row>
    <row r="51" spans="1:62" s="10" customFormat="1">
      <c r="A51" s="595"/>
      <c r="B51" s="598"/>
      <c r="C51" s="599"/>
      <c r="D51" s="9"/>
      <c r="E51" s="1246" t="str">
        <f>'Despesas com Pessoal'!F51</f>
        <v>P039</v>
      </c>
      <c r="F51" s="1262" t="str">
        <f>'Despesas com Pessoal'!G51</f>
        <v>Auxiliar de Compras</v>
      </c>
      <c r="G51" s="1251"/>
      <c r="H51" s="1249"/>
      <c r="I51" s="1250">
        <v>1</v>
      </c>
      <c r="J51" s="1250">
        <f>I51</f>
        <v>1</v>
      </c>
      <c r="K51" s="1250">
        <f t="shared" si="59"/>
        <v>1</v>
      </c>
      <c r="L51" s="1250">
        <f t="shared" si="59"/>
        <v>1</v>
      </c>
      <c r="M51" s="1250">
        <f t="shared" si="59"/>
        <v>1</v>
      </c>
      <c r="N51" s="1250">
        <f t="shared" si="59"/>
        <v>1</v>
      </c>
      <c r="O51" s="1250">
        <f t="shared" si="59"/>
        <v>1</v>
      </c>
      <c r="P51" s="1250">
        <f t="shared" si="59"/>
        <v>1</v>
      </c>
      <c r="Q51" s="1250">
        <f t="shared" si="59"/>
        <v>1</v>
      </c>
      <c r="R51" s="1250">
        <f t="shared" si="59"/>
        <v>1</v>
      </c>
      <c r="S51" s="1250">
        <f t="shared" si="59"/>
        <v>1</v>
      </c>
      <c r="T51" s="1250">
        <f t="shared" si="59"/>
        <v>1</v>
      </c>
      <c r="U51" s="1250">
        <f t="shared" si="59"/>
        <v>1</v>
      </c>
      <c r="V51" s="1250">
        <f t="shared" si="59"/>
        <v>1</v>
      </c>
      <c r="W51" s="1250">
        <f t="shared" si="59"/>
        <v>1</v>
      </c>
      <c r="X51" s="1250">
        <f t="shared" si="59"/>
        <v>1</v>
      </c>
      <c r="Y51" s="1250">
        <f t="shared" si="59"/>
        <v>1</v>
      </c>
      <c r="Z51" s="1250">
        <f t="shared" si="59"/>
        <v>1</v>
      </c>
      <c r="AA51" s="1250">
        <f t="shared" si="59"/>
        <v>1</v>
      </c>
      <c r="AB51" s="1250">
        <f t="shared" si="59"/>
        <v>1</v>
      </c>
      <c r="AC51" s="1250">
        <f t="shared" si="59"/>
        <v>1</v>
      </c>
      <c r="AD51" s="1250">
        <f t="shared" si="59"/>
        <v>1</v>
      </c>
      <c r="AE51" s="1250">
        <f t="shared" si="59"/>
        <v>1</v>
      </c>
      <c r="AF51" s="1250">
        <f t="shared" si="59"/>
        <v>1</v>
      </c>
      <c r="AG51" s="1250">
        <f t="shared" si="60"/>
        <v>1</v>
      </c>
      <c r="AH51" s="1250">
        <f t="shared" si="61"/>
        <v>1</v>
      </c>
      <c r="AI51" s="1250">
        <f t="shared" si="62"/>
        <v>1</v>
      </c>
      <c r="AJ51" s="1250">
        <f t="shared" si="63"/>
        <v>1</v>
      </c>
      <c r="AK51" s="1250">
        <f t="shared" si="64"/>
        <v>1</v>
      </c>
      <c r="AL51" s="1250">
        <f t="shared" si="65"/>
        <v>1</v>
      </c>
      <c r="AM51" s="1251" t="s">
        <v>1369</v>
      </c>
      <c r="AN51" s="1252">
        <f>MAX(I51:AL51)</f>
        <v>1</v>
      </c>
      <c r="AO51" s="1248" t="s">
        <v>1370</v>
      </c>
      <c r="AP51" s="1252"/>
      <c r="AQ51" s="1248" t="s">
        <v>1371</v>
      </c>
      <c r="AR51" s="1252">
        <f>MAX(I51:AL51)</f>
        <v>1</v>
      </c>
      <c r="AS51" s="275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  <c r="BD51" s="278"/>
      <c r="BE51" s="278"/>
      <c r="BF51" s="278"/>
      <c r="BG51" s="278"/>
      <c r="BH51" s="278"/>
      <c r="BI51" s="278"/>
      <c r="BJ51" s="278"/>
    </row>
    <row r="52" spans="1:62">
      <c r="A52" s="595"/>
      <c r="B52" s="598"/>
      <c r="C52" s="599"/>
      <c r="D52" s="11"/>
      <c r="E52" s="1246" t="str">
        <f>'Despesas com Pessoal'!F52</f>
        <v>P037</v>
      </c>
      <c r="F52" s="1262" t="str">
        <f>'Despesas com Pessoal'!G52</f>
        <v>Auxiliar Administrativo I</v>
      </c>
      <c r="G52" s="1251"/>
      <c r="H52" s="1249"/>
      <c r="I52" s="1250">
        <v>1</v>
      </c>
      <c r="J52" s="1250">
        <f t="shared" si="59"/>
        <v>1</v>
      </c>
      <c r="K52" s="1250">
        <f t="shared" si="59"/>
        <v>1</v>
      </c>
      <c r="L52" s="1250">
        <f t="shared" si="59"/>
        <v>1</v>
      </c>
      <c r="M52" s="1250">
        <f t="shared" si="59"/>
        <v>1</v>
      </c>
      <c r="N52" s="1250">
        <f t="shared" si="59"/>
        <v>1</v>
      </c>
      <c r="O52" s="1250">
        <f t="shared" si="59"/>
        <v>1</v>
      </c>
      <c r="P52" s="1250">
        <f t="shared" si="59"/>
        <v>1</v>
      </c>
      <c r="Q52" s="1250">
        <f t="shared" si="59"/>
        <v>1</v>
      </c>
      <c r="R52" s="1250">
        <f t="shared" si="59"/>
        <v>1</v>
      </c>
      <c r="S52" s="1250">
        <f t="shared" si="59"/>
        <v>1</v>
      </c>
      <c r="T52" s="1250">
        <f t="shared" si="59"/>
        <v>1</v>
      </c>
      <c r="U52" s="1250">
        <f t="shared" si="59"/>
        <v>1</v>
      </c>
      <c r="V52" s="1250">
        <f t="shared" si="59"/>
        <v>1</v>
      </c>
      <c r="W52" s="1250">
        <f t="shared" si="59"/>
        <v>1</v>
      </c>
      <c r="X52" s="1250">
        <f t="shared" si="59"/>
        <v>1</v>
      </c>
      <c r="Y52" s="1250">
        <f t="shared" si="59"/>
        <v>1</v>
      </c>
      <c r="Z52" s="1250">
        <f t="shared" si="59"/>
        <v>1</v>
      </c>
      <c r="AA52" s="1250">
        <f t="shared" si="59"/>
        <v>1</v>
      </c>
      <c r="AB52" s="1250">
        <f t="shared" si="59"/>
        <v>1</v>
      </c>
      <c r="AC52" s="1250">
        <f t="shared" si="59"/>
        <v>1</v>
      </c>
      <c r="AD52" s="1250">
        <f t="shared" si="59"/>
        <v>1</v>
      </c>
      <c r="AE52" s="1250">
        <f t="shared" si="59"/>
        <v>1</v>
      </c>
      <c r="AF52" s="1250">
        <f t="shared" si="59"/>
        <v>1</v>
      </c>
      <c r="AG52" s="1250">
        <f t="shared" si="60"/>
        <v>1</v>
      </c>
      <c r="AH52" s="1250">
        <f t="shared" si="61"/>
        <v>1</v>
      </c>
      <c r="AI52" s="1250">
        <f t="shared" si="62"/>
        <v>1</v>
      </c>
      <c r="AJ52" s="1250">
        <f t="shared" si="63"/>
        <v>1</v>
      </c>
      <c r="AK52" s="1250">
        <f t="shared" si="64"/>
        <v>1</v>
      </c>
      <c r="AL52" s="1250">
        <f t="shared" si="65"/>
        <v>1</v>
      </c>
      <c r="AM52" s="1251" t="s">
        <v>1369</v>
      </c>
      <c r="AN52" s="1252">
        <f>MAX(I52:AL52)</f>
        <v>1</v>
      </c>
      <c r="AO52" s="1248" t="s">
        <v>1370</v>
      </c>
      <c r="AP52" s="1252">
        <v>1</v>
      </c>
      <c r="AQ52" s="1248" t="s">
        <v>1371</v>
      </c>
      <c r="AR52" s="1252">
        <f>MAX(I52:AL52)</f>
        <v>1</v>
      </c>
      <c r="AS52" s="275"/>
      <c r="AT52" s="275"/>
      <c r="AU52" s="275"/>
      <c r="AV52" s="275"/>
      <c r="AW52" s="275"/>
      <c r="AX52" s="275"/>
      <c r="AY52" s="275"/>
      <c r="AZ52" s="275"/>
      <c r="BA52" s="275"/>
      <c r="BB52" s="275"/>
      <c r="BC52" s="275"/>
      <c r="BD52" s="275"/>
      <c r="BE52" s="275"/>
      <c r="BF52" s="275"/>
      <c r="BG52" s="275"/>
      <c r="BH52" s="275"/>
      <c r="BI52" s="275"/>
      <c r="BJ52" s="275"/>
    </row>
    <row r="53" spans="1:62">
      <c r="A53" s="595"/>
      <c r="B53" s="598"/>
      <c r="C53" s="599"/>
      <c r="D53" s="11"/>
      <c r="E53" s="1246"/>
      <c r="F53" s="1263" t="s">
        <v>796</v>
      </c>
      <c r="G53" s="1255"/>
      <c r="H53" s="1249"/>
      <c r="I53" s="1250"/>
      <c r="J53" s="1250"/>
      <c r="K53" s="1250"/>
      <c r="L53" s="1250"/>
      <c r="M53" s="1250"/>
      <c r="N53" s="1250"/>
      <c r="O53" s="1250"/>
      <c r="P53" s="1250"/>
      <c r="Q53" s="1250"/>
      <c r="R53" s="1250"/>
      <c r="S53" s="1250"/>
      <c r="T53" s="1250"/>
      <c r="U53" s="1250"/>
      <c r="V53" s="1250"/>
      <c r="W53" s="1250"/>
      <c r="X53" s="1250"/>
      <c r="Y53" s="1250"/>
      <c r="Z53" s="1250"/>
      <c r="AA53" s="1250"/>
      <c r="AB53" s="1250"/>
      <c r="AC53" s="1250"/>
      <c r="AD53" s="1250"/>
      <c r="AE53" s="1250"/>
      <c r="AF53" s="1250"/>
      <c r="AG53" s="1250"/>
      <c r="AH53" s="1250"/>
      <c r="AI53" s="1250"/>
      <c r="AJ53" s="1250"/>
      <c r="AK53" s="1250"/>
      <c r="AL53" s="1250"/>
      <c r="AM53" s="1255"/>
      <c r="AN53" s="1244"/>
      <c r="AO53" s="1255"/>
      <c r="AP53" s="1244"/>
      <c r="AQ53" s="1255"/>
      <c r="AR53" s="1252">
        <f t="shared" si="51"/>
        <v>0</v>
      </c>
      <c r="AS53" s="275"/>
      <c r="AT53" s="275"/>
      <c r="AU53" s="275"/>
      <c r="AV53" s="275"/>
      <c r="AW53" s="275"/>
      <c r="AX53" s="275"/>
      <c r="AY53" s="275"/>
      <c r="AZ53" s="275"/>
      <c r="BA53" s="275"/>
      <c r="BB53" s="275"/>
      <c r="BC53" s="275"/>
      <c r="BD53" s="275"/>
      <c r="BE53" s="275"/>
      <c r="BF53" s="275"/>
      <c r="BG53" s="275"/>
      <c r="BH53" s="275"/>
      <c r="BI53" s="275"/>
      <c r="BJ53" s="275"/>
    </row>
    <row r="54" spans="1:62">
      <c r="A54" s="595"/>
      <c r="B54" s="598"/>
      <c r="C54" s="599"/>
      <c r="D54" s="11"/>
      <c r="E54" s="1246" t="str">
        <f>'Despesas com Pessoal'!F54</f>
        <v>P019</v>
      </c>
      <c r="F54" s="1262" t="str">
        <f>'Despesas com Pessoal'!G54</f>
        <v>Analista de Sistemas</v>
      </c>
      <c r="G54" s="1251" t="s">
        <v>1376</v>
      </c>
      <c r="H54" s="1249">
        <v>1</v>
      </c>
      <c r="I54" s="1250">
        <v>1</v>
      </c>
      <c r="J54" s="1250">
        <f>I54</f>
        <v>1</v>
      </c>
      <c r="K54" s="1250">
        <f t="shared" ref="K54:AF58" si="66">J54</f>
        <v>1</v>
      </c>
      <c r="L54" s="1250">
        <f t="shared" si="66"/>
        <v>1</v>
      </c>
      <c r="M54" s="1250">
        <f t="shared" si="66"/>
        <v>1</v>
      </c>
      <c r="N54" s="1250">
        <v>1</v>
      </c>
      <c r="O54" s="1250">
        <f t="shared" si="66"/>
        <v>1</v>
      </c>
      <c r="P54" s="1250">
        <f t="shared" si="66"/>
        <v>1</v>
      </c>
      <c r="Q54" s="1250">
        <f t="shared" si="66"/>
        <v>1</v>
      </c>
      <c r="R54" s="1250">
        <f t="shared" si="66"/>
        <v>1</v>
      </c>
      <c r="S54" s="1250">
        <f t="shared" si="66"/>
        <v>1</v>
      </c>
      <c r="T54" s="1250">
        <f t="shared" si="66"/>
        <v>1</v>
      </c>
      <c r="U54" s="1250">
        <f t="shared" si="66"/>
        <v>1</v>
      </c>
      <c r="V54" s="1250">
        <f t="shared" si="66"/>
        <v>1</v>
      </c>
      <c r="W54" s="1250">
        <f t="shared" si="66"/>
        <v>1</v>
      </c>
      <c r="X54" s="1250">
        <f t="shared" si="66"/>
        <v>1</v>
      </c>
      <c r="Y54" s="1250">
        <f t="shared" si="66"/>
        <v>1</v>
      </c>
      <c r="Z54" s="1250">
        <f t="shared" si="66"/>
        <v>1</v>
      </c>
      <c r="AA54" s="1250">
        <f t="shared" si="66"/>
        <v>1</v>
      </c>
      <c r="AB54" s="1250">
        <f t="shared" si="66"/>
        <v>1</v>
      </c>
      <c r="AC54" s="1250">
        <f t="shared" si="66"/>
        <v>1</v>
      </c>
      <c r="AD54" s="1250">
        <f t="shared" si="66"/>
        <v>1</v>
      </c>
      <c r="AE54" s="1250">
        <f t="shared" si="66"/>
        <v>1</v>
      </c>
      <c r="AF54" s="1250">
        <f t="shared" si="66"/>
        <v>1</v>
      </c>
      <c r="AG54" s="1250">
        <f t="shared" ref="AG54:AG58" si="67">AF54</f>
        <v>1</v>
      </c>
      <c r="AH54" s="1250">
        <f t="shared" ref="AH54:AH58" si="68">AG54</f>
        <v>1</v>
      </c>
      <c r="AI54" s="1250">
        <f t="shared" ref="AI54:AI58" si="69">AH54</f>
        <v>1</v>
      </c>
      <c r="AJ54" s="1250">
        <f t="shared" ref="AJ54:AJ58" si="70">AI54</f>
        <v>1</v>
      </c>
      <c r="AK54" s="1250">
        <f t="shared" ref="AK54:AK58" si="71">AJ54</f>
        <v>1</v>
      </c>
      <c r="AL54" s="1250">
        <f t="shared" ref="AL54:AL58" si="72">AK54</f>
        <v>1</v>
      </c>
      <c r="AM54" s="1251" t="s">
        <v>1373</v>
      </c>
      <c r="AN54" s="1252">
        <f>MAX(I54:AL54)</f>
        <v>1</v>
      </c>
      <c r="AO54" s="1248" t="s">
        <v>1370</v>
      </c>
      <c r="AP54" s="1252">
        <v>1</v>
      </c>
      <c r="AQ54" s="1251" t="s">
        <v>1374</v>
      </c>
      <c r="AR54" s="1252">
        <f t="shared" si="51"/>
        <v>1</v>
      </c>
      <c r="AS54" s="275"/>
      <c r="AT54" s="275"/>
      <c r="AU54" s="275"/>
      <c r="AV54" s="275"/>
      <c r="AW54" s="275"/>
      <c r="AX54" s="275"/>
      <c r="AY54" s="275"/>
      <c r="AZ54" s="275"/>
      <c r="BA54" s="275"/>
      <c r="BB54" s="275"/>
      <c r="BC54" s="275"/>
      <c r="BD54" s="275"/>
      <c r="BE54" s="275"/>
      <c r="BF54" s="275"/>
      <c r="BG54" s="275"/>
      <c r="BH54" s="275"/>
      <c r="BI54" s="275"/>
      <c r="BJ54" s="275"/>
    </row>
    <row r="55" spans="1:62">
      <c r="A55" s="595"/>
      <c r="B55" s="598"/>
      <c r="C55" s="599"/>
      <c r="D55" s="11"/>
      <c r="E55" s="1246" t="str">
        <f>'Despesas com Pessoal'!F55</f>
        <v>P030</v>
      </c>
      <c r="F55" s="1262" t="str">
        <f>'Despesas com Pessoal'!G55</f>
        <v>Assistente de Informática</v>
      </c>
      <c r="G55" s="1251"/>
      <c r="H55" s="1249"/>
      <c r="I55" s="1250">
        <v>1</v>
      </c>
      <c r="J55" s="1250">
        <f>I55</f>
        <v>1</v>
      </c>
      <c r="K55" s="1250">
        <f t="shared" ref="J55:Y58" si="73">J55</f>
        <v>1</v>
      </c>
      <c r="L55" s="1250">
        <f t="shared" si="73"/>
        <v>1</v>
      </c>
      <c r="M55" s="1250">
        <f t="shared" si="73"/>
        <v>1</v>
      </c>
      <c r="N55" s="1250">
        <f t="shared" si="73"/>
        <v>1</v>
      </c>
      <c r="O55" s="1250">
        <f t="shared" si="73"/>
        <v>1</v>
      </c>
      <c r="P55" s="1250">
        <f t="shared" si="73"/>
        <v>1</v>
      </c>
      <c r="Q55" s="1250">
        <f t="shared" si="73"/>
        <v>1</v>
      </c>
      <c r="R55" s="1250">
        <f t="shared" si="73"/>
        <v>1</v>
      </c>
      <c r="S55" s="1250">
        <f t="shared" si="73"/>
        <v>1</v>
      </c>
      <c r="T55" s="1250">
        <f t="shared" si="73"/>
        <v>1</v>
      </c>
      <c r="U55" s="1250">
        <f t="shared" si="73"/>
        <v>1</v>
      </c>
      <c r="V55" s="1250">
        <f t="shared" si="73"/>
        <v>1</v>
      </c>
      <c r="W55" s="1250">
        <f t="shared" si="73"/>
        <v>1</v>
      </c>
      <c r="X55" s="1250">
        <f t="shared" si="73"/>
        <v>1</v>
      </c>
      <c r="Y55" s="1250">
        <f t="shared" si="73"/>
        <v>1</v>
      </c>
      <c r="Z55" s="1250">
        <f t="shared" si="66"/>
        <v>1</v>
      </c>
      <c r="AA55" s="1250">
        <f t="shared" si="66"/>
        <v>1</v>
      </c>
      <c r="AB55" s="1250">
        <f t="shared" si="66"/>
        <v>1</v>
      </c>
      <c r="AC55" s="1250">
        <f t="shared" si="66"/>
        <v>1</v>
      </c>
      <c r="AD55" s="1250">
        <f t="shared" si="66"/>
        <v>1</v>
      </c>
      <c r="AE55" s="1250">
        <f t="shared" si="66"/>
        <v>1</v>
      </c>
      <c r="AF55" s="1250">
        <f t="shared" si="66"/>
        <v>1</v>
      </c>
      <c r="AG55" s="1250">
        <f t="shared" si="67"/>
        <v>1</v>
      </c>
      <c r="AH55" s="1250">
        <f t="shared" si="68"/>
        <v>1</v>
      </c>
      <c r="AI55" s="1250">
        <f t="shared" si="69"/>
        <v>1</v>
      </c>
      <c r="AJ55" s="1250">
        <f t="shared" si="70"/>
        <v>1</v>
      </c>
      <c r="AK55" s="1250">
        <f t="shared" si="71"/>
        <v>1</v>
      </c>
      <c r="AL55" s="1250">
        <f t="shared" si="72"/>
        <v>1</v>
      </c>
      <c r="AM55" s="1251" t="s">
        <v>1369</v>
      </c>
      <c r="AN55" s="1252">
        <f>MAX(I55:AL55)</f>
        <v>1</v>
      </c>
      <c r="AO55" s="1248" t="s">
        <v>1370</v>
      </c>
      <c r="AP55" s="1252">
        <v>1</v>
      </c>
      <c r="AQ55" s="1248" t="s">
        <v>1371</v>
      </c>
      <c r="AR55" s="1252">
        <f t="shared" si="51"/>
        <v>1</v>
      </c>
      <c r="AS55" s="275"/>
      <c r="AT55" s="275"/>
      <c r="AU55" s="275"/>
      <c r="AV55" s="275"/>
      <c r="AW55" s="275"/>
      <c r="AX55" s="275"/>
      <c r="AY55" s="275"/>
      <c r="AZ55" s="275"/>
      <c r="BA55" s="275"/>
      <c r="BB55" s="275"/>
      <c r="BC55" s="275"/>
      <c r="BD55" s="275"/>
      <c r="BE55" s="275"/>
      <c r="BF55" s="275"/>
      <c r="BG55" s="275"/>
      <c r="BH55" s="275"/>
      <c r="BI55" s="275"/>
      <c r="BJ55" s="275"/>
    </row>
    <row r="56" spans="1:62">
      <c r="A56" s="595"/>
      <c r="B56" s="598"/>
      <c r="C56" s="599"/>
      <c r="D56" s="11"/>
      <c r="E56" s="1246" t="str">
        <f>'Despesas com Pessoal'!F56</f>
        <v>P125</v>
      </c>
      <c r="F56" s="1262" t="str">
        <f>'Despesas com Pessoal'!G56</f>
        <v>Operador de CPD</v>
      </c>
      <c r="G56" s="1251"/>
      <c r="H56" s="1249"/>
      <c r="I56" s="1250"/>
      <c r="J56" s="1250"/>
      <c r="K56" s="1250"/>
      <c r="L56" s="1250"/>
      <c r="M56" s="1250"/>
      <c r="N56" s="1250"/>
      <c r="O56" s="1250"/>
      <c r="P56" s="1250"/>
      <c r="Q56" s="1250"/>
      <c r="R56" s="1250"/>
      <c r="S56" s="1250"/>
      <c r="T56" s="1250"/>
      <c r="U56" s="1250"/>
      <c r="V56" s="1250"/>
      <c r="W56" s="1250"/>
      <c r="X56" s="1250"/>
      <c r="Y56" s="1250"/>
      <c r="Z56" s="1250"/>
      <c r="AA56" s="1250"/>
      <c r="AB56" s="1250"/>
      <c r="AC56" s="1250"/>
      <c r="AD56" s="1250"/>
      <c r="AE56" s="1250"/>
      <c r="AF56" s="1250"/>
      <c r="AG56" s="1250"/>
      <c r="AH56" s="1250"/>
      <c r="AI56" s="1250"/>
      <c r="AJ56" s="1250"/>
      <c r="AK56" s="1250"/>
      <c r="AL56" s="1250"/>
      <c r="AM56" s="1251" t="s">
        <v>1369</v>
      </c>
      <c r="AN56" s="1252">
        <f>MAX(I56:AL56)</f>
        <v>0</v>
      </c>
      <c r="AO56" s="1248" t="s">
        <v>1370</v>
      </c>
      <c r="AP56" s="1252"/>
      <c r="AQ56" s="1248" t="s">
        <v>1371</v>
      </c>
      <c r="AR56" s="1252">
        <f t="shared" si="51"/>
        <v>0</v>
      </c>
      <c r="AS56" s="275"/>
      <c r="AT56" s="275"/>
      <c r="AU56" s="275"/>
      <c r="AV56" s="275"/>
      <c r="AW56" s="275"/>
      <c r="AX56" s="275"/>
      <c r="AY56" s="275"/>
      <c r="AZ56" s="275"/>
      <c r="BA56" s="275"/>
      <c r="BB56" s="275"/>
      <c r="BC56" s="275"/>
      <c r="BD56" s="275"/>
      <c r="BE56" s="275"/>
      <c r="BF56" s="275"/>
      <c r="BG56" s="275"/>
      <c r="BH56" s="275"/>
      <c r="BI56" s="275"/>
      <c r="BJ56" s="275"/>
    </row>
    <row r="57" spans="1:62">
      <c r="A57" s="595"/>
      <c r="B57" s="598"/>
      <c r="C57" s="599"/>
      <c r="D57" s="11"/>
      <c r="E57" s="1246" t="str">
        <f>'Despesas com Pessoal'!F57</f>
        <v>P162</v>
      </c>
      <c r="F57" s="1262" t="str">
        <f>'Despesas com Pessoal'!G57</f>
        <v>Topógrafo</v>
      </c>
      <c r="G57" s="1251"/>
      <c r="H57" s="1249"/>
      <c r="I57" s="1250"/>
      <c r="J57" s="1250"/>
      <c r="K57" s="1250"/>
      <c r="L57" s="1250"/>
      <c r="M57" s="1250"/>
      <c r="N57" s="1250"/>
      <c r="O57" s="1250"/>
      <c r="P57" s="1250"/>
      <c r="Q57" s="1250"/>
      <c r="R57" s="1250"/>
      <c r="S57" s="1250"/>
      <c r="T57" s="1250"/>
      <c r="U57" s="1250"/>
      <c r="V57" s="1250"/>
      <c r="W57" s="1250"/>
      <c r="X57" s="1250"/>
      <c r="Y57" s="1250"/>
      <c r="Z57" s="1250"/>
      <c r="AA57" s="1250"/>
      <c r="AB57" s="1250"/>
      <c r="AC57" s="1250"/>
      <c r="AD57" s="1250"/>
      <c r="AE57" s="1250"/>
      <c r="AF57" s="1250"/>
      <c r="AG57" s="1250"/>
      <c r="AH57" s="1250"/>
      <c r="AI57" s="1250"/>
      <c r="AJ57" s="1250"/>
      <c r="AK57" s="1250"/>
      <c r="AL57" s="1250"/>
      <c r="AM57" s="1251" t="s">
        <v>1369</v>
      </c>
      <c r="AN57" s="1252">
        <f>MAX(I57:AL57)</f>
        <v>0</v>
      </c>
      <c r="AO57" s="1248" t="s">
        <v>1370</v>
      </c>
      <c r="AP57" s="1252"/>
      <c r="AQ57" s="1248" t="s">
        <v>1371</v>
      </c>
      <c r="AR57" s="1252">
        <f t="shared" si="51"/>
        <v>0</v>
      </c>
      <c r="AS57" s="275"/>
      <c r="AT57" s="275"/>
      <c r="AU57" s="275"/>
      <c r="AV57" s="275"/>
      <c r="AW57" s="275"/>
      <c r="AX57" s="275"/>
      <c r="AY57" s="275"/>
      <c r="AZ57" s="275"/>
      <c r="BA57" s="275"/>
      <c r="BB57" s="275"/>
      <c r="BC57" s="275"/>
      <c r="BD57" s="275"/>
      <c r="BE57" s="275"/>
      <c r="BF57" s="275"/>
      <c r="BG57" s="275"/>
      <c r="BH57" s="275"/>
      <c r="BI57" s="275"/>
      <c r="BJ57" s="275"/>
    </row>
    <row r="58" spans="1:62">
      <c r="A58" s="595"/>
      <c r="B58" s="598"/>
      <c r="C58" s="599"/>
      <c r="D58" s="11"/>
      <c r="E58" s="1260" t="str">
        <f>'Despesas com Pessoal'!F58</f>
        <v>P034</v>
      </c>
      <c r="F58" s="1262" t="str">
        <f>'Despesas com Pessoal'!G58</f>
        <v>Assistente Técnico de Informática</v>
      </c>
      <c r="G58" s="1251"/>
      <c r="H58" s="1249"/>
      <c r="I58" s="1250">
        <v>1</v>
      </c>
      <c r="J58" s="1250">
        <f t="shared" si="73"/>
        <v>1</v>
      </c>
      <c r="K58" s="1250">
        <f t="shared" si="66"/>
        <v>1</v>
      </c>
      <c r="L58" s="1250">
        <f t="shared" si="66"/>
        <v>1</v>
      </c>
      <c r="M58" s="1250">
        <f t="shared" si="66"/>
        <v>1</v>
      </c>
      <c r="N58" s="1250">
        <f t="shared" si="66"/>
        <v>1</v>
      </c>
      <c r="O58" s="1250">
        <f t="shared" si="66"/>
        <v>1</v>
      </c>
      <c r="P58" s="1250">
        <f t="shared" si="66"/>
        <v>1</v>
      </c>
      <c r="Q58" s="1250">
        <f t="shared" si="66"/>
        <v>1</v>
      </c>
      <c r="R58" s="1250">
        <f t="shared" si="66"/>
        <v>1</v>
      </c>
      <c r="S58" s="1250">
        <f t="shared" si="66"/>
        <v>1</v>
      </c>
      <c r="T58" s="1250">
        <f t="shared" si="66"/>
        <v>1</v>
      </c>
      <c r="U58" s="1250">
        <f t="shared" si="66"/>
        <v>1</v>
      </c>
      <c r="V58" s="1250">
        <f t="shared" si="66"/>
        <v>1</v>
      </c>
      <c r="W58" s="1250">
        <f t="shared" si="66"/>
        <v>1</v>
      </c>
      <c r="X58" s="1250">
        <f t="shared" si="66"/>
        <v>1</v>
      </c>
      <c r="Y58" s="1250">
        <f t="shared" si="66"/>
        <v>1</v>
      </c>
      <c r="Z58" s="1250">
        <f t="shared" si="66"/>
        <v>1</v>
      </c>
      <c r="AA58" s="1250">
        <f t="shared" si="66"/>
        <v>1</v>
      </c>
      <c r="AB58" s="1250">
        <f t="shared" si="66"/>
        <v>1</v>
      </c>
      <c r="AC58" s="1250">
        <f t="shared" si="66"/>
        <v>1</v>
      </c>
      <c r="AD58" s="1250">
        <f t="shared" si="66"/>
        <v>1</v>
      </c>
      <c r="AE58" s="1250">
        <f t="shared" si="66"/>
        <v>1</v>
      </c>
      <c r="AF58" s="1250">
        <f t="shared" si="66"/>
        <v>1</v>
      </c>
      <c r="AG58" s="1250">
        <f t="shared" si="67"/>
        <v>1</v>
      </c>
      <c r="AH58" s="1250">
        <f t="shared" si="68"/>
        <v>1</v>
      </c>
      <c r="AI58" s="1250">
        <f t="shared" si="69"/>
        <v>1</v>
      </c>
      <c r="AJ58" s="1250">
        <f t="shared" si="70"/>
        <v>1</v>
      </c>
      <c r="AK58" s="1250">
        <f t="shared" si="71"/>
        <v>1</v>
      </c>
      <c r="AL58" s="1250">
        <f t="shared" si="72"/>
        <v>1</v>
      </c>
      <c r="AM58" s="1251" t="s">
        <v>1369</v>
      </c>
      <c r="AN58" s="1252">
        <f>MAX(I58:AL58)</f>
        <v>1</v>
      </c>
      <c r="AO58" s="1248" t="s">
        <v>1370</v>
      </c>
      <c r="AP58" s="1252">
        <v>1</v>
      </c>
      <c r="AQ58" s="1248" t="s">
        <v>1371</v>
      </c>
      <c r="AR58" s="1252">
        <f t="shared" si="51"/>
        <v>1</v>
      </c>
      <c r="AS58" s="275"/>
      <c r="AT58" s="275"/>
      <c r="AU58" s="275"/>
      <c r="AV58" s="275"/>
      <c r="AW58" s="275"/>
      <c r="AX58" s="275"/>
      <c r="AY58" s="275"/>
      <c r="AZ58" s="275"/>
      <c r="BA58" s="275"/>
      <c r="BB58" s="275"/>
      <c r="BC58" s="275"/>
      <c r="BD58" s="275"/>
      <c r="BE58" s="275"/>
      <c r="BF58" s="275"/>
      <c r="BG58" s="275"/>
      <c r="BH58" s="275"/>
      <c r="BI58" s="275"/>
      <c r="BJ58" s="275"/>
    </row>
    <row r="59" spans="1:62">
      <c r="A59" s="595"/>
      <c r="B59" s="598"/>
      <c r="C59" s="599"/>
      <c r="D59" s="11"/>
      <c r="E59" s="1246"/>
      <c r="F59" s="1263" t="s">
        <v>801</v>
      </c>
      <c r="G59" s="1255"/>
      <c r="H59" s="1249"/>
      <c r="I59" s="1245"/>
      <c r="J59" s="1245"/>
      <c r="K59" s="1245"/>
      <c r="L59" s="1245"/>
      <c r="M59" s="1245"/>
      <c r="N59" s="1245"/>
      <c r="O59" s="1245"/>
      <c r="P59" s="1245"/>
      <c r="Q59" s="1245"/>
      <c r="R59" s="1245"/>
      <c r="S59" s="1245"/>
      <c r="T59" s="1245"/>
      <c r="U59" s="1245"/>
      <c r="V59" s="1245"/>
      <c r="W59" s="1245"/>
      <c r="X59" s="1245"/>
      <c r="Y59" s="1245"/>
      <c r="Z59" s="1245"/>
      <c r="AA59" s="1245"/>
      <c r="AB59" s="1245"/>
      <c r="AC59" s="1245"/>
      <c r="AD59" s="1245"/>
      <c r="AE59" s="1257"/>
      <c r="AF59" s="1258"/>
      <c r="AG59" s="1258"/>
      <c r="AH59" s="1258"/>
      <c r="AI59" s="1258"/>
      <c r="AJ59" s="1258"/>
      <c r="AK59" s="1258"/>
      <c r="AL59" s="1258"/>
      <c r="AM59" s="1255"/>
      <c r="AN59" s="1244"/>
      <c r="AO59" s="1255"/>
      <c r="AP59" s="1244"/>
      <c r="AQ59" s="1255"/>
      <c r="AR59" s="1252">
        <f t="shared" si="51"/>
        <v>0</v>
      </c>
      <c r="AS59" s="275"/>
      <c r="AT59" s="275"/>
      <c r="AU59" s="275"/>
      <c r="AV59" s="275"/>
      <c r="AW59" s="275"/>
      <c r="AX59" s="275"/>
      <c r="AY59" s="275"/>
      <c r="AZ59" s="275"/>
      <c r="BA59" s="275"/>
      <c r="BB59" s="275"/>
      <c r="BC59" s="275"/>
      <c r="BD59" s="275"/>
      <c r="BE59" s="275"/>
      <c r="BF59" s="275"/>
      <c r="BG59" s="275"/>
      <c r="BH59" s="275"/>
      <c r="BI59" s="275"/>
      <c r="BJ59" s="275"/>
    </row>
    <row r="60" spans="1:62">
      <c r="A60" s="595"/>
      <c r="B60" s="598"/>
      <c r="C60" s="599"/>
      <c r="D60" s="11"/>
      <c r="E60" s="1246" t="str">
        <f>'Despesas com Pessoal'!F60</f>
        <v>P080</v>
      </c>
      <c r="F60" s="1262" t="str">
        <f>'Despesas com Pessoal'!G60</f>
        <v>Encarregado Administrativo</v>
      </c>
      <c r="G60" s="1251" t="s">
        <v>1376</v>
      </c>
      <c r="H60" s="1249">
        <v>1</v>
      </c>
      <c r="I60" s="1250">
        <v>1</v>
      </c>
      <c r="J60" s="1250">
        <f t="shared" ref="J60:AF68" si="74">I60</f>
        <v>1</v>
      </c>
      <c r="K60" s="1250">
        <f t="shared" si="74"/>
        <v>1</v>
      </c>
      <c r="L60" s="1250">
        <f t="shared" si="74"/>
        <v>1</v>
      </c>
      <c r="M60" s="1250">
        <f t="shared" si="74"/>
        <v>1</v>
      </c>
      <c r="N60" s="1250">
        <v>1</v>
      </c>
      <c r="O60" s="1250">
        <f t="shared" si="74"/>
        <v>1</v>
      </c>
      <c r="P60" s="1250">
        <f t="shared" si="74"/>
        <v>1</v>
      </c>
      <c r="Q60" s="1250">
        <f t="shared" si="74"/>
        <v>1</v>
      </c>
      <c r="R60" s="1250">
        <f t="shared" si="74"/>
        <v>1</v>
      </c>
      <c r="S60" s="1250">
        <f t="shared" si="74"/>
        <v>1</v>
      </c>
      <c r="T60" s="1250">
        <f t="shared" si="74"/>
        <v>1</v>
      </c>
      <c r="U60" s="1250">
        <f t="shared" si="74"/>
        <v>1</v>
      </c>
      <c r="V60" s="1250">
        <f t="shared" si="74"/>
        <v>1</v>
      </c>
      <c r="W60" s="1250">
        <f t="shared" si="74"/>
        <v>1</v>
      </c>
      <c r="X60" s="1250">
        <f t="shared" si="74"/>
        <v>1</v>
      </c>
      <c r="Y60" s="1250">
        <f t="shared" si="74"/>
        <v>1</v>
      </c>
      <c r="Z60" s="1250">
        <f t="shared" si="74"/>
        <v>1</v>
      </c>
      <c r="AA60" s="1250">
        <f t="shared" si="74"/>
        <v>1</v>
      </c>
      <c r="AB60" s="1250">
        <f t="shared" si="74"/>
        <v>1</v>
      </c>
      <c r="AC60" s="1250">
        <f t="shared" si="74"/>
        <v>1</v>
      </c>
      <c r="AD60" s="1250">
        <f t="shared" si="74"/>
        <v>1</v>
      </c>
      <c r="AE60" s="1250">
        <f t="shared" si="74"/>
        <v>1</v>
      </c>
      <c r="AF60" s="1250">
        <f t="shared" si="74"/>
        <v>1</v>
      </c>
      <c r="AG60" s="1250">
        <f t="shared" ref="AG60:AG68" si="75">AF60</f>
        <v>1</v>
      </c>
      <c r="AH60" s="1250">
        <f t="shared" ref="AH60:AH68" si="76">AG60</f>
        <v>1</v>
      </c>
      <c r="AI60" s="1250">
        <f t="shared" ref="AI60:AI68" si="77">AH60</f>
        <v>1</v>
      </c>
      <c r="AJ60" s="1250">
        <f t="shared" ref="AJ60:AJ68" si="78">AI60</f>
        <v>1</v>
      </c>
      <c r="AK60" s="1250">
        <f t="shared" ref="AK60:AK68" si="79">AJ60</f>
        <v>1</v>
      </c>
      <c r="AL60" s="1250">
        <f t="shared" ref="AL60:AL68" si="80">AK60</f>
        <v>1</v>
      </c>
      <c r="AM60" s="1251" t="s">
        <v>1369</v>
      </c>
      <c r="AN60" s="1252">
        <f>MAX(I60:AL60)</f>
        <v>1</v>
      </c>
      <c r="AO60" s="1248" t="s">
        <v>1370</v>
      </c>
      <c r="AP60" s="1252">
        <v>1</v>
      </c>
      <c r="AQ60" s="1251" t="s">
        <v>1374</v>
      </c>
      <c r="AR60" s="1252">
        <f>MAX(I60:AL60)</f>
        <v>1</v>
      </c>
      <c r="AS60" s="275"/>
      <c r="AT60" s="275"/>
      <c r="AU60" s="275"/>
      <c r="AV60" s="275"/>
      <c r="AW60" s="275"/>
      <c r="AX60" s="275"/>
      <c r="AY60" s="275"/>
      <c r="AZ60" s="275"/>
      <c r="BA60" s="275"/>
      <c r="BB60" s="275"/>
      <c r="BC60" s="275"/>
      <c r="BD60" s="275"/>
      <c r="BE60" s="275"/>
      <c r="BF60" s="275"/>
      <c r="BG60" s="275"/>
      <c r="BH60" s="275"/>
      <c r="BI60" s="275"/>
      <c r="BJ60" s="275"/>
    </row>
    <row r="61" spans="1:62">
      <c r="A61" s="595"/>
      <c r="B61" s="598"/>
      <c r="C61" s="599"/>
      <c r="D61" s="11"/>
      <c r="E61" s="1246" t="str">
        <f>'Despesas com Pessoal'!F61</f>
        <v>P037</v>
      </c>
      <c r="F61" s="1262" t="str">
        <f>'Despesas com Pessoal'!G61</f>
        <v>Auxiliar Administrativo I</v>
      </c>
      <c r="G61" s="1251"/>
      <c r="H61" s="1249"/>
      <c r="I61" s="1250">
        <v>1</v>
      </c>
      <c r="J61" s="1250">
        <f t="shared" si="74"/>
        <v>1</v>
      </c>
      <c r="K61" s="1250">
        <f t="shared" si="74"/>
        <v>1</v>
      </c>
      <c r="L61" s="1250">
        <f t="shared" si="74"/>
        <v>1</v>
      </c>
      <c r="M61" s="1250">
        <f t="shared" si="74"/>
        <v>1</v>
      </c>
      <c r="N61" s="1250">
        <f t="shared" si="74"/>
        <v>1</v>
      </c>
      <c r="O61" s="1250">
        <f t="shared" si="74"/>
        <v>1</v>
      </c>
      <c r="P61" s="1250">
        <f t="shared" si="74"/>
        <v>1</v>
      </c>
      <c r="Q61" s="1250">
        <f t="shared" si="74"/>
        <v>1</v>
      </c>
      <c r="R61" s="1250">
        <f t="shared" si="74"/>
        <v>1</v>
      </c>
      <c r="S61" s="1250">
        <f t="shared" si="74"/>
        <v>1</v>
      </c>
      <c r="T61" s="1250">
        <f t="shared" si="74"/>
        <v>1</v>
      </c>
      <c r="U61" s="1250">
        <f t="shared" si="74"/>
        <v>1</v>
      </c>
      <c r="V61" s="1250">
        <f t="shared" si="74"/>
        <v>1</v>
      </c>
      <c r="W61" s="1250">
        <f t="shared" si="74"/>
        <v>1</v>
      </c>
      <c r="X61" s="1250">
        <f t="shared" si="74"/>
        <v>1</v>
      </c>
      <c r="Y61" s="1250">
        <f t="shared" si="74"/>
        <v>1</v>
      </c>
      <c r="Z61" s="1250">
        <f t="shared" si="74"/>
        <v>1</v>
      </c>
      <c r="AA61" s="1250">
        <f t="shared" si="74"/>
        <v>1</v>
      </c>
      <c r="AB61" s="1250">
        <f t="shared" si="74"/>
        <v>1</v>
      </c>
      <c r="AC61" s="1250">
        <f t="shared" si="74"/>
        <v>1</v>
      </c>
      <c r="AD61" s="1250">
        <f t="shared" si="74"/>
        <v>1</v>
      </c>
      <c r="AE61" s="1250">
        <f t="shared" si="74"/>
        <v>1</v>
      </c>
      <c r="AF61" s="1250">
        <f t="shared" si="74"/>
        <v>1</v>
      </c>
      <c r="AG61" s="1250">
        <f t="shared" si="75"/>
        <v>1</v>
      </c>
      <c r="AH61" s="1250">
        <f t="shared" si="76"/>
        <v>1</v>
      </c>
      <c r="AI61" s="1250">
        <f t="shared" si="77"/>
        <v>1</v>
      </c>
      <c r="AJ61" s="1250">
        <f t="shared" si="78"/>
        <v>1</v>
      </c>
      <c r="AK61" s="1250">
        <f t="shared" si="79"/>
        <v>1</v>
      </c>
      <c r="AL61" s="1250">
        <f t="shared" si="80"/>
        <v>1</v>
      </c>
      <c r="AM61" s="1251" t="s">
        <v>1369</v>
      </c>
      <c r="AN61" s="1252">
        <f>MAX(I61:AL61)</f>
        <v>1</v>
      </c>
      <c r="AO61" s="1248" t="s">
        <v>1370</v>
      </c>
      <c r="AP61" s="1252"/>
      <c r="AQ61" s="1248" t="s">
        <v>1371</v>
      </c>
      <c r="AR61" s="1252">
        <f>MAX(I61:AL61)</f>
        <v>1</v>
      </c>
      <c r="AS61" s="275"/>
      <c r="AT61" s="275"/>
      <c r="AU61" s="275"/>
      <c r="AV61" s="275"/>
      <c r="AW61" s="275"/>
      <c r="AX61" s="275"/>
      <c r="AY61" s="275"/>
      <c r="AZ61" s="275"/>
      <c r="BA61" s="275"/>
      <c r="BB61" s="275"/>
      <c r="BC61" s="275"/>
      <c r="BD61" s="275"/>
      <c r="BE61" s="275"/>
      <c r="BF61" s="275"/>
      <c r="BG61" s="275"/>
      <c r="BH61" s="275"/>
      <c r="BI61" s="275"/>
      <c r="BJ61" s="275"/>
    </row>
    <row r="62" spans="1:62">
      <c r="A62" s="595"/>
      <c r="B62" s="598"/>
      <c r="C62" s="599"/>
      <c r="D62" s="11"/>
      <c r="E62" s="1246" t="str">
        <f>'Despesas com Pessoal'!F62</f>
        <v>P135</v>
      </c>
      <c r="F62" s="1262" t="str">
        <f>'Despesas com Pessoal'!G62</f>
        <v>Secretária</v>
      </c>
      <c r="G62" s="1251"/>
      <c r="H62" s="1249"/>
      <c r="I62" s="1250">
        <v>0</v>
      </c>
      <c r="J62" s="1250">
        <f t="shared" si="74"/>
        <v>0</v>
      </c>
      <c r="K62" s="1250">
        <f t="shared" si="74"/>
        <v>0</v>
      </c>
      <c r="L62" s="1250">
        <f t="shared" si="74"/>
        <v>0</v>
      </c>
      <c r="M62" s="1250">
        <f t="shared" si="74"/>
        <v>0</v>
      </c>
      <c r="N62" s="1250">
        <f t="shared" si="74"/>
        <v>0</v>
      </c>
      <c r="O62" s="1250">
        <f t="shared" si="74"/>
        <v>0</v>
      </c>
      <c r="P62" s="1250">
        <f t="shared" si="74"/>
        <v>0</v>
      </c>
      <c r="Q62" s="1250">
        <f t="shared" si="74"/>
        <v>0</v>
      </c>
      <c r="R62" s="1250">
        <f t="shared" si="74"/>
        <v>0</v>
      </c>
      <c r="S62" s="1250">
        <f t="shared" si="74"/>
        <v>0</v>
      </c>
      <c r="T62" s="1250">
        <f t="shared" si="74"/>
        <v>0</v>
      </c>
      <c r="U62" s="1250">
        <f t="shared" si="74"/>
        <v>0</v>
      </c>
      <c r="V62" s="1250">
        <f t="shared" si="74"/>
        <v>0</v>
      </c>
      <c r="W62" s="1250">
        <f t="shared" si="74"/>
        <v>0</v>
      </c>
      <c r="X62" s="1250">
        <f t="shared" si="74"/>
        <v>0</v>
      </c>
      <c r="Y62" s="1250">
        <f t="shared" si="74"/>
        <v>0</v>
      </c>
      <c r="Z62" s="1250">
        <f t="shared" si="74"/>
        <v>0</v>
      </c>
      <c r="AA62" s="1250">
        <f t="shared" si="74"/>
        <v>0</v>
      </c>
      <c r="AB62" s="1250">
        <f t="shared" si="74"/>
        <v>0</v>
      </c>
      <c r="AC62" s="1250">
        <f t="shared" si="74"/>
        <v>0</v>
      </c>
      <c r="AD62" s="1250">
        <f t="shared" si="74"/>
        <v>0</v>
      </c>
      <c r="AE62" s="1250">
        <f t="shared" si="74"/>
        <v>0</v>
      </c>
      <c r="AF62" s="1250">
        <f t="shared" si="74"/>
        <v>0</v>
      </c>
      <c r="AG62" s="1250">
        <f t="shared" si="75"/>
        <v>0</v>
      </c>
      <c r="AH62" s="1250">
        <f t="shared" si="76"/>
        <v>0</v>
      </c>
      <c r="AI62" s="1250">
        <f t="shared" si="77"/>
        <v>0</v>
      </c>
      <c r="AJ62" s="1250">
        <f t="shared" si="78"/>
        <v>0</v>
      </c>
      <c r="AK62" s="1250">
        <f t="shared" si="79"/>
        <v>0</v>
      </c>
      <c r="AL62" s="1250">
        <f t="shared" si="80"/>
        <v>0</v>
      </c>
      <c r="AM62" s="1251" t="s">
        <v>1369</v>
      </c>
      <c r="AN62" s="1252">
        <f>MAX(I62:AL62)</f>
        <v>0</v>
      </c>
      <c r="AO62" s="1248" t="s">
        <v>1370</v>
      </c>
      <c r="AP62" s="1252"/>
      <c r="AQ62" s="1248" t="s">
        <v>1371</v>
      </c>
      <c r="AR62" s="1252">
        <f t="shared" si="51"/>
        <v>0</v>
      </c>
      <c r="AS62" s="275"/>
      <c r="AT62" s="275"/>
      <c r="AU62" s="275"/>
      <c r="AV62" s="275"/>
      <c r="AW62" s="275"/>
      <c r="AX62" s="275"/>
      <c r="AY62" s="275"/>
      <c r="AZ62" s="275"/>
      <c r="BA62" s="275"/>
      <c r="BB62" s="275"/>
      <c r="BC62" s="275"/>
      <c r="BD62" s="275"/>
      <c r="BE62" s="275"/>
      <c r="BF62" s="275"/>
      <c r="BG62" s="275"/>
      <c r="BH62" s="275"/>
      <c r="BI62" s="275"/>
      <c r="BJ62" s="275"/>
    </row>
    <row r="63" spans="1:62">
      <c r="A63" s="595"/>
      <c r="B63" s="598"/>
      <c r="C63" s="599"/>
      <c r="D63" s="11"/>
      <c r="E63" s="1246" t="str">
        <f>'Despesas com Pessoal'!F63</f>
        <v>P133</v>
      </c>
      <c r="F63" s="1262" t="str">
        <f>'Despesas com Pessoal'!G63</f>
        <v>Recepcionista</v>
      </c>
      <c r="G63" s="1251"/>
      <c r="H63" s="1249"/>
      <c r="I63" s="1250">
        <v>0</v>
      </c>
      <c r="J63" s="1250">
        <v>0</v>
      </c>
      <c r="K63" s="1250">
        <f t="shared" si="74"/>
        <v>0</v>
      </c>
      <c r="L63" s="1250">
        <f t="shared" si="74"/>
        <v>0</v>
      </c>
      <c r="M63" s="1250">
        <f t="shared" si="74"/>
        <v>0</v>
      </c>
      <c r="N63" s="1250">
        <f t="shared" si="74"/>
        <v>0</v>
      </c>
      <c r="O63" s="1250">
        <f t="shared" si="74"/>
        <v>0</v>
      </c>
      <c r="P63" s="1250">
        <f t="shared" si="74"/>
        <v>0</v>
      </c>
      <c r="Q63" s="1250">
        <f t="shared" si="74"/>
        <v>0</v>
      </c>
      <c r="R63" s="1250">
        <f t="shared" si="74"/>
        <v>0</v>
      </c>
      <c r="S63" s="1250">
        <f t="shared" si="74"/>
        <v>0</v>
      </c>
      <c r="T63" s="1250">
        <f t="shared" si="74"/>
        <v>0</v>
      </c>
      <c r="U63" s="1250">
        <f t="shared" si="74"/>
        <v>0</v>
      </c>
      <c r="V63" s="1250">
        <f t="shared" si="74"/>
        <v>0</v>
      </c>
      <c r="W63" s="1250">
        <f t="shared" si="74"/>
        <v>0</v>
      </c>
      <c r="X63" s="1250">
        <f t="shared" si="74"/>
        <v>0</v>
      </c>
      <c r="Y63" s="1250">
        <f t="shared" si="74"/>
        <v>0</v>
      </c>
      <c r="Z63" s="1250">
        <f t="shared" si="74"/>
        <v>0</v>
      </c>
      <c r="AA63" s="1250">
        <f t="shared" si="74"/>
        <v>0</v>
      </c>
      <c r="AB63" s="1250">
        <f t="shared" si="74"/>
        <v>0</v>
      </c>
      <c r="AC63" s="1250">
        <f t="shared" si="74"/>
        <v>0</v>
      </c>
      <c r="AD63" s="1250">
        <f t="shared" si="74"/>
        <v>0</v>
      </c>
      <c r="AE63" s="1250">
        <f t="shared" si="74"/>
        <v>0</v>
      </c>
      <c r="AF63" s="1250">
        <f t="shared" si="74"/>
        <v>0</v>
      </c>
      <c r="AG63" s="1250">
        <f t="shared" si="75"/>
        <v>0</v>
      </c>
      <c r="AH63" s="1250">
        <f t="shared" si="76"/>
        <v>0</v>
      </c>
      <c r="AI63" s="1250">
        <f t="shared" si="77"/>
        <v>0</v>
      </c>
      <c r="AJ63" s="1250">
        <f t="shared" si="78"/>
        <v>0</v>
      </c>
      <c r="AK63" s="1250">
        <f t="shared" si="79"/>
        <v>0</v>
      </c>
      <c r="AL63" s="1250">
        <f t="shared" si="80"/>
        <v>0</v>
      </c>
      <c r="AM63" s="1251" t="s">
        <v>1369</v>
      </c>
      <c r="AN63" s="1252">
        <f>MAX(I63:AL63)</f>
        <v>0</v>
      </c>
      <c r="AO63" s="1248" t="s">
        <v>1370</v>
      </c>
      <c r="AP63" s="1252"/>
      <c r="AQ63" s="1248" t="s">
        <v>1371</v>
      </c>
      <c r="AR63" s="1252">
        <f t="shared" si="51"/>
        <v>0</v>
      </c>
      <c r="AS63" s="275"/>
      <c r="AT63" s="275"/>
      <c r="AU63" s="275"/>
      <c r="AV63" s="275"/>
      <c r="AW63" s="275"/>
      <c r="AX63" s="275"/>
      <c r="AY63" s="275"/>
      <c r="AZ63" s="275"/>
      <c r="BA63" s="275"/>
      <c r="BB63" s="275"/>
      <c r="BC63" s="275"/>
      <c r="BD63" s="275"/>
      <c r="BE63" s="275"/>
      <c r="BF63" s="275"/>
      <c r="BG63" s="275"/>
      <c r="BH63" s="275"/>
      <c r="BI63" s="275"/>
      <c r="BJ63" s="275"/>
    </row>
    <row r="64" spans="1:62">
      <c r="A64" s="595"/>
      <c r="B64" s="598"/>
      <c r="C64" s="599"/>
      <c r="D64" s="11"/>
      <c r="E64" s="1246" t="str">
        <f>'Despesas com Pessoal'!F64</f>
        <v>P113</v>
      </c>
      <c r="F64" s="1262" t="str">
        <f>'Despesas com Pessoal'!G64</f>
        <v>Mensageiro</v>
      </c>
      <c r="G64" s="1251"/>
      <c r="H64" s="1249"/>
      <c r="I64" s="1250">
        <v>0</v>
      </c>
      <c r="J64" s="1250">
        <v>0</v>
      </c>
      <c r="K64" s="1250">
        <f t="shared" si="74"/>
        <v>0</v>
      </c>
      <c r="L64" s="1250">
        <f t="shared" si="74"/>
        <v>0</v>
      </c>
      <c r="M64" s="1250">
        <f t="shared" si="74"/>
        <v>0</v>
      </c>
      <c r="N64" s="1250">
        <f t="shared" si="74"/>
        <v>0</v>
      </c>
      <c r="O64" s="1250">
        <f t="shared" si="74"/>
        <v>0</v>
      </c>
      <c r="P64" s="1250">
        <f t="shared" si="74"/>
        <v>0</v>
      </c>
      <c r="Q64" s="1250">
        <f t="shared" si="74"/>
        <v>0</v>
      </c>
      <c r="R64" s="1250">
        <f t="shared" si="74"/>
        <v>0</v>
      </c>
      <c r="S64" s="1250">
        <f t="shared" si="74"/>
        <v>0</v>
      </c>
      <c r="T64" s="1250">
        <f t="shared" si="74"/>
        <v>0</v>
      </c>
      <c r="U64" s="1250">
        <f t="shared" si="74"/>
        <v>0</v>
      </c>
      <c r="V64" s="1250">
        <f t="shared" si="74"/>
        <v>0</v>
      </c>
      <c r="W64" s="1250">
        <f t="shared" si="74"/>
        <v>0</v>
      </c>
      <c r="X64" s="1250">
        <f t="shared" si="74"/>
        <v>0</v>
      </c>
      <c r="Y64" s="1250">
        <f t="shared" si="74"/>
        <v>0</v>
      </c>
      <c r="Z64" s="1250">
        <f t="shared" si="74"/>
        <v>0</v>
      </c>
      <c r="AA64" s="1250">
        <f t="shared" si="74"/>
        <v>0</v>
      </c>
      <c r="AB64" s="1250">
        <f t="shared" si="74"/>
        <v>0</v>
      </c>
      <c r="AC64" s="1250">
        <f t="shared" si="74"/>
        <v>0</v>
      </c>
      <c r="AD64" s="1250">
        <f t="shared" si="74"/>
        <v>0</v>
      </c>
      <c r="AE64" s="1250">
        <f t="shared" si="74"/>
        <v>0</v>
      </c>
      <c r="AF64" s="1250">
        <f t="shared" si="74"/>
        <v>0</v>
      </c>
      <c r="AG64" s="1250">
        <f t="shared" si="75"/>
        <v>0</v>
      </c>
      <c r="AH64" s="1250">
        <f t="shared" si="76"/>
        <v>0</v>
      </c>
      <c r="AI64" s="1250">
        <f t="shared" si="77"/>
        <v>0</v>
      </c>
      <c r="AJ64" s="1250">
        <f t="shared" si="78"/>
        <v>0</v>
      </c>
      <c r="AK64" s="1250">
        <f t="shared" si="79"/>
        <v>0</v>
      </c>
      <c r="AL64" s="1250">
        <f t="shared" si="80"/>
        <v>0</v>
      </c>
      <c r="AM64" s="1251" t="s">
        <v>1369</v>
      </c>
      <c r="AN64" s="1252"/>
      <c r="AO64" s="1251"/>
      <c r="AP64" s="1252"/>
      <c r="AQ64" s="1248" t="s">
        <v>1371</v>
      </c>
      <c r="AR64" s="1252">
        <f t="shared" si="51"/>
        <v>0</v>
      </c>
      <c r="AS64" s="275"/>
      <c r="AT64" s="275"/>
      <c r="AU64" s="275"/>
      <c r="AV64" s="275"/>
      <c r="AW64" s="275"/>
      <c r="AX64" s="275"/>
      <c r="AY64" s="275"/>
      <c r="AZ64" s="275"/>
      <c r="BA64" s="275"/>
      <c r="BB64" s="275"/>
      <c r="BC64" s="275"/>
      <c r="BD64" s="275"/>
      <c r="BE64" s="275"/>
      <c r="BF64" s="275"/>
      <c r="BG64" s="275"/>
      <c r="BH64" s="275"/>
      <c r="BI64" s="275"/>
      <c r="BJ64" s="275"/>
    </row>
    <row r="65" spans="1:62">
      <c r="A65" s="595"/>
      <c r="B65" s="598"/>
      <c r="C65" s="599"/>
      <c r="D65" s="11"/>
      <c r="E65" s="1246" t="str">
        <f>'Despesas com Pessoal'!F65</f>
        <v>P159</v>
      </c>
      <c r="F65" s="1262" t="str">
        <f>'Despesas com Pessoal'!G65</f>
        <v>Telefonista 0800</v>
      </c>
      <c r="G65" s="1251"/>
      <c r="H65" s="1249"/>
      <c r="I65" s="1250">
        <v>5</v>
      </c>
      <c r="J65" s="1250">
        <f>I65</f>
        <v>5</v>
      </c>
      <c r="K65" s="1250">
        <f t="shared" si="74"/>
        <v>5</v>
      </c>
      <c r="L65" s="1250">
        <f t="shared" si="74"/>
        <v>5</v>
      </c>
      <c r="M65" s="1250">
        <f t="shared" si="74"/>
        <v>5</v>
      </c>
      <c r="N65" s="1250">
        <f t="shared" si="74"/>
        <v>5</v>
      </c>
      <c r="O65" s="1250">
        <f t="shared" si="74"/>
        <v>5</v>
      </c>
      <c r="P65" s="1250">
        <f t="shared" si="74"/>
        <v>5</v>
      </c>
      <c r="Q65" s="1250">
        <f t="shared" si="74"/>
        <v>5</v>
      </c>
      <c r="R65" s="1250">
        <f t="shared" si="74"/>
        <v>5</v>
      </c>
      <c r="S65" s="1250">
        <f t="shared" si="74"/>
        <v>5</v>
      </c>
      <c r="T65" s="1250">
        <f t="shared" si="74"/>
        <v>5</v>
      </c>
      <c r="U65" s="1250">
        <f t="shared" si="74"/>
        <v>5</v>
      </c>
      <c r="V65" s="1250">
        <f t="shared" si="74"/>
        <v>5</v>
      </c>
      <c r="W65" s="1250">
        <f t="shared" si="74"/>
        <v>5</v>
      </c>
      <c r="X65" s="1250">
        <f t="shared" si="74"/>
        <v>5</v>
      </c>
      <c r="Y65" s="1250">
        <f t="shared" si="74"/>
        <v>5</v>
      </c>
      <c r="Z65" s="1250">
        <f t="shared" si="74"/>
        <v>5</v>
      </c>
      <c r="AA65" s="1250">
        <f t="shared" si="74"/>
        <v>5</v>
      </c>
      <c r="AB65" s="1250">
        <f t="shared" si="74"/>
        <v>5</v>
      </c>
      <c r="AC65" s="1250">
        <f t="shared" si="74"/>
        <v>5</v>
      </c>
      <c r="AD65" s="1250">
        <f t="shared" si="74"/>
        <v>5</v>
      </c>
      <c r="AE65" s="1250">
        <f t="shared" si="74"/>
        <v>5</v>
      </c>
      <c r="AF65" s="1250">
        <f t="shared" si="74"/>
        <v>5</v>
      </c>
      <c r="AG65" s="1250">
        <f t="shared" si="75"/>
        <v>5</v>
      </c>
      <c r="AH65" s="1250">
        <f t="shared" si="76"/>
        <v>5</v>
      </c>
      <c r="AI65" s="1250">
        <f t="shared" si="77"/>
        <v>5</v>
      </c>
      <c r="AJ65" s="1250">
        <f t="shared" si="78"/>
        <v>5</v>
      </c>
      <c r="AK65" s="1250">
        <f t="shared" si="79"/>
        <v>5</v>
      </c>
      <c r="AL65" s="1250">
        <f t="shared" si="80"/>
        <v>5</v>
      </c>
      <c r="AM65" s="1251" t="s">
        <v>1369</v>
      </c>
      <c r="AN65" s="1252"/>
      <c r="AO65" s="1248" t="s">
        <v>1370</v>
      </c>
      <c r="AP65" s="1252"/>
      <c r="AQ65" s="1248" t="s">
        <v>1371</v>
      </c>
      <c r="AR65" s="1252"/>
      <c r="AS65" s="275"/>
      <c r="AT65" s="275"/>
      <c r="AU65" s="275"/>
      <c r="AV65" s="275"/>
      <c r="AW65" s="275"/>
      <c r="AX65" s="275"/>
      <c r="AY65" s="275"/>
      <c r="AZ65" s="275"/>
      <c r="BA65" s="275"/>
      <c r="BB65" s="275"/>
      <c r="BC65" s="275"/>
      <c r="BD65" s="275"/>
      <c r="BE65" s="275"/>
      <c r="BF65" s="275"/>
      <c r="BG65" s="275"/>
      <c r="BH65" s="275"/>
      <c r="BI65" s="275"/>
      <c r="BJ65" s="275"/>
    </row>
    <row r="66" spans="1:62" s="10" customFormat="1">
      <c r="A66" s="595"/>
      <c r="B66" s="598"/>
      <c r="C66" s="599"/>
      <c r="D66" s="9"/>
      <c r="E66" s="1246" t="str">
        <f>'Despesas com Pessoal'!F66</f>
        <v>P073</v>
      </c>
      <c r="F66" s="1262" t="str">
        <f>'Despesas com Pessoal'!G66</f>
        <v>Copeira</v>
      </c>
      <c r="G66" s="1251"/>
      <c r="H66" s="1249"/>
      <c r="I66" s="1250">
        <v>1</v>
      </c>
      <c r="J66" s="1250">
        <f>I66</f>
        <v>1</v>
      </c>
      <c r="K66" s="1250">
        <f t="shared" si="74"/>
        <v>1</v>
      </c>
      <c r="L66" s="1250">
        <f t="shared" si="74"/>
        <v>1</v>
      </c>
      <c r="M66" s="1250">
        <f t="shared" si="74"/>
        <v>1</v>
      </c>
      <c r="N66" s="1250">
        <f t="shared" si="74"/>
        <v>1</v>
      </c>
      <c r="O66" s="1250">
        <f t="shared" si="74"/>
        <v>1</v>
      </c>
      <c r="P66" s="1250">
        <f t="shared" si="74"/>
        <v>1</v>
      </c>
      <c r="Q66" s="1250">
        <f t="shared" si="74"/>
        <v>1</v>
      </c>
      <c r="R66" s="1250">
        <f t="shared" si="74"/>
        <v>1</v>
      </c>
      <c r="S66" s="1250">
        <f t="shared" si="74"/>
        <v>1</v>
      </c>
      <c r="T66" s="1250">
        <f t="shared" si="74"/>
        <v>1</v>
      </c>
      <c r="U66" s="1250">
        <f t="shared" si="74"/>
        <v>1</v>
      </c>
      <c r="V66" s="1250">
        <f t="shared" si="74"/>
        <v>1</v>
      </c>
      <c r="W66" s="1250">
        <f t="shared" si="74"/>
        <v>1</v>
      </c>
      <c r="X66" s="1250">
        <f t="shared" si="74"/>
        <v>1</v>
      </c>
      <c r="Y66" s="1250">
        <f t="shared" si="74"/>
        <v>1</v>
      </c>
      <c r="Z66" s="1250">
        <f t="shared" si="74"/>
        <v>1</v>
      </c>
      <c r="AA66" s="1250">
        <f t="shared" si="74"/>
        <v>1</v>
      </c>
      <c r="AB66" s="1250">
        <f t="shared" si="74"/>
        <v>1</v>
      </c>
      <c r="AC66" s="1250">
        <f t="shared" si="74"/>
        <v>1</v>
      </c>
      <c r="AD66" s="1250">
        <f t="shared" si="74"/>
        <v>1</v>
      </c>
      <c r="AE66" s="1250">
        <f t="shared" si="74"/>
        <v>1</v>
      </c>
      <c r="AF66" s="1250">
        <f t="shared" si="74"/>
        <v>1</v>
      </c>
      <c r="AG66" s="1250">
        <f t="shared" si="75"/>
        <v>1</v>
      </c>
      <c r="AH66" s="1250">
        <f t="shared" si="76"/>
        <v>1</v>
      </c>
      <c r="AI66" s="1250">
        <f t="shared" si="77"/>
        <v>1</v>
      </c>
      <c r="AJ66" s="1250">
        <f t="shared" si="78"/>
        <v>1</v>
      </c>
      <c r="AK66" s="1250">
        <f t="shared" si="79"/>
        <v>1</v>
      </c>
      <c r="AL66" s="1250">
        <f t="shared" si="80"/>
        <v>1</v>
      </c>
      <c r="AM66" s="1251"/>
      <c r="AN66" s="1252"/>
      <c r="AO66" s="1248"/>
      <c r="AP66" s="1252"/>
      <c r="AQ66" s="1248"/>
      <c r="AR66" s="1252"/>
      <c r="AS66" s="275"/>
      <c r="AT66" s="278"/>
      <c r="AU66" s="278"/>
      <c r="AV66" s="278"/>
      <c r="AW66" s="278"/>
      <c r="AX66" s="278"/>
      <c r="AY66" s="278"/>
      <c r="AZ66" s="278"/>
      <c r="BA66" s="278"/>
      <c r="BB66" s="278"/>
      <c r="BC66" s="278"/>
      <c r="BD66" s="278"/>
      <c r="BE66" s="278"/>
      <c r="BF66" s="278"/>
      <c r="BG66" s="278"/>
      <c r="BH66" s="278"/>
      <c r="BI66" s="278"/>
      <c r="BJ66" s="278"/>
    </row>
    <row r="67" spans="1:62">
      <c r="A67" s="595"/>
      <c r="B67" s="598"/>
      <c r="C67" s="599"/>
      <c r="D67" s="11"/>
      <c r="E67" s="1246" t="str">
        <f>'Despesas com Pessoal'!F67</f>
        <v>P114</v>
      </c>
      <c r="F67" s="1262" t="str">
        <f>'Despesas com Pessoal'!G67</f>
        <v>Motorista</v>
      </c>
      <c r="G67" s="1251"/>
      <c r="H67" s="1249"/>
      <c r="I67" s="1250">
        <v>1</v>
      </c>
      <c r="J67" s="1250">
        <f>I67</f>
        <v>1</v>
      </c>
      <c r="K67" s="1250">
        <f t="shared" si="74"/>
        <v>1</v>
      </c>
      <c r="L67" s="1250">
        <f t="shared" si="74"/>
        <v>1</v>
      </c>
      <c r="M67" s="1250">
        <f t="shared" si="74"/>
        <v>1</v>
      </c>
      <c r="N67" s="1250">
        <f t="shared" si="74"/>
        <v>1</v>
      </c>
      <c r="O67" s="1250">
        <f t="shared" si="74"/>
        <v>1</v>
      </c>
      <c r="P67" s="1250">
        <f t="shared" si="74"/>
        <v>1</v>
      </c>
      <c r="Q67" s="1250">
        <f t="shared" si="74"/>
        <v>1</v>
      </c>
      <c r="R67" s="1250">
        <f t="shared" si="74"/>
        <v>1</v>
      </c>
      <c r="S67" s="1250">
        <f t="shared" si="74"/>
        <v>1</v>
      </c>
      <c r="T67" s="1250">
        <f t="shared" si="74"/>
        <v>1</v>
      </c>
      <c r="U67" s="1250">
        <f t="shared" si="74"/>
        <v>1</v>
      </c>
      <c r="V67" s="1250">
        <f t="shared" si="74"/>
        <v>1</v>
      </c>
      <c r="W67" s="1250">
        <f t="shared" si="74"/>
        <v>1</v>
      </c>
      <c r="X67" s="1250">
        <f t="shared" si="74"/>
        <v>1</v>
      </c>
      <c r="Y67" s="1250">
        <f t="shared" si="74"/>
        <v>1</v>
      </c>
      <c r="Z67" s="1250">
        <f t="shared" si="74"/>
        <v>1</v>
      </c>
      <c r="AA67" s="1250">
        <f t="shared" si="74"/>
        <v>1</v>
      </c>
      <c r="AB67" s="1250">
        <f t="shared" si="74"/>
        <v>1</v>
      </c>
      <c r="AC67" s="1250">
        <f t="shared" si="74"/>
        <v>1</v>
      </c>
      <c r="AD67" s="1250">
        <f t="shared" si="74"/>
        <v>1</v>
      </c>
      <c r="AE67" s="1250">
        <f t="shared" si="74"/>
        <v>1</v>
      </c>
      <c r="AF67" s="1250">
        <f t="shared" si="74"/>
        <v>1</v>
      </c>
      <c r="AG67" s="1250">
        <f t="shared" si="75"/>
        <v>1</v>
      </c>
      <c r="AH67" s="1250">
        <f t="shared" si="76"/>
        <v>1</v>
      </c>
      <c r="AI67" s="1250">
        <f t="shared" si="77"/>
        <v>1</v>
      </c>
      <c r="AJ67" s="1250">
        <f t="shared" si="78"/>
        <v>1</v>
      </c>
      <c r="AK67" s="1250">
        <f t="shared" si="79"/>
        <v>1</v>
      </c>
      <c r="AL67" s="1250">
        <f t="shared" si="80"/>
        <v>1</v>
      </c>
      <c r="AM67" s="1251"/>
      <c r="AN67" s="1252"/>
      <c r="AO67" s="1251"/>
      <c r="AP67" s="1252"/>
      <c r="AQ67" s="1251"/>
      <c r="AR67" s="1252"/>
      <c r="AS67" s="275"/>
      <c r="AT67" s="275"/>
      <c r="AU67" s="275"/>
      <c r="AV67" s="275"/>
      <c r="AW67" s="275"/>
      <c r="AX67" s="275"/>
      <c r="AY67" s="275"/>
      <c r="AZ67" s="275"/>
      <c r="BA67" s="275"/>
      <c r="BB67" s="275"/>
      <c r="BC67" s="275"/>
      <c r="BD67" s="275"/>
      <c r="BE67" s="275"/>
      <c r="BF67" s="275"/>
      <c r="BG67" s="275"/>
      <c r="BH67" s="275"/>
      <c r="BI67" s="275"/>
      <c r="BJ67" s="275"/>
    </row>
    <row r="68" spans="1:62">
      <c r="A68" s="595"/>
      <c r="B68" s="598"/>
      <c r="C68" s="599"/>
      <c r="D68" s="11"/>
      <c r="E68" s="1246" t="str">
        <f>'Despesas com Pessoal'!F68</f>
        <v>P008</v>
      </c>
      <c r="F68" s="1262" t="str">
        <f>'Despesas com Pessoal'!G68</f>
        <v>Ajudante</v>
      </c>
      <c r="G68" s="1251"/>
      <c r="H68" s="1249"/>
      <c r="I68" s="1250">
        <v>1</v>
      </c>
      <c r="J68" s="1250">
        <f>I68</f>
        <v>1</v>
      </c>
      <c r="K68" s="1250">
        <f t="shared" si="74"/>
        <v>1</v>
      </c>
      <c r="L68" s="1250">
        <f t="shared" si="74"/>
        <v>1</v>
      </c>
      <c r="M68" s="1250">
        <f t="shared" si="74"/>
        <v>1</v>
      </c>
      <c r="N68" s="1250">
        <f t="shared" si="74"/>
        <v>1</v>
      </c>
      <c r="O68" s="1250">
        <f t="shared" si="74"/>
        <v>1</v>
      </c>
      <c r="P68" s="1250">
        <f t="shared" si="74"/>
        <v>1</v>
      </c>
      <c r="Q68" s="1250">
        <f t="shared" si="74"/>
        <v>1</v>
      </c>
      <c r="R68" s="1250">
        <f t="shared" si="74"/>
        <v>1</v>
      </c>
      <c r="S68" s="1250">
        <f t="shared" si="74"/>
        <v>1</v>
      </c>
      <c r="T68" s="1250">
        <f t="shared" si="74"/>
        <v>1</v>
      </c>
      <c r="U68" s="1250">
        <f t="shared" si="74"/>
        <v>1</v>
      </c>
      <c r="V68" s="1250">
        <f t="shared" si="74"/>
        <v>1</v>
      </c>
      <c r="W68" s="1250">
        <f t="shared" si="74"/>
        <v>1</v>
      </c>
      <c r="X68" s="1250">
        <f t="shared" si="74"/>
        <v>1</v>
      </c>
      <c r="Y68" s="1250">
        <f t="shared" si="74"/>
        <v>1</v>
      </c>
      <c r="Z68" s="1250">
        <f t="shared" si="74"/>
        <v>1</v>
      </c>
      <c r="AA68" s="1250">
        <f t="shared" si="74"/>
        <v>1</v>
      </c>
      <c r="AB68" s="1250">
        <f t="shared" si="74"/>
        <v>1</v>
      </c>
      <c r="AC68" s="1250">
        <f t="shared" si="74"/>
        <v>1</v>
      </c>
      <c r="AD68" s="1250">
        <f t="shared" si="74"/>
        <v>1</v>
      </c>
      <c r="AE68" s="1250">
        <f t="shared" si="74"/>
        <v>1</v>
      </c>
      <c r="AF68" s="1250">
        <f t="shared" si="74"/>
        <v>1</v>
      </c>
      <c r="AG68" s="1250">
        <f t="shared" si="75"/>
        <v>1</v>
      </c>
      <c r="AH68" s="1250">
        <f t="shared" si="76"/>
        <v>1</v>
      </c>
      <c r="AI68" s="1250">
        <f t="shared" si="77"/>
        <v>1</v>
      </c>
      <c r="AJ68" s="1250">
        <f t="shared" si="78"/>
        <v>1</v>
      </c>
      <c r="AK68" s="1250">
        <f t="shared" si="79"/>
        <v>1</v>
      </c>
      <c r="AL68" s="1250">
        <f t="shared" si="80"/>
        <v>1</v>
      </c>
      <c r="AM68" s="1251"/>
      <c r="AN68" s="1252"/>
      <c r="AO68" s="1251"/>
      <c r="AP68" s="1252"/>
      <c r="AQ68" s="1251"/>
      <c r="AR68" s="1252"/>
      <c r="AS68" s="275"/>
      <c r="AT68" s="275"/>
      <c r="AU68" s="275"/>
      <c r="AV68" s="275"/>
      <c r="AW68" s="275"/>
      <c r="AX68" s="275"/>
      <c r="AY68" s="275"/>
      <c r="AZ68" s="275"/>
      <c r="BA68" s="275"/>
      <c r="BB68" s="275"/>
      <c r="BC68" s="275"/>
      <c r="BD68" s="275"/>
      <c r="BE68" s="275"/>
      <c r="BF68" s="275"/>
      <c r="BG68" s="275"/>
      <c r="BH68" s="275"/>
      <c r="BI68" s="275"/>
      <c r="BJ68" s="275"/>
    </row>
    <row r="69" spans="1:62">
      <c r="A69" s="595"/>
      <c r="B69" s="598"/>
      <c r="C69" s="599"/>
      <c r="D69" s="11"/>
      <c r="E69" s="1246"/>
      <c r="F69" s="1263" t="s">
        <v>807</v>
      </c>
      <c r="G69" s="1251"/>
      <c r="H69" s="1249"/>
      <c r="I69" s="1250"/>
      <c r="J69" s="1250"/>
      <c r="K69" s="1250"/>
      <c r="L69" s="1250"/>
      <c r="M69" s="1250"/>
      <c r="N69" s="1250"/>
      <c r="O69" s="1250"/>
      <c r="P69" s="1250"/>
      <c r="Q69" s="1250"/>
      <c r="R69" s="1250"/>
      <c r="S69" s="1250"/>
      <c r="T69" s="1250"/>
      <c r="U69" s="1250"/>
      <c r="V69" s="1250"/>
      <c r="W69" s="1250"/>
      <c r="X69" s="1250"/>
      <c r="Y69" s="1250"/>
      <c r="Z69" s="1250"/>
      <c r="AA69" s="1250"/>
      <c r="AB69" s="1250"/>
      <c r="AC69" s="1250"/>
      <c r="AD69" s="1250"/>
      <c r="AE69" s="1258"/>
      <c r="AF69" s="1258"/>
      <c r="AG69" s="1258"/>
      <c r="AH69" s="1258"/>
      <c r="AI69" s="1258"/>
      <c r="AJ69" s="1258"/>
      <c r="AK69" s="1258"/>
      <c r="AL69" s="1258"/>
      <c r="AM69" s="1255"/>
      <c r="AN69" s="1244"/>
      <c r="AO69" s="1255"/>
      <c r="AP69" s="1244"/>
      <c r="AQ69" s="1255"/>
      <c r="AR69" s="1252">
        <f t="shared" si="51"/>
        <v>0</v>
      </c>
      <c r="AS69" s="275"/>
      <c r="AT69" s="275"/>
      <c r="AU69" s="275"/>
      <c r="AV69" s="275"/>
      <c r="AW69" s="275"/>
      <c r="AX69" s="275"/>
      <c r="AY69" s="275"/>
      <c r="AZ69" s="275"/>
      <c r="BA69" s="275"/>
      <c r="BB69" s="275"/>
      <c r="BC69" s="275"/>
      <c r="BD69" s="275"/>
      <c r="BE69" s="275"/>
      <c r="BF69" s="275"/>
      <c r="BG69" s="275"/>
      <c r="BH69" s="275"/>
      <c r="BI69" s="275"/>
      <c r="BJ69" s="275"/>
    </row>
    <row r="70" spans="1:62">
      <c r="A70" s="595"/>
      <c r="B70" s="598"/>
      <c r="C70" s="599"/>
      <c r="D70" s="11"/>
      <c r="E70" s="1246" t="str">
        <f>'Despesas com Pessoal'!F70</f>
        <v>P099</v>
      </c>
      <c r="F70" s="1262" t="str">
        <f>'Despesas com Pessoal'!G70</f>
        <v>Engenheiro de Seg. Trabalho</v>
      </c>
      <c r="G70" s="1251" t="s">
        <v>1376</v>
      </c>
      <c r="H70" s="1249">
        <v>1</v>
      </c>
      <c r="I70" s="1250">
        <v>1</v>
      </c>
      <c r="J70" s="1250">
        <f>I70</f>
        <v>1</v>
      </c>
      <c r="K70" s="1250">
        <f t="shared" ref="K70:AF73" si="81">J70</f>
        <v>1</v>
      </c>
      <c r="L70" s="1250">
        <f t="shared" si="81"/>
        <v>1</v>
      </c>
      <c r="M70" s="1250">
        <f t="shared" si="81"/>
        <v>1</v>
      </c>
      <c r="N70" s="1250">
        <f t="shared" si="81"/>
        <v>1</v>
      </c>
      <c r="O70" s="1250">
        <f t="shared" si="81"/>
        <v>1</v>
      </c>
      <c r="P70" s="1250">
        <f t="shared" si="81"/>
        <v>1</v>
      </c>
      <c r="Q70" s="1250">
        <f t="shared" si="81"/>
        <v>1</v>
      </c>
      <c r="R70" s="1250">
        <f t="shared" si="81"/>
        <v>1</v>
      </c>
      <c r="S70" s="1250">
        <f t="shared" si="81"/>
        <v>1</v>
      </c>
      <c r="T70" s="1250">
        <f t="shared" si="81"/>
        <v>1</v>
      </c>
      <c r="U70" s="1250">
        <f t="shared" si="81"/>
        <v>1</v>
      </c>
      <c r="V70" s="1250">
        <f t="shared" si="81"/>
        <v>1</v>
      </c>
      <c r="W70" s="1250">
        <f t="shared" si="81"/>
        <v>1</v>
      </c>
      <c r="X70" s="1250">
        <f t="shared" si="81"/>
        <v>1</v>
      </c>
      <c r="Y70" s="1250">
        <f t="shared" si="81"/>
        <v>1</v>
      </c>
      <c r="Z70" s="1250">
        <f t="shared" si="81"/>
        <v>1</v>
      </c>
      <c r="AA70" s="1250">
        <f t="shared" si="81"/>
        <v>1</v>
      </c>
      <c r="AB70" s="1250">
        <f t="shared" si="81"/>
        <v>1</v>
      </c>
      <c r="AC70" s="1250">
        <f t="shared" si="81"/>
        <v>1</v>
      </c>
      <c r="AD70" s="1250">
        <f t="shared" si="81"/>
        <v>1</v>
      </c>
      <c r="AE70" s="1250">
        <f t="shared" si="81"/>
        <v>1</v>
      </c>
      <c r="AF70" s="1250">
        <f t="shared" si="81"/>
        <v>1</v>
      </c>
      <c r="AG70" s="1250">
        <f t="shared" ref="AG70:AG73" si="82">AF70</f>
        <v>1</v>
      </c>
      <c r="AH70" s="1250">
        <f t="shared" ref="AH70:AH73" si="83">AG70</f>
        <v>1</v>
      </c>
      <c r="AI70" s="1250">
        <f t="shared" ref="AI70:AI73" si="84">AH70</f>
        <v>1</v>
      </c>
      <c r="AJ70" s="1250">
        <f t="shared" ref="AJ70:AJ73" si="85">AI70</f>
        <v>1</v>
      </c>
      <c r="AK70" s="1250">
        <f t="shared" ref="AK70:AK73" si="86">AJ70</f>
        <v>1</v>
      </c>
      <c r="AL70" s="1250">
        <f t="shared" ref="AL70:AL73" si="87">AK70</f>
        <v>1</v>
      </c>
      <c r="AM70" s="1251" t="s">
        <v>1373</v>
      </c>
      <c r="AN70" s="1252">
        <f>MAX(I70:AL70)</f>
        <v>1</v>
      </c>
      <c r="AO70" s="1248" t="s">
        <v>1370</v>
      </c>
      <c r="AP70" s="1252">
        <v>1</v>
      </c>
      <c r="AQ70" s="1251" t="s">
        <v>1374</v>
      </c>
      <c r="AR70" s="1252">
        <f t="shared" si="51"/>
        <v>1</v>
      </c>
      <c r="AS70" s="275"/>
      <c r="AT70" s="275"/>
      <c r="AU70" s="275"/>
      <c r="AV70" s="275"/>
      <c r="AW70" s="275"/>
      <c r="AX70" s="275"/>
      <c r="AY70" s="275"/>
      <c r="AZ70" s="275"/>
      <c r="BA70" s="275"/>
      <c r="BB70" s="275"/>
      <c r="BC70" s="275"/>
      <c r="BD70" s="275"/>
      <c r="BE70" s="275"/>
      <c r="BF70" s="275"/>
      <c r="BG70" s="275"/>
      <c r="BH70" s="275"/>
      <c r="BI70" s="275"/>
      <c r="BJ70" s="275"/>
    </row>
    <row r="71" spans="1:62">
      <c r="A71" s="595"/>
      <c r="B71" s="598"/>
      <c r="C71" s="599"/>
      <c r="D71" s="11"/>
      <c r="E71" s="1246" t="str">
        <f>'Despesas com Pessoal'!F71</f>
        <v>P155</v>
      </c>
      <c r="F71" s="1262" t="str">
        <f>'Despesas com Pessoal'!G71</f>
        <v>Técnico de Segurança do Trabalho II</v>
      </c>
      <c r="G71" s="1251"/>
      <c r="H71" s="1249"/>
      <c r="I71" s="1250">
        <v>1</v>
      </c>
      <c r="J71" s="1250">
        <f>I71</f>
        <v>1</v>
      </c>
      <c r="K71" s="1250">
        <f t="shared" si="81"/>
        <v>1</v>
      </c>
      <c r="L71" s="1250">
        <f t="shared" si="81"/>
        <v>1</v>
      </c>
      <c r="M71" s="1250">
        <f t="shared" si="81"/>
        <v>1</v>
      </c>
      <c r="N71" s="1250">
        <f t="shared" si="81"/>
        <v>1</v>
      </c>
      <c r="O71" s="1250">
        <f t="shared" si="81"/>
        <v>1</v>
      </c>
      <c r="P71" s="1250">
        <f t="shared" si="81"/>
        <v>1</v>
      </c>
      <c r="Q71" s="1250">
        <f t="shared" si="81"/>
        <v>1</v>
      </c>
      <c r="R71" s="1250">
        <f t="shared" si="81"/>
        <v>1</v>
      </c>
      <c r="S71" s="1250">
        <f t="shared" si="81"/>
        <v>1</v>
      </c>
      <c r="T71" s="1250">
        <f t="shared" si="81"/>
        <v>1</v>
      </c>
      <c r="U71" s="1250">
        <f t="shared" si="81"/>
        <v>1</v>
      </c>
      <c r="V71" s="1250">
        <f t="shared" si="81"/>
        <v>1</v>
      </c>
      <c r="W71" s="1250">
        <f t="shared" si="81"/>
        <v>1</v>
      </c>
      <c r="X71" s="1250">
        <f t="shared" si="81"/>
        <v>1</v>
      </c>
      <c r="Y71" s="1250">
        <f t="shared" si="81"/>
        <v>1</v>
      </c>
      <c r="Z71" s="1250">
        <f t="shared" si="81"/>
        <v>1</v>
      </c>
      <c r="AA71" s="1250">
        <f t="shared" si="81"/>
        <v>1</v>
      </c>
      <c r="AB71" s="1250">
        <f t="shared" si="81"/>
        <v>1</v>
      </c>
      <c r="AC71" s="1250">
        <f t="shared" si="81"/>
        <v>1</v>
      </c>
      <c r="AD71" s="1250">
        <f t="shared" si="81"/>
        <v>1</v>
      </c>
      <c r="AE71" s="1250">
        <f t="shared" si="81"/>
        <v>1</v>
      </c>
      <c r="AF71" s="1250">
        <f t="shared" si="81"/>
        <v>1</v>
      </c>
      <c r="AG71" s="1250">
        <f t="shared" si="82"/>
        <v>1</v>
      </c>
      <c r="AH71" s="1250">
        <f t="shared" si="83"/>
        <v>1</v>
      </c>
      <c r="AI71" s="1250">
        <f t="shared" si="84"/>
        <v>1</v>
      </c>
      <c r="AJ71" s="1250">
        <f t="shared" si="85"/>
        <v>1</v>
      </c>
      <c r="AK71" s="1250">
        <f t="shared" si="86"/>
        <v>1</v>
      </c>
      <c r="AL71" s="1250">
        <f t="shared" si="87"/>
        <v>1</v>
      </c>
      <c r="AM71" s="1251" t="s">
        <v>1369</v>
      </c>
      <c r="AN71" s="1252"/>
      <c r="AO71" s="1248" t="s">
        <v>1370</v>
      </c>
      <c r="AP71" s="1252"/>
      <c r="AQ71" s="1248" t="s">
        <v>1371</v>
      </c>
      <c r="AR71" s="1252"/>
      <c r="AS71" s="275"/>
      <c r="AT71" s="275"/>
      <c r="AU71" s="275"/>
      <c r="AV71" s="275"/>
      <c r="AW71" s="275"/>
      <c r="AX71" s="275"/>
      <c r="AY71" s="275"/>
      <c r="AZ71" s="275"/>
      <c r="BA71" s="275"/>
      <c r="BB71" s="275"/>
      <c r="BC71" s="275"/>
      <c r="BD71" s="275"/>
      <c r="BE71" s="275"/>
      <c r="BF71" s="275"/>
      <c r="BG71" s="275"/>
      <c r="BH71" s="275"/>
      <c r="BI71" s="275"/>
      <c r="BJ71" s="275"/>
    </row>
    <row r="72" spans="1:62">
      <c r="A72" s="595"/>
      <c r="B72" s="598"/>
      <c r="C72" s="599"/>
      <c r="D72" s="11"/>
      <c r="E72" s="1246" t="str">
        <f>'Despesas com Pessoal'!F72</f>
        <v>P112</v>
      </c>
      <c r="F72" s="1262" t="str">
        <f>'Despesas com Pessoal'!G72</f>
        <v>Médico</v>
      </c>
      <c r="G72" s="1251" t="s">
        <v>1376</v>
      </c>
      <c r="H72" s="1249">
        <v>1</v>
      </c>
      <c r="I72" s="1250">
        <v>1</v>
      </c>
      <c r="J72" s="1250">
        <f>I72</f>
        <v>1</v>
      </c>
      <c r="K72" s="1250">
        <f t="shared" si="81"/>
        <v>1</v>
      </c>
      <c r="L72" s="1250">
        <f t="shared" si="81"/>
        <v>1</v>
      </c>
      <c r="M72" s="1250">
        <f t="shared" si="81"/>
        <v>1</v>
      </c>
      <c r="N72" s="1250">
        <f t="shared" si="81"/>
        <v>1</v>
      </c>
      <c r="O72" s="1250">
        <f t="shared" si="81"/>
        <v>1</v>
      </c>
      <c r="P72" s="1250">
        <f t="shared" si="81"/>
        <v>1</v>
      </c>
      <c r="Q72" s="1250">
        <f t="shared" si="81"/>
        <v>1</v>
      </c>
      <c r="R72" s="1250">
        <f t="shared" si="81"/>
        <v>1</v>
      </c>
      <c r="S72" s="1250">
        <f t="shared" si="81"/>
        <v>1</v>
      </c>
      <c r="T72" s="1250">
        <f t="shared" si="81"/>
        <v>1</v>
      </c>
      <c r="U72" s="1250">
        <f t="shared" si="81"/>
        <v>1</v>
      </c>
      <c r="V72" s="1250">
        <f t="shared" si="81"/>
        <v>1</v>
      </c>
      <c r="W72" s="1250">
        <f t="shared" si="81"/>
        <v>1</v>
      </c>
      <c r="X72" s="1250">
        <f t="shared" si="81"/>
        <v>1</v>
      </c>
      <c r="Y72" s="1250">
        <f t="shared" si="81"/>
        <v>1</v>
      </c>
      <c r="Z72" s="1250">
        <f t="shared" si="81"/>
        <v>1</v>
      </c>
      <c r="AA72" s="1250">
        <f t="shared" si="81"/>
        <v>1</v>
      </c>
      <c r="AB72" s="1250">
        <f t="shared" si="81"/>
        <v>1</v>
      </c>
      <c r="AC72" s="1250">
        <f t="shared" si="81"/>
        <v>1</v>
      </c>
      <c r="AD72" s="1250">
        <f t="shared" si="81"/>
        <v>1</v>
      </c>
      <c r="AE72" s="1250">
        <f t="shared" si="81"/>
        <v>1</v>
      </c>
      <c r="AF72" s="1250">
        <f t="shared" si="81"/>
        <v>1</v>
      </c>
      <c r="AG72" s="1250">
        <f t="shared" si="82"/>
        <v>1</v>
      </c>
      <c r="AH72" s="1250">
        <f t="shared" si="83"/>
        <v>1</v>
      </c>
      <c r="AI72" s="1250">
        <f t="shared" si="84"/>
        <v>1</v>
      </c>
      <c r="AJ72" s="1250">
        <f t="shared" si="85"/>
        <v>1</v>
      </c>
      <c r="AK72" s="1250">
        <f t="shared" si="86"/>
        <v>1</v>
      </c>
      <c r="AL72" s="1250">
        <f t="shared" si="87"/>
        <v>1</v>
      </c>
      <c r="AM72" s="1251" t="s">
        <v>1369</v>
      </c>
      <c r="AN72" s="1252"/>
      <c r="AO72" s="1248" t="s">
        <v>1370</v>
      </c>
      <c r="AP72" s="1252"/>
      <c r="AQ72" s="1251" t="s">
        <v>1374</v>
      </c>
      <c r="AR72" s="1252"/>
      <c r="AS72" s="275"/>
      <c r="AT72" s="275"/>
      <c r="AU72" s="275"/>
      <c r="AV72" s="275"/>
      <c r="AW72" s="275"/>
      <c r="AX72" s="275"/>
      <c r="AY72" s="275"/>
      <c r="AZ72" s="275"/>
      <c r="BA72" s="275"/>
      <c r="BB72" s="275"/>
      <c r="BC72" s="275"/>
      <c r="BD72" s="275"/>
      <c r="BE72" s="275"/>
      <c r="BF72" s="275"/>
      <c r="BG72" s="275"/>
      <c r="BH72" s="275"/>
      <c r="BI72" s="275"/>
      <c r="BJ72" s="275"/>
    </row>
    <row r="73" spans="1:62" s="10" customFormat="1">
      <c r="A73" s="595"/>
      <c r="B73" s="598"/>
      <c r="C73" s="599"/>
      <c r="D73" s="9"/>
      <c r="E73" s="1246" t="str">
        <f>'Despesas com Pessoal'!F73</f>
        <v>P044</v>
      </c>
      <c r="F73" s="1262" t="str">
        <f>'Despesas com Pessoal'!G73</f>
        <v>Auxiliar de Enfermagem</v>
      </c>
      <c r="G73" s="1251"/>
      <c r="H73" s="1249"/>
      <c r="I73" s="1250">
        <v>0</v>
      </c>
      <c r="J73" s="1250">
        <v>0</v>
      </c>
      <c r="K73" s="1250">
        <f>J73</f>
        <v>0</v>
      </c>
      <c r="L73" s="1250">
        <f t="shared" si="81"/>
        <v>0</v>
      </c>
      <c r="M73" s="1250">
        <f t="shared" si="81"/>
        <v>0</v>
      </c>
      <c r="N73" s="1250">
        <f t="shared" si="81"/>
        <v>0</v>
      </c>
      <c r="O73" s="1250">
        <f t="shared" si="81"/>
        <v>0</v>
      </c>
      <c r="P73" s="1250">
        <f t="shared" si="81"/>
        <v>0</v>
      </c>
      <c r="Q73" s="1250">
        <f t="shared" si="81"/>
        <v>0</v>
      </c>
      <c r="R73" s="1250">
        <f t="shared" si="81"/>
        <v>0</v>
      </c>
      <c r="S73" s="1250">
        <f t="shared" si="81"/>
        <v>0</v>
      </c>
      <c r="T73" s="1250">
        <f t="shared" si="81"/>
        <v>0</v>
      </c>
      <c r="U73" s="1250">
        <f t="shared" si="81"/>
        <v>0</v>
      </c>
      <c r="V73" s="1250">
        <f t="shared" si="81"/>
        <v>0</v>
      </c>
      <c r="W73" s="1250">
        <f t="shared" si="81"/>
        <v>0</v>
      </c>
      <c r="X73" s="1250">
        <f t="shared" si="81"/>
        <v>0</v>
      </c>
      <c r="Y73" s="1250">
        <f t="shared" si="81"/>
        <v>0</v>
      </c>
      <c r="Z73" s="1250">
        <f t="shared" si="81"/>
        <v>0</v>
      </c>
      <c r="AA73" s="1250">
        <f t="shared" si="81"/>
        <v>0</v>
      </c>
      <c r="AB73" s="1250">
        <f t="shared" si="81"/>
        <v>0</v>
      </c>
      <c r="AC73" s="1250">
        <f t="shared" si="81"/>
        <v>0</v>
      </c>
      <c r="AD73" s="1250">
        <f t="shared" si="81"/>
        <v>0</v>
      </c>
      <c r="AE73" s="1250">
        <f t="shared" si="81"/>
        <v>0</v>
      </c>
      <c r="AF73" s="1250">
        <f t="shared" si="81"/>
        <v>0</v>
      </c>
      <c r="AG73" s="1250">
        <f t="shared" si="82"/>
        <v>0</v>
      </c>
      <c r="AH73" s="1250">
        <f t="shared" si="83"/>
        <v>0</v>
      </c>
      <c r="AI73" s="1250">
        <f t="shared" si="84"/>
        <v>0</v>
      </c>
      <c r="AJ73" s="1250">
        <f t="shared" si="85"/>
        <v>0</v>
      </c>
      <c r="AK73" s="1250">
        <f t="shared" si="86"/>
        <v>0</v>
      </c>
      <c r="AL73" s="1250">
        <f t="shared" si="87"/>
        <v>0</v>
      </c>
      <c r="AM73" s="1251"/>
      <c r="AN73" s="1252"/>
      <c r="AO73" s="1248"/>
      <c r="AP73" s="1252"/>
      <c r="AQ73" s="1248"/>
      <c r="AR73" s="1252"/>
      <c r="AS73" s="275"/>
      <c r="AT73" s="278"/>
      <c r="AU73" s="278"/>
      <c r="AV73" s="278"/>
      <c r="AW73" s="278"/>
      <c r="AX73" s="278"/>
      <c r="AY73" s="278"/>
      <c r="AZ73" s="278"/>
      <c r="BA73" s="278"/>
      <c r="BB73" s="278"/>
      <c r="BC73" s="278"/>
      <c r="BD73" s="278"/>
      <c r="BE73" s="278"/>
      <c r="BF73" s="278"/>
      <c r="BG73" s="278"/>
      <c r="BH73" s="278"/>
      <c r="BI73" s="278"/>
      <c r="BJ73" s="278"/>
    </row>
    <row r="74" spans="1:62" s="10" customFormat="1">
      <c r="A74" s="595"/>
      <c r="B74" s="598"/>
      <c r="C74" s="599"/>
      <c r="D74" s="9"/>
      <c r="E74" s="1246"/>
      <c r="F74" s="1263" t="s">
        <v>812</v>
      </c>
      <c r="G74" s="1255"/>
      <c r="H74" s="1249"/>
      <c r="I74" s="1245"/>
      <c r="J74" s="1245"/>
      <c r="K74" s="1245"/>
      <c r="L74" s="1245"/>
      <c r="M74" s="1245"/>
      <c r="N74" s="1245"/>
      <c r="O74" s="1245"/>
      <c r="P74" s="1245"/>
      <c r="Q74" s="1245"/>
      <c r="R74" s="1245"/>
      <c r="S74" s="1245"/>
      <c r="T74" s="1245"/>
      <c r="U74" s="1245"/>
      <c r="V74" s="1245"/>
      <c r="W74" s="1245"/>
      <c r="X74" s="1245"/>
      <c r="Y74" s="1245"/>
      <c r="Z74" s="1245"/>
      <c r="AA74" s="1245"/>
      <c r="AB74" s="1245"/>
      <c r="AC74" s="1245"/>
      <c r="AD74" s="1245"/>
      <c r="AE74" s="1257"/>
      <c r="AF74" s="1258"/>
      <c r="AG74" s="1258"/>
      <c r="AH74" s="1258"/>
      <c r="AI74" s="1258"/>
      <c r="AJ74" s="1258"/>
      <c r="AK74" s="1258"/>
      <c r="AL74" s="1258"/>
      <c r="AM74" s="1255"/>
      <c r="AN74" s="1244"/>
      <c r="AO74" s="1255"/>
      <c r="AP74" s="1244"/>
      <c r="AQ74" s="1255"/>
      <c r="AR74" s="1252">
        <f t="shared" si="51"/>
        <v>0</v>
      </c>
      <c r="AS74" s="275"/>
      <c r="AT74" s="278"/>
      <c r="AU74" s="278"/>
      <c r="AV74" s="278"/>
      <c r="AW74" s="278"/>
      <c r="AX74" s="278"/>
      <c r="AY74" s="278"/>
      <c r="AZ74" s="278"/>
      <c r="BA74" s="278"/>
      <c r="BB74" s="278"/>
      <c r="BC74" s="278"/>
      <c r="BD74" s="278"/>
      <c r="BE74" s="278"/>
      <c r="BF74" s="278"/>
      <c r="BG74" s="278"/>
      <c r="BH74" s="278"/>
      <c r="BI74" s="278"/>
      <c r="BJ74" s="278"/>
    </row>
    <row r="75" spans="1:62">
      <c r="A75" s="595"/>
      <c r="B75" s="598"/>
      <c r="C75" s="599"/>
      <c r="D75" s="11"/>
      <c r="E75" s="1246" t="str">
        <f>'Despesas com Pessoal'!F75</f>
        <v>P072</v>
      </c>
      <c r="F75" s="1262" t="str">
        <f>'Despesas com Pessoal'!G75</f>
        <v>Coordenador Financeiro</v>
      </c>
      <c r="G75" s="1251"/>
      <c r="H75" s="1249"/>
      <c r="I75" s="1250">
        <v>1</v>
      </c>
      <c r="J75" s="1250">
        <f>I75</f>
        <v>1</v>
      </c>
      <c r="K75" s="1250">
        <f t="shared" ref="K75:AL75" si="88">J75</f>
        <v>1</v>
      </c>
      <c r="L75" s="1250">
        <f t="shared" si="88"/>
        <v>1</v>
      </c>
      <c r="M75" s="1250">
        <f t="shared" si="88"/>
        <v>1</v>
      </c>
      <c r="N75" s="1250">
        <f t="shared" si="88"/>
        <v>1</v>
      </c>
      <c r="O75" s="1250">
        <f t="shared" si="88"/>
        <v>1</v>
      </c>
      <c r="P75" s="1250">
        <f t="shared" si="88"/>
        <v>1</v>
      </c>
      <c r="Q75" s="1250">
        <f t="shared" si="88"/>
        <v>1</v>
      </c>
      <c r="R75" s="1250">
        <f t="shared" si="88"/>
        <v>1</v>
      </c>
      <c r="S75" s="1250">
        <f t="shared" si="88"/>
        <v>1</v>
      </c>
      <c r="T75" s="1250">
        <f t="shared" si="88"/>
        <v>1</v>
      </c>
      <c r="U75" s="1250">
        <f t="shared" si="88"/>
        <v>1</v>
      </c>
      <c r="V75" s="1250">
        <f t="shared" si="88"/>
        <v>1</v>
      </c>
      <c r="W75" s="1250">
        <f t="shared" si="88"/>
        <v>1</v>
      </c>
      <c r="X75" s="1250">
        <f t="shared" si="88"/>
        <v>1</v>
      </c>
      <c r="Y75" s="1250">
        <f t="shared" si="88"/>
        <v>1</v>
      </c>
      <c r="Z75" s="1250">
        <f t="shared" si="88"/>
        <v>1</v>
      </c>
      <c r="AA75" s="1250">
        <f t="shared" si="88"/>
        <v>1</v>
      </c>
      <c r="AB75" s="1250">
        <f t="shared" si="88"/>
        <v>1</v>
      </c>
      <c r="AC75" s="1250">
        <f t="shared" si="88"/>
        <v>1</v>
      </c>
      <c r="AD75" s="1250">
        <f t="shared" si="88"/>
        <v>1</v>
      </c>
      <c r="AE75" s="1250">
        <f t="shared" si="88"/>
        <v>1</v>
      </c>
      <c r="AF75" s="1250">
        <f t="shared" si="88"/>
        <v>1</v>
      </c>
      <c r="AG75" s="1250">
        <f t="shared" si="88"/>
        <v>1</v>
      </c>
      <c r="AH75" s="1250">
        <f t="shared" si="88"/>
        <v>1</v>
      </c>
      <c r="AI75" s="1250">
        <f t="shared" si="88"/>
        <v>1</v>
      </c>
      <c r="AJ75" s="1250">
        <f t="shared" si="88"/>
        <v>1</v>
      </c>
      <c r="AK75" s="1250">
        <f t="shared" si="88"/>
        <v>1</v>
      </c>
      <c r="AL75" s="1250">
        <f t="shared" si="88"/>
        <v>1</v>
      </c>
      <c r="AM75" s="1251" t="s">
        <v>1373</v>
      </c>
      <c r="AN75" s="1252">
        <f>MAX(I75:AL75)</f>
        <v>1</v>
      </c>
      <c r="AO75" s="1248" t="s">
        <v>1370</v>
      </c>
      <c r="AP75" s="1252">
        <v>1</v>
      </c>
      <c r="AQ75" s="1251" t="s">
        <v>1374</v>
      </c>
      <c r="AR75" s="1252">
        <f>MAX(I75:AL75)</f>
        <v>1</v>
      </c>
      <c r="AS75" s="275"/>
      <c r="AT75" s="275"/>
      <c r="AU75" s="275"/>
      <c r="AV75" s="275"/>
      <c r="AW75" s="275"/>
      <c r="AX75" s="275"/>
      <c r="AY75" s="275"/>
      <c r="AZ75" s="275"/>
      <c r="BA75" s="275"/>
      <c r="BB75" s="275"/>
      <c r="BC75" s="275"/>
      <c r="BD75" s="275"/>
      <c r="BE75" s="275"/>
      <c r="BF75" s="275"/>
      <c r="BG75" s="275"/>
      <c r="BH75" s="275"/>
      <c r="BI75" s="275"/>
      <c r="BJ75" s="275"/>
    </row>
    <row r="76" spans="1:62">
      <c r="A76" s="595"/>
      <c r="B76" s="598"/>
      <c r="C76" s="599"/>
      <c r="D76" s="11"/>
      <c r="E76" s="1246" t="str">
        <f>'Despesas com Pessoal'!F76</f>
        <v>P021</v>
      </c>
      <c r="F76" s="1262" t="str">
        <f>'Despesas com Pessoal'!G76</f>
        <v>Analista Financeiro</v>
      </c>
      <c r="G76" s="1251"/>
      <c r="H76" s="1249"/>
      <c r="I76" s="1250">
        <v>1</v>
      </c>
      <c r="J76" s="1250">
        <f>I76</f>
        <v>1</v>
      </c>
      <c r="K76" s="1250">
        <f t="shared" ref="K76:AF76" si="89">J76</f>
        <v>1</v>
      </c>
      <c r="L76" s="1250">
        <f t="shared" si="89"/>
        <v>1</v>
      </c>
      <c r="M76" s="1250">
        <f t="shared" si="89"/>
        <v>1</v>
      </c>
      <c r="N76" s="1250">
        <f t="shared" si="89"/>
        <v>1</v>
      </c>
      <c r="O76" s="1250">
        <f t="shared" si="89"/>
        <v>1</v>
      </c>
      <c r="P76" s="1250">
        <f t="shared" si="89"/>
        <v>1</v>
      </c>
      <c r="Q76" s="1250">
        <f t="shared" si="89"/>
        <v>1</v>
      </c>
      <c r="R76" s="1250">
        <f t="shared" si="89"/>
        <v>1</v>
      </c>
      <c r="S76" s="1250">
        <f t="shared" si="89"/>
        <v>1</v>
      </c>
      <c r="T76" s="1250">
        <f t="shared" si="89"/>
        <v>1</v>
      </c>
      <c r="U76" s="1250">
        <f t="shared" si="89"/>
        <v>1</v>
      </c>
      <c r="V76" s="1250">
        <f t="shared" si="89"/>
        <v>1</v>
      </c>
      <c r="W76" s="1250">
        <f t="shared" si="89"/>
        <v>1</v>
      </c>
      <c r="X76" s="1250">
        <f t="shared" si="89"/>
        <v>1</v>
      </c>
      <c r="Y76" s="1250">
        <f t="shared" si="89"/>
        <v>1</v>
      </c>
      <c r="Z76" s="1250">
        <f t="shared" si="89"/>
        <v>1</v>
      </c>
      <c r="AA76" s="1250">
        <f t="shared" si="89"/>
        <v>1</v>
      </c>
      <c r="AB76" s="1250">
        <f t="shared" si="89"/>
        <v>1</v>
      </c>
      <c r="AC76" s="1250">
        <f t="shared" si="89"/>
        <v>1</v>
      </c>
      <c r="AD76" s="1250">
        <f t="shared" si="89"/>
        <v>1</v>
      </c>
      <c r="AE76" s="1250">
        <f t="shared" si="89"/>
        <v>1</v>
      </c>
      <c r="AF76" s="1250">
        <f t="shared" si="89"/>
        <v>1</v>
      </c>
      <c r="AG76" s="1250">
        <f t="shared" ref="AG76:AG78" si="90">AF76</f>
        <v>1</v>
      </c>
      <c r="AH76" s="1250">
        <f t="shared" ref="AH76:AH78" si="91">AG76</f>
        <v>1</v>
      </c>
      <c r="AI76" s="1250">
        <f t="shared" ref="AI76:AI78" si="92">AH76</f>
        <v>1</v>
      </c>
      <c r="AJ76" s="1250">
        <f t="shared" ref="AJ76:AJ78" si="93">AI76</f>
        <v>1</v>
      </c>
      <c r="AK76" s="1250">
        <f t="shared" ref="AK76:AK78" si="94">AJ76</f>
        <v>1</v>
      </c>
      <c r="AL76" s="1250">
        <f t="shared" ref="AL76:AL78" si="95">AK76</f>
        <v>1</v>
      </c>
      <c r="AM76" s="1251" t="s">
        <v>1369</v>
      </c>
      <c r="AN76" s="1252">
        <f>MAX(I76:AL76)</f>
        <v>1</v>
      </c>
      <c r="AO76" s="1248" t="s">
        <v>1370</v>
      </c>
      <c r="AP76" s="1252">
        <v>1</v>
      </c>
      <c r="AQ76" s="1248" t="s">
        <v>1371</v>
      </c>
      <c r="AR76" s="1252">
        <f>MAX(I76:AL76)</f>
        <v>1</v>
      </c>
      <c r="AS76" s="275"/>
      <c r="AT76" s="275"/>
      <c r="AU76" s="275"/>
      <c r="AV76" s="275"/>
      <c r="AW76" s="275"/>
      <c r="AX76" s="275"/>
      <c r="AY76" s="275"/>
      <c r="AZ76" s="275"/>
      <c r="BA76" s="275"/>
      <c r="BB76" s="275"/>
      <c r="BC76" s="275"/>
      <c r="BD76" s="275"/>
      <c r="BE76" s="275"/>
      <c r="BF76" s="275"/>
      <c r="BG76" s="275"/>
      <c r="BH76" s="275"/>
      <c r="BI76" s="275"/>
      <c r="BJ76" s="275"/>
    </row>
    <row r="77" spans="1:62">
      <c r="A77" s="595"/>
      <c r="B77" s="598"/>
      <c r="C77" s="599"/>
      <c r="D77" s="11"/>
      <c r="E77" s="1246" t="str">
        <f>'Despesas com Pessoal'!F77</f>
        <v>P161</v>
      </c>
      <c r="F77" s="1262" t="str">
        <f>'Despesas com Pessoal'!G77</f>
        <v>Tesoureiro</v>
      </c>
      <c r="G77" s="1251"/>
      <c r="H77" s="1249"/>
      <c r="I77" s="1250">
        <v>1</v>
      </c>
      <c r="J77" s="1250">
        <v>1</v>
      </c>
      <c r="K77" s="1250">
        <f t="shared" ref="K77:AF78" si="96">J77</f>
        <v>1</v>
      </c>
      <c r="L77" s="1250">
        <f t="shared" si="96"/>
        <v>1</v>
      </c>
      <c r="M77" s="1250">
        <f t="shared" si="96"/>
        <v>1</v>
      </c>
      <c r="N77" s="1250">
        <f t="shared" si="96"/>
        <v>1</v>
      </c>
      <c r="O77" s="1250">
        <f t="shared" si="96"/>
        <v>1</v>
      </c>
      <c r="P77" s="1250">
        <f t="shared" si="96"/>
        <v>1</v>
      </c>
      <c r="Q77" s="1250">
        <f t="shared" si="96"/>
        <v>1</v>
      </c>
      <c r="R77" s="1250">
        <f t="shared" si="96"/>
        <v>1</v>
      </c>
      <c r="S77" s="1250">
        <f t="shared" si="96"/>
        <v>1</v>
      </c>
      <c r="T77" s="1250">
        <f t="shared" si="96"/>
        <v>1</v>
      </c>
      <c r="U77" s="1250">
        <f t="shared" si="96"/>
        <v>1</v>
      </c>
      <c r="V77" s="1250">
        <f t="shared" si="96"/>
        <v>1</v>
      </c>
      <c r="W77" s="1250">
        <f t="shared" si="96"/>
        <v>1</v>
      </c>
      <c r="X77" s="1250">
        <f t="shared" si="96"/>
        <v>1</v>
      </c>
      <c r="Y77" s="1250">
        <f t="shared" si="96"/>
        <v>1</v>
      </c>
      <c r="Z77" s="1250">
        <f t="shared" si="96"/>
        <v>1</v>
      </c>
      <c r="AA77" s="1250">
        <f t="shared" si="96"/>
        <v>1</v>
      </c>
      <c r="AB77" s="1250">
        <f t="shared" si="96"/>
        <v>1</v>
      </c>
      <c r="AC77" s="1250">
        <f t="shared" si="96"/>
        <v>1</v>
      </c>
      <c r="AD77" s="1250">
        <f t="shared" si="96"/>
        <v>1</v>
      </c>
      <c r="AE77" s="1250">
        <f t="shared" si="96"/>
        <v>1</v>
      </c>
      <c r="AF77" s="1250">
        <f t="shared" si="96"/>
        <v>1</v>
      </c>
      <c r="AG77" s="1250">
        <f t="shared" si="90"/>
        <v>1</v>
      </c>
      <c r="AH77" s="1250">
        <f t="shared" si="91"/>
        <v>1</v>
      </c>
      <c r="AI77" s="1250">
        <f t="shared" si="92"/>
        <v>1</v>
      </c>
      <c r="AJ77" s="1250">
        <f t="shared" si="93"/>
        <v>1</v>
      </c>
      <c r="AK77" s="1250">
        <f t="shared" si="94"/>
        <v>1</v>
      </c>
      <c r="AL77" s="1250">
        <f t="shared" si="95"/>
        <v>1</v>
      </c>
      <c r="AM77" s="1251" t="s">
        <v>1369</v>
      </c>
      <c r="AN77" s="1252">
        <f>MAX(I77:AL77)</f>
        <v>1</v>
      </c>
      <c r="AO77" s="1248" t="s">
        <v>1370</v>
      </c>
      <c r="AP77" s="1252">
        <v>1</v>
      </c>
      <c r="AQ77" s="1248" t="s">
        <v>1371</v>
      </c>
      <c r="AR77" s="1252">
        <f>MAX(I77:AL77)</f>
        <v>1</v>
      </c>
      <c r="AS77" s="275"/>
      <c r="AT77" s="275"/>
      <c r="AU77" s="275"/>
      <c r="AV77" s="275"/>
      <c r="AW77" s="275"/>
      <c r="AX77" s="275"/>
      <c r="AY77" s="275"/>
      <c r="AZ77" s="275"/>
      <c r="BA77" s="275"/>
      <c r="BB77" s="275"/>
      <c r="BC77" s="275"/>
      <c r="BD77" s="275"/>
      <c r="BE77" s="275"/>
      <c r="BF77" s="275"/>
      <c r="BG77" s="275"/>
      <c r="BH77" s="275"/>
      <c r="BI77" s="275"/>
      <c r="BJ77" s="275"/>
    </row>
    <row r="78" spans="1:62">
      <c r="A78" s="595"/>
      <c r="B78" s="598"/>
      <c r="C78" s="599"/>
      <c r="D78" s="11"/>
      <c r="E78" s="1246" t="str">
        <f>'Despesas com Pessoal'!F78</f>
        <v>P028</v>
      </c>
      <c r="F78" s="1262" t="str">
        <f>'Despesas com Pessoal'!G78</f>
        <v>Assistente de Contas a Pagar</v>
      </c>
      <c r="G78" s="1251"/>
      <c r="H78" s="1249"/>
      <c r="I78" s="1250">
        <v>1</v>
      </c>
      <c r="J78" s="1250">
        <v>1</v>
      </c>
      <c r="K78" s="1250">
        <f t="shared" si="96"/>
        <v>1</v>
      </c>
      <c r="L78" s="1250">
        <f t="shared" si="96"/>
        <v>1</v>
      </c>
      <c r="M78" s="1250">
        <f t="shared" si="96"/>
        <v>1</v>
      </c>
      <c r="N78" s="1250">
        <v>1</v>
      </c>
      <c r="O78" s="1250">
        <f t="shared" si="96"/>
        <v>1</v>
      </c>
      <c r="P78" s="1250">
        <f t="shared" si="96"/>
        <v>1</v>
      </c>
      <c r="Q78" s="1250">
        <f t="shared" si="96"/>
        <v>1</v>
      </c>
      <c r="R78" s="1250">
        <f t="shared" si="96"/>
        <v>1</v>
      </c>
      <c r="S78" s="1250">
        <f t="shared" si="96"/>
        <v>1</v>
      </c>
      <c r="T78" s="1250">
        <f t="shared" si="96"/>
        <v>1</v>
      </c>
      <c r="U78" s="1250">
        <f t="shared" si="96"/>
        <v>1</v>
      </c>
      <c r="V78" s="1250">
        <f t="shared" si="96"/>
        <v>1</v>
      </c>
      <c r="W78" s="1250">
        <f t="shared" si="96"/>
        <v>1</v>
      </c>
      <c r="X78" s="1250">
        <f t="shared" si="96"/>
        <v>1</v>
      </c>
      <c r="Y78" s="1250">
        <f t="shared" si="96"/>
        <v>1</v>
      </c>
      <c r="Z78" s="1250">
        <f t="shared" si="96"/>
        <v>1</v>
      </c>
      <c r="AA78" s="1250">
        <f t="shared" si="96"/>
        <v>1</v>
      </c>
      <c r="AB78" s="1250">
        <f t="shared" si="96"/>
        <v>1</v>
      </c>
      <c r="AC78" s="1250">
        <f t="shared" si="96"/>
        <v>1</v>
      </c>
      <c r="AD78" s="1250">
        <f t="shared" si="96"/>
        <v>1</v>
      </c>
      <c r="AE78" s="1250">
        <f t="shared" si="96"/>
        <v>1</v>
      </c>
      <c r="AF78" s="1250">
        <f t="shared" si="96"/>
        <v>1</v>
      </c>
      <c r="AG78" s="1250">
        <f t="shared" si="90"/>
        <v>1</v>
      </c>
      <c r="AH78" s="1250">
        <f t="shared" si="91"/>
        <v>1</v>
      </c>
      <c r="AI78" s="1250">
        <f t="shared" si="92"/>
        <v>1</v>
      </c>
      <c r="AJ78" s="1250">
        <f t="shared" si="93"/>
        <v>1</v>
      </c>
      <c r="AK78" s="1250">
        <f t="shared" si="94"/>
        <v>1</v>
      </c>
      <c r="AL78" s="1250">
        <f t="shared" si="95"/>
        <v>1</v>
      </c>
      <c r="AM78" s="1251" t="s">
        <v>1369</v>
      </c>
      <c r="AN78" s="1252">
        <f>MAX(I78:AL78)</f>
        <v>1</v>
      </c>
      <c r="AO78" s="1248" t="s">
        <v>1370</v>
      </c>
      <c r="AP78" s="1252">
        <v>1</v>
      </c>
      <c r="AQ78" s="1248" t="s">
        <v>1371</v>
      </c>
      <c r="AR78" s="1252">
        <f>MAX(I78:AL78)</f>
        <v>1</v>
      </c>
      <c r="AS78" s="275"/>
      <c r="AT78" s="275"/>
      <c r="AU78" s="275"/>
      <c r="AV78" s="275"/>
      <c r="AW78" s="275"/>
      <c r="AX78" s="275"/>
      <c r="AY78" s="275"/>
      <c r="AZ78" s="275"/>
      <c r="BA78" s="275"/>
      <c r="BB78" s="275"/>
      <c r="BC78" s="275"/>
      <c r="BD78" s="275"/>
      <c r="BE78" s="275"/>
      <c r="BF78" s="275"/>
      <c r="BG78" s="275"/>
      <c r="BH78" s="275"/>
      <c r="BI78" s="275"/>
      <c r="BJ78" s="275"/>
    </row>
    <row r="79" spans="1:62">
      <c r="A79" s="595"/>
      <c r="B79" s="598"/>
      <c r="C79" s="599"/>
      <c r="D79" s="11"/>
      <c r="E79" s="1246"/>
      <c r="F79" s="1263" t="s">
        <v>817</v>
      </c>
      <c r="G79" s="1255"/>
      <c r="H79" s="1249"/>
      <c r="I79" s="1245"/>
      <c r="J79" s="1245"/>
      <c r="K79" s="1245"/>
      <c r="L79" s="1245"/>
      <c r="M79" s="1245"/>
      <c r="N79" s="1245"/>
      <c r="O79" s="1245"/>
      <c r="P79" s="1245"/>
      <c r="Q79" s="1245"/>
      <c r="R79" s="1245"/>
      <c r="S79" s="1245"/>
      <c r="T79" s="1245"/>
      <c r="U79" s="1245"/>
      <c r="V79" s="1245"/>
      <c r="W79" s="1245"/>
      <c r="X79" s="1245"/>
      <c r="Y79" s="1245"/>
      <c r="Z79" s="1245"/>
      <c r="AA79" s="1245"/>
      <c r="AB79" s="1245"/>
      <c r="AC79" s="1245"/>
      <c r="AD79" s="1245"/>
      <c r="AE79" s="1257"/>
      <c r="AF79" s="1258"/>
      <c r="AG79" s="1258"/>
      <c r="AH79" s="1258"/>
      <c r="AI79" s="1258"/>
      <c r="AJ79" s="1258"/>
      <c r="AK79" s="1258"/>
      <c r="AL79" s="1258"/>
      <c r="AM79" s="1255"/>
      <c r="AN79" s="1244"/>
      <c r="AO79" s="1255"/>
      <c r="AP79" s="1244"/>
      <c r="AQ79" s="1255"/>
      <c r="AR79" s="1252">
        <f t="shared" si="51"/>
        <v>0</v>
      </c>
      <c r="AS79" s="275"/>
      <c r="AT79" s="275"/>
      <c r="AU79" s="275"/>
      <c r="AV79" s="275"/>
      <c r="AW79" s="275"/>
      <c r="AX79" s="275"/>
      <c r="AY79" s="275"/>
      <c r="AZ79" s="275"/>
      <c r="BA79" s="275"/>
      <c r="BB79" s="275"/>
      <c r="BC79" s="275"/>
      <c r="BD79" s="275"/>
      <c r="BE79" s="275"/>
      <c r="BF79" s="275"/>
      <c r="BG79" s="275"/>
      <c r="BH79" s="275"/>
      <c r="BI79" s="275"/>
      <c r="BJ79" s="275"/>
    </row>
    <row r="80" spans="1:62">
      <c r="A80" s="595"/>
      <c r="B80" s="598"/>
      <c r="C80" s="599"/>
      <c r="D80" s="11"/>
      <c r="E80" s="1246" t="str">
        <f>'Despesas com Pessoal'!F80</f>
        <v>P061</v>
      </c>
      <c r="F80" s="1262" t="str">
        <f>'Despesas com Pessoal'!G80</f>
        <v>Contador</v>
      </c>
      <c r="G80" s="1251"/>
      <c r="H80" s="1249"/>
      <c r="I80" s="1250">
        <v>1</v>
      </c>
      <c r="J80" s="1250">
        <f t="shared" ref="J80:AF82" si="97">I80</f>
        <v>1</v>
      </c>
      <c r="K80" s="1250">
        <f t="shared" si="97"/>
        <v>1</v>
      </c>
      <c r="L80" s="1250">
        <f t="shared" si="97"/>
        <v>1</v>
      </c>
      <c r="M80" s="1250">
        <f t="shared" si="97"/>
        <v>1</v>
      </c>
      <c r="N80" s="1250">
        <v>1</v>
      </c>
      <c r="O80" s="1250">
        <f t="shared" si="97"/>
        <v>1</v>
      </c>
      <c r="P80" s="1250">
        <f t="shared" si="97"/>
        <v>1</v>
      </c>
      <c r="Q80" s="1250">
        <f t="shared" si="97"/>
        <v>1</v>
      </c>
      <c r="R80" s="1250">
        <f t="shared" si="97"/>
        <v>1</v>
      </c>
      <c r="S80" s="1250">
        <f t="shared" si="97"/>
        <v>1</v>
      </c>
      <c r="T80" s="1250">
        <f t="shared" si="97"/>
        <v>1</v>
      </c>
      <c r="U80" s="1250">
        <f t="shared" si="97"/>
        <v>1</v>
      </c>
      <c r="V80" s="1250">
        <f t="shared" si="97"/>
        <v>1</v>
      </c>
      <c r="W80" s="1250">
        <f t="shared" si="97"/>
        <v>1</v>
      </c>
      <c r="X80" s="1250">
        <f t="shared" si="97"/>
        <v>1</v>
      </c>
      <c r="Y80" s="1250">
        <f t="shared" si="97"/>
        <v>1</v>
      </c>
      <c r="Z80" s="1250">
        <f t="shared" si="97"/>
        <v>1</v>
      </c>
      <c r="AA80" s="1250">
        <f t="shared" si="97"/>
        <v>1</v>
      </c>
      <c r="AB80" s="1250">
        <f t="shared" si="97"/>
        <v>1</v>
      </c>
      <c r="AC80" s="1250">
        <f t="shared" si="97"/>
        <v>1</v>
      </c>
      <c r="AD80" s="1250">
        <f t="shared" si="97"/>
        <v>1</v>
      </c>
      <c r="AE80" s="1250">
        <f t="shared" si="97"/>
        <v>1</v>
      </c>
      <c r="AF80" s="1250">
        <f t="shared" si="97"/>
        <v>1</v>
      </c>
      <c r="AG80" s="1250">
        <f t="shared" ref="AG80:AG82" si="98">AF80</f>
        <v>1</v>
      </c>
      <c r="AH80" s="1250">
        <f t="shared" ref="AH80:AH82" si="99">AG80</f>
        <v>1</v>
      </c>
      <c r="AI80" s="1250">
        <f t="shared" ref="AI80:AI82" si="100">AH80</f>
        <v>1</v>
      </c>
      <c r="AJ80" s="1250">
        <f t="shared" ref="AJ80:AJ82" si="101">AI80</f>
        <v>1</v>
      </c>
      <c r="AK80" s="1250">
        <f t="shared" ref="AK80:AK82" si="102">AJ80</f>
        <v>1</v>
      </c>
      <c r="AL80" s="1250">
        <f t="shared" ref="AL80:AL82" si="103">AK80</f>
        <v>1</v>
      </c>
      <c r="AM80" s="1251" t="s">
        <v>1373</v>
      </c>
      <c r="AN80" s="1252">
        <f>MAX(I80:AL80)</f>
        <v>1</v>
      </c>
      <c r="AO80" s="1248" t="s">
        <v>1370</v>
      </c>
      <c r="AP80" s="1252">
        <v>1</v>
      </c>
      <c r="AQ80" s="1251" t="s">
        <v>1374</v>
      </c>
      <c r="AR80" s="1252">
        <f t="shared" si="51"/>
        <v>1</v>
      </c>
      <c r="AS80" s="275"/>
      <c r="AT80" s="275"/>
      <c r="AU80" s="275"/>
      <c r="AV80" s="275"/>
      <c r="AW80" s="275"/>
      <c r="AX80" s="275"/>
      <c r="AY80" s="275"/>
      <c r="AZ80" s="275"/>
      <c r="BA80" s="275"/>
      <c r="BB80" s="275"/>
      <c r="BC80" s="275"/>
      <c r="BD80" s="275"/>
      <c r="BE80" s="275"/>
      <c r="BF80" s="275"/>
      <c r="BG80" s="275"/>
      <c r="BH80" s="275"/>
      <c r="BI80" s="275"/>
      <c r="BJ80" s="275"/>
    </row>
    <row r="81" spans="1:62">
      <c r="A81" s="595"/>
      <c r="B81" s="598"/>
      <c r="C81" s="599"/>
      <c r="D81" s="11"/>
      <c r="E81" s="1246" t="str">
        <f>'Despesas com Pessoal'!F81</f>
        <v>P015</v>
      </c>
      <c r="F81" s="1262" t="str">
        <f>'Despesas com Pessoal'!G81</f>
        <v>Analista de Contabilidade</v>
      </c>
      <c r="G81" s="1251"/>
      <c r="H81" s="1249"/>
      <c r="I81" s="1250">
        <v>1</v>
      </c>
      <c r="J81" s="1250">
        <f t="shared" si="97"/>
        <v>1</v>
      </c>
      <c r="K81" s="1250">
        <f t="shared" si="97"/>
        <v>1</v>
      </c>
      <c r="L81" s="1250">
        <f t="shared" si="97"/>
        <v>1</v>
      </c>
      <c r="M81" s="1250">
        <f t="shared" si="97"/>
        <v>1</v>
      </c>
      <c r="N81" s="1250">
        <f t="shared" si="97"/>
        <v>1</v>
      </c>
      <c r="O81" s="1250">
        <f t="shared" si="97"/>
        <v>1</v>
      </c>
      <c r="P81" s="1250">
        <f t="shared" si="97"/>
        <v>1</v>
      </c>
      <c r="Q81" s="1250">
        <f t="shared" si="97"/>
        <v>1</v>
      </c>
      <c r="R81" s="1250">
        <f t="shared" si="97"/>
        <v>1</v>
      </c>
      <c r="S81" s="1250">
        <f t="shared" si="97"/>
        <v>1</v>
      </c>
      <c r="T81" s="1250">
        <f t="shared" si="97"/>
        <v>1</v>
      </c>
      <c r="U81" s="1250">
        <f t="shared" si="97"/>
        <v>1</v>
      </c>
      <c r="V81" s="1250">
        <f t="shared" si="97"/>
        <v>1</v>
      </c>
      <c r="W81" s="1250">
        <f t="shared" si="97"/>
        <v>1</v>
      </c>
      <c r="X81" s="1250">
        <f t="shared" si="97"/>
        <v>1</v>
      </c>
      <c r="Y81" s="1250">
        <f t="shared" si="97"/>
        <v>1</v>
      </c>
      <c r="Z81" s="1250">
        <f t="shared" si="97"/>
        <v>1</v>
      </c>
      <c r="AA81" s="1250">
        <f t="shared" si="97"/>
        <v>1</v>
      </c>
      <c r="AB81" s="1250">
        <f t="shared" si="97"/>
        <v>1</v>
      </c>
      <c r="AC81" s="1250">
        <f t="shared" si="97"/>
        <v>1</v>
      </c>
      <c r="AD81" s="1250">
        <f t="shared" si="97"/>
        <v>1</v>
      </c>
      <c r="AE81" s="1250">
        <f t="shared" si="97"/>
        <v>1</v>
      </c>
      <c r="AF81" s="1250">
        <f t="shared" si="97"/>
        <v>1</v>
      </c>
      <c r="AG81" s="1250">
        <f t="shared" si="98"/>
        <v>1</v>
      </c>
      <c r="AH81" s="1250">
        <f t="shared" si="99"/>
        <v>1</v>
      </c>
      <c r="AI81" s="1250">
        <f t="shared" si="100"/>
        <v>1</v>
      </c>
      <c r="AJ81" s="1250">
        <f t="shared" si="101"/>
        <v>1</v>
      </c>
      <c r="AK81" s="1250">
        <f t="shared" si="102"/>
        <v>1</v>
      </c>
      <c r="AL81" s="1250">
        <f t="shared" si="103"/>
        <v>1</v>
      </c>
      <c r="AM81" s="1251" t="s">
        <v>1369</v>
      </c>
      <c r="AN81" s="1252">
        <f>MAX(I81:AL81)</f>
        <v>1</v>
      </c>
      <c r="AO81" s="1248" t="s">
        <v>1370</v>
      </c>
      <c r="AP81" s="1252">
        <v>1</v>
      </c>
      <c r="AQ81" s="1248" t="s">
        <v>1371</v>
      </c>
      <c r="AR81" s="1252">
        <f>MAX(I81:AL81)</f>
        <v>1</v>
      </c>
      <c r="AS81" s="275"/>
      <c r="AT81" s="275"/>
      <c r="AU81" s="275"/>
      <c r="AV81" s="275"/>
      <c r="AW81" s="275"/>
      <c r="AX81" s="275"/>
      <c r="AY81" s="275"/>
      <c r="AZ81" s="275"/>
      <c r="BA81" s="275"/>
      <c r="BB81" s="275"/>
      <c r="BC81" s="275"/>
      <c r="BD81" s="275"/>
      <c r="BE81" s="275"/>
      <c r="BF81" s="275"/>
      <c r="BG81" s="275"/>
      <c r="BH81" s="275"/>
      <c r="BI81" s="275"/>
      <c r="BJ81" s="275"/>
    </row>
    <row r="82" spans="1:62">
      <c r="A82" s="595"/>
      <c r="B82" s="598"/>
      <c r="C82" s="599"/>
      <c r="D82" s="11"/>
      <c r="E82" s="1246" t="str">
        <f>'Despesas com Pessoal'!F82</f>
        <v>P038</v>
      </c>
      <c r="F82" s="1262" t="str">
        <f>'Despesas com Pessoal'!G82</f>
        <v>Auxiliar Administrativo II</v>
      </c>
      <c r="G82" s="1251"/>
      <c r="H82" s="1249"/>
      <c r="I82" s="1250"/>
      <c r="J82" s="1250"/>
      <c r="K82" s="1250">
        <f t="shared" si="97"/>
        <v>0</v>
      </c>
      <c r="L82" s="1250">
        <f t="shared" si="97"/>
        <v>0</v>
      </c>
      <c r="M82" s="1250">
        <f t="shared" si="97"/>
        <v>0</v>
      </c>
      <c r="N82" s="1250"/>
      <c r="O82" s="1250">
        <f t="shared" si="97"/>
        <v>0</v>
      </c>
      <c r="P82" s="1250">
        <f t="shared" si="97"/>
        <v>0</v>
      </c>
      <c r="Q82" s="1250">
        <f t="shared" si="97"/>
        <v>0</v>
      </c>
      <c r="R82" s="1250">
        <f t="shared" si="97"/>
        <v>0</v>
      </c>
      <c r="S82" s="1250">
        <f t="shared" si="97"/>
        <v>0</v>
      </c>
      <c r="T82" s="1250">
        <f t="shared" si="97"/>
        <v>0</v>
      </c>
      <c r="U82" s="1250">
        <f t="shared" si="97"/>
        <v>0</v>
      </c>
      <c r="V82" s="1250">
        <f t="shared" si="97"/>
        <v>0</v>
      </c>
      <c r="W82" s="1250">
        <f t="shared" si="97"/>
        <v>0</v>
      </c>
      <c r="X82" s="1250">
        <f t="shared" si="97"/>
        <v>0</v>
      </c>
      <c r="Y82" s="1250">
        <f t="shared" si="97"/>
        <v>0</v>
      </c>
      <c r="Z82" s="1250">
        <f t="shared" si="97"/>
        <v>0</v>
      </c>
      <c r="AA82" s="1250">
        <f t="shared" si="97"/>
        <v>0</v>
      </c>
      <c r="AB82" s="1250">
        <f t="shared" si="97"/>
        <v>0</v>
      </c>
      <c r="AC82" s="1250">
        <f t="shared" si="97"/>
        <v>0</v>
      </c>
      <c r="AD82" s="1250">
        <f t="shared" si="97"/>
        <v>0</v>
      </c>
      <c r="AE82" s="1250">
        <f t="shared" si="97"/>
        <v>0</v>
      </c>
      <c r="AF82" s="1250">
        <f t="shared" si="97"/>
        <v>0</v>
      </c>
      <c r="AG82" s="1250">
        <f t="shared" si="98"/>
        <v>0</v>
      </c>
      <c r="AH82" s="1250">
        <f t="shared" si="99"/>
        <v>0</v>
      </c>
      <c r="AI82" s="1250">
        <f t="shared" si="100"/>
        <v>0</v>
      </c>
      <c r="AJ82" s="1250">
        <f t="shared" si="101"/>
        <v>0</v>
      </c>
      <c r="AK82" s="1250">
        <f t="shared" si="102"/>
        <v>0</v>
      </c>
      <c r="AL82" s="1250">
        <f t="shared" si="103"/>
        <v>0</v>
      </c>
      <c r="AM82" s="1251" t="s">
        <v>1369</v>
      </c>
      <c r="AN82" s="1252">
        <f>MAX(I82:AL82)</f>
        <v>0</v>
      </c>
      <c r="AO82" s="1248" t="s">
        <v>1370</v>
      </c>
      <c r="AP82" s="1252">
        <v>1</v>
      </c>
      <c r="AQ82" s="1248" t="s">
        <v>1371</v>
      </c>
      <c r="AR82" s="1252">
        <f>MAX(I82:AL82)</f>
        <v>0</v>
      </c>
      <c r="AS82" s="275"/>
      <c r="AT82" s="275"/>
      <c r="AU82" s="275"/>
      <c r="AV82" s="275"/>
      <c r="AW82" s="275"/>
      <c r="AX82" s="275"/>
      <c r="AY82" s="275"/>
      <c r="AZ82" s="275"/>
      <c r="BA82" s="275"/>
      <c r="BB82" s="275"/>
      <c r="BC82" s="275"/>
      <c r="BD82" s="275"/>
      <c r="BE82" s="275"/>
      <c r="BF82" s="275"/>
      <c r="BG82" s="275"/>
      <c r="BH82" s="275"/>
      <c r="BI82" s="275"/>
      <c r="BJ82" s="275"/>
    </row>
    <row r="83" spans="1:62">
      <c r="A83" s="595"/>
      <c r="B83" s="598"/>
      <c r="C83" s="599"/>
      <c r="D83" s="11"/>
      <c r="E83" s="1246"/>
      <c r="F83" s="1243" t="s">
        <v>821</v>
      </c>
      <c r="G83" s="1255"/>
      <c r="H83" s="1254"/>
      <c r="I83" s="1245">
        <f>SUBTOTAL(9,I84:I85)</f>
        <v>1</v>
      </c>
      <c r="J83" s="1245">
        <f t="shared" ref="J83:AF83" si="104">SUBTOTAL(9,J84:J85)</f>
        <v>1</v>
      </c>
      <c r="K83" s="1245">
        <f t="shared" si="104"/>
        <v>1</v>
      </c>
      <c r="L83" s="1245">
        <f t="shared" si="104"/>
        <v>1</v>
      </c>
      <c r="M83" s="1245">
        <f t="shared" si="104"/>
        <v>1</v>
      </c>
      <c r="N83" s="1245">
        <f t="shared" si="104"/>
        <v>1</v>
      </c>
      <c r="O83" s="1245">
        <f t="shared" si="104"/>
        <v>1</v>
      </c>
      <c r="P83" s="1245">
        <f t="shared" si="104"/>
        <v>1</v>
      </c>
      <c r="Q83" s="1245">
        <f t="shared" si="104"/>
        <v>1</v>
      </c>
      <c r="R83" s="1245">
        <f t="shared" si="104"/>
        <v>1</v>
      </c>
      <c r="S83" s="1245">
        <f t="shared" si="104"/>
        <v>1</v>
      </c>
      <c r="T83" s="1245">
        <f t="shared" si="104"/>
        <v>1</v>
      </c>
      <c r="U83" s="1245">
        <f t="shared" si="104"/>
        <v>1</v>
      </c>
      <c r="V83" s="1245">
        <f t="shared" si="104"/>
        <v>1</v>
      </c>
      <c r="W83" s="1245">
        <f t="shared" si="104"/>
        <v>1</v>
      </c>
      <c r="X83" s="1245">
        <f t="shared" si="104"/>
        <v>1</v>
      </c>
      <c r="Y83" s="1245">
        <f t="shared" si="104"/>
        <v>1</v>
      </c>
      <c r="Z83" s="1245">
        <f t="shared" si="104"/>
        <v>1</v>
      </c>
      <c r="AA83" s="1245">
        <f t="shared" si="104"/>
        <v>1</v>
      </c>
      <c r="AB83" s="1245">
        <f t="shared" si="104"/>
        <v>1</v>
      </c>
      <c r="AC83" s="1245">
        <f t="shared" si="104"/>
        <v>1</v>
      </c>
      <c r="AD83" s="1245">
        <f t="shared" si="104"/>
        <v>1</v>
      </c>
      <c r="AE83" s="1245">
        <f t="shared" si="104"/>
        <v>1</v>
      </c>
      <c r="AF83" s="1245">
        <f t="shared" si="104"/>
        <v>1</v>
      </c>
      <c r="AG83" s="1245">
        <f t="shared" ref="AG83:AL83" si="105">SUBTOTAL(9,AG84:AG85)</f>
        <v>1</v>
      </c>
      <c r="AH83" s="1245">
        <f t="shared" si="105"/>
        <v>1</v>
      </c>
      <c r="AI83" s="1245">
        <f t="shared" si="105"/>
        <v>1</v>
      </c>
      <c r="AJ83" s="1245">
        <f t="shared" si="105"/>
        <v>1</v>
      </c>
      <c r="AK83" s="1245">
        <f t="shared" si="105"/>
        <v>1</v>
      </c>
      <c r="AL83" s="1245">
        <f t="shared" si="105"/>
        <v>1</v>
      </c>
      <c r="AM83" s="1255"/>
      <c r="AN83" s="1244"/>
      <c r="AO83" s="1255"/>
      <c r="AP83" s="1244"/>
      <c r="AQ83" s="1255"/>
      <c r="AR83" s="1244"/>
      <c r="AS83" s="275"/>
      <c r="AT83" s="275"/>
      <c r="AU83" s="275"/>
      <c r="AV83" s="275"/>
      <c r="AW83" s="275"/>
      <c r="AX83" s="275"/>
      <c r="AY83" s="275"/>
      <c r="AZ83" s="275"/>
      <c r="BA83" s="275"/>
      <c r="BB83" s="275"/>
      <c r="BC83" s="275"/>
      <c r="BD83" s="275"/>
      <c r="BE83" s="275"/>
      <c r="BF83" s="275"/>
      <c r="BG83" s="275"/>
      <c r="BH83" s="275"/>
      <c r="BI83" s="275"/>
      <c r="BJ83" s="275"/>
    </row>
    <row r="84" spans="1:62">
      <c r="A84" s="595"/>
      <c r="B84" s="598"/>
      <c r="C84" s="599"/>
      <c r="D84" s="11"/>
      <c r="E84" s="1246" t="str">
        <f>'Despesas com Pessoal'!F84</f>
        <v>P074</v>
      </c>
      <c r="F84" s="1247" t="str">
        <f>'Despesas com Pessoal'!G84</f>
        <v>Diretor de Engenharia e Operações</v>
      </c>
      <c r="G84" s="1251" t="s">
        <v>1372</v>
      </c>
      <c r="H84" s="1249">
        <v>1</v>
      </c>
      <c r="I84" s="1250">
        <v>1</v>
      </c>
      <c r="J84" s="1250">
        <f t="shared" ref="J84:AF85" si="106">I84</f>
        <v>1</v>
      </c>
      <c r="K84" s="1250">
        <f t="shared" si="106"/>
        <v>1</v>
      </c>
      <c r="L84" s="1250">
        <f t="shared" si="106"/>
        <v>1</v>
      </c>
      <c r="M84" s="1250">
        <f t="shared" si="106"/>
        <v>1</v>
      </c>
      <c r="N84" s="1250">
        <v>1</v>
      </c>
      <c r="O84" s="1250">
        <f t="shared" si="106"/>
        <v>1</v>
      </c>
      <c r="P84" s="1250">
        <f t="shared" si="106"/>
        <v>1</v>
      </c>
      <c r="Q84" s="1250">
        <f t="shared" si="106"/>
        <v>1</v>
      </c>
      <c r="R84" s="1250">
        <f t="shared" si="106"/>
        <v>1</v>
      </c>
      <c r="S84" s="1250">
        <f t="shared" si="106"/>
        <v>1</v>
      </c>
      <c r="T84" s="1250">
        <f t="shared" si="106"/>
        <v>1</v>
      </c>
      <c r="U84" s="1250">
        <f t="shared" si="106"/>
        <v>1</v>
      </c>
      <c r="V84" s="1250">
        <f t="shared" si="106"/>
        <v>1</v>
      </c>
      <c r="W84" s="1250">
        <f t="shared" si="106"/>
        <v>1</v>
      </c>
      <c r="X84" s="1250">
        <f t="shared" si="106"/>
        <v>1</v>
      </c>
      <c r="Y84" s="1250">
        <f t="shared" si="106"/>
        <v>1</v>
      </c>
      <c r="Z84" s="1250">
        <f t="shared" si="106"/>
        <v>1</v>
      </c>
      <c r="AA84" s="1250">
        <f t="shared" si="106"/>
        <v>1</v>
      </c>
      <c r="AB84" s="1250">
        <f t="shared" si="106"/>
        <v>1</v>
      </c>
      <c r="AC84" s="1250">
        <f t="shared" si="106"/>
        <v>1</v>
      </c>
      <c r="AD84" s="1250">
        <f t="shared" si="106"/>
        <v>1</v>
      </c>
      <c r="AE84" s="1250">
        <f t="shared" si="106"/>
        <v>1</v>
      </c>
      <c r="AF84" s="1250">
        <f t="shared" si="106"/>
        <v>1</v>
      </c>
      <c r="AG84" s="1250">
        <f t="shared" ref="AG84:AG85" si="107">AF84</f>
        <v>1</v>
      </c>
      <c r="AH84" s="1250">
        <f t="shared" ref="AH84:AH85" si="108">AG84</f>
        <v>1</v>
      </c>
      <c r="AI84" s="1250">
        <f t="shared" ref="AI84:AI85" si="109">AH84</f>
        <v>1</v>
      </c>
      <c r="AJ84" s="1250">
        <f t="shared" ref="AJ84:AJ85" si="110">AI84</f>
        <v>1</v>
      </c>
      <c r="AK84" s="1250">
        <f t="shared" ref="AK84:AK85" si="111">AJ84</f>
        <v>1</v>
      </c>
      <c r="AL84" s="1250">
        <f t="shared" ref="AL84:AL85" si="112">AK84</f>
        <v>1</v>
      </c>
      <c r="AM84" s="1251" t="s">
        <v>1373</v>
      </c>
      <c r="AN84" s="1252">
        <f>MAX(I84:AL84)</f>
        <v>1</v>
      </c>
      <c r="AO84" s="1248" t="s">
        <v>1370</v>
      </c>
      <c r="AP84" s="1252">
        <v>1</v>
      </c>
      <c r="AQ84" s="1251" t="s">
        <v>1374</v>
      </c>
      <c r="AR84" s="1252">
        <f>MAX(I84:AL84)</f>
        <v>1</v>
      </c>
      <c r="AS84" s="275"/>
      <c r="AT84" s="275"/>
      <c r="AU84" s="275"/>
      <c r="AV84" s="275"/>
      <c r="AW84" s="275"/>
      <c r="AX84" s="275"/>
      <c r="AY84" s="275"/>
      <c r="AZ84" s="275"/>
      <c r="BA84" s="275"/>
      <c r="BB84" s="275"/>
      <c r="BC84" s="275"/>
      <c r="BD84" s="275"/>
      <c r="BE84" s="275"/>
      <c r="BF84" s="275"/>
      <c r="BG84" s="275"/>
      <c r="BH84" s="275"/>
      <c r="BI84" s="275"/>
      <c r="BJ84" s="275"/>
    </row>
    <row r="85" spans="1:62">
      <c r="A85" s="595"/>
      <c r="B85" s="598"/>
      <c r="C85" s="599"/>
      <c r="D85" s="11"/>
      <c r="E85" s="1246" t="str">
        <f>'Despesas com Pessoal'!F85</f>
        <v>P078</v>
      </c>
      <c r="F85" s="1247" t="str">
        <f>'Despesas com Pessoal'!G85</f>
        <v>Diretor Operacional</v>
      </c>
      <c r="G85" s="1251"/>
      <c r="H85" s="1249"/>
      <c r="I85" s="1250"/>
      <c r="J85" s="1250">
        <f t="shared" si="106"/>
        <v>0</v>
      </c>
      <c r="K85" s="1250">
        <f t="shared" si="106"/>
        <v>0</v>
      </c>
      <c r="L85" s="1250">
        <f t="shared" si="106"/>
        <v>0</v>
      </c>
      <c r="M85" s="1250">
        <f t="shared" si="106"/>
        <v>0</v>
      </c>
      <c r="N85" s="1250">
        <f t="shared" si="106"/>
        <v>0</v>
      </c>
      <c r="O85" s="1250">
        <f t="shared" si="106"/>
        <v>0</v>
      </c>
      <c r="P85" s="1250">
        <f t="shared" si="106"/>
        <v>0</v>
      </c>
      <c r="Q85" s="1250">
        <f t="shared" si="106"/>
        <v>0</v>
      </c>
      <c r="R85" s="1250">
        <f t="shared" si="106"/>
        <v>0</v>
      </c>
      <c r="S85" s="1250">
        <f t="shared" si="106"/>
        <v>0</v>
      </c>
      <c r="T85" s="1250">
        <f t="shared" si="106"/>
        <v>0</v>
      </c>
      <c r="U85" s="1250">
        <f t="shared" si="106"/>
        <v>0</v>
      </c>
      <c r="V85" s="1250">
        <f t="shared" si="106"/>
        <v>0</v>
      </c>
      <c r="W85" s="1250">
        <f t="shared" si="106"/>
        <v>0</v>
      </c>
      <c r="X85" s="1250">
        <f t="shared" si="106"/>
        <v>0</v>
      </c>
      <c r="Y85" s="1250">
        <f t="shared" si="106"/>
        <v>0</v>
      </c>
      <c r="Z85" s="1250">
        <f t="shared" si="106"/>
        <v>0</v>
      </c>
      <c r="AA85" s="1250">
        <f t="shared" si="106"/>
        <v>0</v>
      </c>
      <c r="AB85" s="1250">
        <f t="shared" si="106"/>
        <v>0</v>
      </c>
      <c r="AC85" s="1250">
        <f t="shared" si="106"/>
        <v>0</v>
      </c>
      <c r="AD85" s="1250">
        <f t="shared" si="106"/>
        <v>0</v>
      </c>
      <c r="AE85" s="1250">
        <f t="shared" si="106"/>
        <v>0</v>
      </c>
      <c r="AF85" s="1250">
        <f t="shared" si="106"/>
        <v>0</v>
      </c>
      <c r="AG85" s="1250">
        <f t="shared" si="107"/>
        <v>0</v>
      </c>
      <c r="AH85" s="1250">
        <f t="shared" si="108"/>
        <v>0</v>
      </c>
      <c r="AI85" s="1250">
        <f t="shared" si="109"/>
        <v>0</v>
      </c>
      <c r="AJ85" s="1250">
        <f t="shared" si="110"/>
        <v>0</v>
      </c>
      <c r="AK85" s="1250">
        <f t="shared" si="111"/>
        <v>0</v>
      </c>
      <c r="AL85" s="1250">
        <f t="shared" si="112"/>
        <v>0</v>
      </c>
      <c r="AM85" s="1251" t="s">
        <v>1373</v>
      </c>
      <c r="AN85" s="1252">
        <f>MAX(I85:AL85)</f>
        <v>0</v>
      </c>
      <c r="AO85" s="1248" t="s">
        <v>1370</v>
      </c>
      <c r="AP85" s="1252">
        <v>1</v>
      </c>
      <c r="AQ85" s="1251" t="s">
        <v>1374</v>
      </c>
      <c r="AR85" s="1252">
        <f>MAX(I85:AL85)</f>
        <v>0</v>
      </c>
      <c r="AS85" s="275"/>
      <c r="AT85" s="275"/>
      <c r="AU85" s="275"/>
      <c r="AV85" s="275"/>
      <c r="AW85" s="275"/>
      <c r="AX85" s="275"/>
      <c r="AY85" s="275"/>
      <c r="AZ85" s="275"/>
      <c r="BA85" s="275"/>
      <c r="BB85" s="275"/>
      <c r="BC85" s="275"/>
      <c r="BD85" s="275"/>
      <c r="BE85" s="275"/>
      <c r="BF85" s="275"/>
      <c r="BG85" s="275"/>
      <c r="BH85" s="275"/>
      <c r="BI85" s="275"/>
      <c r="BJ85" s="275"/>
    </row>
    <row r="86" spans="1:62">
      <c r="A86" s="595"/>
      <c r="B86" s="598"/>
      <c r="C86" s="599"/>
      <c r="D86" s="11"/>
      <c r="E86" s="1246"/>
      <c r="F86" s="1243" t="s">
        <v>825</v>
      </c>
      <c r="G86" s="1255"/>
      <c r="H86" s="1254"/>
      <c r="I86" s="1245">
        <f>SUBTOTAL(9,I87:I123)</f>
        <v>17</v>
      </c>
      <c r="J86" s="1245">
        <f t="shared" ref="J86:AF86" si="113">SUBTOTAL(9,J87:J123)</f>
        <v>19</v>
      </c>
      <c r="K86" s="1245">
        <f t="shared" si="113"/>
        <v>19</v>
      </c>
      <c r="L86" s="1245">
        <f t="shared" si="113"/>
        <v>19</v>
      </c>
      <c r="M86" s="1245">
        <f t="shared" si="113"/>
        <v>19</v>
      </c>
      <c r="N86" s="1245">
        <f t="shared" si="113"/>
        <v>19</v>
      </c>
      <c r="O86" s="1245">
        <f t="shared" si="113"/>
        <v>19</v>
      </c>
      <c r="P86" s="1245">
        <f t="shared" si="113"/>
        <v>19</v>
      </c>
      <c r="Q86" s="1245">
        <f t="shared" si="113"/>
        <v>19</v>
      </c>
      <c r="R86" s="1245">
        <f t="shared" si="113"/>
        <v>19</v>
      </c>
      <c r="S86" s="1245">
        <f t="shared" si="113"/>
        <v>19</v>
      </c>
      <c r="T86" s="1245">
        <f t="shared" si="113"/>
        <v>19</v>
      </c>
      <c r="U86" s="1245">
        <f t="shared" si="113"/>
        <v>19</v>
      </c>
      <c r="V86" s="1245">
        <f t="shared" si="113"/>
        <v>19</v>
      </c>
      <c r="W86" s="1245">
        <f t="shared" si="113"/>
        <v>19</v>
      </c>
      <c r="X86" s="1245">
        <f t="shared" si="113"/>
        <v>19</v>
      </c>
      <c r="Y86" s="1245">
        <f t="shared" si="113"/>
        <v>19</v>
      </c>
      <c r="Z86" s="1245">
        <f t="shared" si="113"/>
        <v>19</v>
      </c>
      <c r="AA86" s="1245">
        <f t="shared" si="113"/>
        <v>19</v>
      </c>
      <c r="AB86" s="1245">
        <f t="shared" si="113"/>
        <v>19</v>
      </c>
      <c r="AC86" s="1245">
        <f t="shared" si="113"/>
        <v>19</v>
      </c>
      <c r="AD86" s="1245">
        <f t="shared" si="113"/>
        <v>19</v>
      </c>
      <c r="AE86" s="1245">
        <f t="shared" si="113"/>
        <v>19</v>
      </c>
      <c r="AF86" s="1245">
        <f t="shared" si="113"/>
        <v>19</v>
      </c>
      <c r="AG86" s="1245">
        <f t="shared" ref="AG86:AL86" si="114">SUBTOTAL(9,AG87:AG123)</f>
        <v>19</v>
      </c>
      <c r="AH86" s="1245">
        <f t="shared" si="114"/>
        <v>19</v>
      </c>
      <c r="AI86" s="1245">
        <f t="shared" si="114"/>
        <v>19</v>
      </c>
      <c r="AJ86" s="1245">
        <f t="shared" si="114"/>
        <v>19</v>
      </c>
      <c r="AK86" s="1245">
        <f t="shared" si="114"/>
        <v>19</v>
      </c>
      <c r="AL86" s="1245">
        <f t="shared" si="114"/>
        <v>19</v>
      </c>
      <c r="AM86" s="1255"/>
      <c r="AN86" s="1244"/>
      <c r="AO86" s="1255"/>
      <c r="AP86" s="1244"/>
      <c r="AQ86" s="1255"/>
      <c r="AR86" s="1244"/>
      <c r="AS86" s="275"/>
      <c r="AT86" s="275"/>
      <c r="AU86" s="275"/>
      <c r="AV86" s="275"/>
      <c r="AW86" s="275"/>
      <c r="AX86" s="275"/>
      <c r="AY86" s="275"/>
      <c r="AZ86" s="275"/>
      <c r="BA86" s="275"/>
      <c r="BB86" s="275"/>
      <c r="BC86" s="275"/>
      <c r="BD86" s="275"/>
      <c r="BE86" s="275"/>
      <c r="BF86" s="275"/>
      <c r="BG86" s="275"/>
      <c r="BH86" s="275"/>
      <c r="BI86" s="275"/>
      <c r="BJ86" s="275"/>
    </row>
    <row r="87" spans="1:62">
      <c r="A87" s="595"/>
      <c r="B87" s="598"/>
      <c r="C87" s="599"/>
      <c r="D87" s="11"/>
      <c r="E87" s="1246" t="str">
        <f>'Despesas com Pessoal'!F87</f>
        <v>P107</v>
      </c>
      <c r="F87" s="1247" t="str">
        <f>'Despesas com Pessoal'!G87</f>
        <v>Gerente de Engenharia e Obras</v>
      </c>
      <c r="G87" s="1251" t="s">
        <v>1376</v>
      </c>
      <c r="H87" s="1249">
        <v>1</v>
      </c>
      <c r="I87" s="1250">
        <v>1</v>
      </c>
      <c r="J87" s="1250">
        <f t="shared" ref="J87:AF88" si="115">I87</f>
        <v>1</v>
      </c>
      <c r="K87" s="1250">
        <f t="shared" si="115"/>
        <v>1</v>
      </c>
      <c r="L87" s="1250">
        <f t="shared" si="115"/>
        <v>1</v>
      </c>
      <c r="M87" s="1250">
        <f t="shared" si="115"/>
        <v>1</v>
      </c>
      <c r="N87" s="1250">
        <f t="shared" ref="N87" si="116">M87</f>
        <v>1</v>
      </c>
      <c r="O87" s="1250">
        <f t="shared" ref="O87" si="117">N87</f>
        <v>1</v>
      </c>
      <c r="P87" s="1250">
        <f t="shared" ref="P87" si="118">O87</f>
        <v>1</v>
      </c>
      <c r="Q87" s="1250">
        <f t="shared" ref="Q87" si="119">P87</f>
        <v>1</v>
      </c>
      <c r="R87" s="1250">
        <f t="shared" ref="R87" si="120">Q87</f>
        <v>1</v>
      </c>
      <c r="S87" s="1250">
        <f t="shared" ref="S87" si="121">R87</f>
        <v>1</v>
      </c>
      <c r="T87" s="1250">
        <f t="shared" ref="T87" si="122">S87</f>
        <v>1</v>
      </c>
      <c r="U87" s="1250">
        <f t="shared" ref="U87" si="123">T87</f>
        <v>1</v>
      </c>
      <c r="V87" s="1250">
        <f t="shared" ref="V87" si="124">U87</f>
        <v>1</v>
      </c>
      <c r="W87" s="1250">
        <f t="shared" ref="W87" si="125">V87</f>
        <v>1</v>
      </c>
      <c r="X87" s="1250">
        <f t="shared" ref="X87" si="126">W87</f>
        <v>1</v>
      </c>
      <c r="Y87" s="1250">
        <f t="shared" ref="Y87" si="127">X87</f>
        <v>1</v>
      </c>
      <c r="Z87" s="1250">
        <f t="shared" ref="Z87" si="128">Y87</f>
        <v>1</v>
      </c>
      <c r="AA87" s="1250">
        <f t="shared" ref="AA87" si="129">Z87</f>
        <v>1</v>
      </c>
      <c r="AB87" s="1250">
        <f t="shared" ref="AB87" si="130">AA87</f>
        <v>1</v>
      </c>
      <c r="AC87" s="1250">
        <f t="shared" ref="AC87" si="131">AB87</f>
        <v>1</v>
      </c>
      <c r="AD87" s="1250">
        <f t="shared" ref="AD87" si="132">AC87</f>
        <v>1</v>
      </c>
      <c r="AE87" s="1250">
        <f t="shared" ref="AE87" si="133">AD87</f>
        <v>1</v>
      </c>
      <c r="AF87" s="1250">
        <f t="shared" ref="AF87" si="134">AE87</f>
        <v>1</v>
      </c>
      <c r="AG87" s="1250">
        <f t="shared" ref="AG87" si="135">AF87</f>
        <v>1</v>
      </c>
      <c r="AH87" s="1250">
        <f t="shared" ref="AH87" si="136">AG87</f>
        <v>1</v>
      </c>
      <c r="AI87" s="1250">
        <f t="shared" ref="AI87" si="137">AH87</f>
        <v>1</v>
      </c>
      <c r="AJ87" s="1250">
        <f t="shared" ref="AJ87" si="138">AI87</f>
        <v>1</v>
      </c>
      <c r="AK87" s="1250">
        <f t="shared" ref="AK87" si="139">AJ87</f>
        <v>1</v>
      </c>
      <c r="AL87" s="1250">
        <f t="shared" ref="AL87" si="140">AK87</f>
        <v>1</v>
      </c>
      <c r="AM87" s="1251" t="s">
        <v>1373</v>
      </c>
      <c r="AN87" s="1252">
        <f>MAX(I87:AL87)</f>
        <v>1</v>
      </c>
      <c r="AO87" s="1248" t="s">
        <v>1370</v>
      </c>
      <c r="AP87" s="1252">
        <v>1</v>
      </c>
      <c r="AQ87" s="1251" t="s">
        <v>1374</v>
      </c>
      <c r="AR87" s="1252">
        <f t="shared" ref="AR87:AR123" si="141">MAX(I87:AL87)</f>
        <v>1</v>
      </c>
      <c r="AS87" s="275"/>
      <c r="AT87" s="275"/>
      <c r="AU87" s="275"/>
      <c r="AV87" s="275"/>
      <c r="AW87" s="275"/>
      <c r="AX87" s="275"/>
      <c r="AY87" s="275"/>
      <c r="AZ87" s="275"/>
      <c r="BA87" s="275"/>
      <c r="BB87" s="275"/>
      <c r="BC87" s="275"/>
      <c r="BD87" s="275"/>
      <c r="BE87" s="275"/>
      <c r="BF87" s="275"/>
      <c r="BG87" s="275"/>
      <c r="BH87" s="275"/>
      <c r="BI87" s="275"/>
      <c r="BJ87" s="275"/>
    </row>
    <row r="88" spans="1:62">
      <c r="A88" s="595"/>
      <c r="B88" s="598"/>
      <c r="C88" s="599"/>
      <c r="D88" s="11"/>
      <c r="E88" s="1246" t="str">
        <f>'Despesas com Pessoal'!F88</f>
        <v>P135</v>
      </c>
      <c r="F88" s="1247" t="str">
        <f>'Despesas com Pessoal'!G88</f>
        <v>Secretária</v>
      </c>
      <c r="G88" s="1251"/>
      <c r="H88" s="1249"/>
      <c r="I88" s="1250">
        <v>1</v>
      </c>
      <c r="J88" s="1250">
        <f t="shared" si="115"/>
        <v>1</v>
      </c>
      <c r="K88" s="1250">
        <f t="shared" si="115"/>
        <v>1</v>
      </c>
      <c r="L88" s="1250">
        <f t="shared" si="115"/>
        <v>1</v>
      </c>
      <c r="M88" s="1250">
        <f t="shared" si="115"/>
        <v>1</v>
      </c>
      <c r="N88" s="1250">
        <f t="shared" si="115"/>
        <v>1</v>
      </c>
      <c r="O88" s="1250">
        <f t="shared" si="115"/>
        <v>1</v>
      </c>
      <c r="P88" s="1250">
        <f t="shared" si="115"/>
        <v>1</v>
      </c>
      <c r="Q88" s="1250">
        <f t="shared" si="115"/>
        <v>1</v>
      </c>
      <c r="R88" s="1250">
        <f t="shared" si="115"/>
        <v>1</v>
      </c>
      <c r="S88" s="1250">
        <f t="shared" si="115"/>
        <v>1</v>
      </c>
      <c r="T88" s="1250">
        <f t="shared" si="115"/>
        <v>1</v>
      </c>
      <c r="U88" s="1250">
        <f t="shared" si="115"/>
        <v>1</v>
      </c>
      <c r="V88" s="1250">
        <f t="shared" si="115"/>
        <v>1</v>
      </c>
      <c r="W88" s="1250">
        <f t="shared" si="115"/>
        <v>1</v>
      </c>
      <c r="X88" s="1250">
        <f t="shared" si="115"/>
        <v>1</v>
      </c>
      <c r="Y88" s="1250">
        <f t="shared" si="115"/>
        <v>1</v>
      </c>
      <c r="Z88" s="1250">
        <f t="shared" si="115"/>
        <v>1</v>
      </c>
      <c r="AA88" s="1250">
        <f t="shared" si="115"/>
        <v>1</v>
      </c>
      <c r="AB88" s="1250">
        <f t="shared" si="115"/>
        <v>1</v>
      </c>
      <c r="AC88" s="1250">
        <f t="shared" si="115"/>
        <v>1</v>
      </c>
      <c r="AD88" s="1250">
        <f t="shared" si="115"/>
        <v>1</v>
      </c>
      <c r="AE88" s="1250">
        <f t="shared" si="115"/>
        <v>1</v>
      </c>
      <c r="AF88" s="1250">
        <f t="shared" si="115"/>
        <v>1</v>
      </c>
      <c r="AG88" s="1250">
        <f t="shared" ref="AG88" si="142">AF88</f>
        <v>1</v>
      </c>
      <c r="AH88" s="1250">
        <f t="shared" ref="AH88" si="143">AG88</f>
        <v>1</v>
      </c>
      <c r="AI88" s="1250">
        <f t="shared" ref="AI88" si="144">AH88</f>
        <v>1</v>
      </c>
      <c r="AJ88" s="1250">
        <f t="shared" ref="AJ88" si="145">AI88</f>
        <v>1</v>
      </c>
      <c r="AK88" s="1250">
        <f t="shared" ref="AK88" si="146">AJ88</f>
        <v>1</v>
      </c>
      <c r="AL88" s="1250">
        <f t="shared" ref="AL88" si="147">AK88</f>
        <v>1</v>
      </c>
      <c r="AM88" s="1251" t="s">
        <v>1369</v>
      </c>
      <c r="AN88" s="1252">
        <f>MAX(I88:AL88)</f>
        <v>1</v>
      </c>
      <c r="AO88" s="1248" t="s">
        <v>1370</v>
      </c>
      <c r="AP88" s="1252">
        <v>1</v>
      </c>
      <c r="AQ88" s="1248" t="s">
        <v>1371</v>
      </c>
      <c r="AR88" s="1252">
        <f t="shared" si="141"/>
        <v>1</v>
      </c>
      <c r="AS88" s="275"/>
      <c r="AT88" s="275"/>
      <c r="AU88" s="275"/>
      <c r="AV88" s="275"/>
      <c r="AW88" s="275"/>
      <c r="AX88" s="275"/>
      <c r="AY88" s="275"/>
      <c r="AZ88" s="275"/>
      <c r="BA88" s="275"/>
      <c r="BB88" s="275"/>
      <c r="BC88" s="275"/>
      <c r="BD88" s="275"/>
      <c r="BE88" s="275"/>
      <c r="BF88" s="275"/>
      <c r="BG88" s="275"/>
      <c r="BH88" s="275"/>
      <c r="BI88" s="275"/>
      <c r="BJ88" s="275"/>
    </row>
    <row r="89" spans="1:62">
      <c r="A89" s="595"/>
      <c r="B89" s="598"/>
      <c r="C89" s="599"/>
      <c r="D89" s="11"/>
      <c r="E89" s="1246"/>
      <c r="F89" s="1243" t="s">
        <v>1377</v>
      </c>
      <c r="G89" s="1255"/>
      <c r="H89" s="1249"/>
      <c r="I89" s="1250"/>
      <c r="J89" s="1250"/>
      <c r="K89" s="1250"/>
      <c r="L89" s="1250"/>
      <c r="M89" s="1250"/>
      <c r="N89" s="1250"/>
      <c r="O89" s="1250"/>
      <c r="P89" s="1250"/>
      <c r="Q89" s="1250"/>
      <c r="R89" s="1250"/>
      <c r="S89" s="1250"/>
      <c r="T89" s="1250"/>
      <c r="U89" s="1250"/>
      <c r="V89" s="1250"/>
      <c r="W89" s="1250"/>
      <c r="X89" s="1250"/>
      <c r="Y89" s="1250"/>
      <c r="Z89" s="1250"/>
      <c r="AA89" s="1250"/>
      <c r="AB89" s="1250"/>
      <c r="AC89" s="1250"/>
      <c r="AD89" s="1250"/>
      <c r="AE89" s="1258"/>
      <c r="AF89" s="1258"/>
      <c r="AG89" s="1258"/>
      <c r="AH89" s="1258"/>
      <c r="AI89" s="1258"/>
      <c r="AJ89" s="1258"/>
      <c r="AK89" s="1258"/>
      <c r="AL89" s="1258"/>
      <c r="AM89" s="1255"/>
      <c r="AN89" s="1252"/>
      <c r="AO89" s="1255"/>
      <c r="AP89" s="1252"/>
      <c r="AQ89" s="1255"/>
      <c r="AR89" s="1252">
        <f t="shared" si="141"/>
        <v>0</v>
      </c>
      <c r="AS89" s="275"/>
      <c r="AT89" s="275"/>
      <c r="AU89" s="275"/>
      <c r="AV89" s="275"/>
      <c r="AW89" s="275"/>
      <c r="AX89" s="275"/>
      <c r="AY89" s="275"/>
      <c r="AZ89" s="275"/>
      <c r="BA89" s="275"/>
      <c r="BB89" s="275"/>
      <c r="BC89" s="275"/>
      <c r="BD89" s="275"/>
      <c r="BE89" s="275"/>
      <c r="BF89" s="275"/>
      <c r="BG89" s="275"/>
      <c r="BH89" s="275"/>
      <c r="BI89" s="275"/>
      <c r="BJ89" s="275"/>
    </row>
    <row r="90" spans="1:62">
      <c r="A90" s="595"/>
      <c r="B90" s="598"/>
      <c r="C90" s="599"/>
      <c r="D90" s="11"/>
      <c r="E90" s="1246" t="str">
        <f>'Despesas com Pessoal'!F90</f>
        <v>P094</v>
      </c>
      <c r="F90" s="1247" t="str">
        <f>'Despesas com Pessoal'!G90</f>
        <v>Engenheiro Coordenador Técnico</v>
      </c>
      <c r="G90" s="1251" t="s">
        <v>1376</v>
      </c>
      <c r="H90" s="1249">
        <v>1</v>
      </c>
      <c r="I90" s="1250">
        <v>1</v>
      </c>
      <c r="J90" s="1250">
        <v>1</v>
      </c>
      <c r="K90" s="1250">
        <f t="shared" ref="K90:AF92" si="148">J90</f>
        <v>1</v>
      </c>
      <c r="L90" s="1250">
        <f t="shared" si="148"/>
        <v>1</v>
      </c>
      <c r="M90" s="1250">
        <f t="shared" si="148"/>
        <v>1</v>
      </c>
      <c r="N90" s="1250">
        <f t="shared" si="148"/>
        <v>1</v>
      </c>
      <c r="O90" s="1250">
        <f t="shared" si="148"/>
        <v>1</v>
      </c>
      <c r="P90" s="1250">
        <f t="shared" si="148"/>
        <v>1</v>
      </c>
      <c r="Q90" s="1250">
        <f t="shared" si="148"/>
        <v>1</v>
      </c>
      <c r="R90" s="1250">
        <f t="shared" si="148"/>
        <v>1</v>
      </c>
      <c r="S90" s="1250">
        <f t="shared" si="148"/>
        <v>1</v>
      </c>
      <c r="T90" s="1250">
        <f t="shared" si="148"/>
        <v>1</v>
      </c>
      <c r="U90" s="1250">
        <f t="shared" si="148"/>
        <v>1</v>
      </c>
      <c r="V90" s="1250">
        <f t="shared" si="148"/>
        <v>1</v>
      </c>
      <c r="W90" s="1250">
        <f t="shared" si="148"/>
        <v>1</v>
      </c>
      <c r="X90" s="1250">
        <f t="shared" si="148"/>
        <v>1</v>
      </c>
      <c r="Y90" s="1250">
        <f t="shared" si="148"/>
        <v>1</v>
      </c>
      <c r="Z90" s="1250">
        <f t="shared" si="148"/>
        <v>1</v>
      </c>
      <c r="AA90" s="1250">
        <f t="shared" si="148"/>
        <v>1</v>
      </c>
      <c r="AB90" s="1250">
        <f t="shared" si="148"/>
        <v>1</v>
      </c>
      <c r="AC90" s="1250">
        <f t="shared" si="148"/>
        <v>1</v>
      </c>
      <c r="AD90" s="1250">
        <f t="shared" si="148"/>
        <v>1</v>
      </c>
      <c r="AE90" s="1250">
        <f t="shared" si="148"/>
        <v>1</v>
      </c>
      <c r="AF90" s="1250">
        <f t="shared" si="148"/>
        <v>1</v>
      </c>
      <c r="AG90" s="1250">
        <f t="shared" ref="AG90:AG92" si="149">AF90</f>
        <v>1</v>
      </c>
      <c r="AH90" s="1250">
        <f t="shared" ref="AH90:AH92" si="150">AG90</f>
        <v>1</v>
      </c>
      <c r="AI90" s="1250">
        <f t="shared" ref="AI90:AI92" si="151">AH90</f>
        <v>1</v>
      </c>
      <c r="AJ90" s="1250">
        <f t="shared" ref="AJ90:AJ92" si="152">AI90</f>
        <v>1</v>
      </c>
      <c r="AK90" s="1250">
        <f t="shared" ref="AK90:AK92" si="153">AJ90</f>
        <v>1</v>
      </c>
      <c r="AL90" s="1250">
        <f t="shared" ref="AL90:AL92" si="154">AK90</f>
        <v>1</v>
      </c>
      <c r="AM90" s="1251" t="s">
        <v>1373</v>
      </c>
      <c r="AN90" s="1252">
        <f>MAX(I90:AL90)</f>
        <v>1</v>
      </c>
      <c r="AO90" s="1248" t="s">
        <v>1370</v>
      </c>
      <c r="AP90" s="1252">
        <v>1</v>
      </c>
      <c r="AQ90" s="1251" t="s">
        <v>1374</v>
      </c>
      <c r="AR90" s="1252">
        <f t="shared" si="141"/>
        <v>1</v>
      </c>
      <c r="AS90" s="275"/>
      <c r="AT90" s="275"/>
      <c r="AU90" s="275"/>
      <c r="AV90" s="275"/>
      <c r="AW90" s="275"/>
      <c r="AX90" s="275"/>
      <c r="AY90" s="275"/>
      <c r="AZ90" s="275"/>
      <c r="BA90" s="275"/>
      <c r="BB90" s="275"/>
      <c r="BC90" s="275"/>
      <c r="BD90" s="275"/>
      <c r="BE90" s="275"/>
      <c r="BF90" s="275"/>
      <c r="BG90" s="275"/>
      <c r="BH90" s="275"/>
      <c r="BI90" s="275"/>
      <c r="BJ90" s="275"/>
    </row>
    <row r="91" spans="1:62">
      <c r="A91" s="595"/>
      <c r="B91" s="598"/>
      <c r="C91" s="599"/>
      <c r="D91" s="11"/>
      <c r="E91" s="1246" t="str">
        <f>'Despesas com Pessoal'!F91</f>
        <v>P089</v>
      </c>
      <c r="F91" s="1247" t="str">
        <f>'Despesas com Pessoal'!G91</f>
        <v>Engenheiro Civil Jr</v>
      </c>
      <c r="G91" s="1251"/>
      <c r="H91" s="1249"/>
      <c r="I91" s="1250">
        <v>1</v>
      </c>
      <c r="J91" s="1250">
        <f>I91</f>
        <v>1</v>
      </c>
      <c r="K91" s="1250">
        <f t="shared" si="148"/>
        <v>1</v>
      </c>
      <c r="L91" s="1250">
        <f t="shared" si="148"/>
        <v>1</v>
      </c>
      <c r="M91" s="1250">
        <f t="shared" si="148"/>
        <v>1</v>
      </c>
      <c r="N91" s="1250">
        <f t="shared" ref="N91" si="155">M91</f>
        <v>1</v>
      </c>
      <c r="O91" s="1250">
        <f t="shared" ref="O91" si="156">N91</f>
        <v>1</v>
      </c>
      <c r="P91" s="1250">
        <f t="shared" ref="P91" si="157">O91</f>
        <v>1</v>
      </c>
      <c r="Q91" s="1250">
        <f t="shared" ref="Q91" si="158">P91</f>
        <v>1</v>
      </c>
      <c r="R91" s="1250">
        <f t="shared" ref="R91" si="159">Q91</f>
        <v>1</v>
      </c>
      <c r="S91" s="1250">
        <f t="shared" ref="S91" si="160">R91</f>
        <v>1</v>
      </c>
      <c r="T91" s="1250">
        <f t="shared" ref="T91" si="161">S91</f>
        <v>1</v>
      </c>
      <c r="U91" s="1250">
        <f t="shared" ref="U91" si="162">T91</f>
        <v>1</v>
      </c>
      <c r="V91" s="1250">
        <f t="shared" ref="V91" si="163">U91</f>
        <v>1</v>
      </c>
      <c r="W91" s="1250">
        <f t="shared" ref="W91" si="164">V91</f>
        <v>1</v>
      </c>
      <c r="X91" s="1250">
        <f t="shared" ref="X91" si="165">W91</f>
        <v>1</v>
      </c>
      <c r="Y91" s="1250">
        <f t="shared" ref="Y91" si="166">X91</f>
        <v>1</v>
      </c>
      <c r="Z91" s="1250">
        <f t="shared" ref="Z91" si="167">Y91</f>
        <v>1</v>
      </c>
      <c r="AA91" s="1250">
        <f t="shared" ref="AA91" si="168">Z91</f>
        <v>1</v>
      </c>
      <c r="AB91" s="1250">
        <f t="shared" ref="AB91" si="169">AA91</f>
        <v>1</v>
      </c>
      <c r="AC91" s="1250">
        <f t="shared" ref="AC91" si="170">AB91</f>
        <v>1</v>
      </c>
      <c r="AD91" s="1250">
        <f t="shared" ref="AD91" si="171">AC91</f>
        <v>1</v>
      </c>
      <c r="AE91" s="1250">
        <f t="shared" ref="AE91" si="172">AD91</f>
        <v>1</v>
      </c>
      <c r="AF91" s="1250">
        <f t="shared" ref="AF91" si="173">AE91</f>
        <v>1</v>
      </c>
      <c r="AG91" s="1250">
        <f t="shared" si="149"/>
        <v>1</v>
      </c>
      <c r="AH91" s="1250">
        <f t="shared" si="150"/>
        <v>1</v>
      </c>
      <c r="AI91" s="1250">
        <f t="shared" si="151"/>
        <v>1</v>
      </c>
      <c r="AJ91" s="1250">
        <f t="shared" si="152"/>
        <v>1</v>
      </c>
      <c r="AK91" s="1250">
        <f t="shared" si="153"/>
        <v>1</v>
      </c>
      <c r="AL91" s="1250">
        <f t="shared" si="154"/>
        <v>1</v>
      </c>
      <c r="AM91" s="1251" t="s">
        <v>1369</v>
      </c>
      <c r="AN91" s="1252">
        <f>MAX(I91:AL91)</f>
        <v>1</v>
      </c>
      <c r="AO91" s="1248" t="s">
        <v>1370</v>
      </c>
      <c r="AP91" s="1252"/>
      <c r="AQ91" s="1248" t="s">
        <v>1371</v>
      </c>
      <c r="AR91" s="1252">
        <f>MAX(I91:AL91)</f>
        <v>1</v>
      </c>
      <c r="AS91" s="275"/>
      <c r="AT91" s="275"/>
      <c r="AU91" s="275"/>
      <c r="AV91" s="275"/>
      <c r="AW91" s="275"/>
      <c r="AX91" s="275"/>
      <c r="AY91" s="275"/>
      <c r="AZ91" s="275"/>
      <c r="BA91" s="275"/>
      <c r="BB91" s="275"/>
      <c r="BC91" s="275"/>
      <c r="BD91" s="275"/>
      <c r="BE91" s="275"/>
      <c r="BF91" s="275"/>
      <c r="BG91" s="275"/>
      <c r="BH91" s="275"/>
      <c r="BI91" s="275"/>
      <c r="BJ91" s="275"/>
    </row>
    <row r="92" spans="1:62">
      <c r="A92" s="595"/>
      <c r="B92" s="598"/>
      <c r="C92" s="599"/>
      <c r="D92" s="11"/>
      <c r="E92" s="1246" t="str">
        <f>'Despesas com Pessoal'!F92</f>
        <v>P031</v>
      </c>
      <c r="F92" s="1247" t="str">
        <f>'Despesas com Pessoal'!G92</f>
        <v>Assistente de Meio Ambiente</v>
      </c>
      <c r="G92" s="1251"/>
      <c r="H92" s="1249"/>
      <c r="I92" s="1250">
        <v>0</v>
      </c>
      <c r="J92" s="1250">
        <f>I92</f>
        <v>0</v>
      </c>
      <c r="K92" s="1250">
        <f t="shared" si="148"/>
        <v>0</v>
      </c>
      <c r="L92" s="1250">
        <f t="shared" si="148"/>
        <v>0</v>
      </c>
      <c r="M92" s="1250">
        <f t="shared" si="148"/>
        <v>0</v>
      </c>
      <c r="N92" s="1250">
        <f t="shared" ref="N92" si="174">M92</f>
        <v>0</v>
      </c>
      <c r="O92" s="1250">
        <f t="shared" si="148"/>
        <v>0</v>
      </c>
      <c r="P92" s="1250">
        <f t="shared" si="148"/>
        <v>0</v>
      </c>
      <c r="Q92" s="1250">
        <f t="shared" si="148"/>
        <v>0</v>
      </c>
      <c r="R92" s="1250">
        <f t="shared" si="148"/>
        <v>0</v>
      </c>
      <c r="S92" s="1250">
        <f t="shared" si="148"/>
        <v>0</v>
      </c>
      <c r="T92" s="1250">
        <f t="shared" si="148"/>
        <v>0</v>
      </c>
      <c r="U92" s="1250">
        <f t="shared" si="148"/>
        <v>0</v>
      </c>
      <c r="V92" s="1250">
        <f t="shared" si="148"/>
        <v>0</v>
      </c>
      <c r="W92" s="1250">
        <f t="shared" si="148"/>
        <v>0</v>
      </c>
      <c r="X92" s="1250">
        <f t="shared" si="148"/>
        <v>0</v>
      </c>
      <c r="Y92" s="1250">
        <f t="shared" si="148"/>
        <v>0</v>
      </c>
      <c r="Z92" s="1250">
        <f t="shared" si="148"/>
        <v>0</v>
      </c>
      <c r="AA92" s="1250">
        <f t="shared" si="148"/>
        <v>0</v>
      </c>
      <c r="AB92" s="1250">
        <f t="shared" si="148"/>
        <v>0</v>
      </c>
      <c r="AC92" s="1250">
        <f t="shared" si="148"/>
        <v>0</v>
      </c>
      <c r="AD92" s="1250">
        <f t="shared" si="148"/>
        <v>0</v>
      </c>
      <c r="AE92" s="1250">
        <f t="shared" si="148"/>
        <v>0</v>
      </c>
      <c r="AF92" s="1250">
        <f t="shared" si="148"/>
        <v>0</v>
      </c>
      <c r="AG92" s="1250">
        <f t="shared" si="149"/>
        <v>0</v>
      </c>
      <c r="AH92" s="1250">
        <f t="shared" si="150"/>
        <v>0</v>
      </c>
      <c r="AI92" s="1250">
        <f t="shared" si="151"/>
        <v>0</v>
      </c>
      <c r="AJ92" s="1250">
        <f t="shared" si="152"/>
        <v>0</v>
      </c>
      <c r="AK92" s="1250">
        <f t="shared" si="153"/>
        <v>0</v>
      </c>
      <c r="AL92" s="1250">
        <f t="shared" si="154"/>
        <v>0</v>
      </c>
      <c r="AM92" s="1251"/>
      <c r="AN92" s="1252"/>
      <c r="AO92" s="1251"/>
      <c r="AP92" s="1252"/>
      <c r="AQ92" s="1248" t="s">
        <v>1371</v>
      </c>
      <c r="AR92" s="1252">
        <f>MAX(I92:AL92)</f>
        <v>0</v>
      </c>
      <c r="AS92" s="275"/>
      <c r="AT92" s="275"/>
      <c r="AU92" s="275"/>
      <c r="AV92" s="275"/>
      <c r="AW92" s="275"/>
      <c r="AX92" s="275"/>
      <c r="AY92" s="275"/>
      <c r="AZ92" s="275"/>
      <c r="BA92" s="275"/>
      <c r="BB92" s="275"/>
      <c r="BC92" s="275"/>
      <c r="BD92" s="275"/>
      <c r="BE92" s="275"/>
      <c r="BF92" s="275"/>
      <c r="BG92" s="275"/>
      <c r="BH92" s="275"/>
      <c r="BI92" s="275"/>
      <c r="BJ92" s="275"/>
    </row>
    <row r="93" spans="1:62">
      <c r="A93" s="595"/>
      <c r="B93" s="598"/>
      <c r="C93" s="599"/>
      <c r="D93" s="11"/>
      <c r="E93" s="1246"/>
      <c r="F93" s="1243" t="s">
        <v>830</v>
      </c>
      <c r="G93" s="1255"/>
      <c r="H93" s="1249"/>
      <c r="I93" s="1250"/>
      <c r="J93" s="1250"/>
      <c r="K93" s="1250"/>
      <c r="L93" s="1250"/>
      <c r="M93" s="1250"/>
      <c r="N93" s="1250"/>
      <c r="O93" s="1250"/>
      <c r="P93" s="1250"/>
      <c r="Q93" s="1250"/>
      <c r="R93" s="1250"/>
      <c r="S93" s="1250"/>
      <c r="T93" s="1250"/>
      <c r="U93" s="1250"/>
      <c r="V93" s="1250"/>
      <c r="W93" s="1250"/>
      <c r="X93" s="1250"/>
      <c r="Y93" s="1250"/>
      <c r="Z93" s="1250"/>
      <c r="AA93" s="1250"/>
      <c r="AB93" s="1250"/>
      <c r="AC93" s="1250"/>
      <c r="AD93" s="1250"/>
      <c r="AE93" s="1250"/>
      <c r="AF93" s="1250"/>
      <c r="AG93" s="1250"/>
      <c r="AH93" s="1250"/>
      <c r="AI93" s="1250"/>
      <c r="AJ93" s="1250"/>
      <c r="AK93" s="1250"/>
      <c r="AL93" s="1250"/>
      <c r="AM93" s="1255"/>
      <c r="AN93" s="1244"/>
      <c r="AO93" s="1255"/>
      <c r="AP93" s="1244"/>
      <c r="AQ93" s="1255"/>
      <c r="AR93" s="1252">
        <f t="shared" si="141"/>
        <v>0</v>
      </c>
      <c r="AS93" s="275"/>
      <c r="AT93" s="275"/>
      <c r="AU93" s="275"/>
      <c r="AV93" s="275"/>
      <c r="AW93" s="275"/>
      <c r="AX93" s="275"/>
      <c r="AY93" s="275"/>
      <c r="AZ93" s="275"/>
      <c r="BA93" s="275"/>
      <c r="BB93" s="275"/>
      <c r="BC93" s="275"/>
      <c r="BD93" s="275"/>
      <c r="BE93" s="275"/>
      <c r="BF93" s="275"/>
      <c r="BG93" s="275"/>
      <c r="BH93" s="275"/>
      <c r="BI93" s="275"/>
      <c r="BJ93" s="275"/>
    </row>
    <row r="94" spans="1:62">
      <c r="A94" s="595"/>
      <c r="B94" s="598"/>
      <c r="C94" s="599"/>
      <c r="D94" s="11"/>
      <c r="E94" s="1246" t="str">
        <f>'Despesas com Pessoal'!F94</f>
        <v>P094</v>
      </c>
      <c r="F94" s="1247" t="str">
        <f>'Despesas com Pessoal'!G94</f>
        <v>Engenheiro Coordenador Técnico</v>
      </c>
      <c r="G94" s="1251" t="s">
        <v>1376</v>
      </c>
      <c r="H94" s="1249">
        <v>1</v>
      </c>
      <c r="I94" s="1250">
        <v>1</v>
      </c>
      <c r="J94" s="1250">
        <f t="shared" ref="J94:M96" si="175">I94</f>
        <v>1</v>
      </c>
      <c r="K94" s="1250">
        <f t="shared" si="175"/>
        <v>1</v>
      </c>
      <c r="L94" s="1250">
        <f t="shared" si="175"/>
        <v>1</v>
      </c>
      <c r="M94" s="1250">
        <f t="shared" si="175"/>
        <v>1</v>
      </c>
      <c r="N94" s="1250"/>
      <c r="O94" s="1250"/>
      <c r="P94" s="1250"/>
      <c r="Q94" s="1250"/>
      <c r="R94" s="1250"/>
      <c r="S94" s="1250"/>
      <c r="T94" s="1250"/>
      <c r="U94" s="1250"/>
      <c r="V94" s="1250"/>
      <c r="W94" s="1250"/>
      <c r="X94" s="1250"/>
      <c r="Y94" s="1250"/>
      <c r="Z94" s="1250"/>
      <c r="AA94" s="1250"/>
      <c r="AB94" s="1250"/>
      <c r="AC94" s="1250"/>
      <c r="AD94" s="1250"/>
      <c r="AE94" s="1250"/>
      <c r="AF94" s="1250"/>
      <c r="AG94" s="1250"/>
      <c r="AH94" s="1250"/>
      <c r="AI94" s="1250"/>
      <c r="AJ94" s="1250"/>
      <c r="AK94" s="1250"/>
      <c r="AL94" s="1250"/>
      <c r="AM94" s="1251" t="s">
        <v>1373</v>
      </c>
      <c r="AN94" s="1252">
        <f>MAX(I94:AL94)</f>
        <v>1</v>
      </c>
      <c r="AO94" s="1248" t="s">
        <v>1370</v>
      </c>
      <c r="AP94" s="1252"/>
      <c r="AQ94" s="1251" t="s">
        <v>1374</v>
      </c>
      <c r="AR94" s="1252">
        <f t="shared" si="141"/>
        <v>1</v>
      </c>
      <c r="AS94" s="275"/>
      <c r="AT94" s="275"/>
      <c r="AU94" s="275"/>
      <c r="AV94" s="275"/>
      <c r="AW94" s="275"/>
      <c r="AX94" s="275"/>
      <c r="AY94" s="275"/>
      <c r="AZ94" s="275"/>
      <c r="BA94" s="275"/>
      <c r="BB94" s="275"/>
      <c r="BC94" s="275"/>
      <c r="BD94" s="275"/>
      <c r="BE94" s="275"/>
      <c r="BF94" s="275"/>
      <c r="BG94" s="275"/>
      <c r="BH94" s="275"/>
      <c r="BI94" s="275"/>
      <c r="BJ94" s="275"/>
    </row>
    <row r="95" spans="1:62">
      <c r="A95" s="595"/>
      <c r="B95" s="598"/>
      <c r="C95" s="599"/>
      <c r="D95" s="11"/>
      <c r="E95" s="1246" t="str">
        <f>'Despesas com Pessoal'!F95</f>
        <v>P097</v>
      </c>
      <c r="F95" s="1247" t="str">
        <f>'Despesas com Pessoal'!G95</f>
        <v>Engenheiro de Obras e Conservação</v>
      </c>
      <c r="G95" s="1251" t="s">
        <v>1376</v>
      </c>
      <c r="H95" s="1249">
        <v>1</v>
      </c>
      <c r="I95" s="1250">
        <v>1</v>
      </c>
      <c r="J95" s="1250">
        <v>1</v>
      </c>
      <c r="K95" s="1250">
        <v>1</v>
      </c>
      <c r="L95" s="1250">
        <v>1</v>
      </c>
      <c r="M95" s="1250">
        <v>1</v>
      </c>
      <c r="N95" s="1250"/>
      <c r="O95" s="1250"/>
      <c r="P95" s="1250"/>
      <c r="Q95" s="1250"/>
      <c r="R95" s="1250"/>
      <c r="S95" s="1250"/>
      <c r="T95" s="1250"/>
      <c r="U95" s="1250"/>
      <c r="V95" s="1250"/>
      <c r="W95" s="1250"/>
      <c r="X95" s="1250"/>
      <c r="Y95" s="1250"/>
      <c r="Z95" s="1250"/>
      <c r="AA95" s="1250"/>
      <c r="AB95" s="1250"/>
      <c r="AC95" s="1250"/>
      <c r="AD95" s="1250"/>
      <c r="AE95" s="1250"/>
      <c r="AF95" s="1250"/>
      <c r="AG95" s="1250"/>
      <c r="AH95" s="1250"/>
      <c r="AI95" s="1250"/>
      <c r="AJ95" s="1250"/>
      <c r="AK95" s="1250"/>
      <c r="AL95" s="1250"/>
      <c r="AM95" s="1251" t="s">
        <v>1369</v>
      </c>
      <c r="AN95" s="1252">
        <f>MAX(I95:AL95)</f>
        <v>1</v>
      </c>
      <c r="AO95" s="1248" t="s">
        <v>1370</v>
      </c>
      <c r="AP95" s="1252"/>
      <c r="AQ95" s="1251" t="s">
        <v>1371</v>
      </c>
      <c r="AR95" s="1252">
        <f t="shared" si="141"/>
        <v>1</v>
      </c>
      <c r="AS95" s="275"/>
      <c r="AT95" s="275"/>
      <c r="AU95" s="275"/>
      <c r="AV95" s="275"/>
      <c r="AW95" s="275"/>
      <c r="AX95" s="275"/>
      <c r="AY95" s="275"/>
      <c r="AZ95" s="275"/>
      <c r="BA95" s="275"/>
      <c r="BB95" s="275"/>
      <c r="BC95" s="275"/>
      <c r="BD95" s="275"/>
      <c r="BE95" s="275"/>
      <c r="BF95" s="275"/>
      <c r="BG95" s="275"/>
      <c r="BH95" s="275"/>
      <c r="BI95" s="275"/>
      <c r="BJ95" s="275"/>
    </row>
    <row r="96" spans="1:62">
      <c r="A96" s="595"/>
      <c r="B96" s="598"/>
      <c r="C96" s="599"/>
      <c r="D96" s="11"/>
      <c r="E96" s="1246" t="str">
        <f>'Despesas com Pessoal'!F96</f>
        <v>P098</v>
      </c>
      <c r="F96" s="1247" t="str">
        <f>'Despesas com Pessoal'!G96</f>
        <v>Engenheiro de Obras Pleno</v>
      </c>
      <c r="G96" s="1251" t="s">
        <v>1376</v>
      </c>
      <c r="H96" s="1249">
        <v>1</v>
      </c>
      <c r="I96" s="1250">
        <v>1</v>
      </c>
      <c r="J96" s="1250">
        <v>1</v>
      </c>
      <c r="K96" s="1250">
        <f t="shared" si="175"/>
        <v>1</v>
      </c>
      <c r="L96" s="1250">
        <f t="shared" si="175"/>
        <v>1</v>
      </c>
      <c r="M96" s="1250">
        <f t="shared" si="175"/>
        <v>1</v>
      </c>
      <c r="N96" s="1250"/>
      <c r="O96" s="1250"/>
      <c r="P96" s="1250"/>
      <c r="Q96" s="1250"/>
      <c r="R96" s="1250"/>
      <c r="S96" s="1250"/>
      <c r="T96" s="1250"/>
      <c r="U96" s="1250"/>
      <c r="V96" s="1250"/>
      <c r="W96" s="1250"/>
      <c r="X96" s="1250"/>
      <c r="Y96" s="1250"/>
      <c r="Z96" s="1250"/>
      <c r="AA96" s="1250"/>
      <c r="AB96" s="1250"/>
      <c r="AC96" s="1250"/>
      <c r="AD96" s="1250"/>
      <c r="AE96" s="1250"/>
      <c r="AF96" s="1250"/>
      <c r="AG96" s="1250"/>
      <c r="AH96" s="1250"/>
      <c r="AI96" s="1250"/>
      <c r="AJ96" s="1250"/>
      <c r="AK96" s="1250"/>
      <c r="AL96" s="1250"/>
      <c r="AM96" s="1251" t="s">
        <v>1369</v>
      </c>
      <c r="AN96" s="1252"/>
      <c r="AO96" s="1248" t="s">
        <v>1370</v>
      </c>
      <c r="AP96" s="1252"/>
      <c r="AQ96" s="1248" t="s">
        <v>1371</v>
      </c>
      <c r="AR96" s="1252"/>
      <c r="AS96" s="275"/>
      <c r="AT96" s="275"/>
      <c r="AU96" s="275"/>
      <c r="AV96" s="275"/>
      <c r="AW96" s="275"/>
      <c r="AX96" s="275"/>
      <c r="AY96" s="275"/>
      <c r="AZ96" s="275"/>
      <c r="BA96" s="275"/>
      <c r="BB96" s="275"/>
      <c r="BC96" s="275"/>
      <c r="BD96" s="275"/>
      <c r="BE96" s="275"/>
      <c r="BF96" s="275"/>
      <c r="BG96" s="275"/>
      <c r="BH96" s="275"/>
      <c r="BI96" s="275"/>
      <c r="BJ96" s="275"/>
    </row>
    <row r="97" spans="1:62">
      <c r="A97" s="595"/>
      <c r="B97" s="598"/>
      <c r="C97" s="599"/>
      <c r="D97" s="11"/>
      <c r="E97" s="1246" t="str">
        <f>'Despesas com Pessoal'!F97</f>
        <v>P149</v>
      </c>
      <c r="F97" s="1247" t="str">
        <f>'Despesas com Pessoal'!G97</f>
        <v>Técnico de Estradas</v>
      </c>
      <c r="G97" s="1251"/>
      <c r="H97" s="1249"/>
      <c r="I97" s="1250">
        <v>1</v>
      </c>
      <c r="J97" s="1250">
        <v>1</v>
      </c>
      <c r="K97" s="1250">
        <f t="shared" ref="K97:K98" si="176">J97</f>
        <v>1</v>
      </c>
      <c r="L97" s="1250">
        <f t="shared" ref="L97:L98" si="177">K97</f>
        <v>1</v>
      </c>
      <c r="M97" s="1250">
        <f t="shared" ref="M97:M98" si="178">L97</f>
        <v>1</v>
      </c>
      <c r="N97" s="1250"/>
      <c r="O97" s="1250"/>
      <c r="P97" s="1250"/>
      <c r="Q97" s="1250"/>
      <c r="R97" s="1250"/>
      <c r="S97" s="1250"/>
      <c r="T97" s="1250"/>
      <c r="U97" s="1250"/>
      <c r="V97" s="1250"/>
      <c r="W97" s="1250"/>
      <c r="X97" s="1250"/>
      <c r="Y97" s="1250"/>
      <c r="Z97" s="1250"/>
      <c r="AA97" s="1250"/>
      <c r="AB97" s="1250"/>
      <c r="AC97" s="1250"/>
      <c r="AD97" s="1250"/>
      <c r="AE97" s="1250"/>
      <c r="AF97" s="1250"/>
      <c r="AG97" s="1250"/>
      <c r="AH97" s="1250"/>
      <c r="AI97" s="1250"/>
      <c r="AJ97" s="1250"/>
      <c r="AK97" s="1250"/>
      <c r="AL97" s="1250"/>
      <c r="AM97" s="1251" t="s">
        <v>1369</v>
      </c>
      <c r="AN97" s="1252"/>
      <c r="AO97" s="1251"/>
      <c r="AP97" s="1252"/>
      <c r="AQ97" s="1248" t="s">
        <v>1371</v>
      </c>
      <c r="AR97" s="1252"/>
      <c r="AS97" s="275"/>
      <c r="AT97" s="275"/>
      <c r="AU97" s="275"/>
      <c r="AV97" s="275"/>
      <c r="AW97" s="275"/>
      <c r="AX97" s="275"/>
      <c r="AY97" s="275"/>
      <c r="AZ97" s="275"/>
      <c r="BA97" s="275"/>
      <c r="BB97" s="275"/>
      <c r="BC97" s="275"/>
      <c r="BD97" s="275"/>
      <c r="BE97" s="275"/>
      <c r="BF97" s="275"/>
      <c r="BG97" s="275"/>
      <c r="BH97" s="275"/>
      <c r="BI97" s="275"/>
      <c r="BJ97" s="275"/>
    </row>
    <row r="98" spans="1:62">
      <c r="A98" s="595"/>
      <c r="B98" s="598"/>
      <c r="C98" s="599"/>
      <c r="D98" s="11"/>
      <c r="E98" s="1246" t="str">
        <f>'Despesas com Pessoal'!F98</f>
        <v>P050</v>
      </c>
      <c r="F98" s="1247" t="str">
        <f>'Despesas com Pessoal'!G98</f>
        <v>Auxiliar Técnico I</v>
      </c>
      <c r="G98" s="1251"/>
      <c r="H98" s="1249"/>
      <c r="I98" s="1250">
        <v>1</v>
      </c>
      <c r="J98" s="1250">
        <v>1</v>
      </c>
      <c r="K98" s="1250">
        <f t="shared" si="176"/>
        <v>1</v>
      </c>
      <c r="L98" s="1250">
        <f t="shared" si="177"/>
        <v>1</v>
      </c>
      <c r="M98" s="1250">
        <f t="shared" si="178"/>
        <v>1</v>
      </c>
      <c r="N98" s="1250"/>
      <c r="O98" s="1250"/>
      <c r="P98" s="1250"/>
      <c r="Q98" s="1250"/>
      <c r="R98" s="1250"/>
      <c r="S98" s="1250"/>
      <c r="T98" s="1250"/>
      <c r="U98" s="1250"/>
      <c r="V98" s="1250"/>
      <c r="W98" s="1250"/>
      <c r="X98" s="1250"/>
      <c r="Y98" s="1250"/>
      <c r="Z98" s="1250"/>
      <c r="AA98" s="1250"/>
      <c r="AB98" s="1250"/>
      <c r="AC98" s="1250"/>
      <c r="AD98" s="1250"/>
      <c r="AE98" s="1250"/>
      <c r="AF98" s="1250"/>
      <c r="AG98" s="1250"/>
      <c r="AH98" s="1250"/>
      <c r="AI98" s="1250"/>
      <c r="AJ98" s="1250"/>
      <c r="AK98" s="1250"/>
      <c r="AL98" s="1250"/>
      <c r="AM98" s="1251" t="s">
        <v>1369</v>
      </c>
      <c r="AN98" s="1252">
        <f>MAX(I98:AL98)</f>
        <v>1</v>
      </c>
      <c r="AO98" s="1251"/>
      <c r="AP98" s="1252"/>
      <c r="AQ98" s="1248" t="s">
        <v>1371</v>
      </c>
      <c r="AR98" s="1252">
        <f>MAX(I98:AL98)</f>
        <v>1</v>
      </c>
      <c r="AS98" s="275"/>
      <c r="AT98" s="275"/>
      <c r="AU98" s="275"/>
      <c r="AV98" s="275"/>
      <c r="AW98" s="275"/>
      <c r="AX98" s="275"/>
      <c r="AY98" s="275"/>
      <c r="AZ98" s="275"/>
      <c r="BA98" s="275"/>
      <c r="BB98" s="275"/>
      <c r="BC98" s="275"/>
      <c r="BD98" s="275"/>
      <c r="BE98" s="275"/>
      <c r="BF98" s="275"/>
      <c r="BG98" s="275"/>
      <c r="BH98" s="275"/>
      <c r="BI98" s="275"/>
      <c r="BJ98" s="275"/>
    </row>
    <row r="99" spans="1:62">
      <c r="A99" s="595"/>
      <c r="B99" s="598"/>
      <c r="C99" s="599"/>
      <c r="D99" s="11"/>
      <c r="E99" s="1246"/>
      <c r="F99" s="1243" t="s">
        <v>834</v>
      </c>
      <c r="G99" s="1255"/>
      <c r="H99" s="1249"/>
      <c r="I99" s="1250"/>
      <c r="J99" s="1250"/>
      <c r="K99" s="1250"/>
      <c r="L99" s="1250"/>
      <c r="M99" s="1250"/>
      <c r="N99" s="1250"/>
      <c r="O99" s="1250"/>
      <c r="P99" s="1250"/>
      <c r="Q99" s="1250"/>
      <c r="R99" s="1250"/>
      <c r="S99" s="1250"/>
      <c r="T99" s="1250"/>
      <c r="U99" s="1250"/>
      <c r="V99" s="1250"/>
      <c r="W99" s="1250"/>
      <c r="X99" s="1250"/>
      <c r="Y99" s="1250"/>
      <c r="Z99" s="1250"/>
      <c r="AA99" s="1250"/>
      <c r="AB99" s="1250"/>
      <c r="AC99" s="1250"/>
      <c r="AD99" s="1250"/>
      <c r="AE99" s="1250"/>
      <c r="AF99" s="1250"/>
      <c r="AG99" s="1250"/>
      <c r="AH99" s="1250"/>
      <c r="AI99" s="1250"/>
      <c r="AJ99" s="1250"/>
      <c r="AK99" s="1250"/>
      <c r="AL99" s="1250"/>
      <c r="AM99" s="1255"/>
      <c r="AN99" s="1244"/>
      <c r="AO99" s="1255"/>
      <c r="AP99" s="1244"/>
      <c r="AQ99" s="1255"/>
      <c r="AR99" s="1252">
        <f t="shared" si="141"/>
        <v>0</v>
      </c>
      <c r="AS99" s="275"/>
      <c r="AT99" s="275"/>
      <c r="AU99" s="275"/>
      <c r="AV99" s="275"/>
      <c r="AW99" s="275"/>
      <c r="AX99" s="275"/>
      <c r="AY99" s="275"/>
      <c r="AZ99" s="275"/>
      <c r="BA99" s="275"/>
      <c r="BB99" s="275"/>
      <c r="BC99" s="275"/>
      <c r="BD99" s="275"/>
      <c r="BE99" s="275"/>
      <c r="BF99" s="275"/>
      <c r="BG99" s="275"/>
      <c r="BH99" s="275"/>
      <c r="BI99" s="275"/>
      <c r="BJ99" s="275"/>
    </row>
    <row r="100" spans="1:62">
      <c r="A100" s="595"/>
      <c r="B100" s="598"/>
      <c r="C100" s="599"/>
      <c r="D100" s="11"/>
      <c r="E100" s="1246" t="str">
        <f>'Despesas com Pessoal'!F100</f>
        <v>P097</v>
      </c>
      <c r="F100" s="1247" t="str">
        <f>'Despesas com Pessoal'!G100</f>
        <v>Engenheiro de Obras e Conservação</v>
      </c>
      <c r="G100" s="1251" t="s">
        <v>1376</v>
      </c>
      <c r="H100" s="1249">
        <v>1</v>
      </c>
      <c r="I100" s="1250"/>
      <c r="J100" s="1250"/>
      <c r="K100" s="1250"/>
      <c r="L100" s="1250"/>
      <c r="M100" s="1250"/>
      <c r="N100" s="1250">
        <v>1</v>
      </c>
      <c r="O100" s="1250">
        <f t="shared" ref="O100:AF104" si="179">N100</f>
        <v>1</v>
      </c>
      <c r="P100" s="1250">
        <f t="shared" si="179"/>
        <v>1</v>
      </c>
      <c r="Q100" s="1250">
        <f t="shared" si="179"/>
        <v>1</v>
      </c>
      <c r="R100" s="1250">
        <f t="shared" si="179"/>
        <v>1</v>
      </c>
      <c r="S100" s="1250">
        <f t="shared" si="179"/>
        <v>1</v>
      </c>
      <c r="T100" s="1250">
        <f t="shared" si="179"/>
        <v>1</v>
      </c>
      <c r="U100" s="1250">
        <f t="shared" si="179"/>
        <v>1</v>
      </c>
      <c r="V100" s="1250">
        <f t="shared" si="179"/>
        <v>1</v>
      </c>
      <c r="W100" s="1250">
        <f t="shared" si="179"/>
        <v>1</v>
      </c>
      <c r="X100" s="1250">
        <f t="shared" si="179"/>
        <v>1</v>
      </c>
      <c r="Y100" s="1250">
        <f t="shared" si="179"/>
        <v>1</v>
      </c>
      <c r="Z100" s="1250">
        <f t="shared" si="179"/>
        <v>1</v>
      </c>
      <c r="AA100" s="1250">
        <f t="shared" si="179"/>
        <v>1</v>
      </c>
      <c r="AB100" s="1250">
        <f t="shared" si="179"/>
        <v>1</v>
      </c>
      <c r="AC100" s="1250">
        <f t="shared" si="179"/>
        <v>1</v>
      </c>
      <c r="AD100" s="1250">
        <f t="shared" si="179"/>
        <v>1</v>
      </c>
      <c r="AE100" s="1250">
        <f t="shared" si="179"/>
        <v>1</v>
      </c>
      <c r="AF100" s="1250">
        <f t="shared" si="179"/>
        <v>1</v>
      </c>
      <c r="AG100" s="1250">
        <f t="shared" ref="AG100:AG104" si="180">AF100</f>
        <v>1</v>
      </c>
      <c r="AH100" s="1250">
        <f t="shared" ref="AH100:AH104" si="181">AG100</f>
        <v>1</v>
      </c>
      <c r="AI100" s="1250">
        <f t="shared" ref="AI100:AI104" si="182">AH100</f>
        <v>1</v>
      </c>
      <c r="AJ100" s="1250">
        <f t="shared" ref="AJ100:AJ104" si="183">AI100</f>
        <v>1</v>
      </c>
      <c r="AK100" s="1250">
        <f t="shared" ref="AK100:AK104" si="184">AJ100</f>
        <v>1</v>
      </c>
      <c r="AL100" s="1250">
        <f t="shared" ref="AL100:AL104" si="185">AK100</f>
        <v>1</v>
      </c>
      <c r="AM100" s="1251" t="s">
        <v>1373</v>
      </c>
      <c r="AN100" s="1252">
        <f>MAX(I100:AL100)</f>
        <v>1</v>
      </c>
      <c r="AO100" s="1248" t="s">
        <v>1370</v>
      </c>
      <c r="AP100" s="1252">
        <v>1</v>
      </c>
      <c r="AQ100" s="1251" t="s">
        <v>1374</v>
      </c>
      <c r="AR100" s="1252">
        <f t="shared" si="141"/>
        <v>1</v>
      </c>
      <c r="AS100" s="275"/>
      <c r="AT100" s="275"/>
      <c r="AU100" s="275"/>
      <c r="AV100" s="275"/>
      <c r="AW100" s="275"/>
      <c r="AX100" s="275"/>
      <c r="AY100" s="275"/>
      <c r="AZ100" s="275"/>
      <c r="BA100" s="275"/>
      <c r="BB100" s="275"/>
      <c r="BC100" s="275"/>
      <c r="BD100" s="275"/>
      <c r="BE100" s="275"/>
      <c r="BF100" s="275"/>
      <c r="BG100" s="275"/>
      <c r="BH100" s="275"/>
      <c r="BI100" s="275"/>
      <c r="BJ100" s="275"/>
    </row>
    <row r="101" spans="1:62">
      <c r="A101" s="595"/>
      <c r="B101" s="598"/>
      <c r="C101" s="599"/>
      <c r="D101" s="11"/>
      <c r="E101" s="1246" t="str">
        <f>'Despesas com Pessoal'!F101</f>
        <v>P091</v>
      </c>
      <c r="F101" s="1247" t="str">
        <f>'Despesas com Pessoal'!G101</f>
        <v>Engenheiro Civil Senior</v>
      </c>
      <c r="G101" s="1251" t="s">
        <v>1376</v>
      </c>
      <c r="H101" s="1249">
        <v>1</v>
      </c>
      <c r="I101" s="1250"/>
      <c r="J101" s="1250"/>
      <c r="K101" s="1250"/>
      <c r="L101" s="1250"/>
      <c r="M101" s="1250"/>
      <c r="N101" s="1250">
        <v>1</v>
      </c>
      <c r="O101" s="1250">
        <f t="shared" si="179"/>
        <v>1</v>
      </c>
      <c r="P101" s="1250">
        <f t="shared" si="179"/>
        <v>1</v>
      </c>
      <c r="Q101" s="1250">
        <f t="shared" si="179"/>
        <v>1</v>
      </c>
      <c r="R101" s="1250">
        <f t="shared" si="179"/>
        <v>1</v>
      </c>
      <c r="S101" s="1250">
        <f t="shared" si="179"/>
        <v>1</v>
      </c>
      <c r="T101" s="1250">
        <f t="shared" si="179"/>
        <v>1</v>
      </c>
      <c r="U101" s="1250">
        <f t="shared" si="179"/>
        <v>1</v>
      </c>
      <c r="V101" s="1250">
        <f t="shared" si="179"/>
        <v>1</v>
      </c>
      <c r="W101" s="1250">
        <f t="shared" si="179"/>
        <v>1</v>
      </c>
      <c r="X101" s="1250">
        <f t="shared" si="179"/>
        <v>1</v>
      </c>
      <c r="Y101" s="1250">
        <f t="shared" si="179"/>
        <v>1</v>
      </c>
      <c r="Z101" s="1250">
        <f t="shared" si="179"/>
        <v>1</v>
      </c>
      <c r="AA101" s="1250">
        <f t="shared" si="179"/>
        <v>1</v>
      </c>
      <c r="AB101" s="1250">
        <f t="shared" si="179"/>
        <v>1</v>
      </c>
      <c r="AC101" s="1250">
        <f t="shared" si="179"/>
        <v>1</v>
      </c>
      <c r="AD101" s="1250">
        <f t="shared" si="179"/>
        <v>1</v>
      </c>
      <c r="AE101" s="1250">
        <f t="shared" si="179"/>
        <v>1</v>
      </c>
      <c r="AF101" s="1250">
        <f t="shared" si="179"/>
        <v>1</v>
      </c>
      <c r="AG101" s="1250">
        <f t="shared" si="180"/>
        <v>1</v>
      </c>
      <c r="AH101" s="1250">
        <f t="shared" si="181"/>
        <v>1</v>
      </c>
      <c r="AI101" s="1250">
        <f t="shared" si="182"/>
        <v>1</v>
      </c>
      <c r="AJ101" s="1250">
        <f t="shared" si="183"/>
        <v>1</v>
      </c>
      <c r="AK101" s="1250">
        <f t="shared" si="184"/>
        <v>1</v>
      </c>
      <c r="AL101" s="1250">
        <f t="shared" si="185"/>
        <v>1</v>
      </c>
      <c r="AM101" s="1251" t="s">
        <v>1373</v>
      </c>
      <c r="AN101" s="1252">
        <f>MAX(I101:AL101)</f>
        <v>1</v>
      </c>
      <c r="AO101" s="1248" t="s">
        <v>1370</v>
      </c>
      <c r="AP101" s="1252"/>
      <c r="AQ101" s="1251" t="s">
        <v>1371</v>
      </c>
      <c r="AR101" s="1252">
        <f t="shared" si="141"/>
        <v>1</v>
      </c>
      <c r="AS101" s="275"/>
      <c r="AT101" s="275"/>
      <c r="AU101" s="275"/>
      <c r="AV101" s="275"/>
      <c r="AW101" s="275"/>
      <c r="AX101" s="275"/>
      <c r="AY101" s="275"/>
      <c r="AZ101" s="275"/>
      <c r="BA101" s="275"/>
      <c r="BB101" s="275"/>
      <c r="BC101" s="275"/>
      <c r="BD101" s="275"/>
      <c r="BE101" s="275"/>
      <c r="BF101" s="275"/>
      <c r="BG101" s="275"/>
      <c r="BH101" s="275"/>
      <c r="BI101" s="275"/>
      <c r="BJ101" s="275"/>
    </row>
    <row r="102" spans="1:62">
      <c r="A102" s="595"/>
      <c r="B102" s="598"/>
      <c r="C102" s="599"/>
      <c r="D102" s="11"/>
      <c r="E102" s="1246" t="str">
        <f>'Despesas com Pessoal'!F102</f>
        <v>P098</v>
      </c>
      <c r="F102" s="1247" t="str">
        <f>'Despesas com Pessoal'!G102</f>
        <v>Engenheiro de Obras Pleno</v>
      </c>
      <c r="G102" s="1251" t="s">
        <v>1376</v>
      </c>
      <c r="H102" s="1249">
        <v>1</v>
      </c>
      <c r="I102" s="1250"/>
      <c r="J102" s="1250"/>
      <c r="K102" s="1250"/>
      <c r="L102" s="1250"/>
      <c r="M102" s="1250"/>
      <c r="N102" s="1250">
        <v>1</v>
      </c>
      <c r="O102" s="1250">
        <f t="shared" si="179"/>
        <v>1</v>
      </c>
      <c r="P102" s="1250">
        <f t="shared" si="179"/>
        <v>1</v>
      </c>
      <c r="Q102" s="1250">
        <f t="shared" si="179"/>
        <v>1</v>
      </c>
      <c r="R102" s="1250">
        <f t="shared" si="179"/>
        <v>1</v>
      </c>
      <c r="S102" s="1250">
        <f t="shared" si="179"/>
        <v>1</v>
      </c>
      <c r="T102" s="1250">
        <f t="shared" si="179"/>
        <v>1</v>
      </c>
      <c r="U102" s="1250">
        <f t="shared" si="179"/>
        <v>1</v>
      </c>
      <c r="V102" s="1250">
        <f t="shared" si="179"/>
        <v>1</v>
      </c>
      <c r="W102" s="1250">
        <f t="shared" si="179"/>
        <v>1</v>
      </c>
      <c r="X102" s="1250">
        <f t="shared" si="179"/>
        <v>1</v>
      </c>
      <c r="Y102" s="1250">
        <f t="shared" si="179"/>
        <v>1</v>
      </c>
      <c r="Z102" s="1250">
        <f t="shared" si="179"/>
        <v>1</v>
      </c>
      <c r="AA102" s="1250">
        <f t="shared" si="179"/>
        <v>1</v>
      </c>
      <c r="AB102" s="1250">
        <f t="shared" si="179"/>
        <v>1</v>
      </c>
      <c r="AC102" s="1250">
        <f t="shared" si="179"/>
        <v>1</v>
      </c>
      <c r="AD102" s="1250">
        <f t="shared" si="179"/>
        <v>1</v>
      </c>
      <c r="AE102" s="1250">
        <f t="shared" si="179"/>
        <v>1</v>
      </c>
      <c r="AF102" s="1250">
        <f t="shared" si="179"/>
        <v>1</v>
      </c>
      <c r="AG102" s="1250">
        <f t="shared" si="180"/>
        <v>1</v>
      </c>
      <c r="AH102" s="1250">
        <f t="shared" si="181"/>
        <v>1</v>
      </c>
      <c r="AI102" s="1250">
        <f t="shared" si="182"/>
        <v>1</v>
      </c>
      <c r="AJ102" s="1250">
        <f t="shared" si="183"/>
        <v>1</v>
      </c>
      <c r="AK102" s="1250">
        <f t="shared" si="184"/>
        <v>1</v>
      </c>
      <c r="AL102" s="1250">
        <f t="shared" si="185"/>
        <v>1</v>
      </c>
      <c r="AM102" s="1251" t="s">
        <v>1373</v>
      </c>
      <c r="AN102" s="1252">
        <f>MAX(I102:AL102)</f>
        <v>1</v>
      </c>
      <c r="AO102" s="1248" t="s">
        <v>1370</v>
      </c>
      <c r="AP102" s="1252">
        <v>1</v>
      </c>
      <c r="AQ102" s="1248" t="s">
        <v>1371</v>
      </c>
      <c r="AR102" s="1252">
        <f>MAX(I102:AL102)</f>
        <v>1</v>
      </c>
      <c r="AS102" s="275"/>
      <c r="AT102" s="275"/>
      <c r="AU102" s="275"/>
      <c r="AV102" s="275"/>
      <c r="AW102" s="275"/>
      <c r="AX102" s="275"/>
      <c r="AY102" s="275"/>
      <c r="AZ102" s="275"/>
      <c r="BA102" s="275"/>
      <c r="BB102" s="275"/>
      <c r="BC102" s="275"/>
      <c r="BD102" s="275"/>
      <c r="BE102" s="275"/>
      <c r="BF102" s="275"/>
      <c r="BG102" s="275"/>
      <c r="BH102" s="275"/>
      <c r="BI102" s="275"/>
      <c r="BJ102" s="275"/>
    </row>
    <row r="103" spans="1:62">
      <c r="A103" s="595"/>
      <c r="B103" s="598"/>
      <c r="C103" s="599"/>
      <c r="D103" s="11"/>
      <c r="E103" s="1246" t="str">
        <f>'Despesas com Pessoal'!F103</f>
        <v>P149</v>
      </c>
      <c r="F103" s="1247" t="str">
        <f>'Despesas com Pessoal'!G103</f>
        <v>Técnico de Estradas</v>
      </c>
      <c r="G103" s="1251"/>
      <c r="H103" s="1249"/>
      <c r="I103" s="1250"/>
      <c r="J103" s="1250"/>
      <c r="K103" s="1250"/>
      <c r="L103" s="1250"/>
      <c r="M103" s="1250"/>
      <c r="N103" s="1250">
        <v>1</v>
      </c>
      <c r="O103" s="1250">
        <f>N103</f>
        <v>1</v>
      </c>
      <c r="P103" s="1250">
        <f t="shared" si="179"/>
        <v>1</v>
      </c>
      <c r="Q103" s="1250">
        <f t="shared" si="179"/>
        <v>1</v>
      </c>
      <c r="R103" s="1250">
        <f t="shared" si="179"/>
        <v>1</v>
      </c>
      <c r="S103" s="1250">
        <f t="shared" si="179"/>
        <v>1</v>
      </c>
      <c r="T103" s="1250">
        <f t="shared" si="179"/>
        <v>1</v>
      </c>
      <c r="U103" s="1250">
        <f t="shared" si="179"/>
        <v>1</v>
      </c>
      <c r="V103" s="1250">
        <f t="shared" si="179"/>
        <v>1</v>
      </c>
      <c r="W103" s="1250">
        <f t="shared" si="179"/>
        <v>1</v>
      </c>
      <c r="X103" s="1250">
        <f t="shared" si="179"/>
        <v>1</v>
      </c>
      <c r="Y103" s="1250">
        <f t="shared" si="179"/>
        <v>1</v>
      </c>
      <c r="Z103" s="1250">
        <f t="shared" si="179"/>
        <v>1</v>
      </c>
      <c r="AA103" s="1250">
        <f t="shared" si="179"/>
        <v>1</v>
      </c>
      <c r="AB103" s="1250">
        <f t="shared" si="179"/>
        <v>1</v>
      </c>
      <c r="AC103" s="1250">
        <f t="shared" si="179"/>
        <v>1</v>
      </c>
      <c r="AD103" s="1250">
        <f t="shared" si="179"/>
        <v>1</v>
      </c>
      <c r="AE103" s="1250">
        <f t="shared" si="179"/>
        <v>1</v>
      </c>
      <c r="AF103" s="1250">
        <f t="shared" si="179"/>
        <v>1</v>
      </c>
      <c r="AG103" s="1250">
        <f t="shared" si="180"/>
        <v>1</v>
      </c>
      <c r="AH103" s="1250">
        <f t="shared" si="181"/>
        <v>1</v>
      </c>
      <c r="AI103" s="1250">
        <f t="shared" si="182"/>
        <v>1</v>
      </c>
      <c r="AJ103" s="1250">
        <f t="shared" si="183"/>
        <v>1</v>
      </c>
      <c r="AK103" s="1250">
        <f t="shared" si="184"/>
        <v>1</v>
      </c>
      <c r="AL103" s="1250">
        <f t="shared" si="185"/>
        <v>1</v>
      </c>
      <c r="AM103" s="1251" t="s">
        <v>1369</v>
      </c>
      <c r="AN103" s="1252"/>
      <c r="AO103" s="1248" t="s">
        <v>1370</v>
      </c>
      <c r="AP103" s="1252"/>
      <c r="AQ103" s="1248" t="s">
        <v>1371</v>
      </c>
      <c r="AR103" s="1252"/>
      <c r="AS103" s="275"/>
      <c r="AT103" s="275"/>
      <c r="AU103" s="275"/>
      <c r="AV103" s="275"/>
      <c r="AW103" s="275"/>
      <c r="AX103" s="275"/>
      <c r="AY103" s="275"/>
      <c r="AZ103" s="275"/>
      <c r="BA103" s="275"/>
      <c r="BB103" s="275"/>
      <c r="BC103" s="275"/>
      <c r="BD103" s="275"/>
      <c r="BE103" s="275"/>
      <c r="BF103" s="275"/>
      <c r="BG103" s="275"/>
      <c r="BH103" s="275"/>
      <c r="BI103" s="275"/>
      <c r="BJ103" s="275"/>
    </row>
    <row r="104" spans="1:62">
      <c r="A104" s="595"/>
      <c r="B104" s="598"/>
      <c r="C104" s="599"/>
      <c r="D104" s="11"/>
      <c r="E104" s="1246" t="str">
        <f>'Despesas com Pessoal'!F104</f>
        <v>P050</v>
      </c>
      <c r="F104" s="1247" t="str">
        <f>'Despesas com Pessoal'!G104</f>
        <v>Auxiliar Técnico I</v>
      </c>
      <c r="G104" s="1251"/>
      <c r="H104" s="1249"/>
      <c r="I104" s="1250"/>
      <c r="J104" s="1250"/>
      <c r="K104" s="1250"/>
      <c r="L104" s="1250"/>
      <c r="M104" s="1250"/>
      <c r="N104" s="1250">
        <v>1</v>
      </c>
      <c r="O104" s="1250">
        <f>N104</f>
        <v>1</v>
      </c>
      <c r="P104" s="1250">
        <f t="shared" si="179"/>
        <v>1</v>
      </c>
      <c r="Q104" s="1250">
        <f t="shared" si="179"/>
        <v>1</v>
      </c>
      <c r="R104" s="1250">
        <f t="shared" si="179"/>
        <v>1</v>
      </c>
      <c r="S104" s="1250">
        <f t="shared" si="179"/>
        <v>1</v>
      </c>
      <c r="T104" s="1250">
        <f t="shared" si="179"/>
        <v>1</v>
      </c>
      <c r="U104" s="1250">
        <f t="shared" si="179"/>
        <v>1</v>
      </c>
      <c r="V104" s="1250">
        <f t="shared" si="179"/>
        <v>1</v>
      </c>
      <c r="W104" s="1250">
        <f t="shared" si="179"/>
        <v>1</v>
      </c>
      <c r="X104" s="1250">
        <f t="shared" si="179"/>
        <v>1</v>
      </c>
      <c r="Y104" s="1250">
        <f t="shared" si="179"/>
        <v>1</v>
      </c>
      <c r="Z104" s="1250">
        <f t="shared" si="179"/>
        <v>1</v>
      </c>
      <c r="AA104" s="1250">
        <f t="shared" si="179"/>
        <v>1</v>
      </c>
      <c r="AB104" s="1250">
        <f t="shared" si="179"/>
        <v>1</v>
      </c>
      <c r="AC104" s="1250">
        <f t="shared" si="179"/>
        <v>1</v>
      </c>
      <c r="AD104" s="1250">
        <f t="shared" si="179"/>
        <v>1</v>
      </c>
      <c r="AE104" s="1250">
        <f t="shared" si="179"/>
        <v>1</v>
      </c>
      <c r="AF104" s="1250">
        <f t="shared" si="179"/>
        <v>1</v>
      </c>
      <c r="AG104" s="1250">
        <f t="shared" si="180"/>
        <v>1</v>
      </c>
      <c r="AH104" s="1250">
        <f t="shared" si="181"/>
        <v>1</v>
      </c>
      <c r="AI104" s="1250">
        <f t="shared" si="182"/>
        <v>1</v>
      </c>
      <c r="AJ104" s="1250">
        <f t="shared" si="183"/>
        <v>1</v>
      </c>
      <c r="AK104" s="1250">
        <f t="shared" si="184"/>
        <v>1</v>
      </c>
      <c r="AL104" s="1250">
        <f t="shared" si="185"/>
        <v>1</v>
      </c>
      <c r="AM104" s="1251" t="s">
        <v>1369</v>
      </c>
      <c r="AN104" s="1252">
        <f>MAX(I104:AL104)</f>
        <v>1</v>
      </c>
      <c r="AO104" s="1248" t="s">
        <v>1370</v>
      </c>
      <c r="AP104" s="1252"/>
      <c r="AQ104" s="1248" t="s">
        <v>1371</v>
      </c>
      <c r="AR104" s="1252">
        <f>MAX(I104:AL104)</f>
        <v>1</v>
      </c>
      <c r="AS104" s="275"/>
      <c r="AT104" s="275"/>
      <c r="AU104" s="275"/>
      <c r="AV104" s="275"/>
      <c r="AW104" s="275"/>
      <c r="AX104" s="275"/>
      <c r="AY104" s="275"/>
      <c r="AZ104" s="275"/>
      <c r="BA104" s="275"/>
      <c r="BB104" s="275"/>
      <c r="BC104" s="275"/>
      <c r="BD104" s="275"/>
      <c r="BE104" s="275"/>
      <c r="BF104" s="275"/>
      <c r="BG104" s="275"/>
      <c r="BH104" s="275"/>
      <c r="BI104" s="275"/>
      <c r="BJ104" s="275"/>
    </row>
    <row r="105" spans="1:62">
      <c r="A105" s="595"/>
      <c r="B105" s="598"/>
      <c r="C105" s="599"/>
      <c r="D105" s="11"/>
      <c r="E105" s="1246"/>
      <c r="F105" s="1243" t="s">
        <v>836</v>
      </c>
      <c r="G105" s="1255"/>
      <c r="H105" s="1249"/>
      <c r="I105" s="1250"/>
      <c r="J105" s="1250"/>
      <c r="K105" s="1250"/>
      <c r="L105" s="1250"/>
      <c r="M105" s="1250"/>
      <c r="N105" s="1250"/>
      <c r="O105" s="1250"/>
      <c r="P105" s="1250"/>
      <c r="Q105" s="1250"/>
      <c r="R105" s="1250"/>
      <c r="S105" s="1250"/>
      <c r="T105" s="1250"/>
      <c r="U105" s="1250"/>
      <c r="V105" s="1250"/>
      <c r="W105" s="1250"/>
      <c r="X105" s="1250"/>
      <c r="Y105" s="1250"/>
      <c r="Z105" s="1250"/>
      <c r="AA105" s="1250"/>
      <c r="AB105" s="1250"/>
      <c r="AC105" s="1250"/>
      <c r="AD105" s="1250"/>
      <c r="AE105" s="1250"/>
      <c r="AF105" s="1250"/>
      <c r="AG105" s="1250"/>
      <c r="AH105" s="1250"/>
      <c r="AI105" s="1250"/>
      <c r="AJ105" s="1250"/>
      <c r="AK105" s="1250"/>
      <c r="AL105" s="1250"/>
      <c r="AM105" s="1255"/>
      <c r="AN105" s="1244"/>
      <c r="AO105" s="1255"/>
      <c r="AP105" s="1244"/>
      <c r="AQ105" s="1255"/>
      <c r="AR105" s="1252">
        <f t="shared" si="141"/>
        <v>0</v>
      </c>
      <c r="AS105" s="275"/>
      <c r="AT105" s="275"/>
      <c r="AU105" s="275"/>
      <c r="AV105" s="275"/>
      <c r="AW105" s="275"/>
      <c r="AX105" s="275"/>
      <c r="AY105" s="275"/>
      <c r="AZ105" s="275"/>
      <c r="BA105" s="275"/>
      <c r="BB105" s="275"/>
      <c r="BC105" s="275"/>
      <c r="BD105" s="275"/>
      <c r="BE105" s="275"/>
      <c r="BF105" s="275"/>
      <c r="BG105" s="275"/>
      <c r="BH105" s="275"/>
      <c r="BI105" s="275"/>
      <c r="BJ105" s="275"/>
    </row>
    <row r="106" spans="1:62">
      <c r="A106" s="595"/>
      <c r="B106" s="598"/>
      <c r="C106" s="599"/>
      <c r="D106" s="11"/>
      <c r="E106" s="1260" t="str">
        <f>'Despesas com Pessoal'!F106</f>
        <v>P093</v>
      </c>
      <c r="F106" s="1247" t="str">
        <f>'Despesas com Pessoal'!G106</f>
        <v>Engenheiro Coordenador de Obras</v>
      </c>
      <c r="G106" s="1251" t="s">
        <v>1376</v>
      </c>
      <c r="H106" s="1249">
        <v>1</v>
      </c>
      <c r="I106" s="1250"/>
      <c r="J106" s="1250">
        <v>1</v>
      </c>
      <c r="K106" s="1250">
        <f t="shared" ref="K106:M107" si="186">J106</f>
        <v>1</v>
      </c>
      <c r="L106" s="1250">
        <f t="shared" si="186"/>
        <v>1</v>
      </c>
      <c r="M106" s="1250">
        <f t="shared" si="186"/>
        <v>1</v>
      </c>
      <c r="N106" s="1250">
        <f t="shared" ref="N106:N107" si="187">M106</f>
        <v>1</v>
      </c>
      <c r="O106" s="1250">
        <f t="shared" ref="O106:O107" si="188">N106</f>
        <v>1</v>
      </c>
      <c r="P106" s="1250">
        <f t="shared" ref="P106:P107" si="189">O106</f>
        <v>1</v>
      </c>
      <c r="Q106" s="1250">
        <f t="shared" ref="Q106:Q107" si="190">P106</f>
        <v>1</v>
      </c>
      <c r="R106" s="1250">
        <f t="shared" ref="R106:R107" si="191">Q106</f>
        <v>1</v>
      </c>
      <c r="S106" s="1250">
        <f t="shared" ref="S106:S107" si="192">R106</f>
        <v>1</v>
      </c>
      <c r="T106" s="1250">
        <f t="shared" ref="T106:T107" si="193">S106</f>
        <v>1</v>
      </c>
      <c r="U106" s="1250">
        <f t="shared" ref="U106:U107" si="194">T106</f>
        <v>1</v>
      </c>
      <c r="V106" s="1250">
        <f t="shared" ref="V106:V107" si="195">U106</f>
        <v>1</v>
      </c>
      <c r="W106" s="1250">
        <f t="shared" ref="W106:W107" si="196">V106</f>
        <v>1</v>
      </c>
      <c r="X106" s="1250">
        <f t="shared" ref="X106:X107" si="197">W106</f>
        <v>1</v>
      </c>
      <c r="Y106" s="1250">
        <f t="shared" ref="Y106:Y107" si="198">X106</f>
        <v>1</v>
      </c>
      <c r="Z106" s="1250">
        <f t="shared" ref="Z106:Z107" si="199">Y106</f>
        <v>1</v>
      </c>
      <c r="AA106" s="1250">
        <f t="shared" ref="AA106:AA107" si="200">Z106</f>
        <v>1</v>
      </c>
      <c r="AB106" s="1250">
        <f t="shared" ref="AB106:AB107" si="201">AA106</f>
        <v>1</v>
      </c>
      <c r="AC106" s="1250">
        <f t="shared" ref="AC106:AC107" si="202">AB106</f>
        <v>1</v>
      </c>
      <c r="AD106" s="1250">
        <f t="shared" ref="AD106:AD107" si="203">AC106</f>
        <v>1</v>
      </c>
      <c r="AE106" s="1250">
        <f t="shared" ref="AE106:AE107" si="204">AD106</f>
        <v>1</v>
      </c>
      <c r="AF106" s="1250">
        <f t="shared" ref="AF106:AF107" si="205">AE106</f>
        <v>1</v>
      </c>
      <c r="AG106" s="1250">
        <f t="shared" ref="AG106:AG107" si="206">AF106</f>
        <v>1</v>
      </c>
      <c r="AH106" s="1250">
        <f t="shared" ref="AH106:AH107" si="207">AG106</f>
        <v>1</v>
      </c>
      <c r="AI106" s="1250">
        <f t="shared" ref="AI106:AI107" si="208">AH106</f>
        <v>1</v>
      </c>
      <c r="AJ106" s="1250">
        <f t="shared" ref="AJ106:AJ107" si="209">AI106</f>
        <v>1</v>
      </c>
      <c r="AK106" s="1250">
        <f t="shared" ref="AK106:AK107" si="210">AJ106</f>
        <v>1</v>
      </c>
      <c r="AL106" s="1250">
        <f t="shared" ref="AL106:AL107" si="211">AK106</f>
        <v>1</v>
      </c>
      <c r="AM106" s="1251" t="s">
        <v>1373</v>
      </c>
      <c r="AN106" s="1252">
        <f>MAX(I106:AL106)</f>
        <v>1</v>
      </c>
      <c r="AO106" s="1248" t="s">
        <v>1370</v>
      </c>
      <c r="AP106" s="1252">
        <v>1</v>
      </c>
      <c r="AQ106" s="1251" t="s">
        <v>1374</v>
      </c>
      <c r="AR106" s="1252">
        <f t="shared" si="141"/>
        <v>1</v>
      </c>
      <c r="AS106" s="275"/>
      <c r="AT106" s="275"/>
      <c r="AU106" s="275"/>
      <c r="AV106" s="275"/>
      <c r="AW106" s="275"/>
      <c r="AX106" s="275"/>
      <c r="AY106" s="275"/>
      <c r="AZ106" s="275"/>
      <c r="BA106" s="275"/>
      <c r="BB106" s="275"/>
      <c r="BC106" s="275"/>
      <c r="BD106" s="275"/>
      <c r="BE106" s="275"/>
      <c r="BF106" s="275"/>
      <c r="BG106" s="275"/>
      <c r="BH106" s="275"/>
      <c r="BI106" s="275"/>
      <c r="BJ106" s="275"/>
    </row>
    <row r="107" spans="1:62">
      <c r="A107" s="595"/>
      <c r="B107" s="598"/>
      <c r="C107" s="599"/>
      <c r="D107" s="11"/>
      <c r="E107" s="1246" t="str">
        <f>'Despesas com Pessoal'!F107</f>
        <v>P098</v>
      </c>
      <c r="F107" s="1247" t="str">
        <f>'Despesas com Pessoal'!G107</f>
        <v>Engenheiro de Obras Pleno</v>
      </c>
      <c r="G107" s="1251" t="s">
        <v>1376</v>
      </c>
      <c r="H107" s="1249">
        <v>1</v>
      </c>
      <c r="I107" s="1250"/>
      <c r="J107" s="1250">
        <v>1</v>
      </c>
      <c r="K107" s="1250">
        <f t="shared" si="186"/>
        <v>1</v>
      </c>
      <c r="L107" s="1250">
        <f t="shared" si="186"/>
        <v>1</v>
      </c>
      <c r="M107" s="1250">
        <f t="shared" si="186"/>
        <v>1</v>
      </c>
      <c r="N107" s="1250">
        <f t="shared" si="187"/>
        <v>1</v>
      </c>
      <c r="O107" s="1250">
        <f t="shared" si="188"/>
        <v>1</v>
      </c>
      <c r="P107" s="1250">
        <f t="shared" si="189"/>
        <v>1</v>
      </c>
      <c r="Q107" s="1250">
        <f t="shared" si="190"/>
        <v>1</v>
      </c>
      <c r="R107" s="1250">
        <f t="shared" si="191"/>
        <v>1</v>
      </c>
      <c r="S107" s="1250">
        <f t="shared" si="192"/>
        <v>1</v>
      </c>
      <c r="T107" s="1250">
        <f t="shared" si="193"/>
        <v>1</v>
      </c>
      <c r="U107" s="1250">
        <f t="shared" si="194"/>
        <v>1</v>
      </c>
      <c r="V107" s="1250">
        <f t="shared" si="195"/>
        <v>1</v>
      </c>
      <c r="W107" s="1250">
        <f t="shared" si="196"/>
        <v>1</v>
      </c>
      <c r="X107" s="1250">
        <f t="shared" si="197"/>
        <v>1</v>
      </c>
      <c r="Y107" s="1250">
        <f t="shared" si="198"/>
        <v>1</v>
      </c>
      <c r="Z107" s="1250">
        <f t="shared" si="199"/>
        <v>1</v>
      </c>
      <c r="AA107" s="1250">
        <f t="shared" si="200"/>
        <v>1</v>
      </c>
      <c r="AB107" s="1250">
        <f t="shared" si="201"/>
        <v>1</v>
      </c>
      <c r="AC107" s="1250">
        <f t="shared" si="202"/>
        <v>1</v>
      </c>
      <c r="AD107" s="1250">
        <f t="shared" si="203"/>
        <v>1</v>
      </c>
      <c r="AE107" s="1250">
        <f t="shared" si="204"/>
        <v>1</v>
      </c>
      <c r="AF107" s="1250">
        <f t="shared" si="205"/>
        <v>1</v>
      </c>
      <c r="AG107" s="1250">
        <f t="shared" si="206"/>
        <v>1</v>
      </c>
      <c r="AH107" s="1250">
        <f t="shared" si="207"/>
        <v>1</v>
      </c>
      <c r="AI107" s="1250">
        <f t="shared" si="208"/>
        <v>1</v>
      </c>
      <c r="AJ107" s="1250">
        <f t="shared" si="209"/>
        <v>1</v>
      </c>
      <c r="AK107" s="1250">
        <f t="shared" si="210"/>
        <v>1</v>
      </c>
      <c r="AL107" s="1250">
        <f t="shared" si="211"/>
        <v>1</v>
      </c>
      <c r="AM107" s="1251" t="s">
        <v>1369</v>
      </c>
      <c r="AN107" s="1252">
        <f>MAX(I107:AL107)</f>
        <v>1</v>
      </c>
      <c r="AO107" s="1248" t="s">
        <v>1370</v>
      </c>
      <c r="AP107" s="1252">
        <v>1</v>
      </c>
      <c r="AQ107" s="1248" t="s">
        <v>1371</v>
      </c>
      <c r="AR107" s="1252">
        <f>MAX(I107:AL107)</f>
        <v>1</v>
      </c>
      <c r="AS107" s="275"/>
      <c r="AT107" s="275"/>
      <c r="AU107" s="275"/>
      <c r="AV107" s="275"/>
      <c r="AW107" s="275"/>
      <c r="AX107" s="275"/>
      <c r="AY107" s="275"/>
      <c r="AZ107" s="275"/>
      <c r="BA107" s="275"/>
      <c r="BB107" s="275"/>
      <c r="BC107" s="275"/>
      <c r="BD107" s="275"/>
      <c r="BE107" s="275"/>
      <c r="BF107" s="275"/>
      <c r="BG107" s="275"/>
      <c r="BH107" s="275"/>
      <c r="BI107" s="275"/>
      <c r="BJ107" s="275"/>
    </row>
    <row r="108" spans="1:62">
      <c r="A108" s="595"/>
      <c r="B108" s="598"/>
      <c r="C108" s="599"/>
      <c r="D108" s="11"/>
      <c r="E108" s="1246" t="str">
        <f>'Despesas com Pessoal'!F108</f>
        <v>P149</v>
      </c>
      <c r="F108" s="1247" t="str">
        <f>'Despesas com Pessoal'!G108</f>
        <v>Técnico de Estradas</v>
      </c>
      <c r="G108" s="1251"/>
      <c r="H108" s="1249"/>
      <c r="I108" s="1250"/>
      <c r="J108" s="1250"/>
      <c r="K108" s="1250"/>
      <c r="L108" s="1250"/>
      <c r="M108" s="1250"/>
      <c r="N108" s="1250"/>
      <c r="O108" s="1250"/>
      <c r="P108" s="1250"/>
      <c r="Q108" s="1250"/>
      <c r="R108" s="1250"/>
      <c r="S108" s="1250"/>
      <c r="T108" s="1250"/>
      <c r="U108" s="1250"/>
      <c r="V108" s="1250"/>
      <c r="W108" s="1250">
        <f t="shared" ref="W108" si="212">V108</f>
        <v>0</v>
      </c>
      <c r="X108" s="1250"/>
      <c r="Y108" s="1250"/>
      <c r="Z108" s="1250"/>
      <c r="AA108" s="1250"/>
      <c r="AB108" s="1250"/>
      <c r="AC108" s="1250"/>
      <c r="AD108" s="1250"/>
      <c r="AE108" s="1250"/>
      <c r="AF108" s="1250"/>
      <c r="AG108" s="1250"/>
      <c r="AH108" s="1250"/>
      <c r="AI108" s="1250"/>
      <c r="AJ108" s="1250"/>
      <c r="AK108" s="1250"/>
      <c r="AL108" s="1250">
        <f t="shared" ref="AL108" si="213">AK108</f>
        <v>0</v>
      </c>
      <c r="AM108" s="1251" t="s">
        <v>1369</v>
      </c>
      <c r="AN108" s="1252">
        <f>MAX(I108:AL108)</f>
        <v>0</v>
      </c>
      <c r="AO108" s="1248" t="s">
        <v>1370</v>
      </c>
      <c r="AP108" s="1252"/>
      <c r="AQ108" s="1248" t="s">
        <v>1371</v>
      </c>
      <c r="AR108" s="1252">
        <f>MAX(I108:AL108)</f>
        <v>0</v>
      </c>
      <c r="AS108" s="275"/>
      <c r="AT108" s="275"/>
      <c r="AU108" s="275"/>
      <c r="AV108" s="275"/>
      <c r="AW108" s="275"/>
      <c r="AX108" s="275"/>
      <c r="AY108" s="275"/>
      <c r="AZ108" s="275"/>
      <c r="BA108" s="275"/>
      <c r="BB108" s="275"/>
      <c r="BC108" s="275"/>
      <c r="BD108" s="275"/>
      <c r="BE108" s="275"/>
      <c r="BF108" s="275"/>
      <c r="BG108" s="275"/>
      <c r="BH108" s="275"/>
      <c r="BI108" s="275"/>
      <c r="BJ108" s="275"/>
    </row>
    <row r="109" spans="1:62">
      <c r="A109" s="595"/>
      <c r="B109" s="598"/>
      <c r="C109" s="599"/>
      <c r="D109" s="11"/>
      <c r="E109" s="1246"/>
      <c r="F109" s="1243" t="s">
        <v>838</v>
      </c>
      <c r="G109" s="1255"/>
      <c r="H109" s="1249"/>
      <c r="I109" s="1245"/>
      <c r="J109" s="1245"/>
      <c r="K109" s="1245"/>
      <c r="L109" s="1245"/>
      <c r="M109" s="1245"/>
      <c r="N109" s="1245"/>
      <c r="O109" s="1245"/>
      <c r="P109" s="1245"/>
      <c r="Q109" s="1245"/>
      <c r="R109" s="1245"/>
      <c r="S109" s="1245"/>
      <c r="T109" s="1245"/>
      <c r="U109" s="1245"/>
      <c r="V109" s="1245"/>
      <c r="W109" s="1245"/>
      <c r="X109" s="1245"/>
      <c r="Y109" s="1245"/>
      <c r="Z109" s="1245"/>
      <c r="AA109" s="1245"/>
      <c r="AB109" s="1245"/>
      <c r="AC109" s="1245"/>
      <c r="AD109" s="1245"/>
      <c r="AE109" s="1257"/>
      <c r="AF109" s="1258"/>
      <c r="AG109" s="1258"/>
      <c r="AH109" s="1258"/>
      <c r="AI109" s="1258"/>
      <c r="AJ109" s="1258"/>
      <c r="AK109" s="1258"/>
      <c r="AL109" s="1258"/>
      <c r="AM109" s="1255"/>
      <c r="AN109" s="1244"/>
      <c r="AO109" s="1255"/>
      <c r="AP109" s="1244"/>
      <c r="AQ109" s="1255"/>
      <c r="AR109" s="1252">
        <f t="shared" si="141"/>
        <v>0</v>
      </c>
      <c r="AS109" s="275"/>
      <c r="AT109" s="275"/>
      <c r="AU109" s="275"/>
      <c r="AV109" s="275"/>
      <c r="AW109" s="275"/>
      <c r="AX109" s="275"/>
      <c r="AY109" s="275"/>
      <c r="AZ109" s="275"/>
      <c r="BA109" s="275"/>
      <c r="BB109" s="275"/>
      <c r="BC109" s="275"/>
      <c r="BD109" s="275"/>
      <c r="BE109" s="275"/>
      <c r="BF109" s="275"/>
      <c r="BG109" s="275"/>
      <c r="BH109" s="275"/>
      <c r="BI109" s="275"/>
      <c r="BJ109" s="275"/>
    </row>
    <row r="110" spans="1:62">
      <c r="A110" s="595"/>
      <c r="B110" s="598"/>
      <c r="C110" s="599"/>
      <c r="D110" s="11"/>
      <c r="E110" s="1260" t="str">
        <f>'Despesas com Pessoal'!F110</f>
        <v>P068</v>
      </c>
      <c r="F110" s="1247" t="str">
        <f>'Despesas com Pessoal'!G110</f>
        <v>Coordenador de Planejamento</v>
      </c>
      <c r="G110" s="1251"/>
      <c r="H110" s="1249"/>
      <c r="I110" s="1250"/>
      <c r="J110" s="1250">
        <f t="shared" ref="J110:AF118" si="214">I110</f>
        <v>0</v>
      </c>
      <c r="K110" s="1250">
        <f t="shared" si="214"/>
        <v>0</v>
      </c>
      <c r="L110" s="1250">
        <f t="shared" si="214"/>
        <v>0</v>
      </c>
      <c r="M110" s="1250">
        <f t="shared" si="214"/>
        <v>0</v>
      </c>
      <c r="N110" s="1250">
        <f t="shared" si="214"/>
        <v>0</v>
      </c>
      <c r="O110" s="1250">
        <f t="shared" si="214"/>
        <v>0</v>
      </c>
      <c r="P110" s="1250">
        <f t="shared" si="214"/>
        <v>0</v>
      </c>
      <c r="Q110" s="1250">
        <f t="shared" si="214"/>
        <v>0</v>
      </c>
      <c r="R110" s="1250">
        <f t="shared" si="214"/>
        <v>0</v>
      </c>
      <c r="S110" s="1250">
        <f t="shared" si="214"/>
        <v>0</v>
      </c>
      <c r="T110" s="1250">
        <f t="shared" si="214"/>
        <v>0</v>
      </c>
      <c r="U110" s="1250">
        <f t="shared" si="214"/>
        <v>0</v>
      </c>
      <c r="V110" s="1250">
        <f t="shared" si="214"/>
        <v>0</v>
      </c>
      <c r="W110" s="1250">
        <f t="shared" si="214"/>
        <v>0</v>
      </c>
      <c r="X110" s="1250">
        <f t="shared" si="214"/>
        <v>0</v>
      </c>
      <c r="Y110" s="1250">
        <f t="shared" si="214"/>
        <v>0</v>
      </c>
      <c r="Z110" s="1250">
        <f t="shared" si="214"/>
        <v>0</v>
      </c>
      <c r="AA110" s="1250">
        <f t="shared" si="214"/>
        <v>0</v>
      </c>
      <c r="AB110" s="1250">
        <f t="shared" si="214"/>
        <v>0</v>
      </c>
      <c r="AC110" s="1250">
        <f t="shared" si="214"/>
        <v>0</v>
      </c>
      <c r="AD110" s="1250">
        <f t="shared" si="214"/>
        <v>0</v>
      </c>
      <c r="AE110" s="1250">
        <f t="shared" si="214"/>
        <v>0</v>
      </c>
      <c r="AF110" s="1250">
        <f t="shared" si="214"/>
        <v>0</v>
      </c>
      <c r="AG110" s="1250">
        <f t="shared" ref="AG110:AG118" si="215">AF110</f>
        <v>0</v>
      </c>
      <c r="AH110" s="1250">
        <f t="shared" ref="AH110:AH118" si="216">AG110</f>
        <v>0</v>
      </c>
      <c r="AI110" s="1250">
        <f t="shared" ref="AI110:AI118" si="217">AH110</f>
        <v>0</v>
      </c>
      <c r="AJ110" s="1250">
        <f t="shared" ref="AJ110:AJ118" si="218">AI110</f>
        <v>0</v>
      </c>
      <c r="AK110" s="1250">
        <f t="shared" ref="AK110:AK118" si="219">AJ110</f>
        <v>0</v>
      </c>
      <c r="AL110" s="1250">
        <f t="shared" ref="AL110:AL118" si="220">AK110</f>
        <v>0</v>
      </c>
      <c r="AM110" s="1251" t="s">
        <v>1373</v>
      </c>
      <c r="AN110" s="1252">
        <f>MAX(I110:AL110)</f>
        <v>0</v>
      </c>
      <c r="AO110" s="1248" t="s">
        <v>1370</v>
      </c>
      <c r="AP110" s="1252"/>
      <c r="AQ110" s="1251" t="s">
        <v>1374</v>
      </c>
      <c r="AR110" s="1252">
        <f t="shared" si="141"/>
        <v>0</v>
      </c>
      <c r="AS110" s="275"/>
      <c r="AT110" s="275"/>
      <c r="AU110" s="275"/>
      <c r="AV110" s="275"/>
      <c r="AW110" s="275"/>
      <c r="AX110" s="275"/>
      <c r="AY110" s="275"/>
      <c r="AZ110" s="275"/>
      <c r="BA110" s="275"/>
      <c r="BB110" s="275"/>
      <c r="BC110" s="275"/>
      <c r="BD110" s="275"/>
      <c r="BE110" s="275"/>
      <c r="BF110" s="275"/>
      <c r="BG110" s="275"/>
      <c r="BH110" s="275"/>
      <c r="BI110" s="275"/>
      <c r="BJ110" s="275"/>
    </row>
    <row r="111" spans="1:62">
      <c r="A111" s="595"/>
      <c r="B111" s="598"/>
      <c r="C111" s="599"/>
      <c r="D111" s="11"/>
      <c r="E111" s="1260" t="str">
        <f>'Despesas com Pessoal'!F111</f>
        <v>P090</v>
      </c>
      <c r="F111" s="1247" t="str">
        <f>'Despesas com Pessoal'!G111</f>
        <v>Engenheiro Civil Pleno</v>
      </c>
      <c r="G111" s="1251" t="s">
        <v>1376</v>
      </c>
      <c r="H111" s="1249">
        <v>1</v>
      </c>
      <c r="I111" s="1250">
        <v>1</v>
      </c>
      <c r="J111" s="1250">
        <f t="shared" si="214"/>
        <v>1</v>
      </c>
      <c r="K111" s="1250">
        <f t="shared" si="214"/>
        <v>1</v>
      </c>
      <c r="L111" s="1250">
        <f t="shared" si="214"/>
        <v>1</v>
      </c>
      <c r="M111" s="1250">
        <f t="shared" si="214"/>
        <v>1</v>
      </c>
      <c r="N111" s="1250">
        <f t="shared" ref="N111:N112" si="221">M111</f>
        <v>1</v>
      </c>
      <c r="O111" s="1250">
        <f t="shared" ref="O111:O112" si="222">N111</f>
        <v>1</v>
      </c>
      <c r="P111" s="1250">
        <f t="shared" ref="P111:P112" si="223">O111</f>
        <v>1</v>
      </c>
      <c r="Q111" s="1250">
        <f t="shared" ref="Q111:Q112" si="224">P111</f>
        <v>1</v>
      </c>
      <c r="R111" s="1250">
        <f t="shared" ref="R111:R112" si="225">Q111</f>
        <v>1</v>
      </c>
      <c r="S111" s="1250">
        <f t="shared" ref="S111:S112" si="226">R111</f>
        <v>1</v>
      </c>
      <c r="T111" s="1250">
        <f t="shared" ref="T111:T112" si="227">S111</f>
        <v>1</v>
      </c>
      <c r="U111" s="1250">
        <f t="shared" ref="U111:U112" si="228">T111</f>
        <v>1</v>
      </c>
      <c r="V111" s="1250">
        <f t="shared" ref="V111:V112" si="229">U111</f>
        <v>1</v>
      </c>
      <c r="W111" s="1250">
        <f t="shared" ref="W111:W112" si="230">V111</f>
        <v>1</v>
      </c>
      <c r="X111" s="1250">
        <f t="shared" ref="X111:X112" si="231">W111</f>
        <v>1</v>
      </c>
      <c r="Y111" s="1250">
        <f t="shared" ref="Y111:Y112" si="232">X111</f>
        <v>1</v>
      </c>
      <c r="Z111" s="1250">
        <f t="shared" ref="Z111:Z112" si="233">Y111</f>
        <v>1</v>
      </c>
      <c r="AA111" s="1250">
        <f t="shared" ref="AA111:AA112" si="234">Z111</f>
        <v>1</v>
      </c>
      <c r="AB111" s="1250">
        <f t="shared" ref="AB111:AB112" si="235">AA111</f>
        <v>1</v>
      </c>
      <c r="AC111" s="1250">
        <f t="shared" ref="AC111:AC112" si="236">AB111</f>
        <v>1</v>
      </c>
      <c r="AD111" s="1250">
        <f t="shared" ref="AD111:AD112" si="237">AC111</f>
        <v>1</v>
      </c>
      <c r="AE111" s="1250">
        <f t="shared" ref="AE111:AE112" si="238">AD111</f>
        <v>1</v>
      </c>
      <c r="AF111" s="1250">
        <f t="shared" ref="AF111:AF112" si="239">AE111</f>
        <v>1</v>
      </c>
      <c r="AG111" s="1250">
        <f t="shared" si="215"/>
        <v>1</v>
      </c>
      <c r="AH111" s="1250">
        <f t="shared" si="216"/>
        <v>1</v>
      </c>
      <c r="AI111" s="1250">
        <f t="shared" si="217"/>
        <v>1</v>
      </c>
      <c r="AJ111" s="1250">
        <f t="shared" si="218"/>
        <v>1</v>
      </c>
      <c r="AK111" s="1250">
        <f t="shared" si="219"/>
        <v>1</v>
      </c>
      <c r="AL111" s="1250">
        <f t="shared" si="220"/>
        <v>1</v>
      </c>
      <c r="AM111" s="1251" t="s">
        <v>1373</v>
      </c>
      <c r="AN111" s="1252">
        <v>1</v>
      </c>
      <c r="AO111" s="1248" t="s">
        <v>1370</v>
      </c>
      <c r="AP111" s="1252">
        <v>1</v>
      </c>
      <c r="AQ111" s="1248" t="s">
        <v>1371</v>
      </c>
      <c r="AR111" s="1252">
        <v>1</v>
      </c>
      <c r="AS111" s="275"/>
      <c r="AT111" s="275"/>
      <c r="AU111" s="275"/>
      <c r="AV111" s="275"/>
      <c r="AW111" s="275"/>
      <c r="AX111" s="275"/>
      <c r="AY111" s="275"/>
      <c r="AZ111" s="275"/>
      <c r="BA111" s="275"/>
      <c r="BB111" s="275"/>
      <c r="BC111" s="275"/>
      <c r="BD111" s="275"/>
      <c r="BE111" s="275"/>
      <c r="BF111" s="275"/>
      <c r="BG111" s="275"/>
      <c r="BH111" s="275"/>
      <c r="BI111" s="275"/>
      <c r="BJ111" s="275"/>
    </row>
    <row r="112" spans="1:62">
      <c r="A112" s="595"/>
      <c r="B112" s="598"/>
      <c r="C112" s="599"/>
      <c r="D112" s="11"/>
      <c r="E112" s="1246" t="str">
        <f>'Despesas com Pessoal'!F112</f>
        <v>P050</v>
      </c>
      <c r="F112" s="1247" t="str">
        <f>'Despesas com Pessoal'!G112</f>
        <v>Auxiliar Técnico I</v>
      </c>
      <c r="G112" s="1251"/>
      <c r="H112" s="1249"/>
      <c r="I112" s="1250">
        <v>1</v>
      </c>
      <c r="J112" s="1250">
        <f>I112</f>
        <v>1</v>
      </c>
      <c r="K112" s="1250">
        <f t="shared" si="214"/>
        <v>1</v>
      </c>
      <c r="L112" s="1250">
        <f t="shared" si="214"/>
        <v>1</v>
      </c>
      <c r="M112" s="1250">
        <f t="shared" si="214"/>
        <v>1</v>
      </c>
      <c r="N112" s="1250">
        <f t="shared" si="221"/>
        <v>1</v>
      </c>
      <c r="O112" s="1250">
        <f t="shared" si="222"/>
        <v>1</v>
      </c>
      <c r="P112" s="1250">
        <f t="shared" si="223"/>
        <v>1</v>
      </c>
      <c r="Q112" s="1250">
        <f t="shared" si="224"/>
        <v>1</v>
      </c>
      <c r="R112" s="1250">
        <f t="shared" si="225"/>
        <v>1</v>
      </c>
      <c r="S112" s="1250">
        <f t="shared" si="226"/>
        <v>1</v>
      </c>
      <c r="T112" s="1250">
        <f t="shared" si="227"/>
        <v>1</v>
      </c>
      <c r="U112" s="1250">
        <f t="shared" si="228"/>
        <v>1</v>
      </c>
      <c r="V112" s="1250">
        <f t="shared" si="229"/>
        <v>1</v>
      </c>
      <c r="W112" s="1250">
        <f t="shared" si="230"/>
        <v>1</v>
      </c>
      <c r="X112" s="1250">
        <f t="shared" si="231"/>
        <v>1</v>
      </c>
      <c r="Y112" s="1250">
        <f t="shared" si="232"/>
        <v>1</v>
      </c>
      <c r="Z112" s="1250">
        <f t="shared" si="233"/>
        <v>1</v>
      </c>
      <c r="AA112" s="1250">
        <f t="shared" si="234"/>
        <v>1</v>
      </c>
      <c r="AB112" s="1250">
        <f t="shared" si="235"/>
        <v>1</v>
      </c>
      <c r="AC112" s="1250">
        <f t="shared" si="236"/>
        <v>1</v>
      </c>
      <c r="AD112" s="1250">
        <f t="shared" si="237"/>
        <v>1</v>
      </c>
      <c r="AE112" s="1250">
        <f t="shared" si="238"/>
        <v>1</v>
      </c>
      <c r="AF112" s="1250">
        <f t="shared" si="239"/>
        <v>1</v>
      </c>
      <c r="AG112" s="1250">
        <f t="shared" si="215"/>
        <v>1</v>
      </c>
      <c r="AH112" s="1250">
        <f t="shared" si="216"/>
        <v>1</v>
      </c>
      <c r="AI112" s="1250">
        <f t="shared" si="217"/>
        <v>1</v>
      </c>
      <c r="AJ112" s="1250">
        <f t="shared" si="218"/>
        <v>1</v>
      </c>
      <c r="AK112" s="1250">
        <f t="shared" si="219"/>
        <v>1</v>
      </c>
      <c r="AL112" s="1250">
        <f t="shared" si="220"/>
        <v>1</v>
      </c>
      <c r="AM112" s="1251" t="s">
        <v>1373</v>
      </c>
      <c r="AN112" s="1252"/>
      <c r="AO112" s="1248" t="s">
        <v>1370</v>
      </c>
      <c r="AP112" s="1252"/>
      <c r="AQ112" s="1248" t="s">
        <v>1371</v>
      </c>
      <c r="AR112" s="1252"/>
      <c r="AS112" s="275"/>
      <c r="AT112" s="275"/>
      <c r="AU112" s="275"/>
      <c r="AV112" s="275"/>
      <c r="AW112" s="275"/>
      <c r="AX112" s="275"/>
      <c r="AY112" s="275"/>
      <c r="AZ112" s="275"/>
      <c r="BA112" s="275"/>
      <c r="BB112" s="275"/>
      <c r="BC112" s="275"/>
      <c r="BD112" s="275"/>
      <c r="BE112" s="275"/>
      <c r="BF112" s="275"/>
      <c r="BG112" s="275"/>
      <c r="BH112" s="275"/>
      <c r="BI112" s="275"/>
      <c r="BJ112" s="275"/>
    </row>
    <row r="113" spans="1:62">
      <c r="A113" s="595"/>
      <c r="B113" s="598"/>
      <c r="C113" s="599"/>
      <c r="D113" s="11"/>
      <c r="E113" s="1260" t="str">
        <f>'Despesas com Pessoal'!F113</f>
        <v>P031</v>
      </c>
      <c r="F113" s="1247" t="str">
        <f>'Despesas com Pessoal'!G113</f>
        <v>Assistente de Meio Ambiente</v>
      </c>
      <c r="G113" s="1251"/>
      <c r="H113" s="1249"/>
      <c r="I113" s="1250"/>
      <c r="J113" s="1250">
        <f t="shared" si="214"/>
        <v>0</v>
      </c>
      <c r="K113" s="1250">
        <f t="shared" si="214"/>
        <v>0</v>
      </c>
      <c r="L113" s="1250">
        <f t="shared" si="214"/>
        <v>0</v>
      </c>
      <c r="M113" s="1250">
        <f t="shared" si="214"/>
        <v>0</v>
      </c>
      <c r="N113" s="1250">
        <f t="shared" si="214"/>
        <v>0</v>
      </c>
      <c r="O113" s="1250">
        <f t="shared" si="214"/>
        <v>0</v>
      </c>
      <c r="P113" s="1250">
        <f t="shared" si="214"/>
        <v>0</v>
      </c>
      <c r="Q113" s="1250">
        <f t="shared" si="214"/>
        <v>0</v>
      </c>
      <c r="R113" s="1250">
        <f t="shared" si="214"/>
        <v>0</v>
      </c>
      <c r="S113" s="1250">
        <f t="shared" si="214"/>
        <v>0</v>
      </c>
      <c r="T113" s="1250">
        <f t="shared" si="214"/>
        <v>0</v>
      </c>
      <c r="U113" s="1250">
        <f t="shared" si="214"/>
        <v>0</v>
      </c>
      <c r="V113" s="1250">
        <f t="shared" si="214"/>
        <v>0</v>
      </c>
      <c r="W113" s="1250">
        <f t="shared" si="214"/>
        <v>0</v>
      </c>
      <c r="X113" s="1250">
        <f t="shared" si="214"/>
        <v>0</v>
      </c>
      <c r="Y113" s="1250">
        <f t="shared" si="214"/>
        <v>0</v>
      </c>
      <c r="Z113" s="1250">
        <f t="shared" si="214"/>
        <v>0</v>
      </c>
      <c r="AA113" s="1250">
        <f t="shared" si="214"/>
        <v>0</v>
      </c>
      <c r="AB113" s="1250">
        <f t="shared" si="214"/>
        <v>0</v>
      </c>
      <c r="AC113" s="1250">
        <f t="shared" si="214"/>
        <v>0</v>
      </c>
      <c r="AD113" s="1250">
        <f t="shared" si="214"/>
        <v>0</v>
      </c>
      <c r="AE113" s="1250">
        <f t="shared" si="214"/>
        <v>0</v>
      </c>
      <c r="AF113" s="1250">
        <f t="shared" si="214"/>
        <v>0</v>
      </c>
      <c r="AG113" s="1250">
        <f t="shared" si="215"/>
        <v>0</v>
      </c>
      <c r="AH113" s="1250">
        <f t="shared" si="216"/>
        <v>0</v>
      </c>
      <c r="AI113" s="1250">
        <f t="shared" si="217"/>
        <v>0</v>
      </c>
      <c r="AJ113" s="1250">
        <f t="shared" si="218"/>
        <v>0</v>
      </c>
      <c r="AK113" s="1250">
        <f t="shared" si="219"/>
        <v>0</v>
      </c>
      <c r="AL113" s="1250">
        <f t="shared" si="220"/>
        <v>0</v>
      </c>
      <c r="AM113" s="1251" t="s">
        <v>1373</v>
      </c>
      <c r="AN113" s="1252">
        <f>MAX(I113:AL113)</f>
        <v>0</v>
      </c>
      <c r="AO113" s="1248" t="s">
        <v>1370</v>
      </c>
      <c r="AP113" s="1252"/>
      <c r="AQ113" s="1248" t="s">
        <v>1371</v>
      </c>
      <c r="AR113" s="1252">
        <f t="shared" si="141"/>
        <v>0</v>
      </c>
      <c r="AS113" s="275"/>
      <c r="AT113" s="275"/>
      <c r="AU113" s="275"/>
      <c r="AV113" s="275"/>
      <c r="AW113" s="275"/>
      <c r="AX113" s="275"/>
      <c r="AY113" s="275"/>
      <c r="AZ113" s="275"/>
      <c r="BA113" s="275"/>
      <c r="BB113" s="275"/>
      <c r="BC113" s="275"/>
      <c r="BD113" s="275"/>
      <c r="BE113" s="275"/>
      <c r="BF113" s="275"/>
      <c r="BG113" s="275"/>
      <c r="BH113" s="275"/>
      <c r="BI113" s="275"/>
      <c r="BJ113" s="275"/>
    </row>
    <row r="114" spans="1:62">
      <c r="A114" s="595"/>
      <c r="B114" s="598"/>
      <c r="C114" s="599"/>
      <c r="D114" s="11"/>
      <c r="E114" s="1260" t="str">
        <f>'Despesas com Pessoal'!F114</f>
        <v>P018</v>
      </c>
      <c r="F114" s="1247" t="str">
        <f>'Despesas com Pessoal'!G114</f>
        <v>Analista de Sistema de Qualidade</v>
      </c>
      <c r="G114" s="1251"/>
      <c r="H114" s="1249"/>
      <c r="I114" s="1250">
        <v>0</v>
      </c>
      <c r="J114" s="1250">
        <f t="shared" si="214"/>
        <v>0</v>
      </c>
      <c r="K114" s="1250">
        <f t="shared" si="214"/>
        <v>0</v>
      </c>
      <c r="L114" s="1250">
        <f t="shared" si="214"/>
        <v>0</v>
      </c>
      <c r="M114" s="1250">
        <f t="shared" si="214"/>
        <v>0</v>
      </c>
      <c r="N114" s="1250">
        <f t="shared" si="214"/>
        <v>0</v>
      </c>
      <c r="O114" s="1250">
        <f t="shared" si="214"/>
        <v>0</v>
      </c>
      <c r="P114" s="1250">
        <f t="shared" si="214"/>
        <v>0</v>
      </c>
      <c r="Q114" s="1250">
        <f t="shared" si="214"/>
        <v>0</v>
      </c>
      <c r="R114" s="1250">
        <f t="shared" si="214"/>
        <v>0</v>
      </c>
      <c r="S114" s="1250">
        <f t="shared" si="214"/>
        <v>0</v>
      </c>
      <c r="T114" s="1250">
        <f t="shared" si="214"/>
        <v>0</v>
      </c>
      <c r="U114" s="1250">
        <f t="shared" si="214"/>
        <v>0</v>
      </c>
      <c r="V114" s="1250">
        <f t="shared" si="214"/>
        <v>0</v>
      </c>
      <c r="W114" s="1250">
        <f t="shared" si="214"/>
        <v>0</v>
      </c>
      <c r="X114" s="1250">
        <f t="shared" si="214"/>
        <v>0</v>
      </c>
      <c r="Y114" s="1250">
        <f t="shared" si="214"/>
        <v>0</v>
      </c>
      <c r="Z114" s="1250">
        <f t="shared" si="214"/>
        <v>0</v>
      </c>
      <c r="AA114" s="1250">
        <f t="shared" si="214"/>
        <v>0</v>
      </c>
      <c r="AB114" s="1250">
        <f t="shared" si="214"/>
        <v>0</v>
      </c>
      <c r="AC114" s="1250">
        <f t="shared" si="214"/>
        <v>0</v>
      </c>
      <c r="AD114" s="1250">
        <f t="shared" si="214"/>
        <v>0</v>
      </c>
      <c r="AE114" s="1250">
        <f t="shared" si="214"/>
        <v>0</v>
      </c>
      <c r="AF114" s="1250">
        <f t="shared" si="214"/>
        <v>0</v>
      </c>
      <c r="AG114" s="1250">
        <f t="shared" si="215"/>
        <v>0</v>
      </c>
      <c r="AH114" s="1250">
        <f t="shared" si="216"/>
        <v>0</v>
      </c>
      <c r="AI114" s="1250">
        <f t="shared" si="217"/>
        <v>0</v>
      </c>
      <c r="AJ114" s="1250">
        <f t="shared" si="218"/>
        <v>0</v>
      </c>
      <c r="AK114" s="1250">
        <f t="shared" si="219"/>
        <v>0</v>
      </c>
      <c r="AL114" s="1250">
        <f t="shared" si="220"/>
        <v>0</v>
      </c>
      <c r="AM114" s="1251"/>
      <c r="AN114" s="1252"/>
      <c r="AO114" s="1248" t="s">
        <v>1370</v>
      </c>
      <c r="AP114" s="1252"/>
      <c r="AQ114" s="1248" t="s">
        <v>1371</v>
      </c>
      <c r="AR114" s="1252">
        <f t="shared" si="141"/>
        <v>0</v>
      </c>
      <c r="AS114" s="275"/>
      <c r="AT114" s="275"/>
      <c r="AU114" s="275"/>
      <c r="AV114" s="275"/>
      <c r="AW114" s="275"/>
      <c r="AX114" s="275"/>
      <c r="AY114" s="275"/>
      <c r="AZ114" s="275"/>
      <c r="BA114" s="275"/>
      <c r="BB114" s="275"/>
      <c r="BC114" s="275"/>
      <c r="BD114" s="275"/>
      <c r="BE114" s="275"/>
      <c r="BF114" s="275"/>
      <c r="BG114" s="275"/>
      <c r="BH114" s="275"/>
      <c r="BI114" s="275"/>
      <c r="BJ114" s="275"/>
    </row>
    <row r="115" spans="1:62">
      <c r="A115" s="595"/>
      <c r="B115" s="598"/>
      <c r="C115" s="599"/>
      <c r="D115" s="11"/>
      <c r="E115" s="1246" t="str">
        <f>'Despesas com Pessoal'!F115</f>
        <v>P051</v>
      </c>
      <c r="F115" s="1247" t="str">
        <f>'Despesas com Pessoal'!G115</f>
        <v>Auxiliar Técnico II</v>
      </c>
      <c r="G115" s="1251" t="s">
        <v>1376</v>
      </c>
      <c r="H115" s="1249"/>
      <c r="I115" s="1250">
        <v>1</v>
      </c>
      <c r="J115" s="1250">
        <f t="shared" si="214"/>
        <v>1</v>
      </c>
      <c r="K115" s="1250">
        <f t="shared" si="214"/>
        <v>1</v>
      </c>
      <c r="L115" s="1250">
        <f t="shared" si="214"/>
        <v>1</v>
      </c>
      <c r="M115" s="1250">
        <f t="shared" si="214"/>
        <v>1</v>
      </c>
      <c r="N115" s="1250">
        <f t="shared" si="214"/>
        <v>1</v>
      </c>
      <c r="O115" s="1250">
        <f t="shared" si="214"/>
        <v>1</v>
      </c>
      <c r="P115" s="1250">
        <f t="shared" si="214"/>
        <v>1</v>
      </c>
      <c r="Q115" s="1250">
        <f t="shared" si="214"/>
        <v>1</v>
      </c>
      <c r="R115" s="1250">
        <f t="shared" si="214"/>
        <v>1</v>
      </c>
      <c r="S115" s="1250">
        <f t="shared" si="214"/>
        <v>1</v>
      </c>
      <c r="T115" s="1250">
        <f t="shared" si="214"/>
        <v>1</v>
      </c>
      <c r="U115" s="1250">
        <f t="shared" si="214"/>
        <v>1</v>
      </c>
      <c r="V115" s="1250">
        <f t="shared" si="214"/>
        <v>1</v>
      </c>
      <c r="W115" s="1250">
        <f t="shared" si="214"/>
        <v>1</v>
      </c>
      <c r="X115" s="1250">
        <f t="shared" si="214"/>
        <v>1</v>
      </c>
      <c r="Y115" s="1250">
        <f t="shared" si="214"/>
        <v>1</v>
      </c>
      <c r="Z115" s="1250">
        <f t="shared" si="214"/>
        <v>1</v>
      </c>
      <c r="AA115" s="1250">
        <f t="shared" si="214"/>
        <v>1</v>
      </c>
      <c r="AB115" s="1250">
        <f t="shared" si="214"/>
        <v>1</v>
      </c>
      <c r="AC115" s="1250">
        <f t="shared" si="214"/>
        <v>1</v>
      </c>
      <c r="AD115" s="1250">
        <f t="shared" si="214"/>
        <v>1</v>
      </c>
      <c r="AE115" s="1250">
        <f t="shared" si="214"/>
        <v>1</v>
      </c>
      <c r="AF115" s="1250">
        <f t="shared" si="214"/>
        <v>1</v>
      </c>
      <c r="AG115" s="1250">
        <f t="shared" si="215"/>
        <v>1</v>
      </c>
      <c r="AH115" s="1250">
        <f t="shared" si="216"/>
        <v>1</v>
      </c>
      <c r="AI115" s="1250">
        <f t="shared" si="217"/>
        <v>1</v>
      </c>
      <c r="AJ115" s="1250">
        <f t="shared" si="218"/>
        <v>1</v>
      </c>
      <c r="AK115" s="1250">
        <f t="shared" si="219"/>
        <v>1</v>
      </c>
      <c r="AL115" s="1250">
        <f t="shared" si="220"/>
        <v>1</v>
      </c>
      <c r="AM115" s="1251" t="s">
        <v>1373</v>
      </c>
      <c r="AN115" s="1252">
        <f>MAX(I115:AL115)</f>
        <v>1</v>
      </c>
      <c r="AO115" s="1248" t="s">
        <v>1370</v>
      </c>
      <c r="AP115" s="1252"/>
      <c r="AQ115" s="1248" t="s">
        <v>1371</v>
      </c>
      <c r="AR115" s="1252">
        <f t="shared" si="141"/>
        <v>1</v>
      </c>
      <c r="AS115" s="275"/>
      <c r="AT115" s="275"/>
      <c r="AU115" s="275"/>
      <c r="AV115" s="275"/>
      <c r="AW115" s="275"/>
      <c r="AX115" s="275"/>
      <c r="AY115" s="275"/>
      <c r="AZ115" s="275"/>
      <c r="BA115" s="275"/>
      <c r="BB115" s="275"/>
      <c r="BC115" s="275"/>
      <c r="BD115" s="275"/>
      <c r="BE115" s="275"/>
      <c r="BF115" s="275"/>
      <c r="BG115" s="275"/>
      <c r="BH115" s="275"/>
      <c r="BI115" s="275"/>
      <c r="BJ115" s="275"/>
    </row>
    <row r="116" spans="1:62">
      <c r="A116" s="595"/>
      <c r="B116" s="598"/>
      <c r="C116" s="599"/>
      <c r="D116" s="11"/>
      <c r="E116" s="1246" t="str">
        <f>'Despesas com Pessoal'!F116</f>
        <v>P095</v>
      </c>
      <c r="F116" s="1247" t="str">
        <f>'Despesas com Pessoal'!G116</f>
        <v>Engenheiro de Faixa de Domínio</v>
      </c>
      <c r="G116" s="1251" t="s">
        <v>1376</v>
      </c>
      <c r="H116" s="1249"/>
      <c r="I116" s="1250">
        <v>1</v>
      </c>
      <c r="J116" s="1250">
        <f>I116</f>
        <v>1</v>
      </c>
      <c r="K116" s="1250">
        <f t="shared" si="214"/>
        <v>1</v>
      </c>
      <c r="L116" s="1250">
        <f t="shared" si="214"/>
        <v>1</v>
      </c>
      <c r="M116" s="1250">
        <f t="shared" si="214"/>
        <v>1</v>
      </c>
      <c r="N116" s="1250">
        <f>M116</f>
        <v>1</v>
      </c>
      <c r="O116" s="1250">
        <f t="shared" si="214"/>
        <v>1</v>
      </c>
      <c r="P116" s="1250">
        <f t="shared" si="214"/>
        <v>1</v>
      </c>
      <c r="Q116" s="1250">
        <f t="shared" si="214"/>
        <v>1</v>
      </c>
      <c r="R116" s="1250">
        <f t="shared" si="214"/>
        <v>1</v>
      </c>
      <c r="S116" s="1250">
        <f t="shared" si="214"/>
        <v>1</v>
      </c>
      <c r="T116" s="1250">
        <f t="shared" si="214"/>
        <v>1</v>
      </c>
      <c r="U116" s="1250">
        <f t="shared" si="214"/>
        <v>1</v>
      </c>
      <c r="V116" s="1250">
        <f t="shared" si="214"/>
        <v>1</v>
      </c>
      <c r="W116" s="1250">
        <f t="shared" si="214"/>
        <v>1</v>
      </c>
      <c r="X116" s="1250">
        <f t="shared" si="214"/>
        <v>1</v>
      </c>
      <c r="Y116" s="1250">
        <f t="shared" si="214"/>
        <v>1</v>
      </c>
      <c r="Z116" s="1250">
        <f t="shared" si="214"/>
        <v>1</v>
      </c>
      <c r="AA116" s="1250">
        <f t="shared" si="214"/>
        <v>1</v>
      </c>
      <c r="AB116" s="1250">
        <f t="shared" si="214"/>
        <v>1</v>
      </c>
      <c r="AC116" s="1250">
        <f t="shared" si="214"/>
        <v>1</v>
      </c>
      <c r="AD116" s="1250">
        <f t="shared" si="214"/>
        <v>1</v>
      </c>
      <c r="AE116" s="1250">
        <f t="shared" si="214"/>
        <v>1</v>
      </c>
      <c r="AF116" s="1250">
        <f t="shared" si="214"/>
        <v>1</v>
      </c>
      <c r="AG116" s="1250">
        <f t="shared" si="215"/>
        <v>1</v>
      </c>
      <c r="AH116" s="1250">
        <f t="shared" si="216"/>
        <v>1</v>
      </c>
      <c r="AI116" s="1250">
        <f t="shared" si="217"/>
        <v>1</v>
      </c>
      <c r="AJ116" s="1250">
        <f t="shared" si="218"/>
        <v>1</v>
      </c>
      <c r="AK116" s="1250">
        <f t="shared" si="219"/>
        <v>1</v>
      </c>
      <c r="AL116" s="1250">
        <f t="shared" si="220"/>
        <v>1</v>
      </c>
      <c r="AM116" s="1251" t="s">
        <v>1373</v>
      </c>
      <c r="AN116" s="1252">
        <f>MAX(I116:AL116)</f>
        <v>1</v>
      </c>
      <c r="AO116" s="1248" t="s">
        <v>1370</v>
      </c>
      <c r="AP116" s="1252"/>
      <c r="AQ116" s="1248" t="s">
        <v>1371</v>
      </c>
      <c r="AR116" s="1252">
        <f t="shared" si="141"/>
        <v>1</v>
      </c>
      <c r="AS116" s="275"/>
      <c r="AT116" s="275"/>
      <c r="AU116" s="275"/>
      <c r="AV116" s="275"/>
      <c r="AW116" s="275"/>
      <c r="AX116" s="275"/>
      <c r="AY116" s="275"/>
      <c r="AZ116" s="275"/>
      <c r="BA116" s="275"/>
      <c r="BB116" s="275"/>
      <c r="BC116" s="275"/>
      <c r="BD116" s="275"/>
      <c r="BE116" s="275"/>
      <c r="BF116" s="275"/>
      <c r="BG116" s="275"/>
      <c r="BH116" s="275"/>
      <c r="BI116" s="275"/>
      <c r="BJ116" s="275"/>
    </row>
    <row r="117" spans="1:62">
      <c r="A117" s="595"/>
      <c r="B117" s="598"/>
      <c r="C117" s="599"/>
      <c r="D117" s="11"/>
      <c r="E117" s="1246" t="str">
        <f>'Despesas com Pessoal'!F117</f>
        <v>P101</v>
      </c>
      <c r="F117" s="1247" t="str">
        <f>'Despesas com Pessoal'!G117</f>
        <v>Engenheiro de Tráfego</v>
      </c>
      <c r="G117" s="1251" t="s">
        <v>1376</v>
      </c>
      <c r="H117" s="1249"/>
      <c r="I117" s="1250">
        <v>1</v>
      </c>
      <c r="J117" s="1250">
        <f>I117</f>
        <v>1</v>
      </c>
      <c r="K117" s="1250">
        <f t="shared" si="214"/>
        <v>1</v>
      </c>
      <c r="L117" s="1250">
        <f t="shared" si="214"/>
        <v>1</v>
      </c>
      <c r="M117" s="1250">
        <f t="shared" si="214"/>
        <v>1</v>
      </c>
      <c r="N117" s="1250">
        <f>M117</f>
        <v>1</v>
      </c>
      <c r="O117" s="1250">
        <f t="shared" si="214"/>
        <v>1</v>
      </c>
      <c r="P117" s="1250">
        <f t="shared" si="214"/>
        <v>1</v>
      </c>
      <c r="Q117" s="1250">
        <f t="shared" si="214"/>
        <v>1</v>
      </c>
      <c r="R117" s="1250">
        <f t="shared" si="214"/>
        <v>1</v>
      </c>
      <c r="S117" s="1250">
        <f t="shared" si="214"/>
        <v>1</v>
      </c>
      <c r="T117" s="1250">
        <f t="shared" si="214"/>
        <v>1</v>
      </c>
      <c r="U117" s="1250">
        <f t="shared" si="214"/>
        <v>1</v>
      </c>
      <c r="V117" s="1250">
        <f t="shared" si="214"/>
        <v>1</v>
      </c>
      <c r="W117" s="1250">
        <f t="shared" si="214"/>
        <v>1</v>
      </c>
      <c r="X117" s="1250">
        <f t="shared" si="214"/>
        <v>1</v>
      </c>
      <c r="Y117" s="1250">
        <f t="shared" si="214"/>
        <v>1</v>
      </c>
      <c r="Z117" s="1250">
        <f t="shared" si="214"/>
        <v>1</v>
      </c>
      <c r="AA117" s="1250">
        <f t="shared" si="214"/>
        <v>1</v>
      </c>
      <c r="AB117" s="1250">
        <f t="shared" si="214"/>
        <v>1</v>
      </c>
      <c r="AC117" s="1250">
        <f t="shared" si="214"/>
        <v>1</v>
      </c>
      <c r="AD117" s="1250">
        <f t="shared" si="214"/>
        <v>1</v>
      </c>
      <c r="AE117" s="1250">
        <f t="shared" si="214"/>
        <v>1</v>
      </c>
      <c r="AF117" s="1250">
        <f t="shared" si="214"/>
        <v>1</v>
      </c>
      <c r="AG117" s="1250">
        <f t="shared" si="215"/>
        <v>1</v>
      </c>
      <c r="AH117" s="1250">
        <f t="shared" si="216"/>
        <v>1</v>
      </c>
      <c r="AI117" s="1250">
        <f t="shared" si="217"/>
        <v>1</v>
      </c>
      <c r="AJ117" s="1250">
        <f t="shared" si="218"/>
        <v>1</v>
      </c>
      <c r="AK117" s="1250">
        <f t="shared" si="219"/>
        <v>1</v>
      </c>
      <c r="AL117" s="1250">
        <f t="shared" si="220"/>
        <v>1</v>
      </c>
      <c r="AM117" s="1251" t="s">
        <v>1373</v>
      </c>
      <c r="AN117" s="1252">
        <f>MAX(I117:AL117)</f>
        <v>1</v>
      </c>
      <c r="AO117" s="1248" t="s">
        <v>1370</v>
      </c>
      <c r="AP117" s="1252"/>
      <c r="AQ117" s="1248" t="s">
        <v>1371</v>
      </c>
      <c r="AR117" s="1252">
        <f t="shared" si="141"/>
        <v>1</v>
      </c>
      <c r="AS117" s="275"/>
      <c r="AT117" s="275"/>
      <c r="AU117" s="275"/>
      <c r="AV117" s="275"/>
      <c r="AW117" s="275"/>
      <c r="AX117" s="275"/>
      <c r="AY117" s="275"/>
      <c r="AZ117" s="275"/>
      <c r="BA117" s="275"/>
      <c r="BB117" s="275"/>
      <c r="BC117" s="275"/>
      <c r="BD117" s="275"/>
      <c r="BE117" s="275"/>
      <c r="BF117" s="275"/>
      <c r="BG117" s="275"/>
      <c r="BH117" s="275"/>
      <c r="BI117" s="275"/>
      <c r="BJ117" s="275"/>
    </row>
    <row r="118" spans="1:62">
      <c r="A118" s="595"/>
      <c r="B118" s="598"/>
      <c r="C118" s="599"/>
      <c r="D118" s="11"/>
      <c r="E118" s="1246" t="str">
        <f>'Despesas com Pessoal'!F118</f>
        <v>P052</v>
      </c>
      <c r="F118" s="1247" t="str">
        <f>'Despesas com Pessoal'!G118</f>
        <v>Cadista</v>
      </c>
      <c r="G118" s="1251"/>
      <c r="H118" s="1249"/>
      <c r="I118" s="1250"/>
      <c r="J118" s="1250">
        <f>I118</f>
        <v>0</v>
      </c>
      <c r="K118" s="1250">
        <f t="shared" si="214"/>
        <v>0</v>
      </c>
      <c r="L118" s="1250">
        <f t="shared" si="214"/>
        <v>0</v>
      </c>
      <c r="M118" s="1250">
        <f t="shared" si="214"/>
        <v>0</v>
      </c>
      <c r="N118" s="1250">
        <f t="shared" ref="N118" si="240">M118</f>
        <v>0</v>
      </c>
      <c r="O118" s="1250">
        <f t="shared" ref="O118" si="241">N118</f>
        <v>0</v>
      </c>
      <c r="P118" s="1250">
        <f t="shared" ref="P118" si="242">O118</f>
        <v>0</v>
      </c>
      <c r="Q118" s="1250">
        <f t="shared" ref="Q118" si="243">P118</f>
        <v>0</v>
      </c>
      <c r="R118" s="1250">
        <f t="shared" ref="R118" si="244">Q118</f>
        <v>0</v>
      </c>
      <c r="S118" s="1250">
        <f t="shared" ref="S118" si="245">R118</f>
        <v>0</v>
      </c>
      <c r="T118" s="1250">
        <f t="shared" ref="T118" si="246">S118</f>
        <v>0</v>
      </c>
      <c r="U118" s="1250">
        <f t="shared" ref="U118" si="247">T118</f>
        <v>0</v>
      </c>
      <c r="V118" s="1250">
        <f t="shared" ref="V118" si="248">U118</f>
        <v>0</v>
      </c>
      <c r="W118" s="1250">
        <f t="shared" ref="W118" si="249">V118</f>
        <v>0</v>
      </c>
      <c r="X118" s="1250">
        <f t="shared" ref="X118" si="250">W118</f>
        <v>0</v>
      </c>
      <c r="Y118" s="1250">
        <f t="shared" ref="Y118" si="251">X118</f>
        <v>0</v>
      </c>
      <c r="Z118" s="1250">
        <f t="shared" ref="Z118" si="252">Y118</f>
        <v>0</v>
      </c>
      <c r="AA118" s="1250">
        <f t="shared" ref="AA118" si="253">Z118</f>
        <v>0</v>
      </c>
      <c r="AB118" s="1250">
        <f t="shared" ref="AB118" si="254">AA118</f>
        <v>0</v>
      </c>
      <c r="AC118" s="1250">
        <f t="shared" ref="AC118" si="255">AB118</f>
        <v>0</v>
      </c>
      <c r="AD118" s="1250">
        <f t="shared" ref="AD118" si="256">AC118</f>
        <v>0</v>
      </c>
      <c r="AE118" s="1250">
        <f t="shared" ref="AE118" si="257">AD118</f>
        <v>0</v>
      </c>
      <c r="AF118" s="1250">
        <f t="shared" ref="AF118" si="258">AE118</f>
        <v>0</v>
      </c>
      <c r="AG118" s="1250">
        <f t="shared" si="215"/>
        <v>0</v>
      </c>
      <c r="AH118" s="1250">
        <f t="shared" si="216"/>
        <v>0</v>
      </c>
      <c r="AI118" s="1250">
        <f t="shared" si="217"/>
        <v>0</v>
      </c>
      <c r="AJ118" s="1250">
        <f t="shared" si="218"/>
        <v>0</v>
      </c>
      <c r="AK118" s="1250">
        <f t="shared" si="219"/>
        <v>0</v>
      </c>
      <c r="AL118" s="1250">
        <f t="shared" si="220"/>
        <v>0</v>
      </c>
      <c r="AM118" s="1251" t="s">
        <v>1369</v>
      </c>
      <c r="AN118" s="1252">
        <f>MAX(I118:AL118)</f>
        <v>0</v>
      </c>
      <c r="AO118" s="1248" t="s">
        <v>1370</v>
      </c>
      <c r="AP118" s="1252"/>
      <c r="AQ118" s="1248" t="s">
        <v>1371</v>
      </c>
      <c r="AR118" s="1252">
        <f t="shared" si="141"/>
        <v>0</v>
      </c>
      <c r="AS118" s="275"/>
      <c r="AT118" s="275"/>
      <c r="AU118" s="275"/>
      <c r="AV118" s="275"/>
      <c r="AW118" s="275"/>
      <c r="AX118" s="275"/>
      <c r="AY118" s="275"/>
      <c r="AZ118" s="275"/>
      <c r="BA118" s="275"/>
      <c r="BB118" s="275"/>
      <c r="BC118" s="275"/>
      <c r="BD118" s="275"/>
      <c r="BE118" s="275"/>
      <c r="BF118" s="275"/>
      <c r="BG118" s="275"/>
      <c r="BH118" s="275"/>
      <c r="BI118" s="275"/>
      <c r="BJ118" s="275"/>
    </row>
    <row r="119" spans="1:62">
      <c r="A119" s="595"/>
      <c r="B119" s="598"/>
      <c r="C119" s="599"/>
      <c r="D119" s="11"/>
      <c r="E119" s="1246"/>
      <c r="F119" s="1243" t="s">
        <v>844</v>
      </c>
      <c r="G119" s="1255"/>
      <c r="H119" s="1249"/>
      <c r="I119" s="1245"/>
      <c r="J119" s="1245"/>
      <c r="K119" s="1245"/>
      <c r="L119" s="1245"/>
      <c r="M119" s="1245"/>
      <c r="N119" s="1245"/>
      <c r="O119" s="1245"/>
      <c r="P119" s="1245"/>
      <c r="Q119" s="1245"/>
      <c r="R119" s="1245"/>
      <c r="S119" s="1245"/>
      <c r="T119" s="1245"/>
      <c r="U119" s="1245"/>
      <c r="V119" s="1245"/>
      <c r="W119" s="1245"/>
      <c r="X119" s="1245"/>
      <c r="Y119" s="1245"/>
      <c r="Z119" s="1245"/>
      <c r="AA119" s="1245"/>
      <c r="AB119" s="1245"/>
      <c r="AC119" s="1245"/>
      <c r="AD119" s="1245"/>
      <c r="AE119" s="1257"/>
      <c r="AF119" s="1258"/>
      <c r="AG119" s="1258"/>
      <c r="AH119" s="1258"/>
      <c r="AI119" s="1258"/>
      <c r="AJ119" s="1258"/>
      <c r="AK119" s="1258"/>
      <c r="AL119" s="1258"/>
      <c r="AM119" s="1255"/>
      <c r="AN119" s="1244"/>
      <c r="AO119" s="1255"/>
      <c r="AP119" s="1244"/>
      <c r="AQ119" s="1255"/>
      <c r="AR119" s="1252">
        <f t="shared" si="141"/>
        <v>0</v>
      </c>
      <c r="AS119" s="275"/>
      <c r="AT119" s="275"/>
      <c r="AU119" s="275"/>
      <c r="AV119" s="275"/>
      <c r="AW119" s="275"/>
      <c r="AX119" s="275"/>
      <c r="AY119" s="275"/>
      <c r="AZ119" s="275"/>
      <c r="BA119" s="275"/>
      <c r="BB119" s="275"/>
      <c r="BC119" s="275"/>
      <c r="BD119" s="275"/>
      <c r="BE119" s="275"/>
      <c r="BF119" s="275"/>
      <c r="BG119" s="275"/>
      <c r="BH119" s="275"/>
      <c r="BI119" s="275"/>
      <c r="BJ119" s="275"/>
    </row>
    <row r="120" spans="1:62">
      <c r="A120" s="595"/>
      <c r="B120" s="598"/>
      <c r="C120" s="599"/>
      <c r="D120" s="11"/>
      <c r="E120" s="1246" t="str">
        <f>'Despesas com Pessoal'!F120</f>
        <v>P094</v>
      </c>
      <c r="F120" s="1247" t="str">
        <f>'Despesas com Pessoal'!G120</f>
        <v>Engenheiro Coordenador Técnico</v>
      </c>
      <c r="G120" s="1251"/>
      <c r="H120" s="1249"/>
      <c r="I120" s="1250">
        <v>1</v>
      </c>
      <c r="J120" s="1250">
        <f t="shared" ref="J120:AF121" si="259">I120</f>
        <v>1</v>
      </c>
      <c r="K120" s="1250">
        <f t="shared" si="259"/>
        <v>1</v>
      </c>
      <c r="L120" s="1250">
        <f t="shared" si="259"/>
        <v>1</v>
      </c>
      <c r="M120" s="1250">
        <f t="shared" si="259"/>
        <v>1</v>
      </c>
      <c r="N120" s="1250">
        <f t="shared" si="259"/>
        <v>1</v>
      </c>
      <c r="O120" s="1250">
        <f t="shared" si="259"/>
        <v>1</v>
      </c>
      <c r="P120" s="1250">
        <f t="shared" si="259"/>
        <v>1</v>
      </c>
      <c r="Q120" s="1250">
        <f t="shared" si="259"/>
        <v>1</v>
      </c>
      <c r="R120" s="1250">
        <f t="shared" si="259"/>
        <v>1</v>
      </c>
      <c r="S120" s="1250">
        <f t="shared" si="259"/>
        <v>1</v>
      </c>
      <c r="T120" s="1250">
        <f t="shared" si="259"/>
        <v>1</v>
      </c>
      <c r="U120" s="1250">
        <f t="shared" si="259"/>
        <v>1</v>
      </c>
      <c r="V120" s="1250">
        <f t="shared" si="259"/>
        <v>1</v>
      </c>
      <c r="W120" s="1250">
        <f t="shared" si="259"/>
        <v>1</v>
      </c>
      <c r="X120" s="1250">
        <f t="shared" si="259"/>
        <v>1</v>
      </c>
      <c r="Y120" s="1250">
        <f t="shared" si="259"/>
        <v>1</v>
      </c>
      <c r="Z120" s="1250">
        <f t="shared" si="259"/>
        <v>1</v>
      </c>
      <c r="AA120" s="1250">
        <f t="shared" si="259"/>
        <v>1</v>
      </c>
      <c r="AB120" s="1250">
        <f t="shared" si="259"/>
        <v>1</v>
      </c>
      <c r="AC120" s="1250">
        <f t="shared" si="259"/>
        <v>1</v>
      </c>
      <c r="AD120" s="1250">
        <f t="shared" si="259"/>
        <v>1</v>
      </c>
      <c r="AE120" s="1250">
        <f t="shared" si="259"/>
        <v>1</v>
      </c>
      <c r="AF120" s="1250">
        <f t="shared" si="259"/>
        <v>1</v>
      </c>
      <c r="AG120" s="1250">
        <f t="shared" ref="AG120" si="260">AF120</f>
        <v>1</v>
      </c>
      <c r="AH120" s="1250">
        <f t="shared" ref="AH120" si="261">AG120</f>
        <v>1</v>
      </c>
      <c r="AI120" s="1250">
        <f t="shared" ref="AI120" si="262">AH120</f>
        <v>1</v>
      </c>
      <c r="AJ120" s="1250">
        <f t="shared" ref="AJ120" si="263">AI120</f>
        <v>1</v>
      </c>
      <c r="AK120" s="1250">
        <f t="shared" ref="AK120" si="264">AJ120</f>
        <v>1</v>
      </c>
      <c r="AL120" s="1250">
        <f t="shared" ref="AL120" si="265">AK120</f>
        <v>1</v>
      </c>
      <c r="AM120" s="1251" t="s">
        <v>1373</v>
      </c>
      <c r="AN120" s="1252">
        <f>MAX(I120:AL120)</f>
        <v>1</v>
      </c>
      <c r="AO120" s="1248" t="s">
        <v>1370</v>
      </c>
      <c r="AP120" s="1252">
        <v>1</v>
      </c>
      <c r="AQ120" s="1251" t="s">
        <v>1374</v>
      </c>
      <c r="AR120" s="1252">
        <f t="shared" si="141"/>
        <v>1</v>
      </c>
      <c r="AS120" s="275"/>
      <c r="AT120" s="275"/>
      <c r="AU120" s="275"/>
      <c r="AV120" s="275"/>
      <c r="AW120" s="275"/>
      <c r="AX120" s="275"/>
      <c r="AY120" s="275"/>
      <c r="AZ120" s="275"/>
      <c r="BA120" s="275"/>
      <c r="BB120" s="275"/>
      <c r="BC120" s="275"/>
      <c r="BD120" s="275"/>
      <c r="BE120" s="275"/>
      <c r="BF120" s="275"/>
      <c r="BG120" s="275"/>
      <c r="BH120" s="275"/>
      <c r="BI120" s="275"/>
      <c r="BJ120" s="275"/>
    </row>
    <row r="121" spans="1:62">
      <c r="A121" s="595"/>
      <c r="B121" s="598"/>
      <c r="C121" s="599"/>
      <c r="D121" s="11"/>
      <c r="E121" s="1246" t="str">
        <f>'Despesas com Pessoal'!F121</f>
        <v>P091</v>
      </c>
      <c r="F121" s="1247" t="str">
        <f>'Despesas com Pessoal'!G121</f>
        <v>Engenheiro Civil Senior</v>
      </c>
      <c r="G121" s="1251"/>
      <c r="H121" s="1249"/>
      <c r="I121" s="1250">
        <v>1</v>
      </c>
      <c r="J121" s="1250">
        <f>I121</f>
        <v>1</v>
      </c>
      <c r="K121" s="1250">
        <f>J121</f>
        <v>1</v>
      </c>
      <c r="L121" s="1250">
        <f>K121</f>
        <v>1</v>
      </c>
      <c r="M121" s="1250">
        <f>L121</f>
        <v>1</v>
      </c>
      <c r="N121" s="1250">
        <f>M121</f>
        <v>1</v>
      </c>
      <c r="O121" s="1250">
        <f t="shared" si="259"/>
        <v>1</v>
      </c>
      <c r="P121" s="1250">
        <f t="shared" si="259"/>
        <v>1</v>
      </c>
      <c r="Q121" s="1250">
        <f t="shared" si="259"/>
        <v>1</v>
      </c>
      <c r="R121" s="1250">
        <f t="shared" si="259"/>
        <v>1</v>
      </c>
      <c r="S121" s="1250">
        <f t="shared" si="259"/>
        <v>1</v>
      </c>
      <c r="T121" s="1250">
        <f t="shared" si="259"/>
        <v>1</v>
      </c>
      <c r="U121" s="1250">
        <f t="shared" si="259"/>
        <v>1</v>
      </c>
      <c r="V121" s="1250">
        <f t="shared" si="259"/>
        <v>1</v>
      </c>
      <c r="W121" s="1250">
        <f t="shared" si="259"/>
        <v>1</v>
      </c>
      <c r="X121" s="1250">
        <f t="shared" si="259"/>
        <v>1</v>
      </c>
      <c r="Y121" s="1250">
        <f t="shared" si="259"/>
        <v>1</v>
      </c>
      <c r="Z121" s="1250">
        <f t="shared" si="259"/>
        <v>1</v>
      </c>
      <c r="AA121" s="1250">
        <f t="shared" si="259"/>
        <v>1</v>
      </c>
      <c r="AB121" s="1250">
        <f t="shared" si="259"/>
        <v>1</v>
      </c>
      <c r="AC121" s="1250">
        <f t="shared" si="259"/>
        <v>1</v>
      </c>
      <c r="AD121" s="1250">
        <f t="shared" si="259"/>
        <v>1</v>
      </c>
      <c r="AE121" s="1250">
        <f t="shared" si="259"/>
        <v>1</v>
      </c>
      <c r="AF121" s="1250">
        <f t="shared" si="259"/>
        <v>1</v>
      </c>
      <c r="AG121" s="1250">
        <f t="shared" ref="AG121" si="266">AF121</f>
        <v>1</v>
      </c>
      <c r="AH121" s="1250">
        <f t="shared" ref="AH121" si="267">AG121</f>
        <v>1</v>
      </c>
      <c r="AI121" s="1250">
        <f t="shared" ref="AI121" si="268">AH121</f>
        <v>1</v>
      </c>
      <c r="AJ121" s="1250">
        <f t="shared" ref="AJ121" si="269">AI121</f>
        <v>1</v>
      </c>
      <c r="AK121" s="1250">
        <f t="shared" ref="AK121" si="270">AJ121</f>
        <v>1</v>
      </c>
      <c r="AL121" s="1250">
        <f t="shared" ref="AL121" si="271">AK121</f>
        <v>1</v>
      </c>
      <c r="AM121" s="1251" t="s">
        <v>1369</v>
      </c>
      <c r="AN121" s="1252">
        <f>MAX(I121:AL121)</f>
        <v>1</v>
      </c>
      <c r="AO121" s="1248" t="s">
        <v>1370</v>
      </c>
      <c r="AP121" s="1252"/>
      <c r="AQ121" s="1248" t="s">
        <v>1371</v>
      </c>
      <c r="AR121" s="1252">
        <f t="shared" si="141"/>
        <v>1</v>
      </c>
      <c r="AS121" s="275"/>
      <c r="AT121" s="275"/>
      <c r="AU121" s="275"/>
      <c r="AV121" s="275"/>
      <c r="AW121" s="275"/>
      <c r="AX121" s="275"/>
      <c r="AY121" s="275"/>
      <c r="AZ121" s="275"/>
      <c r="BA121" s="275"/>
      <c r="BB121" s="275"/>
      <c r="BC121" s="275"/>
      <c r="BD121" s="275"/>
      <c r="BE121" s="275"/>
      <c r="BF121" s="275"/>
      <c r="BG121" s="275"/>
      <c r="BH121" s="275"/>
      <c r="BI121" s="275"/>
      <c r="BJ121" s="275"/>
    </row>
    <row r="122" spans="1:62">
      <c r="A122" s="595"/>
      <c r="B122" s="598"/>
      <c r="C122" s="599"/>
      <c r="D122" s="11"/>
      <c r="E122" s="1246" t="str">
        <f>'Despesas com Pessoal'!F122</f>
        <v>P052</v>
      </c>
      <c r="F122" s="1247" t="str">
        <f>'Despesas com Pessoal'!G122</f>
        <v>Cadista</v>
      </c>
      <c r="G122" s="1251"/>
      <c r="H122" s="1249"/>
      <c r="I122" s="1250"/>
      <c r="J122" s="1250"/>
      <c r="K122" s="1250"/>
      <c r="L122" s="1250"/>
      <c r="M122" s="1250"/>
      <c r="N122" s="1250"/>
      <c r="O122" s="1250"/>
      <c r="P122" s="1250"/>
      <c r="Q122" s="1250"/>
      <c r="R122" s="1250"/>
      <c r="S122" s="1250"/>
      <c r="T122" s="1250"/>
      <c r="U122" s="1250"/>
      <c r="V122" s="1250"/>
      <c r="W122" s="1250"/>
      <c r="X122" s="1250"/>
      <c r="Y122" s="1250"/>
      <c r="Z122" s="1250"/>
      <c r="AA122" s="1250"/>
      <c r="AB122" s="1250"/>
      <c r="AC122" s="1250"/>
      <c r="AD122" s="1250"/>
      <c r="AE122" s="1250"/>
      <c r="AF122" s="1250"/>
      <c r="AG122" s="1250"/>
      <c r="AH122" s="1250"/>
      <c r="AI122" s="1250"/>
      <c r="AJ122" s="1250"/>
      <c r="AK122" s="1250"/>
      <c r="AL122" s="1250"/>
      <c r="AM122" s="1251" t="s">
        <v>1369</v>
      </c>
      <c r="AN122" s="1252">
        <f>MAX(I122:AL122)</f>
        <v>0</v>
      </c>
      <c r="AO122" s="1248" t="s">
        <v>1370</v>
      </c>
      <c r="AP122" s="1252"/>
      <c r="AQ122" s="1248" t="s">
        <v>1371</v>
      </c>
      <c r="AR122" s="1252">
        <f t="shared" si="141"/>
        <v>0</v>
      </c>
      <c r="AS122" s="275"/>
      <c r="AT122" s="275"/>
      <c r="AU122" s="275"/>
      <c r="AV122" s="275"/>
      <c r="AW122" s="275"/>
      <c r="AX122" s="275"/>
      <c r="AY122" s="275"/>
      <c r="AZ122" s="275"/>
      <c r="BA122" s="275"/>
      <c r="BB122" s="275"/>
      <c r="BC122" s="275"/>
      <c r="BD122" s="275"/>
      <c r="BE122" s="275"/>
      <c r="BF122" s="275"/>
      <c r="BG122" s="275"/>
      <c r="BH122" s="275"/>
      <c r="BI122" s="275"/>
      <c r="BJ122" s="275"/>
    </row>
    <row r="123" spans="1:62">
      <c r="A123" s="595"/>
      <c r="B123" s="598"/>
      <c r="C123" s="599"/>
      <c r="D123" s="11"/>
      <c r="E123" s="1260" t="str">
        <f>'Despesas com Pessoal'!F123</f>
        <v>P050</v>
      </c>
      <c r="F123" s="1247" t="str">
        <f>'Despesas com Pessoal'!G123</f>
        <v>Auxiliar Técnico I</v>
      </c>
      <c r="G123" s="1251"/>
      <c r="H123" s="1249"/>
      <c r="I123" s="1250">
        <v>1</v>
      </c>
      <c r="J123" s="1250">
        <f>I123</f>
        <v>1</v>
      </c>
      <c r="K123" s="1250">
        <f t="shared" ref="K123:AL123" si="272">J123</f>
        <v>1</v>
      </c>
      <c r="L123" s="1250">
        <f t="shared" si="272"/>
        <v>1</v>
      </c>
      <c r="M123" s="1250">
        <f t="shared" si="272"/>
        <v>1</v>
      </c>
      <c r="N123" s="1250">
        <f t="shared" si="272"/>
        <v>1</v>
      </c>
      <c r="O123" s="1250">
        <f t="shared" si="272"/>
        <v>1</v>
      </c>
      <c r="P123" s="1250">
        <f t="shared" si="272"/>
        <v>1</v>
      </c>
      <c r="Q123" s="1250">
        <f t="shared" si="272"/>
        <v>1</v>
      </c>
      <c r="R123" s="1250">
        <f t="shared" si="272"/>
        <v>1</v>
      </c>
      <c r="S123" s="1250">
        <f t="shared" si="272"/>
        <v>1</v>
      </c>
      <c r="T123" s="1250">
        <f t="shared" si="272"/>
        <v>1</v>
      </c>
      <c r="U123" s="1250">
        <f t="shared" si="272"/>
        <v>1</v>
      </c>
      <c r="V123" s="1250">
        <f t="shared" si="272"/>
        <v>1</v>
      </c>
      <c r="W123" s="1250">
        <f t="shared" si="272"/>
        <v>1</v>
      </c>
      <c r="X123" s="1250">
        <f t="shared" si="272"/>
        <v>1</v>
      </c>
      <c r="Y123" s="1250">
        <f t="shared" si="272"/>
        <v>1</v>
      </c>
      <c r="Z123" s="1250">
        <f t="shared" si="272"/>
        <v>1</v>
      </c>
      <c r="AA123" s="1250">
        <f t="shared" si="272"/>
        <v>1</v>
      </c>
      <c r="AB123" s="1250">
        <f t="shared" si="272"/>
        <v>1</v>
      </c>
      <c r="AC123" s="1250">
        <f t="shared" si="272"/>
        <v>1</v>
      </c>
      <c r="AD123" s="1250">
        <f t="shared" si="272"/>
        <v>1</v>
      </c>
      <c r="AE123" s="1250">
        <f t="shared" si="272"/>
        <v>1</v>
      </c>
      <c r="AF123" s="1250">
        <f t="shared" si="272"/>
        <v>1</v>
      </c>
      <c r="AG123" s="1250">
        <f t="shared" si="272"/>
        <v>1</v>
      </c>
      <c r="AH123" s="1250">
        <f t="shared" si="272"/>
        <v>1</v>
      </c>
      <c r="AI123" s="1250">
        <f t="shared" si="272"/>
        <v>1</v>
      </c>
      <c r="AJ123" s="1250">
        <f t="shared" si="272"/>
        <v>1</v>
      </c>
      <c r="AK123" s="1250">
        <f t="shared" si="272"/>
        <v>1</v>
      </c>
      <c r="AL123" s="1250">
        <f t="shared" si="272"/>
        <v>1</v>
      </c>
      <c r="AM123" s="1251" t="s">
        <v>1369</v>
      </c>
      <c r="AN123" s="1252">
        <f>MAX(I123:AL123)</f>
        <v>1</v>
      </c>
      <c r="AO123" s="1248" t="s">
        <v>1370</v>
      </c>
      <c r="AP123" s="1252"/>
      <c r="AQ123" s="1248" t="s">
        <v>1371</v>
      </c>
      <c r="AR123" s="1252">
        <f t="shared" si="141"/>
        <v>1</v>
      </c>
      <c r="AS123" s="275"/>
      <c r="AT123" s="275"/>
      <c r="AU123" s="275"/>
      <c r="AV123" s="275"/>
      <c r="AW123" s="275"/>
      <c r="AX123" s="275"/>
      <c r="AY123" s="275"/>
      <c r="AZ123" s="275"/>
      <c r="BA123" s="275"/>
      <c r="BB123" s="275"/>
      <c r="BC123" s="275"/>
      <c r="BD123" s="275"/>
      <c r="BE123" s="275"/>
      <c r="BF123" s="275"/>
      <c r="BG123" s="275"/>
      <c r="BH123" s="275"/>
      <c r="BI123" s="275"/>
      <c r="BJ123" s="275"/>
    </row>
    <row r="124" spans="1:62">
      <c r="A124" s="595"/>
      <c r="B124" s="598"/>
      <c r="C124" s="599"/>
      <c r="D124" s="11"/>
      <c r="E124" s="1264" t="s">
        <v>46</v>
      </c>
      <c r="F124" s="1113" t="s">
        <v>845</v>
      </c>
      <c r="G124" s="1265"/>
      <c r="H124" s="1266"/>
      <c r="I124" s="1267">
        <f t="shared" ref="I124:AF124" si="273">SUBTOTAL(9,I125:I183)</f>
        <v>123.64</v>
      </c>
      <c r="J124" s="1267">
        <f t="shared" si="273"/>
        <v>136.63999999999999</v>
      </c>
      <c r="K124" s="1267">
        <f t="shared" si="273"/>
        <v>136.63999999999999</v>
      </c>
      <c r="L124" s="1267">
        <f t="shared" si="273"/>
        <v>136.63999999999999</v>
      </c>
      <c r="M124" s="1267">
        <f t="shared" si="273"/>
        <v>136.63999999999999</v>
      </c>
      <c r="N124" s="1267">
        <f t="shared" si="273"/>
        <v>136.63999999999999</v>
      </c>
      <c r="O124" s="1267">
        <f t="shared" si="273"/>
        <v>132.63999999999999</v>
      </c>
      <c r="P124" s="1267">
        <f t="shared" si="273"/>
        <v>132.63999999999999</v>
      </c>
      <c r="Q124" s="1267">
        <f t="shared" si="273"/>
        <v>132.63999999999999</v>
      </c>
      <c r="R124" s="1267">
        <f t="shared" si="273"/>
        <v>132.63999999999999</v>
      </c>
      <c r="S124" s="1267">
        <f t="shared" si="273"/>
        <v>132.63999999999999</v>
      </c>
      <c r="T124" s="1267">
        <f t="shared" si="273"/>
        <v>132.63999999999999</v>
      </c>
      <c r="U124" s="1267">
        <f t="shared" si="273"/>
        <v>132.63999999999999</v>
      </c>
      <c r="V124" s="1267">
        <f t="shared" si="273"/>
        <v>132.63999999999999</v>
      </c>
      <c r="W124" s="1267">
        <f t="shared" si="273"/>
        <v>132.63999999999999</v>
      </c>
      <c r="X124" s="1267">
        <f t="shared" si="273"/>
        <v>132.63999999999999</v>
      </c>
      <c r="Y124" s="1267">
        <f t="shared" si="273"/>
        <v>132.63999999999999</v>
      </c>
      <c r="Z124" s="1267">
        <f t="shared" si="273"/>
        <v>132.63999999999999</v>
      </c>
      <c r="AA124" s="1267">
        <f t="shared" si="273"/>
        <v>132.63999999999999</v>
      </c>
      <c r="AB124" s="1267">
        <f t="shared" si="273"/>
        <v>132.63999999999999</v>
      </c>
      <c r="AC124" s="1267">
        <f t="shared" si="273"/>
        <v>132.63999999999999</v>
      </c>
      <c r="AD124" s="1267">
        <f t="shared" si="273"/>
        <v>132.63999999999999</v>
      </c>
      <c r="AE124" s="1267">
        <f t="shared" si="273"/>
        <v>132.63999999999999</v>
      </c>
      <c r="AF124" s="1267">
        <f t="shared" si="273"/>
        <v>132.63999999999999</v>
      </c>
      <c r="AG124" s="1267">
        <f t="shared" ref="AG124:AL124" si="274">SUBTOTAL(9,AG125:AG183)</f>
        <v>132.63999999999999</v>
      </c>
      <c r="AH124" s="1267">
        <f t="shared" si="274"/>
        <v>132.63999999999999</v>
      </c>
      <c r="AI124" s="1267">
        <f t="shared" si="274"/>
        <v>132.63999999999999</v>
      </c>
      <c r="AJ124" s="1267">
        <f t="shared" si="274"/>
        <v>132.63999999999999</v>
      </c>
      <c r="AK124" s="1267">
        <f t="shared" si="274"/>
        <v>132.63999999999999</v>
      </c>
      <c r="AL124" s="1267">
        <f t="shared" si="274"/>
        <v>132.63999999999999</v>
      </c>
      <c r="AM124" s="1265"/>
      <c r="AN124" s="1268"/>
      <c r="AO124" s="1265"/>
      <c r="AP124" s="1268"/>
      <c r="AQ124" s="1265"/>
      <c r="AR124" s="1268"/>
      <c r="AS124" s="275"/>
      <c r="AT124" s="275"/>
      <c r="AU124" s="275"/>
      <c r="AV124" s="275"/>
      <c r="AW124" s="275"/>
      <c r="AX124" s="275"/>
      <c r="AY124" s="275"/>
      <c r="AZ124" s="275"/>
      <c r="BA124" s="275"/>
      <c r="BB124" s="275"/>
      <c r="BC124" s="275"/>
      <c r="BD124" s="275"/>
      <c r="BE124" s="275"/>
      <c r="BF124" s="275"/>
      <c r="BG124" s="275"/>
      <c r="BH124" s="275"/>
      <c r="BI124" s="275"/>
      <c r="BJ124" s="275"/>
    </row>
    <row r="125" spans="1:62">
      <c r="A125" s="595"/>
      <c r="B125" s="598"/>
      <c r="C125" s="599"/>
      <c r="D125" s="11"/>
      <c r="E125" s="1246"/>
      <c r="F125" s="1242" t="s">
        <v>847</v>
      </c>
      <c r="G125" s="1255"/>
      <c r="H125" s="1254"/>
      <c r="I125" s="1245"/>
      <c r="J125" s="1245"/>
      <c r="K125" s="1245"/>
      <c r="L125" s="1245"/>
      <c r="M125" s="1245"/>
      <c r="N125" s="1245"/>
      <c r="O125" s="1245"/>
      <c r="P125" s="1245"/>
      <c r="Q125" s="1245"/>
      <c r="R125" s="1245"/>
      <c r="S125" s="1245"/>
      <c r="T125" s="1245"/>
      <c r="U125" s="1245"/>
      <c r="V125" s="1245"/>
      <c r="W125" s="1245"/>
      <c r="X125" s="1245"/>
      <c r="Y125" s="1245"/>
      <c r="Z125" s="1245"/>
      <c r="AA125" s="1245"/>
      <c r="AB125" s="1245"/>
      <c r="AC125" s="1245"/>
      <c r="AD125" s="1245"/>
      <c r="AE125" s="1245"/>
      <c r="AF125" s="1245"/>
      <c r="AG125" s="1245"/>
      <c r="AH125" s="1245"/>
      <c r="AI125" s="1245"/>
      <c r="AJ125" s="1245"/>
      <c r="AK125" s="1245"/>
      <c r="AL125" s="1245"/>
      <c r="AM125" s="1255"/>
      <c r="AN125" s="1244"/>
      <c r="AO125" s="1255"/>
      <c r="AP125" s="1244"/>
      <c r="AQ125" s="1255"/>
      <c r="AR125" s="1244"/>
      <c r="AS125" s="275"/>
      <c r="AT125" s="275"/>
      <c r="AU125" s="275"/>
      <c r="AV125" s="275"/>
      <c r="AW125" s="275"/>
      <c r="AX125" s="275"/>
      <c r="AY125" s="275"/>
      <c r="AZ125" s="275"/>
      <c r="BA125" s="275"/>
      <c r="BB125" s="275"/>
      <c r="BC125" s="275"/>
      <c r="BD125" s="275"/>
      <c r="BE125" s="275"/>
      <c r="BF125" s="275"/>
      <c r="BG125" s="275"/>
      <c r="BH125" s="275"/>
      <c r="BI125" s="275"/>
      <c r="BJ125" s="275"/>
    </row>
    <row r="126" spans="1:62">
      <c r="A126" s="595"/>
      <c r="B126" s="598"/>
      <c r="C126" s="599"/>
      <c r="D126" s="11"/>
      <c r="E126" s="1129" t="str">
        <f>'Despesas com Pessoal'!F126</f>
        <v>P109</v>
      </c>
      <c r="F126" s="1253" t="str">
        <f>'Despesas com Pessoal'!G126</f>
        <v>Gerente de Operações</v>
      </c>
      <c r="G126" s="1269" t="s">
        <v>1376</v>
      </c>
      <c r="H126" s="1249">
        <v>1</v>
      </c>
      <c r="I126" s="1250">
        <v>1</v>
      </c>
      <c r="J126" s="1250">
        <f>I126</f>
        <v>1</v>
      </c>
      <c r="K126" s="1250">
        <f t="shared" ref="K126:W127" si="275">J126</f>
        <v>1</v>
      </c>
      <c r="L126" s="1250">
        <f t="shared" si="275"/>
        <v>1</v>
      </c>
      <c r="M126" s="1250">
        <f t="shared" si="275"/>
        <v>1</v>
      </c>
      <c r="N126" s="1250">
        <v>1</v>
      </c>
      <c r="O126" s="1250">
        <f t="shared" si="275"/>
        <v>1</v>
      </c>
      <c r="P126" s="1250">
        <f t="shared" si="275"/>
        <v>1</v>
      </c>
      <c r="Q126" s="1250">
        <f t="shared" si="275"/>
        <v>1</v>
      </c>
      <c r="R126" s="1250">
        <f t="shared" si="275"/>
        <v>1</v>
      </c>
      <c r="S126" s="1250">
        <f t="shared" si="275"/>
        <v>1</v>
      </c>
      <c r="T126" s="1250">
        <f t="shared" si="275"/>
        <v>1</v>
      </c>
      <c r="U126" s="1250">
        <f t="shared" si="275"/>
        <v>1</v>
      </c>
      <c r="V126" s="1250">
        <f t="shared" si="275"/>
        <v>1</v>
      </c>
      <c r="W126" s="1250">
        <f t="shared" si="275"/>
        <v>1</v>
      </c>
      <c r="X126" s="1250">
        <f t="shared" ref="X126:AF127" si="276">W126</f>
        <v>1</v>
      </c>
      <c r="Y126" s="1250">
        <f t="shared" si="276"/>
        <v>1</v>
      </c>
      <c r="Z126" s="1250">
        <f t="shared" si="276"/>
        <v>1</v>
      </c>
      <c r="AA126" s="1250">
        <f t="shared" si="276"/>
        <v>1</v>
      </c>
      <c r="AB126" s="1250">
        <f t="shared" si="276"/>
        <v>1</v>
      </c>
      <c r="AC126" s="1250">
        <f t="shared" si="276"/>
        <v>1</v>
      </c>
      <c r="AD126" s="1250">
        <f t="shared" si="276"/>
        <v>1</v>
      </c>
      <c r="AE126" s="1250">
        <f t="shared" si="276"/>
        <v>1</v>
      </c>
      <c r="AF126" s="1250">
        <f t="shared" si="276"/>
        <v>1</v>
      </c>
      <c r="AG126" s="1250">
        <f t="shared" ref="AG126:AG127" si="277">AF126</f>
        <v>1</v>
      </c>
      <c r="AH126" s="1250">
        <f t="shared" ref="AH126:AH127" si="278">AG126</f>
        <v>1</v>
      </c>
      <c r="AI126" s="1250">
        <f t="shared" ref="AI126:AI127" si="279">AH126</f>
        <v>1</v>
      </c>
      <c r="AJ126" s="1250">
        <f t="shared" ref="AJ126:AJ127" si="280">AI126</f>
        <v>1</v>
      </c>
      <c r="AK126" s="1250">
        <f t="shared" ref="AK126:AK127" si="281">AJ126</f>
        <v>1</v>
      </c>
      <c r="AL126" s="1250">
        <f t="shared" ref="AL126:AL127" si="282">AK126</f>
        <v>1</v>
      </c>
      <c r="AM126" s="1269" t="s">
        <v>1373</v>
      </c>
      <c r="AN126" s="1270">
        <f>MAX(I126:AL126)</f>
        <v>1</v>
      </c>
      <c r="AO126" s="1271" t="s">
        <v>1370</v>
      </c>
      <c r="AP126" s="1270">
        <v>1</v>
      </c>
      <c r="AQ126" s="1269" t="s">
        <v>1374</v>
      </c>
      <c r="AR126" s="1270">
        <f>MAX(I126:AL126)</f>
        <v>1</v>
      </c>
      <c r="AS126" s="275"/>
      <c r="AT126" s="275"/>
      <c r="AU126" s="275"/>
      <c r="AV126" s="275"/>
      <c r="AW126" s="275"/>
      <c r="AX126" s="275"/>
      <c r="AY126" s="275"/>
      <c r="AZ126" s="275"/>
      <c r="BA126" s="275"/>
      <c r="BB126" s="275"/>
      <c r="BC126" s="275"/>
      <c r="BD126" s="275"/>
      <c r="BE126" s="275"/>
      <c r="BF126" s="275"/>
      <c r="BG126" s="275"/>
      <c r="BH126" s="275"/>
      <c r="BI126" s="275"/>
      <c r="BJ126" s="275"/>
    </row>
    <row r="127" spans="1:62">
      <c r="A127" s="595"/>
      <c r="B127" s="598"/>
      <c r="C127" s="599"/>
      <c r="D127" s="11"/>
      <c r="E127" s="1129" t="str">
        <f>'Despesas com Pessoal'!F127</f>
        <v>P135</v>
      </c>
      <c r="F127" s="1132" t="str">
        <f>'Despesas com Pessoal'!G127</f>
        <v>Secretária</v>
      </c>
      <c r="G127" s="1269"/>
      <c r="H127" s="1249"/>
      <c r="I127" s="1272">
        <v>1</v>
      </c>
      <c r="J127" s="1272">
        <f>I127</f>
        <v>1</v>
      </c>
      <c r="K127" s="1272">
        <f t="shared" si="275"/>
        <v>1</v>
      </c>
      <c r="L127" s="1272">
        <f t="shared" si="275"/>
        <v>1</v>
      </c>
      <c r="M127" s="1272">
        <f t="shared" si="275"/>
        <v>1</v>
      </c>
      <c r="N127" s="1272">
        <f t="shared" ref="N127" si="283">M127</f>
        <v>1</v>
      </c>
      <c r="O127" s="1272">
        <f t="shared" si="275"/>
        <v>1</v>
      </c>
      <c r="P127" s="1272">
        <f t="shared" si="275"/>
        <v>1</v>
      </c>
      <c r="Q127" s="1272">
        <f t="shared" si="275"/>
        <v>1</v>
      </c>
      <c r="R127" s="1272">
        <f t="shared" si="275"/>
        <v>1</v>
      </c>
      <c r="S127" s="1272">
        <f t="shared" si="275"/>
        <v>1</v>
      </c>
      <c r="T127" s="1272">
        <f t="shared" si="275"/>
        <v>1</v>
      </c>
      <c r="U127" s="1272">
        <f t="shared" si="275"/>
        <v>1</v>
      </c>
      <c r="V127" s="1272">
        <f t="shared" si="275"/>
        <v>1</v>
      </c>
      <c r="W127" s="1272">
        <f t="shared" si="275"/>
        <v>1</v>
      </c>
      <c r="X127" s="1272">
        <f t="shared" si="276"/>
        <v>1</v>
      </c>
      <c r="Y127" s="1272">
        <f t="shared" si="276"/>
        <v>1</v>
      </c>
      <c r="Z127" s="1272">
        <f t="shared" si="276"/>
        <v>1</v>
      </c>
      <c r="AA127" s="1272">
        <f t="shared" si="276"/>
        <v>1</v>
      </c>
      <c r="AB127" s="1272">
        <f t="shared" si="276"/>
        <v>1</v>
      </c>
      <c r="AC127" s="1272">
        <f t="shared" si="276"/>
        <v>1</v>
      </c>
      <c r="AD127" s="1272">
        <f t="shared" si="276"/>
        <v>1</v>
      </c>
      <c r="AE127" s="1272">
        <f t="shared" si="276"/>
        <v>1</v>
      </c>
      <c r="AF127" s="1272">
        <f t="shared" si="276"/>
        <v>1</v>
      </c>
      <c r="AG127" s="1272">
        <f t="shared" si="277"/>
        <v>1</v>
      </c>
      <c r="AH127" s="1272">
        <f t="shared" si="278"/>
        <v>1</v>
      </c>
      <c r="AI127" s="1272">
        <f t="shared" si="279"/>
        <v>1</v>
      </c>
      <c r="AJ127" s="1272">
        <f t="shared" si="280"/>
        <v>1</v>
      </c>
      <c r="AK127" s="1272">
        <f t="shared" si="281"/>
        <v>1</v>
      </c>
      <c r="AL127" s="1272">
        <f t="shared" si="282"/>
        <v>1</v>
      </c>
      <c r="AM127" s="1269" t="s">
        <v>1369</v>
      </c>
      <c r="AN127" s="1270">
        <f>MAX(I127:AL127)</f>
        <v>1</v>
      </c>
      <c r="AO127" s="1271" t="s">
        <v>1370</v>
      </c>
      <c r="AP127" s="1270"/>
      <c r="AQ127" s="1271" t="s">
        <v>1371</v>
      </c>
      <c r="AR127" s="1270">
        <f>MAX(I127:AL127)</f>
        <v>1</v>
      </c>
      <c r="AS127" s="275"/>
      <c r="AT127" s="275"/>
      <c r="AU127" s="275"/>
      <c r="AV127" s="275"/>
      <c r="AW127" s="275"/>
      <c r="AX127" s="275"/>
      <c r="AY127" s="275"/>
      <c r="AZ127" s="275"/>
      <c r="BA127" s="275"/>
      <c r="BB127" s="275"/>
      <c r="BC127" s="275"/>
      <c r="BD127" s="275"/>
      <c r="BE127" s="275"/>
      <c r="BF127" s="275"/>
      <c r="BG127" s="275"/>
      <c r="BH127" s="275"/>
      <c r="BI127" s="275"/>
      <c r="BJ127" s="275"/>
    </row>
    <row r="128" spans="1:62">
      <c r="A128" s="595"/>
      <c r="B128" s="598"/>
      <c r="C128" s="599"/>
      <c r="D128" s="12" t="s">
        <v>1378</v>
      </c>
      <c r="E128" s="1129"/>
      <c r="F128" s="1126" t="s">
        <v>849</v>
      </c>
      <c r="G128" s="1273"/>
      <c r="H128" s="1254"/>
      <c r="I128" s="1272"/>
      <c r="J128" s="1250"/>
      <c r="K128" s="1250"/>
      <c r="L128" s="1250"/>
      <c r="M128" s="1250"/>
      <c r="N128" s="1250"/>
      <c r="O128" s="1250"/>
      <c r="P128" s="1250"/>
      <c r="Q128" s="1250"/>
      <c r="R128" s="1250"/>
      <c r="S128" s="1250"/>
      <c r="T128" s="1250"/>
      <c r="U128" s="1250"/>
      <c r="V128" s="1250"/>
      <c r="W128" s="1250"/>
      <c r="X128" s="1250"/>
      <c r="Y128" s="1250"/>
      <c r="Z128" s="1250"/>
      <c r="AA128" s="1250"/>
      <c r="AB128" s="1250"/>
      <c r="AC128" s="1250"/>
      <c r="AD128" s="1250"/>
      <c r="AE128" s="1250"/>
      <c r="AF128" s="1250"/>
      <c r="AG128" s="1250"/>
      <c r="AH128" s="1250"/>
      <c r="AI128" s="1250"/>
      <c r="AJ128" s="1250"/>
      <c r="AK128" s="1250"/>
      <c r="AL128" s="1250"/>
      <c r="AM128" s="1273"/>
      <c r="AN128" s="1274"/>
      <c r="AO128" s="1273"/>
      <c r="AP128" s="1274"/>
      <c r="AQ128" s="1273"/>
      <c r="AR128" s="1270"/>
      <c r="AS128" s="275"/>
      <c r="AT128" s="275"/>
      <c r="AU128" s="275"/>
      <c r="AV128" s="275"/>
      <c r="AW128" s="275"/>
      <c r="AX128" s="275"/>
      <c r="AY128" s="275"/>
      <c r="AZ128" s="275"/>
      <c r="BA128" s="275"/>
      <c r="BB128" s="275"/>
      <c r="BC128" s="275"/>
      <c r="BD128" s="275"/>
      <c r="BE128" s="275"/>
      <c r="BF128" s="275"/>
      <c r="BG128" s="275"/>
      <c r="BH128" s="275"/>
      <c r="BI128" s="275"/>
      <c r="BJ128" s="275"/>
    </row>
    <row r="129" spans="1:62">
      <c r="A129" s="595"/>
      <c r="B129" s="598"/>
      <c r="C129" s="599"/>
      <c r="D129" s="12"/>
      <c r="E129" s="1129" t="str">
        <f>'Despesas com Pessoal'!F129</f>
        <v>P140</v>
      </c>
      <c r="F129" s="1247" t="str">
        <f>'Despesas com Pessoal'!G129</f>
        <v>Supervisor de CCO</v>
      </c>
      <c r="G129" s="1269"/>
      <c r="H129" s="1249"/>
      <c r="I129" s="1272">
        <v>1</v>
      </c>
      <c r="J129" s="1272">
        <v>1</v>
      </c>
      <c r="K129" s="1272">
        <v>1</v>
      </c>
      <c r="L129" s="1272">
        <v>1</v>
      </c>
      <c r="M129" s="1272">
        <v>1</v>
      </c>
      <c r="N129" s="1272">
        <v>1</v>
      </c>
      <c r="O129" s="1272">
        <v>1</v>
      </c>
      <c r="P129" s="1272">
        <v>1</v>
      </c>
      <c r="Q129" s="1272">
        <v>1</v>
      </c>
      <c r="R129" s="1272">
        <v>1</v>
      </c>
      <c r="S129" s="1272">
        <v>1</v>
      </c>
      <c r="T129" s="1272">
        <v>1</v>
      </c>
      <c r="U129" s="1272">
        <v>1</v>
      </c>
      <c r="V129" s="1272">
        <v>1</v>
      </c>
      <c r="W129" s="1272">
        <v>1</v>
      </c>
      <c r="X129" s="1272">
        <v>1</v>
      </c>
      <c r="Y129" s="1272">
        <v>1</v>
      </c>
      <c r="Z129" s="1272">
        <v>1</v>
      </c>
      <c r="AA129" s="1272">
        <v>1</v>
      </c>
      <c r="AB129" s="1272">
        <v>1</v>
      </c>
      <c r="AC129" s="1272">
        <v>1</v>
      </c>
      <c r="AD129" s="1272">
        <v>1</v>
      </c>
      <c r="AE129" s="1272">
        <v>1</v>
      </c>
      <c r="AF129" s="1272">
        <v>1</v>
      </c>
      <c r="AG129" s="1272">
        <v>1</v>
      </c>
      <c r="AH129" s="1272">
        <v>1</v>
      </c>
      <c r="AI129" s="1272">
        <v>1</v>
      </c>
      <c r="AJ129" s="1272">
        <v>1</v>
      </c>
      <c r="AK129" s="1272">
        <v>1</v>
      </c>
      <c r="AL129" s="1272">
        <v>1</v>
      </c>
      <c r="AM129" s="1269"/>
      <c r="AN129" s="1270"/>
      <c r="AO129" s="1271" t="s">
        <v>1370</v>
      </c>
      <c r="AP129" s="1270">
        <v>1</v>
      </c>
      <c r="AQ129" s="1269" t="s">
        <v>1371</v>
      </c>
      <c r="AR129" s="1270">
        <v>5</v>
      </c>
      <c r="AS129" s="275"/>
      <c r="AT129" s="275"/>
      <c r="AU129" s="275"/>
      <c r="AV129" s="275"/>
      <c r="AW129" s="275"/>
      <c r="AX129" s="275"/>
      <c r="AY129" s="275"/>
      <c r="AZ129" s="275"/>
      <c r="BA129" s="275"/>
      <c r="BB129" s="275"/>
      <c r="BC129" s="275"/>
      <c r="BD129" s="275"/>
      <c r="BE129" s="275"/>
      <c r="BF129" s="275"/>
      <c r="BG129" s="275"/>
      <c r="BH129" s="275"/>
      <c r="BI129" s="275"/>
      <c r="BJ129" s="275"/>
    </row>
    <row r="130" spans="1:62">
      <c r="A130" s="595"/>
      <c r="B130" s="598"/>
      <c r="C130" s="599"/>
      <c r="D130" s="12"/>
      <c r="E130" s="1129" t="str">
        <f>'Despesas com Pessoal'!F130</f>
        <v>P123</v>
      </c>
      <c r="F130" s="1120" t="str">
        <f>'Despesas com Pessoal'!G130</f>
        <v>Operador de CCO</v>
      </c>
      <c r="G130" s="1269"/>
      <c r="H130" s="1249"/>
      <c r="I130" s="1272">
        <v>5</v>
      </c>
      <c r="J130" s="1272">
        <v>5</v>
      </c>
      <c r="K130" s="1272">
        <v>5</v>
      </c>
      <c r="L130" s="1272">
        <v>5</v>
      </c>
      <c r="M130" s="1272">
        <v>5</v>
      </c>
      <c r="N130" s="1272">
        <v>5</v>
      </c>
      <c r="O130" s="1272">
        <v>5</v>
      </c>
      <c r="P130" s="1272">
        <v>5</v>
      </c>
      <c r="Q130" s="1272">
        <v>5</v>
      </c>
      <c r="R130" s="1272">
        <v>5</v>
      </c>
      <c r="S130" s="1272">
        <v>5</v>
      </c>
      <c r="T130" s="1272">
        <v>5</v>
      </c>
      <c r="U130" s="1272">
        <v>5</v>
      </c>
      <c r="V130" s="1272">
        <v>5</v>
      </c>
      <c r="W130" s="1272">
        <v>5</v>
      </c>
      <c r="X130" s="1272">
        <v>5</v>
      </c>
      <c r="Y130" s="1272">
        <v>5</v>
      </c>
      <c r="Z130" s="1272">
        <v>5</v>
      </c>
      <c r="AA130" s="1272">
        <v>5</v>
      </c>
      <c r="AB130" s="1272">
        <v>5</v>
      </c>
      <c r="AC130" s="1272">
        <v>5</v>
      </c>
      <c r="AD130" s="1272">
        <v>5</v>
      </c>
      <c r="AE130" s="1272">
        <v>5</v>
      </c>
      <c r="AF130" s="1272">
        <v>5</v>
      </c>
      <c r="AG130" s="1272">
        <v>5</v>
      </c>
      <c r="AH130" s="1272">
        <v>5</v>
      </c>
      <c r="AI130" s="1272">
        <v>5</v>
      </c>
      <c r="AJ130" s="1272">
        <v>5</v>
      </c>
      <c r="AK130" s="1272">
        <v>5</v>
      </c>
      <c r="AL130" s="1272">
        <v>5</v>
      </c>
      <c r="AM130" s="1269"/>
      <c r="AN130" s="1270"/>
      <c r="AO130" s="1271"/>
      <c r="AP130" s="1270"/>
      <c r="AQ130" s="1271"/>
      <c r="AR130" s="1270"/>
      <c r="AS130" s="275"/>
      <c r="AT130" s="275"/>
      <c r="AU130" s="275"/>
      <c r="AV130" s="275"/>
      <c r="AW130" s="275"/>
      <c r="AX130" s="275"/>
      <c r="AY130" s="275"/>
      <c r="AZ130" s="275"/>
      <c r="BA130" s="275"/>
      <c r="BB130" s="275"/>
      <c r="BC130" s="275"/>
      <c r="BD130" s="275"/>
      <c r="BE130" s="275"/>
      <c r="BF130" s="275"/>
      <c r="BG130" s="275"/>
      <c r="BH130" s="275"/>
      <c r="BI130" s="275"/>
      <c r="BJ130" s="275"/>
    </row>
    <row r="131" spans="1:62">
      <c r="A131" s="595"/>
      <c r="B131" s="598"/>
      <c r="C131" s="599"/>
      <c r="D131" s="12"/>
      <c r="E131" s="1129" t="str">
        <f>'Despesas com Pessoal'!F131</f>
        <v>P035</v>
      </c>
      <c r="F131" s="1120" t="str">
        <f>'Despesas com Pessoal'!G131</f>
        <v>Atendente</v>
      </c>
      <c r="G131" s="1269"/>
      <c r="H131" s="1249"/>
      <c r="I131" s="1272">
        <v>9</v>
      </c>
      <c r="J131" s="1272">
        <v>9</v>
      </c>
      <c r="K131" s="1272">
        <v>9</v>
      </c>
      <c r="L131" s="1272">
        <v>9</v>
      </c>
      <c r="M131" s="1272">
        <v>9</v>
      </c>
      <c r="N131" s="1272">
        <v>9</v>
      </c>
      <c r="O131" s="1272">
        <v>9</v>
      </c>
      <c r="P131" s="1272">
        <v>9</v>
      </c>
      <c r="Q131" s="1272">
        <v>9</v>
      </c>
      <c r="R131" s="1272">
        <v>9</v>
      </c>
      <c r="S131" s="1272">
        <v>9</v>
      </c>
      <c r="T131" s="1272">
        <v>9</v>
      </c>
      <c r="U131" s="1272">
        <v>9</v>
      </c>
      <c r="V131" s="1272">
        <v>9</v>
      </c>
      <c r="W131" s="1272">
        <v>9</v>
      </c>
      <c r="X131" s="1272">
        <v>9</v>
      </c>
      <c r="Y131" s="1272">
        <v>9</v>
      </c>
      <c r="Z131" s="1272">
        <v>9</v>
      </c>
      <c r="AA131" s="1272">
        <v>9</v>
      </c>
      <c r="AB131" s="1272">
        <v>9</v>
      </c>
      <c r="AC131" s="1272">
        <v>9</v>
      </c>
      <c r="AD131" s="1272">
        <v>9</v>
      </c>
      <c r="AE131" s="1272">
        <v>9</v>
      </c>
      <c r="AF131" s="1272">
        <v>9</v>
      </c>
      <c r="AG131" s="1272">
        <v>9</v>
      </c>
      <c r="AH131" s="1272">
        <v>9</v>
      </c>
      <c r="AI131" s="1272">
        <v>9</v>
      </c>
      <c r="AJ131" s="1272">
        <v>9</v>
      </c>
      <c r="AK131" s="1272">
        <v>9</v>
      </c>
      <c r="AL131" s="1272">
        <v>9</v>
      </c>
      <c r="AM131" s="1269"/>
      <c r="AN131" s="1270"/>
      <c r="AO131" s="1271" t="s">
        <v>1370</v>
      </c>
      <c r="AP131" s="1270"/>
      <c r="AQ131" s="1271" t="s">
        <v>1371</v>
      </c>
      <c r="AR131" s="1270"/>
      <c r="AS131" s="275"/>
      <c r="AT131" s="275"/>
      <c r="AU131" s="275"/>
      <c r="AV131" s="275"/>
      <c r="AW131" s="275"/>
      <c r="AX131" s="275"/>
      <c r="AY131" s="275"/>
      <c r="AZ131" s="275"/>
      <c r="BA131" s="275"/>
      <c r="BB131" s="275"/>
      <c r="BC131" s="275"/>
      <c r="BD131" s="275"/>
      <c r="BE131" s="275"/>
      <c r="BF131" s="275"/>
      <c r="BG131" s="275"/>
      <c r="BH131" s="275"/>
      <c r="BI131" s="275"/>
      <c r="BJ131" s="275"/>
    </row>
    <row r="132" spans="1:62">
      <c r="A132" s="595"/>
      <c r="B132" s="598"/>
      <c r="C132" s="599"/>
      <c r="D132" s="13" t="s">
        <v>1379</v>
      </c>
      <c r="E132" s="1129"/>
      <c r="F132" s="1126" t="s">
        <v>854</v>
      </c>
      <c r="G132" s="1273"/>
      <c r="H132" s="1254"/>
      <c r="I132" s="1250"/>
      <c r="J132" s="1250"/>
      <c r="K132" s="1250"/>
      <c r="L132" s="1250"/>
      <c r="M132" s="1250"/>
      <c r="N132" s="1250"/>
      <c r="O132" s="1250"/>
      <c r="P132" s="1250"/>
      <c r="Q132" s="1250"/>
      <c r="R132" s="1250"/>
      <c r="S132" s="1250"/>
      <c r="T132" s="1250"/>
      <c r="U132" s="1250"/>
      <c r="V132" s="1250"/>
      <c r="W132" s="1250"/>
      <c r="X132" s="1250"/>
      <c r="Y132" s="1250"/>
      <c r="Z132" s="1250"/>
      <c r="AA132" s="1250"/>
      <c r="AB132" s="1250"/>
      <c r="AC132" s="1250"/>
      <c r="AD132" s="1250"/>
      <c r="AE132" s="1250"/>
      <c r="AF132" s="1250"/>
      <c r="AG132" s="1250"/>
      <c r="AH132" s="1250"/>
      <c r="AI132" s="1250"/>
      <c r="AJ132" s="1250"/>
      <c r="AK132" s="1250"/>
      <c r="AL132" s="1250"/>
      <c r="AM132" s="1273"/>
      <c r="AN132" s="1274"/>
      <c r="AO132" s="1269"/>
      <c r="AP132" s="1270"/>
      <c r="AQ132" s="1273"/>
      <c r="AR132" s="1270">
        <f>MAX(I132:AL132)</f>
        <v>0</v>
      </c>
      <c r="AS132" s="275"/>
      <c r="AT132" s="275"/>
      <c r="AU132" s="275"/>
      <c r="AV132" s="275"/>
      <c r="AW132" s="275"/>
      <c r="AX132" s="275"/>
      <c r="AY132" s="275"/>
      <c r="AZ132" s="275"/>
      <c r="BA132" s="275"/>
      <c r="BB132" s="275"/>
      <c r="BC132" s="275"/>
      <c r="BD132" s="275"/>
      <c r="BE132" s="275"/>
      <c r="BF132" s="275"/>
      <c r="BG132" s="275"/>
      <c r="BH132" s="275"/>
      <c r="BI132" s="275"/>
      <c r="BJ132" s="275"/>
    </row>
    <row r="133" spans="1:62">
      <c r="A133" s="595"/>
      <c r="B133" s="598"/>
      <c r="C133" s="599"/>
      <c r="D133" s="13"/>
      <c r="E133" s="1129" t="str">
        <f>'Despesas com Pessoal'!F133</f>
        <v>P143</v>
      </c>
      <c r="F133" s="1120" t="str">
        <f>'Despesas com Pessoal'!G133</f>
        <v>Supervisor de Tráfego</v>
      </c>
      <c r="G133" s="1269" t="s">
        <v>1376</v>
      </c>
      <c r="H133" s="1249">
        <v>1</v>
      </c>
      <c r="I133" s="1272">
        <v>1</v>
      </c>
      <c r="J133" s="1272">
        <v>1</v>
      </c>
      <c r="K133" s="1272">
        <v>1</v>
      </c>
      <c r="L133" s="1272">
        <v>1</v>
      </c>
      <c r="M133" s="1272">
        <v>1</v>
      </c>
      <c r="N133" s="1272">
        <v>1</v>
      </c>
      <c r="O133" s="1272">
        <v>1</v>
      </c>
      <c r="P133" s="1272">
        <v>1</v>
      </c>
      <c r="Q133" s="1272">
        <v>1</v>
      </c>
      <c r="R133" s="1272">
        <v>1</v>
      </c>
      <c r="S133" s="1272">
        <v>1</v>
      </c>
      <c r="T133" s="1272">
        <v>1</v>
      </c>
      <c r="U133" s="1272">
        <v>1</v>
      </c>
      <c r="V133" s="1272">
        <v>1</v>
      </c>
      <c r="W133" s="1272">
        <v>1</v>
      </c>
      <c r="X133" s="1272">
        <v>1</v>
      </c>
      <c r="Y133" s="1272">
        <v>1</v>
      </c>
      <c r="Z133" s="1272">
        <v>1</v>
      </c>
      <c r="AA133" s="1272">
        <v>1</v>
      </c>
      <c r="AB133" s="1272">
        <v>1</v>
      </c>
      <c r="AC133" s="1272">
        <v>1</v>
      </c>
      <c r="AD133" s="1272">
        <v>1</v>
      </c>
      <c r="AE133" s="1272">
        <v>1</v>
      </c>
      <c r="AF133" s="1272">
        <v>1</v>
      </c>
      <c r="AG133" s="1272">
        <v>1</v>
      </c>
      <c r="AH133" s="1272">
        <v>1</v>
      </c>
      <c r="AI133" s="1272">
        <v>1</v>
      </c>
      <c r="AJ133" s="1272">
        <v>1</v>
      </c>
      <c r="AK133" s="1272">
        <v>1</v>
      </c>
      <c r="AL133" s="1272">
        <v>1</v>
      </c>
      <c r="AM133" s="1269"/>
      <c r="AN133" s="1270"/>
      <c r="AO133" s="1271"/>
      <c r="AP133" s="1270"/>
      <c r="AQ133" s="1271"/>
      <c r="AR133" s="1270"/>
      <c r="AS133" s="275"/>
      <c r="AT133" s="275"/>
      <c r="AU133" s="275"/>
      <c r="AV133" s="275"/>
      <c r="AW133" s="275"/>
      <c r="AX133" s="275"/>
      <c r="AY133" s="275"/>
      <c r="AZ133" s="275"/>
      <c r="BA133" s="275"/>
      <c r="BB133" s="275"/>
      <c r="BC133" s="275"/>
      <c r="BD133" s="275"/>
      <c r="BE133" s="275"/>
      <c r="BF133" s="275"/>
      <c r="BG133" s="275"/>
      <c r="BH133" s="275"/>
      <c r="BI133" s="275"/>
      <c r="BJ133" s="275"/>
    </row>
    <row r="134" spans="1:62">
      <c r="A134" s="595"/>
      <c r="B134" s="598"/>
      <c r="C134" s="599"/>
      <c r="D134" s="13"/>
      <c r="E134" s="1129" t="str">
        <f>'Despesas com Pessoal'!F134</f>
        <v>P118</v>
      </c>
      <c r="F134" s="1120" t="str">
        <f>'Despesas com Pessoal'!G134</f>
        <v>Motorista de Veículo Leve I</v>
      </c>
      <c r="G134" s="1269"/>
      <c r="H134" s="1249"/>
      <c r="I134" s="1272"/>
      <c r="J134" s="1272">
        <v>0</v>
      </c>
      <c r="K134" s="1272">
        <v>0</v>
      </c>
      <c r="L134" s="1272">
        <v>0</v>
      </c>
      <c r="M134" s="1272">
        <v>0</v>
      </c>
      <c r="N134" s="1272">
        <v>0</v>
      </c>
      <c r="O134" s="1272">
        <v>0</v>
      </c>
      <c r="P134" s="1272">
        <v>0</v>
      </c>
      <c r="Q134" s="1272">
        <v>0</v>
      </c>
      <c r="R134" s="1272">
        <v>0</v>
      </c>
      <c r="S134" s="1272">
        <v>0</v>
      </c>
      <c r="T134" s="1272">
        <v>0</v>
      </c>
      <c r="U134" s="1272">
        <v>0</v>
      </c>
      <c r="V134" s="1272">
        <v>0</v>
      </c>
      <c r="W134" s="1272">
        <v>0</v>
      </c>
      <c r="X134" s="1272">
        <v>0</v>
      </c>
      <c r="Y134" s="1272">
        <v>0</v>
      </c>
      <c r="Z134" s="1272">
        <v>0</v>
      </c>
      <c r="AA134" s="1272">
        <v>0</v>
      </c>
      <c r="AB134" s="1272">
        <v>0</v>
      </c>
      <c r="AC134" s="1272">
        <v>0</v>
      </c>
      <c r="AD134" s="1272">
        <v>0</v>
      </c>
      <c r="AE134" s="1272">
        <v>0</v>
      </c>
      <c r="AF134" s="1272">
        <v>0</v>
      </c>
      <c r="AG134" s="1272">
        <v>0</v>
      </c>
      <c r="AH134" s="1272">
        <v>0</v>
      </c>
      <c r="AI134" s="1272">
        <v>0</v>
      </c>
      <c r="AJ134" s="1272">
        <v>0</v>
      </c>
      <c r="AK134" s="1272">
        <v>0</v>
      </c>
      <c r="AL134" s="1272">
        <v>0</v>
      </c>
      <c r="AM134" s="1269"/>
      <c r="AN134" s="1270"/>
      <c r="AO134" s="1271"/>
      <c r="AP134" s="1270"/>
      <c r="AQ134" s="1271"/>
      <c r="AR134" s="1270"/>
      <c r="AS134" s="275"/>
      <c r="AT134" s="275"/>
      <c r="AU134" s="275"/>
      <c r="AV134" s="275"/>
      <c r="AW134" s="275"/>
      <c r="AX134" s="275"/>
      <c r="AY134" s="275"/>
      <c r="AZ134" s="275"/>
      <c r="BA134" s="275"/>
      <c r="BB134" s="275"/>
      <c r="BC134" s="275"/>
      <c r="BD134" s="275"/>
      <c r="BE134" s="275"/>
      <c r="BF134" s="275"/>
      <c r="BG134" s="275"/>
      <c r="BH134" s="275"/>
      <c r="BI134" s="275"/>
      <c r="BJ134" s="275"/>
    </row>
    <row r="135" spans="1:62">
      <c r="A135" s="595"/>
      <c r="B135" s="598"/>
      <c r="C135" s="599"/>
      <c r="D135" s="13"/>
      <c r="E135" s="1130" t="str">
        <f>'Despesas com Pessoal'!F135</f>
        <v>P200</v>
      </c>
      <c r="F135" s="1120" t="str">
        <f>'Despesas com Pessoal'!G135</f>
        <v>Inspetor de Tráfego</v>
      </c>
      <c r="G135" s="1269"/>
      <c r="H135" s="1249"/>
      <c r="I135" s="1272">
        <v>8.82</v>
      </c>
      <c r="J135" s="1272">
        <v>8.82</v>
      </c>
      <c r="K135" s="1272">
        <v>8.82</v>
      </c>
      <c r="L135" s="1272">
        <v>8.82</v>
      </c>
      <c r="M135" s="1272">
        <v>8.82</v>
      </c>
      <c r="N135" s="1272">
        <v>8.82</v>
      </c>
      <c r="O135" s="1272">
        <v>8.82</v>
      </c>
      <c r="P135" s="1272">
        <v>8.82</v>
      </c>
      <c r="Q135" s="1272">
        <v>8.82</v>
      </c>
      <c r="R135" s="1272">
        <v>8.82</v>
      </c>
      <c r="S135" s="1272">
        <v>8.82</v>
      </c>
      <c r="T135" s="1272">
        <v>8.82</v>
      </c>
      <c r="U135" s="1272">
        <v>8.82</v>
      </c>
      <c r="V135" s="1272">
        <v>8.82</v>
      </c>
      <c r="W135" s="1272">
        <v>8.82</v>
      </c>
      <c r="X135" s="1272">
        <v>8.82</v>
      </c>
      <c r="Y135" s="1272">
        <v>8.82</v>
      </c>
      <c r="Z135" s="1272">
        <v>8.82</v>
      </c>
      <c r="AA135" s="1272">
        <v>8.82</v>
      </c>
      <c r="AB135" s="1272">
        <v>8.82</v>
      </c>
      <c r="AC135" s="1272">
        <v>8.82</v>
      </c>
      <c r="AD135" s="1272">
        <v>8.82</v>
      </c>
      <c r="AE135" s="1272">
        <v>8.82</v>
      </c>
      <c r="AF135" s="1272">
        <v>8.82</v>
      </c>
      <c r="AG135" s="1272">
        <v>8.82</v>
      </c>
      <c r="AH135" s="1272">
        <v>8.82</v>
      </c>
      <c r="AI135" s="1272">
        <v>8.82</v>
      </c>
      <c r="AJ135" s="1272">
        <v>8.82</v>
      </c>
      <c r="AK135" s="1272">
        <v>8.82</v>
      </c>
      <c r="AL135" s="1272">
        <v>8.82</v>
      </c>
      <c r="AM135" s="1269"/>
      <c r="AN135" s="1270"/>
      <c r="AO135" s="1271"/>
      <c r="AP135" s="1270"/>
      <c r="AQ135" s="1271"/>
      <c r="AR135" s="1270"/>
      <c r="AS135" s="275"/>
      <c r="AT135" s="275"/>
      <c r="AU135" s="275"/>
      <c r="AV135" s="275"/>
      <c r="AW135" s="275"/>
      <c r="AX135" s="275"/>
      <c r="AY135" s="275"/>
      <c r="AZ135" s="275"/>
      <c r="BA135" s="275"/>
      <c r="BB135" s="275"/>
      <c r="BC135" s="275"/>
      <c r="BD135" s="275"/>
      <c r="BE135" s="275"/>
      <c r="BF135" s="275"/>
      <c r="BG135" s="275"/>
      <c r="BH135" s="275"/>
      <c r="BI135" s="275"/>
      <c r="BJ135" s="275"/>
    </row>
    <row r="136" spans="1:62">
      <c r="A136" s="595"/>
      <c r="B136" s="598"/>
      <c r="C136" s="599"/>
      <c r="D136" s="13"/>
      <c r="E136" s="1129" t="str">
        <f>'Despesas com Pessoal'!F136</f>
        <v>P047</v>
      </c>
      <c r="F136" s="1120" t="str">
        <f>'Despesas com Pessoal'!G136</f>
        <v>Auxiliar de Pista</v>
      </c>
      <c r="G136" s="1269"/>
      <c r="H136" s="1249"/>
      <c r="I136" s="1272">
        <v>8.82</v>
      </c>
      <c r="J136" s="1272">
        <v>8.82</v>
      </c>
      <c r="K136" s="1272">
        <v>8.82</v>
      </c>
      <c r="L136" s="1272">
        <v>8.82</v>
      </c>
      <c r="M136" s="1272">
        <v>8.82</v>
      </c>
      <c r="N136" s="1272">
        <v>8.82</v>
      </c>
      <c r="O136" s="1272">
        <v>8.82</v>
      </c>
      <c r="P136" s="1272">
        <v>8.82</v>
      </c>
      <c r="Q136" s="1272">
        <v>8.82</v>
      </c>
      <c r="R136" s="1272">
        <v>8.82</v>
      </c>
      <c r="S136" s="1272">
        <v>8.82</v>
      </c>
      <c r="T136" s="1272">
        <v>8.82</v>
      </c>
      <c r="U136" s="1272">
        <v>8.82</v>
      </c>
      <c r="V136" s="1272">
        <v>8.82</v>
      </c>
      <c r="W136" s="1272">
        <v>8.82</v>
      </c>
      <c r="X136" s="1272">
        <v>8.82</v>
      </c>
      <c r="Y136" s="1272">
        <v>8.82</v>
      </c>
      <c r="Z136" s="1272">
        <v>8.82</v>
      </c>
      <c r="AA136" s="1272">
        <v>8.82</v>
      </c>
      <c r="AB136" s="1272">
        <v>8.82</v>
      </c>
      <c r="AC136" s="1272">
        <v>8.82</v>
      </c>
      <c r="AD136" s="1272">
        <v>8.82</v>
      </c>
      <c r="AE136" s="1272">
        <v>8.82</v>
      </c>
      <c r="AF136" s="1272">
        <v>8.82</v>
      </c>
      <c r="AG136" s="1272">
        <v>8.82</v>
      </c>
      <c r="AH136" s="1272">
        <v>8.82</v>
      </c>
      <c r="AI136" s="1272">
        <v>8.82</v>
      </c>
      <c r="AJ136" s="1272">
        <v>8.82</v>
      </c>
      <c r="AK136" s="1272">
        <v>8.82</v>
      </c>
      <c r="AL136" s="1272">
        <v>8.82</v>
      </c>
      <c r="AM136" s="1269"/>
      <c r="AN136" s="1270"/>
      <c r="AO136" s="1271"/>
      <c r="AP136" s="1270"/>
      <c r="AQ136" s="1271"/>
      <c r="AR136" s="1270"/>
      <c r="AS136" s="275"/>
      <c r="AT136" s="275"/>
      <c r="AU136" s="275"/>
      <c r="AV136" s="275"/>
      <c r="AW136" s="275"/>
      <c r="AX136" s="275"/>
      <c r="AY136" s="275"/>
      <c r="AZ136" s="275"/>
      <c r="BA136" s="275"/>
      <c r="BB136" s="275"/>
      <c r="BC136" s="275"/>
      <c r="BD136" s="275"/>
      <c r="BE136" s="275"/>
      <c r="BF136" s="275"/>
      <c r="BG136" s="275"/>
      <c r="BH136" s="275"/>
      <c r="BI136" s="275"/>
      <c r="BJ136" s="275"/>
    </row>
    <row r="137" spans="1:62">
      <c r="A137" s="595"/>
      <c r="B137" s="598"/>
      <c r="C137" s="599"/>
      <c r="D137" s="14" t="s">
        <v>1380</v>
      </c>
      <c r="E137" s="1132"/>
      <c r="F137" s="1126" t="s">
        <v>860</v>
      </c>
      <c r="G137" s="1273"/>
      <c r="H137" s="1254"/>
      <c r="I137" s="1272"/>
      <c r="J137" s="1250"/>
      <c r="K137" s="1250"/>
      <c r="L137" s="1250"/>
      <c r="M137" s="1250"/>
      <c r="N137" s="1250"/>
      <c r="O137" s="1250"/>
      <c r="P137" s="1250"/>
      <c r="Q137" s="1250"/>
      <c r="R137" s="1250"/>
      <c r="S137" s="1250"/>
      <c r="T137" s="1250"/>
      <c r="U137" s="1250"/>
      <c r="V137" s="1250"/>
      <c r="W137" s="1250"/>
      <c r="X137" s="1250"/>
      <c r="Y137" s="1250"/>
      <c r="Z137" s="1250"/>
      <c r="AA137" s="1250"/>
      <c r="AB137" s="1250"/>
      <c r="AC137" s="1250"/>
      <c r="AD137" s="1250"/>
      <c r="AE137" s="1250"/>
      <c r="AF137" s="1250"/>
      <c r="AG137" s="1250"/>
      <c r="AH137" s="1250"/>
      <c r="AI137" s="1250"/>
      <c r="AJ137" s="1250"/>
      <c r="AK137" s="1250"/>
      <c r="AL137" s="1250"/>
      <c r="AM137" s="1273"/>
      <c r="AN137" s="1270"/>
      <c r="AO137" s="1273"/>
      <c r="AP137" s="1270"/>
      <c r="AQ137" s="1273"/>
      <c r="AR137" s="1270">
        <f>MAX(I137:AL137)</f>
        <v>0</v>
      </c>
      <c r="AS137" s="275"/>
      <c r="AT137" s="275"/>
      <c r="AU137" s="275"/>
      <c r="AV137" s="275"/>
      <c r="AW137" s="275"/>
      <c r="AX137" s="275"/>
      <c r="AY137" s="275"/>
      <c r="AZ137" s="275"/>
      <c r="BA137" s="275"/>
      <c r="BB137" s="275"/>
      <c r="BC137" s="275"/>
      <c r="BD137" s="275"/>
      <c r="BE137" s="275"/>
      <c r="BF137" s="275"/>
      <c r="BG137" s="275"/>
      <c r="BH137" s="275"/>
      <c r="BI137" s="275"/>
      <c r="BJ137" s="275"/>
    </row>
    <row r="138" spans="1:62">
      <c r="A138" s="595"/>
      <c r="B138" s="598"/>
      <c r="C138" s="599"/>
      <c r="D138" s="14"/>
      <c r="E138" s="1130" t="str">
        <f>'Despesas com Pessoal'!F138</f>
        <v>P141</v>
      </c>
      <c r="F138" s="1120" t="str">
        <f>'Despesas com Pessoal'!G138</f>
        <v>Supervisor de Pedágio</v>
      </c>
      <c r="G138" s="1269"/>
      <c r="H138" s="1249"/>
      <c r="I138" s="1272"/>
      <c r="J138" s="1272"/>
      <c r="K138" s="1272"/>
      <c r="L138" s="1272"/>
      <c r="M138" s="1272"/>
      <c r="N138" s="1272"/>
      <c r="O138" s="1272"/>
      <c r="P138" s="1272"/>
      <c r="Q138" s="1272"/>
      <c r="R138" s="1272"/>
      <c r="S138" s="1272"/>
      <c r="T138" s="1272"/>
      <c r="U138" s="1272"/>
      <c r="V138" s="1272"/>
      <c r="W138" s="1272"/>
      <c r="X138" s="1272"/>
      <c r="Y138" s="1272"/>
      <c r="Z138" s="1272"/>
      <c r="AA138" s="1272"/>
      <c r="AB138" s="1272"/>
      <c r="AC138" s="1272"/>
      <c r="AD138" s="1272"/>
      <c r="AE138" s="1272"/>
      <c r="AF138" s="1272"/>
      <c r="AG138" s="1272"/>
      <c r="AH138" s="1272"/>
      <c r="AI138" s="1272"/>
      <c r="AJ138" s="1272"/>
      <c r="AK138" s="1272"/>
      <c r="AL138" s="1272"/>
      <c r="AM138" s="1269" t="s">
        <v>1369</v>
      </c>
      <c r="AN138" s="1270"/>
      <c r="AO138" s="1271" t="s">
        <v>1370</v>
      </c>
      <c r="AP138" s="1270"/>
      <c r="AQ138" s="1269" t="s">
        <v>1371</v>
      </c>
      <c r="AR138" s="1270"/>
      <c r="AS138" s="275"/>
      <c r="AT138" s="275"/>
      <c r="AU138" s="275"/>
      <c r="AV138" s="275"/>
      <c r="AW138" s="275"/>
      <c r="AX138" s="275"/>
      <c r="AY138" s="275"/>
      <c r="AZ138" s="275"/>
      <c r="BA138" s="275"/>
      <c r="BB138" s="275"/>
      <c r="BC138" s="275"/>
      <c r="BD138" s="275"/>
      <c r="BE138" s="275"/>
      <c r="BF138" s="275"/>
      <c r="BG138" s="275"/>
      <c r="BH138" s="275"/>
      <c r="BI138" s="275"/>
      <c r="BJ138" s="275"/>
    </row>
    <row r="139" spans="1:62">
      <c r="A139" s="595"/>
      <c r="B139" s="598"/>
      <c r="C139" s="599"/>
      <c r="D139" s="14"/>
      <c r="E139" s="1129" t="str">
        <f>'Despesas com Pessoal'!F139</f>
        <v>P007</v>
      </c>
      <c r="F139" s="1120" t="str">
        <f>'Despesas com Pessoal'!G139</f>
        <v>Agente Líder</v>
      </c>
      <c r="G139" s="1269"/>
      <c r="H139" s="1249"/>
      <c r="I139" s="1272">
        <v>0</v>
      </c>
      <c r="J139" s="1272">
        <v>0</v>
      </c>
      <c r="K139" s="1272">
        <v>0</v>
      </c>
      <c r="L139" s="1272">
        <v>0</v>
      </c>
      <c r="M139" s="1272">
        <v>0</v>
      </c>
      <c r="N139" s="1272">
        <v>0</v>
      </c>
      <c r="O139" s="1272">
        <v>0</v>
      </c>
      <c r="P139" s="1272">
        <v>0</v>
      </c>
      <c r="Q139" s="1272">
        <v>0</v>
      </c>
      <c r="R139" s="1272">
        <v>0</v>
      </c>
      <c r="S139" s="1272">
        <v>0</v>
      </c>
      <c r="T139" s="1272">
        <v>0</v>
      </c>
      <c r="U139" s="1272">
        <v>0</v>
      </c>
      <c r="V139" s="1272">
        <v>0</v>
      </c>
      <c r="W139" s="1272">
        <v>0</v>
      </c>
      <c r="X139" s="1272">
        <v>0</v>
      </c>
      <c r="Y139" s="1272">
        <v>0</v>
      </c>
      <c r="Z139" s="1272">
        <v>0</v>
      </c>
      <c r="AA139" s="1272">
        <v>0</v>
      </c>
      <c r="AB139" s="1272">
        <v>0</v>
      </c>
      <c r="AC139" s="1272">
        <v>0</v>
      </c>
      <c r="AD139" s="1272">
        <v>0</v>
      </c>
      <c r="AE139" s="1272">
        <v>0</v>
      </c>
      <c r="AF139" s="1272">
        <v>0</v>
      </c>
      <c r="AG139" s="1272">
        <v>0</v>
      </c>
      <c r="AH139" s="1272">
        <v>0</v>
      </c>
      <c r="AI139" s="1272">
        <v>0</v>
      </c>
      <c r="AJ139" s="1272">
        <v>0</v>
      </c>
      <c r="AK139" s="1272">
        <v>0</v>
      </c>
      <c r="AL139" s="1272">
        <v>0</v>
      </c>
      <c r="AM139" s="1269"/>
      <c r="AN139" s="1270"/>
      <c r="AO139" s="1271"/>
      <c r="AP139" s="1270"/>
      <c r="AQ139" s="1269"/>
      <c r="AR139" s="1270"/>
      <c r="AS139" s="275"/>
      <c r="AT139" s="275"/>
      <c r="AU139" s="275"/>
      <c r="AV139" s="275"/>
      <c r="AW139" s="275"/>
      <c r="AX139" s="275"/>
      <c r="AY139" s="275"/>
      <c r="AZ139" s="275"/>
      <c r="BA139" s="275"/>
      <c r="BB139" s="275"/>
      <c r="BC139" s="275"/>
      <c r="BD139" s="275"/>
      <c r="BE139" s="275"/>
      <c r="BF139" s="275"/>
      <c r="BG139" s="275"/>
      <c r="BH139" s="275"/>
      <c r="BI139" s="275"/>
      <c r="BJ139" s="275"/>
    </row>
    <row r="140" spans="1:62">
      <c r="A140" s="595"/>
      <c r="B140" s="598"/>
      <c r="C140" s="599"/>
      <c r="D140" s="14"/>
      <c r="E140" s="1130" t="str">
        <f>'Despesas com Pessoal'!F140</f>
        <v>P057</v>
      </c>
      <c r="F140" s="1120" t="str">
        <f>'Despesas com Pessoal'!G140</f>
        <v>Conferente</v>
      </c>
      <c r="G140" s="1269"/>
      <c r="H140" s="1249"/>
      <c r="I140" s="1272"/>
      <c r="J140" s="1272"/>
      <c r="K140" s="1272"/>
      <c r="L140" s="1272"/>
      <c r="M140" s="1272"/>
      <c r="N140" s="1272"/>
      <c r="O140" s="1272"/>
      <c r="P140" s="1272"/>
      <c r="Q140" s="1272"/>
      <c r="R140" s="1272"/>
      <c r="S140" s="1272"/>
      <c r="T140" s="1272"/>
      <c r="U140" s="1272"/>
      <c r="V140" s="1272"/>
      <c r="W140" s="1272"/>
      <c r="X140" s="1272"/>
      <c r="Y140" s="1272"/>
      <c r="Z140" s="1272"/>
      <c r="AA140" s="1272"/>
      <c r="AB140" s="1272"/>
      <c r="AC140" s="1272"/>
      <c r="AD140" s="1272"/>
      <c r="AE140" s="1272"/>
      <c r="AF140" s="1272"/>
      <c r="AG140" s="1272"/>
      <c r="AH140" s="1272"/>
      <c r="AI140" s="1272"/>
      <c r="AJ140" s="1272"/>
      <c r="AK140" s="1272"/>
      <c r="AL140" s="1272"/>
      <c r="AM140" s="1269"/>
      <c r="AN140" s="1270"/>
      <c r="AO140" s="1269"/>
      <c r="AP140" s="1270"/>
      <c r="AQ140" s="1269"/>
      <c r="AR140" s="1270"/>
      <c r="AS140" s="275"/>
      <c r="AT140" s="275"/>
      <c r="AU140" s="275"/>
      <c r="AV140" s="275"/>
      <c r="AW140" s="275"/>
      <c r="AX140" s="275"/>
      <c r="AY140" s="275"/>
      <c r="AZ140" s="275"/>
      <c r="BA140" s="275"/>
      <c r="BB140" s="275"/>
      <c r="BC140" s="275"/>
      <c r="BD140" s="275"/>
      <c r="BE140" s="275"/>
      <c r="BF140" s="275"/>
      <c r="BG140" s="275"/>
      <c r="BH140" s="275"/>
      <c r="BI140" s="275"/>
      <c r="BJ140" s="275"/>
    </row>
    <row r="141" spans="1:62">
      <c r="A141" s="595"/>
      <c r="B141" s="598"/>
      <c r="C141" s="599"/>
      <c r="D141" s="14"/>
      <c r="E141" s="1130" t="str">
        <f>'Despesas com Pessoal'!F141</f>
        <v>P047</v>
      </c>
      <c r="F141" s="1120" t="str">
        <f>'Despesas com Pessoal'!G141</f>
        <v>Auxiliar de Pista</v>
      </c>
      <c r="G141" s="1269"/>
      <c r="H141" s="1249"/>
      <c r="I141" s="1272">
        <v>0</v>
      </c>
      <c r="J141" s="1272">
        <v>0</v>
      </c>
      <c r="K141" s="1272">
        <v>0</v>
      </c>
      <c r="L141" s="1272">
        <v>0</v>
      </c>
      <c r="M141" s="1272">
        <v>0</v>
      </c>
      <c r="N141" s="1272">
        <v>0</v>
      </c>
      <c r="O141" s="1272">
        <v>0</v>
      </c>
      <c r="P141" s="1272">
        <v>0</v>
      </c>
      <c r="Q141" s="1272">
        <v>0</v>
      </c>
      <c r="R141" s="1272">
        <v>0</v>
      </c>
      <c r="S141" s="1272">
        <v>0</v>
      </c>
      <c r="T141" s="1272">
        <v>0</v>
      </c>
      <c r="U141" s="1272">
        <v>0</v>
      </c>
      <c r="V141" s="1272">
        <v>0</v>
      </c>
      <c r="W141" s="1272">
        <v>0</v>
      </c>
      <c r="X141" s="1272">
        <v>0</v>
      </c>
      <c r="Y141" s="1272">
        <v>0</v>
      </c>
      <c r="Z141" s="1272">
        <v>0</v>
      </c>
      <c r="AA141" s="1272">
        <v>0</v>
      </c>
      <c r="AB141" s="1272">
        <v>0</v>
      </c>
      <c r="AC141" s="1272">
        <v>0</v>
      </c>
      <c r="AD141" s="1272">
        <v>0</v>
      </c>
      <c r="AE141" s="1272">
        <v>0</v>
      </c>
      <c r="AF141" s="1272">
        <v>0</v>
      </c>
      <c r="AG141" s="1272">
        <v>0</v>
      </c>
      <c r="AH141" s="1272">
        <v>0</v>
      </c>
      <c r="AI141" s="1272">
        <v>0</v>
      </c>
      <c r="AJ141" s="1272">
        <v>0</v>
      </c>
      <c r="AK141" s="1272">
        <v>0</v>
      </c>
      <c r="AL141" s="1272">
        <v>0</v>
      </c>
      <c r="AM141" s="1269"/>
      <c r="AN141" s="1270"/>
      <c r="AO141" s="1269"/>
      <c r="AP141" s="1270"/>
      <c r="AQ141" s="1269"/>
      <c r="AR141" s="1270"/>
      <c r="AS141" s="275"/>
      <c r="AT141" s="275"/>
      <c r="AU141" s="275"/>
      <c r="AV141" s="275"/>
      <c r="AW141" s="275"/>
      <c r="AX141" s="275"/>
      <c r="AY141" s="275"/>
      <c r="AZ141" s="275"/>
      <c r="BA141" s="275"/>
      <c r="BB141" s="275"/>
      <c r="BC141" s="275"/>
      <c r="BD141" s="275"/>
      <c r="BE141" s="275"/>
      <c r="BF141" s="275"/>
      <c r="BG141" s="275"/>
      <c r="BH141" s="275"/>
      <c r="BI141" s="275"/>
      <c r="BJ141" s="275"/>
    </row>
    <row r="142" spans="1:62">
      <c r="A142" s="595"/>
      <c r="B142" s="598"/>
      <c r="C142" s="599"/>
      <c r="D142" s="14"/>
      <c r="E142" s="1130" t="str">
        <f>'Despesas com Pessoal'!F142</f>
        <v>P006</v>
      </c>
      <c r="F142" s="1120" t="str">
        <f>'Despesas com Pessoal'!G142</f>
        <v>Agente de Pedágio</v>
      </c>
      <c r="G142" s="1269"/>
      <c r="H142" s="1249"/>
      <c r="I142" s="1272">
        <v>0</v>
      </c>
      <c r="J142" s="1272">
        <v>0</v>
      </c>
      <c r="K142" s="1272">
        <v>0</v>
      </c>
      <c r="L142" s="1272">
        <v>0</v>
      </c>
      <c r="M142" s="1272">
        <v>0</v>
      </c>
      <c r="N142" s="1272">
        <v>0</v>
      </c>
      <c r="O142" s="1272">
        <v>0</v>
      </c>
      <c r="P142" s="1272">
        <v>0</v>
      </c>
      <c r="Q142" s="1272">
        <v>0</v>
      </c>
      <c r="R142" s="1272">
        <v>0</v>
      </c>
      <c r="S142" s="1272">
        <v>0</v>
      </c>
      <c r="T142" s="1272">
        <v>0</v>
      </c>
      <c r="U142" s="1272">
        <v>0</v>
      </c>
      <c r="V142" s="1272">
        <v>0</v>
      </c>
      <c r="W142" s="1272">
        <v>0</v>
      </c>
      <c r="X142" s="1272">
        <v>0</v>
      </c>
      <c r="Y142" s="1272">
        <v>0</v>
      </c>
      <c r="Z142" s="1272">
        <v>0</v>
      </c>
      <c r="AA142" s="1272">
        <v>0</v>
      </c>
      <c r="AB142" s="1272">
        <v>0</v>
      </c>
      <c r="AC142" s="1272">
        <v>0</v>
      </c>
      <c r="AD142" s="1272">
        <v>0</v>
      </c>
      <c r="AE142" s="1272">
        <v>0</v>
      </c>
      <c r="AF142" s="1272">
        <v>0</v>
      </c>
      <c r="AG142" s="1272">
        <v>0</v>
      </c>
      <c r="AH142" s="1272">
        <v>0</v>
      </c>
      <c r="AI142" s="1272">
        <v>0</v>
      </c>
      <c r="AJ142" s="1272">
        <v>0</v>
      </c>
      <c r="AK142" s="1272">
        <v>0</v>
      </c>
      <c r="AL142" s="1272">
        <v>0</v>
      </c>
      <c r="AM142" s="1269"/>
      <c r="AN142" s="1270"/>
      <c r="AO142" s="1269"/>
      <c r="AP142" s="1270"/>
      <c r="AQ142" s="1269"/>
      <c r="AR142" s="1270"/>
      <c r="AS142" s="275"/>
      <c r="AT142" s="275"/>
      <c r="AU142" s="275"/>
      <c r="AV142" s="275"/>
      <c r="AW142" s="275"/>
      <c r="AX142" s="275"/>
      <c r="AY142" s="275"/>
      <c r="AZ142" s="275"/>
      <c r="BA142" s="275"/>
      <c r="BB142" s="275"/>
      <c r="BC142" s="275"/>
      <c r="BD142" s="275"/>
      <c r="BE142" s="275"/>
      <c r="BF142" s="275"/>
      <c r="BG142" s="275"/>
      <c r="BH142" s="275"/>
      <c r="BI142" s="275"/>
      <c r="BJ142" s="275"/>
    </row>
    <row r="143" spans="1:62">
      <c r="A143" s="595"/>
      <c r="B143" s="598"/>
      <c r="C143" s="599"/>
      <c r="D143" s="14"/>
      <c r="E143" s="1130" t="str">
        <f>'Despesas com Pessoal'!F143</f>
        <v>P008</v>
      </c>
      <c r="F143" s="1120" t="str">
        <f>'Despesas com Pessoal'!G143</f>
        <v>Ajudante</v>
      </c>
      <c r="G143" s="1269"/>
      <c r="H143" s="1249"/>
      <c r="I143" s="1272">
        <v>0</v>
      </c>
      <c r="J143" s="1272">
        <v>0</v>
      </c>
      <c r="K143" s="1272">
        <v>0</v>
      </c>
      <c r="L143" s="1272">
        <v>0</v>
      </c>
      <c r="M143" s="1272">
        <v>0</v>
      </c>
      <c r="N143" s="1272">
        <v>0</v>
      </c>
      <c r="O143" s="1272">
        <v>0</v>
      </c>
      <c r="P143" s="1272">
        <v>0</v>
      </c>
      <c r="Q143" s="1272">
        <v>0</v>
      </c>
      <c r="R143" s="1272">
        <v>0</v>
      </c>
      <c r="S143" s="1272">
        <v>0</v>
      </c>
      <c r="T143" s="1272">
        <v>0</v>
      </c>
      <c r="U143" s="1272">
        <v>0</v>
      </c>
      <c r="V143" s="1272">
        <v>0</v>
      </c>
      <c r="W143" s="1272">
        <v>0</v>
      </c>
      <c r="X143" s="1272">
        <v>0</v>
      </c>
      <c r="Y143" s="1272">
        <v>0</v>
      </c>
      <c r="Z143" s="1272">
        <v>0</v>
      </c>
      <c r="AA143" s="1272">
        <v>0</v>
      </c>
      <c r="AB143" s="1272">
        <v>0</v>
      </c>
      <c r="AC143" s="1272">
        <v>0</v>
      </c>
      <c r="AD143" s="1272">
        <v>0</v>
      </c>
      <c r="AE143" s="1272">
        <v>0</v>
      </c>
      <c r="AF143" s="1272">
        <v>0</v>
      </c>
      <c r="AG143" s="1272">
        <v>0</v>
      </c>
      <c r="AH143" s="1272">
        <v>0</v>
      </c>
      <c r="AI143" s="1272">
        <v>0</v>
      </c>
      <c r="AJ143" s="1272">
        <v>0</v>
      </c>
      <c r="AK143" s="1272">
        <v>0</v>
      </c>
      <c r="AL143" s="1272">
        <v>0</v>
      </c>
      <c r="AM143" s="1269"/>
      <c r="AN143" s="1270"/>
      <c r="AO143" s="1269"/>
      <c r="AP143" s="1270"/>
      <c r="AQ143" s="1269"/>
      <c r="AR143" s="1270"/>
      <c r="AS143" s="275"/>
      <c r="AT143" s="275"/>
      <c r="AU143" s="275"/>
      <c r="AV143" s="275"/>
      <c r="AW143" s="275"/>
      <c r="AX143" s="275"/>
      <c r="AY143" s="275"/>
      <c r="AZ143" s="275"/>
      <c r="BA143" s="275"/>
      <c r="BB143" s="275"/>
      <c r="BC143" s="275"/>
      <c r="BD143" s="275"/>
      <c r="BE143" s="275"/>
      <c r="BF143" s="275"/>
      <c r="BG143" s="275"/>
      <c r="BH143" s="275"/>
      <c r="BI143" s="275"/>
      <c r="BJ143" s="275"/>
    </row>
    <row r="144" spans="1:62">
      <c r="A144" s="595"/>
      <c r="B144" s="598"/>
      <c r="C144" s="599"/>
      <c r="D144" s="15" t="s">
        <v>1381</v>
      </c>
      <c r="E144" s="1129"/>
      <c r="F144" s="1126" t="s">
        <v>866</v>
      </c>
      <c r="G144" s="1273"/>
      <c r="H144" s="1254"/>
      <c r="I144" s="1250"/>
      <c r="J144" s="1250"/>
      <c r="K144" s="1250"/>
      <c r="L144" s="1250"/>
      <c r="M144" s="1250"/>
      <c r="N144" s="1250"/>
      <c r="O144" s="1250"/>
      <c r="P144" s="1250"/>
      <c r="Q144" s="1250"/>
      <c r="R144" s="1250"/>
      <c r="S144" s="1250"/>
      <c r="T144" s="1250"/>
      <c r="U144" s="1250"/>
      <c r="V144" s="1250"/>
      <c r="W144" s="1250"/>
      <c r="X144" s="1250"/>
      <c r="Y144" s="1250"/>
      <c r="Z144" s="1250"/>
      <c r="AA144" s="1250"/>
      <c r="AB144" s="1250"/>
      <c r="AC144" s="1250"/>
      <c r="AD144" s="1250"/>
      <c r="AE144" s="1250"/>
      <c r="AF144" s="1250"/>
      <c r="AG144" s="1250"/>
      <c r="AH144" s="1250"/>
      <c r="AI144" s="1250"/>
      <c r="AJ144" s="1250"/>
      <c r="AK144" s="1250"/>
      <c r="AL144" s="1250"/>
      <c r="AM144" s="1273"/>
      <c r="AN144" s="1274"/>
      <c r="AO144" s="1273"/>
      <c r="AP144" s="1274"/>
      <c r="AQ144" s="1273"/>
      <c r="AR144" s="1270"/>
      <c r="AS144" s="275"/>
      <c r="AT144" s="275"/>
      <c r="AU144" s="275"/>
      <c r="AV144" s="275"/>
      <c r="AW144" s="275"/>
      <c r="AX144" s="275"/>
      <c r="AY144" s="275"/>
      <c r="AZ144" s="275"/>
      <c r="BA144" s="275"/>
      <c r="BB144" s="275"/>
      <c r="BC144" s="275"/>
      <c r="BD144" s="275"/>
      <c r="BE144" s="275"/>
      <c r="BF144" s="275"/>
      <c r="BG144" s="275"/>
      <c r="BH144" s="275"/>
      <c r="BI144" s="275"/>
      <c r="BJ144" s="275"/>
    </row>
    <row r="145" spans="1:62">
      <c r="A145" s="595"/>
      <c r="B145" s="598"/>
      <c r="C145" s="599"/>
      <c r="D145" s="15"/>
      <c r="E145" s="1129" t="str">
        <f>'Despesas com Pessoal'!F145</f>
        <v>P139</v>
      </c>
      <c r="F145" s="1120" t="str">
        <f>'Despesas com Pessoal'!G145</f>
        <v>Supervisor de Balanças</v>
      </c>
      <c r="G145" s="1269" t="s">
        <v>1376</v>
      </c>
      <c r="H145" s="1249">
        <v>1</v>
      </c>
      <c r="I145" s="1272">
        <v>0</v>
      </c>
      <c r="J145" s="1272">
        <v>1</v>
      </c>
      <c r="K145" s="1272">
        <v>1</v>
      </c>
      <c r="L145" s="1272">
        <v>1</v>
      </c>
      <c r="M145" s="1272">
        <v>1</v>
      </c>
      <c r="N145" s="1272">
        <v>1</v>
      </c>
      <c r="O145" s="1272">
        <v>1</v>
      </c>
      <c r="P145" s="1272">
        <v>1</v>
      </c>
      <c r="Q145" s="1272">
        <v>1</v>
      </c>
      <c r="R145" s="1272">
        <v>1</v>
      </c>
      <c r="S145" s="1272">
        <v>1</v>
      </c>
      <c r="T145" s="1272">
        <v>1</v>
      </c>
      <c r="U145" s="1272">
        <v>1</v>
      </c>
      <c r="V145" s="1272">
        <v>1</v>
      </c>
      <c r="W145" s="1272">
        <v>1</v>
      </c>
      <c r="X145" s="1272">
        <v>1</v>
      </c>
      <c r="Y145" s="1272">
        <v>1</v>
      </c>
      <c r="Z145" s="1272">
        <v>1</v>
      </c>
      <c r="AA145" s="1272">
        <v>1</v>
      </c>
      <c r="AB145" s="1272">
        <v>1</v>
      </c>
      <c r="AC145" s="1272">
        <v>1</v>
      </c>
      <c r="AD145" s="1272">
        <v>1</v>
      </c>
      <c r="AE145" s="1272">
        <v>1</v>
      </c>
      <c r="AF145" s="1272">
        <v>1</v>
      </c>
      <c r="AG145" s="1272">
        <v>1</v>
      </c>
      <c r="AH145" s="1272">
        <v>1</v>
      </c>
      <c r="AI145" s="1272">
        <v>1</v>
      </c>
      <c r="AJ145" s="1272">
        <v>1</v>
      </c>
      <c r="AK145" s="1272">
        <v>1</v>
      </c>
      <c r="AL145" s="1272">
        <v>1</v>
      </c>
      <c r="AM145" s="1269" t="s">
        <v>1369</v>
      </c>
      <c r="AN145" s="1270"/>
      <c r="AO145" s="1271" t="s">
        <v>1370</v>
      </c>
      <c r="AP145" s="1270"/>
      <c r="AQ145" s="1269" t="s">
        <v>1371</v>
      </c>
      <c r="AR145" s="1270"/>
      <c r="AS145" s="275"/>
      <c r="AT145" s="275"/>
      <c r="AU145" s="275"/>
      <c r="AV145" s="275"/>
      <c r="AW145" s="275"/>
      <c r="AX145" s="275"/>
      <c r="AY145" s="275"/>
      <c r="AZ145" s="275"/>
      <c r="BA145" s="275"/>
      <c r="BB145" s="275"/>
      <c r="BC145" s="275"/>
      <c r="BD145" s="275"/>
      <c r="BE145" s="275"/>
      <c r="BF145" s="275"/>
      <c r="BG145" s="275"/>
      <c r="BH145" s="275"/>
      <c r="BI145" s="275"/>
      <c r="BJ145" s="275"/>
    </row>
    <row r="146" spans="1:62">
      <c r="A146" s="595"/>
      <c r="B146" s="598"/>
      <c r="C146" s="599"/>
      <c r="D146" s="15"/>
      <c r="E146" s="1129" t="str">
        <f>'Despesas com Pessoal'!F146</f>
        <v>P005</v>
      </c>
      <c r="F146" s="1120" t="str">
        <f>'Despesas com Pessoal'!G146</f>
        <v>Agente Autuador</v>
      </c>
      <c r="G146" s="1269"/>
      <c r="H146" s="1249"/>
      <c r="I146" s="1272">
        <v>0</v>
      </c>
      <c r="J146" s="1272">
        <v>0</v>
      </c>
      <c r="K146" s="1272">
        <v>0</v>
      </c>
      <c r="L146" s="1272">
        <v>0</v>
      </c>
      <c r="M146" s="1272">
        <v>0</v>
      </c>
      <c r="N146" s="1272">
        <v>0</v>
      </c>
      <c r="O146" s="1272">
        <v>0</v>
      </c>
      <c r="P146" s="1272">
        <v>0</v>
      </c>
      <c r="Q146" s="1272">
        <v>0</v>
      </c>
      <c r="R146" s="1272">
        <v>0</v>
      </c>
      <c r="S146" s="1272">
        <v>0</v>
      </c>
      <c r="T146" s="1272">
        <v>0</v>
      </c>
      <c r="U146" s="1272">
        <v>0</v>
      </c>
      <c r="V146" s="1272">
        <v>0</v>
      </c>
      <c r="W146" s="1272">
        <v>0</v>
      </c>
      <c r="X146" s="1272">
        <v>0</v>
      </c>
      <c r="Y146" s="1272">
        <v>0</v>
      </c>
      <c r="Z146" s="1272">
        <v>0</v>
      </c>
      <c r="AA146" s="1272">
        <v>0</v>
      </c>
      <c r="AB146" s="1272">
        <v>0</v>
      </c>
      <c r="AC146" s="1272">
        <v>0</v>
      </c>
      <c r="AD146" s="1272">
        <v>0</v>
      </c>
      <c r="AE146" s="1272">
        <v>0</v>
      </c>
      <c r="AF146" s="1272">
        <v>0</v>
      </c>
      <c r="AG146" s="1272">
        <v>0</v>
      </c>
      <c r="AH146" s="1272">
        <v>0</v>
      </c>
      <c r="AI146" s="1272">
        <v>0</v>
      </c>
      <c r="AJ146" s="1272">
        <v>0</v>
      </c>
      <c r="AK146" s="1272">
        <v>0</v>
      </c>
      <c r="AL146" s="1272">
        <v>0</v>
      </c>
      <c r="AM146" s="1269"/>
      <c r="AN146" s="1270"/>
      <c r="AO146" s="1269"/>
      <c r="AP146" s="1270"/>
      <c r="AQ146" s="1273"/>
      <c r="AR146" s="1270"/>
      <c r="AS146" s="275"/>
      <c r="AT146" s="275"/>
      <c r="AU146" s="275"/>
      <c r="AV146" s="275"/>
      <c r="AW146" s="275"/>
      <c r="AX146" s="275"/>
      <c r="AY146" s="275"/>
      <c r="AZ146" s="275"/>
      <c r="BA146" s="275"/>
      <c r="BB146" s="275"/>
      <c r="BC146" s="275"/>
      <c r="BD146" s="275"/>
      <c r="BE146" s="275"/>
      <c r="BF146" s="275"/>
      <c r="BG146" s="275"/>
      <c r="BH146" s="275"/>
      <c r="BI146" s="275"/>
      <c r="BJ146" s="275"/>
    </row>
    <row r="147" spans="1:62">
      <c r="A147" s="595"/>
      <c r="B147" s="598"/>
      <c r="C147" s="599"/>
      <c r="D147" s="15"/>
      <c r="E147" s="1129" t="str">
        <f>'Despesas com Pessoal'!F147</f>
        <v>P121</v>
      </c>
      <c r="F147" s="1120" t="str">
        <f>'Despesas com Pessoal'!G147</f>
        <v>Operador de Balança</v>
      </c>
      <c r="G147" s="1269"/>
      <c r="H147" s="1249"/>
      <c r="I147" s="1272"/>
      <c r="J147" s="1272">
        <v>6</v>
      </c>
      <c r="K147" s="1272">
        <v>6</v>
      </c>
      <c r="L147" s="1272">
        <v>6</v>
      </c>
      <c r="M147" s="1272">
        <v>6</v>
      </c>
      <c r="N147" s="1272">
        <v>6</v>
      </c>
      <c r="O147" s="1272">
        <v>6</v>
      </c>
      <c r="P147" s="1272">
        <v>6</v>
      </c>
      <c r="Q147" s="1272">
        <v>6</v>
      </c>
      <c r="R147" s="1272">
        <v>6</v>
      </c>
      <c r="S147" s="1272">
        <v>6</v>
      </c>
      <c r="T147" s="1272">
        <v>6</v>
      </c>
      <c r="U147" s="1272">
        <v>6</v>
      </c>
      <c r="V147" s="1272">
        <v>6</v>
      </c>
      <c r="W147" s="1272">
        <v>6</v>
      </c>
      <c r="X147" s="1272">
        <v>6</v>
      </c>
      <c r="Y147" s="1272">
        <v>6</v>
      </c>
      <c r="Z147" s="1272">
        <v>6</v>
      </c>
      <c r="AA147" s="1272">
        <v>6</v>
      </c>
      <c r="AB147" s="1272">
        <v>6</v>
      </c>
      <c r="AC147" s="1272">
        <v>6</v>
      </c>
      <c r="AD147" s="1272">
        <v>6</v>
      </c>
      <c r="AE147" s="1272">
        <v>6</v>
      </c>
      <c r="AF147" s="1272">
        <v>6</v>
      </c>
      <c r="AG147" s="1272">
        <v>6</v>
      </c>
      <c r="AH147" s="1272">
        <v>6</v>
      </c>
      <c r="AI147" s="1272">
        <v>6</v>
      </c>
      <c r="AJ147" s="1272">
        <v>6</v>
      </c>
      <c r="AK147" s="1272">
        <v>6</v>
      </c>
      <c r="AL147" s="1272">
        <v>6</v>
      </c>
      <c r="AM147" s="1269"/>
      <c r="AN147" s="1270"/>
      <c r="AO147" s="1269"/>
      <c r="AP147" s="1270"/>
      <c r="AQ147" s="1269"/>
      <c r="AR147" s="1270"/>
      <c r="AS147" s="275"/>
      <c r="AT147" s="275"/>
      <c r="AU147" s="275"/>
      <c r="AV147" s="275"/>
      <c r="AW147" s="275"/>
      <c r="AX147" s="275"/>
      <c r="AY147" s="275"/>
      <c r="AZ147" s="275"/>
      <c r="BA147" s="275"/>
      <c r="BB147" s="275"/>
      <c r="BC147" s="275"/>
      <c r="BD147" s="275"/>
      <c r="BE147" s="275"/>
      <c r="BF147" s="275"/>
      <c r="BG147" s="275"/>
      <c r="BH147" s="275"/>
      <c r="BI147" s="275"/>
      <c r="BJ147" s="275"/>
    </row>
    <row r="148" spans="1:62">
      <c r="A148" s="595"/>
      <c r="B148" s="598"/>
      <c r="C148" s="599"/>
      <c r="D148" s="15"/>
      <c r="E148" s="1136" t="str">
        <f>'Despesas com Pessoal'!F148</f>
        <v>P047</v>
      </c>
      <c r="F148" s="1120" t="str">
        <f>'Despesas com Pessoal'!G148</f>
        <v>Auxiliar de Pista</v>
      </c>
      <c r="G148" s="1269"/>
      <c r="H148" s="1249"/>
      <c r="I148" s="1272"/>
      <c r="J148" s="1272">
        <v>6</v>
      </c>
      <c r="K148" s="1272">
        <v>6</v>
      </c>
      <c r="L148" s="1272">
        <v>6</v>
      </c>
      <c r="M148" s="1272">
        <v>6</v>
      </c>
      <c r="N148" s="1272">
        <v>6</v>
      </c>
      <c r="O148" s="1272">
        <v>6</v>
      </c>
      <c r="P148" s="1272">
        <v>6</v>
      </c>
      <c r="Q148" s="1272">
        <v>6</v>
      </c>
      <c r="R148" s="1272">
        <v>6</v>
      </c>
      <c r="S148" s="1272">
        <v>6</v>
      </c>
      <c r="T148" s="1272">
        <v>6</v>
      </c>
      <c r="U148" s="1272">
        <v>6</v>
      </c>
      <c r="V148" s="1272">
        <v>6</v>
      </c>
      <c r="W148" s="1272">
        <v>6</v>
      </c>
      <c r="X148" s="1272">
        <v>6</v>
      </c>
      <c r="Y148" s="1272">
        <v>6</v>
      </c>
      <c r="Z148" s="1272">
        <v>6</v>
      </c>
      <c r="AA148" s="1272">
        <v>6</v>
      </c>
      <c r="AB148" s="1272">
        <v>6</v>
      </c>
      <c r="AC148" s="1272">
        <v>6</v>
      </c>
      <c r="AD148" s="1272">
        <v>6</v>
      </c>
      <c r="AE148" s="1272">
        <v>6</v>
      </c>
      <c r="AF148" s="1272">
        <v>6</v>
      </c>
      <c r="AG148" s="1272">
        <v>6</v>
      </c>
      <c r="AH148" s="1272">
        <v>6</v>
      </c>
      <c r="AI148" s="1272">
        <v>6</v>
      </c>
      <c r="AJ148" s="1272">
        <v>6</v>
      </c>
      <c r="AK148" s="1272">
        <v>6</v>
      </c>
      <c r="AL148" s="1272">
        <v>6</v>
      </c>
      <c r="AM148" s="1269"/>
      <c r="AN148" s="1270"/>
      <c r="AO148" s="1269"/>
      <c r="AP148" s="1270"/>
      <c r="AQ148" s="1269"/>
      <c r="AR148" s="1270"/>
      <c r="AS148" s="275"/>
      <c r="AT148" s="275"/>
      <c r="AU148" s="275"/>
      <c r="AV148" s="275"/>
      <c r="AW148" s="275"/>
      <c r="AX148" s="275"/>
      <c r="AY148" s="275"/>
      <c r="AZ148" s="275"/>
      <c r="BA148" s="275"/>
      <c r="BB148" s="275"/>
      <c r="BC148" s="275"/>
      <c r="BD148" s="275"/>
      <c r="BE148" s="275"/>
      <c r="BF148" s="275"/>
      <c r="BG148" s="275"/>
      <c r="BH148" s="275"/>
      <c r="BI148" s="275"/>
      <c r="BJ148" s="275"/>
    </row>
    <row r="149" spans="1:62">
      <c r="A149" s="595"/>
      <c r="B149" s="598"/>
      <c r="C149" s="599"/>
      <c r="D149" s="16" t="s">
        <v>1382</v>
      </c>
      <c r="E149" s="1129"/>
      <c r="F149" s="1126" t="s">
        <v>871</v>
      </c>
      <c r="G149" s="1273"/>
      <c r="H149" s="1254"/>
      <c r="I149" s="1250"/>
      <c r="J149" s="1250"/>
      <c r="K149" s="1250"/>
      <c r="L149" s="1250"/>
      <c r="M149" s="1250"/>
      <c r="N149" s="1250"/>
      <c r="O149" s="1250"/>
      <c r="P149" s="1250"/>
      <c r="Q149" s="1250"/>
      <c r="R149" s="1250"/>
      <c r="S149" s="1250"/>
      <c r="T149" s="1250"/>
      <c r="U149" s="1250"/>
      <c r="V149" s="1250"/>
      <c r="W149" s="1250"/>
      <c r="X149" s="1250"/>
      <c r="Y149" s="1250"/>
      <c r="Z149" s="1250"/>
      <c r="AA149" s="1250"/>
      <c r="AB149" s="1250"/>
      <c r="AC149" s="1250"/>
      <c r="AD149" s="1250"/>
      <c r="AE149" s="1250"/>
      <c r="AF149" s="1250"/>
      <c r="AG149" s="1250"/>
      <c r="AH149" s="1250"/>
      <c r="AI149" s="1250"/>
      <c r="AJ149" s="1250"/>
      <c r="AK149" s="1250"/>
      <c r="AL149" s="1250"/>
      <c r="AM149" s="1273"/>
      <c r="AN149" s="1274"/>
      <c r="AO149" s="1273"/>
      <c r="AP149" s="1274"/>
      <c r="AQ149" s="1273"/>
      <c r="AR149" s="1270"/>
      <c r="AS149" s="275"/>
      <c r="AT149" s="275"/>
      <c r="AU149" s="275"/>
      <c r="AV149" s="275"/>
      <c r="AW149" s="275"/>
      <c r="AX149" s="275"/>
      <c r="AY149" s="275"/>
      <c r="AZ149" s="275"/>
      <c r="BA149" s="275"/>
      <c r="BB149" s="275"/>
      <c r="BC149" s="275"/>
      <c r="BD149" s="275"/>
      <c r="BE149" s="275"/>
      <c r="BF149" s="275"/>
      <c r="BG149" s="275"/>
      <c r="BH149" s="275"/>
      <c r="BI149" s="275"/>
      <c r="BJ149" s="275"/>
    </row>
    <row r="150" spans="1:62">
      <c r="A150" s="595"/>
      <c r="B150" s="598"/>
      <c r="C150" s="599"/>
      <c r="D150" s="16"/>
      <c r="E150" s="1130" t="str">
        <f>'Despesas com Pessoal'!F150</f>
        <v>P092</v>
      </c>
      <c r="F150" s="1120" t="str">
        <f>'Despesas com Pessoal'!G150</f>
        <v>Engenheiro Comunicações</v>
      </c>
      <c r="G150" s="1269"/>
      <c r="H150" s="1249"/>
      <c r="I150" s="1272">
        <v>0</v>
      </c>
      <c r="J150" s="1250">
        <f>I150</f>
        <v>0</v>
      </c>
      <c r="K150" s="1250">
        <f t="shared" ref="K150:AF150" si="284">J150</f>
        <v>0</v>
      </c>
      <c r="L150" s="1250">
        <f t="shared" si="284"/>
        <v>0</v>
      </c>
      <c r="M150" s="1250">
        <f t="shared" si="284"/>
        <v>0</v>
      </c>
      <c r="N150" s="1250">
        <f t="shared" si="284"/>
        <v>0</v>
      </c>
      <c r="O150" s="1250">
        <f t="shared" si="284"/>
        <v>0</v>
      </c>
      <c r="P150" s="1250">
        <f t="shared" si="284"/>
        <v>0</v>
      </c>
      <c r="Q150" s="1250">
        <f t="shared" si="284"/>
        <v>0</v>
      </c>
      <c r="R150" s="1250">
        <f t="shared" si="284"/>
        <v>0</v>
      </c>
      <c r="S150" s="1250">
        <f t="shared" si="284"/>
        <v>0</v>
      </c>
      <c r="T150" s="1250">
        <f t="shared" si="284"/>
        <v>0</v>
      </c>
      <c r="U150" s="1250">
        <f t="shared" si="284"/>
        <v>0</v>
      </c>
      <c r="V150" s="1250">
        <f t="shared" si="284"/>
        <v>0</v>
      </c>
      <c r="W150" s="1250">
        <f t="shared" si="284"/>
        <v>0</v>
      </c>
      <c r="X150" s="1250">
        <f t="shared" si="284"/>
        <v>0</v>
      </c>
      <c r="Y150" s="1250">
        <f t="shared" si="284"/>
        <v>0</v>
      </c>
      <c r="Z150" s="1250">
        <f t="shared" si="284"/>
        <v>0</v>
      </c>
      <c r="AA150" s="1250">
        <f t="shared" si="284"/>
        <v>0</v>
      </c>
      <c r="AB150" s="1250">
        <f t="shared" si="284"/>
        <v>0</v>
      </c>
      <c r="AC150" s="1250">
        <f t="shared" si="284"/>
        <v>0</v>
      </c>
      <c r="AD150" s="1250">
        <f t="shared" si="284"/>
        <v>0</v>
      </c>
      <c r="AE150" s="1250">
        <f t="shared" si="284"/>
        <v>0</v>
      </c>
      <c r="AF150" s="1250">
        <f t="shared" si="284"/>
        <v>0</v>
      </c>
      <c r="AG150" s="1250">
        <f t="shared" ref="AG150" si="285">AF150</f>
        <v>0</v>
      </c>
      <c r="AH150" s="1250">
        <f t="shared" ref="AH150" si="286">AG150</f>
        <v>0</v>
      </c>
      <c r="AI150" s="1250">
        <f t="shared" ref="AI150" si="287">AH150</f>
        <v>0</v>
      </c>
      <c r="AJ150" s="1250">
        <f t="shared" ref="AJ150" si="288">AI150</f>
        <v>0</v>
      </c>
      <c r="AK150" s="1250">
        <f t="shared" ref="AK150" si="289">AJ150</f>
        <v>0</v>
      </c>
      <c r="AL150" s="1250">
        <f t="shared" ref="AL150" si="290">AK150</f>
        <v>0</v>
      </c>
      <c r="AM150" s="1269"/>
      <c r="AN150" s="1270"/>
      <c r="AO150" s="1271"/>
      <c r="AP150" s="1270"/>
      <c r="AQ150" s="1269"/>
      <c r="AR150" s="1270"/>
      <c r="AS150" s="275"/>
      <c r="AT150" s="275"/>
      <c r="AU150" s="275"/>
      <c r="AV150" s="275"/>
      <c r="AW150" s="275"/>
      <c r="AX150" s="275"/>
      <c r="AY150" s="275"/>
      <c r="AZ150" s="275"/>
      <c r="BA150" s="275"/>
      <c r="BB150" s="275"/>
      <c r="BC150" s="275"/>
      <c r="BD150" s="275"/>
      <c r="BE150" s="275"/>
      <c r="BF150" s="275"/>
      <c r="BG150" s="275"/>
      <c r="BH150" s="275"/>
      <c r="BI150" s="275"/>
      <c r="BJ150" s="275"/>
    </row>
    <row r="151" spans="1:62">
      <c r="A151" s="595"/>
      <c r="B151" s="598"/>
      <c r="C151" s="599"/>
      <c r="D151" s="16"/>
      <c r="E151" s="1130" t="str">
        <f>'Despesas com Pessoal'!F151</f>
        <v>P157</v>
      </c>
      <c r="F151" s="1120" t="str">
        <f>'Despesas com Pessoal'!G151</f>
        <v>Técnico de Telecomunicações</v>
      </c>
      <c r="G151" s="1269"/>
      <c r="H151" s="1249"/>
      <c r="I151" s="1272">
        <v>1</v>
      </c>
      <c r="J151" s="1272">
        <v>1</v>
      </c>
      <c r="K151" s="1272">
        <v>1</v>
      </c>
      <c r="L151" s="1272">
        <v>1</v>
      </c>
      <c r="M151" s="1272">
        <v>1</v>
      </c>
      <c r="N151" s="1272">
        <v>1</v>
      </c>
      <c r="O151" s="1272">
        <v>1</v>
      </c>
      <c r="P151" s="1272">
        <v>1</v>
      </c>
      <c r="Q151" s="1272">
        <v>1</v>
      </c>
      <c r="R151" s="1272">
        <v>1</v>
      </c>
      <c r="S151" s="1272">
        <v>1</v>
      </c>
      <c r="T151" s="1272">
        <v>1</v>
      </c>
      <c r="U151" s="1272">
        <v>1</v>
      </c>
      <c r="V151" s="1272">
        <v>1</v>
      </c>
      <c r="W151" s="1272">
        <v>1</v>
      </c>
      <c r="X151" s="1272">
        <v>1</v>
      </c>
      <c r="Y151" s="1272">
        <v>1</v>
      </c>
      <c r="Z151" s="1272">
        <v>1</v>
      </c>
      <c r="AA151" s="1272">
        <v>1</v>
      </c>
      <c r="AB151" s="1272">
        <v>1</v>
      </c>
      <c r="AC151" s="1272">
        <v>1</v>
      </c>
      <c r="AD151" s="1272">
        <v>1</v>
      </c>
      <c r="AE151" s="1272">
        <v>1</v>
      </c>
      <c r="AF151" s="1272">
        <v>1</v>
      </c>
      <c r="AG151" s="1272">
        <v>1</v>
      </c>
      <c r="AH151" s="1272">
        <v>1</v>
      </c>
      <c r="AI151" s="1272">
        <v>1</v>
      </c>
      <c r="AJ151" s="1272">
        <v>1</v>
      </c>
      <c r="AK151" s="1272">
        <v>1</v>
      </c>
      <c r="AL151" s="1272">
        <v>1</v>
      </c>
      <c r="AM151" s="1269" t="s">
        <v>1369</v>
      </c>
      <c r="AN151" s="1270">
        <f t="shared" ref="AN151" si="291">MAX(I151:AL151)</f>
        <v>1</v>
      </c>
      <c r="AO151" s="1271" t="s">
        <v>1370</v>
      </c>
      <c r="AP151" s="1270">
        <v>1</v>
      </c>
      <c r="AQ151" s="1269" t="s">
        <v>1371</v>
      </c>
      <c r="AR151" s="1270">
        <v>1</v>
      </c>
      <c r="AS151" s="275"/>
      <c r="AT151" s="275"/>
      <c r="AU151" s="275"/>
      <c r="AV151" s="275"/>
      <c r="AW151" s="275"/>
      <c r="AX151" s="275"/>
      <c r="AY151" s="275"/>
      <c r="AZ151" s="275"/>
      <c r="BA151" s="275"/>
      <c r="BB151" s="275"/>
      <c r="BC151" s="275"/>
      <c r="BD151" s="275"/>
      <c r="BE151" s="275"/>
      <c r="BF151" s="275"/>
      <c r="BG151" s="275"/>
      <c r="BH151" s="275"/>
      <c r="BI151" s="275"/>
      <c r="BJ151" s="275"/>
    </row>
    <row r="152" spans="1:62">
      <c r="A152" s="595"/>
      <c r="B152" s="598"/>
      <c r="C152" s="599"/>
      <c r="D152" s="16"/>
      <c r="E152" s="1130" t="str">
        <f>'Despesas com Pessoal'!F152</f>
        <v>P147</v>
      </c>
      <c r="F152" s="1120" t="str">
        <f>'Despesas com Pessoal'!G152</f>
        <v>Técnico de Eletrônica</v>
      </c>
      <c r="G152" s="1269"/>
      <c r="H152" s="1249"/>
      <c r="I152" s="1272">
        <v>1</v>
      </c>
      <c r="J152" s="1272">
        <v>1</v>
      </c>
      <c r="K152" s="1272">
        <v>1</v>
      </c>
      <c r="L152" s="1272">
        <v>1</v>
      </c>
      <c r="M152" s="1272">
        <v>1</v>
      </c>
      <c r="N152" s="1272">
        <v>1</v>
      </c>
      <c r="O152" s="1272">
        <v>1</v>
      </c>
      <c r="P152" s="1272">
        <v>1</v>
      </c>
      <c r="Q152" s="1272">
        <v>1</v>
      </c>
      <c r="R152" s="1272">
        <v>1</v>
      </c>
      <c r="S152" s="1272">
        <v>1</v>
      </c>
      <c r="T152" s="1272">
        <v>1</v>
      </c>
      <c r="U152" s="1272">
        <v>1</v>
      </c>
      <c r="V152" s="1272">
        <v>1</v>
      </c>
      <c r="W152" s="1272">
        <v>1</v>
      </c>
      <c r="X152" s="1272">
        <v>1</v>
      </c>
      <c r="Y152" s="1272">
        <v>1</v>
      </c>
      <c r="Z152" s="1272">
        <v>1</v>
      </c>
      <c r="AA152" s="1272">
        <v>1</v>
      </c>
      <c r="AB152" s="1272">
        <v>1</v>
      </c>
      <c r="AC152" s="1272">
        <v>1</v>
      </c>
      <c r="AD152" s="1272">
        <v>1</v>
      </c>
      <c r="AE152" s="1272">
        <v>1</v>
      </c>
      <c r="AF152" s="1272">
        <v>1</v>
      </c>
      <c r="AG152" s="1272">
        <v>1</v>
      </c>
      <c r="AH152" s="1272">
        <v>1</v>
      </c>
      <c r="AI152" s="1272">
        <v>1</v>
      </c>
      <c r="AJ152" s="1272">
        <v>1</v>
      </c>
      <c r="AK152" s="1272">
        <v>1</v>
      </c>
      <c r="AL152" s="1272">
        <v>1</v>
      </c>
      <c r="AM152" s="1269"/>
      <c r="AN152" s="1270"/>
      <c r="AO152" s="1271"/>
      <c r="AP152" s="1270"/>
      <c r="AQ152" s="1269"/>
      <c r="AR152" s="1270"/>
      <c r="AS152" s="275"/>
      <c r="AT152" s="275"/>
      <c r="AU152" s="275"/>
      <c r="AV152" s="275"/>
      <c r="AW152" s="275"/>
      <c r="AX152" s="275"/>
      <c r="AY152" s="275"/>
      <c r="AZ152" s="275"/>
      <c r="BA152" s="275"/>
      <c r="BB152" s="275"/>
      <c r="BC152" s="275"/>
      <c r="BD152" s="275"/>
      <c r="BE152" s="275"/>
      <c r="BF152" s="275"/>
      <c r="BG152" s="275"/>
      <c r="BH152" s="275"/>
      <c r="BI152" s="275"/>
      <c r="BJ152" s="275"/>
    </row>
    <row r="153" spans="1:62">
      <c r="A153" s="595"/>
      <c r="B153" s="598"/>
      <c r="C153" s="599"/>
      <c r="D153" s="16"/>
      <c r="E153" s="1130" t="str">
        <f>'Despesas com Pessoal'!F153</f>
        <v>P153</v>
      </c>
      <c r="F153" s="1120" t="str">
        <f>'Despesas com Pessoal'!G153</f>
        <v>Técnico de Rádio</v>
      </c>
      <c r="G153" s="1269"/>
      <c r="H153" s="1249"/>
      <c r="I153" s="1272">
        <v>1</v>
      </c>
      <c r="J153" s="1272">
        <f>I153</f>
        <v>1</v>
      </c>
      <c r="K153" s="1272">
        <f t="shared" ref="K153:AL153" si="292">J153</f>
        <v>1</v>
      </c>
      <c r="L153" s="1272">
        <f t="shared" si="292"/>
        <v>1</v>
      </c>
      <c r="M153" s="1272">
        <f t="shared" si="292"/>
        <v>1</v>
      </c>
      <c r="N153" s="1272">
        <f t="shared" si="292"/>
        <v>1</v>
      </c>
      <c r="O153" s="1272">
        <f t="shared" si="292"/>
        <v>1</v>
      </c>
      <c r="P153" s="1272">
        <f t="shared" si="292"/>
        <v>1</v>
      </c>
      <c r="Q153" s="1272">
        <f t="shared" si="292"/>
        <v>1</v>
      </c>
      <c r="R153" s="1272">
        <f t="shared" si="292"/>
        <v>1</v>
      </c>
      <c r="S153" s="1272">
        <f t="shared" si="292"/>
        <v>1</v>
      </c>
      <c r="T153" s="1272">
        <f t="shared" si="292"/>
        <v>1</v>
      </c>
      <c r="U153" s="1272">
        <f t="shared" si="292"/>
        <v>1</v>
      </c>
      <c r="V153" s="1272">
        <f t="shared" si="292"/>
        <v>1</v>
      </c>
      <c r="W153" s="1272">
        <f t="shared" si="292"/>
        <v>1</v>
      </c>
      <c r="X153" s="1272">
        <f t="shared" si="292"/>
        <v>1</v>
      </c>
      <c r="Y153" s="1272">
        <f t="shared" si="292"/>
        <v>1</v>
      </c>
      <c r="Z153" s="1272">
        <f t="shared" si="292"/>
        <v>1</v>
      </c>
      <c r="AA153" s="1272">
        <f t="shared" si="292"/>
        <v>1</v>
      </c>
      <c r="AB153" s="1272">
        <f t="shared" si="292"/>
        <v>1</v>
      </c>
      <c r="AC153" s="1272">
        <f t="shared" si="292"/>
        <v>1</v>
      </c>
      <c r="AD153" s="1272">
        <f t="shared" si="292"/>
        <v>1</v>
      </c>
      <c r="AE153" s="1272">
        <f t="shared" si="292"/>
        <v>1</v>
      </c>
      <c r="AF153" s="1272">
        <f t="shared" si="292"/>
        <v>1</v>
      </c>
      <c r="AG153" s="1272">
        <f t="shared" si="292"/>
        <v>1</v>
      </c>
      <c r="AH153" s="1272">
        <f t="shared" si="292"/>
        <v>1</v>
      </c>
      <c r="AI153" s="1272">
        <f t="shared" si="292"/>
        <v>1</v>
      </c>
      <c r="AJ153" s="1272">
        <f t="shared" si="292"/>
        <v>1</v>
      </c>
      <c r="AK153" s="1272">
        <f t="shared" si="292"/>
        <v>1</v>
      </c>
      <c r="AL153" s="1272">
        <f t="shared" si="292"/>
        <v>1</v>
      </c>
      <c r="AM153" s="1269" t="s">
        <v>1369</v>
      </c>
      <c r="AN153" s="1270"/>
      <c r="AO153" s="1271" t="s">
        <v>1370</v>
      </c>
      <c r="AP153" s="1270"/>
      <c r="AQ153" s="1269" t="s">
        <v>1371</v>
      </c>
      <c r="AR153" s="1270"/>
      <c r="AS153" s="275"/>
      <c r="AT153" s="275"/>
      <c r="AU153" s="275"/>
      <c r="AV153" s="275"/>
      <c r="AW153" s="275"/>
      <c r="AX153" s="275"/>
      <c r="AY153" s="275"/>
      <c r="AZ153" s="275"/>
      <c r="BA153" s="275"/>
      <c r="BB153" s="275"/>
      <c r="BC153" s="275"/>
      <c r="BD153" s="275"/>
      <c r="BE153" s="275"/>
      <c r="BF153" s="275"/>
      <c r="BG153" s="275"/>
      <c r="BH153" s="275"/>
      <c r="BI153" s="275"/>
      <c r="BJ153" s="275"/>
    </row>
    <row r="154" spans="1:62">
      <c r="A154" s="595"/>
      <c r="B154" s="598"/>
      <c r="C154" s="599"/>
      <c r="D154" s="17" t="s">
        <v>1383</v>
      </c>
      <c r="E154" s="1129"/>
      <c r="F154" s="1126" t="s">
        <v>877</v>
      </c>
      <c r="G154" s="1273"/>
      <c r="H154" s="1254"/>
      <c r="I154" s="1250"/>
      <c r="J154" s="1250"/>
      <c r="K154" s="1250"/>
      <c r="L154" s="1250"/>
      <c r="M154" s="1250"/>
      <c r="N154" s="1250"/>
      <c r="O154" s="1250"/>
      <c r="P154" s="1250"/>
      <c r="Q154" s="1250"/>
      <c r="R154" s="1250"/>
      <c r="S154" s="1250"/>
      <c r="T154" s="1250"/>
      <c r="U154" s="1250"/>
      <c r="V154" s="1250"/>
      <c r="W154" s="1250"/>
      <c r="X154" s="1250"/>
      <c r="Y154" s="1250"/>
      <c r="Z154" s="1250"/>
      <c r="AA154" s="1250"/>
      <c r="AB154" s="1250"/>
      <c r="AC154" s="1250"/>
      <c r="AD154" s="1250"/>
      <c r="AE154" s="1250"/>
      <c r="AF154" s="1250"/>
      <c r="AG154" s="1250"/>
      <c r="AH154" s="1250"/>
      <c r="AI154" s="1250"/>
      <c r="AJ154" s="1250"/>
      <c r="AK154" s="1250"/>
      <c r="AL154" s="1250"/>
      <c r="AM154" s="1273"/>
      <c r="AN154" s="1274"/>
      <c r="AO154" s="1273"/>
      <c r="AP154" s="1274"/>
      <c r="AQ154" s="1273"/>
      <c r="AR154" s="1270">
        <f t="shared" ref="AR154:AR155" si="293">MAX(I154:AL154)</f>
        <v>0</v>
      </c>
      <c r="AS154" s="275"/>
      <c r="AT154" s="275"/>
      <c r="AU154" s="275"/>
      <c r="AV154" s="275"/>
      <c r="AW154" s="275"/>
      <c r="AX154" s="275"/>
      <c r="AY154" s="275"/>
      <c r="AZ154" s="275"/>
      <c r="BA154" s="275"/>
      <c r="BB154" s="275"/>
      <c r="BC154" s="275"/>
      <c r="BD154" s="275"/>
      <c r="BE154" s="275"/>
      <c r="BF154" s="275"/>
      <c r="BG154" s="275"/>
      <c r="BH154" s="275"/>
      <c r="BI154" s="275"/>
      <c r="BJ154" s="275"/>
    </row>
    <row r="155" spans="1:62">
      <c r="A155" s="595"/>
      <c r="B155" s="598"/>
      <c r="C155" s="599"/>
      <c r="D155" s="17"/>
      <c r="E155" s="1129" t="str">
        <f>'Despesas com Pessoal'!F155</f>
        <v>P142</v>
      </c>
      <c r="F155" s="1120" t="str">
        <f>'Despesas com Pessoal'!G155</f>
        <v>Supervisor de S.A.U</v>
      </c>
      <c r="G155" s="1269" t="s">
        <v>1376</v>
      </c>
      <c r="H155" s="1249">
        <v>1</v>
      </c>
      <c r="I155" s="1275">
        <v>1</v>
      </c>
      <c r="J155" s="1250">
        <f>I155</f>
        <v>1</v>
      </c>
      <c r="K155" s="1250">
        <f t="shared" ref="K155:AL155" si="294">J155</f>
        <v>1</v>
      </c>
      <c r="L155" s="1250">
        <f t="shared" si="294"/>
        <v>1</v>
      </c>
      <c r="M155" s="1250">
        <f t="shared" si="294"/>
        <v>1</v>
      </c>
      <c r="N155" s="1250">
        <f t="shared" si="294"/>
        <v>1</v>
      </c>
      <c r="O155" s="1250">
        <f t="shared" si="294"/>
        <v>1</v>
      </c>
      <c r="P155" s="1250">
        <f t="shared" si="294"/>
        <v>1</v>
      </c>
      <c r="Q155" s="1250">
        <f t="shared" si="294"/>
        <v>1</v>
      </c>
      <c r="R155" s="1250">
        <f t="shared" si="294"/>
        <v>1</v>
      </c>
      <c r="S155" s="1250">
        <f t="shared" si="294"/>
        <v>1</v>
      </c>
      <c r="T155" s="1250">
        <f t="shared" si="294"/>
        <v>1</v>
      </c>
      <c r="U155" s="1250">
        <f t="shared" si="294"/>
        <v>1</v>
      </c>
      <c r="V155" s="1250">
        <f t="shared" si="294"/>
        <v>1</v>
      </c>
      <c r="W155" s="1250">
        <f t="shared" si="294"/>
        <v>1</v>
      </c>
      <c r="X155" s="1250">
        <f t="shared" si="294"/>
        <v>1</v>
      </c>
      <c r="Y155" s="1250">
        <f t="shared" si="294"/>
        <v>1</v>
      </c>
      <c r="Z155" s="1250">
        <f t="shared" si="294"/>
        <v>1</v>
      </c>
      <c r="AA155" s="1250">
        <f t="shared" si="294"/>
        <v>1</v>
      </c>
      <c r="AB155" s="1250">
        <f t="shared" si="294"/>
        <v>1</v>
      </c>
      <c r="AC155" s="1250">
        <f t="shared" si="294"/>
        <v>1</v>
      </c>
      <c r="AD155" s="1250">
        <f t="shared" si="294"/>
        <v>1</v>
      </c>
      <c r="AE155" s="1250">
        <f t="shared" si="294"/>
        <v>1</v>
      </c>
      <c r="AF155" s="1250">
        <f t="shared" si="294"/>
        <v>1</v>
      </c>
      <c r="AG155" s="1250">
        <f t="shared" si="294"/>
        <v>1</v>
      </c>
      <c r="AH155" s="1250">
        <f t="shared" si="294"/>
        <v>1</v>
      </c>
      <c r="AI155" s="1250">
        <f t="shared" si="294"/>
        <v>1</v>
      </c>
      <c r="AJ155" s="1250">
        <f t="shared" si="294"/>
        <v>1</v>
      </c>
      <c r="AK155" s="1250">
        <f t="shared" si="294"/>
        <v>1</v>
      </c>
      <c r="AL155" s="1250">
        <f t="shared" si="294"/>
        <v>1</v>
      </c>
      <c r="AM155" s="1269" t="s">
        <v>1369</v>
      </c>
      <c r="AN155" s="1270">
        <f>MAX(I155:AL155)</f>
        <v>1</v>
      </c>
      <c r="AO155" s="1271" t="s">
        <v>1370</v>
      </c>
      <c r="AP155" s="1270">
        <v>1</v>
      </c>
      <c r="AQ155" s="1271" t="s">
        <v>1371</v>
      </c>
      <c r="AR155" s="1270">
        <f t="shared" si="293"/>
        <v>1</v>
      </c>
      <c r="AS155" s="275"/>
      <c r="AT155" s="275"/>
      <c r="AU155" s="275"/>
      <c r="AV155" s="275"/>
      <c r="AW155" s="275"/>
      <c r="AX155" s="275"/>
      <c r="AY155" s="275"/>
      <c r="AZ155" s="275"/>
      <c r="BA155" s="275"/>
      <c r="BB155" s="275"/>
      <c r="BC155" s="275"/>
      <c r="BD155" s="275"/>
      <c r="BE155" s="275"/>
      <c r="BF155" s="275"/>
      <c r="BG155" s="275"/>
      <c r="BH155" s="275"/>
      <c r="BI155" s="275"/>
      <c r="BJ155" s="275"/>
    </row>
    <row r="156" spans="1:62">
      <c r="A156" s="595"/>
      <c r="B156" s="598"/>
      <c r="C156" s="599"/>
      <c r="D156" s="17"/>
      <c r="E156" s="1129" t="str">
        <f>'Despesas com Pessoal'!F156</f>
        <v>P158</v>
      </c>
      <c r="F156" s="1120" t="str">
        <f>'Despesas com Pessoal'!G156</f>
        <v>Atendente S.A.U</v>
      </c>
      <c r="G156" s="1269"/>
      <c r="H156" s="1249"/>
      <c r="I156" s="1250">
        <v>23</v>
      </c>
      <c r="J156" s="1250">
        <v>23</v>
      </c>
      <c r="K156" s="1250">
        <v>23</v>
      </c>
      <c r="L156" s="1250">
        <v>23</v>
      </c>
      <c r="M156" s="1250">
        <v>23</v>
      </c>
      <c r="N156" s="1250">
        <v>23</v>
      </c>
      <c r="O156" s="1250">
        <v>23</v>
      </c>
      <c r="P156" s="1250">
        <v>23</v>
      </c>
      <c r="Q156" s="1250">
        <v>23</v>
      </c>
      <c r="R156" s="1250">
        <v>23</v>
      </c>
      <c r="S156" s="1250">
        <v>23</v>
      </c>
      <c r="T156" s="1250">
        <v>23</v>
      </c>
      <c r="U156" s="1250">
        <v>23</v>
      </c>
      <c r="V156" s="1250">
        <v>23</v>
      </c>
      <c r="W156" s="1250">
        <v>23</v>
      </c>
      <c r="X156" s="1250">
        <v>23</v>
      </c>
      <c r="Y156" s="1250">
        <v>23</v>
      </c>
      <c r="Z156" s="1250">
        <v>23</v>
      </c>
      <c r="AA156" s="1250">
        <v>23</v>
      </c>
      <c r="AB156" s="1250">
        <v>23</v>
      </c>
      <c r="AC156" s="1250">
        <v>23</v>
      </c>
      <c r="AD156" s="1250">
        <v>23</v>
      </c>
      <c r="AE156" s="1250">
        <v>23</v>
      </c>
      <c r="AF156" s="1250">
        <v>23</v>
      </c>
      <c r="AG156" s="1250">
        <v>23</v>
      </c>
      <c r="AH156" s="1250">
        <v>23</v>
      </c>
      <c r="AI156" s="1250">
        <v>23</v>
      </c>
      <c r="AJ156" s="1250">
        <v>23</v>
      </c>
      <c r="AK156" s="1250">
        <v>23</v>
      </c>
      <c r="AL156" s="1250">
        <v>23</v>
      </c>
      <c r="AM156" s="1269"/>
      <c r="AN156" s="1270"/>
      <c r="AO156" s="1271"/>
      <c r="AP156" s="1270"/>
      <c r="AQ156" s="1271"/>
      <c r="AR156" s="1270"/>
      <c r="AS156" s="275"/>
      <c r="AT156" s="275"/>
      <c r="AU156" s="275"/>
      <c r="AV156" s="275"/>
      <c r="AW156" s="275"/>
      <c r="AX156" s="275"/>
      <c r="AY156" s="275"/>
      <c r="AZ156" s="275"/>
      <c r="BA156" s="275"/>
      <c r="BB156" s="275"/>
      <c r="BC156" s="275"/>
      <c r="BD156" s="275"/>
      <c r="BE156" s="275"/>
      <c r="BF156" s="275"/>
      <c r="BG156" s="275"/>
      <c r="BH156" s="275"/>
      <c r="BI156" s="275"/>
      <c r="BJ156" s="275"/>
    </row>
    <row r="157" spans="1:62">
      <c r="A157" s="595"/>
      <c r="B157" s="598"/>
      <c r="C157" s="599"/>
      <c r="D157" s="17"/>
      <c r="E157" s="1129" t="str">
        <f>'Despesas com Pessoal'!F157</f>
        <v>P026</v>
      </c>
      <c r="F157" s="1120" t="str">
        <f>'Despesas com Pessoal'!G157</f>
        <v>Assistente de Comunicação</v>
      </c>
      <c r="G157" s="1269"/>
      <c r="H157" s="1249"/>
      <c r="I157" s="1250">
        <v>0</v>
      </c>
      <c r="J157" s="1250">
        <v>0</v>
      </c>
      <c r="K157" s="1250">
        <v>0</v>
      </c>
      <c r="L157" s="1250">
        <v>0</v>
      </c>
      <c r="M157" s="1250">
        <v>0</v>
      </c>
      <c r="N157" s="1250">
        <v>0</v>
      </c>
      <c r="O157" s="1250">
        <v>0</v>
      </c>
      <c r="P157" s="1250">
        <v>0</v>
      </c>
      <c r="Q157" s="1250">
        <v>0</v>
      </c>
      <c r="R157" s="1250">
        <v>0</v>
      </c>
      <c r="S157" s="1250">
        <v>0</v>
      </c>
      <c r="T157" s="1250">
        <v>0</v>
      </c>
      <c r="U157" s="1250">
        <v>0</v>
      </c>
      <c r="V157" s="1250">
        <v>0</v>
      </c>
      <c r="W157" s="1250">
        <v>0</v>
      </c>
      <c r="X157" s="1250">
        <v>0</v>
      </c>
      <c r="Y157" s="1250">
        <v>0</v>
      </c>
      <c r="Z157" s="1250">
        <v>0</v>
      </c>
      <c r="AA157" s="1250">
        <v>0</v>
      </c>
      <c r="AB157" s="1250">
        <v>0</v>
      </c>
      <c r="AC157" s="1250">
        <v>0</v>
      </c>
      <c r="AD157" s="1250">
        <v>0</v>
      </c>
      <c r="AE157" s="1250">
        <v>0</v>
      </c>
      <c r="AF157" s="1250">
        <v>0</v>
      </c>
      <c r="AG157" s="1250">
        <v>0</v>
      </c>
      <c r="AH157" s="1250">
        <v>0</v>
      </c>
      <c r="AI157" s="1250">
        <v>0</v>
      </c>
      <c r="AJ157" s="1250">
        <v>0</v>
      </c>
      <c r="AK157" s="1250">
        <v>0</v>
      </c>
      <c r="AL157" s="1250">
        <v>0</v>
      </c>
      <c r="AM157" s="1269"/>
      <c r="AN157" s="1270"/>
      <c r="AO157" s="1271"/>
      <c r="AP157" s="1270"/>
      <c r="AQ157" s="1271"/>
      <c r="AR157" s="1270"/>
      <c r="AS157" s="275"/>
      <c r="AT157" s="275"/>
      <c r="AU157" s="275"/>
      <c r="AV157" s="275"/>
      <c r="AW157" s="275"/>
      <c r="AX157" s="275"/>
      <c r="AY157" s="275"/>
      <c r="AZ157" s="275"/>
      <c r="BA157" s="275"/>
      <c r="BB157" s="275"/>
      <c r="BC157" s="275"/>
      <c r="BD157" s="275"/>
      <c r="BE157" s="275"/>
      <c r="BF157" s="275"/>
      <c r="BG157" s="275"/>
      <c r="BH157" s="275"/>
      <c r="BI157" s="275"/>
      <c r="BJ157" s="275"/>
    </row>
    <row r="158" spans="1:62">
      <c r="A158" s="595"/>
      <c r="B158" s="598"/>
      <c r="C158" s="599"/>
      <c r="D158" s="17"/>
      <c r="E158" s="1129" t="str">
        <f>'Despesas com Pessoal'!F158</f>
        <v>P112</v>
      </c>
      <c r="F158" s="1120" t="str">
        <f>'Despesas com Pessoal'!G158</f>
        <v>Médico</v>
      </c>
      <c r="G158" s="1269"/>
      <c r="H158" s="1249"/>
      <c r="I158" s="1272">
        <v>0</v>
      </c>
      <c r="J158" s="1272">
        <v>0</v>
      </c>
      <c r="K158" s="1272">
        <v>0</v>
      </c>
      <c r="L158" s="1272">
        <v>0</v>
      </c>
      <c r="M158" s="1272">
        <v>0</v>
      </c>
      <c r="N158" s="1272">
        <v>0</v>
      </c>
      <c r="O158" s="1272">
        <v>0</v>
      </c>
      <c r="P158" s="1272">
        <v>0</v>
      </c>
      <c r="Q158" s="1272">
        <v>0</v>
      </c>
      <c r="R158" s="1272">
        <v>0</v>
      </c>
      <c r="S158" s="1272">
        <v>0</v>
      </c>
      <c r="T158" s="1272">
        <v>0</v>
      </c>
      <c r="U158" s="1272">
        <v>0</v>
      </c>
      <c r="V158" s="1272">
        <v>0</v>
      </c>
      <c r="W158" s="1272">
        <v>0</v>
      </c>
      <c r="X158" s="1272">
        <v>0</v>
      </c>
      <c r="Y158" s="1272">
        <v>0</v>
      </c>
      <c r="Z158" s="1272">
        <v>0</v>
      </c>
      <c r="AA158" s="1272">
        <v>0</v>
      </c>
      <c r="AB158" s="1272">
        <v>0</v>
      </c>
      <c r="AC158" s="1272">
        <v>0</v>
      </c>
      <c r="AD158" s="1272">
        <v>0</v>
      </c>
      <c r="AE158" s="1272">
        <v>0</v>
      </c>
      <c r="AF158" s="1272">
        <v>0</v>
      </c>
      <c r="AG158" s="1272">
        <v>0</v>
      </c>
      <c r="AH158" s="1272">
        <v>0</v>
      </c>
      <c r="AI158" s="1272">
        <v>0</v>
      </c>
      <c r="AJ158" s="1272">
        <v>0</v>
      </c>
      <c r="AK158" s="1272">
        <v>0</v>
      </c>
      <c r="AL158" s="1272">
        <v>0</v>
      </c>
      <c r="AM158" s="1269" t="s">
        <v>1369</v>
      </c>
      <c r="AN158" s="1270"/>
      <c r="AO158" s="1271" t="s">
        <v>1370</v>
      </c>
      <c r="AP158" s="1270"/>
      <c r="AQ158" s="1271" t="s">
        <v>1374</v>
      </c>
      <c r="AR158" s="1270"/>
      <c r="AS158" s="275"/>
      <c r="AT158" s="275"/>
      <c r="AU158" s="275"/>
      <c r="AV158" s="275"/>
      <c r="AW158" s="275"/>
      <c r="AX158" s="275"/>
      <c r="AY158" s="275"/>
      <c r="AZ158" s="275"/>
      <c r="BA158" s="275"/>
      <c r="BB158" s="275"/>
      <c r="BC158" s="275"/>
      <c r="BD158" s="275"/>
      <c r="BE158" s="275"/>
      <c r="BF158" s="275"/>
      <c r="BG158" s="275"/>
      <c r="BH158" s="275"/>
      <c r="BI158" s="275"/>
      <c r="BJ158" s="275"/>
    </row>
    <row r="159" spans="1:62">
      <c r="A159" s="595"/>
      <c r="B159" s="598"/>
      <c r="C159" s="599"/>
      <c r="D159" s="17"/>
      <c r="E159" s="1276" t="str">
        <f>'Despesas com Pessoal'!F158</f>
        <v>P112</v>
      </c>
      <c r="F159" s="1120" t="str">
        <f>'Despesas com Pessoal'!G158</f>
        <v>Médico</v>
      </c>
      <c r="G159" s="1269"/>
      <c r="H159" s="1249"/>
      <c r="I159" s="1272"/>
      <c r="J159" s="1272">
        <f>I159</f>
        <v>0</v>
      </c>
      <c r="K159" s="1272">
        <f t="shared" ref="K159:AL159" si="295">J159</f>
        <v>0</v>
      </c>
      <c r="L159" s="1272">
        <f t="shared" si="295"/>
        <v>0</v>
      </c>
      <c r="M159" s="1272">
        <f t="shared" si="295"/>
        <v>0</v>
      </c>
      <c r="N159" s="1272">
        <f t="shared" si="295"/>
        <v>0</v>
      </c>
      <c r="O159" s="1272">
        <f t="shared" si="295"/>
        <v>0</v>
      </c>
      <c r="P159" s="1272">
        <f t="shared" si="295"/>
        <v>0</v>
      </c>
      <c r="Q159" s="1272">
        <f t="shared" si="295"/>
        <v>0</v>
      </c>
      <c r="R159" s="1272">
        <f t="shared" si="295"/>
        <v>0</v>
      </c>
      <c r="S159" s="1272">
        <f t="shared" si="295"/>
        <v>0</v>
      </c>
      <c r="T159" s="1272">
        <f t="shared" si="295"/>
        <v>0</v>
      </c>
      <c r="U159" s="1272">
        <f t="shared" si="295"/>
        <v>0</v>
      </c>
      <c r="V159" s="1272">
        <f t="shared" si="295"/>
        <v>0</v>
      </c>
      <c r="W159" s="1272">
        <f t="shared" si="295"/>
        <v>0</v>
      </c>
      <c r="X159" s="1272">
        <f t="shared" si="295"/>
        <v>0</v>
      </c>
      <c r="Y159" s="1272">
        <f t="shared" si="295"/>
        <v>0</v>
      </c>
      <c r="Z159" s="1272">
        <f t="shared" si="295"/>
        <v>0</v>
      </c>
      <c r="AA159" s="1272">
        <f t="shared" si="295"/>
        <v>0</v>
      </c>
      <c r="AB159" s="1272">
        <f t="shared" si="295"/>
        <v>0</v>
      </c>
      <c r="AC159" s="1272">
        <f t="shared" si="295"/>
        <v>0</v>
      </c>
      <c r="AD159" s="1272">
        <f t="shared" si="295"/>
        <v>0</v>
      </c>
      <c r="AE159" s="1272">
        <f t="shared" si="295"/>
        <v>0</v>
      </c>
      <c r="AF159" s="1272">
        <f t="shared" si="295"/>
        <v>0</v>
      </c>
      <c r="AG159" s="1272">
        <f t="shared" si="295"/>
        <v>0</v>
      </c>
      <c r="AH159" s="1272">
        <f t="shared" si="295"/>
        <v>0</v>
      </c>
      <c r="AI159" s="1272">
        <f t="shared" si="295"/>
        <v>0</v>
      </c>
      <c r="AJ159" s="1272">
        <f t="shared" si="295"/>
        <v>0</v>
      </c>
      <c r="AK159" s="1272">
        <f t="shared" si="295"/>
        <v>0</v>
      </c>
      <c r="AL159" s="1272">
        <f t="shared" si="295"/>
        <v>0</v>
      </c>
      <c r="AM159" s="1269"/>
      <c r="AN159" s="1270"/>
      <c r="AO159" s="1271"/>
      <c r="AP159" s="1270"/>
      <c r="AQ159" s="1271"/>
      <c r="AR159" s="1270"/>
      <c r="AS159" s="275"/>
      <c r="AT159" s="275"/>
      <c r="AU159" s="275"/>
      <c r="AV159" s="275"/>
      <c r="AW159" s="275"/>
      <c r="AX159" s="275"/>
      <c r="AY159" s="275"/>
      <c r="AZ159" s="275"/>
      <c r="BA159" s="275"/>
      <c r="BB159" s="275"/>
      <c r="BC159" s="275"/>
      <c r="BD159" s="275"/>
      <c r="BE159" s="275"/>
      <c r="BF159" s="275"/>
      <c r="BG159" s="275"/>
      <c r="BH159" s="275"/>
      <c r="BI159" s="275"/>
      <c r="BJ159" s="275"/>
    </row>
    <row r="160" spans="1:62">
      <c r="A160" s="595"/>
      <c r="B160" s="598"/>
      <c r="C160" s="599"/>
      <c r="D160" s="17"/>
      <c r="E160" s="1136" t="str">
        <f>'Despesas com Pessoal'!F160</f>
        <v>P148</v>
      </c>
      <c r="F160" s="1120" t="str">
        <f>'Despesas com Pessoal'!G160</f>
        <v>Técnico de Enfermagem</v>
      </c>
      <c r="G160" s="1269"/>
      <c r="H160" s="1249"/>
      <c r="I160" s="1272">
        <v>0</v>
      </c>
      <c r="J160" s="1272">
        <v>0</v>
      </c>
      <c r="K160" s="1272">
        <v>0</v>
      </c>
      <c r="L160" s="1272">
        <v>0</v>
      </c>
      <c r="M160" s="1272">
        <v>0</v>
      </c>
      <c r="N160" s="1272">
        <v>0</v>
      </c>
      <c r="O160" s="1272">
        <v>0</v>
      </c>
      <c r="P160" s="1272">
        <v>0</v>
      </c>
      <c r="Q160" s="1272">
        <v>0</v>
      </c>
      <c r="R160" s="1272">
        <v>0</v>
      </c>
      <c r="S160" s="1272">
        <v>0</v>
      </c>
      <c r="T160" s="1272">
        <v>0</v>
      </c>
      <c r="U160" s="1272">
        <v>0</v>
      </c>
      <c r="V160" s="1272">
        <v>0</v>
      </c>
      <c r="W160" s="1272">
        <v>0</v>
      </c>
      <c r="X160" s="1272">
        <v>0</v>
      </c>
      <c r="Y160" s="1272">
        <v>0</v>
      </c>
      <c r="Z160" s="1272">
        <v>0</v>
      </c>
      <c r="AA160" s="1272">
        <v>0</v>
      </c>
      <c r="AB160" s="1272">
        <v>0</v>
      </c>
      <c r="AC160" s="1272">
        <v>0</v>
      </c>
      <c r="AD160" s="1272">
        <v>0</v>
      </c>
      <c r="AE160" s="1272">
        <v>0</v>
      </c>
      <c r="AF160" s="1272">
        <v>0</v>
      </c>
      <c r="AG160" s="1272">
        <v>0</v>
      </c>
      <c r="AH160" s="1272">
        <v>0</v>
      </c>
      <c r="AI160" s="1272">
        <v>0</v>
      </c>
      <c r="AJ160" s="1272">
        <v>0</v>
      </c>
      <c r="AK160" s="1272">
        <v>0</v>
      </c>
      <c r="AL160" s="1272">
        <v>0</v>
      </c>
      <c r="AM160" s="1269"/>
      <c r="AN160" s="1270"/>
      <c r="AO160" s="1271"/>
      <c r="AP160" s="1270"/>
      <c r="AQ160" s="1271"/>
      <c r="AR160" s="1270"/>
      <c r="AS160" s="275"/>
      <c r="AT160" s="275"/>
      <c r="AU160" s="275"/>
      <c r="AV160" s="275"/>
      <c r="AW160" s="275"/>
      <c r="AX160" s="275"/>
      <c r="AY160" s="275"/>
      <c r="AZ160" s="275"/>
      <c r="BA160" s="275"/>
      <c r="BB160" s="275"/>
      <c r="BC160" s="275"/>
      <c r="BD160" s="275"/>
      <c r="BE160" s="275"/>
      <c r="BF160" s="275"/>
      <c r="BG160" s="275"/>
      <c r="BH160" s="275"/>
      <c r="BI160" s="275"/>
      <c r="BJ160" s="275"/>
    </row>
    <row r="161" spans="1:62">
      <c r="A161" s="595"/>
      <c r="B161" s="598"/>
      <c r="C161" s="599"/>
      <c r="D161" s="17"/>
      <c r="E161" s="1129" t="str">
        <f>'Despesas com Pessoal'!F161</f>
        <v>P134</v>
      </c>
      <c r="F161" s="1120" t="str">
        <f>'Despesas com Pessoal'!G161</f>
        <v>Resgatista</v>
      </c>
      <c r="G161" s="1269"/>
      <c r="H161" s="1249"/>
      <c r="I161" s="1272">
        <v>0</v>
      </c>
      <c r="J161" s="1272">
        <v>0</v>
      </c>
      <c r="K161" s="1272">
        <v>0</v>
      </c>
      <c r="L161" s="1272">
        <v>0</v>
      </c>
      <c r="M161" s="1272">
        <v>0</v>
      </c>
      <c r="N161" s="1272">
        <v>0</v>
      </c>
      <c r="O161" s="1272">
        <v>0</v>
      </c>
      <c r="P161" s="1272">
        <v>0</v>
      </c>
      <c r="Q161" s="1272">
        <v>0</v>
      </c>
      <c r="R161" s="1272">
        <v>0</v>
      </c>
      <c r="S161" s="1272">
        <v>0</v>
      </c>
      <c r="T161" s="1272">
        <v>0</v>
      </c>
      <c r="U161" s="1272">
        <v>0</v>
      </c>
      <c r="V161" s="1272">
        <v>0</v>
      </c>
      <c r="W161" s="1272">
        <v>0</v>
      </c>
      <c r="X161" s="1272">
        <v>0</v>
      </c>
      <c r="Y161" s="1272">
        <v>0</v>
      </c>
      <c r="Z161" s="1272">
        <v>0</v>
      </c>
      <c r="AA161" s="1272">
        <v>0</v>
      </c>
      <c r="AB161" s="1272">
        <v>0</v>
      </c>
      <c r="AC161" s="1272">
        <v>0</v>
      </c>
      <c r="AD161" s="1272">
        <v>0</v>
      </c>
      <c r="AE161" s="1272">
        <v>0</v>
      </c>
      <c r="AF161" s="1272">
        <v>0</v>
      </c>
      <c r="AG161" s="1272">
        <v>0</v>
      </c>
      <c r="AH161" s="1272">
        <v>0</v>
      </c>
      <c r="AI161" s="1272">
        <v>0</v>
      </c>
      <c r="AJ161" s="1272">
        <v>0</v>
      </c>
      <c r="AK161" s="1272">
        <v>0</v>
      </c>
      <c r="AL161" s="1272">
        <v>0</v>
      </c>
      <c r="AM161" s="1269"/>
      <c r="AN161" s="1270"/>
      <c r="AO161" s="1269"/>
      <c r="AP161" s="1270"/>
      <c r="AQ161" s="1273"/>
      <c r="AR161" s="1270"/>
      <c r="AS161" s="275"/>
      <c r="AT161" s="275"/>
      <c r="AU161" s="275"/>
      <c r="AV161" s="275"/>
      <c r="AW161" s="275"/>
      <c r="AX161" s="275"/>
      <c r="AY161" s="275"/>
      <c r="AZ161" s="275"/>
      <c r="BA161" s="275"/>
      <c r="BB161" s="275"/>
      <c r="BC161" s="275"/>
      <c r="BD161" s="275"/>
      <c r="BE161" s="275"/>
      <c r="BF161" s="275"/>
      <c r="BG161" s="275"/>
      <c r="BH161" s="275"/>
      <c r="BI161" s="275"/>
      <c r="BJ161" s="275"/>
    </row>
    <row r="162" spans="1:62">
      <c r="A162" s="595"/>
      <c r="B162" s="598"/>
      <c r="C162" s="599"/>
      <c r="D162" s="17"/>
      <c r="E162" s="1129" t="str">
        <f>'Despesas com Pessoal'!F162</f>
        <v>P117</v>
      </c>
      <c r="F162" s="1120" t="str">
        <f>'Despesas com Pessoal'!G162</f>
        <v>Motorista de Ambulância</v>
      </c>
      <c r="G162" s="1269"/>
      <c r="H162" s="1249"/>
      <c r="I162" s="1272">
        <v>0</v>
      </c>
      <c r="J162" s="1272">
        <v>0</v>
      </c>
      <c r="K162" s="1272">
        <v>0</v>
      </c>
      <c r="L162" s="1272">
        <v>0</v>
      </c>
      <c r="M162" s="1272">
        <v>0</v>
      </c>
      <c r="N162" s="1272">
        <v>0</v>
      </c>
      <c r="O162" s="1272">
        <v>0</v>
      </c>
      <c r="P162" s="1272">
        <v>0</v>
      </c>
      <c r="Q162" s="1272">
        <v>0</v>
      </c>
      <c r="R162" s="1272">
        <v>0</v>
      </c>
      <c r="S162" s="1272">
        <v>0</v>
      </c>
      <c r="T162" s="1272">
        <v>0</v>
      </c>
      <c r="U162" s="1272">
        <v>0</v>
      </c>
      <c r="V162" s="1272">
        <v>0</v>
      </c>
      <c r="W162" s="1272">
        <v>0</v>
      </c>
      <c r="X162" s="1272">
        <v>0</v>
      </c>
      <c r="Y162" s="1272">
        <v>0</v>
      </c>
      <c r="Z162" s="1272">
        <v>0</v>
      </c>
      <c r="AA162" s="1272">
        <v>0</v>
      </c>
      <c r="AB162" s="1272">
        <v>0</v>
      </c>
      <c r="AC162" s="1272">
        <v>0</v>
      </c>
      <c r="AD162" s="1272">
        <v>0</v>
      </c>
      <c r="AE162" s="1272">
        <v>0</v>
      </c>
      <c r="AF162" s="1272">
        <v>0</v>
      </c>
      <c r="AG162" s="1272">
        <v>0</v>
      </c>
      <c r="AH162" s="1272">
        <v>0</v>
      </c>
      <c r="AI162" s="1272">
        <v>0</v>
      </c>
      <c r="AJ162" s="1272">
        <v>0</v>
      </c>
      <c r="AK162" s="1272">
        <v>0</v>
      </c>
      <c r="AL162" s="1272">
        <v>0</v>
      </c>
      <c r="AM162" s="1269"/>
      <c r="AN162" s="1270"/>
      <c r="AO162" s="1269"/>
      <c r="AP162" s="1270"/>
      <c r="AQ162" s="1273"/>
      <c r="AR162" s="1270"/>
      <c r="AS162" s="275"/>
      <c r="AT162" s="275"/>
      <c r="AU162" s="275"/>
      <c r="AV162" s="275"/>
      <c r="AW162" s="275"/>
      <c r="AX162" s="275"/>
      <c r="AY162" s="275"/>
      <c r="AZ162" s="275"/>
      <c r="BA162" s="275"/>
      <c r="BB162" s="275"/>
      <c r="BC162" s="275"/>
      <c r="BD162" s="275"/>
      <c r="BE162" s="275"/>
      <c r="BF162" s="275"/>
      <c r="BG162" s="275"/>
      <c r="BH162" s="275"/>
      <c r="BI162" s="275"/>
      <c r="BJ162" s="275"/>
    </row>
    <row r="163" spans="1:62">
      <c r="A163" s="595"/>
      <c r="B163" s="598"/>
      <c r="C163" s="599"/>
      <c r="D163" s="17"/>
      <c r="E163" s="1129" t="str">
        <f>'Despesas com Pessoal'!F163</f>
        <v>P126</v>
      </c>
      <c r="F163" s="1120" t="str">
        <f>'Despesas com Pessoal'!G163</f>
        <v>Operador de Guincho Leve</v>
      </c>
      <c r="G163" s="1269"/>
      <c r="H163" s="1249"/>
      <c r="I163" s="1272">
        <v>0</v>
      </c>
      <c r="J163" s="1272">
        <v>0</v>
      </c>
      <c r="K163" s="1272">
        <v>0</v>
      </c>
      <c r="L163" s="1272">
        <v>0</v>
      </c>
      <c r="M163" s="1272">
        <v>0</v>
      </c>
      <c r="N163" s="1272">
        <v>0</v>
      </c>
      <c r="O163" s="1272">
        <v>0</v>
      </c>
      <c r="P163" s="1272">
        <v>0</v>
      </c>
      <c r="Q163" s="1272">
        <v>0</v>
      </c>
      <c r="R163" s="1272">
        <v>0</v>
      </c>
      <c r="S163" s="1272">
        <v>0</v>
      </c>
      <c r="T163" s="1272">
        <v>0</v>
      </c>
      <c r="U163" s="1272">
        <v>0</v>
      </c>
      <c r="V163" s="1272">
        <v>0</v>
      </c>
      <c r="W163" s="1272">
        <v>0</v>
      </c>
      <c r="X163" s="1272">
        <v>0</v>
      </c>
      <c r="Y163" s="1272">
        <v>0</v>
      </c>
      <c r="Z163" s="1272">
        <v>0</v>
      </c>
      <c r="AA163" s="1272">
        <v>0</v>
      </c>
      <c r="AB163" s="1272">
        <v>0</v>
      </c>
      <c r="AC163" s="1272">
        <v>0</v>
      </c>
      <c r="AD163" s="1272">
        <v>0</v>
      </c>
      <c r="AE163" s="1272">
        <v>0</v>
      </c>
      <c r="AF163" s="1272">
        <v>0</v>
      </c>
      <c r="AG163" s="1272">
        <v>0</v>
      </c>
      <c r="AH163" s="1272">
        <v>0</v>
      </c>
      <c r="AI163" s="1272">
        <v>0</v>
      </c>
      <c r="AJ163" s="1272">
        <v>0</v>
      </c>
      <c r="AK163" s="1272">
        <v>0</v>
      </c>
      <c r="AL163" s="1272">
        <v>0</v>
      </c>
      <c r="AM163" s="1269"/>
      <c r="AN163" s="1270"/>
      <c r="AO163" s="1269"/>
      <c r="AP163" s="1270"/>
      <c r="AQ163" s="1269"/>
      <c r="AR163" s="1270"/>
      <c r="AS163" s="275"/>
      <c r="AT163" s="275"/>
      <c r="AU163" s="275"/>
      <c r="AV163" s="275"/>
      <c r="AW163" s="275"/>
      <c r="AX163" s="275"/>
      <c r="AY163" s="275"/>
      <c r="AZ163" s="275"/>
      <c r="BA163" s="275"/>
      <c r="BB163" s="275"/>
      <c r="BC163" s="275"/>
      <c r="BD163" s="275"/>
      <c r="BE163" s="275"/>
      <c r="BF163" s="275"/>
      <c r="BG163" s="275"/>
      <c r="BH163" s="275"/>
      <c r="BI163" s="275"/>
      <c r="BJ163" s="275"/>
    </row>
    <row r="164" spans="1:62">
      <c r="A164" s="595"/>
      <c r="B164" s="598"/>
      <c r="C164" s="599"/>
      <c r="D164" s="17"/>
      <c r="E164" s="1129" t="str">
        <f>'Despesas com Pessoal'!F164</f>
        <v>P127</v>
      </c>
      <c r="F164" s="1120" t="str">
        <f>'Despesas com Pessoal'!G164</f>
        <v>Operador de Guincho Pesado</v>
      </c>
      <c r="G164" s="1269"/>
      <c r="H164" s="1249"/>
      <c r="I164" s="1272">
        <v>0</v>
      </c>
      <c r="J164" s="1272">
        <v>0</v>
      </c>
      <c r="K164" s="1272">
        <v>0</v>
      </c>
      <c r="L164" s="1272">
        <v>0</v>
      </c>
      <c r="M164" s="1272">
        <v>0</v>
      </c>
      <c r="N164" s="1272">
        <v>0</v>
      </c>
      <c r="O164" s="1272">
        <v>0</v>
      </c>
      <c r="P164" s="1272">
        <v>0</v>
      </c>
      <c r="Q164" s="1272">
        <v>0</v>
      </c>
      <c r="R164" s="1272">
        <v>0</v>
      </c>
      <c r="S164" s="1272">
        <v>0</v>
      </c>
      <c r="T164" s="1272">
        <v>0</v>
      </c>
      <c r="U164" s="1272">
        <v>0</v>
      </c>
      <c r="V164" s="1272">
        <v>0</v>
      </c>
      <c r="W164" s="1272">
        <v>0</v>
      </c>
      <c r="X164" s="1272">
        <v>0</v>
      </c>
      <c r="Y164" s="1272">
        <v>0</v>
      </c>
      <c r="Z164" s="1272">
        <v>0</v>
      </c>
      <c r="AA164" s="1272">
        <v>0</v>
      </c>
      <c r="AB164" s="1272">
        <v>0</v>
      </c>
      <c r="AC164" s="1272">
        <v>0</v>
      </c>
      <c r="AD164" s="1272">
        <v>0</v>
      </c>
      <c r="AE164" s="1272">
        <v>0</v>
      </c>
      <c r="AF164" s="1272">
        <v>0</v>
      </c>
      <c r="AG164" s="1272">
        <v>0</v>
      </c>
      <c r="AH164" s="1272">
        <v>0</v>
      </c>
      <c r="AI164" s="1272">
        <v>0</v>
      </c>
      <c r="AJ164" s="1272">
        <v>0</v>
      </c>
      <c r="AK164" s="1272">
        <v>0</v>
      </c>
      <c r="AL164" s="1272">
        <v>0</v>
      </c>
      <c r="AM164" s="1269"/>
      <c r="AN164" s="1270"/>
      <c r="AO164" s="1269"/>
      <c r="AP164" s="1270"/>
      <c r="AQ164" s="1269"/>
      <c r="AR164" s="1270"/>
      <c r="AS164" s="275"/>
      <c r="AT164" s="275"/>
      <c r="AU164" s="275"/>
      <c r="AV164" s="275"/>
      <c r="AW164" s="275"/>
      <c r="AX164" s="275"/>
      <c r="AY164" s="275"/>
      <c r="AZ164" s="275"/>
      <c r="BA164" s="275"/>
      <c r="BB164" s="275"/>
      <c r="BC164" s="275"/>
      <c r="BD164" s="275"/>
      <c r="BE164" s="275"/>
      <c r="BF164" s="275"/>
      <c r="BG164" s="275"/>
      <c r="BH164" s="275"/>
      <c r="BI164" s="275"/>
      <c r="BJ164" s="275"/>
    </row>
    <row r="165" spans="1:62">
      <c r="A165" s="595"/>
      <c r="B165" s="598"/>
      <c r="C165" s="599"/>
      <c r="D165" s="17"/>
      <c r="E165" s="1130" t="str">
        <f>'Despesas com Pessoal'!F165</f>
        <v>P116</v>
      </c>
      <c r="F165" s="1120" t="str">
        <f>'Despesas com Pessoal'!G165</f>
        <v>Motorista Caminhão Pipa</v>
      </c>
      <c r="G165" s="1269"/>
      <c r="H165" s="1249"/>
      <c r="I165" s="1272">
        <v>0</v>
      </c>
      <c r="J165" s="1272">
        <v>0</v>
      </c>
      <c r="K165" s="1272">
        <v>0</v>
      </c>
      <c r="L165" s="1272">
        <v>0</v>
      </c>
      <c r="M165" s="1272">
        <v>0</v>
      </c>
      <c r="N165" s="1272">
        <v>0</v>
      </c>
      <c r="O165" s="1272">
        <v>0</v>
      </c>
      <c r="P165" s="1272">
        <v>0</v>
      </c>
      <c r="Q165" s="1272">
        <v>0</v>
      </c>
      <c r="R165" s="1272">
        <v>0</v>
      </c>
      <c r="S165" s="1272">
        <v>0</v>
      </c>
      <c r="T165" s="1272">
        <v>0</v>
      </c>
      <c r="U165" s="1272">
        <v>0</v>
      </c>
      <c r="V165" s="1272">
        <v>0</v>
      </c>
      <c r="W165" s="1272">
        <v>0</v>
      </c>
      <c r="X165" s="1272">
        <v>0</v>
      </c>
      <c r="Y165" s="1272">
        <v>0</v>
      </c>
      <c r="Z165" s="1272">
        <v>0</v>
      </c>
      <c r="AA165" s="1272">
        <v>0</v>
      </c>
      <c r="AB165" s="1272">
        <v>0</v>
      </c>
      <c r="AC165" s="1272">
        <v>0</v>
      </c>
      <c r="AD165" s="1272">
        <v>0</v>
      </c>
      <c r="AE165" s="1272">
        <v>0</v>
      </c>
      <c r="AF165" s="1272">
        <v>0</v>
      </c>
      <c r="AG165" s="1272">
        <v>0</v>
      </c>
      <c r="AH165" s="1272">
        <v>0</v>
      </c>
      <c r="AI165" s="1272">
        <v>0</v>
      </c>
      <c r="AJ165" s="1272">
        <v>0</v>
      </c>
      <c r="AK165" s="1272">
        <v>0</v>
      </c>
      <c r="AL165" s="1272">
        <v>0</v>
      </c>
      <c r="AM165" s="1269"/>
      <c r="AN165" s="1270"/>
      <c r="AO165" s="1269"/>
      <c r="AP165" s="1270"/>
      <c r="AQ165" s="1269"/>
      <c r="AR165" s="1270"/>
      <c r="AS165" s="275"/>
      <c r="AT165" s="275"/>
      <c r="AU165" s="275"/>
      <c r="AV165" s="275"/>
      <c r="AW165" s="275"/>
      <c r="AX165" s="275"/>
      <c r="AY165" s="275"/>
      <c r="AZ165" s="275"/>
      <c r="BA165" s="275"/>
      <c r="BB165" s="275"/>
      <c r="BC165" s="275"/>
      <c r="BD165" s="275"/>
      <c r="BE165" s="275"/>
      <c r="BF165" s="275"/>
      <c r="BG165" s="275"/>
      <c r="BH165" s="275"/>
      <c r="BI165" s="275"/>
      <c r="BJ165" s="275"/>
    </row>
    <row r="166" spans="1:62">
      <c r="A166" s="595"/>
      <c r="B166" s="598"/>
      <c r="C166" s="599"/>
      <c r="D166" s="17"/>
      <c r="E166" s="1130" t="str">
        <f>'Despesas com Pessoal'!F166</f>
        <v>P115</v>
      </c>
      <c r="F166" s="1120" t="str">
        <f>'Despesas com Pessoal'!G166</f>
        <v>Motorista Caminhão Boiadeiro</v>
      </c>
      <c r="G166" s="1269"/>
      <c r="H166" s="1249"/>
      <c r="I166" s="1272">
        <v>0</v>
      </c>
      <c r="J166" s="1272">
        <v>0</v>
      </c>
      <c r="K166" s="1272">
        <v>0</v>
      </c>
      <c r="L166" s="1272">
        <v>0</v>
      </c>
      <c r="M166" s="1272">
        <v>0</v>
      </c>
      <c r="N166" s="1272">
        <v>0</v>
      </c>
      <c r="O166" s="1272">
        <v>0</v>
      </c>
      <c r="P166" s="1272">
        <v>0</v>
      </c>
      <c r="Q166" s="1272">
        <v>0</v>
      </c>
      <c r="R166" s="1272">
        <v>0</v>
      </c>
      <c r="S166" s="1272">
        <v>0</v>
      </c>
      <c r="T166" s="1272">
        <v>0</v>
      </c>
      <c r="U166" s="1272">
        <v>0</v>
      </c>
      <c r="V166" s="1272">
        <v>0</v>
      </c>
      <c r="W166" s="1272">
        <v>0</v>
      </c>
      <c r="X166" s="1272">
        <v>0</v>
      </c>
      <c r="Y166" s="1272">
        <v>0</v>
      </c>
      <c r="Z166" s="1272">
        <v>0</v>
      </c>
      <c r="AA166" s="1272">
        <v>0</v>
      </c>
      <c r="AB166" s="1272">
        <v>0</v>
      </c>
      <c r="AC166" s="1272">
        <v>0</v>
      </c>
      <c r="AD166" s="1272">
        <v>0</v>
      </c>
      <c r="AE166" s="1272">
        <v>0</v>
      </c>
      <c r="AF166" s="1272">
        <v>0</v>
      </c>
      <c r="AG166" s="1272">
        <v>0</v>
      </c>
      <c r="AH166" s="1272">
        <v>0</v>
      </c>
      <c r="AI166" s="1272">
        <v>0</v>
      </c>
      <c r="AJ166" s="1272">
        <v>0</v>
      </c>
      <c r="AK166" s="1272">
        <v>0</v>
      </c>
      <c r="AL166" s="1272">
        <v>0</v>
      </c>
      <c r="AM166" s="1269"/>
      <c r="AN166" s="1270"/>
      <c r="AO166" s="1269"/>
      <c r="AP166" s="1270"/>
      <c r="AQ166" s="1269"/>
      <c r="AR166" s="1270"/>
      <c r="AS166" s="275"/>
      <c r="AT166" s="275"/>
      <c r="AU166" s="275"/>
      <c r="AV166" s="275"/>
      <c r="AW166" s="275"/>
      <c r="AX166" s="275"/>
      <c r="AY166" s="275"/>
      <c r="AZ166" s="275"/>
      <c r="BA166" s="275"/>
      <c r="BB166" s="275"/>
      <c r="BC166" s="275"/>
      <c r="BD166" s="275"/>
      <c r="BE166" s="275"/>
      <c r="BF166" s="275"/>
      <c r="BG166" s="275"/>
      <c r="BH166" s="275"/>
      <c r="BI166" s="275"/>
      <c r="BJ166" s="275"/>
    </row>
    <row r="167" spans="1:62">
      <c r="A167" s="595"/>
      <c r="B167" s="598"/>
      <c r="C167" s="599"/>
      <c r="D167" s="17"/>
      <c r="E167" s="1129" t="str">
        <f>'Despesas com Pessoal'!F167</f>
        <v>P111</v>
      </c>
      <c r="F167" s="1120" t="str">
        <f>'Despesas com Pessoal'!G167</f>
        <v>Mecânico</v>
      </c>
      <c r="G167" s="1269"/>
      <c r="H167" s="1249"/>
      <c r="I167" s="1272">
        <v>0</v>
      </c>
      <c r="J167" s="1272">
        <v>0</v>
      </c>
      <c r="K167" s="1272">
        <v>0</v>
      </c>
      <c r="L167" s="1272">
        <v>0</v>
      </c>
      <c r="M167" s="1272">
        <v>0</v>
      </c>
      <c r="N167" s="1272">
        <v>0</v>
      </c>
      <c r="O167" s="1272">
        <v>0</v>
      </c>
      <c r="P167" s="1272">
        <v>0</v>
      </c>
      <c r="Q167" s="1272">
        <v>0</v>
      </c>
      <c r="R167" s="1272">
        <v>0</v>
      </c>
      <c r="S167" s="1272">
        <v>0</v>
      </c>
      <c r="T167" s="1272">
        <v>0</v>
      </c>
      <c r="U167" s="1272">
        <v>0</v>
      </c>
      <c r="V167" s="1272">
        <v>0</v>
      </c>
      <c r="W167" s="1272">
        <v>0</v>
      </c>
      <c r="X167" s="1272">
        <v>0</v>
      </c>
      <c r="Y167" s="1272">
        <v>0</v>
      </c>
      <c r="Z167" s="1272">
        <v>0</v>
      </c>
      <c r="AA167" s="1272">
        <v>0</v>
      </c>
      <c r="AB167" s="1272">
        <v>0</v>
      </c>
      <c r="AC167" s="1272">
        <v>0</v>
      </c>
      <c r="AD167" s="1272">
        <v>0</v>
      </c>
      <c r="AE167" s="1272">
        <v>0</v>
      </c>
      <c r="AF167" s="1272">
        <v>0</v>
      </c>
      <c r="AG167" s="1272">
        <v>0</v>
      </c>
      <c r="AH167" s="1272">
        <v>0</v>
      </c>
      <c r="AI167" s="1272">
        <v>0</v>
      </c>
      <c r="AJ167" s="1272">
        <v>0</v>
      </c>
      <c r="AK167" s="1272">
        <v>0</v>
      </c>
      <c r="AL167" s="1272">
        <v>0</v>
      </c>
      <c r="AM167" s="1269"/>
      <c r="AN167" s="1270"/>
      <c r="AO167" s="1269"/>
      <c r="AP167" s="1270"/>
      <c r="AQ167" s="1269"/>
      <c r="AR167" s="1270"/>
      <c r="AS167" s="275"/>
      <c r="AT167" s="275"/>
      <c r="AU167" s="275"/>
      <c r="AV167" s="275"/>
      <c r="AW167" s="275"/>
      <c r="AX167" s="275"/>
      <c r="AY167" s="275"/>
      <c r="AZ167" s="275"/>
      <c r="BA167" s="275"/>
      <c r="BB167" s="275"/>
      <c r="BC167" s="275"/>
      <c r="BD167" s="275"/>
      <c r="BE167" s="275"/>
      <c r="BF167" s="275"/>
      <c r="BG167" s="275"/>
      <c r="BH167" s="275"/>
      <c r="BI167" s="275"/>
      <c r="BJ167" s="275"/>
    </row>
    <row r="168" spans="1:62">
      <c r="A168" s="595"/>
      <c r="B168" s="598"/>
      <c r="C168" s="599"/>
      <c r="D168" s="18" t="s">
        <v>1384</v>
      </c>
      <c r="E168" s="1129"/>
      <c r="F168" s="1126" t="s">
        <v>893</v>
      </c>
      <c r="G168" s="1273"/>
      <c r="H168" s="1249"/>
      <c r="I168" s="1250"/>
      <c r="J168" s="1250"/>
      <c r="K168" s="1250"/>
      <c r="L168" s="1250"/>
      <c r="M168" s="1250"/>
      <c r="N168" s="1250"/>
      <c r="O168" s="1250"/>
      <c r="P168" s="1250"/>
      <c r="Q168" s="1250"/>
      <c r="R168" s="1250"/>
      <c r="S168" s="1250"/>
      <c r="T168" s="1250"/>
      <c r="U168" s="1250"/>
      <c r="V168" s="1250"/>
      <c r="W168" s="1250"/>
      <c r="X168" s="1250"/>
      <c r="Y168" s="1250"/>
      <c r="Z168" s="1250"/>
      <c r="AA168" s="1250"/>
      <c r="AB168" s="1250"/>
      <c r="AC168" s="1250"/>
      <c r="AD168" s="1250"/>
      <c r="AE168" s="1250"/>
      <c r="AF168" s="1250"/>
      <c r="AG168" s="1250"/>
      <c r="AH168" s="1250"/>
      <c r="AI168" s="1250"/>
      <c r="AJ168" s="1250"/>
      <c r="AK168" s="1250"/>
      <c r="AL168" s="1250"/>
      <c r="AM168" s="1273"/>
      <c r="AN168" s="1274"/>
      <c r="AO168" s="1273"/>
      <c r="AP168" s="1274"/>
      <c r="AQ168" s="1273"/>
      <c r="AR168" s="1270"/>
      <c r="AS168" s="275"/>
      <c r="AT168" s="275"/>
      <c r="AU168" s="275"/>
      <c r="AV168" s="275"/>
      <c r="AW168" s="275"/>
      <c r="AX168" s="275"/>
      <c r="AY168" s="275"/>
      <c r="AZ168" s="275"/>
      <c r="BA168" s="275"/>
      <c r="BB168" s="275"/>
      <c r="BC168" s="275"/>
      <c r="BD168" s="275"/>
      <c r="BE168" s="275"/>
      <c r="BF168" s="275"/>
      <c r="BG168" s="275"/>
      <c r="BH168" s="275"/>
      <c r="BI168" s="275"/>
      <c r="BJ168" s="275"/>
    </row>
    <row r="169" spans="1:62">
      <c r="A169" s="595"/>
      <c r="B169" s="598"/>
      <c r="C169" s="599"/>
      <c r="D169" s="18"/>
      <c r="E169" s="1129" t="str">
        <f>'Despesas com Pessoal'!F169</f>
        <v>P085</v>
      </c>
      <c r="F169" s="1120" t="str">
        <f>'Despesas com Pessoal'!G169</f>
        <v>Encarregado de Patrimônio</v>
      </c>
      <c r="G169" s="1269" t="s">
        <v>1376</v>
      </c>
      <c r="H169" s="1249">
        <v>1</v>
      </c>
      <c r="I169" s="1250">
        <v>1</v>
      </c>
      <c r="J169" s="1250">
        <f>I169</f>
        <v>1</v>
      </c>
      <c r="K169" s="1250">
        <f t="shared" ref="K169:AL169" si="296">J169</f>
        <v>1</v>
      </c>
      <c r="L169" s="1250">
        <f t="shared" si="296"/>
        <v>1</v>
      </c>
      <c r="M169" s="1250">
        <f t="shared" si="296"/>
        <v>1</v>
      </c>
      <c r="N169" s="1250">
        <f t="shared" si="296"/>
        <v>1</v>
      </c>
      <c r="O169" s="1250">
        <f t="shared" si="296"/>
        <v>1</v>
      </c>
      <c r="P169" s="1250">
        <f t="shared" si="296"/>
        <v>1</v>
      </c>
      <c r="Q169" s="1250">
        <f t="shared" si="296"/>
        <v>1</v>
      </c>
      <c r="R169" s="1250">
        <f t="shared" si="296"/>
        <v>1</v>
      </c>
      <c r="S169" s="1250">
        <f t="shared" si="296"/>
        <v>1</v>
      </c>
      <c r="T169" s="1250">
        <f t="shared" si="296"/>
        <v>1</v>
      </c>
      <c r="U169" s="1250">
        <f t="shared" si="296"/>
        <v>1</v>
      </c>
      <c r="V169" s="1250">
        <f t="shared" si="296"/>
        <v>1</v>
      </c>
      <c r="W169" s="1250">
        <f t="shared" si="296"/>
        <v>1</v>
      </c>
      <c r="X169" s="1250">
        <f t="shared" si="296"/>
        <v>1</v>
      </c>
      <c r="Y169" s="1250">
        <f t="shared" si="296"/>
        <v>1</v>
      </c>
      <c r="Z169" s="1250">
        <f t="shared" si="296"/>
        <v>1</v>
      </c>
      <c r="AA169" s="1250">
        <f t="shared" si="296"/>
        <v>1</v>
      </c>
      <c r="AB169" s="1250">
        <f t="shared" si="296"/>
        <v>1</v>
      </c>
      <c r="AC169" s="1250">
        <f t="shared" si="296"/>
        <v>1</v>
      </c>
      <c r="AD169" s="1250">
        <f t="shared" si="296"/>
        <v>1</v>
      </c>
      <c r="AE169" s="1250">
        <f t="shared" si="296"/>
        <v>1</v>
      </c>
      <c r="AF169" s="1250">
        <f t="shared" si="296"/>
        <v>1</v>
      </c>
      <c r="AG169" s="1250">
        <f t="shared" si="296"/>
        <v>1</v>
      </c>
      <c r="AH169" s="1250">
        <f t="shared" si="296"/>
        <v>1</v>
      </c>
      <c r="AI169" s="1250">
        <f t="shared" si="296"/>
        <v>1</v>
      </c>
      <c r="AJ169" s="1250">
        <f t="shared" si="296"/>
        <v>1</v>
      </c>
      <c r="AK169" s="1250">
        <f t="shared" si="296"/>
        <v>1</v>
      </c>
      <c r="AL169" s="1250">
        <f t="shared" si="296"/>
        <v>1</v>
      </c>
      <c r="AM169" s="1269" t="s">
        <v>1369</v>
      </c>
      <c r="AN169" s="1270">
        <f>MAX(I169:AL169)</f>
        <v>1</v>
      </c>
      <c r="AO169" s="1271" t="s">
        <v>1370</v>
      </c>
      <c r="AP169" s="1270">
        <v>1</v>
      </c>
      <c r="AQ169" s="1271" t="s">
        <v>1374</v>
      </c>
      <c r="AR169" s="1270">
        <f t="shared" ref="AR169" si="297">MAX(I169:AL169)</f>
        <v>1</v>
      </c>
      <c r="AS169" s="275"/>
      <c r="AT169" s="275"/>
      <c r="AU169" s="275"/>
      <c r="AV169" s="275"/>
      <c r="AW169" s="275"/>
      <c r="AX169" s="275"/>
      <c r="AY169" s="275"/>
      <c r="AZ169" s="275"/>
      <c r="BA169" s="275"/>
      <c r="BB169" s="275"/>
      <c r="BC169" s="275"/>
      <c r="BD169" s="275"/>
      <c r="BE169" s="275"/>
      <c r="BF169" s="275"/>
      <c r="BG169" s="275"/>
      <c r="BH169" s="275"/>
      <c r="BI169" s="275"/>
      <c r="BJ169" s="275"/>
    </row>
    <row r="170" spans="1:62">
      <c r="A170" s="595"/>
      <c r="B170" s="598"/>
      <c r="C170" s="599"/>
      <c r="D170" s="18"/>
      <c r="E170" s="1129" t="str">
        <f>'Despesas com Pessoal'!F170</f>
        <v>P160</v>
      </c>
      <c r="F170" s="1120" t="str">
        <f>'Despesas com Pessoal'!G170</f>
        <v>Vigia</v>
      </c>
      <c r="G170" s="1269"/>
      <c r="H170" s="1249"/>
      <c r="I170" s="1272">
        <v>50</v>
      </c>
      <c r="J170" s="1272">
        <v>50</v>
      </c>
      <c r="K170" s="1272">
        <v>50</v>
      </c>
      <c r="L170" s="1272">
        <v>50</v>
      </c>
      <c r="M170" s="1272">
        <v>50</v>
      </c>
      <c r="N170" s="1272">
        <v>50</v>
      </c>
      <c r="O170" s="1272">
        <v>50</v>
      </c>
      <c r="P170" s="1272">
        <v>50</v>
      </c>
      <c r="Q170" s="1272">
        <v>50</v>
      </c>
      <c r="R170" s="1272">
        <v>50</v>
      </c>
      <c r="S170" s="1272">
        <v>50</v>
      </c>
      <c r="T170" s="1272">
        <v>50</v>
      </c>
      <c r="U170" s="1272">
        <v>50</v>
      </c>
      <c r="V170" s="1272">
        <v>50</v>
      </c>
      <c r="W170" s="1272">
        <v>50</v>
      </c>
      <c r="X170" s="1272">
        <v>50</v>
      </c>
      <c r="Y170" s="1272">
        <v>50</v>
      </c>
      <c r="Z170" s="1272">
        <v>50</v>
      </c>
      <c r="AA170" s="1272">
        <v>50</v>
      </c>
      <c r="AB170" s="1272">
        <v>50</v>
      </c>
      <c r="AC170" s="1272">
        <v>50</v>
      </c>
      <c r="AD170" s="1272">
        <v>50</v>
      </c>
      <c r="AE170" s="1272">
        <v>50</v>
      </c>
      <c r="AF170" s="1272">
        <v>50</v>
      </c>
      <c r="AG170" s="1272">
        <v>50</v>
      </c>
      <c r="AH170" s="1272">
        <v>50</v>
      </c>
      <c r="AI170" s="1272">
        <v>50</v>
      </c>
      <c r="AJ170" s="1272">
        <v>50</v>
      </c>
      <c r="AK170" s="1272">
        <v>50</v>
      </c>
      <c r="AL170" s="1272">
        <v>50</v>
      </c>
      <c r="AM170" s="1269"/>
      <c r="AN170" s="1270"/>
      <c r="AO170" s="1269"/>
      <c r="AP170" s="1270"/>
      <c r="AQ170" s="1269"/>
      <c r="AR170" s="1270"/>
      <c r="AS170" s="275"/>
      <c r="AT170" s="275"/>
      <c r="AU170" s="275"/>
      <c r="AV170" s="275"/>
      <c r="AW170" s="275"/>
      <c r="AX170" s="275"/>
      <c r="AY170" s="275"/>
      <c r="AZ170" s="275"/>
      <c r="BA170" s="275"/>
      <c r="BB170" s="275"/>
      <c r="BC170" s="275"/>
      <c r="BD170" s="275"/>
      <c r="BE170" s="275"/>
      <c r="BF170" s="275"/>
      <c r="BG170" s="275"/>
      <c r="BH170" s="275"/>
      <c r="BI170" s="275"/>
      <c r="BJ170" s="275"/>
    </row>
    <row r="171" spans="1:62">
      <c r="A171" s="595"/>
      <c r="B171" s="598"/>
      <c r="C171" s="599"/>
      <c r="D171" s="18"/>
      <c r="E171" s="1129" t="str">
        <f>'Despesas com Pessoal'!F171</f>
        <v>P131</v>
      </c>
      <c r="F171" s="1120" t="str">
        <f>'Despesas com Pessoal'!G171</f>
        <v>Porteiro</v>
      </c>
      <c r="G171" s="1269"/>
      <c r="H171" s="1249"/>
      <c r="I171" s="1250">
        <v>1</v>
      </c>
      <c r="J171" s="1250">
        <f>I171</f>
        <v>1</v>
      </c>
      <c r="K171" s="1250">
        <f t="shared" ref="K171:AL171" si="298">J171</f>
        <v>1</v>
      </c>
      <c r="L171" s="1250">
        <f t="shared" si="298"/>
        <v>1</v>
      </c>
      <c r="M171" s="1250">
        <f t="shared" si="298"/>
        <v>1</v>
      </c>
      <c r="N171" s="1250">
        <f t="shared" si="298"/>
        <v>1</v>
      </c>
      <c r="O171" s="1250">
        <f t="shared" si="298"/>
        <v>1</v>
      </c>
      <c r="P171" s="1250">
        <f t="shared" si="298"/>
        <v>1</v>
      </c>
      <c r="Q171" s="1250">
        <f t="shared" si="298"/>
        <v>1</v>
      </c>
      <c r="R171" s="1250">
        <f t="shared" si="298"/>
        <v>1</v>
      </c>
      <c r="S171" s="1250">
        <f t="shared" si="298"/>
        <v>1</v>
      </c>
      <c r="T171" s="1250">
        <f t="shared" si="298"/>
        <v>1</v>
      </c>
      <c r="U171" s="1250">
        <f t="shared" si="298"/>
        <v>1</v>
      </c>
      <c r="V171" s="1250">
        <f t="shared" si="298"/>
        <v>1</v>
      </c>
      <c r="W171" s="1250">
        <f t="shared" si="298"/>
        <v>1</v>
      </c>
      <c r="X171" s="1250">
        <f t="shared" si="298"/>
        <v>1</v>
      </c>
      <c r="Y171" s="1250">
        <f t="shared" si="298"/>
        <v>1</v>
      </c>
      <c r="Z171" s="1250">
        <f t="shared" si="298"/>
        <v>1</v>
      </c>
      <c r="AA171" s="1250">
        <f t="shared" si="298"/>
        <v>1</v>
      </c>
      <c r="AB171" s="1250">
        <f t="shared" si="298"/>
        <v>1</v>
      </c>
      <c r="AC171" s="1250">
        <f t="shared" si="298"/>
        <v>1</v>
      </c>
      <c r="AD171" s="1250">
        <f t="shared" si="298"/>
        <v>1</v>
      </c>
      <c r="AE171" s="1250">
        <f t="shared" si="298"/>
        <v>1</v>
      </c>
      <c r="AF171" s="1250">
        <f t="shared" si="298"/>
        <v>1</v>
      </c>
      <c r="AG171" s="1250">
        <f t="shared" si="298"/>
        <v>1</v>
      </c>
      <c r="AH171" s="1250">
        <f t="shared" si="298"/>
        <v>1</v>
      </c>
      <c r="AI171" s="1250">
        <f t="shared" si="298"/>
        <v>1</v>
      </c>
      <c r="AJ171" s="1250">
        <f t="shared" si="298"/>
        <v>1</v>
      </c>
      <c r="AK171" s="1250">
        <f t="shared" si="298"/>
        <v>1</v>
      </c>
      <c r="AL171" s="1250">
        <f t="shared" si="298"/>
        <v>1</v>
      </c>
      <c r="AM171" s="1269"/>
      <c r="AN171" s="1270"/>
      <c r="AO171" s="1269"/>
      <c r="AP171" s="1270"/>
      <c r="AQ171" s="1269"/>
      <c r="AR171" s="1270"/>
      <c r="AS171" s="275"/>
      <c r="AT171" s="275"/>
      <c r="AU171" s="275"/>
      <c r="AV171" s="275"/>
      <c r="AW171" s="275"/>
      <c r="AX171" s="275"/>
      <c r="AY171" s="275"/>
      <c r="AZ171" s="275"/>
      <c r="BA171" s="275"/>
      <c r="BB171" s="275"/>
      <c r="BC171" s="275"/>
      <c r="BD171" s="275"/>
      <c r="BE171" s="275"/>
      <c r="BF171" s="275"/>
      <c r="BG171" s="275"/>
      <c r="BH171" s="275"/>
      <c r="BI171" s="275"/>
      <c r="BJ171" s="275"/>
    </row>
    <row r="172" spans="1:62">
      <c r="A172" s="595"/>
      <c r="B172" s="598"/>
      <c r="C172" s="599"/>
      <c r="D172" s="18"/>
      <c r="E172" s="1129" t="str">
        <f>'Despesas com Pessoal'!F172</f>
        <v>P037</v>
      </c>
      <c r="F172" s="1120" t="str">
        <f>'Despesas com Pessoal'!G172</f>
        <v>Auxiliar Administrativo I</v>
      </c>
      <c r="G172" s="1269"/>
      <c r="H172" s="1249"/>
      <c r="I172" s="1250"/>
      <c r="J172" s="1250"/>
      <c r="K172" s="1250"/>
      <c r="L172" s="1250"/>
      <c r="M172" s="1250"/>
      <c r="N172" s="1250"/>
      <c r="O172" s="1250"/>
      <c r="P172" s="1250"/>
      <c r="Q172" s="1250"/>
      <c r="R172" s="1250"/>
      <c r="S172" s="1250"/>
      <c r="T172" s="1250"/>
      <c r="U172" s="1250"/>
      <c r="V172" s="1250"/>
      <c r="W172" s="1250"/>
      <c r="X172" s="1250"/>
      <c r="Y172" s="1250"/>
      <c r="Z172" s="1250"/>
      <c r="AA172" s="1250"/>
      <c r="AB172" s="1250"/>
      <c r="AC172" s="1250"/>
      <c r="AD172" s="1250"/>
      <c r="AE172" s="1250"/>
      <c r="AF172" s="1250"/>
      <c r="AG172" s="1250"/>
      <c r="AH172" s="1250"/>
      <c r="AI172" s="1250"/>
      <c r="AJ172" s="1250"/>
      <c r="AK172" s="1250"/>
      <c r="AL172" s="1250"/>
      <c r="AM172" s="1269"/>
      <c r="AN172" s="1270"/>
      <c r="AO172" s="1271"/>
      <c r="AP172" s="1270"/>
      <c r="AQ172" s="1271"/>
      <c r="AR172" s="1270"/>
      <c r="AS172" s="275"/>
      <c r="AT172" s="275"/>
      <c r="AU172" s="275"/>
      <c r="AV172" s="275"/>
      <c r="AW172" s="275"/>
      <c r="AX172" s="275"/>
      <c r="AY172" s="275"/>
      <c r="AZ172" s="275"/>
      <c r="BA172" s="275"/>
      <c r="BB172" s="275"/>
      <c r="BC172" s="275"/>
      <c r="BD172" s="275"/>
      <c r="BE172" s="275"/>
      <c r="BF172" s="275"/>
      <c r="BG172" s="275"/>
      <c r="BH172" s="275"/>
      <c r="BI172" s="275"/>
      <c r="BJ172" s="275"/>
    </row>
    <row r="173" spans="1:62">
      <c r="A173" s="595"/>
      <c r="B173" s="598"/>
      <c r="C173" s="599"/>
      <c r="D173" s="18"/>
      <c r="E173" s="1129" t="str">
        <f>'Despesas com Pessoal'!F173</f>
        <v>P114</v>
      </c>
      <c r="F173" s="1120" t="str">
        <f>'Despesas com Pessoal'!G173</f>
        <v>Motorista</v>
      </c>
      <c r="G173" s="1269"/>
      <c r="H173" s="1249"/>
      <c r="I173" s="1250"/>
      <c r="J173" s="1250"/>
      <c r="K173" s="1250"/>
      <c r="L173" s="1250"/>
      <c r="M173" s="1250"/>
      <c r="N173" s="1250"/>
      <c r="O173" s="1250"/>
      <c r="P173" s="1250"/>
      <c r="Q173" s="1250"/>
      <c r="R173" s="1250"/>
      <c r="S173" s="1250"/>
      <c r="T173" s="1250"/>
      <c r="U173" s="1250"/>
      <c r="V173" s="1250"/>
      <c r="W173" s="1250"/>
      <c r="X173" s="1250"/>
      <c r="Y173" s="1250"/>
      <c r="Z173" s="1250"/>
      <c r="AA173" s="1250"/>
      <c r="AB173" s="1250"/>
      <c r="AC173" s="1250"/>
      <c r="AD173" s="1250"/>
      <c r="AE173" s="1250"/>
      <c r="AF173" s="1250"/>
      <c r="AG173" s="1250"/>
      <c r="AH173" s="1250"/>
      <c r="AI173" s="1250"/>
      <c r="AJ173" s="1250"/>
      <c r="AK173" s="1250"/>
      <c r="AL173" s="1250"/>
      <c r="AM173" s="1269"/>
      <c r="AN173" s="1270"/>
      <c r="AO173" s="1269"/>
      <c r="AP173" s="1270"/>
      <c r="AQ173" s="1269"/>
      <c r="AR173" s="1270"/>
      <c r="AS173" s="275"/>
      <c r="AT173" s="275"/>
      <c r="AU173" s="275"/>
      <c r="AV173" s="275"/>
      <c r="AW173" s="275"/>
      <c r="AX173" s="275"/>
      <c r="AY173" s="275"/>
      <c r="AZ173" s="275"/>
      <c r="BA173" s="275"/>
      <c r="BB173" s="275"/>
      <c r="BC173" s="275"/>
      <c r="BD173" s="275"/>
      <c r="BE173" s="275"/>
      <c r="BF173" s="275"/>
      <c r="BG173" s="275"/>
      <c r="BH173" s="275"/>
      <c r="BI173" s="275"/>
      <c r="BJ173" s="275"/>
    </row>
    <row r="174" spans="1:62">
      <c r="A174" s="595"/>
      <c r="B174" s="598"/>
      <c r="C174" s="599"/>
      <c r="D174" s="11" t="s">
        <v>1368</v>
      </c>
      <c r="E174" s="1129"/>
      <c r="F174" s="1126" t="s">
        <v>897</v>
      </c>
      <c r="G174" s="1277"/>
      <c r="H174" s="1249"/>
      <c r="I174" s="1245"/>
      <c r="J174" s="1245"/>
      <c r="K174" s="1245"/>
      <c r="L174" s="1245"/>
      <c r="M174" s="1245"/>
      <c r="N174" s="1245"/>
      <c r="O174" s="1245"/>
      <c r="P174" s="1245"/>
      <c r="Q174" s="1245"/>
      <c r="R174" s="1245"/>
      <c r="S174" s="1245"/>
      <c r="T174" s="1245"/>
      <c r="U174" s="1245"/>
      <c r="V174" s="1245"/>
      <c r="W174" s="1245"/>
      <c r="X174" s="1245"/>
      <c r="Y174" s="1245"/>
      <c r="Z174" s="1245"/>
      <c r="AA174" s="1245"/>
      <c r="AB174" s="1245"/>
      <c r="AC174" s="1245"/>
      <c r="AD174" s="1245"/>
      <c r="AE174" s="1257"/>
      <c r="AF174" s="1258"/>
      <c r="AG174" s="1258"/>
      <c r="AH174" s="1258"/>
      <c r="AI174" s="1258"/>
      <c r="AJ174" s="1258"/>
      <c r="AK174" s="1258"/>
      <c r="AL174" s="1258"/>
      <c r="AM174" s="1277"/>
      <c r="AN174" s="1278"/>
      <c r="AO174" s="1277"/>
      <c r="AP174" s="1278"/>
      <c r="AQ174" s="1277"/>
      <c r="AR174" s="1270">
        <f>MAX(I174:AL174)</f>
        <v>0</v>
      </c>
      <c r="AS174" s="275"/>
      <c r="AT174" s="275"/>
      <c r="AU174" s="275"/>
      <c r="AV174" s="275"/>
      <c r="AW174" s="275"/>
      <c r="AX174" s="275"/>
      <c r="AY174" s="275"/>
      <c r="AZ174" s="275"/>
      <c r="BA174" s="275"/>
      <c r="BB174" s="275"/>
      <c r="BC174" s="275"/>
      <c r="BD174" s="275"/>
      <c r="BE174" s="275"/>
      <c r="BF174" s="275"/>
      <c r="BG174" s="275"/>
      <c r="BH174" s="275"/>
      <c r="BI174" s="275"/>
      <c r="BJ174" s="275"/>
    </row>
    <row r="175" spans="1:62">
      <c r="A175" s="595"/>
      <c r="B175" s="598"/>
      <c r="C175" s="599"/>
      <c r="D175" s="11"/>
      <c r="E175" s="1129" t="str">
        <f>'Despesas com Pessoal'!F175</f>
        <v>P086</v>
      </c>
      <c r="F175" s="1247" t="str">
        <f>'Despesas com Pessoal'!G175</f>
        <v>Encarregado de Transportes</v>
      </c>
      <c r="G175" s="1269" t="s">
        <v>1376</v>
      </c>
      <c r="H175" s="1249">
        <v>1</v>
      </c>
      <c r="I175" s="1250">
        <v>1</v>
      </c>
      <c r="J175" s="1250">
        <v>1</v>
      </c>
      <c r="K175" s="1250">
        <v>1</v>
      </c>
      <c r="L175" s="1250">
        <v>1</v>
      </c>
      <c r="M175" s="1250">
        <v>1</v>
      </c>
      <c r="N175" s="1250">
        <v>1</v>
      </c>
      <c r="O175" s="1250">
        <v>1</v>
      </c>
      <c r="P175" s="1250">
        <v>1</v>
      </c>
      <c r="Q175" s="1250">
        <v>1</v>
      </c>
      <c r="R175" s="1250">
        <v>1</v>
      </c>
      <c r="S175" s="1250">
        <v>1</v>
      </c>
      <c r="T175" s="1250">
        <v>1</v>
      </c>
      <c r="U175" s="1250">
        <v>1</v>
      </c>
      <c r="V175" s="1250">
        <v>1</v>
      </c>
      <c r="W175" s="1250">
        <v>1</v>
      </c>
      <c r="X175" s="1250">
        <v>1</v>
      </c>
      <c r="Y175" s="1250">
        <v>1</v>
      </c>
      <c r="Z175" s="1250">
        <v>1</v>
      </c>
      <c r="AA175" s="1250">
        <v>1</v>
      </c>
      <c r="AB175" s="1250">
        <v>1</v>
      </c>
      <c r="AC175" s="1250">
        <v>1</v>
      </c>
      <c r="AD175" s="1250">
        <v>1</v>
      </c>
      <c r="AE175" s="1250">
        <v>1</v>
      </c>
      <c r="AF175" s="1250">
        <v>1</v>
      </c>
      <c r="AG175" s="1250">
        <v>1</v>
      </c>
      <c r="AH175" s="1250">
        <v>1</v>
      </c>
      <c r="AI175" s="1250">
        <v>1</v>
      </c>
      <c r="AJ175" s="1250">
        <v>1</v>
      </c>
      <c r="AK175" s="1250">
        <v>1</v>
      </c>
      <c r="AL175" s="1250">
        <v>1</v>
      </c>
      <c r="AM175" s="1269" t="s">
        <v>1369</v>
      </c>
      <c r="AN175" s="1270">
        <f>MAX(I175:AL175)</f>
        <v>1</v>
      </c>
      <c r="AO175" s="1271" t="s">
        <v>1370</v>
      </c>
      <c r="AP175" s="1270">
        <v>1</v>
      </c>
      <c r="AQ175" s="1271" t="s">
        <v>1374</v>
      </c>
      <c r="AR175" s="1270">
        <f t="shared" ref="AR175" si="299">MAX(I175:AL175)</f>
        <v>1</v>
      </c>
      <c r="AS175" s="275"/>
      <c r="AT175" s="275"/>
      <c r="AU175" s="275"/>
      <c r="AV175" s="275"/>
      <c r="AW175" s="275"/>
      <c r="AX175" s="275"/>
      <c r="AY175" s="275"/>
      <c r="AZ175" s="275"/>
      <c r="BA175" s="275"/>
      <c r="BB175" s="275"/>
      <c r="BC175" s="275"/>
      <c r="BD175" s="275"/>
      <c r="BE175" s="275"/>
      <c r="BF175" s="275"/>
      <c r="BG175" s="275"/>
      <c r="BH175" s="275"/>
      <c r="BI175" s="275"/>
      <c r="BJ175" s="275"/>
    </row>
    <row r="176" spans="1:62">
      <c r="A176" s="595"/>
      <c r="B176" s="598"/>
      <c r="C176" s="599"/>
      <c r="D176" s="11"/>
      <c r="E176" s="1130" t="str">
        <f>'Despesas com Pessoal'!F176</f>
        <v>P150</v>
      </c>
      <c r="F176" s="1120" t="str">
        <f>'Despesas com Pessoal'!G176</f>
        <v>Técnico de Manutenção</v>
      </c>
      <c r="G176" s="1269"/>
      <c r="H176" s="1249"/>
      <c r="I176" s="1250"/>
      <c r="J176" s="1250">
        <f t="shared" ref="J176:AF181" si="300">I176</f>
        <v>0</v>
      </c>
      <c r="K176" s="1250">
        <f t="shared" si="300"/>
        <v>0</v>
      </c>
      <c r="L176" s="1250">
        <f t="shared" si="300"/>
        <v>0</v>
      </c>
      <c r="M176" s="1250">
        <f t="shared" si="300"/>
        <v>0</v>
      </c>
      <c r="N176" s="1250">
        <f t="shared" si="300"/>
        <v>0</v>
      </c>
      <c r="O176" s="1250">
        <f t="shared" si="300"/>
        <v>0</v>
      </c>
      <c r="P176" s="1250">
        <f t="shared" si="300"/>
        <v>0</v>
      </c>
      <c r="Q176" s="1250">
        <f t="shared" si="300"/>
        <v>0</v>
      </c>
      <c r="R176" s="1250">
        <f t="shared" si="300"/>
        <v>0</v>
      </c>
      <c r="S176" s="1250">
        <f t="shared" si="300"/>
        <v>0</v>
      </c>
      <c r="T176" s="1250">
        <f t="shared" si="300"/>
        <v>0</v>
      </c>
      <c r="U176" s="1250">
        <f t="shared" si="300"/>
        <v>0</v>
      </c>
      <c r="V176" s="1250">
        <f t="shared" si="300"/>
        <v>0</v>
      </c>
      <c r="W176" s="1250">
        <f t="shared" si="300"/>
        <v>0</v>
      </c>
      <c r="X176" s="1250">
        <f t="shared" si="300"/>
        <v>0</v>
      </c>
      <c r="Y176" s="1250">
        <f t="shared" si="300"/>
        <v>0</v>
      </c>
      <c r="Z176" s="1250">
        <f t="shared" si="300"/>
        <v>0</v>
      </c>
      <c r="AA176" s="1250">
        <f t="shared" si="300"/>
        <v>0</v>
      </c>
      <c r="AB176" s="1250">
        <f t="shared" si="300"/>
        <v>0</v>
      </c>
      <c r="AC176" s="1250">
        <f t="shared" si="300"/>
        <v>0</v>
      </c>
      <c r="AD176" s="1250">
        <f t="shared" si="300"/>
        <v>0</v>
      </c>
      <c r="AE176" s="1250">
        <f t="shared" si="300"/>
        <v>0</v>
      </c>
      <c r="AF176" s="1250">
        <f t="shared" si="300"/>
        <v>0</v>
      </c>
      <c r="AG176" s="1250">
        <f t="shared" ref="AG176:AG181" si="301">AF176</f>
        <v>0</v>
      </c>
      <c r="AH176" s="1250">
        <f t="shared" ref="AH176:AH181" si="302">AG176</f>
        <v>0</v>
      </c>
      <c r="AI176" s="1250">
        <f t="shared" ref="AI176:AI181" si="303">AH176</f>
        <v>0</v>
      </c>
      <c r="AJ176" s="1250">
        <f t="shared" ref="AJ176:AJ181" si="304">AI176</f>
        <v>0</v>
      </c>
      <c r="AK176" s="1250">
        <f t="shared" ref="AK176:AK181" si="305">AJ176</f>
        <v>0</v>
      </c>
      <c r="AL176" s="1250">
        <f t="shared" ref="AL176:AL181" si="306">AK176</f>
        <v>0</v>
      </c>
      <c r="AM176" s="1269"/>
      <c r="AN176" s="1270"/>
      <c r="AO176" s="1271"/>
      <c r="AP176" s="1270"/>
      <c r="AQ176" s="1271"/>
      <c r="AR176" s="1270"/>
      <c r="AS176" s="275"/>
      <c r="AT176" s="275"/>
      <c r="AU176" s="275"/>
      <c r="AV176" s="275"/>
      <c r="AW176" s="275"/>
      <c r="AX176" s="275"/>
      <c r="AY176" s="275"/>
      <c r="AZ176" s="275"/>
      <c r="BA176" s="275"/>
      <c r="BB176" s="275"/>
      <c r="BC176" s="275"/>
      <c r="BD176" s="275"/>
      <c r="BE176" s="275"/>
      <c r="BF176" s="275"/>
      <c r="BG176" s="275"/>
      <c r="BH176" s="275"/>
      <c r="BI176" s="275"/>
      <c r="BJ176" s="275"/>
    </row>
    <row r="177" spans="1:62">
      <c r="A177" s="595"/>
      <c r="B177" s="598"/>
      <c r="C177" s="599"/>
      <c r="D177" s="11"/>
      <c r="E177" s="1129" t="str">
        <f>'Despesas com Pessoal'!F177</f>
        <v>P111</v>
      </c>
      <c r="F177" s="1120" t="str">
        <f>'Despesas com Pessoal'!G177</f>
        <v>Mecânico</v>
      </c>
      <c r="G177" s="1269"/>
      <c r="H177" s="1249"/>
      <c r="I177" s="1250">
        <v>1</v>
      </c>
      <c r="J177" s="1250">
        <v>1</v>
      </c>
      <c r="K177" s="1250">
        <f t="shared" si="300"/>
        <v>1</v>
      </c>
      <c r="L177" s="1250">
        <f t="shared" si="300"/>
        <v>1</v>
      </c>
      <c r="M177" s="1250">
        <f t="shared" si="300"/>
        <v>1</v>
      </c>
      <c r="N177" s="1250">
        <f t="shared" si="300"/>
        <v>1</v>
      </c>
      <c r="O177" s="1250">
        <f t="shared" si="300"/>
        <v>1</v>
      </c>
      <c r="P177" s="1250">
        <f t="shared" si="300"/>
        <v>1</v>
      </c>
      <c r="Q177" s="1250">
        <f t="shared" si="300"/>
        <v>1</v>
      </c>
      <c r="R177" s="1250">
        <f t="shared" si="300"/>
        <v>1</v>
      </c>
      <c r="S177" s="1250">
        <f t="shared" si="300"/>
        <v>1</v>
      </c>
      <c r="T177" s="1250">
        <f t="shared" si="300"/>
        <v>1</v>
      </c>
      <c r="U177" s="1250">
        <f t="shared" si="300"/>
        <v>1</v>
      </c>
      <c r="V177" s="1250">
        <f t="shared" si="300"/>
        <v>1</v>
      </c>
      <c r="W177" s="1250">
        <f t="shared" si="300"/>
        <v>1</v>
      </c>
      <c r="X177" s="1250">
        <f t="shared" si="300"/>
        <v>1</v>
      </c>
      <c r="Y177" s="1250">
        <f t="shared" si="300"/>
        <v>1</v>
      </c>
      <c r="Z177" s="1250">
        <f t="shared" si="300"/>
        <v>1</v>
      </c>
      <c r="AA177" s="1250">
        <f t="shared" si="300"/>
        <v>1</v>
      </c>
      <c r="AB177" s="1250">
        <f t="shared" si="300"/>
        <v>1</v>
      </c>
      <c r="AC177" s="1250">
        <f t="shared" si="300"/>
        <v>1</v>
      </c>
      <c r="AD177" s="1250">
        <f t="shared" si="300"/>
        <v>1</v>
      </c>
      <c r="AE177" s="1250">
        <f t="shared" si="300"/>
        <v>1</v>
      </c>
      <c r="AF177" s="1250">
        <f t="shared" si="300"/>
        <v>1</v>
      </c>
      <c r="AG177" s="1250">
        <f t="shared" si="301"/>
        <v>1</v>
      </c>
      <c r="AH177" s="1250">
        <f t="shared" si="302"/>
        <v>1</v>
      </c>
      <c r="AI177" s="1250">
        <f t="shared" si="303"/>
        <v>1</v>
      </c>
      <c r="AJ177" s="1250">
        <f t="shared" si="304"/>
        <v>1</v>
      </c>
      <c r="AK177" s="1250">
        <f t="shared" si="305"/>
        <v>1</v>
      </c>
      <c r="AL177" s="1250">
        <f t="shared" si="306"/>
        <v>1</v>
      </c>
      <c r="AM177" s="1269"/>
      <c r="AN177" s="1270"/>
      <c r="AO177" s="1269"/>
      <c r="AP177" s="1270"/>
      <c r="AQ177" s="1271"/>
      <c r="AR177" s="1270"/>
      <c r="AS177" s="275"/>
      <c r="AT177" s="275"/>
      <c r="AU177" s="275"/>
      <c r="AV177" s="275"/>
      <c r="AW177" s="275"/>
      <c r="AX177" s="275"/>
      <c r="AY177" s="275"/>
      <c r="AZ177" s="275"/>
      <c r="BA177" s="275"/>
      <c r="BB177" s="275"/>
      <c r="BC177" s="275"/>
      <c r="BD177" s="275"/>
      <c r="BE177" s="275"/>
      <c r="BF177" s="275"/>
      <c r="BG177" s="275"/>
      <c r="BH177" s="275"/>
      <c r="BI177" s="275"/>
      <c r="BJ177" s="275"/>
    </row>
    <row r="178" spans="1:62">
      <c r="A178" s="595"/>
      <c r="B178" s="598"/>
      <c r="C178" s="599"/>
      <c r="D178" s="11"/>
      <c r="E178" s="1129" t="str">
        <f>'Despesas com Pessoal'!F178</f>
        <v>P046</v>
      </c>
      <c r="F178" s="1120" t="str">
        <f>'Despesas com Pessoal'!G178</f>
        <v>Auxiliar de Mecânico</v>
      </c>
      <c r="G178" s="1269"/>
      <c r="H178" s="1249"/>
      <c r="I178" s="1250">
        <v>1</v>
      </c>
      <c r="J178" s="1250">
        <v>1</v>
      </c>
      <c r="K178" s="1250">
        <f t="shared" si="300"/>
        <v>1</v>
      </c>
      <c r="L178" s="1250">
        <f t="shared" si="300"/>
        <v>1</v>
      </c>
      <c r="M178" s="1250">
        <f t="shared" si="300"/>
        <v>1</v>
      </c>
      <c r="N178" s="1250">
        <f t="shared" si="300"/>
        <v>1</v>
      </c>
      <c r="O178" s="1250">
        <f t="shared" si="300"/>
        <v>1</v>
      </c>
      <c r="P178" s="1250">
        <f t="shared" si="300"/>
        <v>1</v>
      </c>
      <c r="Q178" s="1250">
        <f t="shared" si="300"/>
        <v>1</v>
      </c>
      <c r="R178" s="1250">
        <f t="shared" si="300"/>
        <v>1</v>
      </c>
      <c r="S178" s="1250">
        <f t="shared" si="300"/>
        <v>1</v>
      </c>
      <c r="T178" s="1250">
        <f t="shared" si="300"/>
        <v>1</v>
      </c>
      <c r="U178" s="1250">
        <f t="shared" si="300"/>
        <v>1</v>
      </c>
      <c r="V178" s="1250">
        <f t="shared" si="300"/>
        <v>1</v>
      </c>
      <c r="W178" s="1250">
        <f t="shared" si="300"/>
        <v>1</v>
      </c>
      <c r="X178" s="1250">
        <f t="shared" si="300"/>
        <v>1</v>
      </c>
      <c r="Y178" s="1250">
        <f t="shared" si="300"/>
        <v>1</v>
      </c>
      <c r="Z178" s="1250">
        <f t="shared" si="300"/>
        <v>1</v>
      </c>
      <c r="AA178" s="1250">
        <f t="shared" si="300"/>
        <v>1</v>
      </c>
      <c r="AB178" s="1250">
        <f t="shared" si="300"/>
        <v>1</v>
      </c>
      <c r="AC178" s="1250">
        <f t="shared" si="300"/>
        <v>1</v>
      </c>
      <c r="AD178" s="1250">
        <f t="shared" si="300"/>
        <v>1</v>
      </c>
      <c r="AE178" s="1250">
        <f t="shared" si="300"/>
        <v>1</v>
      </c>
      <c r="AF178" s="1250">
        <f t="shared" si="300"/>
        <v>1</v>
      </c>
      <c r="AG178" s="1250">
        <f t="shared" si="301"/>
        <v>1</v>
      </c>
      <c r="AH178" s="1250">
        <f t="shared" si="302"/>
        <v>1</v>
      </c>
      <c r="AI178" s="1250">
        <f t="shared" si="303"/>
        <v>1</v>
      </c>
      <c r="AJ178" s="1250">
        <f t="shared" si="304"/>
        <v>1</v>
      </c>
      <c r="AK178" s="1250">
        <f t="shared" si="305"/>
        <v>1</v>
      </c>
      <c r="AL178" s="1250">
        <f t="shared" si="306"/>
        <v>1</v>
      </c>
      <c r="AM178" s="1269"/>
      <c r="AN178" s="1270"/>
      <c r="AO178" s="1269"/>
      <c r="AP178" s="1270"/>
      <c r="AQ178" s="1271"/>
      <c r="AR178" s="1270"/>
      <c r="AS178" s="275"/>
      <c r="AT178" s="275"/>
      <c r="AU178" s="275"/>
      <c r="AV178" s="275"/>
      <c r="AW178" s="275"/>
      <c r="AX178" s="275"/>
      <c r="AY178" s="275"/>
      <c r="AZ178" s="275"/>
      <c r="BA178" s="275"/>
      <c r="BB178" s="275"/>
      <c r="BC178" s="275"/>
      <c r="BD178" s="275"/>
      <c r="BE178" s="275"/>
      <c r="BF178" s="275"/>
      <c r="BG178" s="275"/>
      <c r="BH178" s="275"/>
      <c r="BI178" s="275"/>
      <c r="BJ178" s="275"/>
    </row>
    <row r="179" spans="1:62">
      <c r="A179" s="595"/>
      <c r="B179" s="598"/>
      <c r="C179" s="599"/>
      <c r="D179" s="11"/>
      <c r="E179" s="1129" t="str">
        <f>'Despesas com Pessoal'!F179</f>
        <v>P201</v>
      </c>
      <c r="F179" s="1120" t="str">
        <f>'Despesas com Pessoal'!G179</f>
        <v>Eletricista CC</v>
      </c>
      <c r="G179" s="1269"/>
      <c r="H179" s="1249"/>
      <c r="I179" s="1250"/>
      <c r="J179" s="1250">
        <f>I179</f>
        <v>0</v>
      </c>
      <c r="K179" s="1250">
        <f t="shared" si="300"/>
        <v>0</v>
      </c>
      <c r="L179" s="1250">
        <f t="shared" si="300"/>
        <v>0</v>
      </c>
      <c r="M179" s="1250">
        <f t="shared" si="300"/>
        <v>0</v>
      </c>
      <c r="N179" s="1250">
        <f t="shared" si="300"/>
        <v>0</v>
      </c>
      <c r="O179" s="1250">
        <f t="shared" si="300"/>
        <v>0</v>
      </c>
      <c r="P179" s="1250">
        <f t="shared" si="300"/>
        <v>0</v>
      </c>
      <c r="Q179" s="1250">
        <f t="shared" si="300"/>
        <v>0</v>
      </c>
      <c r="R179" s="1250">
        <f t="shared" si="300"/>
        <v>0</v>
      </c>
      <c r="S179" s="1250">
        <f t="shared" si="300"/>
        <v>0</v>
      </c>
      <c r="T179" s="1250">
        <f t="shared" si="300"/>
        <v>0</v>
      </c>
      <c r="U179" s="1250">
        <f t="shared" si="300"/>
        <v>0</v>
      </c>
      <c r="V179" s="1250">
        <f t="shared" si="300"/>
        <v>0</v>
      </c>
      <c r="W179" s="1250">
        <f t="shared" si="300"/>
        <v>0</v>
      </c>
      <c r="X179" s="1250">
        <f t="shared" si="300"/>
        <v>0</v>
      </c>
      <c r="Y179" s="1250">
        <f t="shared" si="300"/>
        <v>0</v>
      </c>
      <c r="Z179" s="1250">
        <f t="shared" si="300"/>
        <v>0</v>
      </c>
      <c r="AA179" s="1250">
        <f t="shared" si="300"/>
        <v>0</v>
      </c>
      <c r="AB179" s="1250">
        <f t="shared" si="300"/>
        <v>0</v>
      </c>
      <c r="AC179" s="1250">
        <f t="shared" si="300"/>
        <v>0</v>
      </c>
      <c r="AD179" s="1250">
        <f t="shared" si="300"/>
        <v>0</v>
      </c>
      <c r="AE179" s="1250">
        <f t="shared" si="300"/>
        <v>0</v>
      </c>
      <c r="AF179" s="1250">
        <f t="shared" si="300"/>
        <v>0</v>
      </c>
      <c r="AG179" s="1250">
        <f t="shared" si="301"/>
        <v>0</v>
      </c>
      <c r="AH179" s="1250">
        <f t="shared" si="302"/>
        <v>0</v>
      </c>
      <c r="AI179" s="1250">
        <f t="shared" si="303"/>
        <v>0</v>
      </c>
      <c r="AJ179" s="1250">
        <f t="shared" si="304"/>
        <v>0</v>
      </c>
      <c r="AK179" s="1250">
        <f t="shared" si="305"/>
        <v>0</v>
      </c>
      <c r="AL179" s="1250">
        <f t="shared" si="306"/>
        <v>0</v>
      </c>
      <c r="AM179" s="1269"/>
      <c r="AN179" s="1270"/>
      <c r="AO179" s="1269"/>
      <c r="AP179" s="1270"/>
      <c r="AQ179" s="1269"/>
      <c r="AR179" s="1270"/>
      <c r="AS179" s="275"/>
      <c r="AT179" s="275"/>
      <c r="AU179" s="275"/>
      <c r="AV179" s="275"/>
      <c r="AW179" s="275"/>
      <c r="AX179" s="275"/>
      <c r="AY179" s="275"/>
      <c r="AZ179" s="275"/>
      <c r="BA179" s="275"/>
      <c r="BB179" s="275"/>
      <c r="BC179" s="275"/>
      <c r="BD179" s="275"/>
      <c r="BE179" s="275"/>
      <c r="BF179" s="275"/>
      <c r="BG179" s="275"/>
      <c r="BH179" s="275"/>
      <c r="BI179" s="275"/>
      <c r="BJ179" s="275"/>
    </row>
    <row r="180" spans="1:62">
      <c r="A180" s="595"/>
      <c r="B180" s="598"/>
      <c r="C180" s="599"/>
      <c r="D180" s="11"/>
      <c r="E180" s="1129" t="str">
        <f>'Despesas com Pessoal'!F180</f>
        <v>P202</v>
      </c>
      <c r="F180" s="1120" t="str">
        <f>'Despesas com Pessoal'!G180</f>
        <v>Eletricista CA</v>
      </c>
      <c r="G180" s="1269"/>
      <c r="H180" s="1249"/>
      <c r="I180" s="1250">
        <v>0</v>
      </c>
      <c r="J180" s="1250">
        <v>0</v>
      </c>
      <c r="K180" s="1250">
        <v>0</v>
      </c>
      <c r="L180" s="1250">
        <v>0</v>
      </c>
      <c r="M180" s="1250">
        <v>0</v>
      </c>
      <c r="N180" s="1250">
        <v>0</v>
      </c>
      <c r="O180" s="1250">
        <v>0</v>
      </c>
      <c r="P180" s="1250">
        <v>0</v>
      </c>
      <c r="Q180" s="1250">
        <v>0</v>
      </c>
      <c r="R180" s="1250">
        <v>0</v>
      </c>
      <c r="S180" s="1250">
        <v>0</v>
      </c>
      <c r="T180" s="1250">
        <v>0</v>
      </c>
      <c r="U180" s="1250">
        <v>0</v>
      </c>
      <c r="V180" s="1250">
        <v>0</v>
      </c>
      <c r="W180" s="1250">
        <v>0</v>
      </c>
      <c r="X180" s="1250">
        <v>0</v>
      </c>
      <c r="Y180" s="1250">
        <v>0</v>
      </c>
      <c r="Z180" s="1250">
        <v>0</v>
      </c>
      <c r="AA180" s="1250">
        <v>0</v>
      </c>
      <c r="AB180" s="1250">
        <v>0</v>
      </c>
      <c r="AC180" s="1250">
        <v>0</v>
      </c>
      <c r="AD180" s="1250">
        <v>0</v>
      </c>
      <c r="AE180" s="1250">
        <v>0</v>
      </c>
      <c r="AF180" s="1250">
        <v>0</v>
      </c>
      <c r="AG180" s="1250">
        <v>0</v>
      </c>
      <c r="AH180" s="1250">
        <v>0</v>
      </c>
      <c r="AI180" s="1250">
        <v>0</v>
      </c>
      <c r="AJ180" s="1250">
        <v>0</v>
      </c>
      <c r="AK180" s="1250">
        <v>0</v>
      </c>
      <c r="AL180" s="1250">
        <v>0</v>
      </c>
      <c r="AM180" s="1269"/>
      <c r="AN180" s="1270"/>
      <c r="AO180" s="1269"/>
      <c r="AP180" s="1270"/>
      <c r="AQ180" s="1269"/>
      <c r="AR180" s="1270"/>
      <c r="AS180" s="275"/>
      <c r="AT180" s="275"/>
      <c r="AU180" s="275"/>
      <c r="AV180" s="275"/>
      <c r="AW180" s="275"/>
      <c r="AX180" s="275"/>
      <c r="AY180" s="275"/>
      <c r="AZ180" s="275"/>
      <c r="BA180" s="275"/>
      <c r="BB180" s="275"/>
      <c r="BC180" s="275"/>
      <c r="BD180" s="275"/>
      <c r="BE180" s="275"/>
      <c r="BF180" s="275"/>
      <c r="BG180" s="275"/>
      <c r="BH180" s="275"/>
      <c r="BI180" s="275"/>
      <c r="BJ180" s="275"/>
    </row>
    <row r="181" spans="1:62">
      <c r="A181" s="595"/>
      <c r="B181" s="598"/>
      <c r="C181" s="599"/>
      <c r="D181" s="11"/>
      <c r="E181" s="1136"/>
      <c r="F181" s="1126" t="s">
        <v>273</v>
      </c>
      <c r="G181" s="1269"/>
      <c r="H181" s="1249"/>
      <c r="I181" s="1250">
        <v>0</v>
      </c>
      <c r="J181" s="1250">
        <v>0</v>
      </c>
      <c r="K181" s="1250">
        <f t="shared" si="300"/>
        <v>0</v>
      </c>
      <c r="L181" s="1250">
        <f t="shared" si="300"/>
        <v>0</v>
      </c>
      <c r="M181" s="1250">
        <f t="shared" si="300"/>
        <v>0</v>
      </c>
      <c r="N181" s="1250">
        <f t="shared" si="300"/>
        <v>0</v>
      </c>
      <c r="O181" s="1250">
        <f t="shared" si="300"/>
        <v>0</v>
      </c>
      <c r="P181" s="1250">
        <f t="shared" si="300"/>
        <v>0</v>
      </c>
      <c r="Q181" s="1250">
        <f t="shared" si="300"/>
        <v>0</v>
      </c>
      <c r="R181" s="1250">
        <f t="shared" si="300"/>
        <v>0</v>
      </c>
      <c r="S181" s="1250">
        <f t="shared" si="300"/>
        <v>0</v>
      </c>
      <c r="T181" s="1250">
        <f t="shared" si="300"/>
        <v>0</v>
      </c>
      <c r="U181" s="1250">
        <f t="shared" si="300"/>
        <v>0</v>
      </c>
      <c r="V181" s="1250">
        <f t="shared" si="300"/>
        <v>0</v>
      </c>
      <c r="W181" s="1250">
        <f t="shared" si="300"/>
        <v>0</v>
      </c>
      <c r="X181" s="1250">
        <f t="shared" si="300"/>
        <v>0</v>
      </c>
      <c r="Y181" s="1250">
        <f t="shared" si="300"/>
        <v>0</v>
      </c>
      <c r="Z181" s="1250">
        <f t="shared" si="300"/>
        <v>0</v>
      </c>
      <c r="AA181" s="1250">
        <f t="shared" si="300"/>
        <v>0</v>
      </c>
      <c r="AB181" s="1250">
        <f t="shared" si="300"/>
        <v>0</v>
      </c>
      <c r="AC181" s="1250">
        <f t="shared" si="300"/>
        <v>0</v>
      </c>
      <c r="AD181" s="1250">
        <f t="shared" si="300"/>
        <v>0</v>
      </c>
      <c r="AE181" s="1250">
        <f t="shared" si="300"/>
        <v>0</v>
      </c>
      <c r="AF181" s="1250">
        <f t="shared" si="300"/>
        <v>0</v>
      </c>
      <c r="AG181" s="1250">
        <f t="shared" si="301"/>
        <v>0</v>
      </c>
      <c r="AH181" s="1250">
        <f t="shared" si="302"/>
        <v>0</v>
      </c>
      <c r="AI181" s="1250">
        <f t="shared" si="303"/>
        <v>0</v>
      </c>
      <c r="AJ181" s="1250">
        <f t="shared" si="304"/>
        <v>0</v>
      </c>
      <c r="AK181" s="1250">
        <f t="shared" si="305"/>
        <v>0</v>
      </c>
      <c r="AL181" s="1250">
        <f t="shared" si="306"/>
        <v>0</v>
      </c>
      <c r="AM181" s="1269"/>
      <c r="AN181" s="1270"/>
      <c r="AO181" s="1269"/>
      <c r="AP181" s="1270"/>
      <c r="AQ181" s="1269"/>
      <c r="AR181" s="1270"/>
      <c r="AS181" s="275"/>
      <c r="AT181" s="275"/>
      <c r="AU181" s="275"/>
      <c r="AV181" s="275"/>
      <c r="AW181" s="275"/>
      <c r="AX181" s="275"/>
      <c r="AY181" s="275"/>
      <c r="AZ181" s="275"/>
      <c r="BA181" s="275"/>
      <c r="BB181" s="275"/>
      <c r="BC181" s="275"/>
      <c r="BD181" s="275"/>
      <c r="BE181" s="275"/>
      <c r="BF181" s="275"/>
      <c r="BG181" s="275"/>
      <c r="BH181" s="275"/>
      <c r="BI181" s="275"/>
      <c r="BJ181" s="275"/>
    </row>
    <row r="182" spans="1:62">
      <c r="A182" s="595"/>
      <c r="B182" s="598"/>
      <c r="C182" s="599"/>
      <c r="D182" s="11"/>
      <c r="E182" s="1129" t="str">
        <f>'Despesas com Pessoal'!F182</f>
        <v>P143</v>
      </c>
      <c r="F182" s="1120" t="str">
        <f>'Despesas com Pessoal'!G182</f>
        <v>Supervisor de Tráfego</v>
      </c>
      <c r="G182" s="1269" t="s">
        <v>1376</v>
      </c>
      <c r="H182" s="1249">
        <v>1</v>
      </c>
      <c r="I182" s="1272">
        <v>1</v>
      </c>
      <c r="J182" s="1272">
        <v>1</v>
      </c>
      <c r="K182" s="1272">
        <v>1</v>
      </c>
      <c r="L182" s="1272">
        <v>1</v>
      </c>
      <c r="M182" s="1272">
        <v>1</v>
      </c>
      <c r="N182" s="1272">
        <v>1</v>
      </c>
      <c r="O182" s="1272">
        <v>1</v>
      </c>
      <c r="P182" s="1272">
        <v>1</v>
      </c>
      <c r="Q182" s="1272">
        <v>1</v>
      </c>
      <c r="R182" s="1272">
        <v>1</v>
      </c>
      <c r="S182" s="1272">
        <v>1</v>
      </c>
      <c r="T182" s="1272">
        <v>1</v>
      </c>
      <c r="U182" s="1272">
        <v>1</v>
      </c>
      <c r="V182" s="1272">
        <v>1</v>
      </c>
      <c r="W182" s="1272">
        <v>1</v>
      </c>
      <c r="X182" s="1272">
        <v>1</v>
      </c>
      <c r="Y182" s="1272">
        <v>1</v>
      </c>
      <c r="Z182" s="1272">
        <v>1</v>
      </c>
      <c r="AA182" s="1272">
        <v>1</v>
      </c>
      <c r="AB182" s="1272">
        <v>1</v>
      </c>
      <c r="AC182" s="1272">
        <v>1</v>
      </c>
      <c r="AD182" s="1272">
        <v>1</v>
      </c>
      <c r="AE182" s="1272">
        <v>1</v>
      </c>
      <c r="AF182" s="1272">
        <v>1</v>
      </c>
      <c r="AG182" s="1272">
        <v>1</v>
      </c>
      <c r="AH182" s="1272">
        <v>1</v>
      </c>
      <c r="AI182" s="1272">
        <v>1</v>
      </c>
      <c r="AJ182" s="1272">
        <v>1</v>
      </c>
      <c r="AK182" s="1272">
        <v>1</v>
      </c>
      <c r="AL182" s="1272">
        <v>1</v>
      </c>
      <c r="AM182" s="1269" t="s">
        <v>1369</v>
      </c>
      <c r="AN182" s="1270"/>
      <c r="AO182" s="1271" t="s">
        <v>1370</v>
      </c>
      <c r="AP182" s="1270"/>
      <c r="AQ182" s="1271" t="s">
        <v>1374</v>
      </c>
      <c r="AR182" s="1270"/>
      <c r="AS182" s="275"/>
      <c r="AT182" s="275"/>
      <c r="AU182" s="275"/>
      <c r="AV182" s="275"/>
      <c r="AW182" s="275"/>
      <c r="AX182" s="275"/>
      <c r="AY182" s="275"/>
      <c r="AZ182" s="275"/>
      <c r="BA182" s="275"/>
      <c r="BB182" s="275"/>
      <c r="BC182" s="275"/>
      <c r="BD182" s="275"/>
      <c r="BE182" s="275"/>
      <c r="BF182" s="275"/>
      <c r="BG182" s="275"/>
      <c r="BH182" s="275"/>
      <c r="BI182" s="275"/>
      <c r="BJ182" s="275"/>
    </row>
    <row r="183" spans="1:62">
      <c r="A183" s="595"/>
      <c r="B183" s="598"/>
      <c r="C183" s="599"/>
      <c r="D183" s="11"/>
      <c r="E183" s="1129" t="str">
        <f>'Despesas com Pessoal'!F183</f>
        <v>P047</v>
      </c>
      <c r="F183" s="1120" t="str">
        <f>'Despesas com Pessoal'!G183</f>
        <v>Auxiliar de Pista</v>
      </c>
      <c r="G183" s="1269"/>
      <c r="H183" s="1249"/>
      <c r="I183" s="1272">
        <v>5</v>
      </c>
      <c r="J183" s="1272">
        <v>5</v>
      </c>
      <c r="K183" s="1272">
        <v>5</v>
      </c>
      <c r="L183" s="1272">
        <v>5</v>
      </c>
      <c r="M183" s="1272">
        <v>5</v>
      </c>
      <c r="N183" s="1272">
        <v>5</v>
      </c>
      <c r="O183" s="1272">
        <v>1</v>
      </c>
      <c r="P183" s="1272">
        <v>1</v>
      </c>
      <c r="Q183" s="1272">
        <v>1</v>
      </c>
      <c r="R183" s="1272">
        <v>1</v>
      </c>
      <c r="S183" s="1272">
        <v>1</v>
      </c>
      <c r="T183" s="1272">
        <v>1</v>
      </c>
      <c r="U183" s="1272">
        <v>1</v>
      </c>
      <c r="V183" s="1272">
        <v>1</v>
      </c>
      <c r="W183" s="1272">
        <v>1</v>
      </c>
      <c r="X183" s="1272">
        <v>1</v>
      </c>
      <c r="Y183" s="1272">
        <v>1</v>
      </c>
      <c r="Z183" s="1272">
        <v>1</v>
      </c>
      <c r="AA183" s="1272">
        <v>1</v>
      </c>
      <c r="AB183" s="1272">
        <v>1</v>
      </c>
      <c r="AC183" s="1272">
        <v>1</v>
      </c>
      <c r="AD183" s="1272">
        <v>1</v>
      </c>
      <c r="AE183" s="1272">
        <v>1</v>
      </c>
      <c r="AF183" s="1272">
        <v>1</v>
      </c>
      <c r="AG183" s="1272">
        <v>1</v>
      </c>
      <c r="AH183" s="1272">
        <v>1</v>
      </c>
      <c r="AI183" s="1272">
        <v>1</v>
      </c>
      <c r="AJ183" s="1272">
        <v>1</v>
      </c>
      <c r="AK183" s="1272">
        <v>1</v>
      </c>
      <c r="AL183" s="1272">
        <v>1</v>
      </c>
      <c r="AM183" s="1269"/>
      <c r="AN183" s="1270"/>
      <c r="AO183" s="1269"/>
      <c r="AP183" s="1270"/>
      <c r="AQ183" s="1269"/>
      <c r="AR183" s="1270"/>
      <c r="AS183" s="275"/>
      <c r="AT183" s="275"/>
      <c r="AU183" s="275"/>
      <c r="AV183" s="275"/>
      <c r="AW183" s="275"/>
      <c r="AX183" s="275"/>
      <c r="AY183" s="275"/>
      <c r="AZ183" s="275"/>
      <c r="BA183" s="275"/>
      <c r="BB183" s="275"/>
      <c r="BC183" s="275"/>
      <c r="BD183" s="275"/>
      <c r="BE183" s="275"/>
      <c r="BF183" s="275"/>
      <c r="BG183" s="275"/>
      <c r="BH183" s="275"/>
      <c r="BI183" s="275"/>
      <c r="BJ183" s="275"/>
    </row>
    <row r="184" spans="1:62">
      <c r="A184" s="595"/>
      <c r="B184" s="598"/>
      <c r="C184" s="599"/>
      <c r="D184" s="11"/>
      <c r="E184" s="1129"/>
      <c r="F184" s="1132"/>
      <c r="G184" s="1269"/>
      <c r="H184" s="1249"/>
      <c r="I184" s="1250"/>
      <c r="J184" s="1250"/>
      <c r="K184" s="1250"/>
      <c r="L184" s="1250"/>
      <c r="M184" s="1250"/>
      <c r="N184" s="1250"/>
      <c r="O184" s="1250"/>
      <c r="P184" s="1250"/>
      <c r="Q184" s="1250"/>
      <c r="R184" s="1250"/>
      <c r="S184" s="1250"/>
      <c r="T184" s="1250"/>
      <c r="U184" s="1250"/>
      <c r="V184" s="1250"/>
      <c r="W184" s="1250"/>
      <c r="X184" s="1250"/>
      <c r="Y184" s="1250"/>
      <c r="Z184" s="1250"/>
      <c r="AA184" s="1250"/>
      <c r="AB184" s="1250"/>
      <c r="AC184" s="1250"/>
      <c r="AD184" s="1250"/>
      <c r="AE184" s="1250"/>
      <c r="AF184" s="1250"/>
      <c r="AG184" s="1250"/>
      <c r="AH184" s="1250"/>
      <c r="AI184" s="1250"/>
      <c r="AJ184" s="1250"/>
      <c r="AK184" s="1250"/>
      <c r="AL184" s="1250"/>
      <c r="AM184" s="1269"/>
      <c r="AN184" s="1270"/>
      <c r="AO184" s="1269"/>
      <c r="AP184" s="1270"/>
      <c r="AQ184" s="1269"/>
      <c r="AR184" s="1270"/>
      <c r="AS184" s="275"/>
      <c r="AT184" s="275"/>
      <c r="AU184" s="275"/>
      <c r="AV184" s="275"/>
      <c r="AW184" s="275"/>
      <c r="AX184" s="275"/>
      <c r="AY184" s="275"/>
      <c r="AZ184" s="275"/>
      <c r="BA184" s="275"/>
      <c r="BB184" s="275"/>
      <c r="BC184" s="275"/>
      <c r="BD184" s="275"/>
      <c r="BE184" s="275"/>
      <c r="BF184" s="275"/>
      <c r="BG184" s="275"/>
      <c r="BH184" s="275"/>
      <c r="BI184" s="275"/>
      <c r="BJ184" s="275"/>
    </row>
    <row r="185" spans="1:62">
      <c r="A185" s="595"/>
      <c r="B185" s="598"/>
      <c r="C185" s="599"/>
      <c r="E185" s="1131"/>
      <c r="F185" s="1113" t="s">
        <v>904</v>
      </c>
      <c r="G185" s="1265"/>
      <c r="H185" s="1268"/>
      <c r="I185" s="1279">
        <f t="shared" ref="I185:AL185" si="307">SUBTOTAL(9,I8:I183)</f>
        <v>194.64</v>
      </c>
      <c r="J185" s="1279">
        <f t="shared" si="307"/>
        <v>208.64</v>
      </c>
      <c r="K185" s="1279">
        <f t="shared" si="307"/>
        <v>208.64</v>
      </c>
      <c r="L185" s="1279">
        <f t="shared" si="307"/>
        <v>208.64</v>
      </c>
      <c r="M185" s="1279">
        <f t="shared" si="307"/>
        <v>208.64</v>
      </c>
      <c r="N185" s="1279">
        <f t="shared" si="307"/>
        <v>208.64</v>
      </c>
      <c r="O185" s="1279">
        <f t="shared" si="307"/>
        <v>204.64</v>
      </c>
      <c r="P185" s="1279">
        <f t="shared" si="307"/>
        <v>204.64</v>
      </c>
      <c r="Q185" s="1279">
        <f t="shared" si="307"/>
        <v>204.64</v>
      </c>
      <c r="R185" s="1279">
        <f t="shared" si="307"/>
        <v>204.64</v>
      </c>
      <c r="S185" s="1279">
        <f t="shared" si="307"/>
        <v>204.64</v>
      </c>
      <c r="T185" s="1279">
        <f t="shared" si="307"/>
        <v>204.64</v>
      </c>
      <c r="U185" s="1279">
        <f t="shared" si="307"/>
        <v>204.64</v>
      </c>
      <c r="V185" s="1279">
        <f t="shared" si="307"/>
        <v>204.64</v>
      </c>
      <c r="W185" s="1279">
        <f t="shared" si="307"/>
        <v>204.64</v>
      </c>
      <c r="X185" s="1279">
        <f t="shared" si="307"/>
        <v>204.64</v>
      </c>
      <c r="Y185" s="1279">
        <f t="shared" si="307"/>
        <v>204.64</v>
      </c>
      <c r="Z185" s="1279">
        <f t="shared" si="307"/>
        <v>204.64</v>
      </c>
      <c r="AA185" s="1279">
        <f t="shared" si="307"/>
        <v>204.64</v>
      </c>
      <c r="AB185" s="1279">
        <f t="shared" si="307"/>
        <v>204.64</v>
      </c>
      <c r="AC185" s="1279">
        <f t="shared" si="307"/>
        <v>204.64</v>
      </c>
      <c r="AD185" s="1279">
        <f t="shared" si="307"/>
        <v>204.64</v>
      </c>
      <c r="AE185" s="1279">
        <f t="shared" si="307"/>
        <v>204.64</v>
      </c>
      <c r="AF185" s="1279">
        <f t="shared" si="307"/>
        <v>204.64</v>
      </c>
      <c r="AG185" s="1279">
        <f t="shared" si="307"/>
        <v>204.64</v>
      </c>
      <c r="AH185" s="1279">
        <f t="shared" si="307"/>
        <v>204.64</v>
      </c>
      <c r="AI185" s="1279">
        <f t="shared" si="307"/>
        <v>204.64</v>
      </c>
      <c r="AJ185" s="1279">
        <f t="shared" si="307"/>
        <v>204.64</v>
      </c>
      <c r="AK185" s="1279">
        <f t="shared" si="307"/>
        <v>204.64</v>
      </c>
      <c r="AL185" s="1279">
        <f t="shared" si="307"/>
        <v>204.64</v>
      </c>
      <c r="AM185" s="1265"/>
      <c r="AN185" s="1268"/>
      <c r="AO185" s="1265"/>
      <c r="AP185" s="1268"/>
      <c r="AQ185" s="1265"/>
      <c r="AR185" s="1268"/>
      <c r="AS185" s="275"/>
      <c r="AT185" s="275"/>
      <c r="AU185" s="275"/>
      <c r="AV185" s="275"/>
      <c r="AW185" s="275"/>
      <c r="AX185" s="275"/>
      <c r="AY185" s="275"/>
      <c r="AZ185" s="275"/>
      <c r="BA185" s="275"/>
      <c r="BB185" s="275"/>
      <c r="BC185" s="275"/>
      <c r="BD185" s="275"/>
      <c r="BE185" s="275"/>
      <c r="BF185" s="275"/>
      <c r="BG185" s="275"/>
      <c r="BH185" s="275"/>
      <c r="BI185" s="275"/>
      <c r="BJ185" s="275"/>
    </row>
    <row r="186" spans="1:62">
      <c r="A186" s="595"/>
      <c r="B186" s="598"/>
      <c r="C186" s="599"/>
      <c r="E186" s="260"/>
      <c r="F186" s="275"/>
      <c r="G186" s="275"/>
      <c r="H186" s="275"/>
      <c r="I186" s="276"/>
      <c r="J186" s="260"/>
      <c r="K186" s="260"/>
      <c r="L186" s="260"/>
      <c r="M186" s="260"/>
      <c r="N186" s="260"/>
      <c r="O186" s="260"/>
      <c r="P186" s="260"/>
      <c r="Q186" s="260"/>
      <c r="R186" s="260"/>
      <c r="S186" s="260"/>
      <c r="T186" s="260"/>
      <c r="U186" s="260"/>
      <c r="V186" s="260"/>
      <c r="W186" s="260"/>
      <c r="X186" s="260"/>
      <c r="Y186" s="260"/>
      <c r="Z186" s="260"/>
      <c r="AA186" s="260"/>
      <c r="AB186" s="260"/>
      <c r="AC186" s="260"/>
      <c r="AD186" s="260"/>
      <c r="AE186" s="260"/>
      <c r="AF186" s="260"/>
      <c r="AG186" s="260"/>
      <c r="AH186" s="260"/>
      <c r="AI186" s="260"/>
      <c r="AJ186" s="260"/>
      <c r="AK186" s="260"/>
      <c r="AL186" s="260"/>
      <c r="AM186" s="275"/>
      <c r="AN186" s="275"/>
      <c r="AO186" s="275"/>
      <c r="AP186" s="275"/>
      <c r="AQ186" s="275"/>
      <c r="AR186" s="275"/>
      <c r="AS186" s="275"/>
      <c r="AT186" s="275"/>
      <c r="AU186" s="275"/>
      <c r="AV186" s="275"/>
      <c r="AW186" s="275"/>
      <c r="AX186" s="275"/>
      <c r="AY186" s="275"/>
      <c r="AZ186" s="275"/>
      <c r="BA186" s="275"/>
      <c r="BB186" s="275"/>
      <c r="BC186" s="275"/>
      <c r="BD186" s="275"/>
      <c r="BE186" s="275"/>
      <c r="BF186" s="275"/>
      <c r="BG186" s="275"/>
      <c r="BH186" s="275"/>
      <c r="BI186" s="275"/>
      <c r="BJ186" s="275"/>
    </row>
    <row r="187" spans="1:62">
      <c r="A187" s="595"/>
      <c r="B187" s="598"/>
      <c r="C187" s="599"/>
      <c r="E187" s="260"/>
      <c r="F187" s="278" t="s">
        <v>1385</v>
      </c>
      <c r="G187" s="1280" t="str">
        <f>G6</f>
        <v>Veículos</v>
      </c>
      <c r="H187" s="1281"/>
      <c r="I187" s="276"/>
      <c r="J187" s="260"/>
      <c r="K187" s="260"/>
      <c r="L187" s="260"/>
      <c r="M187" s="260"/>
      <c r="N187" s="260"/>
      <c r="O187" s="260"/>
      <c r="P187" s="260"/>
      <c r="Q187" s="260"/>
      <c r="R187" s="260"/>
      <c r="S187" s="260"/>
      <c r="T187" s="260"/>
      <c r="U187" s="260"/>
      <c r="V187" s="260"/>
      <c r="W187" s="260"/>
      <c r="X187" s="260"/>
      <c r="Y187" s="260"/>
      <c r="Z187" s="260"/>
      <c r="AA187" s="260"/>
      <c r="AB187" s="260"/>
      <c r="AC187" s="260"/>
      <c r="AD187" s="260"/>
      <c r="AE187" s="260"/>
      <c r="AF187" s="260"/>
      <c r="AG187" s="260"/>
      <c r="AH187" s="260"/>
      <c r="AI187" s="260"/>
      <c r="AJ187" s="260"/>
      <c r="AK187" s="260"/>
      <c r="AL187" s="260"/>
      <c r="AM187" s="1280" t="str">
        <f>AM6</f>
        <v>Computador</v>
      </c>
      <c r="AN187" s="1281"/>
      <c r="AO187" s="1280" t="str">
        <f>AO6</f>
        <v>Telefone</v>
      </c>
      <c r="AP187" s="1281"/>
      <c r="AQ187" s="1280" t="str">
        <f>AQ6</f>
        <v>Área na Sede</v>
      </c>
      <c r="AR187" s="1281"/>
      <c r="AS187" s="1281"/>
      <c r="AT187" s="275"/>
      <c r="AU187" s="275"/>
      <c r="AV187" s="275"/>
      <c r="AW187" s="275"/>
      <c r="AX187" s="275"/>
      <c r="AY187" s="275"/>
      <c r="AZ187" s="275"/>
      <c r="BA187" s="275"/>
      <c r="BB187" s="275"/>
      <c r="BC187" s="275"/>
      <c r="BD187" s="275"/>
      <c r="BE187" s="275"/>
      <c r="BF187" s="275"/>
      <c r="BG187" s="275"/>
      <c r="BH187" s="275"/>
      <c r="BI187" s="275"/>
      <c r="BJ187" s="275"/>
    </row>
    <row r="188" spans="1:62">
      <c r="A188" s="595"/>
      <c r="B188" s="598"/>
      <c r="C188" s="599"/>
      <c r="E188" s="260"/>
      <c r="F188" s="275"/>
      <c r="G188" s="1282" t="s">
        <v>1366</v>
      </c>
      <c r="H188" s="1282" t="s">
        <v>1367</v>
      </c>
      <c r="I188" s="276"/>
      <c r="J188" s="260"/>
      <c r="K188" s="260"/>
      <c r="L188" s="260"/>
      <c r="M188" s="260"/>
      <c r="N188" s="260"/>
      <c r="O188" s="260"/>
      <c r="P188" s="260"/>
      <c r="Q188" s="260"/>
      <c r="R188" s="260"/>
      <c r="S188" s="260"/>
      <c r="T188" s="260"/>
      <c r="U188" s="260"/>
      <c r="V188" s="260"/>
      <c r="W188" s="260"/>
      <c r="X188" s="260"/>
      <c r="Y188" s="260"/>
      <c r="Z188" s="260"/>
      <c r="AA188" s="260"/>
      <c r="AB188" s="260"/>
      <c r="AC188" s="260"/>
      <c r="AD188" s="260"/>
      <c r="AE188" s="260"/>
      <c r="AF188" s="260"/>
      <c r="AG188" s="260"/>
      <c r="AH188" s="260"/>
      <c r="AI188" s="260"/>
      <c r="AJ188" s="260"/>
      <c r="AK188" s="260"/>
      <c r="AL188" s="260"/>
      <c r="AM188" s="1282" t="s">
        <v>1366</v>
      </c>
      <c r="AN188" s="1282" t="s">
        <v>1367</v>
      </c>
      <c r="AO188" s="1282" t="s">
        <v>1366</v>
      </c>
      <c r="AP188" s="1282" t="s">
        <v>1367</v>
      </c>
      <c r="AQ188" s="1282" t="s">
        <v>1366</v>
      </c>
      <c r="AR188" s="1282" t="s">
        <v>1367</v>
      </c>
      <c r="AS188" s="1283" t="s">
        <v>411</v>
      </c>
      <c r="AT188" s="275" t="s">
        <v>1386</v>
      </c>
      <c r="AU188" s="275"/>
      <c r="AV188" s="275"/>
      <c r="AW188" s="275"/>
      <c r="AX188" s="275"/>
      <c r="AY188" s="275"/>
      <c r="AZ188" s="275"/>
      <c r="BA188" s="275"/>
      <c r="BB188" s="275"/>
      <c r="BC188" s="275"/>
      <c r="BD188" s="275"/>
      <c r="BE188" s="275"/>
      <c r="BF188" s="275"/>
      <c r="BG188" s="275"/>
      <c r="BH188" s="275"/>
      <c r="BI188" s="275"/>
      <c r="BJ188" s="275"/>
    </row>
    <row r="189" spans="1:62">
      <c r="A189" s="595"/>
      <c r="B189" s="598"/>
      <c r="C189" s="599"/>
      <c r="E189" s="260"/>
      <c r="F189" s="275"/>
      <c r="G189" s="1251"/>
      <c r="H189" s="1246">
        <f ca="1">SUMIF(G$9:H$183,G189,H$9:H$183)</f>
        <v>0</v>
      </c>
      <c r="I189" s="276"/>
      <c r="J189" s="260"/>
      <c r="K189" s="260"/>
      <c r="L189" s="260"/>
      <c r="M189" s="260"/>
      <c r="N189" s="260"/>
      <c r="O189" s="260"/>
      <c r="P189" s="260"/>
      <c r="Q189" s="260"/>
      <c r="R189" s="260"/>
      <c r="S189" s="260"/>
      <c r="T189" s="260"/>
      <c r="U189" s="260"/>
      <c r="V189" s="260"/>
      <c r="W189" s="260"/>
      <c r="X189" s="260"/>
      <c r="Y189" s="260"/>
      <c r="Z189" s="260"/>
      <c r="AA189" s="260"/>
      <c r="AB189" s="260"/>
      <c r="AC189" s="260"/>
      <c r="AD189" s="260"/>
      <c r="AE189" s="260"/>
      <c r="AF189" s="260"/>
      <c r="AG189" s="260"/>
      <c r="AH189" s="260"/>
      <c r="AI189" s="260"/>
      <c r="AJ189" s="260"/>
      <c r="AK189" s="260"/>
      <c r="AL189" s="260"/>
      <c r="AM189" s="1282"/>
      <c r="AN189" s="1282"/>
      <c r="AO189" s="1282"/>
      <c r="AP189" s="1282"/>
      <c r="AQ189" s="1282"/>
      <c r="AR189" s="1282"/>
      <c r="AS189" s="1283"/>
      <c r="AT189" s="275"/>
      <c r="AU189" s="275"/>
      <c r="AV189" s="275"/>
      <c r="AW189" s="275"/>
      <c r="AX189" s="275"/>
      <c r="AY189" s="275"/>
      <c r="AZ189" s="275"/>
      <c r="BA189" s="275"/>
      <c r="BB189" s="275"/>
      <c r="BC189" s="275"/>
      <c r="BD189" s="275"/>
      <c r="BE189" s="275"/>
      <c r="BF189" s="275"/>
      <c r="BG189" s="275"/>
      <c r="BH189" s="275"/>
      <c r="BI189" s="275"/>
      <c r="BJ189" s="275"/>
    </row>
    <row r="190" spans="1:62">
      <c r="A190" s="595"/>
      <c r="B190" s="598"/>
      <c r="C190" s="599"/>
      <c r="E190" s="260"/>
      <c r="F190" s="275" t="s">
        <v>1387</v>
      </c>
      <c r="G190" s="1251" t="s">
        <v>1372</v>
      </c>
      <c r="H190" s="1246">
        <f ca="1">SUMIF(G$9:H$183,G190,H$9:H$183)</f>
        <v>3</v>
      </c>
      <c r="I190" s="276"/>
      <c r="J190" s="260"/>
      <c r="K190" s="260"/>
      <c r="L190" s="260"/>
      <c r="M190" s="260"/>
      <c r="N190" s="260"/>
      <c r="O190" s="260"/>
      <c r="P190" s="260"/>
      <c r="Q190" s="260"/>
      <c r="R190" s="260"/>
      <c r="S190" s="260"/>
      <c r="T190" s="260"/>
      <c r="U190" s="260"/>
      <c r="V190" s="260"/>
      <c r="W190" s="260"/>
      <c r="X190" s="260"/>
      <c r="Y190" s="260"/>
      <c r="Z190" s="260"/>
      <c r="AA190" s="260"/>
      <c r="AB190" s="260"/>
      <c r="AC190" s="260"/>
      <c r="AD190" s="260"/>
      <c r="AE190" s="260"/>
      <c r="AF190" s="260"/>
      <c r="AG190" s="260"/>
      <c r="AH190" s="260"/>
      <c r="AI190" s="260"/>
      <c r="AJ190" s="260"/>
      <c r="AK190" s="260"/>
      <c r="AL190" s="260"/>
      <c r="AM190" s="1251" t="s">
        <v>1388</v>
      </c>
      <c r="AN190" s="1246">
        <f ca="1">SUMIF(AM$9:AN$183,AM190,AN$9:AN$183)</f>
        <v>35</v>
      </c>
      <c r="AO190" s="1251" t="s">
        <v>1370</v>
      </c>
      <c r="AP190" s="1246">
        <f ca="1">SUMIF(AO$9:AP$183,AO190,AP$9:AP$183)</f>
        <v>49</v>
      </c>
      <c r="AQ190" s="1251" t="s">
        <v>1374</v>
      </c>
      <c r="AR190" s="1246">
        <f ca="1">SUMIF(AQ$9:AR$183,AQ190,AR$9:AR$183)</f>
        <v>30</v>
      </c>
      <c r="AS190" s="1246">
        <f ca="1">AT190*AR190</f>
        <v>450</v>
      </c>
      <c r="AT190" s="260">
        <v>15</v>
      </c>
      <c r="AU190" s="275"/>
      <c r="AV190" s="275"/>
      <c r="AW190" s="275"/>
      <c r="AX190" s="275"/>
      <c r="AY190" s="275"/>
      <c r="AZ190" s="275"/>
      <c r="BA190" s="275"/>
      <c r="BB190" s="275"/>
      <c r="BC190" s="275"/>
      <c r="BD190" s="275"/>
      <c r="BE190" s="275"/>
      <c r="BF190" s="275"/>
      <c r="BG190" s="275"/>
      <c r="BH190" s="275"/>
      <c r="BI190" s="275"/>
      <c r="BJ190" s="275"/>
    </row>
    <row r="191" spans="1:62">
      <c r="A191" s="595"/>
      <c r="B191" s="598"/>
      <c r="C191" s="599"/>
      <c r="E191" s="260"/>
      <c r="F191" s="275" t="s">
        <v>1387</v>
      </c>
      <c r="G191" s="1251" t="s">
        <v>1376</v>
      </c>
      <c r="H191" s="1246">
        <f ca="1">SUMIF(G$9:H$183,G191,H$9:H$183)</f>
        <v>26</v>
      </c>
      <c r="I191" s="276"/>
      <c r="J191" s="260"/>
      <c r="K191" s="260"/>
      <c r="L191" s="260"/>
      <c r="M191" s="260"/>
      <c r="N191" s="260"/>
      <c r="O191" s="260"/>
      <c r="P191" s="260"/>
      <c r="Q191" s="260"/>
      <c r="R191" s="260"/>
      <c r="S191" s="260"/>
      <c r="T191" s="260"/>
      <c r="U191" s="260"/>
      <c r="V191" s="260"/>
      <c r="W191" s="260"/>
      <c r="X191" s="260"/>
      <c r="Y191" s="260"/>
      <c r="Z191" s="260"/>
      <c r="AA191" s="260"/>
      <c r="AB191" s="260"/>
      <c r="AC191" s="260"/>
      <c r="AD191" s="260"/>
      <c r="AE191" s="260"/>
      <c r="AF191" s="260"/>
      <c r="AG191" s="260"/>
      <c r="AH191" s="260"/>
      <c r="AI191" s="260"/>
      <c r="AJ191" s="260"/>
      <c r="AK191" s="260"/>
      <c r="AL191" s="260"/>
      <c r="AM191" s="1251" t="s">
        <v>1373</v>
      </c>
      <c r="AN191" s="1246">
        <f ca="1">SUMIF(AM$9:AN$183,AM191,AN$9:AN$183)</f>
        <v>28</v>
      </c>
      <c r="AO191" s="1251" t="s">
        <v>1375</v>
      </c>
      <c r="AP191" s="1246">
        <f ca="1">SUMIF(AO$9:AP$183,AO191,AP$9:AP$183)</f>
        <v>1</v>
      </c>
      <c r="AQ191" s="1251" t="s">
        <v>1371</v>
      </c>
      <c r="AR191" s="1246">
        <f ca="1">SUMIF(AQ$9:AR$183,AQ191,AR$9:AR$183)</f>
        <v>42</v>
      </c>
      <c r="AS191" s="1246">
        <f ca="1">AT191*AR191</f>
        <v>252</v>
      </c>
      <c r="AT191" s="260">
        <v>6</v>
      </c>
      <c r="AU191" s="275"/>
      <c r="AV191" s="275"/>
      <c r="AW191" s="275"/>
      <c r="AX191" s="275"/>
      <c r="AY191" s="275"/>
      <c r="AZ191" s="275"/>
      <c r="BA191" s="275"/>
      <c r="BB191" s="275"/>
      <c r="BC191" s="275"/>
      <c r="BD191" s="275"/>
      <c r="BE191" s="275"/>
      <c r="BF191" s="275"/>
      <c r="BG191" s="275"/>
      <c r="BH191" s="275"/>
      <c r="BI191" s="275"/>
      <c r="BJ191" s="275"/>
    </row>
    <row r="192" spans="1:62">
      <c r="A192" s="595"/>
      <c r="B192" s="598"/>
      <c r="C192" s="599"/>
      <c r="E192" s="260"/>
      <c r="F192" s="275"/>
      <c r="G192" s="1251"/>
      <c r="H192" s="1246">
        <f ca="1">SUMIF(G$9:H$183,G192,H$9:H$183)</f>
        <v>0</v>
      </c>
      <c r="I192" s="276"/>
      <c r="J192" s="260"/>
      <c r="K192" s="260"/>
      <c r="L192" s="260"/>
      <c r="M192" s="260"/>
      <c r="N192" s="260"/>
      <c r="O192" s="260"/>
      <c r="P192" s="260"/>
      <c r="Q192" s="260"/>
      <c r="R192" s="260"/>
      <c r="S192" s="260"/>
      <c r="T192" s="260"/>
      <c r="U192" s="260"/>
      <c r="V192" s="260"/>
      <c r="W192" s="260"/>
      <c r="X192" s="260"/>
      <c r="Y192" s="260"/>
      <c r="Z192" s="260"/>
      <c r="AA192" s="260"/>
      <c r="AB192" s="260"/>
      <c r="AC192" s="260"/>
      <c r="AD192" s="260"/>
      <c r="AE192" s="260"/>
      <c r="AF192" s="260"/>
      <c r="AG192" s="260"/>
      <c r="AH192" s="260"/>
      <c r="AI192" s="260"/>
      <c r="AJ192" s="260"/>
      <c r="AK192" s="260"/>
      <c r="AL192" s="260"/>
      <c r="AM192" s="1284"/>
      <c r="AN192" s="260"/>
      <c r="AO192" s="1251" t="s">
        <v>1389</v>
      </c>
      <c r="AP192" s="1246">
        <f ca="1">SUMIF(AO$9:AP$183,AO192,AP$9:AP$183)</f>
        <v>0</v>
      </c>
      <c r="AQ192" s="1285" t="s">
        <v>934</v>
      </c>
      <c r="AR192" s="1246"/>
      <c r="AS192" s="1286">
        <f ca="1">SUM(AS190:AS191)</f>
        <v>702</v>
      </c>
      <c r="AT192" s="275"/>
      <c r="AU192" s="275"/>
      <c r="AV192" s="275"/>
      <c r="AW192" s="275"/>
      <c r="AX192" s="275"/>
      <c r="AY192" s="275"/>
      <c r="AZ192" s="275"/>
      <c r="BA192" s="275"/>
      <c r="BB192" s="275"/>
      <c r="BC192" s="275"/>
      <c r="BD192" s="275"/>
      <c r="BE192" s="275"/>
      <c r="BF192" s="275"/>
      <c r="BG192" s="275"/>
      <c r="BH192" s="275"/>
      <c r="BI192" s="275"/>
      <c r="BJ192" s="275"/>
    </row>
    <row r="193" spans="1:62">
      <c r="A193" s="595"/>
      <c r="B193" s="598"/>
      <c r="C193" s="599"/>
      <c r="E193" s="260"/>
      <c r="F193" s="275"/>
      <c r="G193" s="275"/>
      <c r="H193" s="275"/>
      <c r="I193" s="279"/>
      <c r="J193" s="260"/>
      <c r="K193" s="260"/>
      <c r="L193" s="260"/>
      <c r="M193" s="260"/>
      <c r="N193" s="260"/>
      <c r="O193" s="260"/>
      <c r="P193" s="260"/>
      <c r="Q193" s="260"/>
      <c r="R193" s="260"/>
      <c r="S193" s="260"/>
      <c r="T193" s="260"/>
      <c r="U193" s="260"/>
      <c r="V193" s="260"/>
      <c r="W193" s="260"/>
      <c r="X193" s="260"/>
      <c r="Y193" s="260"/>
      <c r="Z193" s="260"/>
      <c r="AA193" s="260"/>
      <c r="AB193" s="260"/>
      <c r="AC193" s="260"/>
      <c r="AD193" s="260"/>
      <c r="AE193" s="260"/>
      <c r="AF193" s="260"/>
      <c r="AG193" s="260"/>
      <c r="AH193" s="260"/>
      <c r="AI193" s="260"/>
      <c r="AJ193" s="260"/>
      <c r="AK193" s="260"/>
      <c r="AL193" s="260"/>
      <c r="AM193" s="1284"/>
      <c r="AN193" s="260"/>
      <c r="AO193" s="275"/>
      <c r="AP193" s="275"/>
      <c r="AQ193" s="278"/>
      <c r="AR193" s="275"/>
      <c r="AS193" s="275"/>
      <c r="AT193" s="275"/>
      <c r="AU193" s="275"/>
      <c r="AV193" s="275"/>
      <c r="AW193" s="275"/>
      <c r="AX193" s="275"/>
      <c r="AY193" s="275"/>
      <c r="AZ193" s="275"/>
      <c r="BA193" s="275"/>
      <c r="BB193" s="275"/>
      <c r="BC193" s="275"/>
      <c r="BD193" s="275"/>
      <c r="BE193" s="275"/>
      <c r="BF193" s="275"/>
      <c r="BG193" s="275"/>
      <c r="BH193" s="275"/>
      <c r="BI193" s="275"/>
      <c r="BJ193" s="275"/>
    </row>
    <row r="194" spans="1:62">
      <c r="A194" s="595"/>
      <c r="B194" s="598"/>
      <c r="C194" s="599"/>
      <c r="E194" s="260"/>
      <c r="F194" s="275"/>
      <c r="G194" s="275"/>
      <c r="H194" s="275"/>
      <c r="I194" s="276"/>
      <c r="J194" s="260"/>
      <c r="K194" s="260"/>
      <c r="L194" s="260"/>
      <c r="M194" s="260"/>
      <c r="N194" s="260"/>
      <c r="O194" s="260"/>
      <c r="P194" s="260"/>
      <c r="Q194" s="260"/>
      <c r="R194" s="260"/>
      <c r="S194" s="260"/>
      <c r="T194" s="260"/>
      <c r="U194" s="260"/>
      <c r="V194" s="260"/>
      <c r="W194" s="260"/>
      <c r="X194" s="260"/>
      <c r="Y194" s="260"/>
      <c r="Z194" s="260"/>
      <c r="AA194" s="260"/>
      <c r="AB194" s="260"/>
      <c r="AC194" s="260"/>
      <c r="AD194" s="260"/>
      <c r="AE194" s="260"/>
      <c r="AF194" s="260"/>
      <c r="AG194" s="260"/>
      <c r="AH194" s="260"/>
      <c r="AI194" s="260"/>
      <c r="AJ194" s="260"/>
      <c r="AK194" s="260"/>
      <c r="AL194" s="260"/>
      <c r="AM194" s="1284"/>
      <c r="AN194" s="260"/>
      <c r="AO194" s="275"/>
      <c r="AP194" s="275"/>
      <c r="AQ194" s="278"/>
      <c r="AR194" s="275"/>
      <c r="AS194" s="275"/>
      <c r="AT194" s="275"/>
      <c r="AU194" s="275"/>
      <c r="AV194" s="275"/>
      <c r="AW194" s="275"/>
      <c r="AX194" s="275"/>
      <c r="AY194" s="275"/>
      <c r="AZ194" s="275"/>
      <c r="BA194" s="275"/>
      <c r="BB194" s="275"/>
      <c r="BC194" s="275"/>
      <c r="BD194" s="275"/>
      <c r="BE194" s="275"/>
      <c r="BF194" s="275"/>
      <c r="BG194" s="275"/>
      <c r="BH194" s="275"/>
      <c r="BI194" s="275"/>
      <c r="BJ194" s="275"/>
    </row>
    <row r="195" spans="1:62">
      <c r="A195" s="595"/>
      <c r="B195" s="598"/>
      <c r="C195" s="599"/>
      <c r="E195" s="260"/>
      <c r="F195" s="275"/>
      <c r="G195" s="275"/>
      <c r="H195" s="275"/>
      <c r="I195" s="279"/>
      <c r="J195" s="260"/>
      <c r="K195" s="260"/>
      <c r="L195" s="260"/>
      <c r="M195" s="260"/>
      <c r="N195" s="260"/>
      <c r="O195" s="260"/>
      <c r="P195" s="260"/>
      <c r="Q195" s="260"/>
      <c r="R195" s="276"/>
      <c r="S195" s="260"/>
      <c r="T195" s="260"/>
      <c r="U195" s="260"/>
      <c r="V195" s="260"/>
      <c r="W195" s="260"/>
      <c r="X195" s="260"/>
      <c r="Y195" s="260"/>
      <c r="Z195" s="260"/>
      <c r="AA195" s="260"/>
      <c r="AB195" s="260"/>
      <c r="AC195" s="260"/>
      <c r="AD195" s="260"/>
      <c r="AE195" s="260"/>
      <c r="AF195" s="260"/>
      <c r="AG195" s="260"/>
      <c r="AH195" s="260"/>
      <c r="AI195" s="260"/>
      <c r="AJ195" s="260"/>
      <c r="AK195" s="260"/>
      <c r="AL195" s="260"/>
      <c r="AM195" s="1284"/>
      <c r="AN195" s="260"/>
      <c r="AO195" s="275"/>
      <c r="AP195" s="275"/>
      <c r="AQ195" s="275"/>
      <c r="AR195" s="275"/>
      <c r="AS195" s="275"/>
      <c r="AT195" s="275"/>
      <c r="AU195" s="275"/>
      <c r="AV195" s="275"/>
      <c r="AW195" s="275"/>
      <c r="AX195" s="275"/>
      <c r="AY195" s="275"/>
      <c r="AZ195" s="275"/>
      <c r="BA195" s="275"/>
      <c r="BB195" s="275"/>
      <c r="BC195" s="275"/>
      <c r="BD195" s="275"/>
      <c r="BE195" s="275"/>
      <c r="BF195" s="275"/>
      <c r="BG195" s="275"/>
      <c r="BH195" s="275"/>
      <c r="BI195" s="275"/>
      <c r="BJ195" s="275"/>
    </row>
    <row r="196" spans="1:62">
      <c r="A196" s="595"/>
      <c r="B196" s="598"/>
      <c r="C196" s="599"/>
      <c r="E196" s="260"/>
      <c r="F196" s="275"/>
      <c r="G196" s="275"/>
      <c r="H196" s="275"/>
      <c r="I196" s="276"/>
      <c r="J196" s="260"/>
      <c r="K196" s="260"/>
      <c r="L196" s="260"/>
      <c r="M196" s="260"/>
      <c r="N196" s="260"/>
      <c r="O196" s="260"/>
      <c r="P196" s="260"/>
      <c r="Q196" s="260"/>
      <c r="R196" s="260"/>
      <c r="S196" s="260"/>
      <c r="T196" s="260"/>
      <c r="U196" s="260"/>
      <c r="V196" s="260"/>
      <c r="W196" s="260"/>
      <c r="X196" s="260"/>
      <c r="Y196" s="260"/>
      <c r="Z196" s="260"/>
      <c r="AA196" s="260"/>
      <c r="AB196" s="260"/>
      <c r="AC196" s="260"/>
      <c r="AD196" s="260"/>
      <c r="AE196" s="260"/>
      <c r="AF196" s="260"/>
      <c r="AG196" s="260"/>
      <c r="AH196" s="260"/>
      <c r="AI196" s="260"/>
      <c r="AJ196" s="260"/>
      <c r="AK196" s="260"/>
      <c r="AL196" s="260"/>
      <c r="AM196" s="1284"/>
      <c r="AN196" s="260"/>
      <c r="AO196" s="275"/>
      <c r="AP196" s="275"/>
      <c r="AQ196" s="275"/>
      <c r="AR196" s="275"/>
      <c r="AS196" s="275"/>
      <c r="AT196" s="275"/>
      <c r="AU196" s="275"/>
      <c r="AV196" s="275"/>
      <c r="AW196" s="275"/>
      <c r="AX196" s="275"/>
      <c r="AY196" s="275"/>
      <c r="AZ196" s="275"/>
      <c r="BA196" s="275"/>
      <c r="BB196" s="275"/>
      <c r="BC196" s="275"/>
      <c r="BD196" s="275"/>
      <c r="BE196" s="275"/>
      <c r="BF196" s="275"/>
      <c r="BG196" s="275"/>
      <c r="BH196" s="275"/>
      <c r="BI196" s="275"/>
      <c r="BJ196" s="275"/>
    </row>
    <row r="197" spans="1:62">
      <c r="A197" s="595"/>
      <c r="B197" s="598"/>
      <c r="C197" s="599"/>
      <c r="E197" s="260"/>
      <c r="F197" s="275"/>
      <c r="G197" s="275"/>
      <c r="H197" s="275"/>
      <c r="I197" s="276"/>
      <c r="J197" s="260"/>
      <c r="K197" s="260"/>
      <c r="L197" s="260"/>
      <c r="M197" s="260"/>
      <c r="N197" s="260"/>
      <c r="O197" s="260"/>
      <c r="P197" s="260"/>
      <c r="Q197" s="260"/>
      <c r="R197" s="260"/>
      <c r="S197" s="260"/>
      <c r="T197" s="260"/>
      <c r="U197" s="260"/>
      <c r="V197" s="260"/>
      <c r="W197" s="260"/>
      <c r="X197" s="260"/>
      <c r="Y197" s="260"/>
      <c r="Z197" s="260"/>
      <c r="AA197" s="260"/>
      <c r="AB197" s="260"/>
      <c r="AC197" s="260"/>
      <c r="AD197" s="260"/>
      <c r="AE197" s="260"/>
      <c r="AF197" s="260"/>
      <c r="AG197" s="260"/>
      <c r="AH197" s="260"/>
      <c r="AI197" s="260"/>
      <c r="AJ197" s="260"/>
      <c r="AK197" s="260"/>
      <c r="AL197" s="260"/>
      <c r="AM197" s="1284"/>
      <c r="AN197" s="260"/>
      <c r="AO197" s="275"/>
      <c r="AP197" s="275"/>
      <c r="AQ197" s="275"/>
      <c r="AR197" s="275"/>
      <c r="AS197" s="275"/>
      <c r="AT197" s="275"/>
      <c r="AU197" s="275"/>
      <c r="AV197" s="275"/>
      <c r="AW197" s="275"/>
      <c r="AX197" s="275"/>
      <c r="AY197" s="275"/>
      <c r="AZ197" s="275"/>
      <c r="BA197" s="275"/>
      <c r="BB197" s="275"/>
      <c r="BC197" s="275"/>
      <c r="BD197" s="275"/>
      <c r="BE197" s="275"/>
      <c r="BF197" s="275"/>
      <c r="BG197" s="275"/>
      <c r="BH197" s="275"/>
      <c r="BI197" s="275"/>
      <c r="BJ197" s="275"/>
    </row>
    <row r="198" spans="1:62">
      <c r="A198" s="595"/>
      <c r="B198" s="598"/>
      <c r="C198" s="599"/>
      <c r="E198" s="260"/>
      <c r="F198" s="275"/>
      <c r="G198" s="275"/>
      <c r="H198" s="275"/>
      <c r="I198" s="276"/>
      <c r="J198" s="260"/>
      <c r="K198" s="260"/>
      <c r="L198" s="260"/>
      <c r="M198" s="260"/>
      <c r="N198" s="260"/>
      <c r="O198" s="260"/>
      <c r="P198" s="260"/>
      <c r="Q198" s="260"/>
      <c r="R198" s="260"/>
      <c r="S198" s="260"/>
      <c r="T198" s="260"/>
      <c r="U198" s="260"/>
      <c r="V198" s="260"/>
      <c r="W198" s="260"/>
      <c r="X198" s="260"/>
      <c r="Y198" s="260"/>
      <c r="Z198" s="260"/>
      <c r="AA198" s="260"/>
      <c r="AB198" s="260"/>
      <c r="AC198" s="260"/>
      <c r="AD198" s="260"/>
      <c r="AE198" s="260"/>
      <c r="AF198" s="260"/>
      <c r="AG198" s="260"/>
      <c r="AH198" s="260"/>
      <c r="AI198" s="260"/>
      <c r="AJ198" s="260"/>
      <c r="AK198" s="260"/>
      <c r="AL198" s="260"/>
      <c r="AM198" s="1284"/>
      <c r="AN198" s="260"/>
      <c r="AO198" s="275"/>
      <c r="AP198" s="275"/>
      <c r="AQ198" s="275"/>
      <c r="AR198" s="275"/>
      <c r="AS198" s="275"/>
      <c r="AT198" s="275"/>
      <c r="AU198" s="275"/>
      <c r="AV198" s="275"/>
      <c r="AW198" s="275"/>
      <c r="AX198" s="275"/>
      <c r="AY198" s="275"/>
      <c r="AZ198" s="275"/>
      <c r="BA198" s="275"/>
      <c r="BB198" s="275"/>
      <c r="BC198" s="275"/>
      <c r="BD198" s="275"/>
      <c r="BE198" s="275"/>
      <c r="BF198" s="275"/>
      <c r="BG198" s="275"/>
      <c r="BH198" s="275"/>
      <c r="BI198" s="275"/>
      <c r="BJ198" s="275"/>
    </row>
    <row r="199" spans="1:62">
      <c r="A199" s="595"/>
      <c r="B199" s="598"/>
      <c r="C199" s="599"/>
      <c r="E199" s="260"/>
      <c r="F199" s="275"/>
      <c r="G199" s="275"/>
      <c r="H199" s="275"/>
      <c r="I199" s="276"/>
      <c r="J199" s="260"/>
      <c r="K199" s="260"/>
      <c r="L199" s="260"/>
      <c r="M199" s="260"/>
      <c r="N199" s="260"/>
      <c r="O199" s="260"/>
      <c r="P199" s="260"/>
      <c r="Q199" s="260"/>
      <c r="R199" s="260"/>
      <c r="S199" s="260"/>
      <c r="T199" s="260"/>
      <c r="U199" s="260"/>
      <c r="V199" s="260"/>
      <c r="W199" s="260"/>
      <c r="X199" s="260"/>
      <c r="Y199" s="260"/>
      <c r="Z199" s="260"/>
      <c r="AA199" s="260"/>
      <c r="AB199" s="260"/>
      <c r="AC199" s="260"/>
      <c r="AD199" s="260"/>
      <c r="AE199" s="260"/>
      <c r="AF199" s="260"/>
      <c r="AG199" s="260"/>
      <c r="AH199" s="260"/>
      <c r="AI199" s="260"/>
      <c r="AJ199" s="260"/>
      <c r="AK199" s="260"/>
      <c r="AL199" s="260"/>
      <c r="AM199" s="1284"/>
      <c r="AN199" s="260"/>
      <c r="AO199" s="275"/>
      <c r="AP199" s="275"/>
      <c r="AQ199" s="275"/>
      <c r="AR199" s="275"/>
      <c r="AS199" s="275"/>
      <c r="AT199" s="275"/>
      <c r="AU199" s="275"/>
      <c r="AV199" s="275"/>
      <c r="AW199" s="275"/>
      <c r="AX199" s="275"/>
      <c r="AY199" s="275"/>
      <c r="AZ199" s="275"/>
      <c r="BA199" s="275"/>
      <c r="BB199" s="275"/>
      <c r="BC199" s="275"/>
      <c r="BD199" s="275"/>
      <c r="BE199" s="275"/>
      <c r="BF199" s="275"/>
      <c r="BG199" s="275"/>
      <c r="BH199" s="275"/>
      <c r="BI199" s="275"/>
      <c r="BJ199" s="275"/>
    </row>
    <row r="200" spans="1:62">
      <c r="A200" s="595"/>
      <c r="B200" s="598"/>
      <c r="C200" s="599"/>
      <c r="E200" s="260"/>
      <c r="F200" s="275"/>
      <c r="G200" s="275"/>
      <c r="H200" s="275"/>
      <c r="I200" s="276"/>
      <c r="J200" s="260"/>
      <c r="K200" s="260"/>
      <c r="L200" s="260"/>
      <c r="M200" s="260"/>
      <c r="N200" s="260"/>
      <c r="O200" s="260"/>
      <c r="P200" s="260"/>
      <c r="Q200" s="260"/>
      <c r="R200" s="260"/>
      <c r="S200" s="260"/>
      <c r="T200" s="260"/>
      <c r="U200" s="260"/>
      <c r="V200" s="260"/>
      <c r="W200" s="260"/>
      <c r="X200" s="260"/>
      <c r="Y200" s="260"/>
      <c r="Z200" s="260"/>
      <c r="AA200" s="260"/>
      <c r="AB200" s="260"/>
      <c r="AC200" s="260"/>
      <c r="AD200" s="260"/>
      <c r="AE200" s="260"/>
      <c r="AF200" s="260"/>
      <c r="AG200" s="260"/>
      <c r="AH200" s="260"/>
      <c r="AI200" s="260"/>
      <c r="AJ200" s="260"/>
      <c r="AK200" s="260"/>
      <c r="AL200" s="260"/>
      <c r="AM200" s="275"/>
      <c r="AN200" s="275"/>
      <c r="AO200" s="275"/>
      <c r="AP200" s="275"/>
      <c r="AQ200" s="275"/>
      <c r="AR200" s="275"/>
      <c r="AS200" s="275"/>
      <c r="AT200" s="275"/>
      <c r="AU200" s="275"/>
      <c r="AV200" s="275"/>
      <c r="AW200" s="275"/>
      <c r="AX200" s="275"/>
      <c r="AY200" s="275"/>
      <c r="AZ200" s="275"/>
      <c r="BA200" s="275"/>
      <c r="BB200" s="275"/>
      <c r="BC200" s="275"/>
      <c r="BD200" s="275"/>
      <c r="BE200" s="275"/>
      <c r="BF200" s="275"/>
      <c r="BG200" s="275"/>
      <c r="BH200" s="275"/>
      <c r="BI200" s="275"/>
      <c r="BJ200" s="275"/>
    </row>
    <row r="201" spans="1:62">
      <c r="A201" s="595"/>
      <c r="B201" s="598"/>
      <c r="C201" s="599"/>
      <c r="E201" s="260"/>
      <c r="F201" s="275"/>
      <c r="G201" s="275"/>
      <c r="H201" s="275"/>
      <c r="I201" s="276"/>
      <c r="J201" s="260"/>
      <c r="K201" s="260"/>
      <c r="L201" s="260"/>
      <c r="M201" s="260"/>
      <c r="N201" s="260"/>
      <c r="O201" s="260"/>
      <c r="P201" s="260"/>
      <c r="Q201" s="260"/>
      <c r="R201" s="260"/>
      <c r="S201" s="260"/>
      <c r="T201" s="260"/>
      <c r="U201" s="260"/>
      <c r="V201" s="260"/>
      <c r="W201" s="260"/>
      <c r="X201" s="260"/>
      <c r="Y201" s="260"/>
      <c r="Z201" s="260"/>
      <c r="AA201" s="260"/>
      <c r="AB201" s="260"/>
      <c r="AC201" s="260"/>
      <c r="AD201" s="260"/>
      <c r="AE201" s="260"/>
      <c r="AF201" s="260"/>
      <c r="AG201" s="260"/>
      <c r="AH201" s="260"/>
      <c r="AI201" s="260"/>
      <c r="AJ201" s="260"/>
      <c r="AK201" s="260"/>
      <c r="AL201" s="260"/>
      <c r="AM201" s="275"/>
      <c r="AN201" s="275"/>
      <c r="AO201" s="275"/>
      <c r="AP201" s="275"/>
      <c r="AQ201" s="275"/>
      <c r="AR201" s="275"/>
      <c r="AS201" s="275"/>
      <c r="AT201" s="275"/>
      <c r="AU201" s="275"/>
      <c r="AV201" s="275"/>
      <c r="AW201" s="275"/>
      <c r="AX201" s="275"/>
      <c r="AY201" s="275"/>
      <c r="AZ201" s="275"/>
      <c r="BA201" s="275"/>
      <c r="BB201" s="275"/>
      <c r="BC201" s="275"/>
      <c r="BD201" s="275"/>
      <c r="BE201" s="275"/>
      <c r="BF201" s="275"/>
      <c r="BG201" s="275"/>
      <c r="BH201" s="275"/>
      <c r="BI201" s="275"/>
      <c r="BJ201" s="275"/>
    </row>
    <row r="202" spans="1:62">
      <c r="A202" s="595"/>
      <c r="B202" s="598"/>
      <c r="C202" s="599"/>
      <c r="E202" s="260"/>
      <c r="F202" s="275"/>
      <c r="G202" s="275"/>
      <c r="H202" s="275"/>
      <c r="I202" s="276"/>
      <c r="J202" s="260"/>
      <c r="K202" s="260"/>
      <c r="L202" s="260"/>
      <c r="M202" s="260"/>
      <c r="N202" s="260"/>
      <c r="O202" s="260"/>
      <c r="P202" s="260"/>
      <c r="Q202" s="260"/>
      <c r="R202" s="260"/>
      <c r="S202" s="260"/>
      <c r="T202" s="260"/>
      <c r="U202" s="260"/>
      <c r="V202" s="260"/>
      <c r="W202" s="260"/>
      <c r="X202" s="260"/>
      <c r="Y202" s="260"/>
      <c r="Z202" s="260"/>
      <c r="AA202" s="260"/>
      <c r="AB202" s="260"/>
      <c r="AC202" s="260"/>
      <c r="AD202" s="260"/>
      <c r="AE202" s="260"/>
      <c r="AF202" s="260"/>
      <c r="AG202" s="260"/>
      <c r="AH202" s="260"/>
      <c r="AI202" s="260"/>
      <c r="AJ202" s="260"/>
      <c r="AK202" s="260"/>
      <c r="AL202" s="260"/>
      <c r="AM202" s="275"/>
      <c r="AN202" s="275"/>
      <c r="AO202" s="275"/>
      <c r="AP202" s="275"/>
      <c r="AQ202" s="275"/>
      <c r="AR202" s="275"/>
      <c r="AS202" s="275"/>
      <c r="AT202" s="275"/>
      <c r="AU202" s="275"/>
      <c r="AV202" s="275"/>
      <c r="AW202" s="275"/>
      <c r="AX202" s="275"/>
      <c r="AY202" s="275"/>
      <c r="AZ202" s="275"/>
      <c r="BA202" s="275"/>
      <c r="BB202" s="275"/>
      <c r="BC202" s="275"/>
      <c r="BD202" s="275"/>
      <c r="BE202" s="275"/>
      <c r="BF202" s="275"/>
      <c r="BG202" s="275"/>
      <c r="BH202" s="275"/>
      <c r="BI202" s="275"/>
      <c r="BJ202" s="275"/>
    </row>
    <row r="203" spans="1:62">
      <c r="A203" s="595"/>
      <c r="B203" s="598"/>
      <c r="C203" s="599"/>
      <c r="E203" s="260"/>
      <c r="F203" s="275"/>
      <c r="G203" s="275"/>
      <c r="H203" s="275"/>
      <c r="I203" s="276"/>
      <c r="J203" s="260"/>
      <c r="K203" s="260"/>
      <c r="L203" s="260"/>
      <c r="M203" s="260"/>
      <c r="N203" s="260"/>
      <c r="O203" s="260"/>
      <c r="P203" s="260"/>
      <c r="Q203" s="260"/>
      <c r="R203" s="260"/>
      <c r="S203" s="260"/>
      <c r="T203" s="260"/>
      <c r="U203" s="260"/>
      <c r="V203" s="260"/>
      <c r="W203" s="260"/>
      <c r="X203" s="260"/>
      <c r="Y203" s="260"/>
      <c r="Z203" s="260"/>
      <c r="AA203" s="260"/>
      <c r="AB203" s="260"/>
      <c r="AC203" s="260"/>
      <c r="AD203" s="260"/>
      <c r="AE203" s="260"/>
      <c r="AF203" s="260"/>
      <c r="AG203" s="260"/>
      <c r="AH203" s="260"/>
      <c r="AI203" s="260"/>
      <c r="AJ203" s="260"/>
      <c r="AK203" s="260"/>
      <c r="AL203" s="260"/>
      <c r="AM203" s="275"/>
      <c r="AN203" s="275"/>
      <c r="AO203" s="275"/>
      <c r="AP203" s="275"/>
      <c r="AQ203" s="275"/>
      <c r="AR203" s="275"/>
      <c r="AS203" s="275"/>
      <c r="AT203" s="275"/>
      <c r="AU203" s="275"/>
      <c r="AV203" s="275"/>
      <c r="AW203" s="275"/>
      <c r="AX203" s="275"/>
      <c r="AY203" s="275"/>
      <c r="AZ203" s="275"/>
      <c r="BA203" s="275"/>
      <c r="BB203" s="275"/>
      <c r="BC203" s="275"/>
      <c r="BD203" s="275"/>
      <c r="BE203" s="275"/>
      <c r="BF203" s="275"/>
      <c r="BG203" s="275"/>
      <c r="BH203" s="275"/>
      <c r="BI203" s="275"/>
      <c r="BJ203" s="275"/>
    </row>
    <row r="204" spans="1:62">
      <c r="A204" s="595"/>
      <c r="B204" s="598"/>
      <c r="C204" s="599"/>
      <c r="E204" s="260"/>
      <c r="F204" s="275"/>
      <c r="G204" s="275"/>
      <c r="H204" s="275"/>
      <c r="I204" s="276"/>
      <c r="J204" s="260"/>
      <c r="K204" s="260"/>
      <c r="L204" s="260"/>
      <c r="M204" s="260"/>
      <c r="N204" s="260"/>
      <c r="O204" s="260"/>
      <c r="P204" s="260"/>
      <c r="Q204" s="260"/>
      <c r="R204" s="260"/>
      <c r="S204" s="260"/>
      <c r="T204" s="260"/>
      <c r="U204" s="260"/>
      <c r="V204" s="260"/>
      <c r="W204" s="260"/>
      <c r="X204" s="260"/>
      <c r="Y204" s="260"/>
      <c r="Z204" s="260"/>
      <c r="AA204" s="260"/>
      <c r="AB204" s="260"/>
      <c r="AC204" s="260"/>
      <c r="AD204" s="260"/>
      <c r="AE204" s="260"/>
      <c r="AF204" s="260"/>
      <c r="AG204" s="260"/>
      <c r="AH204" s="260"/>
      <c r="AI204" s="260"/>
      <c r="AJ204" s="260"/>
      <c r="AK204" s="260"/>
      <c r="AL204" s="260"/>
      <c r="AM204" s="275"/>
      <c r="AN204" s="275"/>
      <c r="AO204" s="275"/>
      <c r="AP204" s="275"/>
      <c r="AQ204" s="275"/>
      <c r="AR204" s="275"/>
      <c r="AS204" s="275"/>
      <c r="AT204" s="275"/>
      <c r="AU204" s="275"/>
      <c r="AV204" s="275"/>
      <c r="AW204" s="275"/>
      <c r="AX204" s="275"/>
      <c r="AY204" s="275"/>
      <c r="AZ204" s="275"/>
      <c r="BA204" s="275"/>
      <c r="BB204" s="275"/>
      <c r="BC204" s="275"/>
      <c r="BD204" s="275"/>
      <c r="BE204" s="275"/>
      <c r="BF204" s="275"/>
      <c r="BG204" s="275"/>
      <c r="BH204" s="275"/>
      <c r="BI204" s="275"/>
      <c r="BJ204" s="275"/>
    </row>
    <row r="205" spans="1:62">
      <c r="A205" s="595"/>
      <c r="B205" s="598"/>
      <c r="C205" s="599"/>
      <c r="E205" s="260"/>
      <c r="F205" s="275"/>
      <c r="G205" s="275"/>
      <c r="H205" s="275"/>
      <c r="I205" s="276"/>
      <c r="J205" s="260"/>
      <c r="K205" s="260"/>
      <c r="L205" s="260"/>
      <c r="M205" s="260"/>
      <c r="N205" s="260"/>
      <c r="O205" s="260"/>
      <c r="P205" s="260"/>
      <c r="Q205" s="260"/>
      <c r="R205" s="260"/>
      <c r="S205" s="260"/>
      <c r="T205" s="260"/>
      <c r="U205" s="260"/>
      <c r="V205" s="260"/>
      <c r="W205" s="260"/>
      <c r="X205" s="260"/>
      <c r="Y205" s="260"/>
      <c r="Z205" s="260"/>
      <c r="AA205" s="260"/>
      <c r="AB205" s="260"/>
      <c r="AC205" s="260"/>
      <c r="AD205" s="260"/>
      <c r="AE205" s="260"/>
      <c r="AF205" s="260"/>
      <c r="AG205" s="260"/>
      <c r="AH205" s="260"/>
      <c r="AI205" s="260"/>
      <c r="AJ205" s="260"/>
      <c r="AK205" s="260"/>
      <c r="AL205" s="260"/>
      <c r="AM205" s="275"/>
      <c r="AN205" s="275"/>
      <c r="AO205" s="275"/>
      <c r="AP205" s="275"/>
      <c r="AQ205" s="275"/>
      <c r="AR205" s="275"/>
      <c r="AS205" s="275"/>
      <c r="AT205" s="275"/>
      <c r="AU205" s="275"/>
      <c r="AV205" s="275"/>
      <c r="AW205" s="275"/>
      <c r="AX205" s="275"/>
      <c r="AY205" s="275"/>
      <c r="AZ205" s="275"/>
      <c r="BA205" s="275"/>
      <c r="BB205" s="275"/>
      <c r="BC205" s="275"/>
      <c r="BD205" s="275"/>
      <c r="BE205" s="275"/>
      <c r="BF205" s="275"/>
      <c r="BG205" s="275"/>
      <c r="BH205" s="275"/>
      <c r="BI205" s="275"/>
      <c r="BJ205" s="275"/>
    </row>
    <row r="206" spans="1:62">
      <c r="A206" s="595"/>
      <c r="B206" s="598"/>
      <c r="C206" s="599"/>
      <c r="E206" s="260"/>
      <c r="F206" s="275"/>
      <c r="G206" s="275"/>
      <c r="H206" s="275"/>
      <c r="I206" s="276"/>
      <c r="J206" s="260"/>
      <c r="K206" s="260"/>
      <c r="L206" s="260"/>
      <c r="M206" s="260"/>
      <c r="N206" s="260"/>
      <c r="O206" s="260"/>
      <c r="P206" s="260"/>
      <c r="Q206" s="260"/>
      <c r="R206" s="260"/>
      <c r="S206" s="260"/>
      <c r="T206" s="260"/>
      <c r="U206" s="260"/>
      <c r="V206" s="260"/>
      <c r="W206" s="260"/>
      <c r="X206" s="260"/>
      <c r="Y206" s="260"/>
      <c r="Z206" s="260"/>
      <c r="AA206" s="260"/>
      <c r="AB206" s="260"/>
      <c r="AC206" s="260"/>
      <c r="AD206" s="260"/>
      <c r="AE206" s="260"/>
      <c r="AF206" s="260"/>
      <c r="AG206" s="260"/>
      <c r="AH206" s="260"/>
      <c r="AI206" s="260"/>
      <c r="AJ206" s="260"/>
      <c r="AK206" s="260"/>
      <c r="AL206" s="260"/>
      <c r="AM206" s="275"/>
      <c r="AN206" s="275"/>
      <c r="AO206" s="275"/>
      <c r="AP206" s="275"/>
      <c r="AQ206" s="275"/>
      <c r="AR206" s="275"/>
      <c r="AS206" s="275"/>
      <c r="AT206" s="275"/>
      <c r="AU206" s="275"/>
      <c r="AV206" s="275"/>
      <c r="AW206" s="275"/>
      <c r="AX206" s="275"/>
      <c r="AY206" s="275"/>
      <c r="AZ206" s="275"/>
      <c r="BA206" s="275"/>
      <c r="BB206" s="275"/>
      <c r="BC206" s="275"/>
      <c r="BD206" s="275"/>
      <c r="BE206" s="275"/>
      <c r="BF206" s="275"/>
      <c r="BG206" s="275"/>
      <c r="BH206" s="275"/>
      <c r="BI206" s="275"/>
      <c r="BJ206" s="275"/>
    </row>
    <row r="207" spans="1:62">
      <c r="A207" s="595"/>
      <c r="B207" s="598"/>
      <c r="C207" s="599"/>
      <c r="E207" s="260"/>
      <c r="F207" s="275"/>
      <c r="G207" s="275"/>
      <c r="H207" s="275"/>
      <c r="I207" s="276"/>
      <c r="J207" s="260"/>
      <c r="K207" s="260"/>
      <c r="L207" s="260"/>
      <c r="M207" s="260"/>
      <c r="N207" s="260"/>
      <c r="O207" s="260"/>
      <c r="P207" s="260"/>
      <c r="Q207" s="260"/>
      <c r="R207" s="260"/>
      <c r="S207" s="260"/>
      <c r="T207" s="260"/>
      <c r="U207" s="260"/>
      <c r="V207" s="260"/>
      <c r="W207" s="260"/>
      <c r="X207" s="260"/>
      <c r="Y207" s="260"/>
      <c r="Z207" s="260"/>
      <c r="AA207" s="260"/>
      <c r="AB207" s="260"/>
      <c r="AC207" s="260"/>
      <c r="AD207" s="260"/>
      <c r="AE207" s="260"/>
      <c r="AF207" s="260"/>
      <c r="AG207" s="260"/>
      <c r="AH207" s="260"/>
      <c r="AI207" s="260"/>
      <c r="AJ207" s="260"/>
      <c r="AK207" s="260"/>
      <c r="AL207" s="260"/>
      <c r="AM207" s="275"/>
      <c r="AN207" s="275"/>
      <c r="AO207" s="275"/>
      <c r="AP207" s="275"/>
      <c r="AQ207" s="275"/>
      <c r="AR207" s="275"/>
      <c r="AS207" s="275"/>
      <c r="AT207" s="275"/>
      <c r="AU207" s="275"/>
      <c r="AV207" s="275"/>
      <c r="AW207" s="275"/>
      <c r="AX207" s="275"/>
      <c r="AY207" s="275"/>
      <c r="AZ207" s="275"/>
      <c r="BA207" s="275"/>
      <c r="BB207" s="275"/>
      <c r="BC207" s="275"/>
      <c r="BD207" s="275"/>
      <c r="BE207" s="275"/>
      <c r="BF207" s="275"/>
      <c r="BG207" s="275"/>
      <c r="BH207" s="275"/>
      <c r="BI207" s="275"/>
      <c r="BJ207" s="275"/>
    </row>
    <row r="208" spans="1:62">
      <c r="A208" s="595"/>
      <c r="B208" s="598"/>
      <c r="C208" s="599"/>
      <c r="E208" s="260"/>
      <c r="F208" s="275"/>
      <c r="G208" s="275"/>
      <c r="H208" s="275"/>
      <c r="I208" s="276"/>
      <c r="J208" s="260"/>
      <c r="K208" s="260"/>
      <c r="L208" s="260"/>
      <c r="M208" s="260"/>
      <c r="N208" s="260"/>
      <c r="O208" s="260"/>
      <c r="P208" s="260"/>
      <c r="Q208" s="260"/>
      <c r="R208" s="260"/>
      <c r="S208" s="260"/>
      <c r="T208" s="260"/>
      <c r="U208" s="260"/>
      <c r="V208" s="260"/>
      <c r="W208" s="260"/>
      <c r="X208" s="260"/>
      <c r="Y208" s="260"/>
      <c r="Z208" s="260"/>
      <c r="AA208" s="260"/>
      <c r="AB208" s="260"/>
      <c r="AC208" s="260"/>
      <c r="AD208" s="260"/>
      <c r="AE208" s="260"/>
      <c r="AF208" s="260"/>
      <c r="AG208" s="260"/>
      <c r="AH208" s="260"/>
      <c r="AI208" s="260"/>
      <c r="AJ208" s="260"/>
      <c r="AK208" s="260"/>
      <c r="AL208" s="260"/>
      <c r="AM208" s="275"/>
      <c r="AN208" s="275"/>
      <c r="AO208" s="275"/>
      <c r="AP208" s="275"/>
      <c r="AQ208" s="275"/>
      <c r="AR208" s="275"/>
      <c r="AS208" s="275"/>
      <c r="AT208" s="275"/>
      <c r="AU208" s="275"/>
      <c r="AV208" s="275"/>
      <c r="AW208" s="275"/>
      <c r="AX208" s="275"/>
      <c r="AY208" s="275"/>
      <c r="AZ208" s="275"/>
      <c r="BA208" s="275"/>
      <c r="BB208" s="275"/>
      <c r="BC208" s="275"/>
      <c r="BD208" s="275"/>
      <c r="BE208" s="275"/>
      <c r="BF208" s="275"/>
      <c r="BG208" s="275"/>
      <c r="BH208" s="275"/>
      <c r="BI208" s="275"/>
      <c r="BJ208" s="275"/>
    </row>
    <row r="209" spans="1:62">
      <c r="A209" s="595"/>
      <c r="B209" s="598"/>
      <c r="C209" s="599"/>
      <c r="E209" s="260"/>
      <c r="F209" s="275"/>
      <c r="G209" s="275"/>
      <c r="H209" s="275"/>
      <c r="I209" s="276"/>
      <c r="J209" s="260"/>
      <c r="K209" s="260"/>
      <c r="L209" s="260"/>
      <c r="M209" s="260"/>
      <c r="N209" s="260"/>
      <c r="O209" s="260"/>
      <c r="P209" s="260"/>
      <c r="Q209" s="260"/>
      <c r="R209" s="260"/>
      <c r="S209" s="260"/>
      <c r="T209" s="260"/>
      <c r="U209" s="260"/>
      <c r="V209" s="260"/>
      <c r="W209" s="260"/>
      <c r="X209" s="260"/>
      <c r="Y209" s="260"/>
      <c r="Z209" s="260"/>
      <c r="AA209" s="260"/>
      <c r="AB209" s="260"/>
      <c r="AC209" s="260"/>
      <c r="AD209" s="260"/>
      <c r="AE209" s="260"/>
      <c r="AF209" s="260"/>
      <c r="AG209" s="260"/>
      <c r="AH209" s="260"/>
      <c r="AI209" s="260"/>
      <c r="AJ209" s="260"/>
      <c r="AK209" s="260"/>
      <c r="AL209" s="260"/>
      <c r="AM209" s="275"/>
      <c r="AN209" s="275"/>
      <c r="AO209" s="275"/>
      <c r="AP209" s="275"/>
      <c r="AQ209" s="275"/>
      <c r="AR209" s="275"/>
      <c r="AS209" s="275"/>
      <c r="AT209" s="275"/>
      <c r="AU209" s="275"/>
      <c r="AV209" s="275"/>
      <c r="AW209" s="275"/>
      <c r="AX209" s="275"/>
      <c r="AY209" s="275"/>
      <c r="AZ209" s="275"/>
      <c r="BA209" s="275"/>
      <c r="BB209" s="275"/>
      <c r="BC209" s="275"/>
      <c r="BD209" s="275"/>
      <c r="BE209" s="275"/>
      <c r="BF209" s="275"/>
      <c r="BG209" s="275"/>
      <c r="BH209" s="275"/>
      <c r="BI209" s="275"/>
      <c r="BJ209" s="275"/>
    </row>
    <row r="210" spans="1:62">
      <c r="A210" s="595"/>
      <c r="B210" s="598"/>
      <c r="C210" s="599"/>
      <c r="E210" s="260"/>
      <c r="F210" s="275"/>
      <c r="G210" s="275"/>
      <c r="H210" s="275"/>
      <c r="I210" s="276"/>
      <c r="J210" s="260"/>
      <c r="K210" s="260"/>
      <c r="L210" s="260"/>
      <c r="M210" s="260"/>
      <c r="N210" s="260"/>
      <c r="O210" s="260"/>
      <c r="P210" s="260"/>
      <c r="Q210" s="260"/>
      <c r="R210" s="260"/>
      <c r="S210" s="260"/>
      <c r="T210" s="260"/>
      <c r="U210" s="260"/>
      <c r="V210" s="260"/>
      <c r="W210" s="260"/>
      <c r="X210" s="260"/>
      <c r="Y210" s="260"/>
      <c r="Z210" s="260"/>
      <c r="AA210" s="260"/>
      <c r="AB210" s="260"/>
      <c r="AC210" s="260"/>
      <c r="AD210" s="260"/>
      <c r="AE210" s="260"/>
      <c r="AF210" s="260"/>
      <c r="AG210" s="260"/>
      <c r="AH210" s="260"/>
      <c r="AI210" s="260"/>
      <c r="AJ210" s="260"/>
      <c r="AK210" s="260"/>
      <c r="AL210" s="260"/>
      <c r="AM210" s="275"/>
      <c r="AN210" s="275"/>
      <c r="AO210" s="275"/>
      <c r="AP210" s="275"/>
      <c r="AQ210" s="275"/>
      <c r="AR210" s="275"/>
      <c r="AS210" s="275"/>
      <c r="AT210" s="275"/>
      <c r="AU210" s="275"/>
      <c r="AV210" s="275"/>
      <c r="AW210" s="275"/>
      <c r="AX210" s="275"/>
      <c r="AY210" s="275"/>
      <c r="AZ210" s="275"/>
      <c r="BA210" s="275"/>
      <c r="BB210" s="275"/>
      <c r="BC210" s="275"/>
      <c r="BD210" s="275"/>
      <c r="BE210" s="275"/>
      <c r="BF210" s="275"/>
      <c r="BG210" s="275"/>
      <c r="BH210" s="275"/>
      <c r="BI210" s="275"/>
      <c r="BJ210" s="275"/>
    </row>
    <row r="211" spans="1:62">
      <c r="A211" s="595"/>
      <c r="B211" s="598"/>
      <c r="C211" s="243"/>
      <c r="E211" s="260"/>
      <c r="F211" s="275"/>
      <c r="G211" s="275"/>
      <c r="H211" s="275"/>
      <c r="I211" s="276"/>
      <c r="J211" s="260"/>
      <c r="K211" s="260"/>
      <c r="L211" s="260"/>
      <c r="M211" s="260"/>
      <c r="N211" s="260"/>
      <c r="O211" s="260"/>
      <c r="P211" s="260"/>
      <c r="Q211" s="260"/>
      <c r="R211" s="260"/>
      <c r="S211" s="260"/>
      <c r="T211" s="260"/>
      <c r="U211" s="260"/>
      <c r="V211" s="260"/>
      <c r="W211" s="260"/>
      <c r="X211" s="260"/>
      <c r="Y211" s="260"/>
      <c r="Z211" s="260"/>
      <c r="AA211" s="260"/>
      <c r="AB211" s="260"/>
      <c r="AC211" s="260"/>
      <c r="AD211" s="260"/>
      <c r="AE211" s="260"/>
      <c r="AF211" s="260"/>
      <c r="AG211" s="260"/>
      <c r="AH211" s="260"/>
      <c r="AI211" s="260"/>
      <c r="AJ211" s="260"/>
      <c r="AK211" s="260"/>
      <c r="AL211" s="260"/>
      <c r="AM211" s="275"/>
      <c r="AN211" s="275"/>
      <c r="AO211" s="275"/>
      <c r="AP211" s="275"/>
      <c r="AQ211" s="275"/>
      <c r="AR211" s="275"/>
      <c r="AS211" s="275"/>
      <c r="AT211" s="275"/>
      <c r="AU211" s="275"/>
      <c r="AV211" s="275"/>
      <c r="AW211" s="275"/>
      <c r="AX211" s="275"/>
      <c r="AY211" s="275"/>
      <c r="AZ211" s="275"/>
      <c r="BA211" s="275"/>
      <c r="BB211" s="275"/>
      <c r="BC211" s="275"/>
      <c r="BD211" s="275"/>
      <c r="BE211" s="275"/>
      <c r="BF211" s="275"/>
      <c r="BG211" s="275"/>
      <c r="BH211" s="275"/>
      <c r="BI211" s="275"/>
      <c r="BJ211" s="275"/>
    </row>
    <row r="212" spans="1:62">
      <c r="A212" s="595"/>
      <c r="B212" s="598"/>
      <c r="C212" s="243"/>
      <c r="E212" s="260"/>
      <c r="F212" s="275"/>
      <c r="G212" s="275"/>
      <c r="H212" s="275"/>
      <c r="I212" s="276"/>
      <c r="J212" s="260"/>
      <c r="K212" s="260"/>
      <c r="L212" s="260"/>
      <c r="M212" s="260"/>
      <c r="N212" s="260"/>
      <c r="O212" s="260"/>
      <c r="P212" s="260"/>
      <c r="Q212" s="260"/>
      <c r="R212" s="260"/>
      <c r="S212" s="260"/>
      <c r="T212" s="260"/>
      <c r="U212" s="260"/>
      <c r="V212" s="260"/>
      <c r="W212" s="260"/>
      <c r="X212" s="260"/>
      <c r="Y212" s="260"/>
      <c r="Z212" s="260"/>
      <c r="AA212" s="260"/>
      <c r="AB212" s="260"/>
      <c r="AC212" s="260"/>
      <c r="AD212" s="260"/>
      <c r="AE212" s="260"/>
      <c r="AF212" s="260"/>
      <c r="AG212" s="260"/>
      <c r="AH212" s="260"/>
      <c r="AI212" s="260"/>
      <c r="AJ212" s="260"/>
      <c r="AK212" s="260"/>
      <c r="AL212" s="260"/>
      <c r="AM212" s="275"/>
      <c r="AN212" s="275"/>
      <c r="AO212" s="275"/>
      <c r="AP212" s="275"/>
      <c r="AQ212" s="275"/>
      <c r="AR212" s="275"/>
      <c r="AS212" s="275"/>
      <c r="AT212" s="275"/>
      <c r="AU212" s="275"/>
      <c r="AV212" s="275"/>
      <c r="AW212" s="275"/>
      <c r="AX212" s="275"/>
      <c r="AY212" s="275"/>
      <c r="AZ212" s="275"/>
      <c r="BA212" s="275"/>
      <c r="BB212" s="275"/>
      <c r="BC212" s="275"/>
      <c r="BD212" s="275"/>
      <c r="BE212" s="275"/>
      <c r="BF212" s="275"/>
      <c r="BG212" s="275"/>
      <c r="BH212" s="275"/>
      <c r="BI212" s="275"/>
      <c r="BJ212" s="275"/>
    </row>
    <row r="213" spans="1:62">
      <c r="A213" s="595"/>
      <c r="B213" s="598"/>
      <c r="C213" s="243"/>
      <c r="E213" s="260"/>
      <c r="F213" s="275"/>
      <c r="G213" s="275"/>
      <c r="H213" s="275"/>
      <c r="I213" s="276"/>
      <c r="J213" s="276"/>
      <c r="K213" s="260"/>
      <c r="L213" s="260"/>
      <c r="M213" s="260"/>
      <c r="N213" s="260"/>
      <c r="O213" s="260"/>
      <c r="P213" s="260"/>
      <c r="Q213" s="260"/>
      <c r="R213" s="260"/>
      <c r="S213" s="260"/>
      <c r="T213" s="260"/>
      <c r="U213" s="260"/>
      <c r="V213" s="260"/>
      <c r="W213" s="260"/>
      <c r="X213" s="260"/>
      <c r="Y213" s="260"/>
      <c r="Z213" s="260"/>
      <c r="AA213" s="260"/>
      <c r="AB213" s="260"/>
      <c r="AC213" s="260"/>
      <c r="AD213" s="260"/>
      <c r="AE213" s="260"/>
      <c r="AF213" s="260"/>
      <c r="AG213" s="260"/>
      <c r="AH213" s="260"/>
      <c r="AI213" s="260"/>
      <c r="AJ213" s="260"/>
      <c r="AK213" s="260"/>
      <c r="AL213" s="260"/>
      <c r="AM213" s="275"/>
      <c r="AN213" s="275"/>
      <c r="AO213" s="275"/>
      <c r="AP213" s="275"/>
      <c r="AQ213" s="275"/>
      <c r="AR213" s="275"/>
      <c r="AS213" s="275"/>
      <c r="AT213" s="275"/>
      <c r="AU213" s="275"/>
      <c r="AV213" s="275"/>
      <c r="AW213" s="275"/>
      <c r="AX213" s="275"/>
      <c r="AY213" s="275"/>
      <c r="AZ213" s="275"/>
      <c r="BA213" s="275"/>
      <c r="BB213" s="275"/>
      <c r="BC213" s="275"/>
      <c r="BD213" s="275"/>
      <c r="BE213" s="275"/>
      <c r="BF213" s="275"/>
      <c r="BG213" s="275"/>
      <c r="BH213" s="275"/>
      <c r="BI213" s="275"/>
      <c r="BJ213" s="275"/>
    </row>
    <row r="214" spans="1:62">
      <c r="A214" s="595"/>
      <c r="B214" s="598"/>
      <c r="C214" s="243"/>
      <c r="E214" s="260"/>
      <c r="F214" s="275"/>
      <c r="G214" s="275"/>
      <c r="H214" s="275"/>
      <c r="I214" s="276"/>
      <c r="J214" s="260"/>
      <c r="K214" s="260"/>
      <c r="L214" s="260"/>
      <c r="M214" s="260"/>
      <c r="N214" s="260"/>
      <c r="O214" s="260"/>
      <c r="P214" s="260"/>
      <c r="Q214" s="260"/>
      <c r="R214" s="260"/>
      <c r="S214" s="260"/>
      <c r="T214" s="260"/>
      <c r="U214" s="260"/>
      <c r="V214" s="260"/>
      <c r="W214" s="260"/>
      <c r="X214" s="260"/>
      <c r="Y214" s="260"/>
      <c r="Z214" s="260"/>
      <c r="AA214" s="260"/>
      <c r="AB214" s="260"/>
      <c r="AC214" s="260"/>
      <c r="AD214" s="260"/>
      <c r="AE214" s="260"/>
      <c r="AF214" s="260"/>
      <c r="AG214" s="260"/>
      <c r="AH214" s="260"/>
      <c r="AI214" s="260"/>
      <c r="AJ214" s="260"/>
      <c r="AK214" s="260"/>
      <c r="AL214" s="260"/>
      <c r="AM214" s="275"/>
      <c r="AN214" s="275"/>
      <c r="AO214" s="275"/>
      <c r="AP214" s="275"/>
      <c r="AQ214" s="275"/>
      <c r="AR214" s="275"/>
      <c r="AS214" s="275"/>
      <c r="AT214" s="275"/>
      <c r="AU214" s="275"/>
      <c r="AV214" s="275"/>
      <c r="AW214" s="275"/>
      <c r="AX214" s="275"/>
      <c r="AY214" s="275"/>
      <c r="AZ214" s="275"/>
      <c r="BA214" s="275"/>
      <c r="BB214" s="275"/>
      <c r="BC214" s="275"/>
      <c r="BD214" s="275"/>
      <c r="BE214" s="275"/>
      <c r="BF214" s="275"/>
      <c r="BG214" s="275"/>
      <c r="BH214" s="275"/>
      <c r="BI214" s="275"/>
      <c r="BJ214" s="275"/>
    </row>
    <row r="215" spans="1:62">
      <c r="A215" s="595"/>
      <c r="B215" s="598"/>
      <c r="C215" s="243"/>
      <c r="E215" s="260"/>
      <c r="F215" s="275"/>
      <c r="G215" s="275"/>
      <c r="H215" s="275"/>
      <c r="I215" s="276"/>
      <c r="J215" s="260"/>
      <c r="K215" s="260"/>
      <c r="L215" s="260"/>
      <c r="M215" s="260"/>
      <c r="N215" s="260"/>
      <c r="O215" s="260"/>
      <c r="P215" s="260"/>
      <c r="Q215" s="260"/>
      <c r="R215" s="260"/>
      <c r="S215" s="260"/>
      <c r="T215" s="260"/>
      <c r="U215" s="260"/>
      <c r="V215" s="260"/>
      <c r="W215" s="260"/>
      <c r="X215" s="260"/>
      <c r="Y215" s="260"/>
      <c r="Z215" s="260"/>
      <c r="AA215" s="260"/>
      <c r="AB215" s="260"/>
      <c r="AC215" s="260"/>
      <c r="AD215" s="260"/>
      <c r="AE215" s="260"/>
      <c r="AF215" s="260"/>
      <c r="AG215" s="260"/>
      <c r="AH215" s="260"/>
      <c r="AI215" s="260"/>
      <c r="AJ215" s="260"/>
      <c r="AK215" s="260"/>
      <c r="AL215" s="260"/>
      <c r="AM215" s="275"/>
      <c r="AN215" s="275"/>
      <c r="AO215" s="275"/>
      <c r="AP215" s="275"/>
      <c r="AQ215" s="275"/>
      <c r="AR215" s="275"/>
      <c r="AS215" s="275"/>
      <c r="AT215" s="275"/>
      <c r="AU215" s="275"/>
      <c r="AV215" s="275"/>
      <c r="AW215" s="275"/>
      <c r="AX215" s="275"/>
      <c r="AY215" s="275"/>
      <c r="AZ215" s="275"/>
      <c r="BA215" s="275"/>
      <c r="BB215" s="275"/>
      <c r="BC215" s="275"/>
      <c r="BD215" s="275"/>
      <c r="BE215" s="275"/>
      <c r="BF215" s="275"/>
      <c r="BG215" s="275"/>
      <c r="BH215" s="275"/>
      <c r="BI215" s="275"/>
      <c r="BJ215" s="275"/>
    </row>
    <row r="216" spans="1:62">
      <c r="A216" s="595"/>
      <c r="B216" s="598"/>
      <c r="C216" s="243"/>
      <c r="E216" s="260"/>
      <c r="F216" s="275"/>
      <c r="G216" s="275"/>
      <c r="H216" s="275"/>
      <c r="I216" s="276"/>
      <c r="J216" s="260"/>
      <c r="K216" s="260"/>
      <c r="L216" s="260"/>
      <c r="M216" s="260"/>
      <c r="N216" s="260"/>
      <c r="O216" s="260"/>
      <c r="P216" s="260"/>
      <c r="Q216" s="260"/>
      <c r="R216" s="260"/>
      <c r="S216" s="260"/>
      <c r="T216" s="260"/>
      <c r="U216" s="260"/>
      <c r="V216" s="260"/>
      <c r="W216" s="260"/>
      <c r="X216" s="260"/>
      <c r="Y216" s="260"/>
      <c r="Z216" s="260"/>
      <c r="AA216" s="260"/>
      <c r="AB216" s="260"/>
      <c r="AC216" s="260"/>
      <c r="AD216" s="260"/>
      <c r="AE216" s="260"/>
      <c r="AF216" s="260"/>
      <c r="AG216" s="260"/>
      <c r="AH216" s="260"/>
      <c r="AI216" s="260"/>
      <c r="AJ216" s="260"/>
      <c r="AK216" s="260"/>
      <c r="AL216" s="260"/>
      <c r="AM216" s="275"/>
      <c r="AN216" s="275"/>
      <c r="AO216" s="275"/>
      <c r="AP216" s="275"/>
      <c r="AQ216" s="275"/>
      <c r="AR216" s="275"/>
      <c r="AS216" s="275"/>
      <c r="AT216" s="275"/>
      <c r="AU216" s="275"/>
      <c r="AV216" s="275"/>
      <c r="AW216" s="275"/>
      <c r="AX216" s="275"/>
      <c r="AY216" s="275"/>
      <c r="AZ216" s="275"/>
      <c r="BA216" s="275"/>
      <c r="BB216" s="275"/>
      <c r="BC216" s="275"/>
      <c r="BD216" s="275"/>
      <c r="BE216" s="275"/>
      <c r="BF216" s="275"/>
      <c r="BG216" s="275"/>
      <c r="BH216" s="275"/>
      <c r="BI216" s="275"/>
      <c r="BJ216" s="275"/>
    </row>
    <row r="217" spans="1:62">
      <c r="A217" s="595"/>
      <c r="B217" s="598"/>
      <c r="C217" s="243"/>
      <c r="E217" s="260"/>
      <c r="F217" s="275"/>
      <c r="G217" s="275"/>
      <c r="H217" s="275"/>
      <c r="I217" s="276"/>
      <c r="J217" s="260"/>
      <c r="K217" s="260"/>
      <c r="L217" s="260"/>
      <c r="M217" s="260"/>
      <c r="N217" s="260"/>
      <c r="O217" s="260"/>
      <c r="P217" s="260"/>
      <c r="Q217" s="260"/>
      <c r="R217" s="260"/>
      <c r="S217" s="260"/>
      <c r="T217" s="260"/>
      <c r="U217" s="260"/>
      <c r="V217" s="260"/>
      <c r="W217" s="260"/>
      <c r="X217" s="260"/>
      <c r="Y217" s="260"/>
      <c r="Z217" s="260"/>
      <c r="AA217" s="260"/>
      <c r="AB217" s="260"/>
      <c r="AC217" s="260"/>
      <c r="AD217" s="260"/>
      <c r="AE217" s="260"/>
      <c r="AF217" s="260"/>
      <c r="AG217" s="260"/>
      <c r="AH217" s="260"/>
      <c r="AI217" s="260"/>
      <c r="AJ217" s="260"/>
      <c r="AK217" s="260"/>
      <c r="AL217" s="260"/>
      <c r="AM217" s="275"/>
      <c r="AN217" s="275"/>
      <c r="AO217" s="275"/>
      <c r="AP217" s="275"/>
      <c r="AQ217" s="275"/>
      <c r="AR217" s="275"/>
      <c r="AS217" s="275"/>
      <c r="AT217" s="275"/>
      <c r="AU217" s="275"/>
      <c r="AV217" s="275"/>
      <c r="AW217" s="275"/>
      <c r="AX217" s="275"/>
      <c r="AY217" s="275"/>
      <c r="AZ217" s="275"/>
      <c r="BA217" s="275"/>
      <c r="BB217" s="275"/>
      <c r="BC217" s="275"/>
      <c r="BD217" s="275"/>
      <c r="BE217" s="275"/>
      <c r="BF217" s="275"/>
      <c r="BG217" s="275"/>
      <c r="BH217" s="275"/>
      <c r="BI217" s="275"/>
      <c r="BJ217" s="275"/>
    </row>
    <row r="218" spans="1:62">
      <c r="A218" s="595"/>
      <c r="B218" s="598"/>
      <c r="C218" s="243"/>
      <c r="E218" s="260"/>
      <c r="F218" s="275"/>
      <c r="G218" s="275"/>
      <c r="H218" s="275"/>
      <c r="I218" s="276"/>
      <c r="J218" s="260"/>
      <c r="K218" s="260"/>
      <c r="L218" s="260"/>
      <c r="M218" s="260"/>
      <c r="N218" s="260"/>
      <c r="O218" s="260"/>
      <c r="P218" s="260"/>
      <c r="Q218" s="260"/>
      <c r="R218" s="260"/>
      <c r="S218" s="260"/>
      <c r="T218" s="260"/>
      <c r="U218" s="260"/>
      <c r="V218" s="260"/>
      <c r="W218" s="260"/>
      <c r="X218" s="260"/>
      <c r="Y218" s="260"/>
      <c r="Z218" s="260"/>
      <c r="AA218" s="260"/>
      <c r="AB218" s="260"/>
      <c r="AC218" s="260"/>
      <c r="AD218" s="260"/>
      <c r="AE218" s="260"/>
      <c r="AF218" s="260"/>
      <c r="AG218" s="260"/>
      <c r="AH218" s="260"/>
      <c r="AI218" s="260"/>
      <c r="AJ218" s="260"/>
      <c r="AK218" s="260"/>
      <c r="AL218" s="260"/>
      <c r="AM218" s="275"/>
      <c r="AN218" s="275"/>
      <c r="AO218" s="275"/>
      <c r="AP218" s="275"/>
      <c r="AQ218" s="275"/>
      <c r="AR218" s="275"/>
      <c r="AS218" s="275"/>
      <c r="AT218" s="275"/>
      <c r="AU218" s="275"/>
      <c r="AV218" s="275"/>
      <c r="AW218" s="275"/>
      <c r="AX218" s="275"/>
      <c r="AY218" s="275"/>
      <c r="AZ218" s="275"/>
      <c r="BA218" s="275"/>
      <c r="BB218" s="275"/>
      <c r="BC218" s="275"/>
      <c r="BD218" s="275"/>
      <c r="BE218" s="275"/>
      <c r="BF218" s="275"/>
      <c r="BG218" s="275"/>
      <c r="BH218" s="275"/>
      <c r="BI218" s="275"/>
      <c r="BJ218" s="275"/>
    </row>
    <row r="219" spans="1:62">
      <c r="A219" s="595"/>
      <c r="B219" s="598"/>
      <c r="C219" s="243"/>
      <c r="E219" s="260"/>
      <c r="F219" s="275"/>
      <c r="G219" s="275"/>
      <c r="H219" s="275"/>
      <c r="I219" s="276"/>
      <c r="J219" s="260"/>
      <c r="K219" s="260"/>
      <c r="L219" s="260"/>
      <c r="M219" s="260"/>
      <c r="N219" s="260"/>
      <c r="O219" s="260"/>
      <c r="P219" s="260"/>
      <c r="Q219" s="260"/>
      <c r="R219" s="260"/>
      <c r="S219" s="260"/>
      <c r="T219" s="260"/>
      <c r="U219" s="260"/>
      <c r="V219" s="260"/>
      <c r="W219" s="260"/>
      <c r="X219" s="260"/>
      <c r="Y219" s="260"/>
      <c r="Z219" s="260"/>
      <c r="AA219" s="260"/>
      <c r="AB219" s="260"/>
      <c r="AC219" s="260"/>
      <c r="AD219" s="260"/>
      <c r="AE219" s="260"/>
      <c r="AF219" s="260"/>
      <c r="AG219" s="260"/>
      <c r="AH219" s="260"/>
      <c r="AI219" s="260"/>
      <c r="AJ219" s="260"/>
      <c r="AK219" s="260"/>
      <c r="AL219" s="260"/>
      <c r="AM219" s="275"/>
      <c r="AN219" s="275"/>
      <c r="AO219" s="275"/>
      <c r="AP219" s="275"/>
      <c r="AQ219" s="275"/>
      <c r="AR219" s="275"/>
      <c r="AS219" s="275"/>
      <c r="AT219" s="275"/>
      <c r="AU219" s="275"/>
      <c r="AV219" s="275"/>
      <c r="AW219" s="275"/>
      <c r="AX219" s="275"/>
      <c r="AY219" s="275"/>
      <c r="AZ219" s="275"/>
      <c r="BA219" s="275"/>
      <c r="BB219" s="275"/>
      <c r="BC219" s="275"/>
      <c r="BD219" s="275"/>
      <c r="BE219" s="275"/>
      <c r="BF219" s="275"/>
      <c r="BG219" s="275"/>
      <c r="BH219" s="275"/>
      <c r="BI219" s="275"/>
      <c r="BJ219" s="275"/>
    </row>
    <row r="220" spans="1:62">
      <c r="A220" s="595"/>
      <c r="B220" s="598"/>
      <c r="C220" s="243"/>
      <c r="E220" s="260"/>
      <c r="F220" s="275"/>
      <c r="G220" s="275"/>
      <c r="H220" s="275"/>
      <c r="I220" s="276"/>
      <c r="J220" s="260"/>
      <c r="K220" s="260"/>
      <c r="L220" s="260"/>
      <c r="M220" s="260"/>
      <c r="N220" s="260"/>
      <c r="O220" s="260"/>
      <c r="P220" s="260"/>
      <c r="Q220" s="260"/>
      <c r="R220" s="260"/>
      <c r="S220" s="260"/>
      <c r="T220" s="260"/>
      <c r="U220" s="260"/>
      <c r="V220" s="260"/>
      <c r="W220" s="260"/>
      <c r="X220" s="260"/>
      <c r="Y220" s="260"/>
      <c r="Z220" s="260"/>
      <c r="AA220" s="260"/>
      <c r="AB220" s="260"/>
      <c r="AC220" s="260"/>
      <c r="AD220" s="260"/>
      <c r="AE220" s="260"/>
      <c r="AF220" s="260"/>
      <c r="AG220" s="260"/>
      <c r="AH220" s="260"/>
      <c r="AI220" s="260"/>
      <c r="AJ220" s="260"/>
      <c r="AK220" s="260"/>
      <c r="AL220" s="260"/>
      <c r="AM220" s="275"/>
      <c r="AN220" s="275"/>
      <c r="AO220" s="275"/>
      <c r="AP220" s="275"/>
      <c r="AQ220" s="275"/>
      <c r="AR220" s="275"/>
      <c r="AS220" s="275"/>
      <c r="AT220" s="275"/>
      <c r="AU220" s="275"/>
      <c r="AV220" s="275"/>
      <c r="AW220" s="275"/>
      <c r="AX220" s="275"/>
      <c r="AY220" s="275"/>
      <c r="AZ220" s="275"/>
      <c r="BA220" s="275"/>
      <c r="BB220" s="275"/>
      <c r="BC220" s="275"/>
      <c r="BD220" s="275"/>
      <c r="BE220" s="275"/>
      <c r="BF220" s="275"/>
      <c r="BG220" s="275"/>
      <c r="BH220" s="275"/>
      <c r="BI220" s="275"/>
      <c r="BJ220" s="275"/>
    </row>
    <row r="221" spans="1:62">
      <c r="A221" s="595"/>
      <c r="B221" s="598"/>
      <c r="C221" s="243"/>
      <c r="E221" s="260"/>
      <c r="F221" s="275"/>
      <c r="G221" s="275"/>
      <c r="H221" s="275"/>
      <c r="I221" s="276"/>
      <c r="J221" s="260"/>
      <c r="K221" s="260"/>
      <c r="L221" s="260"/>
      <c r="M221" s="260"/>
      <c r="N221" s="260"/>
      <c r="O221" s="260"/>
      <c r="P221" s="260"/>
      <c r="Q221" s="260"/>
      <c r="R221" s="260"/>
      <c r="S221" s="260"/>
      <c r="T221" s="260"/>
      <c r="U221" s="260"/>
      <c r="V221" s="260"/>
      <c r="W221" s="260"/>
      <c r="X221" s="260"/>
      <c r="Y221" s="260"/>
      <c r="Z221" s="260"/>
      <c r="AA221" s="260"/>
      <c r="AB221" s="260"/>
      <c r="AC221" s="260"/>
      <c r="AD221" s="260"/>
      <c r="AE221" s="260"/>
      <c r="AF221" s="260"/>
      <c r="AG221" s="260"/>
      <c r="AH221" s="260"/>
      <c r="AI221" s="260"/>
      <c r="AJ221" s="260"/>
      <c r="AK221" s="260"/>
      <c r="AL221" s="260"/>
      <c r="AM221" s="275"/>
      <c r="AN221" s="275"/>
      <c r="AO221" s="275"/>
      <c r="AP221" s="275"/>
      <c r="AQ221" s="275"/>
      <c r="AR221" s="275"/>
      <c r="AS221" s="275"/>
      <c r="AT221" s="275"/>
      <c r="AU221" s="275"/>
      <c r="AV221" s="275"/>
      <c r="AW221" s="275"/>
      <c r="AX221" s="275"/>
      <c r="AY221" s="275"/>
      <c r="AZ221" s="275"/>
      <c r="BA221" s="275"/>
      <c r="BB221" s="275"/>
      <c r="BC221" s="275"/>
      <c r="BD221" s="275"/>
      <c r="BE221" s="275"/>
      <c r="BF221" s="275"/>
      <c r="BG221" s="275"/>
      <c r="BH221" s="275"/>
      <c r="BI221" s="275"/>
      <c r="BJ221" s="275"/>
    </row>
    <row r="222" spans="1:62">
      <c r="A222" s="595"/>
      <c r="B222" s="598"/>
      <c r="C222" s="243"/>
      <c r="E222" s="260"/>
      <c r="F222" s="275"/>
      <c r="G222" s="275"/>
      <c r="H222" s="275"/>
      <c r="I222" s="276"/>
      <c r="J222" s="260"/>
      <c r="K222" s="260"/>
      <c r="L222" s="260"/>
      <c r="M222" s="260"/>
      <c r="N222" s="260"/>
      <c r="O222" s="260"/>
      <c r="P222" s="260"/>
      <c r="Q222" s="260"/>
      <c r="R222" s="260"/>
      <c r="S222" s="260"/>
      <c r="T222" s="260"/>
      <c r="U222" s="260"/>
      <c r="V222" s="260"/>
      <c r="W222" s="260"/>
      <c r="X222" s="260"/>
      <c r="Y222" s="260"/>
      <c r="Z222" s="260"/>
      <c r="AA222" s="260"/>
      <c r="AB222" s="260"/>
      <c r="AC222" s="260"/>
      <c r="AD222" s="260"/>
      <c r="AE222" s="260"/>
      <c r="AF222" s="260"/>
      <c r="AG222" s="260"/>
      <c r="AH222" s="260"/>
      <c r="AI222" s="260"/>
      <c r="AJ222" s="260"/>
      <c r="AK222" s="260"/>
      <c r="AL222" s="260"/>
      <c r="AM222" s="275"/>
      <c r="AN222" s="275"/>
      <c r="AO222" s="275"/>
      <c r="AP222" s="275"/>
      <c r="AQ222" s="275"/>
      <c r="AR222" s="275"/>
      <c r="AS222" s="275"/>
      <c r="AT222" s="275"/>
      <c r="AU222" s="275"/>
      <c r="AV222" s="275"/>
      <c r="AW222" s="275"/>
      <c r="AX222" s="275"/>
      <c r="AY222" s="275"/>
      <c r="AZ222" s="275"/>
      <c r="BA222" s="275"/>
      <c r="BB222" s="275"/>
      <c r="BC222" s="275"/>
      <c r="BD222" s="275"/>
      <c r="BE222" s="275"/>
      <c r="BF222" s="275"/>
      <c r="BG222" s="275"/>
      <c r="BH222" s="275"/>
      <c r="BI222" s="275"/>
      <c r="BJ222" s="275"/>
    </row>
    <row r="223" spans="1:62">
      <c r="A223" s="595"/>
      <c r="B223" s="598"/>
      <c r="C223" s="243"/>
      <c r="E223" s="260"/>
      <c r="F223" s="275"/>
      <c r="G223" s="275"/>
      <c r="H223" s="275"/>
      <c r="I223" s="276"/>
      <c r="J223" s="260"/>
      <c r="K223" s="260"/>
      <c r="L223" s="260"/>
      <c r="M223" s="260"/>
      <c r="N223" s="260"/>
      <c r="O223" s="260"/>
      <c r="P223" s="260"/>
      <c r="Q223" s="260"/>
      <c r="R223" s="260"/>
      <c r="S223" s="260"/>
      <c r="T223" s="260"/>
      <c r="U223" s="260"/>
      <c r="V223" s="260"/>
      <c r="W223" s="260"/>
      <c r="X223" s="260"/>
      <c r="Y223" s="260"/>
      <c r="Z223" s="260"/>
      <c r="AA223" s="260"/>
      <c r="AB223" s="260"/>
      <c r="AC223" s="260"/>
      <c r="AD223" s="260"/>
      <c r="AE223" s="260"/>
      <c r="AF223" s="260"/>
      <c r="AG223" s="260"/>
      <c r="AH223" s="260"/>
      <c r="AI223" s="260"/>
      <c r="AJ223" s="260"/>
      <c r="AK223" s="260"/>
      <c r="AL223" s="260"/>
      <c r="AM223" s="275"/>
      <c r="AN223" s="275"/>
      <c r="AO223" s="275"/>
      <c r="AP223" s="275"/>
      <c r="AQ223" s="275"/>
      <c r="AR223" s="275"/>
      <c r="AS223" s="275"/>
      <c r="AT223" s="275"/>
      <c r="AU223" s="275"/>
      <c r="AV223" s="275"/>
      <c r="AW223" s="275"/>
      <c r="AX223" s="275"/>
      <c r="AY223" s="275"/>
      <c r="AZ223" s="275"/>
      <c r="BA223" s="275"/>
      <c r="BB223" s="275"/>
      <c r="BC223" s="275"/>
      <c r="BD223" s="275"/>
      <c r="BE223" s="275"/>
      <c r="BF223" s="275"/>
      <c r="BG223" s="275"/>
      <c r="BH223" s="275"/>
      <c r="BI223" s="275"/>
      <c r="BJ223" s="275"/>
    </row>
    <row r="224" spans="1:62">
      <c r="A224" s="595"/>
      <c r="B224" s="598"/>
      <c r="C224" s="243"/>
      <c r="E224" s="260"/>
      <c r="F224" s="275"/>
      <c r="G224" s="275"/>
      <c r="H224" s="275"/>
      <c r="I224" s="276"/>
      <c r="J224" s="260"/>
      <c r="K224" s="260"/>
      <c r="L224" s="260"/>
      <c r="M224" s="260"/>
      <c r="N224" s="260"/>
      <c r="O224" s="260"/>
      <c r="P224" s="260"/>
      <c r="Q224" s="260"/>
      <c r="R224" s="260"/>
      <c r="S224" s="260"/>
      <c r="T224" s="260"/>
      <c r="U224" s="260"/>
      <c r="V224" s="260"/>
      <c r="W224" s="260"/>
      <c r="X224" s="260"/>
      <c r="Y224" s="260"/>
      <c r="Z224" s="260"/>
      <c r="AA224" s="260"/>
      <c r="AB224" s="260"/>
      <c r="AC224" s="260"/>
      <c r="AD224" s="260"/>
      <c r="AE224" s="260"/>
      <c r="AF224" s="260"/>
      <c r="AG224" s="260"/>
      <c r="AH224" s="260"/>
      <c r="AI224" s="260"/>
      <c r="AJ224" s="260"/>
      <c r="AK224" s="260"/>
      <c r="AL224" s="260"/>
      <c r="AM224" s="275"/>
      <c r="AN224" s="275"/>
      <c r="AO224" s="275"/>
      <c r="AP224" s="275"/>
      <c r="AQ224" s="275"/>
      <c r="AR224" s="275"/>
      <c r="AS224" s="275"/>
      <c r="AT224" s="275"/>
      <c r="AU224" s="275"/>
      <c r="AV224" s="275"/>
      <c r="AW224" s="275"/>
      <c r="AX224" s="275"/>
      <c r="AY224" s="275"/>
      <c r="AZ224" s="275"/>
      <c r="BA224" s="275"/>
      <c r="BB224" s="275"/>
      <c r="BC224" s="275"/>
      <c r="BD224" s="275"/>
      <c r="BE224" s="275"/>
      <c r="BF224" s="275"/>
      <c r="BG224" s="275"/>
      <c r="BH224" s="275"/>
      <c r="BI224" s="275"/>
      <c r="BJ224" s="275"/>
    </row>
    <row r="225" spans="1:62">
      <c r="A225" s="595"/>
      <c r="B225" s="242"/>
      <c r="C225" s="243"/>
      <c r="E225" s="260"/>
      <c r="F225" s="275"/>
      <c r="G225" s="275"/>
      <c r="H225" s="275"/>
      <c r="I225" s="276"/>
      <c r="J225" s="260"/>
      <c r="K225" s="260"/>
      <c r="L225" s="260"/>
      <c r="M225" s="260"/>
      <c r="N225" s="260"/>
      <c r="O225" s="260"/>
      <c r="P225" s="260"/>
      <c r="Q225" s="260"/>
      <c r="R225" s="260"/>
      <c r="S225" s="260"/>
      <c r="T225" s="260"/>
      <c r="U225" s="260"/>
      <c r="V225" s="260"/>
      <c r="W225" s="260"/>
      <c r="X225" s="260"/>
      <c r="Y225" s="260"/>
      <c r="Z225" s="260"/>
      <c r="AA225" s="260"/>
      <c r="AB225" s="260"/>
      <c r="AC225" s="260"/>
      <c r="AD225" s="260"/>
      <c r="AE225" s="260"/>
      <c r="AF225" s="260"/>
      <c r="AG225" s="260"/>
      <c r="AH225" s="260"/>
      <c r="AI225" s="260"/>
      <c r="AJ225" s="260"/>
      <c r="AK225" s="260"/>
      <c r="AL225" s="260"/>
      <c r="AM225" s="275"/>
      <c r="AN225" s="275"/>
      <c r="AO225" s="275"/>
      <c r="AP225" s="275"/>
      <c r="AQ225" s="275"/>
      <c r="AR225" s="275"/>
      <c r="AS225" s="275"/>
      <c r="AT225" s="275"/>
      <c r="AU225" s="275"/>
      <c r="AV225" s="275"/>
      <c r="AW225" s="275"/>
      <c r="AX225" s="275"/>
      <c r="AY225" s="275"/>
      <c r="AZ225" s="275"/>
      <c r="BA225" s="275"/>
      <c r="BB225" s="275"/>
      <c r="BC225" s="275"/>
      <c r="BD225" s="275"/>
      <c r="BE225" s="275"/>
      <c r="BF225" s="275"/>
      <c r="BG225" s="275"/>
      <c r="BH225" s="275"/>
      <c r="BI225" s="275"/>
      <c r="BJ225" s="275"/>
    </row>
    <row r="226" spans="1:62">
      <c r="A226" s="595"/>
      <c r="B226" s="242"/>
      <c r="C226" s="243"/>
      <c r="E226" s="260"/>
      <c r="F226" s="275"/>
      <c r="G226" s="275"/>
      <c r="H226" s="275"/>
      <c r="I226" s="276"/>
      <c r="J226" s="260"/>
      <c r="K226" s="260"/>
      <c r="L226" s="260"/>
      <c r="M226" s="260"/>
      <c r="N226" s="260"/>
      <c r="O226" s="260"/>
      <c r="P226" s="260"/>
      <c r="Q226" s="260"/>
      <c r="R226" s="260"/>
      <c r="S226" s="260"/>
      <c r="T226" s="260"/>
      <c r="U226" s="260"/>
      <c r="V226" s="260"/>
      <c r="W226" s="260"/>
      <c r="X226" s="260"/>
      <c r="Y226" s="260"/>
      <c r="Z226" s="260"/>
      <c r="AA226" s="260"/>
      <c r="AB226" s="260"/>
      <c r="AC226" s="260"/>
      <c r="AD226" s="260"/>
      <c r="AE226" s="260"/>
      <c r="AF226" s="260"/>
      <c r="AG226" s="260"/>
      <c r="AH226" s="260"/>
      <c r="AI226" s="260"/>
      <c r="AJ226" s="260"/>
      <c r="AK226" s="260"/>
      <c r="AL226" s="260"/>
      <c r="AM226" s="275"/>
      <c r="AN226" s="275"/>
      <c r="AO226" s="275"/>
      <c r="AP226" s="275"/>
      <c r="AQ226" s="275"/>
      <c r="AR226" s="275"/>
      <c r="AS226" s="275"/>
      <c r="AT226" s="275"/>
      <c r="AU226" s="275"/>
      <c r="AV226" s="275"/>
      <c r="AW226" s="275"/>
      <c r="AX226" s="275"/>
      <c r="AY226" s="275"/>
      <c r="AZ226" s="275"/>
      <c r="BA226" s="275"/>
      <c r="BB226" s="275"/>
      <c r="BC226" s="275"/>
      <c r="BD226" s="275"/>
      <c r="BE226" s="275"/>
      <c r="BF226" s="275"/>
      <c r="BG226" s="275"/>
      <c r="BH226" s="275"/>
      <c r="BI226" s="275"/>
      <c r="BJ226" s="275"/>
    </row>
    <row r="227" spans="1:62">
      <c r="A227" s="595"/>
      <c r="B227" s="242"/>
      <c r="C227" s="243"/>
      <c r="E227" s="260"/>
      <c r="F227" s="275"/>
      <c r="G227" s="275"/>
      <c r="H227" s="275"/>
      <c r="I227" s="276"/>
      <c r="J227" s="260"/>
      <c r="K227" s="260"/>
      <c r="L227" s="260"/>
      <c r="M227" s="260"/>
      <c r="N227" s="260"/>
      <c r="O227" s="260"/>
      <c r="P227" s="260"/>
      <c r="Q227" s="260"/>
      <c r="R227" s="260"/>
      <c r="S227" s="260"/>
      <c r="T227" s="260"/>
      <c r="U227" s="260"/>
      <c r="V227" s="260"/>
      <c r="W227" s="260"/>
      <c r="X227" s="260"/>
      <c r="Y227" s="260"/>
      <c r="Z227" s="260"/>
      <c r="AA227" s="260"/>
      <c r="AB227" s="260"/>
      <c r="AC227" s="260"/>
      <c r="AD227" s="260"/>
      <c r="AE227" s="260"/>
      <c r="AF227" s="260"/>
      <c r="AG227" s="260"/>
      <c r="AH227" s="260"/>
      <c r="AI227" s="260"/>
      <c r="AJ227" s="260"/>
      <c r="AK227" s="260"/>
      <c r="AL227" s="260"/>
      <c r="AM227" s="275"/>
      <c r="AN227" s="275"/>
      <c r="AO227" s="275"/>
      <c r="AP227" s="275"/>
      <c r="AQ227" s="275"/>
      <c r="AR227" s="275"/>
      <c r="AS227" s="275"/>
      <c r="AT227" s="275"/>
      <c r="AU227" s="275"/>
      <c r="AV227" s="275"/>
      <c r="AW227" s="275"/>
      <c r="AX227" s="275"/>
      <c r="AY227" s="275"/>
      <c r="AZ227" s="275"/>
      <c r="BA227" s="275"/>
      <c r="BB227" s="275"/>
      <c r="BC227" s="275"/>
      <c r="BD227" s="275"/>
      <c r="BE227" s="275"/>
      <c r="BF227" s="275"/>
      <c r="BG227" s="275"/>
      <c r="BH227" s="275"/>
      <c r="BI227" s="275"/>
      <c r="BJ227" s="275"/>
    </row>
    <row r="228" spans="1:62">
      <c r="A228" s="595"/>
      <c r="B228" s="242"/>
      <c r="C228" s="243"/>
      <c r="E228" s="260"/>
      <c r="F228" s="275"/>
      <c r="G228" s="275"/>
      <c r="H228" s="275"/>
      <c r="I228" s="276"/>
      <c r="J228" s="260"/>
      <c r="K228" s="260"/>
      <c r="L228" s="260"/>
      <c r="M228" s="260"/>
      <c r="N228" s="260"/>
      <c r="O228" s="260"/>
      <c r="P228" s="260"/>
      <c r="Q228" s="260"/>
      <c r="R228" s="260"/>
      <c r="S228" s="260"/>
      <c r="T228" s="260"/>
      <c r="U228" s="260"/>
      <c r="V228" s="260"/>
      <c r="W228" s="260"/>
      <c r="X228" s="260"/>
      <c r="Y228" s="260"/>
      <c r="Z228" s="260"/>
      <c r="AA228" s="260"/>
      <c r="AB228" s="260"/>
      <c r="AC228" s="260"/>
      <c r="AD228" s="260"/>
      <c r="AE228" s="260"/>
      <c r="AF228" s="260"/>
      <c r="AG228" s="260"/>
      <c r="AH228" s="260"/>
      <c r="AI228" s="260"/>
      <c r="AJ228" s="260"/>
      <c r="AK228" s="260"/>
      <c r="AL228" s="260"/>
      <c r="AM228" s="275"/>
      <c r="AN228" s="275"/>
      <c r="AO228" s="275"/>
      <c r="AP228" s="275"/>
      <c r="AQ228" s="275"/>
      <c r="AR228" s="275"/>
      <c r="AS228" s="275"/>
      <c r="AT228" s="275"/>
      <c r="AU228" s="275"/>
      <c r="AV228" s="275"/>
      <c r="AW228" s="275"/>
      <c r="AX228" s="275"/>
      <c r="AY228" s="275"/>
      <c r="AZ228" s="275"/>
      <c r="BA228" s="275"/>
      <c r="BB228" s="275"/>
      <c r="BC228" s="275"/>
      <c r="BD228" s="275"/>
      <c r="BE228" s="275"/>
      <c r="BF228" s="275"/>
      <c r="BG228" s="275"/>
      <c r="BH228" s="275"/>
      <c r="BI228" s="275"/>
      <c r="BJ228" s="275"/>
    </row>
    <row r="229" spans="1:62">
      <c r="A229" s="595"/>
      <c r="B229" s="242"/>
      <c r="C229" s="243"/>
      <c r="E229" s="260"/>
      <c r="F229" s="275"/>
      <c r="G229" s="275"/>
      <c r="H229" s="275"/>
      <c r="I229" s="276"/>
      <c r="J229" s="260"/>
      <c r="K229" s="260"/>
      <c r="L229" s="260"/>
      <c r="M229" s="260"/>
      <c r="N229" s="260"/>
      <c r="O229" s="260"/>
      <c r="P229" s="260"/>
      <c r="Q229" s="260"/>
      <c r="R229" s="260"/>
      <c r="S229" s="260"/>
      <c r="T229" s="260"/>
      <c r="U229" s="260"/>
      <c r="V229" s="260"/>
      <c r="W229" s="260"/>
      <c r="X229" s="260"/>
      <c r="Y229" s="260"/>
      <c r="Z229" s="260"/>
      <c r="AA229" s="260"/>
      <c r="AB229" s="260"/>
      <c r="AC229" s="260"/>
      <c r="AD229" s="260"/>
      <c r="AE229" s="260"/>
      <c r="AF229" s="260"/>
      <c r="AG229" s="260"/>
      <c r="AH229" s="260"/>
      <c r="AI229" s="260"/>
      <c r="AJ229" s="260"/>
      <c r="AK229" s="260"/>
      <c r="AL229" s="260"/>
      <c r="AM229" s="275"/>
      <c r="AN229" s="275"/>
      <c r="AO229" s="275"/>
      <c r="AP229" s="275"/>
      <c r="AQ229" s="275"/>
      <c r="AR229" s="275"/>
      <c r="AS229" s="275"/>
      <c r="AT229" s="275"/>
      <c r="AU229" s="275"/>
      <c r="AV229" s="275"/>
      <c r="AW229" s="275"/>
      <c r="AX229" s="275"/>
      <c r="AY229" s="275"/>
      <c r="AZ229" s="275"/>
      <c r="BA229" s="275"/>
      <c r="BB229" s="275"/>
      <c r="BC229" s="275"/>
      <c r="BD229" s="275"/>
      <c r="BE229" s="275"/>
      <c r="BF229" s="275"/>
      <c r="BG229" s="275"/>
      <c r="BH229" s="275"/>
      <c r="BI229" s="275"/>
      <c r="BJ229" s="275"/>
    </row>
    <row r="230" spans="1:62">
      <c r="A230" s="595"/>
      <c r="B230" s="242"/>
      <c r="C230" s="243"/>
      <c r="E230" s="260"/>
      <c r="F230" s="275"/>
      <c r="G230" s="275"/>
      <c r="H230" s="275"/>
      <c r="I230" s="276"/>
      <c r="J230" s="260"/>
      <c r="K230" s="260"/>
      <c r="L230" s="260"/>
      <c r="M230" s="260"/>
      <c r="N230" s="260"/>
      <c r="O230" s="260"/>
      <c r="P230" s="260"/>
      <c r="Q230" s="260"/>
      <c r="R230" s="260"/>
      <c r="S230" s="260"/>
      <c r="T230" s="260"/>
      <c r="U230" s="260"/>
      <c r="V230" s="260"/>
      <c r="W230" s="260"/>
      <c r="X230" s="260"/>
      <c r="Y230" s="260"/>
      <c r="Z230" s="260"/>
      <c r="AA230" s="260"/>
      <c r="AB230" s="260"/>
      <c r="AC230" s="260"/>
      <c r="AD230" s="260"/>
      <c r="AE230" s="260"/>
      <c r="AF230" s="260"/>
      <c r="AG230" s="260"/>
      <c r="AH230" s="260"/>
      <c r="AI230" s="260"/>
      <c r="AJ230" s="260"/>
      <c r="AK230" s="260"/>
      <c r="AL230" s="260"/>
      <c r="AM230" s="275"/>
      <c r="AN230" s="275"/>
      <c r="AO230" s="275"/>
      <c r="AP230" s="275"/>
      <c r="AQ230" s="275"/>
      <c r="AR230" s="275"/>
      <c r="AS230" s="275"/>
      <c r="AT230" s="275"/>
      <c r="AU230" s="275"/>
      <c r="AV230" s="275"/>
      <c r="AW230" s="275"/>
      <c r="AX230" s="275"/>
      <c r="AY230" s="275"/>
      <c r="AZ230" s="275"/>
      <c r="BA230" s="275"/>
      <c r="BB230" s="275"/>
      <c r="BC230" s="275"/>
      <c r="BD230" s="275"/>
      <c r="BE230" s="275"/>
      <c r="BF230" s="275"/>
      <c r="BG230" s="275"/>
      <c r="BH230" s="275"/>
      <c r="BI230" s="275"/>
      <c r="BJ230" s="275"/>
    </row>
    <row r="231" spans="1:62">
      <c r="A231" s="595"/>
      <c r="B231" s="242"/>
      <c r="C231" s="243"/>
      <c r="E231" s="260"/>
      <c r="F231" s="275"/>
      <c r="G231" s="275"/>
      <c r="H231" s="275"/>
      <c r="I231" s="276"/>
      <c r="J231" s="260"/>
      <c r="K231" s="260"/>
      <c r="L231" s="260"/>
      <c r="M231" s="260"/>
      <c r="N231" s="260"/>
      <c r="O231" s="260"/>
      <c r="P231" s="260"/>
      <c r="Q231" s="260"/>
      <c r="R231" s="260"/>
      <c r="S231" s="260"/>
      <c r="T231" s="260"/>
      <c r="U231" s="260"/>
      <c r="V231" s="260"/>
      <c r="W231" s="260"/>
      <c r="X231" s="260"/>
      <c r="Y231" s="260"/>
      <c r="Z231" s="260"/>
      <c r="AA231" s="260"/>
      <c r="AB231" s="260"/>
      <c r="AC231" s="260"/>
      <c r="AD231" s="260"/>
      <c r="AE231" s="260"/>
      <c r="AF231" s="260"/>
      <c r="AG231" s="260"/>
      <c r="AH231" s="260"/>
      <c r="AI231" s="260"/>
      <c r="AJ231" s="260"/>
      <c r="AK231" s="260"/>
      <c r="AL231" s="260"/>
      <c r="AM231" s="275"/>
      <c r="AN231" s="275"/>
      <c r="AO231" s="275"/>
      <c r="AP231" s="275"/>
      <c r="AQ231" s="275"/>
      <c r="AR231" s="275"/>
      <c r="AS231" s="275"/>
      <c r="AT231" s="275"/>
      <c r="AU231" s="275"/>
      <c r="AV231" s="275"/>
      <c r="AW231" s="275"/>
      <c r="AX231" s="275"/>
      <c r="AY231" s="275"/>
      <c r="AZ231" s="275"/>
      <c r="BA231" s="275"/>
      <c r="BB231" s="275"/>
      <c r="BC231" s="275"/>
      <c r="BD231" s="275"/>
      <c r="BE231" s="275"/>
      <c r="BF231" s="275"/>
      <c r="BG231" s="275"/>
      <c r="BH231" s="275"/>
      <c r="BI231" s="275"/>
      <c r="BJ231" s="275"/>
    </row>
    <row r="232" spans="1:62">
      <c r="A232" s="595"/>
      <c r="B232" s="242"/>
      <c r="C232" s="243"/>
      <c r="E232" s="260"/>
      <c r="F232" s="275"/>
      <c r="G232" s="275"/>
      <c r="H232" s="275"/>
      <c r="I232" s="276"/>
      <c r="J232" s="260"/>
      <c r="K232" s="260"/>
      <c r="L232" s="260"/>
      <c r="M232" s="260"/>
      <c r="N232" s="260"/>
      <c r="O232" s="260"/>
      <c r="P232" s="260"/>
      <c r="Q232" s="260"/>
      <c r="R232" s="260"/>
      <c r="S232" s="260"/>
      <c r="T232" s="260"/>
      <c r="U232" s="260"/>
      <c r="V232" s="260"/>
      <c r="W232" s="260"/>
      <c r="X232" s="260"/>
      <c r="Y232" s="260"/>
      <c r="Z232" s="260"/>
      <c r="AA232" s="260"/>
      <c r="AB232" s="260"/>
      <c r="AC232" s="260"/>
      <c r="AD232" s="260"/>
      <c r="AE232" s="260"/>
      <c r="AF232" s="260"/>
      <c r="AG232" s="260"/>
      <c r="AH232" s="260"/>
      <c r="AI232" s="260"/>
      <c r="AJ232" s="260"/>
      <c r="AK232" s="260"/>
      <c r="AL232" s="260"/>
      <c r="AM232" s="275"/>
      <c r="AN232" s="275"/>
      <c r="AO232" s="275"/>
      <c r="AP232" s="275"/>
      <c r="AQ232" s="275"/>
      <c r="AR232" s="275"/>
      <c r="AS232" s="275"/>
      <c r="AT232" s="275"/>
      <c r="AU232" s="275"/>
      <c r="AV232" s="275"/>
      <c r="AW232" s="275"/>
      <c r="AX232" s="275"/>
      <c r="AY232" s="275"/>
      <c r="AZ232" s="275"/>
      <c r="BA232" s="275"/>
      <c r="BB232" s="275"/>
      <c r="BC232" s="275"/>
      <c r="BD232" s="275"/>
      <c r="BE232" s="275"/>
      <c r="BF232" s="275"/>
      <c r="BG232" s="275"/>
      <c r="BH232" s="275"/>
      <c r="BI232" s="275"/>
      <c r="BJ232" s="275"/>
    </row>
    <row r="233" spans="1:62">
      <c r="A233" s="595"/>
      <c r="B233" s="242"/>
      <c r="C233" s="243"/>
      <c r="E233" s="260"/>
      <c r="F233" s="275"/>
      <c r="G233" s="275"/>
      <c r="H233" s="275"/>
      <c r="I233" s="276"/>
      <c r="J233" s="260"/>
      <c r="K233" s="260"/>
      <c r="L233" s="260"/>
      <c r="M233" s="260"/>
      <c r="N233" s="260"/>
      <c r="O233" s="260"/>
      <c r="P233" s="260"/>
      <c r="Q233" s="260"/>
      <c r="R233" s="260"/>
      <c r="S233" s="260"/>
      <c r="T233" s="260"/>
      <c r="U233" s="260"/>
      <c r="V233" s="260"/>
      <c r="W233" s="260"/>
      <c r="X233" s="260"/>
      <c r="Y233" s="260"/>
      <c r="Z233" s="260"/>
      <c r="AA233" s="260"/>
      <c r="AB233" s="260"/>
      <c r="AC233" s="260"/>
      <c r="AD233" s="260"/>
      <c r="AE233" s="260"/>
      <c r="AF233" s="260"/>
      <c r="AG233" s="260"/>
      <c r="AH233" s="260"/>
      <c r="AI233" s="260"/>
      <c r="AJ233" s="260"/>
      <c r="AK233" s="260"/>
      <c r="AL233" s="260"/>
      <c r="AM233" s="275"/>
      <c r="AN233" s="275"/>
      <c r="AO233" s="275"/>
      <c r="AP233" s="275"/>
      <c r="AQ233" s="275"/>
      <c r="AR233" s="275"/>
      <c r="AS233" s="275"/>
      <c r="AT233" s="275"/>
      <c r="AU233" s="275"/>
      <c r="AV233" s="275"/>
      <c r="AW233" s="275"/>
      <c r="AX233" s="275"/>
      <c r="AY233" s="275"/>
      <c r="AZ233" s="275"/>
      <c r="BA233" s="275"/>
      <c r="BB233" s="275"/>
      <c r="BC233" s="275"/>
      <c r="BD233" s="275"/>
      <c r="BE233" s="275"/>
      <c r="BF233" s="275"/>
      <c r="BG233" s="275"/>
      <c r="BH233" s="275"/>
      <c r="BI233" s="275"/>
      <c r="BJ233" s="275"/>
    </row>
    <row r="234" spans="1:62">
      <c r="A234" s="595"/>
      <c r="B234" s="242"/>
      <c r="C234" s="243"/>
      <c r="E234" s="260"/>
      <c r="F234" s="275"/>
      <c r="G234" s="275"/>
      <c r="H234" s="275"/>
      <c r="I234" s="276"/>
      <c r="J234" s="260"/>
      <c r="K234" s="260"/>
      <c r="L234" s="260"/>
      <c r="M234" s="260"/>
      <c r="N234" s="260"/>
      <c r="O234" s="260"/>
      <c r="P234" s="260"/>
      <c r="Q234" s="260"/>
      <c r="R234" s="260"/>
      <c r="S234" s="260"/>
      <c r="T234" s="260"/>
      <c r="U234" s="260"/>
      <c r="V234" s="260"/>
      <c r="W234" s="260"/>
      <c r="X234" s="260"/>
      <c r="Y234" s="260"/>
      <c r="Z234" s="260"/>
      <c r="AA234" s="260"/>
      <c r="AB234" s="260"/>
      <c r="AC234" s="260"/>
      <c r="AD234" s="260"/>
      <c r="AE234" s="260"/>
      <c r="AF234" s="260"/>
      <c r="AG234" s="260"/>
      <c r="AH234" s="260"/>
      <c r="AI234" s="260"/>
      <c r="AJ234" s="260"/>
      <c r="AK234" s="260"/>
      <c r="AL234" s="260"/>
      <c r="AM234" s="275"/>
      <c r="AN234" s="275"/>
      <c r="AO234" s="275"/>
      <c r="AP234" s="275"/>
      <c r="AQ234" s="275"/>
      <c r="AR234" s="275"/>
      <c r="AS234" s="275"/>
      <c r="AT234" s="275"/>
      <c r="AU234" s="275"/>
      <c r="AV234" s="275"/>
      <c r="AW234" s="275"/>
      <c r="AX234" s="275"/>
      <c r="AY234" s="275"/>
      <c r="AZ234" s="275"/>
      <c r="BA234" s="275"/>
      <c r="BB234" s="275"/>
      <c r="BC234" s="275"/>
      <c r="BD234" s="275"/>
      <c r="BE234" s="275"/>
      <c r="BF234" s="275"/>
      <c r="BG234" s="275"/>
      <c r="BH234" s="275"/>
      <c r="BI234" s="275"/>
      <c r="BJ234" s="275"/>
    </row>
    <row r="235" spans="1:62">
      <c r="A235" s="595"/>
      <c r="B235" s="242"/>
      <c r="C235" s="243"/>
      <c r="E235" s="260"/>
      <c r="F235" s="275"/>
      <c r="G235" s="275"/>
      <c r="H235" s="275"/>
      <c r="I235" s="276"/>
      <c r="J235" s="260"/>
      <c r="K235" s="260"/>
      <c r="L235" s="260"/>
      <c r="M235" s="260"/>
      <c r="N235" s="260"/>
      <c r="O235" s="260"/>
      <c r="P235" s="260"/>
      <c r="Q235" s="260"/>
      <c r="R235" s="260"/>
      <c r="S235" s="260"/>
      <c r="T235" s="260"/>
      <c r="U235" s="260"/>
      <c r="V235" s="260"/>
      <c r="W235" s="260"/>
      <c r="X235" s="260"/>
      <c r="Y235" s="260"/>
      <c r="Z235" s="260"/>
      <c r="AA235" s="260"/>
      <c r="AB235" s="260"/>
      <c r="AC235" s="260"/>
      <c r="AD235" s="260"/>
      <c r="AE235" s="260"/>
      <c r="AF235" s="260"/>
      <c r="AG235" s="260"/>
      <c r="AH235" s="260"/>
      <c r="AI235" s="260"/>
      <c r="AJ235" s="260"/>
      <c r="AK235" s="260"/>
      <c r="AL235" s="260"/>
      <c r="AM235" s="275"/>
      <c r="AN235" s="275"/>
      <c r="AO235" s="275"/>
      <c r="AP235" s="275"/>
      <c r="AQ235" s="275"/>
      <c r="AR235" s="275"/>
      <c r="AS235" s="275"/>
      <c r="AT235" s="275"/>
      <c r="AU235" s="275"/>
      <c r="AV235" s="275"/>
      <c r="AW235" s="275"/>
      <c r="AX235" s="275"/>
      <c r="AY235" s="275"/>
      <c r="AZ235" s="275"/>
      <c r="BA235" s="275"/>
      <c r="BB235" s="275"/>
      <c r="BC235" s="275"/>
      <c r="BD235" s="275"/>
      <c r="BE235" s="275"/>
      <c r="BF235" s="275"/>
      <c r="BG235" s="275"/>
      <c r="BH235" s="275"/>
      <c r="BI235" s="275"/>
      <c r="BJ235" s="275"/>
    </row>
    <row r="236" spans="1:62">
      <c r="A236" s="595"/>
      <c r="B236" s="242"/>
      <c r="C236" s="243"/>
      <c r="E236" s="260"/>
      <c r="F236" s="275"/>
      <c r="G236" s="275"/>
      <c r="H236" s="275"/>
      <c r="I236" s="276"/>
      <c r="J236" s="260"/>
      <c r="K236" s="260"/>
      <c r="L236" s="260"/>
      <c r="M236" s="260"/>
      <c r="N236" s="260"/>
      <c r="O236" s="260"/>
      <c r="P236" s="260"/>
      <c r="Q236" s="260"/>
      <c r="R236" s="260"/>
      <c r="S236" s="260"/>
      <c r="T236" s="260"/>
      <c r="U236" s="260"/>
      <c r="V236" s="260"/>
      <c r="W236" s="260"/>
      <c r="X236" s="260"/>
      <c r="Y236" s="260"/>
      <c r="Z236" s="260"/>
      <c r="AA236" s="260"/>
      <c r="AB236" s="260"/>
      <c r="AC236" s="260"/>
      <c r="AD236" s="260"/>
      <c r="AE236" s="260"/>
      <c r="AF236" s="260"/>
      <c r="AG236" s="260"/>
      <c r="AH236" s="260"/>
      <c r="AI236" s="260"/>
      <c r="AJ236" s="260"/>
      <c r="AK236" s="260"/>
      <c r="AL236" s="260"/>
      <c r="AM236" s="275"/>
      <c r="AN236" s="275"/>
      <c r="AO236" s="275"/>
      <c r="AP236" s="275"/>
      <c r="AQ236" s="275"/>
      <c r="AR236" s="275"/>
      <c r="AS236" s="275"/>
      <c r="AT236" s="275"/>
      <c r="AU236" s="275"/>
      <c r="AV236" s="275"/>
      <c r="AW236" s="275"/>
      <c r="AX236" s="275"/>
      <c r="AY236" s="275"/>
      <c r="AZ236" s="275"/>
      <c r="BA236" s="275"/>
      <c r="BB236" s="275"/>
      <c r="BC236" s="275"/>
      <c r="BD236" s="275"/>
      <c r="BE236" s="275"/>
      <c r="BF236" s="275"/>
      <c r="BG236" s="275"/>
      <c r="BH236" s="275"/>
      <c r="BI236" s="275"/>
      <c r="BJ236" s="275"/>
    </row>
    <row r="237" spans="1:62">
      <c r="A237" s="595"/>
      <c r="B237" s="242"/>
      <c r="C237" s="243"/>
      <c r="E237" s="260"/>
      <c r="F237" s="275"/>
      <c r="G237" s="275"/>
      <c r="H237" s="275"/>
      <c r="I237" s="276"/>
      <c r="J237" s="260"/>
      <c r="K237" s="260"/>
      <c r="L237" s="260"/>
      <c r="M237" s="260"/>
      <c r="N237" s="260"/>
      <c r="O237" s="260"/>
      <c r="P237" s="260"/>
      <c r="Q237" s="260"/>
      <c r="R237" s="260"/>
      <c r="S237" s="260"/>
      <c r="T237" s="260"/>
      <c r="U237" s="260"/>
      <c r="V237" s="260"/>
      <c r="W237" s="260"/>
      <c r="X237" s="260"/>
      <c r="Y237" s="260"/>
      <c r="Z237" s="260"/>
      <c r="AA237" s="260"/>
      <c r="AB237" s="260"/>
      <c r="AC237" s="260"/>
      <c r="AD237" s="260"/>
      <c r="AE237" s="260"/>
      <c r="AF237" s="260"/>
      <c r="AG237" s="260"/>
      <c r="AH237" s="260"/>
      <c r="AI237" s="260"/>
      <c r="AJ237" s="260"/>
      <c r="AK237" s="260"/>
      <c r="AL237" s="260"/>
      <c r="AM237" s="275"/>
      <c r="AN237" s="275"/>
      <c r="AO237" s="275"/>
      <c r="AP237" s="275"/>
      <c r="AQ237" s="275"/>
      <c r="AR237" s="275"/>
      <c r="AS237" s="275"/>
      <c r="AT237" s="275"/>
      <c r="AU237" s="275"/>
      <c r="AV237" s="275"/>
      <c r="AW237" s="275"/>
      <c r="AX237" s="275"/>
      <c r="AY237" s="275"/>
      <c r="AZ237" s="275"/>
      <c r="BA237" s="275"/>
      <c r="BB237" s="275"/>
      <c r="BC237" s="275"/>
      <c r="BD237" s="275"/>
      <c r="BE237" s="275"/>
      <c r="BF237" s="275"/>
      <c r="BG237" s="275"/>
      <c r="BH237" s="275"/>
      <c r="BI237" s="275"/>
      <c r="BJ237" s="275"/>
    </row>
    <row r="238" spans="1:62">
      <c r="A238" s="595"/>
      <c r="B238" s="242"/>
      <c r="C238" s="243"/>
      <c r="E238" s="260"/>
      <c r="F238" s="275"/>
      <c r="G238" s="275"/>
      <c r="H238" s="275"/>
      <c r="I238" s="276"/>
      <c r="J238" s="260"/>
      <c r="K238" s="260"/>
      <c r="L238" s="260"/>
      <c r="M238" s="260"/>
      <c r="N238" s="260"/>
      <c r="O238" s="260"/>
      <c r="P238" s="260"/>
      <c r="Q238" s="260"/>
      <c r="R238" s="260"/>
      <c r="S238" s="260"/>
      <c r="T238" s="260"/>
      <c r="U238" s="260"/>
      <c r="V238" s="260"/>
      <c r="W238" s="260"/>
      <c r="X238" s="260"/>
      <c r="Y238" s="260"/>
      <c r="Z238" s="260"/>
      <c r="AA238" s="260"/>
      <c r="AB238" s="260"/>
      <c r="AC238" s="260"/>
      <c r="AD238" s="260"/>
      <c r="AE238" s="260"/>
      <c r="AF238" s="260"/>
      <c r="AG238" s="260"/>
      <c r="AH238" s="260"/>
      <c r="AI238" s="260"/>
      <c r="AJ238" s="260"/>
      <c r="AK238" s="260"/>
      <c r="AL238" s="260"/>
      <c r="AM238" s="275"/>
      <c r="AN238" s="275"/>
      <c r="AO238" s="275"/>
      <c r="AP238" s="275"/>
      <c r="AQ238" s="275"/>
      <c r="AR238" s="275"/>
      <c r="AS238" s="275"/>
      <c r="AT238" s="275"/>
      <c r="AU238" s="275"/>
      <c r="AV238" s="275"/>
      <c r="AW238" s="275"/>
      <c r="AX238" s="275"/>
      <c r="AY238" s="275"/>
      <c r="AZ238" s="275"/>
      <c r="BA238" s="275"/>
      <c r="BB238" s="275"/>
      <c r="BC238" s="275"/>
      <c r="BD238" s="275"/>
      <c r="BE238" s="275"/>
      <c r="BF238" s="275"/>
      <c r="BG238" s="275"/>
      <c r="BH238" s="275"/>
      <c r="BI238" s="275"/>
      <c r="BJ238" s="275"/>
    </row>
    <row r="239" spans="1:62">
      <c r="A239" s="595"/>
      <c r="B239" s="242"/>
      <c r="C239" s="243"/>
      <c r="E239" s="260"/>
      <c r="F239" s="275"/>
      <c r="G239" s="275"/>
      <c r="H239" s="275"/>
      <c r="I239" s="276"/>
      <c r="J239" s="260"/>
      <c r="K239" s="260"/>
      <c r="L239" s="260"/>
      <c r="M239" s="260"/>
      <c r="N239" s="260"/>
      <c r="O239" s="260"/>
      <c r="P239" s="260"/>
      <c r="Q239" s="260"/>
      <c r="R239" s="260"/>
      <c r="S239" s="260"/>
      <c r="T239" s="260"/>
      <c r="U239" s="260"/>
      <c r="V239" s="260"/>
      <c r="W239" s="260"/>
      <c r="X239" s="260"/>
      <c r="Y239" s="260"/>
      <c r="Z239" s="260"/>
      <c r="AA239" s="260"/>
      <c r="AB239" s="260"/>
      <c r="AC239" s="260"/>
      <c r="AD239" s="260"/>
      <c r="AE239" s="260"/>
      <c r="AF239" s="260"/>
      <c r="AG239" s="260"/>
      <c r="AH239" s="260"/>
      <c r="AI239" s="260"/>
      <c r="AJ239" s="260"/>
      <c r="AK239" s="260"/>
      <c r="AL239" s="260"/>
      <c r="AM239" s="275"/>
      <c r="AN239" s="275"/>
      <c r="AO239" s="275"/>
      <c r="AP239" s="275"/>
      <c r="AQ239" s="275"/>
      <c r="AR239" s="275"/>
      <c r="AS239" s="275"/>
      <c r="AT239" s="275"/>
      <c r="AU239" s="275"/>
      <c r="AV239" s="275"/>
      <c r="AW239" s="275"/>
      <c r="AX239" s="275"/>
      <c r="AY239" s="275"/>
      <c r="AZ239" s="275"/>
      <c r="BA239" s="275"/>
      <c r="BB239" s="275"/>
      <c r="BC239" s="275"/>
      <c r="BD239" s="275"/>
      <c r="BE239" s="275"/>
      <c r="BF239" s="275"/>
      <c r="BG239" s="275"/>
      <c r="BH239" s="275"/>
      <c r="BI239" s="275"/>
      <c r="BJ239" s="275"/>
    </row>
    <row r="240" spans="1:62">
      <c r="A240" s="595"/>
      <c r="B240" s="242"/>
      <c r="C240" s="243"/>
      <c r="E240" s="260"/>
      <c r="F240" s="275"/>
      <c r="G240" s="275"/>
      <c r="H240" s="275"/>
      <c r="I240" s="276"/>
      <c r="J240" s="260"/>
      <c r="K240" s="260"/>
      <c r="L240" s="260"/>
      <c r="M240" s="260"/>
      <c r="N240" s="260"/>
      <c r="O240" s="260"/>
      <c r="P240" s="260"/>
      <c r="Q240" s="260"/>
      <c r="R240" s="260"/>
      <c r="S240" s="260"/>
      <c r="T240" s="260"/>
      <c r="U240" s="260"/>
      <c r="V240" s="260"/>
      <c r="W240" s="260"/>
      <c r="X240" s="260"/>
      <c r="Y240" s="260"/>
      <c r="Z240" s="260"/>
      <c r="AA240" s="260"/>
      <c r="AB240" s="260"/>
      <c r="AC240" s="260"/>
      <c r="AD240" s="260"/>
      <c r="AE240" s="260"/>
      <c r="AF240" s="260"/>
      <c r="AG240" s="260"/>
      <c r="AH240" s="260"/>
      <c r="AI240" s="260"/>
      <c r="AJ240" s="260"/>
      <c r="AK240" s="260"/>
      <c r="AL240" s="260"/>
      <c r="AM240" s="275"/>
      <c r="AN240" s="275"/>
      <c r="AO240" s="275"/>
      <c r="AP240" s="275"/>
      <c r="AQ240" s="275"/>
      <c r="AR240" s="275"/>
      <c r="AS240" s="275"/>
      <c r="AT240" s="275"/>
      <c r="AU240" s="275"/>
      <c r="AV240" s="275"/>
      <c r="AW240" s="275"/>
      <c r="AX240" s="275"/>
      <c r="AY240" s="275"/>
      <c r="AZ240" s="275"/>
      <c r="BA240" s="275"/>
      <c r="BB240" s="275"/>
      <c r="BC240" s="275"/>
      <c r="BD240" s="275"/>
      <c r="BE240" s="275"/>
      <c r="BF240" s="275"/>
      <c r="BG240" s="275"/>
      <c r="BH240" s="275"/>
      <c r="BI240" s="275"/>
      <c r="BJ240" s="275"/>
    </row>
    <row r="241" spans="1:62">
      <c r="A241" s="595"/>
      <c r="B241" s="242"/>
      <c r="C241" s="243"/>
      <c r="E241" s="260"/>
      <c r="F241" s="275"/>
      <c r="G241" s="275"/>
      <c r="H241" s="275"/>
      <c r="I241" s="276"/>
      <c r="J241" s="260"/>
      <c r="K241" s="260"/>
      <c r="L241" s="260"/>
      <c r="M241" s="260"/>
      <c r="N241" s="260"/>
      <c r="O241" s="260"/>
      <c r="P241" s="260"/>
      <c r="Q241" s="260"/>
      <c r="R241" s="260"/>
      <c r="S241" s="260"/>
      <c r="T241" s="260"/>
      <c r="U241" s="260"/>
      <c r="V241" s="260"/>
      <c r="W241" s="260"/>
      <c r="X241" s="260"/>
      <c r="Y241" s="260"/>
      <c r="Z241" s="260"/>
      <c r="AA241" s="260"/>
      <c r="AB241" s="260"/>
      <c r="AC241" s="260"/>
      <c r="AD241" s="260"/>
      <c r="AE241" s="260"/>
      <c r="AF241" s="260"/>
      <c r="AG241" s="260"/>
      <c r="AH241" s="260"/>
      <c r="AI241" s="260"/>
      <c r="AJ241" s="260"/>
      <c r="AK241" s="260"/>
      <c r="AL241" s="260"/>
      <c r="AM241" s="275"/>
      <c r="AN241" s="275"/>
      <c r="AO241" s="275"/>
      <c r="AP241" s="275"/>
      <c r="AQ241" s="275"/>
      <c r="AR241" s="275"/>
      <c r="AS241" s="275"/>
      <c r="AT241" s="275"/>
      <c r="AU241" s="275"/>
      <c r="AV241" s="275"/>
      <c r="AW241" s="275"/>
      <c r="AX241" s="275"/>
      <c r="AY241" s="275"/>
      <c r="AZ241" s="275"/>
      <c r="BA241" s="275"/>
      <c r="BB241" s="275"/>
      <c r="BC241" s="275"/>
      <c r="BD241" s="275"/>
      <c r="BE241" s="275"/>
      <c r="BF241" s="275"/>
      <c r="BG241" s="275"/>
      <c r="BH241" s="275"/>
      <c r="BI241" s="275"/>
      <c r="BJ241" s="275"/>
    </row>
    <row r="242" spans="1:62">
      <c r="A242" s="595"/>
      <c r="B242" s="242"/>
      <c r="C242" s="243"/>
      <c r="E242" s="260"/>
      <c r="F242" s="275"/>
      <c r="G242" s="275"/>
      <c r="H242" s="275"/>
      <c r="I242" s="276"/>
      <c r="J242" s="260"/>
      <c r="K242" s="260"/>
      <c r="L242" s="260"/>
      <c r="M242" s="260"/>
      <c r="N242" s="260"/>
      <c r="O242" s="260"/>
      <c r="P242" s="260"/>
      <c r="Q242" s="260"/>
      <c r="R242" s="260"/>
      <c r="S242" s="260"/>
      <c r="T242" s="260"/>
      <c r="U242" s="260"/>
      <c r="V242" s="260"/>
      <c r="W242" s="260"/>
      <c r="X242" s="260"/>
      <c r="Y242" s="260"/>
      <c r="Z242" s="260"/>
      <c r="AA242" s="260"/>
      <c r="AB242" s="260"/>
      <c r="AC242" s="260"/>
      <c r="AD242" s="260"/>
      <c r="AE242" s="260"/>
      <c r="AF242" s="260"/>
      <c r="AG242" s="260"/>
      <c r="AH242" s="260"/>
      <c r="AI242" s="260"/>
      <c r="AJ242" s="260"/>
      <c r="AK242" s="260"/>
      <c r="AL242" s="260"/>
      <c r="AM242" s="275"/>
      <c r="AN242" s="275"/>
      <c r="AO242" s="275"/>
      <c r="AP242" s="275"/>
      <c r="AQ242" s="275"/>
      <c r="AR242" s="275"/>
      <c r="AS242" s="275"/>
      <c r="AT242" s="275"/>
      <c r="AU242" s="275"/>
      <c r="AV242" s="275"/>
      <c r="AW242" s="275"/>
      <c r="AX242" s="275"/>
      <c r="AY242" s="275"/>
      <c r="AZ242" s="275"/>
      <c r="BA242" s="275"/>
      <c r="BB242" s="275"/>
      <c r="BC242" s="275"/>
      <c r="BD242" s="275"/>
      <c r="BE242" s="275"/>
      <c r="BF242" s="275"/>
      <c r="BG242" s="275"/>
      <c r="BH242" s="275"/>
      <c r="BI242" s="275"/>
      <c r="BJ242" s="275"/>
    </row>
    <row r="243" spans="1:62">
      <c r="A243" s="595"/>
      <c r="B243" s="242"/>
      <c r="C243" s="243"/>
      <c r="E243" s="260"/>
      <c r="F243" s="275"/>
      <c r="G243" s="275"/>
      <c r="H243" s="275"/>
      <c r="I243" s="276"/>
      <c r="J243" s="260"/>
      <c r="K243" s="260"/>
      <c r="L243" s="260"/>
      <c r="M243" s="260"/>
      <c r="N243" s="260"/>
      <c r="O243" s="260"/>
      <c r="P243" s="260"/>
      <c r="Q243" s="260"/>
      <c r="R243" s="260"/>
      <c r="S243" s="260"/>
      <c r="T243" s="260"/>
      <c r="U243" s="260"/>
      <c r="V243" s="260"/>
      <c r="W243" s="260"/>
      <c r="X243" s="260"/>
      <c r="Y243" s="260"/>
      <c r="Z243" s="260"/>
      <c r="AA243" s="260"/>
      <c r="AB243" s="260"/>
      <c r="AC243" s="260"/>
      <c r="AD243" s="260"/>
      <c r="AE243" s="260"/>
      <c r="AF243" s="260"/>
      <c r="AG243" s="260"/>
      <c r="AH243" s="260"/>
      <c r="AI243" s="260"/>
      <c r="AJ243" s="260"/>
      <c r="AK243" s="260"/>
      <c r="AL243" s="260"/>
      <c r="AM243" s="275"/>
      <c r="AN243" s="275"/>
      <c r="AO243" s="275"/>
      <c r="AP243" s="275"/>
      <c r="AQ243" s="275"/>
      <c r="AR243" s="275"/>
      <c r="AS243" s="275"/>
      <c r="AT243" s="275"/>
      <c r="AU243" s="275"/>
      <c r="AV243" s="275"/>
      <c r="AW243" s="275"/>
      <c r="AX243" s="275"/>
      <c r="AY243" s="275"/>
      <c r="AZ243" s="275"/>
      <c r="BA243" s="275"/>
      <c r="BB243" s="275"/>
      <c r="BC243" s="275"/>
      <c r="BD243" s="275"/>
      <c r="BE243" s="275"/>
      <c r="BF243" s="275"/>
      <c r="BG243" s="275"/>
      <c r="BH243" s="275"/>
      <c r="BI243" s="275"/>
      <c r="BJ243" s="275"/>
    </row>
    <row r="244" spans="1:62">
      <c r="A244" s="595"/>
      <c r="B244" s="242"/>
      <c r="C244" s="243"/>
      <c r="E244" s="260"/>
      <c r="F244" s="275"/>
      <c r="G244" s="275"/>
      <c r="H244" s="275"/>
      <c r="I244" s="276"/>
      <c r="J244" s="260"/>
      <c r="K244" s="260"/>
      <c r="L244" s="260"/>
      <c r="M244" s="260"/>
      <c r="N244" s="260"/>
      <c r="O244" s="260"/>
      <c r="P244" s="260"/>
      <c r="Q244" s="260"/>
      <c r="R244" s="260"/>
      <c r="S244" s="260"/>
      <c r="T244" s="260"/>
      <c r="U244" s="260"/>
      <c r="V244" s="260"/>
      <c r="W244" s="260"/>
      <c r="X244" s="260"/>
      <c r="Y244" s="260"/>
      <c r="Z244" s="260"/>
      <c r="AA244" s="260"/>
      <c r="AB244" s="260"/>
      <c r="AC244" s="260"/>
      <c r="AD244" s="260"/>
      <c r="AE244" s="260"/>
      <c r="AF244" s="260"/>
      <c r="AG244" s="260"/>
      <c r="AH244" s="260"/>
      <c r="AI244" s="260"/>
      <c r="AJ244" s="260"/>
      <c r="AK244" s="260"/>
      <c r="AL244" s="260"/>
      <c r="AM244" s="275"/>
      <c r="AN244" s="275"/>
      <c r="AO244" s="275"/>
      <c r="AP244" s="275"/>
      <c r="AQ244" s="275"/>
      <c r="AR244" s="275"/>
      <c r="AS244" s="275"/>
      <c r="AT244" s="275"/>
      <c r="AU244" s="275"/>
      <c r="AV244" s="275"/>
      <c r="AW244" s="275"/>
      <c r="AX244" s="275"/>
      <c r="AY244" s="275"/>
      <c r="AZ244" s="275"/>
      <c r="BA244" s="275"/>
      <c r="BB244" s="275"/>
      <c r="BC244" s="275"/>
      <c r="BD244" s="275"/>
      <c r="BE244" s="275"/>
      <c r="BF244" s="275"/>
      <c r="BG244" s="275"/>
      <c r="BH244" s="275"/>
      <c r="BI244" s="275"/>
      <c r="BJ244" s="275"/>
    </row>
    <row r="245" spans="1:62">
      <c r="A245" s="595"/>
      <c r="B245" s="242"/>
      <c r="C245" s="243"/>
      <c r="E245" s="260"/>
      <c r="F245" s="275"/>
      <c r="G245" s="275"/>
      <c r="H245" s="275"/>
      <c r="I245" s="276"/>
      <c r="J245" s="260"/>
      <c r="K245" s="260"/>
      <c r="L245" s="260"/>
      <c r="M245" s="260"/>
      <c r="N245" s="260"/>
      <c r="O245" s="260"/>
      <c r="P245" s="260"/>
      <c r="Q245" s="260"/>
      <c r="R245" s="260"/>
      <c r="S245" s="260"/>
      <c r="T245" s="260"/>
      <c r="U245" s="260"/>
      <c r="V245" s="260"/>
      <c r="W245" s="260"/>
      <c r="X245" s="260"/>
      <c r="Y245" s="260"/>
      <c r="Z245" s="260"/>
      <c r="AA245" s="260"/>
      <c r="AB245" s="260"/>
      <c r="AC245" s="260"/>
      <c r="AD245" s="260"/>
      <c r="AE245" s="260"/>
      <c r="AF245" s="260"/>
      <c r="AG245" s="260"/>
      <c r="AH245" s="260"/>
      <c r="AI245" s="260"/>
      <c r="AJ245" s="260"/>
      <c r="AK245" s="260"/>
      <c r="AL245" s="260"/>
      <c r="AM245" s="275"/>
      <c r="AN245" s="275"/>
      <c r="AO245" s="275"/>
      <c r="AP245" s="275"/>
      <c r="AQ245" s="275"/>
      <c r="AR245" s="275"/>
      <c r="AS245" s="275"/>
      <c r="AT245" s="275"/>
      <c r="AU245" s="275"/>
      <c r="AV245" s="275"/>
      <c r="AW245" s="275"/>
      <c r="AX245" s="275"/>
      <c r="AY245" s="275"/>
      <c r="AZ245" s="275"/>
      <c r="BA245" s="275"/>
      <c r="BB245" s="275"/>
      <c r="BC245" s="275"/>
      <c r="BD245" s="275"/>
      <c r="BE245" s="275"/>
      <c r="BF245" s="275"/>
      <c r="BG245" s="275"/>
      <c r="BH245" s="275"/>
      <c r="BI245" s="275"/>
      <c r="BJ245" s="275"/>
    </row>
    <row r="246" spans="1:62">
      <c r="A246" s="595"/>
      <c r="B246" s="242"/>
      <c r="C246" s="243"/>
      <c r="E246" s="260"/>
      <c r="F246" s="275"/>
      <c r="G246" s="275"/>
      <c r="H246" s="275"/>
      <c r="I246" s="276"/>
      <c r="J246" s="260"/>
      <c r="K246" s="260"/>
      <c r="L246" s="260"/>
      <c r="M246" s="260"/>
      <c r="N246" s="260"/>
      <c r="O246" s="260"/>
      <c r="P246" s="260"/>
      <c r="Q246" s="260"/>
      <c r="R246" s="260"/>
      <c r="S246" s="260"/>
      <c r="T246" s="260"/>
      <c r="U246" s="260"/>
      <c r="V246" s="260"/>
      <c r="W246" s="260"/>
      <c r="X246" s="260"/>
      <c r="Y246" s="260"/>
      <c r="Z246" s="260"/>
      <c r="AA246" s="260"/>
      <c r="AB246" s="260"/>
      <c r="AC246" s="260"/>
      <c r="AD246" s="260"/>
      <c r="AE246" s="260"/>
      <c r="AF246" s="260"/>
      <c r="AG246" s="260"/>
      <c r="AH246" s="260"/>
      <c r="AI246" s="260"/>
      <c r="AJ246" s="260"/>
      <c r="AK246" s="260"/>
      <c r="AL246" s="260"/>
      <c r="AM246" s="275"/>
      <c r="AN246" s="275"/>
      <c r="AO246" s="275"/>
      <c r="AP246" s="275"/>
      <c r="AQ246" s="275"/>
      <c r="AR246" s="275"/>
      <c r="AS246" s="275"/>
      <c r="AT246" s="275"/>
      <c r="AU246" s="275"/>
      <c r="AV246" s="275"/>
      <c r="AW246" s="275"/>
      <c r="AX246" s="275"/>
      <c r="AY246" s="275"/>
      <c r="AZ246" s="275"/>
      <c r="BA246" s="275"/>
      <c r="BB246" s="275"/>
      <c r="BC246" s="275"/>
      <c r="BD246" s="275"/>
      <c r="BE246" s="275"/>
      <c r="BF246" s="275"/>
      <c r="BG246" s="275"/>
      <c r="BH246" s="275"/>
      <c r="BI246" s="275"/>
      <c r="BJ246" s="275"/>
    </row>
    <row r="247" spans="1:62">
      <c r="A247" s="595"/>
      <c r="B247" s="242"/>
      <c r="C247" s="243"/>
      <c r="E247" s="260"/>
      <c r="F247" s="275"/>
      <c r="G247" s="275"/>
      <c r="H247" s="280">
        <f>SUM(I247:AL247)</f>
        <v>240</v>
      </c>
      <c r="I247" s="280">
        <f t="shared" ref="I247:AL247" si="308">SUM(I10:I11)+SUM(I13:I15)</f>
        <v>8</v>
      </c>
      <c r="J247" s="280">
        <f t="shared" si="308"/>
        <v>8</v>
      </c>
      <c r="K247" s="280">
        <f t="shared" si="308"/>
        <v>8</v>
      </c>
      <c r="L247" s="280">
        <f t="shared" si="308"/>
        <v>8</v>
      </c>
      <c r="M247" s="280">
        <f t="shared" si="308"/>
        <v>8</v>
      </c>
      <c r="N247" s="280">
        <f t="shared" si="308"/>
        <v>8</v>
      </c>
      <c r="O247" s="280">
        <f t="shared" si="308"/>
        <v>8</v>
      </c>
      <c r="P247" s="280">
        <f t="shared" si="308"/>
        <v>8</v>
      </c>
      <c r="Q247" s="280">
        <f t="shared" si="308"/>
        <v>8</v>
      </c>
      <c r="R247" s="280">
        <f t="shared" si="308"/>
        <v>8</v>
      </c>
      <c r="S247" s="280">
        <f t="shared" si="308"/>
        <v>8</v>
      </c>
      <c r="T247" s="280">
        <f t="shared" si="308"/>
        <v>8</v>
      </c>
      <c r="U247" s="280">
        <f t="shared" si="308"/>
        <v>8</v>
      </c>
      <c r="V247" s="280">
        <f t="shared" si="308"/>
        <v>8</v>
      </c>
      <c r="W247" s="280">
        <f t="shared" si="308"/>
        <v>8</v>
      </c>
      <c r="X247" s="280">
        <f t="shared" si="308"/>
        <v>8</v>
      </c>
      <c r="Y247" s="280">
        <f t="shared" si="308"/>
        <v>8</v>
      </c>
      <c r="Z247" s="280">
        <f t="shared" si="308"/>
        <v>8</v>
      </c>
      <c r="AA247" s="280">
        <f t="shared" si="308"/>
        <v>8</v>
      </c>
      <c r="AB247" s="280">
        <f t="shared" si="308"/>
        <v>8</v>
      </c>
      <c r="AC247" s="280">
        <f t="shared" si="308"/>
        <v>8</v>
      </c>
      <c r="AD247" s="280">
        <f t="shared" si="308"/>
        <v>8</v>
      </c>
      <c r="AE247" s="280">
        <f t="shared" si="308"/>
        <v>8</v>
      </c>
      <c r="AF247" s="280">
        <f t="shared" si="308"/>
        <v>8</v>
      </c>
      <c r="AG247" s="280">
        <f t="shared" si="308"/>
        <v>8</v>
      </c>
      <c r="AH247" s="280">
        <f t="shared" si="308"/>
        <v>8</v>
      </c>
      <c r="AI247" s="280">
        <f t="shared" si="308"/>
        <v>8</v>
      </c>
      <c r="AJ247" s="280">
        <f t="shared" si="308"/>
        <v>8</v>
      </c>
      <c r="AK247" s="280">
        <f t="shared" si="308"/>
        <v>8</v>
      </c>
      <c r="AL247" s="280">
        <f t="shared" si="308"/>
        <v>8</v>
      </c>
      <c r="AM247" s="275"/>
      <c r="AN247" s="275"/>
      <c r="AO247" s="275"/>
      <c r="AP247" s="275"/>
      <c r="AQ247" s="275"/>
      <c r="AR247" s="275"/>
      <c r="AS247" s="275"/>
      <c r="AT247" s="275"/>
      <c r="AU247" s="275"/>
      <c r="AV247" s="275"/>
      <c r="AW247" s="275"/>
      <c r="AX247" s="275"/>
      <c r="AY247" s="275"/>
      <c r="AZ247" s="275"/>
      <c r="BA247" s="275"/>
      <c r="BB247" s="275"/>
      <c r="BC247" s="275"/>
      <c r="BD247" s="275"/>
      <c r="BE247" s="275"/>
      <c r="BF247" s="275"/>
      <c r="BG247" s="275"/>
      <c r="BH247" s="275"/>
      <c r="BI247" s="275"/>
      <c r="BJ247" s="275"/>
    </row>
    <row r="248" spans="1:62">
      <c r="A248" s="595"/>
      <c r="B248" s="242"/>
      <c r="C248" s="243"/>
      <c r="E248" s="260"/>
      <c r="F248" s="275"/>
      <c r="G248" s="275"/>
      <c r="H248" s="280">
        <f t="shared" ref="H248:H259" si="309">SUM(I248:AL248)</f>
        <v>60</v>
      </c>
      <c r="I248" s="280">
        <f t="shared" ref="I248:AL248" si="310">SUM(I29:I30)</f>
        <v>2</v>
      </c>
      <c r="J248" s="280">
        <f t="shared" si="310"/>
        <v>2</v>
      </c>
      <c r="K248" s="280">
        <f t="shared" si="310"/>
        <v>2</v>
      </c>
      <c r="L248" s="280">
        <f t="shared" si="310"/>
        <v>2</v>
      </c>
      <c r="M248" s="280">
        <f t="shared" si="310"/>
        <v>2</v>
      </c>
      <c r="N248" s="280">
        <f t="shared" si="310"/>
        <v>2</v>
      </c>
      <c r="O248" s="280">
        <f t="shared" si="310"/>
        <v>2</v>
      </c>
      <c r="P248" s="280">
        <f t="shared" si="310"/>
        <v>2</v>
      </c>
      <c r="Q248" s="280">
        <f t="shared" si="310"/>
        <v>2</v>
      </c>
      <c r="R248" s="280">
        <f t="shared" si="310"/>
        <v>2</v>
      </c>
      <c r="S248" s="280">
        <f t="shared" si="310"/>
        <v>2</v>
      </c>
      <c r="T248" s="280">
        <f t="shared" si="310"/>
        <v>2</v>
      </c>
      <c r="U248" s="280">
        <f t="shared" si="310"/>
        <v>2</v>
      </c>
      <c r="V248" s="280">
        <f t="shared" si="310"/>
        <v>2</v>
      </c>
      <c r="W248" s="280">
        <f t="shared" si="310"/>
        <v>2</v>
      </c>
      <c r="X248" s="280">
        <f t="shared" si="310"/>
        <v>2</v>
      </c>
      <c r="Y248" s="280">
        <f t="shared" si="310"/>
        <v>2</v>
      </c>
      <c r="Z248" s="280">
        <f t="shared" si="310"/>
        <v>2</v>
      </c>
      <c r="AA248" s="280">
        <f t="shared" si="310"/>
        <v>2</v>
      </c>
      <c r="AB248" s="280">
        <f t="shared" si="310"/>
        <v>2</v>
      </c>
      <c r="AC248" s="280">
        <f t="shared" si="310"/>
        <v>2</v>
      </c>
      <c r="AD248" s="280">
        <f t="shared" si="310"/>
        <v>2</v>
      </c>
      <c r="AE248" s="280">
        <f t="shared" si="310"/>
        <v>2</v>
      </c>
      <c r="AF248" s="280">
        <f t="shared" si="310"/>
        <v>2</v>
      </c>
      <c r="AG248" s="280">
        <f t="shared" si="310"/>
        <v>2</v>
      </c>
      <c r="AH248" s="280">
        <f t="shared" si="310"/>
        <v>2</v>
      </c>
      <c r="AI248" s="280">
        <f t="shared" si="310"/>
        <v>2</v>
      </c>
      <c r="AJ248" s="280">
        <f t="shared" si="310"/>
        <v>2</v>
      </c>
      <c r="AK248" s="280">
        <f t="shared" si="310"/>
        <v>2</v>
      </c>
      <c r="AL248" s="280">
        <f t="shared" si="310"/>
        <v>2</v>
      </c>
      <c r="AM248" s="275"/>
      <c r="AN248" s="275"/>
      <c r="AO248" s="275"/>
      <c r="AP248" s="275"/>
      <c r="AQ248" s="275"/>
      <c r="AR248" s="275"/>
      <c r="AS248" s="275"/>
      <c r="AT248" s="275"/>
      <c r="AU248" s="275"/>
      <c r="AV248" s="275"/>
      <c r="AW248" s="275"/>
      <c r="AX248" s="275"/>
      <c r="AY248" s="275"/>
      <c r="AZ248" s="275"/>
      <c r="BA248" s="275"/>
      <c r="BB248" s="275"/>
      <c r="BC248" s="275"/>
      <c r="BD248" s="275"/>
      <c r="BE248" s="275"/>
      <c r="BF248" s="275"/>
      <c r="BG248" s="275"/>
      <c r="BH248" s="275"/>
      <c r="BI248" s="275"/>
      <c r="BJ248" s="275"/>
    </row>
    <row r="249" spans="1:62">
      <c r="A249" s="595"/>
      <c r="B249" s="242"/>
      <c r="C249" s="243"/>
      <c r="E249" s="260"/>
      <c r="F249" s="275"/>
      <c r="G249" s="275"/>
      <c r="H249" s="280">
        <f t="shared" si="309"/>
        <v>180</v>
      </c>
      <c r="I249" s="280">
        <f t="shared" ref="I249:AL249" si="311">SUM(I18:I19)+SUM(I32:I33)+SUM(I39:I41)</f>
        <v>6</v>
      </c>
      <c r="J249" s="280">
        <f t="shared" si="311"/>
        <v>6</v>
      </c>
      <c r="K249" s="280">
        <f t="shared" si="311"/>
        <v>6</v>
      </c>
      <c r="L249" s="280">
        <f t="shared" si="311"/>
        <v>6</v>
      </c>
      <c r="M249" s="280">
        <f t="shared" si="311"/>
        <v>6</v>
      </c>
      <c r="N249" s="280">
        <f t="shared" si="311"/>
        <v>6</v>
      </c>
      <c r="O249" s="280">
        <f t="shared" si="311"/>
        <v>6</v>
      </c>
      <c r="P249" s="280">
        <f t="shared" si="311"/>
        <v>6</v>
      </c>
      <c r="Q249" s="280">
        <f t="shared" si="311"/>
        <v>6</v>
      </c>
      <c r="R249" s="280">
        <f t="shared" si="311"/>
        <v>6</v>
      </c>
      <c r="S249" s="280">
        <f t="shared" si="311"/>
        <v>6</v>
      </c>
      <c r="T249" s="280">
        <f t="shared" si="311"/>
        <v>6</v>
      </c>
      <c r="U249" s="280">
        <f t="shared" si="311"/>
        <v>6</v>
      </c>
      <c r="V249" s="280">
        <f t="shared" si="311"/>
        <v>6</v>
      </c>
      <c r="W249" s="280">
        <f t="shared" si="311"/>
        <v>6</v>
      </c>
      <c r="X249" s="280">
        <f t="shared" si="311"/>
        <v>6</v>
      </c>
      <c r="Y249" s="280">
        <f t="shared" si="311"/>
        <v>6</v>
      </c>
      <c r="Z249" s="280">
        <f t="shared" si="311"/>
        <v>6</v>
      </c>
      <c r="AA249" s="280">
        <f t="shared" si="311"/>
        <v>6</v>
      </c>
      <c r="AB249" s="280">
        <f t="shared" si="311"/>
        <v>6</v>
      </c>
      <c r="AC249" s="280">
        <f t="shared" si="311"/>
        <v>6</v>
      </c>
      <c r="AD249" s="280">
        <f t="shared" si="311"/>
        <v>6</v>
      </c>
      <c r="AE249" s="280">
        <f t="shared" si="311"/>
        <v>6</v>
      </c>
      <c r="AF249" s="280">
        <f t="shared" si="311"/>
        <v>6</v>
      </c>
      <c r="AG249" s="280">
        <f t="shared" si="311"/>
        <v>6</v>
      </c>
      <c r="AH249" s="280">
        <f t="shared" si="311"/>
        <v>6</v>
      </c>
      <c r="AI249" s="280">
        <f t="shared" si="311"/>
        <v>6</v>
      </c>
      <c r="AJ249" s="280">
        <f t="shared" si="311"/>
        <v>6</v>
      </c>
      <c r="AK249" s="280">
        <f t="shared" si="311"/>
        <v>6</v>
      </c>
      <c r="AL249" s="280">
        <f t="shared" si="311"/>
        <v>6</v>
      </c>
      <c r="AM249" s="275"/>
      <c r="AN249" s="275"/>
      <c r="AO249" s="275"/>
      <c r="AP249" s="275"/>
      <c r="AQ249" s="275"/>
      <c r="AR249" s="275"/>
      <c r="AS249" s="275"/>
      <c r="AT249" s="275"/>
      <c r="AU249" s="275"/>
      <c r="AV249" s="275"/>
      <c r="AW249" s="275"/>
      <c r="AX249" s="275"/>
      <c r="AY249" s="275"/>
      <c r="AZ249" s="275"/>
      <c r="BA249" s="275"/>
      <c r="BB249" s="275"/>
      <c r="BC249" s="275"/>
      <c r="BD249" s="275"/>
      <c r="BE249" s="275"/>
      <c r="BF249" s="275"/>
      <c r="BG249" s="275"/>
      <c r="BH249" s="275"/>
      <c r="BI249" s="275"/>
      <c r="BJ249" s="275"/>
    </row>
    <row r="250" spans="1:62">
      <c r="A250" s="595"/>
      <c r="B250" s="242"/>
      <c r="C250" s="243"/>
      <c r="E250" s="260"/>
      <c r="F250" s="275"/>
      <c r="G250" s="275"/>
      <c r="H250" s="280">
        <f t="shared" si="309"/>
        <v>31</v>
      </c>
      <c r="I250" s="280">
        <f t="shared" ref="I250:AL250" si="312">SUM(I26:I27)</f>
        <v>2</v>
      </c>
      <c r="J250" s="280">
        <f t="shared" si="312"/>
        <v>1</v>
      </c>
      <c r="K250" s="280">
        <f t="shared" si="312"/>
        <v>1</v>
      </c>
      <c r="L250" s="280">
        <f t="shared" si="312"/>
        <v>1</v>
      </c>
      <c r="M250" s="280">
        <f t="shared" si="312"/>
        <v>1</v>
      </c>
      <c r="N250" s="280">
        <f t="shared" si="312"/>
        <v>1</v>
      </c>
      <c r="O250" s="280">
        <f t="shared" si="312"/>
        <v>1</v>
      </c>
      <c r="P250" s="280">
        <f t="shared" si="312"/>
        <v>1</v>
      </c>
      <c r="Q250" s="280">
        <f t="shared" si="312"/>
        <v>1</v>
      </c>
      <c r="R250" s="280">
        <f t="shared" si="312"/>
        <v>1</v>
      </c>
      <c r="S250" s="280">
        <f t="shared" si="312"/>
        <v>1</v>
      </c>
      <c r="T250" s="280">
        <f t="shared" si="312"/>
        <v>1</v>
      </c>
      <c r="U250" s="280">
        <f t="shared" si="312"/>
        <v>1</v>
      </c>
      <c r="V250" s="280">
        <f t="shared" si="312"/>
        <v>1</v>
      </c>
      <c r="W250" s="280">
        <f t="shared" si="312"/>
        <v>1</v>
      </c>
      <c r="X250" s="280">
        <f t="shared" si="312"/>
        <v>1</v>
      </c>
      <c r="Y250" s="280">
        <f t="shared" si="312"/>
        <v>1</v>
      </c>
      <c r="Z250" s="280">
        <f t="shared" si="312"/>
        <v>1</v>
      </c>
      <c r="AA250" s="280">
        <f t="shared" si="312"/>
        <v>1</v>
      </c>
      <c r="AB250" s="280">
        <f t="shared" si="312"/>
        <v>1</v>
      </c>
      <c r="AC250" s="280">
        <f t="shared" si="312"/>
        <v>1</v>
      </c>
      <c r="AD250" s="280">
        <f t="shared" si="312"/>
        <v>1</v>
      </c>
      <c r="AE250" s="280">
        <f t="shared" si="312"/>
        <v>1</v>
      </c>
      <c r="AF250" s="280">
        <f t="shared" si="312"/>
        <v>1</v>
      </c>
      <c r="AG250" s="280">
        <f t="shared" si="312"/>
        <v>1</v>
      </c>
      <c r="AH250" s="280">
        <f t="shared" si="312"/>
        <v>1</v>
      </c>
      <c r="AI250" s="280">
        <f t="shared" si="312"/>
        <v>1</v>
      </c>
      <c r="AJ250" s="280">
        <f t="shared" si="312"/>
        <v>1</v>
      </c>
      <c r="AK250" s="280">
        <f t="shared" si="312"/>
        <v>1</v>
      </c>
      <c r="AL250" s="280">
        <f t="shared" si="312"/>
        <v>1</v>
      </c>
      <c r="AM250" s="275"/>
      <c r="AN250" s="275"/>
      <c r="AO250" s="275"/>
      <c r="AP250" s="275"/>
      <c r="AQ250" s="275"/>
      <c r="AR250" s="275"/>
      <c r="AS250" s="275"/>
      <c r="AT250" s="275"/>
      <c r="AU250" s="275"/>
      <c r="AV250" s="275"/>
      <c r="AW250" s="275"/>
      <c r="AX250" s="275"/>
      <c r="AY250" s="275"/>
      <c r="AZ250" s="275"/>
      <c r="BA250" s="275"/>
      <c r="BB250" s="275"/>
      <c r="BC250" s="275"/>
      <c r="BD250" s="275"/>
      <c r="BE250" s="275"/>
      <c r="BF250" s="275"/>
      <c r="BG250" s="275"/>
      <c r="BH250" s="275"/>
      <c r="BI250" s="275"/>
      <c r="BJ250" s="275"/>
    </row>
    <row r="251" spans="1:62">
      <c r="A251" s="595"/>
      <c r="B251" s="242"/>
      <c r="C251" s="243"/>
      <c r="E251" s="260"/>
      <c r="F251" s="275"/>
      <c r="G251" s="275"/>
      <c r="H251" s="280">
        <f t="shared" si="309"/>
        <v>630</v>
      </c>
      <c r="I251" s="280">
        <f t="shared" ref="I251:AL251" si="313">SUM(I60:I68)+SUM(I48:I52)+SUM(I54:I58)+SUM(I70:I73)</f>
        <v>21</v>
      </c>
      <c r="J251" s="280">
        <f t="shared" si="313"/>
        <v>21</v>
      </c>
      <c r="K251" s="280">
        <f t="shared" si="313"/>
        <v>21</v>
      </c>
      <c r="L251" s="280">
        <f t="shared" si="313"/>
        <v>21</v>
      </c>
      <c r="M251" s="280">
        <f t="shared" si="313"/>
        <v>21</v>
      </c>
      <c r="N251" s="280">
        <f t="shared" si="313"/>
        <v>21</v>
      </c>
      <c r="O251" s="280">
        <f t="shared" si="313"/>
        <v>21</v>
      </c>
      <c r="P251" s="280">
        <f t="shared" si="313"/>
        <v>21</v>
      </c>
      <c r="Q251" s="280">
        <f t="shared" si="313"/>
        <v>21</v>
      </c>
      <c r="R251" s="280">
        <f t="shared" si="313"/>
        <v>21</v>
      </c>
      <c r="S251" s="280">
        <f t="shared" si="313"/>
        <v>21</v>
      </c>
      <c r="T251" s="280">
        <f t="shared" si="313"/>
        <v>21</v>
      </c>
      <c r="U251" s="280">
        <f t="shared" si="313"/>
        <v>21</v>
      </c>
      <c r="V251" s="280">
        <f t="shared" si="313"/>
        <v>21</v>
      </c>
      <c r="W251" s="280">
        <f t="shared" si="313"/>
        <v>21</v>
      </c>
      <c r="X251" s="280">
        <f t="shared" si="313"/>
        <v>21</v>
      </c>
      <c r="Y251" s="280">
        <f t="shared" si="313"/>
        <v>21</v>
      </c>
      <c r="Z251" s="280">
        <f t="shared" si="313"/>
        <v>21</v>
      </c>
      <c r="AA251" s="280">
        <f t="shared" si="313"/>
        <v>21</v>
      </c>
      <c r="AB251" s="280">
        <f t="shared" si="313"/>
        <v>21</v>
      </c>
      <c r="AC251" s="280">
        <f t="shared" si="313"/>
        <v>21</v>
      </c>
      <c r="AD251" s="280">
        <f t="shared" si="313"/>
        <v>21</v>
      </c>
      <c r="AE251" s="280">
        <f t="shared" si="313"/>
        <v>21</v>
      </c>
      <c r="AF251" s="280">
        <f t="shared" si="313"/>
        <v>21</v>
      </c>
      <c r="AG251" s="280">
        <f t="shared" si="313"/>
        <v>21</v>
      </c>
      <c r="AH251" s="280">
        <f t="shared" si="313"/>
        <v>21</v>
      </c>
      <c r="AI251" s="280">
        <f t="shared" si="313"/>
        <v>21</v>
      </c>
      <c r="AJ251" s="280">
        <f t="shared" si="313"/>
        <v>21</v>
      </c>
      <c r="AK251" s="280">
        <f t="shared" si="313"/>
        <v>21</v>
      </c>
      <c r="AL251" s="280">
        <f t="shared" si="313"/>
        <v>21</v>
      </c>
      <c r="AM251" s="275"/>
      <c r="AN251" s="275"/>
      <c r="AO251" s="275"/>
      <c r="AP251" s="275"/>
      <c r="AQ251" s="275"/>
      <c r="AR251" s="275"/>
      <c r="AS251" s="275"/>
      <c r="AT251" s="275"/>
      <c r="AU251" s="275"/>
      <c r="AV251" s="275"/>
      <c r="AW251" s="275"/>
      <c r="AX251" s="275"/>
      <c r="AY251" s="275"/>
      <c r="AZ251" s="275"/>
      <c r="BA251" s="275"/>
      <c r="BB251" s="275"/>
      <c r="BC251" s="275"/>
      <c r="BD251" s="275"/>
      <c r="BE251" s="275"/>
      <c r="BF251" s="275"/>
      <c r="BG251" s="275"/>
      <c r="BH251" s="275"/>
      <c r="BI251" s="275"/>
      <c r="BJ251" s="275"/>
    </row>
    <row r="252" spans="1:62">
      <c r="A252" s="595"/>
      <c r="B252" s="242"/>
      <c r="C252" s="243"/>
      <c r="E252" s="260"/>
      <c r="F252" s="275"/>
      <c r="G252" s="275"/>
      <c r="H252" s="280">
        <f t="shared" si="309"/>
        <v>90</v>
      </c>
      <c r="I252" s="280">
        <f t="shared" ref="I252:AL252" si="314">SUM(I21:I24)</f>
        <v>3</v>
      </c>
      <c r="J252" s="280">
        <f t="shared" si="314"/>
        <v>3</v>
      </c>
      <c r="K252" s="280">
        <f t="shared" si="314"/>
        <v>3</v>
      </c>
      <c r="L252" s="280">
        <f t="shared" si="314"/>
        <v>3</v>
      </c>
      <c r="M252" s="280">
        <f t="shared" si="314"/>
        <v>3</v>
      </c>
      <c r="N252" s="280">
        <f t="shared" si="314"/>
        <v>3</v>
      </c>
      <c r="O252" s="280">
        <f t="shared" si="314"/>
        <v>3</v>
      </c>
      <c r="P252" s="280">
        <f t="shared" si="314"/>
        <v>3</v>
      </c>
      <c r="Q252" s="280">
        <f t="shared" si="314"/>
        <v>3</v>
      </c>
      <c r="R252" s="280">
        <f t="shared" si="314"/>
        <v>3</v>
      </c>
      <c r="S252" s="280">
        <f t="shared" si="314"/>
        <v>3</v>
      </c>
      <c r="T252" s="280">
        <f t="shared" si="314"/>
        <v>3</v>
      </c>
      <c r="U252" s="280">
        <f t="shared" si="314"/>
        <v>3</v>
      </c>
      <c r="V252" s="280">
        <f t="shared" si="314"/>
        <v>3</v>
      </c>
      <c r="W252" s="280">
        <f t="shared" si="314"/>
        <v>3</v>
      </c>
      <c r="X252" s="280">
        <f t="shared" si="314"/>
        <v>3</v>
      </c>
      <c r="Y252" s="280">
        <f t="shared" si="314"/>
        <v>3</v>
      </c>
      <c r="Z252" s="280">
        <f t="shared" si="314"/>
        <v>3</v>
      </c>
      <c r="AA252" s="280">
        <f t="shared" si="314"/>
        <v>3</v>
      </c>
      <c r="AB252" s="280">
        <f t="shared" si="314"/>
        <v>3</v>
      </c>
      <c r="AC252" s="280">
        <f t="shared" si="314"/>
        <v>3</v>
      </c>
      <c r="AD252" s="280">
        <f t="shared" si="314"/>
        <v>3</v>
      </c>
      <c r="AE252" s="280">
        <f t="shared" si="314"/>
        <v>3</v>
      </c>
      <c r="AF252" s="280">
        <f t="shared" si="314"/>
        <v>3</v>
      </c>
      <c r="AG252" s="280">
        <f t="shared" si="314"/>
        <v>3</v>
      </c>
      <c r="AH252" s="280">
        <f t="shared" si="314"/>
        <v>3</v>
      </c>
      <c r="AI252" s="280">
        <f t="shared" si="314"/>
        <v>3</v>
      </c>
      <c r="AJ252" s="280">
        <f t="shared" si="314"/>
        <v>3</v>
      </c>
      <c r="AK252" s="280">
        <f t="shared" si="314"/>
        <v>3</v>
      </c>
      <c r="AL252" s="280">
        <f t="shared" si="314"/>
        <v>3</v>
      </c>
      <c r="AM252" s="275"/>
      <c r="AN252" s="275"/>
      <c r="AO252" s="275"/>
      <c r="AP252" s="275"/>
      <c r="AQ252" s="275"/>
      <c r="AR252" s="275"/>
      <c r="AS252" s="275"/>
      <c r="AT252" s="275"/>
      <c r="AU252" s="275"/>
      <c r="AV252" s="275"/>
      <c r="AW252" s="275"/>
      <c r="AX252" s="275"/>
      <c r="AY252" s="275"/>
      <c r="AZ252" s="275"/>
      <c r="BA252" s="275"/>
      <c r="BB252" s="275"/>
      <c r="BC252" s="275"/>
      <c r="BD252" s="275"/>
      <c r="BE252" s="275"/>
      <c r="BF252" s="275"/>
      <c r="BG252" s="275"/>
      <c r="BH252" s="275"/>
      <c r="BI252" s="275"/>
      <c r="BJ252" s="275"/>
    </row>
    <row r="253" spans="1:62">
      <c r="A253" s="595"/>
      <c r="B253" s="242"/>
      <c r="C253" s="243"/>
      <c r="E253" s="260"/>
      <c r="F253" s="275"/>
      <c r="G253" s="275"/>
      <c r="H253" s="280">
        <f t="shared" si="309"/>
        <v>3990.1999999999971</v>
      </c>
      <c r="I253" s="280">
        <f>SUM(I126:I136)+SUM(I145:I148)+SUM(I155:I167)+SUM(I169:I173)+SUM(I175:I183)+SUM(I150:I153)</f>
        <v>123.64</v>
      </c>
      <c r="J253" s="280">
        <f t="shared" ref="J253:AL253" si="315">SUM(J126:J136)+SUM(J145:J148)+SUM(J155:J167)+SUM(J169:J173)+SUM(J175:J183)+SUM(J150:J153)</f>
        <v>136.63999999999999</v>
      </c>
      <c r="K253" s="280">
        <f t="shared" si="315"/>
        <v>136.63999999999999</v>
      </c>
      <c r="L253" s="280">
        <f t="shared" si="315"/>
        <v>136.63999999999999</v>
      </c>
      <c r="M253" s="280">
        <f t="shared" si="315"/>
        <v>136.63999999999999</v>
      </c>
      <c r="N253" s="280">
        <f t="shared" si="315"/>
        <v>136.63999999999999</v>
      </c>
      <c r="O253" s="280">
        <f t="shared" si="315"/>
        <v>132.63999999999999</v>
      </c>
      <c r="P253" s="280">
        <f t="shared" si="315"/>
        <v>132.63999999999999</v>
      </c>
      <c r="Q253" s="280">
        <f t="shared" si="315"/>
        <v>132.63999999999999</v>
      </c>
      <c r="R253" s="280">
        <f t="shared" si="315"/>
        <v>132.63999999999999</v>
      </c>
      <c r="S253" s="280">
        <f t="shared" si="315"/>
        <v>132.63999999999999</v>
      </c>
      <c r="T253" s="280">
        <f t="shared" si="315"/>
        <v>132.63999999999999</v>
      </c>
      <c r="U253" s="280">
        <f t="shared" si="315"/>
        <v>132.63999999999999</v>
      </c>
      <c r="V253" s="280">
        <f t="shared" si="315"/>
        <v>132.63999999999999</v>
      </c>
      <c r="W253" s="280">
        <f t="shared" si="315"/>
        <v>132.63999999999999</v>
      </c>
      <c r="X253" s="280">
        <f t="shared" si="315"/>
        <v>132.63999999999999</v>
      </c>
      <c r="Y253" s="280">
        <f t="shared" si="315"/>
        <v>132.63999999999999</v>
      </c>
      <c r="Z253" s="280">
        <f t="shared" si="315"/>
        <v>132.63999999999999</v>
      </c>
      <c r="AA253" s="280">
        <f t="shared" si="315"/>
        <v>132.63999999999999</v>
      </c>
      <c r="AB253" s="280">
        <f t="shared" si="315"/>
        <v>132.63999999999999</v>
      </c>
      <c r="AC253" s="280">
        <f t="shared" si="315"/>
        <v>132.63999999999999</v>
      </c>
      <c r="AD253" s="280">
        <f t="shared" si="315"/>
        <v>132.63999999999999</v>
      </c>
      <c r="AE253" s="280">
        <f t="shared" si="315"/>
        <v>132.63999999999999</v>
      </c>
      <c r="AF253" s="280">
        <f t="shared" si="315"/>
        <v>132.63999999999999</v>
      </c>
      <c r="AG253" s="280">
        <f t="shared" si="315"/>
        <v>132.63999999999999</v>
      </c>
      <c r="AH253" s="280">
        <f t="shared" si="315"/>
        <v>132.63999999999999</v>
      </c>
      <c r="AI253" s="280">
        <f t="shared" si="315"/>
        <v>132.63999999999999</v>
      </c>
      <c r="AJ253" s="280">
        <f t="shared" si="315"/>
        <v>132.63999999999999</v>
      </c>
      <c r="AK253" s="280">
        <f t="shared" si="315"/>
        <v>132.63999999999999</v>
      </c>
      <c r="AL253" s="280">
        <f t="shared" si="315"/>
        <v>132.63999999999999</v>
      </c>
      <c r="AM253" s="275"/>
      <c r="AN253" s="275"/>
      <c r="AO253" s="275"/>
      <c r="AP253" s="275"/>
      <c r="AQ253" s="275"/>
      <c r="AR253" s="275"/>
      <c r="AS253" s="275"/>
      <c r="AT253" s="275"/>
      <c r="AU253" s="275"/>
      <c r="AV253" s="275"/>
      <c r="AW253" s="275"/>
      <c r="AX253" s="275"/>
      <c r="AY253" s="275"/>
      <c r="AZ253" s="275"/>
      <c r="BA253" s="275"/>
      <c r="BB253" s="275"/>
      <c r="BC253" s="275"/>
      <c r="BD253" s="275"/>
      <c r="BE253" s="275"/>
      <c r="BF253" s="275"/>
      <c r="BG253" s="275"/>
      <c r="BH253" s="275"/>
      <c r="BI253" s="275"/>
      <c r="BJ253" s="275"/>
    </row>
    <row r="254" spans="1:62">
      <c r="A254" s="595"/>
      <c r="B254" s="242"/>
      <c r="C254" s="243"/>
      <c r="E254" s="260"/>
      <c r="F254" s="275"/>
      <c r="G254" s="275"/>
      <c r="H254" s="280">
        <f t="shared" si="309"/>
        <v>0</v>
      </c>
      <c r="I254" s="280">
        <f>SUM(I138:I143)</f>
        <v>0</v>
      </c>
      <c r="J254" s="280">
        <f t="shared" ref="J254:AL254" si="316">SUM(J138:J143)</f>
        <v>0</v>
      </c>
      <c r="K254" s="280">
        <f t="shared" si="316"/>
        <v>0</v>
      </c>
      <c r="L254" s="280">
        <f t="shared" si="316"/>
        <v>0</v>
      </c>
      <c r="M254" s="280">
        <f t="shared" si="316"/>
        <v>0</v>
      </c>
      <c r="N254" s="280">
        <f t="shared" si="316"/>
        <v>0</v>
      </c>
      <c r="O254" s="280">
        <f t="shared" si="316"/>
        <v>0</v>
      </c>
      <c r="P254" s="280">
        <f t="shared" si="316"/>
        <v>0</v>
      </c>
      <c r="Q254" s="280">
        <f t="shared" si="316"/>
        <v>0</v>
      </c>
      <c r="R254" s="280">
        <f t="shared" si="316"/>
        <v>0</v>
      </c>
      <c r="S254" s="280">
        <f t="shared" si="316"/>
        <v>0</v>
      </c>
      <c r="T254" s="280">
        <f t="shared" si="316"/>
        <v>0</v>
      </c>
      <c r="U254" s="280">
        <f t="shared" si="316"/>
        <v>0</v>
      </c>
      <c r="V254" s="280">
        <f t="shared" si="316"/>
        <v>0</v>
      </c>
      <c r="W254" s="280">
        <f t="shared" si="316"/>
        <v>0</v>
      </c>
      <c r="X254" s="280">
        <f t="shared" si="316"/>
        <v>0</v>
      </c>
      <c r="Y254" s="280">
        <f t="shared" si="316"/>
        <v>0</v>
      </c>
      <c r="Z254" s="280">
        <f t="shared" si="316"/>
        <v>0</v>
      </c>
      <c r="AA254" s="280">
        <f t="shared" si="316"/>
        <v>0</v>
      </c>
      <c r="AB254" s="280">
        <f t="shared" si="316"/>
        <v>0</v>
      </c>
      <c r="AC254" s="280">
        <f t="shared" si="316"/>
        <v>0</v>
      </c>
      <c r="AD254" s="280">
        <f t="shared" si="316"/>
        <v>0</v>
      </c>
      <c r="AE254" s="280">
        <f t="shared" si="316"/>
        <v>0</v>
      </c>
      <c r="AF254" s="280">
        <f t="shared" si="316"/>
        <v>0</v>
      </c>
      <c r="AG254" s="280">
        <f t="shared" si="316"/>
        <v>0</v>
      </c>
      <c r="AH254" s="280">
        <f t="shared" si="316"/>
        <v>0</v>
      </c>
      <c r="AI254" s="280">
        <f t="shared" si="316"/>
        <v>0</v>
      </c>
      <c r="AJ254" s="280">
        <f t="shared" si="316"/>
        <v>0</v>
      </c>
      <c r="AK254" s="280">
        <f t="shared" si="316"/>
        <v>0</v>
      </c>
      <c r="AL254" s="280">
        <f t="shared" si="316"/>
        <v>0</v>
      </c>
      <c r="AM254" s="275"/>
      <c r="AN254" s="275"/>
      <c r="AO254" s="275"/>
      <c r="AP254" s="275"/>
      <c r="AQ254" s="275"/>
      <c r="AR254" s="275"/>
      <c r="AS254" s="275"/>
      <c r="AT254" s="275"/>
      <c r="AU254" s="275"/>
      <c r="AV254" s="275"/>
      <c r="AW254" s="275"/>
      <c r="AX254" s="275"/>
      <c r="AY254" s="275"/>
      <c r="AZ254" s="275"/>
      <c r="BA254" s="275"/>
      <c r="BB254" s="275"/>
      <c r="BC254" s="275"/>
      <c r="BD254" s="275"/>
      <c r="BE254" s="275"/>
      <c r="BF254" s="275"/>
      <c r="BG254" s="275"/>
      <c r="BH254" s="275"/>
      <c r="BI254" s="275"/>
      <c r="BJ254" s="275"/>
    </row>
    <row r="255" spans="1:62">
      <c r="A255" s="595"/>
      <c r="B255" s="242"/>
      <c r="C255" s="243"/>
      <c r="E255" s="260"/>
      <c r="F255" s="275"/>
      <c r="G255" s="275"/>
      <c r="H255" s="280">
        <f t="shared" si="309"/>
        <v>598</v>
      </c>
      <c r="I255" s="280">
        <f t="shared" ref="I255:AL255" si="317">SUM(I87:I123)+I84</f>
        <v>18</v>
      </c>
      <c r="J255" s="280">
        <f t="shared" si="317"/>
        <v>20</v>
      </c>
      <c r="K255" s="280">
        <f t="shared" si="317"/>
        <v>20</v>
      </c>
      <c r="L255" s="280">
        <f t="shared" si="317"/>
        <v>20</v>
      </c>
      <c r="M255" s="280">
        <f t="shared" si="317"/>
        <v>20</v>
      </c>
      <c r="N255" s="280">
        <f t="shared" si="317"/>
        <v>20</v>
      </c>
      <c r="O255" s="280">
        <f t="shared" si="317"/>
        <v>20</v>
      </c>
      <c r="P255" s="280">
        <f t="shared" si="317"/>
        <v>20</v>
      </c>
      <c r="Q255" s="280">
        <f t="shared" si="317"/>
        <v>20</v>
      </c>
      <c r="R255" s="280">
        <f t="shared" si="317"/>
        <v>20</v>
      </c>
      <c r="S255" s="280">
        <f t="shared" si="317"/>
        <v>20</v>
      </c>
      <c r="T255" s="280">
        <f t="shared" si="317"/>
        <v>20</v>
      </c>
      <c r="U255" s="280">
        <f t="shared" si="317"/>
        <v>20</v>
      </c>
      <c r="V255" s="280">
        <f t="shared" si="317"/>
        <v>20</v>
      </c>
      <c r="W255" s="280">
        <f t="shared" si="317"/>
        <v>20</v>
      </c>
      <c r="X255" s="280">
        <f t="shared" si="317"/>
        <v>20</v>
      </c>
      <c r="Y255" s="280">
        <f t="shared" si="317"/>
        <v>20</v>
      </c>
      <c r="Z255" s="280">
        <f t="shared" si="317"/>
        <v>20</v>
      </c>
      <c r="AA255" s="280">
        <f t="shared" si="317"/>
        <v>20</v>
      </c>
      <c r="AB255" s="280">
        <f t="shared" si="317"/>
        <v>20</v>
      </c>
      <c r="AC255" s="280">
        <f t="shared" si="317"/>
        <v>20</v>
      </c>
      <c r="AD255" s="280">
        <f t="shared" si="317"/>
        <v>20</v>
      </c>
      <c r="AE255" s="280">
        <f t="shared" si="317"/>
        <v>20</v>
      </c>
      <c r="AF255" s="280">
        <f t="shared" si="317"/>
        <v>20</v>
      </c>
      <c r="AG255" s="280">
        <f t="shared" si="317"/>
        <v>20</v>
      </c>
      <c r="AH255" s="280">
        <f t="shared" si="317"/>
        <v>20</v>
      </c>
      <c r="AI255" s="280">
        <f t="shared" si="317"/>
        <v>20</v>
      </c>
      <c r="AJ255" s="280">
        <f t="shared" si="317"/>
        <v>20</v>
      </c>
      <c r="AK255" s="280">
        <f t="shared" si="317"/>
        <v>20</v>
      </c>
      <c r="AL255" s="280">
        <f t="shared" si="317"/>
        <v>20</v>
      </c>
      <c r="AM255" s="275"/>
      <c r="AN255" s="275"/>
      <c r="AO255" s="275"/>
      <c r="AP255" s="275"/>
      <c r="AQ255" s="275"/>
      <c r="AR255" s="275"/>
      <c r="AS255" s="275"/>
      <c r="AT255" s="275"/>
      <c r="AU255" s="275"/>
      <c r="AV255" s="275"/>
      <c r="AW255" s="275"/>
      <c r="AX255" s="275"/>
      <c r="AY255" s="275"/>
      <c r="AZ255" s="275"/>
      <c r="BA255" s="275"/>
      <c r="BB255" s="275"/>
      <c r="BC255" s="275"/>
      <c r="BD255" s="275"/>
      <c r="BE255" s="275"/>
      <c r="BF255" s="275"/>
      <c r="BG255" s="275"/>
      <c r="BH255" s="275"/>
      <c r="BI255" s="275"/>
      <c r="BJ255" s="275"/>
    </row>
    <row r="256" spans="1:62">
      <c r="A256" s="595"/>
      <c r="B256" s="242"/>
      <c r="C256" s="243"/>
      <c r="E256" s="260"/>
      <c r="F256" s="275"/>
      <c r="G256" s="275"/>
      <c r="H256" s="280">
        <f t="shared" si="309"/>
        <v>90</v>
      </c>
      <c r="I256" s="280">
        <f t="shared" ref="I256:AL256" si="318">SUM(I43:I46)</f>
        <v>3</v>
      </c>
      <c r="J256" s="280">
        <f t="shared" si="318"/>
        <v>3</v>
      </c>
      <c r="K256" s="280">
        <f t="shared" si="318"/>
        <v>3</v>
      </c>
      <c r="L256" s="280">
        <f t="shared" si="318"/>
        <v>3</v>
      </c>
      <c r="M256" s="280">
        <f t="shared" si="318"/>
        <v>3</v>
      </c>
      <c r="N256" s="280">
        <f t="shared" si="318"/>
        <v>3</v>
      </c>
      <c r="O256" s="280">
        <f t="shared" si="318"/>
        <v>3</v>
      </c>
      <c r="P256" s="280">
        <f t="shared" si="318"/>
        <v>3</v>
      </c>
      <c r="Q256" s="280">
        <f t="shared" si="318"/>
        <v>3</v>
      </c>
      <c r="R256" s="280">
        <f t="shared" si="318"/>
        <v>3</v>
      </c>
      <c r="S256" s="280">
        <f t="shared" si="318"/>
        <v>3</v>
      </c>
      <c r="T256" s="280">
        <f t="shared" si="318"/>
        <v>3</v>
      </c>
      <c r="U256" s="280">
        <f t="shared" si="318"/>
        <v>3</v>
      </c>
      <c r="V256" s="280">
        <f t="shared" si="318"/>
        <v>3</v>
      </c>
      <c r="W256" s="280">
        <f t="shared" si="318"/>
        <v>3</v>
      </c>
      <c r="X256" s="280">
        <f t="shared" si="318"/>
        <v>3</v>
      </c>
      <c r="Y256" s="280">
        <f t="shared" si="318"/>
        <v>3</v>
      </c>
      <c r="Z256" s="280">
        <f t="shared" si="318"/>
        <v>3</v>
      </c>
      <c r="AA256" s="280">
        <f t="shared" si="318"/>
        <v>3</v>
      </c>
      <c r="AB256" s="280">
        <f t="shared" si="318"/>
        <v>3</v>
      </c>
      <c r="AC256" s="280">
        <f t="shared" si="318"/>
        <v>3</v>
      </c>
      <c r="AD256" s="280">
        <f t="shared" si="318"/>
        <v>3</v>
      </c>
      <c r="AE256" s="280">
        <f t="shared" si="318"/>
        <v>3</v>
      </c>
      <c r="AF256" s="280">
        <f t="shared" si="318"/>
        <v>3</v>
      </c>
      <c r="AG256" s="280">
        <f t="shared" si="318"/>
        <v>3</v>
      </c>
      <c r="AH256" s="280">
        <f t="shared" si="318"/>
        <v>3</v>
      </c>
      <c r="AI256" s="280">
        <f t="shared" si="318"/>
        <v>3</v>
      </c>
      <c r="AJ256" s="280">
        <f t="shared" si="318"/>
        <v>3</v>
      </c>
      <c r="AK256" s="280">
        <f t="shared" si="318"/>
        <v>3</v>
      </c>
      <c r="AL256" s="280">
        <f t="shared" si="318"/>
        <v>3</v>
      </c>
      <c r="AM256" s="275"/>
      <c r="AN256" s="275"/>
      <c r="AO256" s="275"/>
      <c r="AP256" s="275"/>
      <c r="AQ256" s="275"/>
      <c r="AR256" s="275"/>
      <c r="AS256" s="275"/>
      <c r="AT256" s="275"/>
      <c r="AU256" s="275"/>
      <c r="AV256" s="275"/>
      <c r="AW256" s="275"/>
      <c r="AX256" s="275"/>
      <c r="AY256" s="275"/>
      <c r="AZ256" s="275"/>
      <c r="BA256" s="275"/>
      <c r="BB256" s="275"/>
      <c r="BC256" s="275"/>
      <c r="BD256" s="275"/>
      <c r="BE256" s="275"/>
      <c r="BF256" s="275"/>
      <c r="BG256" s="275"/>
      <c r="BH256" s="275"/>
      <c r="BI256" s="275"/>
      <c r="BJ256" s="275"/>
    </row>
    <row r="257" spans="1:62">
      <c r="A257" s="595"/>
      <c r="B257" s="242"/>
      <c r="C257" s="243"/>
      <c r="E257" s="260"/>
      <c r="F257" s="275"/>
      <c r="G257" s="275"/>
      <c r="H257" s="280">
        <f t="shared" si="309"/>
        <v>120</v>
      </c>
      <c r="I257" s="280">
        <f t="shared" ref="I257:AL257" si="319">SUM(I75:I78)</f>
        <v>4</v>
      </c>
      <c r="J257" s="280">
        <f t="shared" si="319"/>
        <v>4</v>
      </c>
      <c r="K257" s="280">
        <f t="shared" si="319"/>
        <v>4</v>
      </c>
      <c r="L257" s="280">
        <f t="shared" si="319"/>
        <v>4</v>
      </c>
      <c r="M257" s="280">
        <f t="shared" si="319"/>
        <v>4</v>
      </c>
      <c r="N257" s="280">
        <f t="shared" si="319"/>
        <v>4</v>
      </c>
      <c r="O257" s="280">
        <f t="shared" si="319"/>
        <v>4</v>
      </c>
      <c r="P257" s="280">
        <f t="shared" si="319"/>
        <v>4</v>
      </c>
      <c r="Q257" s="280">
        <f t="shared" si="319"/>
        <v>4</v>
      </c>
      <c r="R257" s="280">
        <f t="shared" si="319"/>
        <v>4</v>
      </c>
      <c r="S257" s="280">
        <f t="shared" si="319"/>
        <v>4</v>
      </c>
      <c r="T257" s="280">
        <f t="shared" si="319"/>
        <v>4</v>
      </c>
      <c r="U257" s="280">
        <f t="shared" si="319"/>
        <v>4</v>
      </c>
      <c r="V257" s="280">
        <f t="shared" si="319"/>
        <v>4</v>
      </c>
      <c r="W257" s="280">
        <f t="shared" si="319"/>
        <v>4</v>
      </c>
      <c r="X257" s="280">
        <f t="shared" si="319"/>
        <v>4</v>
      </c>
      <c r="Y257" s="280">
        <f t="shared" si="319"/>
        <v>4</v>
      </c>
      <c r="Z257" s="280">
        <f t="shared" si="319"/>
        <v>4</v>
      </c>
      <c r="AA257" s="280">
        <f t="shared" si="319"/>
        <v>4</v>
      </c>
      <c r="AB257" s="280">
        <f t="shared" si="319"/>
        <v>4</v>
      </c>
      <c r="AC257" s="280">
        <f t="shared" si="319"/>
        <v>4</v>
      </c>
      <c r="AD257" s="280">
        <f t="shared" si="319"/>
        <v>4</v>
      </c>
      <c r="AE257" s="280">
        <f t="shared" si="319"/>
        <v>4</v>
      </c>
      <c r="AF257" s="280">
        <f t="shared" si="319"/>
        <v>4</v>
      </c>
      <c r="AG257" s="280">
        <f t="shared" si="319"/>
        <v>4</v>
      </c>
      <c r="AH257" s="280">
        <f t="shared" si="319"/>
        <v>4</v>
      </c>
      <c r="AI257" s="280">
        <f t="shared" si="319"/>
        <v>4</v>
      </c>
      <c r="AJ257" s="280">
        <f t="shared" si="319"/>
        <v>4</v>
      </c>
      <c r="AK257" s="280">
        <f t="shared" si="319"/>
        <v>4</v>
      </c>
      <c r="AL257" s="280">
        <f t="shared" si="319"/>
        <v>4</v>
      </c>
      <c r="AM257" s="275"/>
      <c r="AN257" s="275"/>
      <c r="AO257" s="275"/>
      <c r="AP257" s="275"/>
      <c r="AQ257" s="275"/>
      <c r="AR257" s="275"/>
      <c r="AS257" s="275"/>
      <c r="AT257" s="275"/>
      <c r="AU257" s="275"/>
      <c r="AV257" s="275"/>
      <c r="AW257" s="275"/>
      <c r="AX257" s="275"/>
      <c r="AY257" s="275"/>
      <c r="AZ257" s="275"/>
      <c r="BA257" s="275"/>
      <c r="BB257" s="275"/>
      <c r="BC257" s="275"/>
      <c r="BD257" s="275"/>
      <c r="BE257" s="275"/>
      <c r="BF257" s="275"/>
      <c r="BG257" s="275"/>
      <c r="BH257" s="275"/>
      <c r="BI257" s="275"/>
      <c r="BJ257" s="275"/>
    </row>
    <row r="258" spans="1:62">
      <c r="A258" s="595"/>
      <c r="B258" s="242"/>
      <c r="C258" s="243"/>
      <c r="E258" s="260"/>
      <c r="F258" s="275"/>
      <c r="G258" s="275"/>
      <c r="H258" s="280">
        <f t="shared" si="309"/>
        <v>60</v>
      </c>
      <c r="I258" s="280">
        <f t="shared" ref="I258:AL258" si="320">SUM(I80:I82)</f>
        <v>2</v>
      </c>
      <c r="J258" s="280">
        <f t="shared" si="320"/>
        <v>2</v>
      </c>
      <c r="K258" s="280">
        <f t="shared" si="320"/>
        <v>2</v>
      </c>
      <c r="L258" s="280">
        <f t="shared" si="320"/>
        <v>2</v>
      </c>
      <c r="M258" s="280">
        <f t="shared" si="320"/>
        <v>2</v>
      </c>
      <c r="N258" s="280">
        <f t="shared" si="320"/>
        <v>2</v>
      </c>
      <c r="O258" s="280">
        <f t="shared" si="320"/>
        <v>2</v>
      </c>
      <c r="P258" s="280">
        <f t="shared" si="320"/>
        <v>2</v>
      </c>
      <c r="Q258" s="280">
        <f t="shared" si="320"/>
        <v>2</v>
      </c>
      <c r="R258" s="280">
        <f t="shared" si="320"/>
        <v>2</v>
      </c>
      <c r="S258" s="280">
        <f t="shared" si="320"/>
        <v>2</v>
      </c>
      <c r="T258" s="280">
        <f t="shared" si="320"/>
        <v>2</v>
      </c>
      <c r="U258" s="280">
        <f t="shared" si="320"/>
        <v>2</v>
      </c>
      <c r="V258" s="280">
        <f t="shared" si="320"/>
        <v>2</v>
      </c>
      <c r="W258" s="280">
        <f t="shared" si="320"/>
        <v>2</v>
      </c>
      <c r="X258" s="280">
        <f t="shared" si="320"/>
        <v>2</v>
      </c>
      <c r="Y258" s="280">
        <f t="shared" si="320"/>
        <v>2</v>
      </c>
      <c r="Z258" s="280">
        <f t="shared" si="320"/>
        <v>2</v>
      </c>
      <c r="AA258" s="280">
        <f t="shared" si="320"/>
        <v>2</v>
      </c>
      <c r="AB258" s="280">
        <f t="shared" si="320"/>
        <v>2</v>
      </c>
      <c r="AC258" s="280">
        <f t="shared" si="320"/>
        <v>2</v>
      </c>
      <c r="AD258" s="280">
        <f t="shared" si="320"/>
        <v>2</v>
      </c>
      <c r="AE258" s="280">
        <f t="shared" si="320"/>
        <v>2</v>
      </c>
      <c r="AF258" s="280">
        <f t="shared" si="320"/>
        <v>2</v>
      </c>
      <c r="AG258" s="280">
        <f t="shared" si="320"/>
        <v>2</v>
      </c>
      <c r="AH258" s="280">
        <f t="shared" si="320"/>
        <v>2</v>
      </c>
      <c r="AI258" s="280">
        <f t="shared" si="320"/>
        <v>2</v>
      </c>
      <c r="AJ258" s="280">
        <f t="shared" si="320"/>
        <v>2</v>
      </c>
      <c r="AK258" s="280">
        <f t="shared" si="320"/>
        <v>2</v>
      </c>
      <c r="AL258" s="280">
        <f t="shared" si="320"/>
        <v>2</v>
      </c>
      <c r="AM258" s="275"/>
      <c r="AN258" s="275"/>
      <c r="AO258" s="275"/>
      <c r="AP258" s="275"/>
      <c r="AQ258" s="275"/>
      <c r="AR258" s="275"/>
      <c r="AS258" s="275"/>
      <c r="AT258" s="275"/>
      <c r="AU258" s="275"/>
      <c r="AV258" s="275"/>
      <c r="AW258" s="275"/>
      <c r="AX258" s="275"/>
      <c r="AY258" s="275"/>
      <c r="AZ258" s="275"/>
      <c r="BA258" s="275"/>
      <c r="BB258" s="275"/>
      <c r="BC258" s="275"/>
      <c r="BD258" s="275"/>
      <c r="BE258" s="275"/>
      <c r="BF258" s="275"/>
      <c r="BG258" s="275"/>
      <c r="BH258" s="275"/>
      <c r="BI258" s="275"/>
      <c r="BJ258" s="275"/>
    </row>
    <row r="259" spans="1:62">
      <c r="A259" s="595"/>
      <c r="B259" s="242"/>
      <c r="C259" s="243"/>
      <c r="E259" s="260"/>
      <c r="F259" s="275"/>
      <c r="G259" s="275"/>
      <c r="H259" s="280">
        <f t="shared" si="309"/>
        <v>60</v>
      </c>
      <c r="I259" s="280">
        <f t="shared" ref="I259:AL259" si="321">SUM(I35:I37)</f>
        <v>2</v>
      </c>
      <c r="J259" s="280">
        <f t="shared" si="321"/>
        <v>2</v>
      </c>
      <c r="K259" s="280">
        <f t="shared" si="321"/>
        <v>2</v>
      </c>
      <c r="L259" s="280">
        <f t="shared" si="321"/>
        <v>2</v>
      </c>
      <c r="M259" s="280">
        <f t="shared" si="321"/>
        <v>2</v>
      </c>
      <c r="N259" s="280">
        <f t="shared" si="321"/>
        <v>2</v>
      </c>
      <c r="O259" s="280">
        <f t="shared" si="321"/>
        <v>2</v>
      </c>
      <c r="P259" s="280">
        <f t="shared" si="321"/>
        <v>2</v>
      </c>
      <c r="Q259" s="280">
        <f t="shared" si="321"/>
        <v>2</v>
      </c>
      <c r="R259" s="280">
        <f t="shared" si="321"/>
        <v>2</v>
      </c>
      <c r="S259" s="280">
        <f t="shared" si="321"/>
        <v>2</v>
      </c>
      <c r="T259" s="280">
        <f t="shared" si="321"/>
        <v>2</v>
      </c>
      <c r="U259" s="280">
        <f t="shared" si="321"/>
        <v>2</v>
      </c>
      <c r="V259" s="280">
        <f t="shared" si="321"/>
        <v>2</v>
      </c>
      <c r="W259" s="280">
        <f t="shared" si="321"/>
        <v>2</v>
      </c>
      <c r="X259" s="280">
        <f t="shared" si="321"/>
        <v>2</v>
      </c>
      <c r="Y259" s="280">
        <f t="shared" si="321"/>
        <v>2</v>
      </c>
      <c r="Z259" s="280">
        <f t="shared" si="321"/>
        <v>2</v>
      </c>
      <c r="AA259" s="280">
        <f t="shared" si="321"/>
        <v>2</v>
      </c>
      <c r="AB259" s="280">
        <f t="shared" si="321"/>
        <v>2</v>
      </c>
      <c r="AC259" s="280">
        <f t="shared" si="321"/>
        <v>2</v>
      </c>
      <c r="AD259" s="280">
        <f t="shared" si="321"/>
        <v>2</v>
      </c>
      <c r="AE259" s="280">
        <f t="shared" si="321"/>
        <v>2</v>
      </c>
      <c r="AF259" s="280">
        <f t="shared" si="321"/>
        <v>2</v>
      </c>
      <c r="AG259" s="280">
        <f t="shared" si="321"/>
        <v>2</v>
      </c>
      <c r="AH259" s="280">
        <f t="shared" si="321"/>
        <v>2</v>
      </c>
      <c r="AI259" s="280">
        <f t="shared" si="321"/>
        <v>2</v>
      </c>
      <c r="AJ259" s="280">
        <f t="shared" si="321"/>
        <v>2</v>
      </c>
      <c r="AK259" s="280">
        <f t="shared" si="321"/>
        <v>2</v>
      </c>
      <c r="AL259" s="280">
        <f t="shared" si="321"/>
        <v>2</v>
      </c>
      <c r="AM259" s="275"/>
      <c r="AN259" s="275"/>
      <c r="AO259" s="275"/>
      <c r="AP259" s="275"/>
      <c r="AQ259" s="275"/>
      <c r="AR259" s="275"/>
      <c r="AS259" s="275"/>
      <c r="AT259" s="275"/>
      <c r="AU259" s="275"/>
      <c r="AV259" s="275"/>
      <c r="AW259" s="275"/>
      <c r="AX259" s="275"/>
      <c r="AY259" s="275"/>
      <c r="AZ259" s="275"/>
      <c r="BA259" s="275"/>
      <c r="BB259" s="275"/>
      <c r="BC259" s="275"/>
      <c r="BD259" s="275"/>
      <c r="BE259" s="275"/>
      <c r="BF259" s="275"/>
      <c r="BG259" s="275"/>
      <c r="BH259" s="275"/>
      <c r="BI259" s="275"/>
      <c r="BJ259" s="275"/>
    </row>
    <row r="260" spans="1:62">
      <c r="A260" s="595"/>
      <c r="B260" s="242"/>
      <c r="C260" s="243"/>
      <c r="E260" s="260"/>
      <c r="F260" s="275"/>
      <c r="G260" s="275"/>
      <c r="H260" s="281">
        <f>SUM(H247:H259)</f>
        <v>6149.1999999999971</v>
      </c>
      <c r="I260" s="281">
        <f t="shared" ref="I260:AL260" si="322">SUM(I247:I259)</f>
        <v>194.64</v>
      </c>
      <c r="J260" s="281">
        <f t="shared" si="322"/>
        <v>208.64</v>
      </c>
      <c r="K260" s="281">
        <f t="shared" si="322"/>
        <v>208.64</v>
      </c>
      <c r="L260" s="281">
        <f t="shared" si="322"/>
        <v>208.64</v>
      </c>
      <c r="M260" s="281">
        <f t="shared" si="322"/>
        <v>208.64</v>
      </c>
      <c r="N260" s="281">
        <f t="shared" si="322"/>
        <v>208.64</v>
      </c>
      <c r="O260" s="281">
        <f t="shared" si="322"/>
        <v>204.64</v>
      </c>
      <c r="P260" s="281">
        <f t="shared" si="322"/>
        <v>204.64</v>
      </c>
      <c r="Q260" s="281">
        <f t="shared" si="322"/>
        <v>204.64</v>
      </c>
      <c r="R260" s="281">
        <f t="shared" si="322"/>
        <v>204.64</v>
      </c>
      <c r="S260" s="281">
        <f t="shared" si="322"/>
        <v>204.64</v>
      </c>
      <c r="T260" s="281">
        <f t="shared" si="322"/>
        <v>204.64</v>
      </c>
      <c r="U260" s="281">
        <f t="shared" si="322"/>
        <v>204.64</v>
      </c>
      <c r="V260" s="281">
        <f t="shared" si="322"/>
        <v>204.64</v>
      </c>
      <c r="W260" s="281">
        <f t="shared" si="322"/>
        <v>204.64</v>
      </c>
      <c r="X260" s="281">
        <f t="shared" si="322"/>
        <v>204.64</v>
      </c>
      <c r="Y260" s="281">
        <f t="shared" si="322"/>
        <v>204.64</v>
      </c>
      <c r="Z260" s="281">
        <f t="shared" si="322"/>
        <v>204.64</v>
      </c>
      <c r="AA260" s="281">
        <f t="shared" si="322"/>
        <v>204.64</v>
      </c>
      <c r="AB260" s="281">
        <f t="shared" si="322"/>
        <v>204.64</v>
      </c>
      <c r="AC260" s="281">
        <f t="shared" si="322"/>
        <v>204.64</v>
      </c>
      <c r="AD260" s="281">
        <f t="shared" si="322"/>
        <v>204.64</v>
      </c>
      <c r="AE260" s="281">
        <f t="shared" si="322"/>
        <v>204.64</v>
      </c>
      <c r="AF260" s="281">
        <f t="shared" si="322"/>
        <v>204.64</v>
      </c>
      <c r="AG260" s="281">
        <f t="shared" si="322"/>
        <v>204.64</v>
      </c>
      <c r="AH260" s="281">
        <f t="shared" si="322"/>
        <v>204.64</v>
      </c>
      <c r="AI260" s="281">
        <f t="shared" si="322"/>
        <v>204.64</v>
      </c>
      <c r="AJ260" s="281">
        <f t="shared" si="322"/>
        <v>204.64</v>
      </c>
      <c r="AK260" s="281">
        <f t="shared" si="322"/>
        <v>204.64</v>
      </c>
      <c r="AL260" s="281">
        <f t="shared" si="322"/>
        <v>204.64</v>
      </c>
      <c r="AM260" s="275"/>
      <c r="AN260" s="275"/>
      <c r="AO260" s="275"/>
      <c r="AP260" s="275"/>
      <c r="AQ260" s="275"/>
      <c r="AR260" s="275"/>
      <c r="AS260" s="275"/>
      <c r="AT260" s="275"/>
      <c r="AU260" s="275"/>
      <c r="AV260" s="275"/>
      <c r="AW260" s="275"/>
      <c r="AX260" s="275"/>
      <c r="AY260" s="275"/>
      <c r="AZ260" s="275"/>
      <c r="BA260" s="275"/>
      <c r="BB260" s="275"/>
      <c r="BC260" s="275"/>
      <c r="BD260" s="275"/>
      <c r="BE260" s="275"/>
      <c r="BF260" s="275"/>
      <c r="BG260" s="275"/>
      <c r="BH260" s="275"/>
      <c r="BI260" s="275"/>
      <c r="BJ260" s="275"/>
    </row>
    <row r="261" spans="1:62">
      <c r="A261" s="595"/>
      <c r="B261" s="242"/>
      <c r="C261" s="243"/>
      <c r="E261" s="260"/>
      <c r="F261" s="275"/>
      <c r="G261" s="275"/>
      <c r="H261" s="275"/>
      <c r="I261" s="276">
        <f>I185-I260</f>
        <v>0</v>
      </c>
      <c r="J261" s="276">
        <f t="shared" ref="J261:P261" si="323">J185-J260</f>
        <v>0</v>
      </c>
      <c r="K261" s="276">
        <f t="shared" si="323"/>
        <v>0</v>
      </c>
      <c r="L261" s="276">
        <f t="shared" si="323"/>
        <v>0</v>
      </c>
      <c r="M261" s="276">
        <f t="shared" si="323"/>
        <v>0</v>
      </c>
      <c r="N261" s="276">
        <f t="shared" si="323"/>
        <v>0</v>
      </c>
      <c r="O261" s="276">
        <f t="shared" si="323"/>
        <v>0</v>
      </c>
      <c r="P261" s="276">
        <f t="shared" si="323"/>
        <v>0</v>
      </c>
      <c r="Q261" s="276">
        <f t="shared" ref="Q261" si="324">Q185-Q260</f>
        <v>0</v>
      </c>
      <c r="R261" s="276">
        <f t="shared" ref="R261" si="325">R185-R260</f>
        <v>0</v>
      </c>
      <c r="S261" s="276">
        <f t="shared" ref="S261" si="326">S185-S260</f>
        <v>0</v>
      </c>
      <c r="T261" s="276">
        <f t="shared" ref="T261" si="327">T185-T260</f>
        <v>0</v>
      </c>
      <c r="U261" s="276">
        <f t="shared" ref="U261" si="328">U185-U260</f>
        <v>0</v>
      </c>
      <c r="V261" s="276">
        <f t="shared" ref="V261:W261" si="329">V185-V260</f>
        <v>0</v>
      </c>
      <c r="W261" s="276">
        <f t="shared" si="329"/>
        <v>0</v>
      </c>
      <c r="X261" s="276">
        <f t="shared" ref="X261" si="330">X185-X260</f>
        <v>0</v>
      </c>
      <c r="Y261" s="276">
        <f t="shared" ref="Y261" si="331">Y185-Y260</f>
        <v>0</v>
      </c>
      <c r="Z261" s="276">
        <f t="shared" ref="Z261" si="332">Z185-Z260</f>
        <v>0</v>
      </c>
      <c r="AA261" s="276">
        <f t="shared" ref="AA261" si="333">AA185-AA260</f>
        <v>0</v>
      </c>
      <c r="AB261" s="276">
        <f t="shared" ref="AB261" si="334">AB185-AB260</f>
        <v>0</v>
      </c>
      <c r="AC261" s="276">
        <f t="shared" ref="AC261:AD261" si="335">AC185-AC260</f>
        <v>0</v>
      </c>
      <c r="AD261" s="276">
        <f t="shared" si="335"/>
        <v>0</v>
      </c>
      <c r="AE261" s="260"/>
      <c r="AF261" s="260"/>
      <c r="AG261" s="260"/>
      <c r="AH261" s="260"/>
      <c r="AI261" s="260"/>
      <c r="AJ261" s="260"/>
      <c r="AK261" s="260"/>
      <c r="AL261" s="260"/>
      <c r="AM261" s="275"/>
      <c r="AN261" s="275"/>
      <c r="AO261" s="275"/>
      <c r="AP261" s="275"/>
      <c r="AQ261" s="275"/>
      <c r="AR261" s="275"/>
      <c r="AS261" s="275"/>
      <c r="AT261" s="275"/>
      <c r="AU261" s="275"/>
      <c r="AV261" s="275"/>
      <c r="AW261" s="275"/>
      <c r="AX261" s="275"/>
      <c r="AY261" s="275"/>
      <c r="AZ261" s="275"/>
      <c r="BA261" s="275"/>
      <c r="BB261" s="275"/>
      <c r="BC261" s="275"/>
      <c r="BD261" s="275"/>
      <c r="BE261" s="275"/>
      <c r="BF261" s="275"/>
      <c r="BG261" s="275"/>
      <c r="BH261" s="275"/>
      <c r="BI261" s="275"/>
      <c r="BJ261" s="275"/>
    </row>
    <row r="262" spans="1:62">
      <c r="A262" s="595"/>
      <c r="B262" s="242"/>
      <c r="C262" s="243"/>
      <c r="E262" s="260"/>
      <c r="F262" s="275"/>
      <c r="G262" s="275"/>
      <c r="H262" s="275"/>
      <c r="I262" s="276"/>
      <c r="J262" s="260"/>
      <c r="K262" s="260"/>
      <c r="L262" s="260"/>
      <c r="M262" s="260"/>
      <c r="N262" s="260"/>
      <c r="O262" s="260"/>
      <c r="P262" s="260"/>
      <c r="Q262" s="260"/>
      <c r="R262" s="260"/>
      <c r="S262" s="260"/>
      <c r="T262" s="260"/>
      <c r="U262" s="260"/>
      <c r="V262" s="260"/>
      <c r="W262" s="260"/>
      <c r="X262" s="260"/>
      <c r="Y262" s="260"/>
      <c r="Z262" s="260"/>
      <c r="AA262" s="260"/>
      <c r="AB262" s="260"/>
      <c r="AC262" s="260"/>
      <c r="AD262" s="260"/>
      <c r="AE262" s="260"/>
      <c r="AF262" s="260"/>
      <c r="AG262" s="260"/>
      <c r="AH262" s="260"/>
      <c r="AI262" s="260"/>
      <c r="AJ262" s="260"/>
      <c r="AK262" s="260"/>
      <c r="AL262" s="260"/>
      <c r="AM262" s="275"/>
      <c r="AN262" s="275"/>
      <c r="AO262" s="275"/>
      <c r="AP262" s="275"/>
      <c r="AQ262" s="275"/>
      <c r="AR262" s="275"/>
      <c r="AS262" s="275"/>
      <c r="AT262" s="275"/>
      <c r="AU262" s="275"/>
      <c r="AV262" s="275"/>
      <c r="AW262" s="275"/>
      <c r="AX262" s="275"/>
      <c r="AY262" s="275"/>
      <c r="AZ262" s="275"/>
      <c r="BA262" s="275"/>
      <c r="BB262" s="275"/>
      <c r="BC262" s="275"/>
      <c r="BD262" s="275"/>
      <c r="BE262" s="275"/>
      <c r="BF262" s="275"/>
      <c r="BG262" s="275"/>
      <c r="BH262" s="275"/>
      <c r="BI262" s="275"/>
      <c r="BJ262" s="275"/>
    </row>
    <row r="263" spans="1:62">
      <c r="A263" s="595"/>
      <c r="B263" s="242"/>
      <c r="C263" s="243"/>
      <c r="E263" s="260"/>
      <c r="F263" s="275"/>
      <c r="G263" s="275"/>
      <c r="H263" s="275"/>
      <c r="I263" s="276"/>
      <c r="J263" s="260"/>
      <c r="K263" s="260"/>
      <c r="L263" s="260"/>
      <c r="M263" s="260"/>
      <c r="N263" s="260"/>
      <c r="O263" s="260"/>
      <c r="P263" s="260"/>
      <c r="Q263" s="260"/>
      <c r="R263" s="260"/>
      <c r="S263" s="260"/>
      <c r="T263" s="260"/>
      <c r="U263" s="260"/>
      <c r="V263" s="260"/>
      <c r="W263" s="260"/>
      <c r="X263" s="260"/>
      <c r="Y263" s="260"/>
      <c r="Z263" s="260"/>
      <c r="AA263" s="260"/>
      <c r="AB263" s="260"/>
      <c r="AC263" s="260"/>
      <c r="AD263" s="260"/>
      <c r="AE263" s="260"/>
      <c r="AF263" s="260"/>
      <c r="AG263" s="260"/>
      <c r="AH263" s="260"/>
      <c r="AI263" s="260"/>
      <c r="AJ263" s="260"/>
      <c r="AK263" s="260"/>
      <c r="AL263" s="260"/>
      <c r="AM263" s="275"/>
      <c r="AN263" s="275"/>
      <c r="AO263" s="275"/>
      <c r="AP263" s="275"/>
      <c r="AQ263" s="275"/>
      <c r="AR263" s="275"/>
      <c r="AS263" s="275"/>
      <c r="AT263" s="275"/>
      <c r="AU263" s="275"/>
      <c r="AV263" s="275"/>
      <c r="AW263" s="275"/>
      <c r="AX263" s="275"/>
      <c r="AY263" s="275"/>
      <c r="AZ263" s="275"/>
      <c r="BA263" s="275"/>
      <c r="BB263" s="275"/>
      <c r="BC263" s="275"/>
      <c r="BD263" s="275"/>
      <c r="BE263" s="275"/>
      <c r="BF263" s="275"/>
      <c r="BG263" s="275"/>
      <c r="BH263" s="275"/>
      <c r="BI263" s="275"/>
      <c r="BJ263" s="275"/>
    </row>
    <row r="264" spans="1:62">
      <c r="A264" s="595"/>
      <c r="B264" s="242"/>
      <c r="C264" s="243"/>
      <c r="E264" s="260"/>
      <c r="F264" s="275"/>
      <c r="G264" s="275"/>
      <c r="H264" s="275"/>
      <c r="I264" s="276"/>
      <c r="J264" s="260"/>
      <c r="K264" s="260"/>
      <c r="L264" s="260"/>
      <c r="M264" s="260"/>
      <c r="N264" s="260"/>
      <c r="O264" s="260"/>
      <c r="P264" s="260"/>
      <c r="Q264" s="260"/>
      <c r="R264" s="260"/>
      <c r="S264" s="260"/>
      <c r="T264" s="260"/>
      <c r="U264" s="260"/>
      <c r="V264" s="260"/>
      <c r="W264" s="260"/>
      <c r="X264" s="260"/>
      <c r="Y264" s="260"/>
      <c r="Z264" s="260"/>
      <c r="AA264" s="260"/>
      <c r="AB264" s="260"/>
      <c r="AC264" s="260"/>
      <c r="AD264" s="260"/>
      <c r="AE264" s="260"/>
      <c r="AF264" s="260"/>
      <c r="AG264" s="260"/>
      <c r="AH264" s="260"/>
      <c r="AI264" s="260"/>
      <c r="AJ264" s="260"/>
      <c r="AK264" s="260"/>
      <c r="AL264" s="260"/>
      <c r="AM264" s="275"/>
      <c r="AN264" s="275"/>
      <c r="AO264" s="275"/>
      <c r="AP264" s="275"/>
      <c r="AQ264" s="275"/>
      <c r="AR264" s="275"/>
      <c r="AS264" s="275"/>
      <c r="AT264" s="275"/>
      <c r="AU264" s="275"/>
      <c r="AV264" s="275"/>
      <c r="AW264" s="275"/>
      <c r="AX264" s="275"/>
      <c r="AY264" s="275"/>
      <c r="AZ264" s="275"/>
      <c r="BA264" s="275"/>
      <c r="BB264" s="275"/>
      <c r="BC264" s="275"/>
      <c r="BD264" s="275"/>
      <c r="BE264" s="275"/>
      <c r="BF264" s="275"/>
      <c r="BG264" s="275"/>
      <c r="BH264" s="275"/>
      <c r="BI264" s="275"/>
      <c r="BJ264" s="275"/>
    </row>
    <row r="265" spans="1:62">
      <c r="A265" s="595"/>
      <c r="B265" s="242"/>
      <c r="C265" s="243"/>
      <c r="E265" s="260"/>
      <c r="F265" s="275"/>
      <c r="G265" s="275"/>
      <c r="H265" s="275"/>
      <c r="I265" s="276"/>
      <c r="J265" s="260"/>
      <c r="K265" s="260"/>
      <c r="L265" s="260"/>
      <c r="M265" s="260"/>
      <c r="N265" s="260"/>
      <c r="O265" s="260"/>
      <c r="P265" s="260"/>
      <c r="Q265" s="260"/>
      <c r="R265" s="260"/>
      <c r="S265" s="260"/>
      <c r="T265" s="260"/>
      <c r="U265" s="260"/>
      <c r="V265" s="260"/>
      <c r="W265" s="260"/>
      <c r="X265" s="260"/>
      <c r="Y265" s="260"/>
      <c r="Z265" s="260"/>
      <c r="AA265" s="260"/>
      <c r="AB265" s="260"/>
      <c r="AC265" s="260"/>
      <c r="AD265" s="260"/>
      <c r="AE265" s="260"/>
      <c r="AF265" s="260"/>
      <c r="AG265" s="260"/>
      <c r="AH265" s="260"/>
      <c r="AI265" s="260"/>
      <c r="AJ265" s="260"/>
      <c r="AK265" s="260"/>
      <c r="AL265" s="260"/>
      <c r="AM265" s="275"/>
      <c r="AN265" s="275"/>
      <c r="AO265" s="275"/>
      <c r="AP265" s="275"/>
      <c r="AQ265" s="275"/>
      <c r="AR265" s="275"/>
      <c r="AS265" s="275"/>
      <c r="AT265" s="275"/>
      <c r="AU265" s="275"/>
      <c r="AV265" s="275"/>
      <c r="AW265" s="275"/>
      <c r="AX265" s="275"/>
      <c r="AY265" s="275"/>
      <c r="AZ265" s="275"/>
      <c r="BA265" s="275"/>
      <c r="BB265" s="275"/>
      <c r="BC265" s="275"/>
      <c r="BD265" s="275"/>
      <c r="BE265" s="275"/>
      <c r="BF265" s="275"/>
      <c r="BG265" s="275"/>
      <c r="BH265" s="275"/>
      <c r="BI265" s="275"/>
      <c r="BJ265" s="275"/>
    </row>
    <row r="266" spans="1:62">
      <c r="A266" s="595"/>
      <c r="B266" s="242"/>
      <c r="C266" s="243"/>
      <c r="E266" s="260"/>
      <c r="F266" s="275"/>
      <c r="G266" s="275"/>
      <c r="H266" s="275"/>
      <c r="I266" s="276"/>
      <c r="J266" s="260"/>
      <c r="K266" s="260"/>
      <c r="L266" s="260"/>
      <c r="M266" s="260"/>
      <c r="N266" s="260"/>
      <c r="O266" s="260"/>
      <c r="P266" s="260"/>
      <c r="Q266" s="260"/>
      <c r="R266" s="260"/>
      <c r="S266" s="260"/>
      <c r="T266" s="260"/>
      <c r="U266" s="260"/>
      <c r="V266" s="260"/>
      <c r="W266" s="260"/>
      <c r="X266" s="260"/>
      <c r="Y266" s="260"/>
      <c r="Z266" s="260"/>
      <c r="AA266" s="260"/>
      <c r="AB266" s="260"/>
      <c r="AC266" s="260"/>
      <c r="AD266" s="260"/>
      <c r="AE266" s="260"/>
      <c r="AF266" s="260"/>
      <c r="AG266" s="260"/>
      <c r="AH266" s="260"/>
      <c r="AI266" s="260"/>
      <c r="AJ266" s="260"/>
      <c r="AK266" s="260"/>
      <c r="AL266" s="260"/>
      <c r="AM266" s="275"/>
      <c r="AN266" s="275"/>
      <c r="AO266" s="275"/>
      <c r="AP266" s="275"/>
      <c r="AQ266" s="275"/>
      <c r="AR266" s="275"/>
      <c r="AS266" s="275"/>
      <c r="AT266" s="275"/>
      <c r="AU266" s="275"/>
      <c r="AV266" s="275"/>
      <c r="AW266" s="275"/>
      <c r="AX266" s="275"/>
      <c r="AY266" s="275"/>
      <c r="AZ266" s="275"/>
      <c r="BA266" s="275"/>
      <c r="BB266" s="275"/>
      <c r="BC266" s="275"/>
      <c r="BD266" s="275"/>
      <c r="BE266" s="275"/>
      <c r="BF266" s="275"/>
      <c r="BG266" s="275"/>
      <c r="BH266" s="275"/>
      <c r="BI266" s="275"/>
      <c r="BJ266" s="275"/>
    </row>
    <row r="267" spans="1:62">
      <c r="A267" s="595"/>
      <c r="B267" s="242"/>
      <c r="C267" s="243"/>
      <c r="E267" s="260"/>
      <c r="F267" s="275"/>
      <c r="G267" s="275"/>
      <c r="H267" s="275"/>
      <c r="I267" s="276"/>
      <c r="J267" s="260"/>
      <c r="K267" s="260"/>
      <c r="L267" s="260"/>
      <c r="M267" s="260"/>
      <c r="N267" s="260"/>
      <c r="O267" s="260"/>
      <c r="P267" s="260"/>
      <c r="Q267" s="260"/>
      <c r="R267" s="260"/>
      <c r="S267" s="260"/>
      <c r="T267" s="260"/>
      <c r="U267" s="260"/>
      <c r="V267" s="260"/>
      <c r="W267" s="260"/>
      <c r="X267" s="260"/>
      <c r="Y267" s="260"/>
      <c r="Z267" s="260"/>
      <c r="AA267" s="260"/>
      <c r="AB267" s="260"/>
      <c r="AC267" s="260"/>
      <c r="AD267" s="260"/>
      <c r="AE267" s="260"/>
      <c r="AF267" s="260"/>
      <c r="AG267" s="260"/>
      <c r="AH267" s="260"/>
      <c r="AI267" s="260"/>
      <c r="AJ267" s="260"/>
      <c r="AK267" s="260"/>
      <c r="AL267" s="260"/>
      <c r="AM267" s="275"/>
      <c r="AN267" s="275"/>
      <c r="AO267" s="275"/>
      <c r="AP267" s="275"/>
      <c r="AQ267" s="275"/>
      <c r="AR267" s="275"/>
      <c r="AS267" s="275"/>
      <c r="AT267" s="275"/>
      <c r="AU267" s="275"/>
      <c r="AV267" s="275"/>
      <c r="AW267" s="275"/>
      <c r="AX267" s="275"/>
      <c r="AY267" s="275"/>
      <c r="AZ267" s="275"/>
      <c r="BA267" s="275"/>
      <c r="BB267" s="275"/>
      <c r="BC267" s="275"/>
      <c r="BD267" s="275"/>
      <c r="BE267" s="275"/>
      <c r="BF267" s="275"/>
      <c r="BG267" s="275"/>
      <c r="BH267" s="275"/>
      <c r="BI267" s="275"/>
      <c r="BJ267" s="275"/>
    </row>
    <row r="268" spans="1:62">
      <c r="A268" s="595"/>
      <c r="B268" s="242"/>
      <c r="C268" s="243"/>
      <c r="E268" s="260"/>
      <c r="F268" s="275"/>
      <c r="G268" s="275"/>
      <c r="H268" s="275"/>
      <c r="I268" s="276"/>
      <c r="J268" s="260"/>
      <c r="K268" s="260"/>
      <c r="L268" s="260"/>
      <c r="M268" s="260"/>
      <c r="N268" s="260"/>
      <c r="O268" s="260"/>
      <c r="P268" s="260"/>
      <c r="Q268" s="260"/>
      <c r="R268" s="260"/>
      <c r="S268" s="260"/>
      <c r="T268" s="260"/>
      <c r="U268" s="260"/>
      <c r="V268" s="260"/>
      <c r="W268" s="260"/>
      <c r="X268" s="260"/>
      <c r="Y268" s="260"/>
      <c r="Z268" s="260"/>
      <c r="AA268" s="260"/>
      <c r="AB268" s="260"/>
      <c r="AC268" s="260"/>
      <c r="AD268" s="260"/>
      <c r="AE268" s="260"/>
      <c r="AF268" s="260"/>
      <c r="AG268" s="260"/>
      <c r="AH268" s="260"/>
      <c r="AI268" s="260"/>
      <c r="AJ268" s="260"/>
      <c r="AK268" s="260"/>
      <c r="AL268" s="260"/>
      <c r="AM268" s="275"/>
      <c r="AN268" s="275"/>
      <c r="AO268" s="275"/>
      <c r="AP268" s="275"/>
      <c r="AQ268" s="275"/>
      <c r="AR268" s="275"/>
      <c r="AS268" s="275"/>
      <c r="AT268" s="275"/>
      <c r="AU268" s="275"/>
      <c r="AV268" s="275"/>
      <c r="AW268" s="275"/>
      <c r="AX268" s="275"/>
      <c r="AY268" s="275"/>
      <c r="AZ268" s="275"/>
      <c r="BA268" s="275"/>
      <c r="BB268" s="275"/>
      <c r="BC268" s="275"/>
      <c r="BD268" s="275"/>
      <c r="BE268" s="275"/>
      <c r="BF268" s="275"/>
      <c r="BG268" s="275"/>
      <c r="BH268" s="275"/>
      <c r="BI268" s="275"/>
      <c r="BJ268" s="275"/>
    </row>
    <row r="269" spans="1:62">
      <c r="A269" s="595"/>
      <c r="B269" s="242"/>
      <c r="C269" s="243"/>
      <c r="E269" s="260"/>
      <c r="F269" s="275"/>
      <c r="G269" s="275"/>
      <c r="H269" s="275"/>
      <c r="I269" s="276"/>
      <c r="J269" s="260"/>
      <c r="K269" s="260"/>
      <c r="L269" s="260"/>
      <c r="M269" s="260"/>
      <c r="N269" s="260"/>
      <c r="O269" s="260"/>
      <c r="P269" s="260"/>
      <c r="Q269" s="260"/>
      <c r="R269" s="260"/>
      <c r="S269" s="260"/>
      <c r="T269" s="260"/>
      <c r="U269" s="260"/>
      <c r="V269" s="260"/>
      <c r="W269" s="260"/>
      <c r="X269" s="260"/>
      <c r="Y269" s="260"/>
      <c r="Z269" s="260"/>
      <c r="AA269" s="260"/>
      <c r="AB269" s="260"/>
      <c r="AC269" s="260"/>
      <c r="AD269" s="260"/>
      <c r="AE269" s="260"/>
      <c r="AF269" s="260"/>
      <c r="AG269" s="260"/>
      <c r="AH269" s="260"/>
      <c r="AI269" s="260"/>
      <c r="AJ269" s="260"/>
      <c r="AK269" s="260"/>
      <c r="AL269" s="260"/>
      <c r="AM269" s="275"/>
      <c r="AN269" s="275"/>
      <c r="AO269" s="275"/>
      <c r="AP269" s="275"/>
      <c r="AQ269" s="275"/>
      <c r="AR269" s="275"/>
      <c r="AS269" s="275"/>
      <c r="AT269" s="275"/>
      <c r="AU269" s="275"/>
      <c r="AV269" s="275"/>
      <c r="AW269" s="275"/>
      <c r="AX269" s="275"/>
      <c r="AY269" s="275"/>
      <c r="AZ269" s="275"/>
      <c r="BA269" s="275"/>
      <c r="BB269" s="275"/>
      <c r="BC269" s="275"/>
      <c r="BD269" s="275"/>
      <c r="BE269" s="275"/>
      <c r="BF269" s="275"/>
      <c r="BG269" s="275"/>
      <c r="BH269" s="275"/>
      <c r="BI269" s="275"/>
      <c r="BJ269" s="275"/>
    </row>
    <row r="270" spans="1:62">
      <c r="A270" s="595"/>
      <c r="B270" s="242"/>
      <c r="C270" s="243"/>
      <c r="E270" s="260"/>
      <c r="F270" s="275"/>
      <c r="G270" s="275"/>
      <c r="H270" s="275"/>
      <c r="I270" s="276"/>
      <c r="J270" s="260"/>
      <c r="K270" s="260"/>
      <c r="L270" s="260"/>
      <c r="M270" s="260"/>
      <c r="N270" s="260"/>
      <c r="O270" s="260"/>
      <c r="P270" s="260"/>
      <c r="Q270" s="260"/>
      <c r="R270" s="260"/>
      <c r="S270" s="260"/>
      <c r="T270" s="260"/>
      <c r="U270" s="260"/>
      <c r="V270" s="260"/>
      <c r="W270" s="260"/>
      <c r="X270" s="260"/>
      <c r="Y270" s="260"/>
      <c r="Z270" s="260"/>
      <c r="AA270" s="260"/>
      <c r="AB270" s="260"/>
      <c r="AC270" s="260"/>
      <c r="AD270" s="260"/>
      <c r="AE270" s="260"/>
      <c r="AF270" s="260"/>
      <c r="AG270" s="260"/>
      <c r="AH270" s="260"/>
      <c r="AI270" s="260"/>
      <c r="AJ270" s="260"/>
      <c r="AK270" s="260"/>
      <c r="AL270" s="260"/>
      <c r="AM270" s="275"/>
      <c r="AN270" s="275"/>
      <c r="AO270" s="275"/>
      <c r="AP270" s="275"/>
      <c r="AQ270" s="275"/>
      <c r="AR270" s="275"/>
      <c r="AS270" s="275"/>
      <c r="AT270" s="275"/>
      <c r="AU270" s="275"/>
      <c r="AV270" s="275"/>
      <c r="AW270" s="275"/>
      <c r="AX270" s="275"/>
      <c r="AY270" s="275"/>
      <c r="AZ270" s="275"/>
      <c r="BA270" s="275"/>
      <c r="BB270" s="275"/>
      <c r="BC270" s="275"/>
      <c r="BD270" s="275"/>
      <c r="BE270" s="275"/>
      <c r="BF270" s="275"/>
      <c r="BG270" s="275"/>
      <c r="BH270" s="275"/>
      <c r="BI270" s="275"/>
      <c r="BJ270" s="275"/>
    </row>
    <row r="271" spans="1:62">
      <c r="A271" s="595"/>
      <c r="B271" s="242"/>
      <c r="C271" s="243"/>
      <c r="E271" s="260"/>
      <c r="F271" s="275"/>
      <c r="G271" s="275"/>
      <c r="H271" s="275"/>
      <c r="I271" s="276"/>
      <c r="J271" s="260"/>
      <c r="K271" s="260"/>
      <c r="L271" s="260"/>
      <c r="M271" s="260"/>
      <c r="N271" s="260"/>
      <c r="O271" s="260"/>
      <c r="P271" s="260"/>
      <c r="Q271" s="260"/>
      <c r="R271" s="260"/>
      <c r="S271" s="260"/>
      <c r="T271" s="260"/>
      <c r="U271" s="260"/>
      <c r="V271" s="260"/>
      <c r="W271" s="260"/>
      <c r="X271" s="260"/>
      <c r="Y271" s="260"/>
      <c r="Z271" s="260"/>
      <c r="AA271" s="260"/>
      <c r="AB271" s="260"/>
      <c r="AC271" s="260"/>
      <c r="AD271" s="260"/>
      <c r="AE271" s="260"/>
      <c r="AF271" s="260"/>
      <c r="AG271" s="260"/>
      <c r="AH271" s="260"/>
      <c r="AI271" s="260"/>
      <c r="AJ271" s="260"/>
      <c r="AK271" s="260"/>
      <c r="AL271" s="260"/>
      <c r="AM271" s="275"/>
      <c r="AN271" s="275"/>
      <c r="AO271" s="275"/>
      <c r="AP271" s="275"/>
      <c r="AQ271" s="275"/>
      <c r="AR271" s="275"/>
      <c r="AS271" s="275"/>
      <c r="AT271" s="275"/>
      <c r="AU271" s="275"/>
      <c r="AV271" s="275"/>
      <c r="AW271" s="275"/>
      <c r="AX271" s="275"/>
      <c r="AY271" s="275"/>
      <c r="AZ271" s="275"/>
      <c r="BA271" s="275"/>
      <c r="BB271" s="275"/>
      <c r="BC271" s="275"/>
      <c r="BD271" s="275"/>
      <c r="BE271" s="275"/>
      <c r="BF271" s="275"/>
      <c r="BG271" s="275"/>
      <c r="BH271" s="275"/>
      <c r="BI271" s="275"/>
      <c r="BJ271" s="275"/>
    </row>
    <row r="272" spans="1:62">
      <c r="A272" s="595"/>
      <c r="B272" s="242"/>
      <c r="C272" s="243"/>
      <c r="E272" s="260"/>
      <c r="F272" s="275"/>
      <c r="G272" s="275"/>
      <c r="H272" s="275"/>
      <c r="I272" s="276"/>
      <c r="J272" s="260"/>
      <c r="K272" s="260"/>
      <c r="L272" s="260"/>
      <c r="M272" s="260"/>
      <c r="N272" s="260"/>
      <c r="O272" s="260"/>
      <c r="P272" s="260"/>
      <c r="Q272" s="260"/>
      <c r="R272" s="260"/>
      <c r="S272" s="260"/>
      <c r="T272" s="260"/>
      <c r="U272" s="260"/>
      <c r="V272" s="260"/>
      <c r="W272" s="260"/>
      <c r="X272" s="260"/>
      <c r="Y272" s="260"/>
      <c r="Z272" s="260"/>
      <c r="AA272" s="260"/>
      <c r="AB272" s="260"/>
      <c r="AC272" s="260"/>
      <c r="AD272" s="260"/>
      <c r="AE272" s="260"/>
      <c r="AF272" s="260"/>
      <c r="AG272" s="260"/>
      <c r="AH272" s="260"/>
      <c r="AI272" s="260"/>
      <c r="AJ272" s="260"/>
      <c r="AK272" s="260"/>
      <c r="AL272" s="260"/>
      <c r="AM272" s="275"/>
      <c r="AN272" s="275"/>
      <c r="AO272" s="275"/>
      <c r="AP272" s="275"/>
      <c r="AQ272" s="275"/>
      <c r="AR272" s="275"/>
      <c r="AS272" s="275"/>
      <c r="AT272" s="275"/>
      <c r="AU272" s="275"/>
      <c r="AV272" s="275"/>
      <c r="AW272" s="275"/>
      <c r="AX272" s="275"/>
      <c r="AY272" s="275"/>
      <c r="AZ272" s="275"/>
      <c r="BA272" s="275"/>
      <c r="BB272" s="275"/>
      <c r="BC272" s="275"/>
      <c r="BD272" s="275"/>
      <c r="BE272" s="275"/>
      <c r="BF272" s="275"/>
      <c r="BG272" s="275"/>
      <c r="BH272" s="275"/>
      <c r="BI272" s="275"/>
      <c r="BJ272" s="275"/>
    </row>
    <row r="273" spans="1:62">
      <c r="A273" s="595"/>
      <c r="B273" s="242"/>
      <c r="C273" s="243"/>
      <c r="E273" s="260"/>
      <c r="F273" s="275"/>
      <c r="G273" s="275"/>
      <c r="H273" s="275"/>
      <c r="I273" s="276"/>
      <c r="J273" s="260"/>
      <c r="K273" s="260"/>
      <c r="L273" s="260"/>
      <c r="M273" s="260"/>
      <c r="N273" s="260"/>
      <c r="O273" s="260"/>
      <c r="P273" s="260"/>
      <c r="Q273" s="260"/>
      <c r="R273" s="260"/>
      <c r="S273" s="260"/>
      <c r="T273" s="260"/>
      <c r="U273" s="260"/>
      <c r="V273" s="260"/>
      <c r="W273" s="260"/>
      <c r="X273" s="260"/>
      <c r="Y273" s="260"/>
      <c r="Z273" s="260"/>
      <c r="AA273" s="260"/>
      <c r="AB273" s="260"/>
      <c r="AC273" s="260"/>
      <c r="AD273" s="260"/>
      <c r="AE273" s="260"/>
      <c r="AF273" s="260"/>
      <c r="AG273" s="260"/>
      <c r="AH273" s="260"/>
      <c r="AI273" s="260"/>
      <c r="AJ273" s="260"/>
      <c r="AK273" s="260"/>
      <c r="AL273" s="260"/>
      <c r="AM273" s="275"/>
      <c r="AN273" s="275"/>
      <c r="AO273" s="275"/>
      <c r="AP273" s="275"/>
      <c r="AQ273" s="275"/>
      <c r="AR273" s="275"/>
      <c r="AS273" s="275"/>
      <c r="AT273" s="275"/>
      <c r="AU273" s="275"/>
      <c r="AV273" s="275"/>
      <c r="AW273" s="275"/>
      <c r="AX273" s="275"/>
      <c r="AY273" s="275"/>
      <c r="AZ273" s="275"/>
      <c r="BA273" s="275"/>
      <c r="BB273" s="275"/>
      <c r="BC273" s="275"/>
      <c r="BD273" s="275"/>
      <c r="BE273" s="275"/>
      <c r="BF273" s="275"/>
      <c r="BG273" s="275"/>
      <c r="BH273" s="275"/>
      <c r="BI273" s="275"/>
      <c r="BJ273" s="275"/>
    </row>
    <row r="274" spans="1:62">
      <c r="A274" s="595"/>
      <c r="B274" s="242"/>
      <c r="C274" s="243"/>
      <c r="E274" s="260"/>
      <c r="F274" s="275"/>
      <c r="G274" s="275"/>
      <c r="H274" s="275"/>
      <c r="I274" s="276"/>
      <c r="J274" s="260"/>
      <c r="K274" s="260"/>
      <c r="L274" s="260"/>
      <c r="M274" s="260"/>
      <c r="N274" s="260"/>
      <c r="O274" s="260"/>
      <c r="P274" s="260"/>
      <c r="Q274" s="260"/>
      <c r="R274" s="260"/>
      <c r="S274" s="260"/>
      <c r="T274" s="260"/>
      <c r="U274" s="260"/>
      <c r="V274" s="260"/>
      <c r="W274" s="260"/>
      <c r="X274" s="260"/>
      <c r="Y274" s="260"/>
      <c r="Z274" s="260"/>
      <c r="AA274" s="260"/>
      <c r="AB274" s="260"/>
      <c r="AC274" s="260"/>
      <c r="AD274" s="260"/>
      <c r="AE274" s="260"/>
      <c r="AF274" s="260"/>
      <c r="AG274" s="260"/>
      <c r="AH274" s="260"/>
      <c r="AI274" s="260"/>
      <c r="AJ274" s="260"/>
      <c r="AK274" s="260"/>
      <c r="AL274" s="260"/>
      <c r="AM274" s="275"/>
      <c r="AN274" s="275"/>
      <c r="AO274" s="275"/>
      <c r="AP274" s="275"/>
      <c r="AQ274" s="275"/>
      <c r="AR274" s="275"/>
      <c r="AS274" s="275"/>
      <c r="AT274" s="275"/>
      <c r="AU274" s="275"/>
      <c r="AV274" s="275"/>
      <c r="AW274" s="275"/>
      <c r="AX274" s="275"/>
      <c r="AY274" s="275"/>
      <c r="AZ274" s="275"/>
      <c r="BA274" s="275"/>
      <c r="BB274" s="275"/>
      <c r="BC274" s="275"/>
      <c r="BD274" s="275"/>
      <c r="BE274" s="275"/>
      <c r="BF274" s="275"/>
      <c r="BG274" s="275"/>
      <c r="BH274" s="275"/>
      <c r="BI274" s="275"/>
      <c r="BJ274" s="275"/>
    </row>
    <row r="275" spans="1:62">
      <c r="A275" s="595"/>
      <c r="B275" s="242"/>
      <c r="C275" s="243"/>
      <c r="E275" s="260"/>
      <c r="F275" s="275"/>
      <c r="G275" s="275"/>
      <c r="H275" s="275"/>
      <c r="I275" s="276"/>
      <c r="J275" s="260"/>
      <c r="K275" s="260"/>
      <c r="L275" s="260"/>
      <c r="M275" s="260"/>
      <c r="N275" s="260"/>
      <c r="O275" s="260"/>
      <c r="P275" s="260"/>
      <c r="Q275" s="260"/>
      <c r="R275" s="260"/>
      <c r="S275" s="260"/>
      <c r="T275" s="260"/>
      <c r="U275" s="260"/>
      <c r="V275" s="260"/>
      <c r="W275" s="260"/>
      <c r="X275" s="260"/>
      <c r="Y275" s="260"/>
      <c r="Z275" s="260"/>
      <c r="AA275" s="260"/>
      <c r="AB275" s="260"/>
      <c r="AC275" s="260"/>
      <c r="AD275" s="260"/>
      <c r="AE275" s="260"/>
      <c r="AF275" s="260"/>
      <c r="AG275" s="260"/>
      <c r="AH275" s="260"/>
      <c r="AI275" s="260"/>
      <c r="AJ275" s="260"/>
      <c r="AK275" s="260"/>
      <c r="AL275" s="260"/>
      <c r="AM275" s="275"/>
      <c r="AN275" s="275"/>
      <c r="AO275" s="275"/>
      <c r="AP275" s="275"/>
      <c r="AQ275" s="275"/>
      <c r="AR275" s="275"/>
      <c r="AS275" s="275"/>
      <c r="AT275" s="275"/>
      <c r="AU275" s="275"/>
      <c r="AV275" s="275"/>
      <c r="AW275" s="275"/>
      <c r="AX275" s="275"/>
      <c r="AY275" s="275"/>
      <c r="AZ275" s="275"/>
      <c r="BA275" s="275"/>
      <c r="BB275" s="275"/>
      <c r="BC275" s="275"/>
      <c r="BD275" s="275"/>
      <c r="BE275" s="275"/>
      <c r="BF275" s="275"/>
      <c r="BG275" s="275"/>
      <c r="BH275" s="275"/>
      <c r="BI275" s="275"/>
      <c r="BJ275" s="275"/>
    </row>
    <row r="276" spans="1:62">
      <c r="A276" s="595"/>
      <c r="B276" s="242"/>
      <c r="C276" s="243"/>
      <c r="E276" s="260"/>
      <c r="F276" s="275"/>
      <c r="G276" s="275"/>
      <c r="H276" s="275"/>
      <c r="I276" s="276"/>
      <c r="J276" s="260"/>
      <c r="K276" s="260"/>
      <c r="L276" s="260"/>
      <c r="M276" s="260"/>
      <c r="N276" s="260"/>
      <c r="O276" s="260"/>
      <c r="P276" s="260"/>
      <c r="Q276" s="260"/>
      <c r="R276" s="260"/>
      <c r="S276" s="260"/>
      <c r="T276" s="260"/>
      <c r="U276" s="260"/>
      <c r="V276" s="260"/>
      <c r="W276" s="260"/>
      <c r="X276" s="260"/>
      <c r="Y276" s="260"/>
      <c r="Z276" s="260"/>
      <c r="AA276" s="260"/>
      <c r="AB276" s="260"/>
      <c r="AC276" s="260"/>
      <c r="AD276" s="260"/>
      <c r="AE276" s="260"/>
      <c r="AF276" s="260"/>
      <c r="AG276" s="260"/>
      <c r="AH276" s="260"/>
      <c r="AI276" s="260"/>
      <c r="AJ276" s="260"/>
      <c r="AK276" s="260"/>
      <c r="AL276" s="260"/>
      <c r="AM276" s="275"/>
      <c r="AN276" s="275"/>
      <c r="AO276" s="275"/>
      <c r="AP276" s="275"/>
      <c r="AQ276" s="275"/>
      <c r="AR276" s="275"/>
      <c r="AS276" s="275"/>
      <c r="AT276" s="275"/>
      <c r="AU276" s="275"/>
      <c r="AV276" s="275"/>
      <c r="AW276" s="275"/>
      <c r="AX276" s="275"/>
      <c r="AY276" s="275"/>
      <c r="AZ276" s="275"/>
      <c r="BA276" s="275"/>
      <c r="BB276" s="275"/>
      <c r="BC276" s="275"/>
      <c r="BD276" s="275"/>
      <c r="BE276" s="275"/>
      <c r="BF276" s="275"/>
      <c r="BG276" s="275"/>
      <c r="BH276" s="275"/>
      <c r="BI276" s="275"/>
      <c r="BJ276" s="275"/>
    </row>
    <row r="277" spans="1:62">
      <c r="A277" s="595"/>
      <c r="B277" s="242"/>
      <c r="C277" s="243"/>
      <c r="E277" s="260"/>
      <c r="F277" s="275"/>
      <c r="G277" s="275"/>
      <c r="H277" s="275"/>
      <c r="I277" s="276"/>
      <c r="J277" s="260"/>
      <c r="K277" s="260"/>
      <c r="L277" s="260"/>
      <c r="M277" s="260"/>
      <c r="N277" s="260"/>
      <c r="O277" s="260"/>
      <c r="P277" s="260"/>
      <c r="Q277" s="260"/>
      <c r="R277" s="260"/>
      <c r="S277" s="260"/>
      <c r="T277" s="260"/>
      <c r="U277" s="260"/>
      <c r="V277" s="260"/>
      <c r="W277" s="260"/>
      <c r="X277" s="260"/>
      <c r="Y277" s="260"/>
      <c r="Z277" s="260"/>
      <c r="AA277" s="260"/>
      <c r="AB277" s="260"/>
      <c r="AC277" s="260"/>
      <c r="AD277" s="260"/>
      <c r="AE277" s="260"/>
      <c r="AF277" s="260"/>
      <c r="AG277" s="260"/>
      <c r="AH277" s="260"/>
      <c r="AI277" s="260"/>
      <c r="AJ277" s="260"/>
      <c r="AK277" s="260"/>
      <c r="AL277" s="260"/>
      <c r="AM277" s="275"/>
      <c r="AN277" s="275"/>
      <c r="AO277" s="275"/>
      <c r="AP277" s="275"/>
      <c r="AQ277" s="275"/>
      <c r="AR277" s="275"/>
      <c r="AS277" s="275"/>
      <c r="AT277" s="275"/>
      <c r="AU277" s="275"/>
      <c r="AV277" s="275"/>
      <c r="AW277" s="275"/>
      <c r="AX277" s="275"/>
      <c r="AY277" s="275"/>
      <c r="AZ277" s="275"/>
      <c r="BA277" s="275"/>
      <c r="BB277" s="275"/>
      <c r="BC277" s="275"/>
      <c r="BD277" s="275"/>
      <c r="BE277" s="275"/>
      <c r="BF277" s="275"/>
      <c r="BG277" s="275"/>
      <c r="BH277" s="275"/>
      <c r="BI277" s="275"/>
      <c r="BJ277" s="275"/>
    </row>
    <row r="278" spans="1:62">
      <c r="A278" s="595"/>
      <c r="B278" s="242"/>
      <c r="C278" s="243"/>
      <c r="E278" s="260"/>
      <c r="F278" s="275"/>
      <c r="G278" s="275"/>
      <c r="H278" s="275"/>
      <c r="I278" s="276"/>
      <c r="J278" s="260"/>
      <c r="K278" s="260"/>
      <c r="L278" s="260"/>
      <c r="M278" s="260"/>
      <c r="N278" s="260"/>
      <c r="O278" s="260"/>
      <c r="P278" s="260"/>
      <c r="Q278" s="260"/>
      <c r="R278" s="260"/>
      <c r="S278" s="260"/>
      <c r="T278" s="260"/>
      <c r="U278" s="260"/>
      <c r="V278" s="260"/>
      <c r="W278" s="260"/>
      <c r="X278" s="260"/>
      <c r="Y278" s="260"/>
      <c r="Z278" s="260"/>
      <c r="AA278" s="260"/>
      <c r="AB278" s="260"/>
      <c r="AC278" s="260"/>
      <c r="AD278" s="260"/>
      <c r="AE278" s="260"/>
      <c r="AF278" s="260"/>
      <c r="AG278" s="260"/>
      <c r="AH278" s="260"/>
      <c r="AI278" s="260"/>
      <c r="AJ278" s="260"/>
      <c r="AK278" s="260"/>
      <c r="AL278" s="260"/>
      <c r="AM278" s="275"/>
      <c r="AN278" s="275"/>
      <c r="AO278" s="275"/>
      <c r="AP278" s="275"/>
      <c r="AQ278" s="275"/>
      <c r="AR278" s="275"/>
      <c r="AS278" s="275"/>
      <c r="AT278" s="275"/>
      <c r="AU278" s="275"/>
      <c r="AV278" s="275"/>
      <c r="AW278" s="275"/>
      <c r="AX278" s="275"/>
      <c r="AY278" s="275"/>
      <c r="AZ278" s="275"/>
      <c r="BA278" s="275"/>
      <c r="BB278" s="275"/>
      <c r="BC278" s="275"/>
      <c r="BD278" s="275"/>
      <c r="BE278" s="275"/>
      <c r="BF278" s="275"/>
      <c r="BG278" s="275"/>
      <c r="BH278" s="275"/>
      <c r="BI278" s="275"/>
      <c r="BJ278" s="275"/>
    </row>
    <row r="279" spans="1:62">
      <c r="A279" s="595"/>
      <c r="B279" s="242"/>
      <c r="C279" s="243"/>
      <c r="E279" s="260"/>
      <c r="F279" s="275"/>
      <c r="G279" s="275"/>
      <c r="H279" s="275"/>
      <c r="I279" s="276"/>
      <c r="J279" s="260"/>
      <c r="K279" s="260"/>
      <c r="L279" s="260"/>
      <c r="M279" s="260"/>
      <c r="N279" s="260"/>
      <c r="O279" s="260"/>
      <c r="P279" s="260"/>
      <c r="Q279" s="260"/>
      <c r="R279" s="260"/>
      <c r="S279" s="260"/>
      <c r="T279" s="260"/>
      <c r="U279" s="260"/>
      <c r="V279" s="260"/>
      <c r="W279" s="260"/>
      <c r="X279" s="260"/>
      <c r="Y279" s="260"/>
      <c r="Z279" s="260"/>
      <c r="AA279" s="260"/>
      <c r="AB279" s="260"/>
      <c r="AC279" s="260"/>
      <c r="AD279" s="260"/>
      <c r="AE279" s="260"/>
      <c r="AF279" s="260"/>
      <c r="AG279" s="260"/>
      <c r="AH279" s="260"/>
      <c r="AI279" s="260"/>
      <c r="AJ279" s="260"/>
      <c r="AK279" s="260"/>
      <c r="AL279" s="260"/>
      <c r="AM279" s="275"/>
      <c r="AN279" s="275"/>
      <c r="AO279" s="275"/>
      <c r="AP279" s="275"/>
      <c r="AQ279" s="275"/>
      <c r="AR279" s="275"/>
      <c r="AS279" s="275"/>
      <c r="AT279" s="275"/>
      <c r="AU279" s="275"/>
      <c r="AV279" s="275"/>
      <c r="AW279" s="275"/>
      <c r="AX279" s="275"/>
      <c r="AY279" s="275"/>
      <c r="AZ279" s="275"/>
      <c r="BA279" s="275"/>
      <c r="BB279" s="275"/>
      <c r="BC279" s="275"/>
      <c r="BD279" s="275"/>
      <c r="BE279" s="275"/>
      <c r="BF279" s="275"/>
      <c r="BG279" s="275"/>
      <c r="BH279" s="275"/>
      <c r="BI279" s="275"/>
      <c r="BJ279" s="275"/>
    </row>
    <row r="280" spans="1:62">
      <c r="A280" s="595"/>
      <c r="B280" s="242"/>
      <c r="C280" s="243"/>
      <c r="E280" s="260"/>
      <c r="F280" s="275"/>
      <c r="G280" s="275"/>
      <c r="H280" s="275"/>
      <c r="I280" s="276"/>
      <c r="J280" s="260"/>
      <c r="K280" s="260"/>
      <c r="L280" s="260"/>
      <c r="M280" s="260"/>
      <c r="N280" s="260"/>
      <c r="O280" s="260"/>
      <c r="P280" s="260"/>
      <c r="Q280" s="260"/>
      <c r="R280" s="260"/>
      <c r="S280" s="260"/>
      <c r="T280" s="260"/>
      <c r="U280" s="260"/>
      <c r="V280" s="260"/>
      <c r="W280" s="260"/>
      <c r="X280" s="260"/>
      <c r="Y280" s="260"/>
      <c r="Z280" s="260"/>
      <c r="AA280" s="260"/>
      <c r="AB280" s="260"/>
      <c r="AC280" s="260"/>
      <c r="AD280" s="260"/>
      <c r="AE280" s="260"/>
      <c r="AF280" s="260"/>
      <c r="AG280" s="260"/>
      <c r="AH280" s="260"/>
      <c r="AI280" s="260"/>
      <c r="AJ280" s="260"/>
      <c r="AK280" s="260"/>
      <c r="AL280" s="260"/>
      <c r="AM280" s="275"/>
      <c r="AN280" s="275"/>
      <c r="AO280" s="275"/>
      <c r="AP280" s="275"/>
      <c r="AQ280" s="275"/>
      <c r="AR280" s="275"/>
      <c r="AS280" s="275"/>
      <c r="AT280" s="275"/>
      <c r="AU280" s="275"/>
      <c r="AV280" s="275"/>
      <c r="AW280" s="275"/>
      <c r="AX280" s="275"/>
      <c r="AY280" s="275"/>
      <c r="AZ280" s="275"/>
      <c r="BA280" s="275"/>
      <c r="BB280" s="275"/>
      <c r="BC280" s="275"/>
      <c r="BD280" s="275"/>
      <c r="BE280" s="275"/>
      <c r="BF280" s="275"/>
      <c r="BG280" s="275"/>
      <c r="BH280" s="275"/>
      <c r="BI280" s="275"/>
      <c r="BJ280" s="275"/>
    </row>
    <row r="281" spans="1:62">
      <c r="A281" s="595"/>
      <c r="B281" s="242"/>
      <c r="C281" s="243"/>
      <c r="E281" s="260"/>
      <c r="F281" s="275"/>
      <c r="G281" s="275"/>
      <c r="H281" s="275"/>
      <c r="I281" s="276"/>
      <c r="J281" s="260"/>
      <c r="K281" s="260"/>
      <c r="L281" s="260"/>
      <c r="M281" s="260"/>
      <c r="N281" s="260"/>
      <c r="O281" s="260"/>
      <c r="P281" s="260"/>
      <c r="Q281" s="260"/>
      <c r="R281" s="260"/>
      <c r="S281" s="260"/>
      <c r="T281" s="260"/>
      <c r="U281" s="260"/>
      <c r="V281" s="260"/>
      <c r="W281" s="260"/>
      <c r="X281" s="260"/>
      <c r="Y281" s="260"/>
      <c r="Z281" s="260"/>
      <c r="AA281" s="260"/>
      <c r="AB281" s="260"/>
      <c r="AC281" s="260"/>
      <c r="AD281" s="260"/>
      <c r="AE281" s="260"/>
      <c r="AF281" s="260"/>
      <c r="AG281" s="260"/>
      <c r="AH281" s="260"/>
      <c r="AI281" s="260"/>
      <c r="AJ281" s="260"/>
      <c r="AK281" s="260"/>
      <c r="AL281" s="260"/>
      <c r="AM281" s="275"/>
      <c r="AN281" s="275"/>
      <c r="AO281" s="275"/>
      <c r="AP281" s="275"/>
      <c r="AQ281" s="275"/>
      <c r="AR281" s="275"/>
      <c r="AS281" s="275"/>
      <c r="AT281" s="275"/>
      <c r="AU281" s="275"/>
      <c r="AV281" s="275"/>
      <c r="AW281" s="275"/>
      <c r="AX281" s="275"/>
      <c r="AY281" s="275"/>
      <c r="AZ281" s="275"/>
      <c r="BA281" s="275"/>
      <c r="BB281" s="275"/>
      <c r="BC281" s="275"/>
      <c r="BD281" s="275"/>
      <c r="BE281" s="275"/>
      <c r="BF281" s="275"/>
      <c r="BG281" s="275"/>
      <c r="BH281" s="275"/>
      <c r="BI281" s="275"/>
      <c r="BJ281" s="275"/>
    </row>
    <row r="282" spans="1:62">
      <c r="A282" s="595"/>
      <c r="B282" s="242"/>
      <c r="C282" s="243"/>
      <c r="E282" s="260"/>
      <c r="F282" s="275"/>
      <c r="G282" s="275"/>
      <c r="H282" s="275"/>
      <c r="I282" s="276"/>
      <c r="J282" s="260"/>
      <c r="K282" s="260"/>
      <c r="L282" s="260"/>
      <c r="M282" s="260"/>
      <c r="N282" s="260"/>
      <c r="O282" s="260"/>
      <c r="P282" s="260"/>
      <c r="Q282" s="260"/>
      <c r="R282" s="260"/>
      <c r="S282" s="260"/>
      <c r="T282" s="260"/>
      <c r="U282" s="260"/>
      <c r="V282" s="260"/>
      <c r="W282" s="260"/>
      <c r="X282" s="260"/>
      <c r="Y282" s="260"/>
      <c r="Z282" s="260"/>
      <c r="AA282" s="260"/>
      <c r="AB282" s="260"/>
      <c r="AC282" s="260"/>
      <c r="AD282" s="260"/>
      <c r="AE282" s="260"/>
      <c r="AF282" s="260"/>
      <c r="AG282" s="260"/>
      <c r="AH282" s="260"/>
      <c r="AI282" s="260"/>
      <c r="AJ282" s="260"/>
      <c r="AK282" s="260"/>
      <c r="AL282" s="260"/>
      <c r="AM282" s="275"/>
      <c r="AN282" s="275"/>
      <c r="AO282" s="275"/>
      <c r="AP282" s="275"/>
      <c r="AQ282" s="275"/>
      <c r="AR282" s="275"/>
      <c r="AS282" s="275"/>
      <c r="AT282" s="275"/>
      <c r="AU282" s="275"/>
      <c r="AV282" s="275"/>
      <c r="AW282" s="275"/>
      <c r="AX282" s="275"/>
      <c r="AY282" s="275"/>
      <c r="AZ282" s="275"/>
      <c r="BA282" s="275"/>
      <c r="BB282" s="275"/>
      <c r="BC282" s="275"/>
      <c r="BD282" s="275"/>
      <c r="BE282" s="275"/>
      <c r="BF282" s="275"/>
      <c r="BG282" s="275"/>
      <c r="BH282" s="275"/>
      <c r="BI282" s="275"/>
      <c r="BJ282" s="275"/>
    </row>
    <row r="283" spans="1:62">
      <c r="A283" s="595"/>
      <c r="B283" s="242"/>
      <c r="C283" s="243"/>
      <c r="E283" s="260"/>
      <c r="F283" s="275"/>
      <c r="G283" s="275"/>
      <c r="H283" s="275"/>
      <c r="I283" s="276"/>
      <c r="J283" s="260"/>
      <c r="K283" s="260"/>
      <c r="L283" s="260"/>
      <c r="M283" s="260"/>
      <c r="N283" s="260"/>
      <c r="O283" s="260"/>
      <c r="P283" s="260"/>
      <c r="Q283" s="260"/>
      <c r="R283" s="260"/>
      <c r="S283" s="260"/>
      <c r="T283" s="260"/>
      <c r="U283" s="260"/>
      <c r="V283" s="260"/>
      <c r="W283" s="260"/>
      <c r="X283" s="260"/>
      <c r="Y283" s="260"/>
      <c r="Z283" s="260"/>
      <c r="AA283" s="260"/>
      <c r="AB283" s="260"/>
      <c r="AC283" s="260"/>
      <c r="AD283" s="260"/>
      <c r="AE283" s="260"/>
      <c r="AF283" s="260"/>
      <c r="AG283" s="260"/>
      <c r="AH283" s="260"/>
      <c r="AI283" s="260"/>
      <c r="AJ283" s="260"/>
      <c r="AK283" s="260"/>
      <c r="AL283" s="260"/>
      <c r="AM283" s="275"/>
      <c r="AN283" s="275"/>
      <c r="AO283" s="275"/>
      <c r="AP283" s="275"/>
      <c r="AQ283" s="275"/>
      <c r="AR283" s="275"/>
      <c r="AS283" s="275"/>
      <c r="AT283" s="275"/>
      <c r="AU283" s="275"/>
      <c r="AV283" s="275"/>
      <c r="AW283" s="275"/>
      <c r="AX283" s="275"/>
      <c r="AY283" s="275"/>
      <c r="AZ283" s="275"/>
      <c r="BA283" s="275"/>
      <c r="BB283" s="275"/>
      <c r="BC283" s="275"/>
      <c r="BD283" s="275"/>
      <c r="BE283" s="275"/>
      <c r="BF283" s="275"/>
      <c r="BG283" s="275"/>
      <c r="BH283" s="275"/>
      <c r="BI283" s="275"/>
      <c r="BJ283" s="275"/>
    </row>
    <row r="284" spans="1:62">
      <c r="A284" s="595"/>
      <c r="B284" s="242"/>
      <c r="C284" s="243"/>
      <c r="E284" s="260"/>
      <c r="F284" s="275"/>
      <c r="G284" s="275"/>
      <c r="H284" s="275"/>
      <c r="I284" s="276"/>
      <c r="J284" s="260"/>
      <c r="K284" s="260"/>
      <c r="L284" s="260"/>
      <c r="M284" s="260"/>
      <c r="N284" s="260"/>
      <c r="O284" s="260"/>
      <c r="P284" s="260"/>
      <c r="Q284" s="260"/>
      <c r="R284" s="260"/>
      <c r="S284" s="260"/>
      <c r="T284" s="260"/>
      <c r="U284" s="260"/>
      <c r="V284" s="260"/>
      <c r="W284" s="260"/>
      <c r="X284" s="260"/>
      <c r="Y284" s="260"/>
      <c r="Z284" s="260"/>
      <c r="AA284" s="260"/>
      <c r="AB284" s="260"/>
      <c r="AC284" s="260"/>
      <c r="AD284" s="260"/>
      <c r="AE284" s="260"/>
      <c r="AF284" s="260"/>
      <c r="AG284" s="260"/>
      <c r="AH284" s="260"/>
      <c r="AI284" s="260"/>
      <c r="AJ284" s="260"/>
      <c r="AK284" s="260"/>
      <c r="AL284" s="260"/>
      <c r="AM284" s="275"/>
      <c r="AN284" s="275"/>
      <c r="AO284" s="275"/>
      <c r="AP284" s="275"/>
      <c r="AQ284" s="275"/>
      <c r="AR284" s="275"/>
      <c r="AS284" s="275"/>
      <c r="AT284" s="275"/>
      <c r="AU284" s="275"/>
      <c r="AV284" s="275"/>
      <c r="AW284" s="275"/>
      <c r="AX284" s="275"/>
      <c r="AY284" s="275"/>
      <c r="AZ284" s="275"/>
      <c r="BA284" s="275"/>
      <c r="BB284" s="275"/>
      <c r="BC284" s="275"/>
      <c r="BD284" s="275"/>
      <c r="BE284" s="275"/>
      <c r="BF284" s="275"/>
      <c r="BG284" s="275"/>
      <c r="BH284" s="275"/>
      <c r="BI284" s="275"/>
      <c r="BJ284" s="275"/>
    </row>
    <row r="285" spans="1:62">
      <c r="A285" s="595"/>
      <c r="B285" s="242"/>
      <c r="C285" s="243"/>
      <c r="E285" s="260"/>
      <c r="F285" s="275"/>
      <c r="G285" s="275"/>
      <c r="H285" s="275"/>
      <c r="I285" s="276"/>
      <c r="J285" s="260"/>
      <c r="K285" s="260"/>
      <c r="L285" s="260"/>
      <c r="M285" s="260"/>
      <c r="N285" s="260"/>
      <c r="O285" s="260"/>
      <c r="P285" s="260"/>
      <c r="Q285" s="260"/>
      <c r="R285" s="260"/>
      <c r="S285" s="260"/>
      <c r="T285" s="260"/>
      <c r="U285" s="260"/>
      <c r="V285" s="260"/>
      <c r="W285" s="260"/>
      <c r="X285" s="260"/>
      <c r="Y285" s="260"/>
      <c r="Z285" s="260"/>
      <c r="AA285" s="260"/>
      <c r="AB285" s="260"/>
      <c r="AC285" s="260"/>
      <c r="AD285" s="260"/>
      <c r="AE285" s="260"/>
      <c r="AF285" s="260"/>
      <c r="AG285" s="260"/>
      <c r="AH285" s="260"/>
      <c r="AI285" s="260"/>
      <c r="AJ285" s="260"/>
      <c r="AK285" s="260"/>
      <c r="AL285" s="260"/>
      <c r="AM285" s="275"/>
      <c r="AN285" s="275"/>
      <c r="AO285" s="275"/>
      <c r="AP285" s="275"/>
      <c r="AQ285" s="275"/>
      <c r="AR285" s="275"/>
      <c r="AS285" s="275"/>
      <c r="AT285" s="275"/>
      <c r="AU285" s="275"/>
      <c r="AV285" s="275"/>
      <c r="AW285" s="275"/>
      <c r="AX285" s="275"/>
      <c r="AY285" s="275"/>
      <c r="AZ285" s="275"/>
      <c r="BA285" s="275"/>
      <c r="BB285" s="275"/>
      <c r="BC285" s="275"/>
      <c r="BD285" s="275"/>
      <c r="BE285" s="275"/>
      <c r="BF285" s="275"/>
      <c r="BG285" s="275"/>
      <c r="BH285" s="275"/>
      <c r="BI285" s="275"/>
      <c r="BJ285" s="275"/>
    </row>
    <row r="286" spans="1:62">
      <c r="A286" s="595"/>
      <c r="B286" s="242"/>
      <c r="C286" s="243"/>
      <c r="E286" s="260"/>
      <c r="F286" s="275"/>
      <c r="G286" s="275"/>
      <c r="H286" s="275"/>
      <c r="I286" s="276"/>
      <c r="J286" s="260"/>
      <c r="K286" s="260"/>
      <c r="L286" s="260"/>
      <c r="M286" s="260"/>
      <c r="N286" s="260"/>
      <c r="O286" s="260"/>
      <c r="P286" s="260"/>
      <c r="Q286" s="260"/>
      <c r="R286" s="260"/>
      <c r="S286" s="260"/>
      <c r="T286" s="260"/>
      <c r="U286" s="260"/>
      <c r="V286" s="260"/>
      <c r="W286" s="260"/>
      <c r="X286" s="260"/>
      <c r="Y286" s="260"/>
      <c r="Z286" s="260"/>
      <c r="AA286" s="260"/>
      <c r="AB286" s="260"/>
      <c r="AC286" s="260"/>
      <c r="AD286" s="260"/>
      <c r="AE286" s="260"/>
      <c r="AF286" s="260"/>
      <c r="AG286" s="260"/>
      <c r="AH286" s="260"/>
      <c r="AI286" s="260"/>
      <c r="AJ286" s="260"/>
      <c r="AK286" s="260"/>
      <c r="AL286" s="260"/>
      <c r="AM286" s="275"/>
      <c r="AN286" s="275"/>
      <c r="AO286" s="275"/>
      <c r="AP286" s="275"/>
      <c r="AQ286" s="275"/>
      <c r="AR286" s="275"/>
      <c r="AS286" s="275"/>
      <c r="AT286" s="275"/>
      <c r="AU286" s="275"/>
      <c r="AV286" s="275"/>
      <c r="AW286" s="275"/>
      <c r="AX286" s="275"/>
      <c r="AY286" s="275"/>
      <c r="AZ286" s="275"/>
      <c r="BA286" s="275"/>
      <c r="BB286" s="275"/>
      <c r="BC286" s="275"/>
      <c r="BD286" s="275"/>
      <c r="BE286" s="275"/>
      <c r="BF286" s="275"/>
      <c r="BG286" s="275"/>
      <c r="BH286" s="275"/>
      <c r="BI286" s="275"/>
      <c r="BJ286" s="275"/>
    </row>
    <row r="287" spans="1:62">
      <c r="A287" s="595"/>
      <c r="B287" s="242"/>
      <c r="C287" s="243"/>
      <c r="E287" s="260"/>
      <c r="F287" s="275"/>
      <c r="G287" s="275"/>
      <c r="H287" s="275"/>
      <c r="I287" s="276"/>
      <c r="J287" s="260"/>
      <c r="K287" s="260"/>
      <c r="L287" s="260"/>
      <c r="M287" s="260"/>
      <c r="N287" s="260"/>
      <c r="O287" s="260"/>
      <c r="P287" s="260"/>
      <c r="Q287" s="260"/>
      <c r="R287" s="260"/>
      <c r="S287" s="260"/>
      <c r="T287" s="260"/>
      <c r="U287" s="260"/>
      <c r="V287" s="260"/>
      <c r="W287" s="260"/>
      <c r="X287" s="260"/>
      <c r="Y287" s="260"/>
      <c r="Z287" s="260"/>
      <c r="AA287" s="260"/>
      <c r="AB287" s="260"/>
      <c r="AC287" s="260"/>
      <c r="AD287" s="260"/>
      <c r="AE287" s="260"/>
      <c r="AF287" s="260"/>
      <c r="AG287" s="260"/>
      <c r="AH287" s="260"/>
      <c r="AI287" s="260"/>
      <c r="AJ287" s="260"/>
      <c r="AK287" s="260"/>
      <c r="AL287" s="260"/>
      <c r="AM287" s="275"/>
      <c r="AN287" s="275"/>
      <c r="AO287" s="275"/>
      <c r="AP287" s="275"/>
      <c r="AQ287" s="275"/>
      <c r="AR287" s="275"/>
      <c r="AS287" s="275"/>
      <c r="AT287" s="275"/>
      <c r="AU287" s="275"/>
      <c r="AV287" s="275"/>
      <c r="AW287" s="275"/>
      <c r="AX287" s="275"/>
      <c r="AY287" s="275"/>
      <c r="AZ287" s="275"/>
      <c r="BA287" s="275"/>
      <c r="BB287" s="275"/>
      <c r="BC287" s="275"/>
      <c r="BD287" s="275"/>
      <c r="BE287" s="275"/>
      <c r="BF287" s="275"/>
      <c r="BG287" s="275"/>
      <c r="BH287" s="275"/>
      <c r="BI287" s="275"/>
      <c r="BJ287" s="275"/>
    </row>
    <row r="288" spans="1:62">
      <c r="A288" s="595"/>
      <c r="B288" s="242"/>
      <c r="C288" s="243"/>
      <c r="E288" s="260"/>
      <c r="F288" s="275"/>
      <c r="G288" s="275"/>
      <c r="H288" s="275"/>
      <c r="I288" s="276"/>
      <c r="J288" s="260"/>
      <c r="K288" s="260"/>
      <c r="L288" s="260"/>
      <c r="M288" s="260"/>
      <c r="N288" s="260"/>
      <c r="O288" s="260"/>
      <c r="P288" s="260"/>
      <c r="Q288" s="260"/>
      <c r="R288" s="260"/>
      <c r="S288" s="260"/>
      <c r="T288" s="260"/>
      <c r="U288" s="260"/>
      <c r="V288" s="260"/>
      <c r="W288" s="260"/>
      <c r="X288" s="260"/>
      <c r="Y288" s="260"/>
      <c r="Z288" s="260"/>
      <c r="AA288" s="260"/>
      <c r="AB288" s="260"/>
      <c r="AC288" s="260"/>
      <c r="AD288" s="260"/>
      <c r="AE288" s="260"/>
      <c r="AF288" s="260"/>
      <c r="AG288" s="260"/>
      <c r="AH288" s="260"/>
      <c r="AI288" s="260"/>
      <c r="AJ288" s="260"/>
      <c r="AK288" s="260"/>
      <c r="AL288" s="260"/>
      <c r="AM288" s="275"/>
      <c r="AN288" s="275"/>
      <c r="AO288" s="275"/>
      <c r="AP288" s="275"/>
      <c r="AQ288" s="275"/>
      <c r="AR288" s="275"/>
      <c r="AS288" s="275"/>
      <c r="AT288" s="275"/>
      <c r="AU288" s="275"/>
      <c r="AV288" s="275"/>
      <c r="AW288" s="275"/>
      <c r="AX288" s="275"/>
      <c r="AY288" s="275"/>
      <c r="AZ288" s="275"/>
      <c r="BA288" s="275"/>
      <c r="BB288" s="275"/>
      <c r="BC288" s="275"/>
      <c r="BD288" s="275"/>
      <c r="BE288" s="275"/>
      <c r="BF288" s="275"/>
      <c r="BG288" s="275"/>
      <c r="BH288" s="275"/>
      <c r="BI288" s="275"/>
      <c r="BJ288" s="275"/>
    </row>
    <row r="289" spans="1:62">
      <c r="A289" s="595"/>
      <c r="B289" s="242"/>
      <c r="C289" s="243"/>
      <c r="E289" s="260"/>
      <c r="F289" s="275"/>
      <c r="G289" s="275"/>
      <c r="H289" s="275"/>
      <c r="I289" s="276"/>
      <c r="J289" s="260"/>
      <c r="K289" s="260"/>
      <c r="L289" s="260"/>
      <c r="M289" s="260"/>
      <c r="N289" s="260"/>
      <c r="O289" s="260"/>
      <c r="P289" s="260"/>
      <c r="Q289" s="260"/>
      <c r="R289" s="260"/>
      <c r="S289" s="260"/>
      <c r="T289" s="260"/>
      <c r="U289" s="260"/>
      <c r="V289" s="260"/>
      <c r="W289" s="260"/>
      <c r="X289" s="260"/>
      <c r="Y289" s="260"/>
      <c r="Z289" s="260"/>
      <c r="AA289" s="260"/>
      <c r="AB289" s="260"/>
      <c r="AC289" s="260"/>
      <c r="AD289" s="260"/>
      <c r="AE289" s="260"/>
      <c r="AF289" s="260"/>
      <c r="AG289" s="260"/>
      <c r="AH289" s="260"/>
      <c r="AI289" s="260"/>
      <c r="AJ289" s="260"/>
      <c r="AK289" s="260"/>
      <c r="AL289" s="260"/>
      <c r="AM289" s="275"/>
      <c r="AN289" s="275"/>
      <c r="AO289" s="275"/>
      <c r="AP289" s="275"/>
      <c r="AQ289" s="275"/>
      <c r="AR289" s="275"/>
      <c r="AS289" s="275"/>
      <c r="AT289" s="275"/>
      <c r="AU289" s="275"/>
      <c r="AV289" s="275"/>
      <c r="AW289" s="275"/>
      <c r="AX289" s="275"/>
      <c r="AY289" s="275"/>
      <c r="AZ289" s="275"/>
      <c r="BA289" s="275"/>
      <c r="BB289" s="275"/>
      <c r="BC289" s="275"/>
      <c r="BD289" s="275"/>
      <c r="BE289" s="275"/>
      <c r="BF289" s="275"/>
      <c r="BG289" s="275"/>
      <c r="BH289" s="275"/>
      <c r="BI289" s="275"/>
      <c r="BJ289" s="275"/>
    </row>
    <row r="290" spans="1:62">
      <c r="A290" s="595"/>
      <c r="B290" s="242"/>
      <c r="C290" s="243"/>
      <c r="E290" s="260"/>
      <c r="F290" s="275"/>
      <c r="G290" s="275"/>
      <c r="H290" s="275"/>
      <c r="I290" s="276"/>
      <c r="J290" s="260"/>
      <c r="K290" s="260"/>
      <c r="L290" s="260"/>
      <c r="M290" s="260"/>
      <c r="N290" s="260"/>
      <c r="O290" s="260"/>
      <c r="P290" s="260"/>
      <c r="Q290" s="260"/>
      <c r="R290" s="260"/>
      <c r="S290" s="260"/>
      <c r="T290" s="260"/>
      <c r="U290" s="260"/>
      <c r="V290" s="260"/>
      <c r="W290" s="260"/>
      <c r="X290" s="260"/>
      <c r="Y290" s="260"/>
      <c r="Z290" s="260"/>
      <c r="AA290" s="260"/>
      <c r="AB290" s="260"/>
      <c r="AC290" s="260"/>
      <c r="AD290" s="260"/>
      <c r="AE290" s="260"/>
      <c r="AF290" s="260"/>
      <c r="AG290" s="260"/>
      <c r="AH290" s="260"/>
      <c r="AI290" s="260"/>
      <c r="AJ290" s="260"/>
      <c r="AK290" s="260"/>
      <c r="AL290" s="260"/>
      <c r="AM290" s="275"/>
      <c r="AN290" s="275"/>
      <c r="AO290" s="275"/>
      <c r="AP290" s="275"/>
      <c r="AQ290" s="275"/>
      <c r="AR290" s="275"/>
      <c r="AS290" s="275"/>
      <c r="AT290" s="275"/>
      <c r="AU290" s="275"/>
      <c r="AV290" s="275"/>
      <c r="AW290" s="275"/>
      <c r="AX290" s="275"/>
      <c r="AY290" s="275"/>
      <c r="AZ290" s="275"/>
      <c r="BA290" s="275"/>
      <c r="BB290" s="275"/>
      <c r="BC290" s="275"/>
      <c r="BD290" s="275"/>
      <c r="BE290" s="275"/>
      <c r="BF290" s="275"/>
      <c r="BG290" s="275"/>
      <c r="BH290" s="275"/>
      <c r="BI290" s="275"/>
      <c r="BJ290" s="275"/>
    </row>
    <row r="291" spans="1:62">
      <c r="A291" s="595"/>
      <c r="B291" s="242"/>
      <c r="C291" s="243"/>
      <c r="E291" s="260"/>
      <c r="F291" s="275"/>
      <c r="G291" s="275"/>
      <c r="H291" s="275"/>
      <c r="I291" s="276"/>
      <c r="J291" s="260"/>
      <c r="K291" s="260"/>
      <c r="L291" s="260"/>
      <c r="M291" s="260"/>
      <c r="N291" s="260"/>
      <c r="O291" s="260"/>
      <c r="P291" s="260"/>
      <c r="Q291" s="260"/>
      <c r="R291" s="260"/>
      <c r="S291" s="260"/>
      <c r="T291" s="260"/>
      <c r="U291" s="260"/>
      <c r="V291" s="260"/>
      <c r="W291" s="260"/>
      <c r="X291" s="260"/>
      <c r="Y291" s="260"/>
      <c r="Z291" s="260"/>
      <c r="AA291" s="260"/>
      <c r="AB291" s="260"/>
      <c r="AC291" s="260"/>
      <c r="AD291" s="260"/>
      <c r="AE291" s="260"/>
      <c r="AF291" s="260"/>
      <c r="AG291" s="260"/>
      <c r="AH291" s="260"/>
      <c r="AI291" s="260"/>
      <c r="AJ291" s="260"/>
      <c r="AK291" s="260"/>
      <c r="AL291" s="260"/>
      <c r="AM291" s="275"/>
      <c r="AN291" s="275"/>
      <c r="AO291" s="275"/>
      <c r="AP291" s="275"/>
      <c r="AQ291" s="275"/>
      <c r="AR291" s="275"/>
      <c r="AS291" s="275"/>
      <c r="AT291" s="275"/>
      <c r="AU291" s="275"/>
      <c r="AV291" s="275"/>
      <c r="AW291" s="275"/>
      <c r="AX291" s="275"/>
      <c r="AY291" s="275"/>
      <c r="AZ291" s="275"/>
      <c r="BA291" s="275"/>
      <c r="BB291" s="275"/>
      <c r="BC291" s="275"/>
      <c r="BD291" s="275"/>
      <c r="BE291" s="275"/>
      <c r="BF291" s="275"/>
      <c r="BG291" s="275"/>
      <c r="BH291" s="275"/>
      <c r="BI291" s="275"/>
      <c r="BJ291" s="275"/>
    </row>
    <row r="292" spans="1:62">
      <c r="A292" s="595"/>
      <c r="B292" s="242"/>
      <c r="C292" s="243"/>
      <c r="E292" s="260"/>
      <c r="F292" s="275"/>
      <c r="G292" s="275"/>
      <c r="H292" s="275"/>
      <c r="I292" s="276"/>
      <c r="J292" s="260"/>
      <c r="K292" s="260"/>
      <c r="L292" s="260"/>
      <c r="M292" s="260"/>
      <c r="N292" s="260"/>
      <c r="O292" s="260"/>
      <c r="P292" s="260"/>
      <c r="Q292" s="260"/>
      <c r="R292" s="260"/>
      <c r="S292" s="260"/>
      <c r="T292" s="260"/>
      <c r="U292" s="260"/>
      <c r="V292" s="260"/>
      <c r="W292" s="260"/>
      <c r="X292" s="260"/>
      <c r="Y292" s="260"/>
      <c r="Z292" s="260"/>
      <c r="AA292" s="260"/>
      <c r="AB292" s="260"/>
      <c r="AC292" s="260"/>
      <c r="AD292" s="260"/>
      <c r="AE292" s="260"/>
      <c r="AF292" s="260"/>
      <c r="AG292" s="260"/>
      <c r="AH292" s="260"/>
      <c r="AI292" s="260"/>
      <c r="AJ292" s="260"/>
      <c r="AK292" s="260"/>
      <c r="AL292" s="260"/>
      <c r="AM292" s="275"/>
      <c r="AN292" s="275"/>
      <c r="AO292" s="275"/>
      <c r="AP292" s="275"/>
      <c r="AQ292" s="275"/>
      <c r="AR292" s="275"/>
      <c r="AS292" s="275"/>
      <c r="AT292" s="275"/>
      <c r="AU292" s="275"/>
      <c r="AV292" s="275"/>
      <c r="AW292" s="275"/>
      <c r="AX292" s="275"/>
      <c r="AY292" s="275"/>
      <c r="AZ292" s="275"/>
      <c r="BA292" s="275"/>
      <c r="BB292" s="275"/>
      <c r="BC292" s="275"/>
      <c r="BD292" s="275"/>
      <c r="BE292" s="275"/>
      <c r="BF292" s="275"/>
      <c r="BG292" s="275"/>
      <c r="BH292" s="275"/>
      <c r="BI292" s="275"/>
      <c r="BJ292" s="275"/>
    </row>
    <row r="293" spans="1:62">
      <c r="A293" s="595"/>
      <c r="B293" s="242"/>
      <c r="C293" s="243"/>
      <c r="E293" s="260"/>
      <c r="F293" s="275"/>
      <c r="G293" s="275"/>
      <c r="H293" s="275"/>
      <c r="I293" s="276"/>
      <c r="J293" s="260"/>
      <c r="K293" s="260"/>
      <c r="L293" s="260"/>
      <c r="M293" s="260"/>
      <c r="N293" s="260"/>
      <c r="O293" s="260"/>
      <c r="P293" s="260"/>
      <c r="Q293" s="260"/>
      <c r="R293" s="260"/>
      <c r="S293" s="260"/>
      <c r="T293" s="260"/>
      <c r="U293" s="260"/>
      <c r="V293" s="260"/>
      <c r="W293" s="260"/>
      <c r="X293" s="260"/>
      <c r="Y293" s="260"/>
      <c r="Z293" s="260"/>
      <c r="AA293" s="260"/>
      <c r="AB293" s="260"/>
      <c r="AC293" s="260"/>
      <c r="AD293" s="260"/>
      <c r="AE293" s="260"/>
      <c r="AF293" s="260"/>
      <c r="AG293" s="260"/>
      <c r="AH293" s="260"/>
      <c r="AI293" s="260"/>
      <c r="AJ293" s="260"/>
      <c r="AK293" s="260"/>
      <c r="AL293" s="260"/>
      <c r="AM293" s="275"/>
      <c r="AN293" s="275"/>
      <c r="AO293" s="275"/>
      <c r="AP293" s="275"/>
      <c r="AQ293" s="275"/>
      <c r="AR293" s="275"/>
      <c r="AS293" s="275"/>
      <c r="AT293" s="275"/>
      <c r="AU293" s="275"/>
      <c r="AV293" s="275"/>
      <c r="AW293" s="275"/>
      <c r="AX293" s="275"/>
      <c r="AY293" s="275"/>
      <c r="AZ293" s="275"/>
      <c r="BA293" s="275"/>
      <c r="BB293" s="275"/>
      <c r="BC293" s="275"/>
      <c r="BD293" s="275"/>
      <c r="BE293" s="275"/>
      <c r="BF293" s="275"/>
      <c r="BG293" s="275"/>
      <c r="BH293" s="275"/>
      <c r="BI293" s="275"/>
      <c r="BJ293" s="275"/>
    </row>
    <row r="294" spans="1:62">
      <c r="A294" s="595"/>
      <c r="B294" s="242"/>
      <c r="C294" s="243"/>
      <c r="E294" s="260"/>
      <c r="F294" s="275"/>
      <c r="G294" s="275"/>
      <c r="H294" s="275"/>
      <c r="I294" s="276"/>
      <c r="J294" s="260"/>
      <c r="K294" s="260"/>
      <c r="L294" s="260"/>
      <c r="M294" s="260"/>
      <c r="N294" s="260"/>
      <c r="O294" s="260"/>
      <c r="P294" s="260"/>
      <c r="Q294" s="260"/>
      <c r="R294" s="260"/>
      <c r="S294" s="260"/>
      <c r="T294" s="260"/>
      <c r="U294" s="260"/>
      <c r="V294" s="260"/>
      <c r="W294" s="260"/>
      <c r="X294" s="260"/>
      <c r="Y294" s="260"/>
      <c r="Z294" s="260"/>
      <c r="AA294" s="260"/>
      <c r="AB294" s="260"/>
      <c r="AC294" s="260"/>
      <c r="AD294" s="260"/>
      <c r="AE294" s="260"/>
      <c r="AF294" s="260"/>
      <c r="AG294" s="260"/>
      <c r="AH294" s="260"/>
      <c r="AI294" s="260"/>
      <c r="AJ294" s="260"/>
      <c r="AK294" s="260"/>
      <c r="AL294" s="260"/>
      <c r="AM294" s="275"/>
      <c r="AN294" s="275"/>
      <c r="AO294" s="275"/>
      <c r="AP294" s="275"/>
      <c r="AQ294" s="275"/>
      <c r="AR294" s="275"/>
      <c r="AS294" s="275"/>
      <c r="AT294" s="275"/>
      <c r="AU294" s="275"/>
      <c r="AV294" s="275"/>
      <c r="AW294" s="275"/>
      <c r="AX294" s="275"/>
      <c r="AY294" s="275"/>
      <c r="AZ294" s="275"/>
      <c r="BA294" s="275"/>
      <c r="BB294" s="275"/>
      <c r="BC294" s="275"/>
      <c r="BD294" s="275"/>
      <c r="BE294" s="275"/>
      <c r="BF294" s="275"/>
      <c r="BG294" s="275"/>
      <c r="BH294" s="275"/>
      <c r="BI294" s="275"/>
      <c r="BJ294" s="275"/>
    </row>
    <row r="295" spans="1:62">
      <c r="A295" s="595"/>
      <c r="B295" s="242"/>
      <c r="C295" s="243"/>
      <c r="E295" s="260"/>
      <c r="F295" s="275"/>
      <c r="G295" s="275"/>
      <c r="H295" s="275"/>
      <c r="I295" s="276"/>
      <c r="J295" s="260"/>
      <c r="K295" s="260"/>
      <c r="L295" s="260"/>
      <c r="M295" s="260"/>
      <c r="N295" s="260"/>
      <c r="O295" s="260"/>
      <c r="P295" s="260"/>
      <c r="Q295" s="260"/>
      <c r="R295" s="260"/>
      <c r="S295" s="260"/>
      <c r="T295" s="260"/>
      <c r="U295" s="260"/>
      <c r="V295" s="260"/>
      <c r="W295" s="260"/>
      <c r="X295" s="260"/>
      <c r="Y295" s="260"/>
      <c r="Z295" s="260"/>
      <c r="AA295" s="260"/>
      <c r="AB295" s="260"/>
      <c r="AC295" s="260"/>
      <c r="AD295" s="260"/>
      <c r="AE295" s="260"/>
      <c r="AF295" s="260"/>
      <c r="AG295" s="260"/>
      <c r="AH295" s="260"/>
      <c r="AI295" s="260"/>
      <c r="AJ295" s="260"/>
      <c r="AK295" s="260"/>
      <c r="AL295" s="260"/>
      <c r="AM295" s="275"/>
      <c r="AN295" s="275"/>
      <c r="AO295" s="275"/>
      <c r="AP295" s="275"/>
      <c r="AQ295" s="275"/>
      <c r="AR295" s="275"/>
      <c r="AS295" s="275"/>
      <c r="AT295" s="275"/>
      <c r="AU295" s="275"/>
      <c r="AV295" s="275"/>
      <c r="AW295" s="275"/>
      <c r="AX295" s="275"/>
      <c r="AY295" s="275"/>
      <c r="AZ295" s="275"/>
      <c r="BA295" s="275"/>
      <c r="BB295" s="275"/>
      <c r="BC295" s="275"/>
      <c r="BD295" s="275"/>
      <c r="BE295" s="275"/>
      <c r="BF295" s="275"/>
      <c r="BG295" s="275"/>
      <c r="BH295" s="275"/>
      <c r="BI295" s="275"/>
      <c r="BJ295" s="275"/>
    </row>
    <row r="296" spans="1:62">
      <c r="A296" s="595"/>
      <c r="B296" s="242"/>
      <c r="C296" s="243"/>
      <c r="E296" s="260"/>
      <c r="F296" s="275"/>
      <c r="G296" s="275"/>
      <c r="H296" s="275"/>
      <c r="I296" s="276"/>
      <c r="J296" s="260"/>
      <c r="K296" s="260"/>
      <c r="L296" s="260"/>
      <c r="M296" s="260"/>
      <c r="N296" s="260"/>
      <c r="O296" s="260"/>
      <c r="P296" s="260"/>
      <c r="Q296" s="260"/>
      <c r="R296" s="260"/>
      <c r="S296" s="260"/>
      <c r="T296" s="260"/>
      <c r="U296" s="260"/>
      <c r="V296" s="260"/>
      <c r="W296" s="260"/>
      <c r="X296" s="260"/>
      <c r="Y296" s="260"/>
      <c r="Z296" s="260"/>
      <c r="AA296" s="260"/>
      <c r="AB296" s="260"/>
      <c r="AC296" s="260"/>
      <c r="AD296" s="260"/>
      <c r="AE296" s="260"/>
      <c r="AF296" s="260"/>
      <c r="AG296" s="260"/>
      <c r="AH296" s="260"/>
      <c r="AI296" s="260"/>
      <c r="AJ296" s="260"/>
      <c r="AK296" s="260"/>
      <c r="AL296" s="260"/>
      <c r="AM296" s="275"/>
      <c r="AN296" s="275"/>
      <c r="AO296" s="275"/>
      <c r="AP296" s="275"/>
      <c r="AQ296" s="275"/>
      <c r="AR296" s="275"/>
      <c r="AS296" s="275"/>
      <c r="AT296" s="275"/>
      <c r="AU296" s="275"/>
      <c r="AV296" s="275"/>
      <c r="AW296" s="275"/>
      <c r="AX296" s="275"/>
      <c r="AY296" s="275"/>
      <c r="AZ296" s="275"/>
      <c r="BA296" s="275"/>
      <c r="BB296" s="275"/>
      <c r="BC296" s="275"/>
      <c r="BD296" s="275"/>
      <c r="BE296" s="275"/>
      <c r="BF296" s="275"/>
      <c r="BG296" s="275"/>
      <c r="BH296" s="275"/>
      <c r="BI296" s="275"/>
      <c r="BJ296" s="275"/>
    </row>
    <row r="297" spans="1:62">
      <c r="A297" s="595"/>
      <c r="B297" s="242"/>
      <c r="C297" s="243"/>
      <c r="E297" s="260"/>
      <c r="F297" s="275"/>
      <c r="G297" s="275"/>
      <c r="H297" s="275"/>
      <c r="I297" s="276"/>
      <c r="J297" s="260"/>
      <c r="K297" s="260"/>
      <c r="L297" s="260"/>
      <c r="M297" s="260"/>
      <c r="N297" s="260"/>
      <c r="O297" s="260"/>
      <c r="P297" s="260"/>
      <c r="Q297" s="260"/>
      <c r="R297" s="260"/>
      <c r="S297" s="260"/>
      <c r="T297" s="260"/>
      <c r="U297" s="260"/>
      <c r="V297" s="260"/>
      <c r="W297" s="260"/>
      <c r="X297" s="260"/>
      <c r="Y297" s="260"/>
      <c r="Z297" s="260"/>
      <c r="AA297" s="260"/>
      <c r="AB297" s="260"/>
      <c r="AC297" s="260"/>
      <c r="AD297" s="260"/>
      <c r="AE297" s="260"/>
      <c r="AF297" s="260"/>
      <c r="AG297" s="260"/>
      <c r="AH297" s="260"/>
      <c r="AI297" s="260"/>
      <c r="AJ297" s="260"/>
      <c r="AK297" s="260"/>
      <c r="AL297" s="260"/>
      <c r="AM297" s="275"/>
      <c r="AN297" s="275"/>
      <c r="AO297" s="275"/>
      <c r="AP297" s="275"/>
      <c r="AQ297" s="275"/>
      <c r="AR297" s="275"/>
      <c r="AS297" s="275"/>
      <c r="AT297" s="275"/>
      <c r="AU297" s="275"/>
      <c r="AV297" s="275"/>
      <c r="AW297" s="275"/>
      <c r="AX297" s="275"/>
      <c r="AY297" s="275"/>
      <c r="AZ297" s="275"/>
      <c r="BA297" s="275"/>
      <c r="BB297" s="275"/>
      <c r="BC297" s="275"/>
      <c r="BD297" s="275"/>
      <c r="BE297" s="275"/>
      <c r="BF297" s="275"/>
      <c r="BG297" s="275"/>
      <c r="BH297" s="275"/>
      <c r="BI297" s="275"/>
      <c r="BJ297" s="275"/>
    </row>
    <row r="298" spans="1:62">
      <c r="A298" s="595"/>
      <c r="B298" s="242"/>
      <c r="C298" s="243"/>
      <c r="E298" s="260"/>
      <c r="F298" s="275"/>
      <c r="G298" s="275"/>
      <c r="H298" s="275"/>
      <c r="I298" s="276"/>
      <c r="J298" s="260"/>
      <c r="K298" s="260"/>
      <c r="L298" s="260"/>
      <c r="M298" s="260"/>
      <c r="N298" s="260"/>
      <c r="O298" s="260"/>
      <c r="P298" s="260"/>
      <c r="Q298" s="260"/>
      <c r="R298" s="260"/>
      <c r="S298" s="260"/>
      <c r="T298" s="260"/>
      <c r="U298" s="260"/>
      <c r="V298" s="260"/>
      <c r="W298" s="260"/>
      <c r="X298" s="260"/>
      <c r="Y298" s="260"/>
      <c r="Z298" s="260"/>
      <c r="AA298" s="260"/>
      <c r="AB298" s="260"/>
      <c r="AC298" s="260"/>
      <c r="AD298" s="260"/>
      <c r="AE298" s="260"/>
      <c r="AF298" s="260"/>
      <c r="AG298" s="260"/>
      <c r="AH298" s="260"/>
      <c r="AI298" s="260"/>
      <c r="AJ298" s="260"/>
      <c r="AK298" s="260"/>
      <c r="AL298" s="260"/>
      <c r="AM298" s="275"/>
      <c r="AN298" s="275"/>
      <c r="AO298" s="275"/>
      <c r="AP298" s="275"/>
      <c r="AQ298" s="275"/>
      <c r="AR298" s="275"/>
      <c r="AS298" s="275"/>
      <c r="AT298" s="275"/>
      <c r="AU298" s="275"/>
      <c r="AV298" s="275"/>
      <c r="AW298" s="275"/>
      <c r="AX298" s="275"/>
      <c r="AY298" s="275"/>
      <c r="AZ298" s="275"/>
      <c r="BA298" s="275"/>
      <c r="BB298" s="275"/>
      <c r="BC298" s="275"/>
      <c r="BD298" s="275"/>
      <c r="BE298" s="275"/>
      <c r="BF298" s="275"/>
      <c r="BG298" s="275"/>
      <c r="BH298" s="275"/>
      <c r="BI298" s="275"/>
      <c r="BJ298" s="275"/>
    </row>
    <row r="299" spans="1:62">
      <c r="A299" s="595"/>
      <c r="B299" s="242"/>
      <c r="C299" s="243"/>
      <c r="E299" s="260"/>
      <c r="F299" s="275"/>
      <c r="G299" s="275"/>
      <c r="H299" s="275"/>
      <c r="I299" s="276"/>
      <c r="J299" s="260"/>
      <c r="K299" s="260"/>
      <c r="L299" s="260"/>
      <c r="M299" s="260"/>
      <c r="N299" s="260"/>
      <c r="O299" s="260"/>
      <c r="P299" s="260"/>
      <c r="Q299" s="260"/>
      <c r="R299" s="260"/>
      <c r="S299" s="260"/>
      <c r="T299" s="260"/>
      <c r="U299" s="260"/>
      <c r="V299" s="260"/>
      <c r="W299" s="260"/>
      <c r="X299" s="260"/>
      <c r="Y299" s="260"/>
      <c r="Z299" s="260"/>
      <c r="AA299" s="260"/>
      <c r="AB299" s="260"/>
      <c r="AC299" s="260"/>
      <c r="AD299" s="260"/>
      <c r="AE299" s="260"/>
      <c r="AF299" s="260"/>
      <c r="AG299" s="260"/>
      <c r="AH299" s="260"/>
      <c r="AI299" s="260"/>
      <c r="AJ299" s="260"/>
      <c r="AK299" s="260"/>
      <c r="AL299" s="260"/>
      <c r="AM299" s="275"/>
      <c r="AN299" s="275"/>
      <c r="AO299" s="275"/>
      <c r="AP299" s="275"/>
      <c r="AQ299" s="275"/>
      <c r="AR299" s="275"/>
      <c r="AS299" s="275"/>
      <c r="AT299" s="275"/>
      <c r="AU299" s="275"/>
      <c r="AV299" s="275"/>
      <c r="AW299" s="275"/>
      <c r="AX299" s="275"/>
      <c r="AY299" s="275"/>
      <c r="AZ299" s="275"/>
      <c r="BA299" s="275"/>
      <c r="BB299" s="275"/>
      <c r="BC299" s="275"/>
      <c r="BD299" s="275"/>
      <c r="BE299" s="275"/>
      <c r="BF299" s="275"/>
      <c r="BG299" s="275"/>
      <c r="BH299" s="275"/>
      <c r="BI299" s="275"/>
      <c r="BJ299" s="275"/>
    </row>
    <row r="300" spans="1:62">
      <c r="A300" s="595"/>
      <c r="B300" s="242"/>
      <c r="C300" s="243"/>
      <c r="E300" s="260"/>
      <c r="F300" s="275"/>
      <c r="G300" s="275"/>
      <c r="H300" s="275"/>
      <c r="I300" s="276"/>
      <c r="J300" s="260"/>
      <c r="K300" s="260"/>
      <c r="L300" s="260"/>
      <c r="M300" s="260"/>
      <c r="N300" s="260"/>
      <c r="O300" s="260"/>
      <c r="P300" s="260"/>
      <c r="Q300" s="260"/>
      <c r="R300" s="260"/>
      <c r="S300" s="260"/>
      <c r="T300" s="260"/>
      <c r="U300" s="260"/>
      <c r="V300" s="260"/>
      <c r="W300" s="260"/>
      <c r="X300" s="260"/>
      <c r="Y300" s="260"/>
      <c r="Z300" s="260"/>
      <c r="AA300" s="260"/>
      <c r="AB300" s="260"/>
      <c r="AC300" s="260"/>
      <c r="AD300" s="260"/>
      <c r="AE300" s="260"/>
      <c r="AF300" s="260"/>
      <c r="AG300" s="260"/>
      <c r="AH300" s="260"/>
      <c r="AI300" s="260"/>
      <c r="AJ300" s="260"/>
      <c r="AK300" s="260"/>
      <c r="AL300" s="260"/>
      <c r="AM300" s="275"/>
      <c r="AN300" s="275"/>
      <c r="AO300" s="275"/>
      <c r="AP300" s="275"/>
      <c r="AQ300" s="275"/>
      <c r="AR300" s="275"/>
      <c r="AS300" s="275"/>
      <c r="AT300" s="275"/>
      <c r="AU300" s="275"/>
      <c r="AV300" s="275"/>
      <c r="AW300" s="275"/>
      <c r="AX300" s="275"/>
      <c r="AY300" s="275"/>
      <c r="AZ300" s="275"/>
      <c r="BA300" s="275"/>
      <c r="BB300" s="275"/>
      <c r="BC300" s="275"/>
      <c r="BD300" s="275"/>
      <c r="BE300" s="275"/>
      <c r="BF300" s="275"/>
      <c r="BG300" s="275"/>
      <c r="BH300" s="275"/>
      <c r="BI300" s="275"/>
      <c r="BJ300" s="275"/>
    </row>
    <row r="301" spans="1:62">
      <c r="A301" s="595"/>
      <c r="B301" s="242"/>
      <c r="C301" s="243"/>
      <c r="E301" s="260"/>
      <c r="F301" s="275"/>
      <c r="G301" s="275"/>
      <c r="H301" s="275"/>
      <c r="I301" s="276"/>
      <c r="J301" s="260"/>
      <c r="K301" s="260"/>
      <c r="L301" s="260"/>
      <c r="M301" s="260"/>
      <c r="N301" s="260"/>
      <c r="O301" s="260"/>
      <c r="P301" s="260"/>
      <c r="Q301" s="260"/>
      <c r="R301" s="260"/>
      <c r="S301" s="260"/>
      <c r="T301" s="260"/>
      <c r="U301" s="260"/>
      <c r="V301" s="260"/>
      <c r="W301" s="260"/>
      <c r="X301" s="260"/>
      <c r="Y301" s="260"/>
      <c r="Z301" s="260"/>
      <c r="AA301" s="260"/>
      <c r="AB301" s="260"/>
      <c r="AC301" s="260"/>
      <c r="AD301" s="260"/>
      <c r="AE301" s="260"/>
      <c r="AF301" s="260"/>
      <c r="AG301" s="260"/>
      <c r="AH301" s="260"/>
      <c r="AI301" s="260"/>
      <c r="AJ301" s="260"/>
      <c r="AK301" s="260"/>
      <c r="AL301" s="260"/>
      <c r="AM301" s="275"/>
      <c r="AN301" s="275"/>
      <c r="AO301" s="275"/>
      <c r="AP301" s="275"/>
      <c r="AQ301" s="275"/>
      <c r="AR301" s="275"/>
      <c r="AS301" s="275"/>
      <c r="AT301" s="275"/>
      <c r="AU301" s="275"/>
      <c r="AV301" s="275"/>
      <c r="AW301" s="275"/>
      <c r="AX301" s="275"/>
      <c r="AY301" s="275"/>
      <c r="AZ301" s="275"/>
      <c r="BA301" s="275"/>
      <c r="BB301" s="275"/>
      <c r="BC301" s="275"/>
      <c r="BD301" s="275"/>
      <c r="BE301" s="275"/>
      <c r="BF301" s="275"/>
      <c r="BG301" s="275"/>
      <c r="BH301" s="275"/>
      <c r="BI301" s="275"/>
      <c r="BJ301" s="275"/>
    </row>
    <row r="302" spans="1:62">
      <c r="A302" s="595"/>
      <c r="B302" s="242"/>
      <c r="C302" s="243"/>
      <c r="E302" s="260"/>
      <c r="F302" s="275"/>
      <c r="G302" s="275"/>
      <c r="H302" s="275"/>
      <c r="I302" s="276"/>
      <c r="J302" s="260"/>
      <c r="K302" s="260"/>
      <c r="L302" s="260"/>
      <c r="M302" s="260"/>
      <c r="N302" s="260"/>
      <c r="O302" s="260"/>
      <c r="P302" s="260"/>
      <c r="Q302" s="260"/>
      <c r="R302" s="260"/>
      <c r="S302" s="260"/>
      <c r="T302" s="260"/>
      <c r="U302" s="260"/>
      <c r="V302" s="260"/>
      <c r="W302" s="260"/>
      <c r="X302" s="260"/>
      <c r="Y302" s="260"/>
      <c r="Z302" s="260"/>
      <c r="AA302" s="260"/>
      <c r="AB302" s="260"/>
      <c r="AC302" s="260"/>
      <c r="AD302" s="260"/>
      <c r="AE302" s="260"/>
      <c r="AF302" s="260"/>
      <c r="AG302" s="260"/>
      <c r="AH302" s="260"/>
      <c r="AI302" s="260"/>
      <c r="AJ302" s="260"/>
      <c r="AK302" s="260"/>
      <c r="AL302" s="260"/>
      <c r="AM302" s="275"/>
      <c r="AN302" s="275"/>
      <c r="AO302" s="275"/>
      <c r="AP302" s="275"/>
      <c r="AQ302" s="275"/>
      <c r="AR302" s="275"/>
      <c r="AS302" s="275"/>
      <c r="AT302" s="275"/>
      <c r="AU302" s="275"/>
      <c r="AV302" s="275"/>
      <c r="AW302" s="275"/>
      <c r="AX302" s="275"/>
      <c r="AY302" s="275"/>
      <c r="AZ302" s="275"/>
      <c r="BA302" s="275"/>
      <c r="BB302" s="275"/>
      <c r="BC302" s="275"/>
      <c r="BD302" s="275"/>
      <c r="BE302" s="275"/>
      <c r="BF302" s="275"/>
      <c r="BG302" s="275"/>
      <c r="BH302" s="275"/>
      <c r="BI302" s="275"/>
      <c r="BJ302" s="275"/>
    </row>
    <row r="303" spans="1:62">
      <c r="A303" s="595"/>
      <c r="B303" s="242"/>
      <c r="C303" s="243"/>
      <c r="E303" s="260"/>
      <c r="F303" s="275"/>
      <c r="G303" s="275"/>
      <c r="H303" s="275"/>
      <c r="I303" s="276"/>
      <c r="J303" s="260"/>
      <c r="K303" s="260"/>
      <c r="L303" s="260"/>
      <c r="M303" s="260"/>
      <c r="N303" s="260"/>
      <c r="O303" s="260"/>
      <c r="P303" s="260"/>
      <c r="Q303" s="260"/>
      <c r="R303" s="260"/>
      <c r="S303" s="260"/>
      <c r="T303" s="260"/>
      <c r="U303" s="260"/>
      <c r="V303" s="260"/>
      <c r="W303" s="260"/>
      <c r="X303" s="260"/>
      <c r="Y303" s="260"/>
      <c r="Z303" s="260"/>
      <c r="AA303" s="260"/>
      <c r="AB303" s="260"/>
      <c r="AC303" s="260"/>
      <c r="AD303" s="260"/>
      <c r="AE303" s="260"/>
      <c r="AF303" s="260"/>
      <c r="AG303" s="260"/>
      <c r="AH303" s="260"/>
      <c r="AI303" s="260"/>
      <c r="AJ303" s="260"/>
      <c r="AK303" s="260"/>
      <c r="AL303" s="260"/>
      <c r="AM303" s="275"/>
      <c r="AN303" s="275"/>
      <c r="AO303" s="275"/>
      <c r="AP303" s="275"/>
      <c r="AQ303" s="275"/>
      <c r="AR303" s="275"/>
      <c r="AS303" s="275"/>
      <c r="AT303" s="275"/>
      <c r="AU303" s="275"/>
      <c r="AV303" s="275"/>
      <c r="AW303" s="275"/>
      <c r="AX303" s="275"/>
      <c r="AY303" s="275"/>
      <c r="AZ303" s="275"/>
      <c r="BA303" s="275"/>
      <c r="BB303" s="275"/>
      <c r="BC303" s="275"/>
      <c r="BD303" s="275"/>
      <c r="BE303" s="275"/>
      <c r="BF303" s="275"/>
      <c r="BG303" s="275"/>
      <c r="BH303" s="275"/>
      <c r="BI303" s="275"/>
      <c r="BJ303" s="275"/>
    </row>
    <row r="304" spans="1:62">
      <c r="A304" s="595"/>
      <c r="B304" s="242"/>
      <c r="C304" s="243"/>
      <c r="E304" s="260"/>
      <c r="F304" s="275"/>
      <c r="G304" s="275"/>
      <c r="H304" s="275"/>
      <c r="I304" s="276"/>
      <c r="J304" s="260"/>
      <c r="K304" s="260"/>
      <c r="L304" s="260"/>
      <c r="M304" s="260"/>
      <c r="N304" s="260"/>
      <c r="O304" s="260"/>
      <c r="P304" s="260"/>
      <c r="Q304" s="260"/>
      <c r="R304" s="260"/>
      <c r="S304" s="260"/>
      <c r="T304" s="260"/>
      <c r="U304" s="260"/>
      <c r="V304" s="260"/>
      <c r="W304" s="260"/>
      <c r="X304" s="260"/>
      <c r="Y304" s="260"/>
      <c r="Z304" s="260"/>
      <c r="AA304" s="260"/>
      <c r="AB304" s="260"/>
      <c r="AC304" s="260"/>
      <c r="AD304" s="260"/>
      <c r="AE304" s="260"/>
      <c r="AF304" s="260"/>
      <c r="AG304" s="260"/>
      <c r="AH304" s="260"/>
      <c r="AI304" s="260"/>
      <c r="AJ304" s="260"/>
      <c r="AK304" s="260"/>
      <c r="AL304" s="260"/>
      <c r="AM304" s="275"/>
      <c r="AN304" s="275"/>
      <c r="AO304" s="275"/>
      <c r="AP304" s="275"/>
      <c r="AQ304" s="275"/>
      <c r="AR304" s="275"/>
      <c r="AS304" s="275"/>
      <c r="AT304" s="275"/>
      <c r="AU304" s="275"/>
      <c r="AV304" s="275"/>
      <c r="AW304" s="275"/>
      <c r="AX304" s="275"/>
      <c r="AY304" s="275"/>
      <c r="AZ304" s="275"/>
      <c r="BA304" s="275"/>
      <c r="BB304" s="275"/>
      <c r="BC304" s="275"/>
      <c r="BD304" s="275"/>
      <c r="BE304" s="275"/>
      <c r="BF304" s="275"/>
      <c r="BG304" s="275"/>
      <c r="BH304" s="275"/>
      <c r="BI304" s="275"/>
      <c r="BJ304" s="275"/>
    </row>
    <row r="305" spans="1:62">
      <c r="A305" s="595"/>
      <c r="B305" s="242"/>
      <c r="C305" s="243"/>
      <c r="E305" s="260"/>
      <c r="F305" s="275"/>
      <c r="G305" s="275"/>
      <c r="H305" s="275"/>
      <c r="I305" s="276"/>
      <c r="J305" s="260"/>
      <c r="K305" s="260"/>
      <c r="L305" s="260"/>
      <c r="M305" s="260"/>
      <c r="N305" s="260"/>
      <c r="O305" s="260"/>
      <c r="P305" s="260"/>
      <c r="Q305" s="260"/>
      <c r="R305" s="260"/>
      <c r="S305" s="260"/>
      <c r="T305" s="260"/>
      <c r="U305" s="260"/>
      <c r="V305" s="260"/>
      <c r="W305" s="260"/>
      <c r="X305" s="260"/>
      <c r="Y305" s="260"/>
      <c r="Z305" s="260"/>
      <c r="AA305" s="260"/>
      <c r="AB305" s="260"/>
      <c r="AC305" s="260"/>
      <c r="AD305" s="260"/>
      <c r="AE305" s="260"/>
      <c r="AF305" s="260"/>
      <c r="AG305" s="260"/>
      <c r="AH305" s="260"/>
      <c r="AI305" s="260"/>
      <c r="AJ305" s="260"/>
      <c r="AK305" s="260"/>
      <c r="AL305" s="260"/>
      <c r="AM305" s="275"/>
      <c r="AN305" s="275"/>
      <c r="AO305" s="275"/>
      <c r="AP305" s="275"/>
      <c r="AQ305" s="275"/>
      <c r="AR305" s="275"/>
      <c r="AS305" s="275"/>
      <c r="AT305" s="275"/>
      <c r="AU305" s="275"/>
      <c r="AV305" s="275"/>
      <c r="AW305" s="275"/>
      <c r="AX305" s="275"/>
      <c r="AY305" s="275"/>
      <c r="AZ305" s="275"/>
      <c r="BA305" s="275"/>
      <c r="BB305" s="275"/>
      <c r="BC305" s="275"/>
      <c r="BD305" s="275"/>
      <c r="BE305" s="275"/>
      <c r="BF305" s="275"/>
      <c r="BG305" s="275"/>
      <c r="BH305" s="275"/>
      <c r="BI305" s="275"/>
      <c r="BJ305" s="275"/>
    </row>
    <row r="306" spans="1:62">
      <c r="A306" s="595"/>
      <c r="B306" s="242"/>
      <c r="C306" s="243"/>
      <c r="E306" s="260"/>
      <c r="F306" s="275"/>
      <c r="G306" s="275"/>
      <c r="H306" s="275"/>
      <c r="I306" s="276"/>
      <c r="J306" s="260"/>
      <c r="K306" s="260"/>
      <c r="L306" s="260"/>
      <c r="M306" s="260"/>
      <c r="N306" s="260"/>
      <c r="O306" s="260"/>
      <c r="P306" s="260"/>
      <c r="Q306" s="260"/>
      <c r="R306" s="260"/>
      <c r="S306" s="260"/>
      <c r="T306" s="260"/>
      <c r="U306" s="260"/>
      <c r="V306" s="260"/>
      <c r="W306" s="260"/>
      <c r="X306" s="260"/>
      <c r="Y306" s="260"/>
      <c r="Z306" s="260"/>
      <c r="AA306" s="260"/>
      <c r="AB306" s="260"/>
      <c r="AC306" s="260"/>
      <c r="AD306" s="260"/>
      <c r="AE306" s="260"/>
      <c r="AF306" s="260"/>
      <c r="AG306" s="260"/>
      <c r="AH306" s="260"/>
      <c r="AI306" s="260"/>
      <c r="AJ306" s="260"/>
      <c r="AK306" s="260"/>
      <c r="AL306" s="260"/>
      <c r="AM306" s="275"/>
      <c r="AN306" s="275"/>
      <c r="AO306" s="275"/>
      <c r="AP306" s="275"/>
      <c r="AQ306" s="275"/>
      <c r="AR306" s="275"/>
      <c r="AS306" s="275"/>
      <c r="AT306" s="275"/>
      <c r="AU306" s="275"/>
      <c r="AV306" s="275"/>
      <c r="AW306" s="275"/>
      <c r="AX306" s="275"/>
      <c r="AY306" s="275"/>
      <c r="AZ306" s="275"/>
      <c r="BA306" s="275"/>
      <c r="BB306" s="275"/>
      <c r="BC306" s="275"/>
      <c r="BD306" s="275"/>
      <c r="BE306" s="275"/>
      <c r="BF306" s="275"/>
      <c r="BG306" s="275"/>
      <c r="BH306" s="275"/>
      <c r="BI306" s="275"/>
      <c r="BJ306" s="275"/>
    </row>
    <row r="307" spans="1:62">
      <c r="A307" s="595"/>
      <c r="B307" s="242"/>
      <c r="C307" s="243"/>
      <c r="E307" s="260"/>
      <c r="F307" s="275"/>
      <c r="G307" s="275"/>
      <c r="H307" s="275"/>
      <c r="I307" s="276"/>
      <c r="J307" s="260"/>
      <c r="K307" s="260"/>
      <c r="L307" s="260"/>
      <c r="M307" s="260"/>
      <c r="N307" s="260"/>
      <c r="O307" s="260"/>
      <c r="P307" s="260"/>
      <c r="Q307" s="260"/>
      <c r="R307" s="260"/>
      <c r="S307" s="260"/>
      <c r="T307" s="260"/>
      <c r="U307" s="260"/>
      <c r="V307" s="260"/>
      <c r="W307" s="260"/>
      <c r="X307" s="260"/>
      <c r="Y307" s="260"/>
      <c r="Z307" s="260"/>
      <c r="AA307" s="260"/>
      <c r="AB307" s="260"/>
      <c r="AC307" s="260"/>
      <c r="AD307" s="260"/>
      <c r="AE307" s="260"/>
      <c r="AF307" s="260"/>
      <c r="AG307" s="260"/>
      <c r="AH307" s="260"/>
      <c r="AI307" s="260"/>
      <c r="AJ307" s="260"/>
      <c r="AK307" s="260"/>
      <c r="AL307" s="260"/>
      <c r="AM307" s="275"/>
      <c r="AN307" s="275"/>
      <c r="AO307" s="275"/>
      <c r="AP307" s="275"/>
      <c r="AQ307" s="275"/>
      <c r="AR307" s="275"/>
      <c r="AS307" s="275"/>
      <c r="AT307" s="275"/>
      <c r="AU307" s="275"/>
      <c r="AV307" s="275"/>
      <c r="AW307" s="275"/>
      <c r="AX307" s="275"/>
      <c r="AY307" s="275"/>
      <c r="AZ307" s="275"/>
      <c r="BA307" s="275"/>
      <c r="BB307" s="275"/>
      <c r="BC307" s="275"/>
      <c r="BD307" s="275"/>
      <c r="BE307" s="275"/>
      <c r="BF307" s="275"/>
      <c r="BG307" s="275"/>
      <c r="BH307" s="275"/>
      <c r="BI307" s="275"/>
      <c r="BJ307" s="275"/>
    </row>
    <row r="308" spans="1:62">
      <c r="A308" s="595"/>
      <c r="B308" s="242"/>
      <c r="C308" s="243"/>
      <c r="E308" s="260"/>
      <c r="F308" s="275"/>
      <c r="G308" s="275"/>
      <c r="H308" s="275"/>
      <c r="I308" s="276"/>
      <c r="J308" s="260"/>
      <c r="K308" s="260"/>
      <c r="L308" s="260"/>
      <c r="M308" s="260"/>
      <c r="N308" s="260"/>
      <c r="O308" s="260"/>
      <c r="P308" s="260"/>
      <c r="Q308" s="260"/>
      <c r="R308" s="260"/>
      <c r="S308" s="260"/>
      <c r="T308" s="260"/>
      <c r="U308" s="260"/>
      <c r="V308" s="260"/>
      <c r="W308" s="260"/>
      <c r="X308" s="260"/>
      <c r="Y308" s="260"/>
      <c r="Z308" s="260"/>
      <c r="AA308" s="260"/>
      <c r="AB308" s="260"/>
      <c r="AC308" s="260"/>
      <c r="AD308" s="260"/>
      <c r="AE308" s="260"/>
      <c r="AF308" s="260"/>
      <c r="AG308" s="260"/>
      <c r="AH308" s="260"/>
      <c r="AI308" s="260"/>
      <c r="AJ308" s="260"/>
      <c r="AK308" s="260"/>
      <c r="AL308" s="260"/>
      <c r="AM308" s="275"/>
      <c r="AN308" s="275"/>
      <c r="AO308" s="275"/>
      <c r="AP308" s="275"/>
      <c r="AQ308" s="275"/>
      <c r="AR308" s="275"/>
      <c r="AS308" s="275"/>
      <c r="AT308" s="275"/>
      <c r="AU308" s="275"/>
      <c r="AV308" s="275"/>
      <c r="AW308" s="275"/>
      <c r="AX308" s="275"/>
      <c r="AY308" s="275"/>
      <c r="AZ308" s="275"/>
      <c r="BA308" s="275"/>
      <c r="BB308" s="275"/>
      <c r="BC308" s="275"/>
      <c r="BD308" s="275"/>
      <c r="BE308" s="275"/>
      <c r="BF308" s="275"/>
      <c r="BG308" s="275"/>
      <c r="BH308" s="275"/>
      <c r="BI308" s="275"/>
      <c r="BJ308" s="275"/>
    </row>
    <row r="309" spans="1:62">
      <c r="A309" s="595"/>
      <c r="B309" s="242"/>
      <c r="C309" s="243"/>
      <c r="E309" s="260"/>
      <c r="F309" s="275"/>
      <c r="G309" s="275"/>
      <c r="H309" s="275"/>
      <c r="I309" s="276"/>
      <c r="J309" s="260"/>
      <c r="K309" s="260"/>
      <c r="L309" s="260"/>
      <c r="M309" s="260"/>
      <c r="N309" s="260"/>
      <c r="O309" s="260"/>
      <c r="P309" s="260"/>
      <c r="Q309" s="260"/>
      <c r="R309" s="260"/>
      <c r="S309" s="260"/>
      <c r="T309" s="260"/>
      <c r="U309" s="260"/>
      <c r="V309" s="260"/>
      <c r="W309" s="260"/>
      <c r="X309" s="260"/>
      <c r="Y309" s="260"/>
      <c r="Z309" s="260"/>
      <c r="AA309" s="260"/>
      <c r="AB309" s="260"/>
      <c r="AC309" s="260"/>
      <c r="AD309" s="260"/>
      <c r="AE309" s="260"/>
      <c r="AF309" s="260"/>
      <c r="AG309" s="260"/>
      <c r="AH309" s="260"/>
      <c r="AI309" s="260"/>
      <c r="AJ309" s="260"/>
      <c r="AK309" s="260"/>
      <c r="AL309" s="260"/>
      <c r="AM309" s="275"/>
      <c r="AN309" s="275"/>
      <c r="AO309" s="275"/>
      <c r="AP309" s="275"/>
      <c r="AQ309" s="275"/>
      <c r="AR309" s="275"/>
      <c r="AS309" s="275"/>
      <c r="AT309" s="275"/>
      <c r="AU309" s="275"/>
      <c r="AV309" s="275"/>
      <c r="AW309" s="275"/>
      <c r="AX309" s="275"/>
      <c r="AY309" s="275"/>
      <c r="AZ309" s="275"/>
      <c r="BA309" s="275"/>
      <c r="BB309" s="275"/>
      <c r="BC309" s="275"/>
      <c r="BD309" s="275"/>
      <c r="BE309" s="275"/>
      <c r="BF309" s="275"/>
      <c r="BG309" s="275"/>
      <c r="BH309" s="275"/>
      <c r="BI309" s="275"/>
      <c r="BJ309" s="275"/>
    </row>
    <row r="310" spans="1:62">
      <c r="A310" s="595"/>
      <c r="B310" s="242"/>
      <c r="C310" s="243"/>
      <c r="E310" s="260"/>
      <c r="F310" s="275"/>
      <c r="G310" s="275"/>
      <c r="H310" s="275"/>
      <c r="I310" s="276"/>
      <c r="J310" s="260"/>
      <c r="K310" s="260"/>
      <c r="L310" s="260"/>
      <c r="M310" s="260"/>
      <c r="N310" s="260"/>
      <c r="O310" s="260"/>
      <c r="P310" s="260"/>
      <c r="Q310" s="260"/>
      <c r="R310" s="260"/>
      <c r="S310" s="260"/>
      <c r="T310" s="260"/>
      <c r="U310" s="260"/>
      <c r="V310" s="260"/>
      <c r="W310" s="260"/>
      <c r="X310" s="260"/>
      <c r="Y310" s="260"/>
      <c r="Z310" s="260"/>
      <c r="AA310" s="260"/>
      <c r="AB310" s="260"/>
      <c r="AC310" s="260"/>
      <c r="AD310" s="260"/>
      <c r="AE310" s="260"/>
      <c r="AF310" s="260"/>
      <c r="AG310" s="260"/>
      <c r="AH310" s="260"/>
      <c r="AI310" s="260"/>
      <c r="AJ310" s="260"/>
      <c r="AK310" s="260"/>
      <c r="AL310" s="260"/>
      <c r="AM310" s="275"/>
      <c r="AN310" s="275"/>
      <c r="AO310" s="275"/>
      <c r="AP310" s="275"/>
      <c r="AQ310" s="275"/>
      <c r="AR310" s="275"/>
      <c r="AS310" s="275"/>
      <c r="AT310" s="275"/>
      <c r="AU310" s="275"/>
      <c r="AV310" s="275"/>
      <c r="AW310" s="275"/>
      <c r="AX310" s="275"/>
      <c r="AY310" s="275"/>
      <c r="AZ310" s="275"/>
      <c r="BA310" s="275"/>
      <c r="BB310" s="275"/>
      <c r="BC310" s="275"/>
      <c r="BD310" s="275"/>
      <c r="BE310" s="275"/>
      <c r="BF310" s="275"/>
      <c r="BG310" s="275"/>
      <c r="BH310" s="275"/>
      <c r="BI310" s="275"/>
      <c r="BJ310" s="275"/>
    </row>
    <row r="311" spans="1:62">
      <c r="A311" s="595"/>
      <c r="B311" s="242"/>
      <c r="C311" s="243"/>
      <c r="E311" s="260"/>
      <c r="F311" s="275"/>
      <c r="G311" s="275"/>
      <c r="H311" s="275"/>
      <c r="I311" s="276"/>
      <c r="J311" s="260"/>
      <c r="K311" s="260"/>
      <c r="L311" s="260"/>
      <c r="M311" s="260"/>
      <c r="N311" s="260"/>
      <c r="O311" s="260"/>
      <c r="P311" s="260"/>
      <c r="Q311" s="260"/>
      <c r="R311" s="260"/>
      <c r="S311" s="260"/>
      <c r="T311" s="260"/>
      <c r="U311" s="260"/>
      <c r="V311" s="260"/>
      <c r="W311" s="260"/>
      <c r="X311" s="260"/>
      <c r="Y311" s="260"/>
      <c r="Z311" s="260"/>
      <c r="AA311" s="260"/>
      <c r="AB311" s="260"/>
      <c r="AC311" s="260"/>
      <c r="AD311" s="260"/>
      <c r="AE311" s="260"/>
      <c r="AF311" s="260"/>
      <c r="AG311" s="260"/>
      <c r="AH311" s="260"/>
      <c r="AI311" s="260"/>
      <c r="AJ311" s="260"/>
      <c r="AK311" s="260"/>
      <c r="AL311" s="260"/>
      <c r="AM311" s="275"/>
      <c r="AN311" s="275"/>
      <c r="AO311" s="275"/>
      <c r="AP311" s="275"/>
      <c r="AQ311" s="275"/>
      <c r="AR311" s="275"/>
      <c r="AS311" s="275"/>
      <c r="AT311" s="275"/>
      <c r="AU311" s="275"/>
      <c r="AV311" s="275"/>
      <c r="AW311" s="275"/>
      <c r="AX311" s="275"/>
      <c r="AY311" s="275"/>
      <c r="AZ311" s="275"/>
      <c r="BA311" s="275"/>
      <c r="BB311" s="275"/>
      <c r="BC311" s="275"/>
      <c r="BD311" s="275"/>
      <c r="BE311" s="275"/>
      <c r="BF311" s="275"/>
      <c r="BG311" s="275"/>
      <c r="BH311" s="275"/>
      <c r="BI311" s="275"/>
      <c r="BJ311" s="275"/>
    </row>
    <row r="312" spans="1:62">
      <c r="A312" s="595"/>
      <c r="B312" s="242"/>
      <c r="C312" s="243"/>
      <c r="E312" s="260"/>
      <c r="F312" s="275"/>
      <c r="G312" s="275"/>
      <c r="H312" s="275"/>
      <c r="I312" s="276"/>
      <c r="J312" s="260"/>
      <c r="K312" s="260"/>
      <c r="L312" s="260"/>
      <c r="M312" s="260"/>
      <c r="N312" s="260"/>
      <c r="O312" s="260"/>
      <c r="P312" s="260"/>
      <c r="Q312" s="260"/>
      <c r="R312" s="260"/>
      <c r="S312" s="260"/>
      <c r="T312" s="260"/>
      <c r="U312" s="260"/>
      <c r="V312" s="260"/>
      <c r="W312" s="260"/>
      <c r="X312" s="260"/>
      <c r="Y312" s="260"/>
      <c r="Z312" s="260"/>
      <c r="AA312" s="260"/>
      <c r="AB312" s="260"/>
      <c r="AC312" s="260"/>
      <c r="AD312" s="260"/>
      <c r="AE312" s="260"/>
      <c r="AF312" s="260"/>
      <c r="AG312" s="260"/>
      <c r="AH312" s="260"/>
      <c r="AI312" s="260"/>
      <c r="AJ312" s="260"/>
      <c r="AK312" s="260"/>
      <c r="AL312" s="260"/>
      <c r="AM312" s="275"/>
      <c r="AN312" s="275"/>
      <c r="AO312" s="275"/>
      <c r="AP312" s="275"/>
      <c r="AQ312" s="275"/>
      <c r="AR312" s="275"/>
      <c r="AS312" s="275"/>
      <c r="AT312" s="275"/>
      <c r="AU312" s="275"/>
      <c r="AV312" s="275"/>
      <c r="AW312" s="275"/>
      <c r="AX312" s="275"/>
      <c r="AY312" s="275"/>
      <c r="AZ312" s="275"/>
      <c r="BA312" s="275"/>
      <c r="BB312" s="275"/>
      <c r="BC312" s="275"/>
      <c r="BD312" s="275"/>
      <c r="BE312" s="275"/>
      <c r="BF312" s="275"/>
      <c r="BG312" s="275"/>
      <c r="BH312" s="275"/>
      <c r="BI312" s="275"/>
      <c r="BJ312" s="275"/>
    </row>
    <row r="313" spans="1:62">
      <c r="A313" s="595"/>
      <c r="B313" s="242"/>
      <c r="C313" s="243"/>
      <c r="E313" s="260"/>
      <c r="F313" s="275"/>
      <c r="G313" s="275"/>
      <c r="H313" s="275"/>
      <c r="I313" s="276"/>
      <c r="J313" s="260"/>
      <c r="K313" s="260"/>
      <c r="L313" s="260"/>
      <c r="M313" s="260"/>
      <c r="N313" s="260"/>
      <c r="O313" s="260"/>
      <c r="P313" s="260"/>
      <c r="Q313" s="260"/>
      <c r="R313" s="260"/>
      <c r="S313" s="260"/>
      <c r="T313" s="260"/>
      <c r="U313" s="260"/>
      <c r="V313" s="260"/>
      <c r="W313" s="260"/>
      <c r="X313" s="260"/>
      <c r="Y313" s="260"/>
      <c r="Z313" s="260"/>
      <c r="AA313" s="260"/>
      <c r="AB313" s="260"/>
      <c r="AC313" s="260"/>
      <c r="AD313" s="260"/>
      <c r="AE313" s="260"/>
      <c r="AF313" s="260"/>
      <c r="AG313" s="260"/>
      <c r="AH313" s="260"/>
      <c r="AI313" s="260"/>
      <c r="AJ313" s="260"/>
      <c r="AK313" s="260"/>
      <c r="AL313" s="260"/>
      <c r="AM313" s="275"/>
      <c r="AN313" s="275"/>
      <c r="AO313" s="275"/>
      <c r="AP313" s="275"/>
      <c r="AQ313" s="275"/>
      <c r="AR313" s="275"/>
      <c r="AS313" s="275"/>
      <c r="AT313" s="275"/>
      <c r="AU313" s="275"/>
      <c r="AV313" s="275"/>
      <c r="AW313" s="275"/>
      <c r="AX313" s="275"/>
      <c r="AY313" s="275"/>
      <c r="AZ313" s="275"/>
      <c r="BA313" s="275"/>
      <c r="BB313" s="275"/>
      <c r="BC313" s="275"/>
      <c r="BD313" s="275"/>
      <c r="BE313" s="275"/>
      <c r="BF313" s="275"/>
      <c r="BG313" s="275"/>
      <c r="BH313" s="275"/>
      <c r="BI313" s="275"/>
      <c r="BJ313" s="275"/>
    </row>
    <row r="314" spans="1:62">
      <c r="A314" s="595"/>
      <c r="B314" s="242"/>
      <c r="C314" s="243"/>
      <c r="E314" s="260"/>
      <c r="F314" s="275"/>
      <c r="G314" s="275"/>
      <c r="H314" s="275"/>
      <c r="I314" s="276"/>
      <c r="J314" s="260"/>
      <c r="K314" s="260"/>
      <c r="L314" s="260"/>
      <c r="M314" s="260"/>
      <c r="N314" s="260"/>
      <c r="O314" s="260"/>
      <c r="P314" s="260"/>
      <c r="Q314" s="260"/>
      <c r="R314" s="260"/>
      <c r="S314" s="260"/>
      <c r="T314" s="260"/>
      <c r="U314" s="260"/>
      <c r="V314" s="260"/>
      <c r="W314" s="260"/>
      <c r="X314" s="260"/>
      <c r="Y314" s="260"/>
      <c r="Z314" s="260"/>
      <c r="AA314" s="260"/>
      <c r="AB314" s="260"/>
      <c r="AC314" s="260"/>
      <c r="AD314" s="260"/>
      <c r="AE314" s="260"/>
      <c r="AF314" s="260"/>
      <c r="AG314" s="260"/>
      <c r="AH314" s="260"/>
      <c r="AI314" s="260"/>
      <c r="AJ314" s="260"/>
      <c r="AK314" s="260"/>
      <c r="AL314" s="260"/>
      <c r="AM314" s="275"/>
      <c r="AN314" s="275"/>
      <c r="AO314" s="275"/>
      <c r="AP314" s="275"/>
      <c r="AQ314" s="275"/>
      <c r="AR314" s="275"/>
      <c r="AS314" s="275"/>
      <c r="AT314" s="275"/>
      <c r="AU314" s="275"/>
      <c r="AV314" s="275"/>
      <c r="AW314" s="275"/>
      <c r="AX314" s="275"/>
      <c r="AY314" s="275"/>
      <c r="AZ314" s="275"/>
      <c r="BA314" s="275"/>
      <c r="BB314" s="275"/>
      <c r="BC314" s="275"/>
      <c r="BD314" s="275"/>
      <c r="BE314" s="275"/>
      <c r="BF314" s="275"/>
      <c r="BG314" s="275"/>
      <c r="BH314" s="275"/>
      <c r="BI314" s="275"/>
      <c r="BJ314" s="275"/>
    </row>
    <row r="315" spans="1:62">
      <c r="A315" s="595"/>
      <c r="B315" s="242"/>
      <c r="C315" s="243"/>
      <c r="E315" s="260"/>
      <c r="F315" s="275"/>
      <c r="G315" s="275"/>
      <c r="H315" s="275"/>
      <c r="I315" s="276"/>
      <c r="J315" s="260"/>
      <c r="K315" s="260"/>
      <c r="L315" s="260"/>
      <c r="M315" s="260"/>
      <c r="N315" s="260"/>
      <c r="O315" s="260"/>
      <c r="P315" s="260"/>
      <c r="Q315" s="260"/>
      <c r="R315" s="260"/>
      <c r="S315" s="260"/>
      <c r="T315" s="260"/>
      <c r="U315" s="260"/>
      <c r="V315" s="260"/>
      <c r="W315" s="260"/>
      <c r="X315" s="260"/>
      <c r="Y315" s="260"/>
      <c r="Z315" s="260"/>
      <c r="AA315" s="260"/>
      <c r="AB315" s="260"/>
      <c r="AC315" s="260"/>
      <c r="AD315" s="260"/>
      <c r="AE315" s="260"/>
      <c r="AF315" s="260"/>
      <c r="AG315" s="260"/>
      <c r="AH315" s="260"/>
      <c r="AI315" s="260"/>
      <c r="AJ315" s="260"/>
      <c r="AK315" s="260"/>
      <c r="AL315" s="260"/>
      <c r="AM315" s="275"/>
      <c r="AN315" s="275"/>
      <c r="AO315" s="275"/>
      <c r="AP315" s="275"/>
      <c r="AQ315" s="275"/>
      <c r="AR315" s="275"/>
      <c r="AS315" s="275"/>
      <c r="AT315" s="275"/>
      <c r="AU315" s="275"/>
      <c r="AV315" s="275"/>
      <c r="AW315" s="275"/>
      <c r="AX315" s="275"/>
      <c r="AY315" s="275"/>
      <c r="AZ315" s="275"/>
      <c r="BA315" s="275"/>
      <c r="BB315" s="275"/>
      <c r="BC315" s="275"/>
      <c r="BD315" s="275"/>
      <c r="BE315" s="275"/>
      <c r="BF315" s="275"/>
      <c r="BG315" s="275"/>
      <c r="BH315" s="275"/>
      <c r="BI315" s="275"/>
      <c r="BJ315" s="275"/>
    </row>
    <row r="316" spans="1:62">
      <c r="A316" s="595"/>
      <c r="B316" s="242"/>
      <c r="C316" s="243"/>
      <c r="E316" s="260"/>
      <c r="F316" s="275"/>
      <c r="G316" s="275"/>
      <c r="H316" s="275"/>
      <c r="I316" s="276"/>
      <c r="J316" s="260"/>
      <c r="K316" s="260"/>
      <c r="L316" s="260"/>
      <c r="M316" s="260"/>
      <c r="N316" s="260"/>
      <c r="O316" s="260"/>
      <c r="P316" s="260"/>
      <c r="Q316" s="260"/>
      <c r="R316" s="260"/>
      <c r="S316" s="260"/>
      <c r="T316" s="260"/>
      <c r="U316" s="260"/>
      <c r="V316" s="260"/>
      <c r="W316" s="260"/>
      <c r="X316" s="260"/>
      <c r="Y316" s="260"/>
      <c r="Z316" s="260"/>
      <c r="AA316" s="260"/>
      <c r="AB316" s="260"/>
      <c r="AC316" s="260"/>
      <c r="AD316" s="260"/>
      <c r="AE316" s="260"/>
      <c r="AF316" s="260"/>
      <c r="AG316" s="260"/>
      <c r="AH316" s="260"/>
      <c r="AI316" s="260"/>
      <c r="AJ316" s="260"/>
      <c r="AK316" s="260"/>
      <c r="AL316" s="260"/>
      <c r="AM316" s="275"/>
      <c r="AN316" s="275"/>
      <c r="AO316" s="275"/>
      <c r="AP316" s="275"/>
      <c r="AQ316" s="275"/>
      <c r="AR316" s="275"/>
      <c r="AS316" s="275"/>
      <c r="AT316" s="275"/>
      <c r="AU316" s="275"/>
      <c r="AV316" s="275"/>
      <c r="AW316" s="275"/>
      <c r="AX316" s="275"/>
      <c r="AY316" s="275"/>
      <c r="AZ316" s="275"/>
      <c r="BA316" s="275"/>
      <c r="BB316" s="275"/>
      <c r="BC316" s="275"/>
      <c r="BD316" s="275"/>
      <c r="BE316" s="275"/>
      <c r="BF316" s="275"/>
      <c r="BG316" s="275"/>
      <c r="BH316" s="275"/>
      <c r="BI316" s="275"/>
      <c r="BJ316" s="275"/>
    </row>
    <row r="317" spans="1:62">
      <c r="A317" s="595"/>
      <c r="B317" s="242"/>
      <c r="C317" s="243"/>
      <c r="E317" s="260"/>
      <c r="F317" s="275"/>
      <c r="G317" s="275"/>
      <c r="H317" s="275"/>
      <c r="I317" s="276"/>
      <c r="J317" s="260"/>
      <c r="K317" s="260"/>
      <c r="L317" s="260"/>
      <c r="M317" s="260"/>
      <c r="N317" s="260"/>
      <c r="O317" s="260"/>
      <c r="P317" s="260"/>
      <c r="Q317" s="260"/>
      <c r="R317" s="260"/>
      <c r="S317" s="260"/>
      <c r="T317" s="260"/>
      <c r="U317" s="260"/>
      <c r="V317" s="260"/>
      <c r="W317" s="260"/>
      <c r="X317" s="260"/>
      <c r="Y317" s="260"/>
      <c r="Z317" s="260"/>
      <c r="AA317" s="260"/>
      <c r="AB317" s="260"/>
      <c r="AC317" s="260"/>
      <c r="AD317" s="260"/>
      <c r="AE317" s="260"/>
      <c r="AF317" s="260"/>
      <c r="AG317" s="260"/>
      <c r="AH317" s="260"/>
      <c r="AI317" s="260"/>
      <c r="AJ317" s="260"/>
      <c r="AK317" s="260"/>
      <c r="AL317" s="260"/>
      <c r="AM317" s="275"/>
      <c r="AN317" s="275"/>
      <c r="AO317" s="275"/>
      <c r="AP317" s="275"/>
      <c r="AQ317" s="275"/>
      <c r="AR317" s="275"/>
      <c r="AS317" s="275"/>
      <c r="AT317" s="275"/>
      <c r="AU317" s="275"/>
      <c r="AV317" s="275"/>
      <c r="AW317" s="275"/>
      <c r="AX317" s="275"/>
      <c r="AY317" s="275"/>
      <c r="AZ317" s="275"/>
      <c r="BA317" s="275"/>
      <c r="BB317" s="275"/>
      <c r="BC317" s="275"/>
      <c r="BD317" s="275"/>
      <c r="BE317" s="275"/>
      <c r="BF317" s="275"/>
      <c r="BG317" s="275"/>
      <c r="BH317" s="275"/>
      <c r="BI317" s="275"/>
      <c r="BJ317" s="275"/>
    </row>
    <row r="318" spans="1:62">
      <c r="A318" s="595"/>
      <c r="B318" s="242"/>
      <c r="C318" s="243"/>
      <c r="E318" s="260"/>
      <c r="F318" s="275"/>
      <c r="G318" s="275"/>
      <c r="H318" s="275"/>
      <c r="I318" s="276"/>
      <c r="J318" s="260"/>
      <c r="K318" s="260"/>
      <c r="L318" s="260"/>
      <c r="M318" s="260"/>
      <c r="N318" s="260"/>
      <c r="O318" s="260"/>
      <c r="P318" s="260"/>
      <c r="Q318" s="260"/>
      <c r="R318" s="260"/>
      <c r="S318" s="260"/>
      <c r="T318" s="260"/>
      <c r="U318" s="260"/>
      <c r="V318" s="260"/>
      <c r="W318" s="260"/>
      <c r="X318" s="260"/>
      <c r="Y318" s="260"/>
      <c r="Z318" s="260"/>
      <c r="AA318" s="260"/>
      <c r="AB318" s="260"/>
      <c r="AC318" s="260"/>
      <c r="AD318" s="260"/>
      <c r="AE318" s="260"/>
      <c r="AF318" s="260"/>
      <c r="AG318" s="260"/>
      <c r="AH318" s="260"/>
      <c r="AI318" s="260"/>
      <c r="AJ318" s="260"/>
      <c r="AK318" s="260"/>
      <c r="AL318" s="260"/>
      <c r="AM318" s="275"/>
      <c r="AN318" s="275"/>
      <c r="AO318" s="275"/>
      <c r="AP318" s="275"/>
      <c r="AQ318" s="275"/>
      <c r="AR318" s="275"/>
      <c r="AS318" s="275"/>
      <c r="AT318" s="275"/>
      <c r="AU318" s="275"/>
      <c r="AV318" s="275"/>
      <c r="AW318" s="275"/>
      <c r="AX318" s="275"/>
      <c r="AY318" s="275"/>
      <c r="AZ318" s="275"/>
      <c r="BA318" s="275"/>
      <c r="BB318" s="275"/>
      <c r="BC318" s="275"/>
      <c r="BD318" s="275"/>
      <c r="BE318" s="275"/>
      <c r="BF318" s="275"/>
      <c r="BG318" s="275"/>
      <c r="BH318" s="275"/>
      <c r="BI318" s="275"/>
      <c r="BJ318" s="275"/>
    </row>
    <row r="319" spans="1:62">
      <c r="A319" s="595"/>
      <c r="B319" s="242"/>
      <c r="C319" s="243"/>
      <c r="E319" s="260"/>
      <c r="F319" s="275"/>
      <c r="G319" s="275"/>
      <c r="H319" s="275"/>
      <c r="I319" s="276"/>
      <c r="J319" s="260"/>
      <c r="K319" s="260"/>
      <c r="L319" s="260"/>
      <c r="M319" s="260"/>
      <c r="N319" s="260"/>
      <c r="O319" s="260"/>
      <c r="P319" s="260"/>
      <c r="Q319" s="260"/>
      <c r="R319" s="260"/>
      <c r="S319" s="260"/>
      <c r="T319" s="260"/>
      <c r="U319" s="260"/>
      <c r="V319" s="260"/>
      <c r="W319" s="260"/>
      <c r="X319" s="260"/>
      <c r="Y319" s="260"/>
      <c r="Z319" s="260"/>
      <c r="AA319" s="260"/>
      <c r="AB319" s="260"/>
      <c r="AC319" s="260"/>
      <c r="AD319" s="260"/>
      <c r="AE319" s="260"/>
      <c r="AF319" s="260"/>
      <c r="AG319" s="260"/>
      <c r="AH319" s="260"/>
      <c r="AI319" s="260"/>
      <c r="AJ319" s="260"/>
      <c r="AK319" s="260"/>
      <c r="AL319" s="260"/>
      <c r="AM319" s="275"/>
      <c r="AN319" s="275"/>
      <c r="AO319" s="275"/>
      <c r="AP319" s="275"/>
      <c r="AQ319" s="275"/>
      <c r="AR319" s="275"/>
      <c r="AS319" s="275"/>
      <c r="AT319" s="275"/>
      <c r="AU319" s="275"/>
      <c r="AV319" s="275"/>
      <c r="AW319" s="275"/>
      <c r="AX319" s="275"/>
      <c r="AY319" s="275"/>
      <c r="AZ319" s="275"/>
      <c r="BA319" s="275"/>
      <c r="BB319" s="275"/>
      <c r="BC319" s="275"/>
      <c r="BD319" s="275"/>
      <c r="BE319" s="275"/>
      <c r="BF319" s="275"/>
      <c r="BG319" s="275"/>
      <c r="BH319" s="275"/>
      <c r="BI319" s="275"/>
      <c r="BJ319" s="275"/>
    </row>
    <row r="320" spans="1:62">
      <c r="A320" s="595"/>
      <c r="B320" s="242"/>
      <c r="C320" s="243"/>
      <c r="E320" s="260"/>
      <c r="F320" s="275"/>
      <c r="G320" s="275"/>
      <c r="H320" s="275"/>
      <c r="I320" s="276"/>
      <c r="J320" s="260"/>
      <c r="K320" s="260"/>
      <c r="L320" s="260"/>
      <c r="M320" s="260"/>
      <c r="N320" s="260"/>
      <c r="O320" s="260"/>
      <c r="P320" s="260"/>
      <c r="Q320" s="260"/>
      <c r="R320" s="260"/>
      <c r="S320" s="260"/>
      <c r="T320" s="260"/>
      <c r="U320" s="260"/>
      <c r="V320" s="260"/>
      <c r="W320" s="260"/>
      <c r="X320" s="260"/>
      <c r="Y320" s="260"/>
      <c r="Z320" s="260"/>
      <c r="AA320" s="260"/>
      <c r="AB320" s="260"/>
      <c r="AC320" s="260"/>
      <c r="AD320" s="260"/>
      <c r="AE320" s="260"/>
      <c r="AF320" s="260"/>
      <c r="AG320" s="260"/>
      <c r="AH320" s="260"/>
      <c r="AI320" s="260"/>
      <c r="AJ320" s="260"/>
      <c r="AK320" s="260"/>
      <c r="AL320" s="260"/>
      <c r="AM320" s="275"/>
      <c r="AN320" s="275"/>
      <c r="AO320" s="275"/>
      <c r="AP320" s="275"/>
      <c r="AQ320" s="275"/>
      <c r="AR320" s="275"/>
      <c r="AS320" s="275"/>
      <c r="AT320" s="275"/>
      <c r="AU320" s="275"/>
      <c r="AV320" s="275"/>
      <c r="AW320" s="275"/>
      <c r="AX320" s="275"/>
      <c r="AY320" s="275"/>
      <c r="AZ320" s="275"/>
      <c r="BA320" s="275"/>
      <c r="BB320" s="275"/>
      <c r="BC320" s="275"/>
      <c r="BD320" s="275"/>
      <c r="BE320" s="275"/>
      <c r="BF320" s="275"/>
      <c r="BG320" s="275"/>
      <c r="BH320" s="275"/>
      <c r="BI320" s="275"/>
      <c r="BJ320" s="275"/>
    </row>
    <row r="321" spans="1:62">
      <c r="A321" s="595"/>
      <c r="B321" s="242"/>
      <c r="C321" s="243"/>
      <c r="E321" s="260"/>
      <c r="F321" s="275"/>
      <c r="G321" s="275"/>
      <c r="H321" s="275"/>
      <c r="I321" s="276"/>
      <c r="J321" s="260"/>
      <c r="K321" s="260"/>
      <c r="L321" s="260"/>
      <c r="M321" s="260"/>
      <c r="N321" s="260"/>
      <c r="O321" s="260"/>
      <c r="P321" s="260"/>
      <c r="Q321" s="260"/>
      <c r="R321" s="260"/>
      <c r="S321" s="260"/>
      <c r="T321" s="260"/>
      <c r="U321" s="260"/>
      <c r="V321" s="260"/>
      <c r="W321" s="260"/>
      <c r="X321" s="260"/>
      <c r="Y321" s="260"/>
      <c r="Z321" s="260"/>
      <c r="AA321" s="260"/>
      <c r="AB321" s="260"/>
      <c r="AC321" s="260"/>
      <c r="AD321" s="260"/>
      <c r="AE321" s="260"/>
      <c r="AF321" s="260"/>
      <c r="AG321" s="260"/>
      <c r="AH321" s="260"/>
      <c r="AI321" s="260"/>
      <c r="AJ321" s="260"/>
      <c r="AK321" s="260"/>
      <c r="AL321" s="260"/>
      <c r="AM321" s="275"/>
      <c r="AN321" s="275"/>
      <c r="AO321" s="275"/>
      <c r="AP321" s="275"/>
      <c r="AQ321" s="275"/>
      <c r="AR321" s="275"/>
      <c r="AS321" s="275"/>
      <c r="AT321" s="275"/>
      <c r="AU321" s="275"/>
      <c r="AV321" s="275"/>
      <c r="AW321" s="275"/>
      <c r="AX321" s="275"/>
      <c r="AY321" s="275"/>
      <c r="AZ321" s="275"/>
      <c r="BA321" s="275"/>
      <c r="BB321" s="275"/>
      <c r="BC321" s="275"/>
      <c r="BD321" s="275"/>
      <c r="BE321" s="275"/>
      <c r="BF321" s="275"/>
      <c r="BG321" s="275"/>
      <c r="BH321" s="275"/>
      <c r="BI321" s="275"/>
      <c r="BJ321" s="275"/>
    </row>
    <row r="322" spans="1:62">
      <c r="A322" s="595"/>
      <c r="B322" s="242"/>
      <c r="C322" s="243"/>
      <c r="E322" s="260"/>
      <c r="F322" s="275"/>
      <c r="G322" s="275"/>
      <c r="H322" s="275"/>
      <c r="I322" s="276"/>
      <c r="J322" s="260"/>
      <c r="K322" s="260"/>
      <c r="L322" s="260"/>
      <c r="M322" s="260"/>
      <c r="N322" s="260"/>
      <c r="O322" s="260"/>
      <c r="P322" s="260"/>
      <c r="Q322" s="260"/>
      <c r="R322" s="260"/>
      <c r="S322" s="260"/>
      <c r="T322" s="260"/>
      <c r="U322" s="260"/>
      <c r="V322" s="260"/>
      <c r="W322" s="260"/>
      <c r="X322" s="260"/>
      <c r="Y322" s="260"/>
      <c r="Z322" s="260"/>
      <c r="AA322" s="260"/>
      <c r="AB322" s="260"/>
      <c r="AC322" s="260"/>
      <c r="AD322" s="260"/>
      <c r="AE322" s="260"/>
      <c r="AF322" s="260"/>
      <c r="AG322" s="260"/>
      <c r="AH322" s="260"/>
      <c r="AI322" s="260"/>
      <c r="AJ322" s="260"/>
      <c r="AK322" s="260"/>
      <c r="AL322" s="260"/>
      <c r="AM322" s="275"/>
      <c r="AN322" s="275"/>
      <c r="AO322" s="275"/>
      <c r="AP322" s="275"/>
      <c r="AQ322" s="275"/>
      <c r="AR322" s="275"/>
      <c r="AS322" s="275"/>
      <c r="AT322" s="275"/>
      <c r="AU322" s="275"/>
      <c r="AV322" s="275"/>
      <c r="AW322" s="275"/>
      <c r="AX322" s="275"/>
      <c r="AY322" s="275"/>
      <c r="AZ322" s="275"/>
      <c r="BA322" s="275"/>
      <c r="BB322" s="275"/>
      <c r="BC322" s="275"/>
      <c r="BD322" s="275"/>
      <c r="BE322" s="275"/>
      <c r="BF322" s="275"/>
      <c r="BG322" s="275"/>
      <c r="BH322" s="275"/>
      <c r="BI322" s="275"/>
      <c r="BJ322" s="275"/>
    </row>
    <row r="323" spans="1:62">
      <c r="A323" s="595"/>
      <c r="B323" s="242"/>
      <c r="C323" s="243"/>
      <c r="E323" s="260"/>
      <c r="F323" s="275"/>
      <c r="G323" s="275"/>
      <c r="H323" s="275"/>
      <c r="I323" s="276"/>
      <c r="J323" s="260"/>
      <c r="K323" s="260"/>
      <c r="L323" s="260"/>
      <c r="M323" s="260"/>
      <c r="N323" s="260"/>
      <c r="O323" s="260"/>
      <c r="P323" s="260"/>
      <c r="Q323" s="260"/>
      <c r="R323" s="260"/>
      <c r="S323" s="260"/>
      <c r="T323" s="260"/>
      <c r="U323" s="260"/>
      <c r="V323" s="260"/>
      <c r="W323" s="260"/>
      <c r="X323" s="260"/>
      <c r="Y323" s="260"/>
      <c r="Z323" s="260"/>
      <c r="AA323" s="260"/>
      <c r="AB323" s="260"/>
      <c r="AC323" s="260"/>
      <c r="AD323" s="260"/>
      <c r="AE323" s="260"/>
      <c r="AF323" s="260"/>
      <c r="AG323" s="260"/>
      <c r="AH323" s="260"/>
      <c r="AI323" s="260"/>
      <c r="AJ323" s="260"/>
      <c r="AK323" s="260"/>
      <c r="AL323" s="260"/>
      <c r="AM323" s="275"/>
      <c r="AN323" s="275"/>
      <c r="AO323" s="275"/>
      <c r="AP323" s="275"/>
      <c r="AQ323" s="275"/>
      <c r="AR323" s="275"/>
      <c r="AS323" s="275"/>
      <c r="AT323" s="275"/>
      <c r="AU323" s="275"/>
      <c r="AV323" s="275"/>
      <c r="AW323" s="275"/>
      <c r="AX323" s="275"/>
      <c r="AY323" s="275"/>
      <c r="AZ323" s="275"/>
      <c r="BA323" s="275"/>
      <c r="BB323" s="275"/>
      <c r="BC323" s="275"/>
      <c r="BD323" s="275"/>
      <c r="BE323" s="275"/>
      <c r="BF323" s="275"/>
      <c r="BG323" s="275"/>
      <c r="BH323" s="275"/>
      <c r="BI323" s="275"/>
      <c r="BJ323" s="275"/>
    </row>
    <row r="324" spans="1:62">
      <c r="A324" s="595"/>
      <c r="B324" s="242"/>
      <c r="C324" s="243"/>
      <c r="E324" s="260"/>
      <c r="F324" s="275"/>
      <c r="G324" s="275"/>
      <c r="H324" s="275"/>
      <c r="I324" s="276"/>
      <c r="J324" s="260"/>
      <c r="K324" s="260"/>
      <c r="L324" s="260"/>
      <c r="M324" s="260"/>
      <c r="N324" s="260"/>
      <c r="O324" s="260"/>
      <c r="P324" s="260"/>
      <c r="Q324" s="260"/>
      <c r="R324" s="260"/>
      <c r="S324" s="260"/>
      <c r="T324" s="260"/>
      <c r="U324" s="260"/>
      <c r="V324" s="260"/>
      <c r="W324" s="260"/>
      <c r="X324" s="260"/>
      <c r="Y324" s="260"/>
      <c r="Z324" s="260"/>
      <c r="AA324" s="260"/>
      <c r="AB324" s="260"/>
      <c r="AC324" s="260"/>
      <c r="AD324" s="260"/>
      <c r="AE324" s="260"/>
      <c r="AF324" s="260"/>
      <c r="AG324" s="260"/>
      <c r="AH324" s="260"/>
      <c r="AI324" s="260"/>
      <c r="AJ324" s="260"/>
      <c r="AK324" s="260"/>
      <c r="AL324" s="260"/>
      <c r="AM324" s="275"/>
      <c r="AN324" s="275"/>
      <c r="AO324" s="275"/>
      <c r="AP324" s="275"/>
      <c r="AQ324" s="275"/>
      <c r="AR324" s="275"/>
      <c r="AS324" s="275"/>
      <c r="AT324" s="275"/>
      <c r="AU324" s="275"/>
      <c r="AV324" s="275"/>
      <c r="AW324" s="275"/>
      <c r="AX324" s="275"/>
      <c r="AY324" s="275"/>
      <c r="AZ324" s="275"/>
      <c r="BA324" s="275"/>
      <c r="BB324" s="275"/>
      <c r="BC324" s="275"/>
      <c r="BD324" s="275"/>
      <c r="BE324" s="275"/>
      <c r="BF324" s="275"/>
      <c r="BG324" s="275"/>
      <c r="BH324" s="275"/>
      <c r="BI324" s="275"/>
      <c r="BJ324" s="275"/>
    </row>
    <row r="325" spans="1:62">
      <c r="A325" s="595"/>
      <c r="B325" s="242"/>
      <c r="C325" s="243"/>
      <c r="E325" s="260"/>
      <c r="F325" s="275"/>
      <c r="G325" s="275"/>
      <c r="H325" s="275"/>
      <c r="I325" s="276"/>
      <c r="J325" s="260"/>
      <c r="K325" s="260"/>
      <c r="L325" s="260"/>
      <c r="M325" s="260"/>
      <c r="N325" s="260"/>
      <c r="O325" s="260"/>
      <c r="P325" s="260"/>
      <c r="Q325" s="260"/>
      <c r="R325" s="260"/>
      <c r="S325" s="260"/>
      <c r="T325" s="260"/>
      <c r="U325" s="260"/>
      <c r="V325" s="260"/>
      <c r="W325" s="260"/>
      <c r="X325" s="260"/>
      <c r="Y325" s="260"/>
      <c r="Z325" s="260"/>
      <c r="AA325" s="260"/>
      <c r="AB325" s="260"/>
      <c r="AC325" s="260"/>
      <c r="AD325" s="260"/>
      <c r="AE325" s="260"/>
      <c r="AF325" s="260"/>
      <c r="AG325" s="260"/>
      <c r="AH325" s="260"/>
      <c r="AI325" s="260"/>
      <c r="AJ325" s="260"/>
      <c r="AK325" s="260"/>
      <c r="AL325" s="260"/>
      <c r="AM325" s="275"/>
      <c r="AN325" s="275"/>
      <c r="AO325" s="275"/>
      <c r="AP325" s="275"/>
      <c r="AQ325" s="275"/>
      <c r="AR325" s="275"/>
      <c r="AS325" s="275"/>
      <c r="AT325" s="275"/>
      <c r="AU325" s="275"/>
      <c r="AV325" s="275"/>
      <c r="AW325" s="275"/>
      <c r="AX325" s="275"/>
      <c r="AY325" s="275"/>
      <c r="AZ325" s="275"/>
      <c r="BA325" s="275"/>
      <c r="BB325" s="275"/>
      <c r="BC325" s="275"/>
      <c r="BD325" s="275"/>
      <c r="BE325" s="275"/>
      <c r="BF325" s="275"/>
      <c r="BG325" s="275"/>
      <c r="BH325" s="275"/>
      <c r="BI325" s="275"/>
      <c r="BJ325" s="275"/>
    </row>
    <row r="326" spans="1:62">
      <c r="A326" s="595"/>
      <c r="B326" s="242"/>
      <c r="C326" s="243"/>
      <c r="E326" s="260"/>
      <c r="F326" s="275"/>
      <c r="G326" s="275"/>
      <c r="H326" s="275"/>
      <c r="I326" s="276"/>
      <c r="J326" s="260"/>
      <c r="K326" s="260"/>
      <c r="L326" s="260"/>
      <c r="M326" s="260"/>
      <c r="N326" s="260"/>
      <c r="O326" s="260"/>
      <c r="P326" s="260"/>
      <c r="Q326" s="260"/>
      <c r="R326" s="260"/>
      <c r="S326" s="260"/>
      <c r="T326" s="260"/>
      <c r="U326" s="260"/>
      <c r="V326" s="260"/>
      <c r="W326" s="260"/>
      <c r="X326" s="260"/>
      <c r="Y326" s="260"/>
      <c r="Z326" s="260"/>
      <c r="AA326" s="260"/>
      <c r="AB326" s="260"/>
      <c r="AC326" s="260"/>
      <c r="AD326" s="260"/>
      <c r="AE326" s="260"/>
      <c r="AF326" s="260"/>
      <c r="AG326" s="260"/>
      <c r="AH326" s="260"/>
      <c r="AI326" s="260"/>
      <c r="AJ326" s="260"/>
      <c r="AK326" s="260"/>
      <c r="AL326" s="260"/>
      <c r="AM326" s="275"/>
      <c r="AN326" s="275"/>
      <c r="AO326" s="275"/>
      <c r="AP326" s="275"/>
      <c r="AQ326" s="275"/>
      <c r="AR326" s="275"/>
      <c r="AS326" s="275"/>
      <c r="AT326" s="275"/>
      <c r="AU326" s="275"/>
      <c r="AV326" s="275"/>
      <c r="AW326" s="275"/>
      <c r="AX326" s="275"/>
      <c r="AY326" s="275"/>
      <c r="AZ326" s="275"/>
      <c r="BA326" s="275"/>
      <c r="BB326" s="275"/>
      <c r="BC326" s="275"/>
      <c r="BD326" s="275"/>
      <c r="BE326" s="275"/>
      <c r="BF326" s="275"/>
      <c r="BG326" s="275"/>
      <c r="BH326" s="275"/>
      <c r="BI326" s="275"/>
      <c r="BJ326" s="275"/>
    </row>
    <row r="327" spans="1:62">
      <c r="A327" s="595"/>
      <c r="B327" s="242"/>
      <c r="C327" s="243"/>
      <c r="E327" s="260"/>
      <c r="F327" s="275"/>
      <c r="G327" s="275"/>
      <c r="H327" s="275"/>
      <c r="I327" s="276"/>
      <c r="J327" s="260"/>
      <c r="K327" s="260"/>
      <c r="L327" s="260"/>
      <c r="M327" s="260"/>
      <c r="N327" s="260"/>
      <c r="O327" s="260"/>
      <c r="P327" s="260"/>
      <c r="Q327" s="260"/>
      <c r="R327" s="260"/>
      <c r="S327" s="260"/>
      <c r="T327" s="260"/>
      <c r="U327" s="260"/>
      <c r="V327" s="260"/>
      <c r="W327" s="260"/>
      <c r="X327" s="260"/>
      <c r="Y327" s="260"/>
      <c r="Z327" s="260"/>
      <c r="AA327" s="260"/>
      <c r="AB327" s="260"/>
      <c r="AC327" s="260"/>
      <c r="AD327" s="260"/>
      <c r="AE327" s="260"/>
      <c r="AF327" s="260"/>
      <c r="AG327" s="260"/>
      <c r="AH327" s="260"/>
      <c r="AI327" s="260"/>
      <c r="AJ327" s="260"/>
      <c r="AK327" s="260"/>
      <c r="AL327" s="260"/>
      <c r="AM327" s="275"/>
      <c r="AN327" s="275"/>
      <c r="AO327" s="275"/>
      <c r="AP327" s="275"/>
      <c r="AQ327" s="275"/>
      <c r="AR327" s="275"/>
      <c r="AS327" s="275"/>
      <c r="AT327" s="275"/>
      <c r="AU327" s="275"/>
      <c r="AV327" s="275"/>
      <c r="AW327" s="275"/>
      <c r="AX327" s="275"/>
      <c r="AY327" s="275"/>
      <c r="AZ327" s="275"/>
      <c r="BA327" s="275"/>
      <c r="BB327" s="275"/>
      <c r="BC327" s="275"/>
      <c r="BD327" s="275"/>
      <c r="BE327" s="275"/>
      <c r="BF327" s="275"/>
      <c r="BG327" s="275"/>
      <c r="BH327" s="275"/>
      <c r="BI327" s="275"/>
      <c r="BJ327" s="275"/>
    </row>
    <row r="328" spans="1:62">
      <c r="A328" s="595"/>
      <c r="B328" s="242"/>
      <c r="C328" s="243"/>
      <c r="E328" s="260"/>
      <c r="F328" s="275"/>
      <c r="G328" s="275"/>
      <c r="H328" s="275"/>
      <c r="I328" s="276"/>
      <c r="J328" s="260"/>
      <c r="K328" s="260"/>
      <c r="L328" s="260"/>
      <c r="M328" s="260"/>
      <c r="N328" s="260"/>
      <c r="O328" s="260"/>
      <c r="P328" s="260"/>
      <c r="Q328" s="260"/>
      <c r="R328" s="260"/>
      <c r="S328" s="260"/>
      <c r="T328" s="260"/>
      <c r="U328" s="260"/>
      <c r="V328" s="260"/>
      <c r="W328" s="260"/>
      <c r="X328" s="260"/>
      <c r="Y328" s="260"/>
      <c r="Z328" s="260"/>
      <c r="AA328" s="260"/>
      <c r="AB328" s="260"/>
      <c r="AC328" s="260"/>
      <c r="AD328" s="260"/>
      <c r="AE328" s="260"/>
      <c r="AF328" s="260"/>
      <c r="AG328" s="260"/>
      <c r="AH328" s="260"/>
      <c r="AI328" s="260"/>
      <c r="AJ328" s="260"/>
      <c r="AK328" s="260"/>
      <c r="AL328" s="260"/>
      <c r="AM328" s="275"/>
      <c r="AN328" s="275"/>
      <c r="AO328" s="275"/>
      <c r="AP328" s="275"/>
      <c r="AQ328" s="275"/>
      <c r="AR328" s="275"/>
      <c r="AS328" s="275"/>
      <c r="AT328" s="275"/>
      <c r="AU328" s="275"/>
      <c r="AV328" s="275"/>
      <c r="AW328" s="275"/>
      <c r="AX328" s="275"/>
      <c r="AY328" s="275"/>
      <c r="AZ328" s="275"/>
      <c r="BA328" s="275"/>
      <c r="BB328" s="275"/>
      <c r="BC328" s="275"/>
      <c r="BD328" s="275"/>
      <c r="BE328" s="275"/>
      <c r="BF328" s="275"/>
      <c r="BG328" s="275"/>
      <c r="BH328" s="275"/>
      <c r="BI328" s="275"/>
      <c r="BJ328" s="275"/>
    </row>
    <row r="329" spans="1:62">
      <c r="A329" s="595"/>
      <c r="B329" s="242"/>
      <c r="C329" s="243"/>
      <c r="E329" s="260"/>
      <c r="F329" s="275"/>
      <c r="G329" s="275"/>
      <c r="H329" s="275"/>
      <c r="I329" s="276"/>
      <c r="J329" s="260"/>
      <c r="K329" s="260"/>
      <c r="L329" s="260"/>
      <c r="M329" s="260"/>
      <c r="N329" s="260"/>
      <c r="O329" s="260"/>
      <c r="P329" s="260"/>
      <c r="Q329" s="260"/>
      <c r="R329" s="260"/>
      <c r="S329" s="260"/>
      <c r="T329" s="260"/>
      <c r="U329" s="260"/>
      <c r="V329" s="260"/>
      <c r="W329" s="260"/>
      <c r="X329" s="260"/>
      <c r="Y329" s="260"/>
      <c r="Z329" s="260"/>
      <c r="AA329" s="260"/>
      <c r="AB329" s="260"/>
      <c r="AC329" s="260"/>
      <c r="AD329" s="260"/>
      <c r="AE329" s="260"/>
      <c r="AF329" s="260"/>
      <c r="AG329" s="260"/>
      <c r="AH329" s="260"/>
      <c r="AI329" s="260"/>
      <c r="AJ329" s="260"/>
      <c r="AK329" s="260"/>
      <c r="AL329" s="260"/>
      <c r="AM329" s="275"/>
      <c r="AN329" s="275"/>
      <c r="AO329" s="275"/>
      <c r="AP329" s="275"/>
      <c r="AQ329" s="275"/>
      <c r="AR329" s="275"/>
      <c r="AS329" s="275"/>
      <c r="AT329" s="275"/>
      <c r="AU329" s="275"/>
      <c r="AV329" s="275"/>
      <c r="AW329" s="275"/>
      <c r="AX329" s="275"/>
      <c r="AY329" s="275"/>
      <c r="AZ329" s="275"/>
      <c r="BA329" s="275"/>
      <c r="BB329" s="275"/>
      <c r="BC329" s="275"/>
      <c r="BD329" s="275"/>
      <c r="BE329" s="275"/>
      <c r="BF329" s="275"/>
      <c r="BG329" s="275"/>
      <c r="BH329" s="275"/>
      <c r="BI329" s="275"/>
      <c r="BJ329" s="275"/>
    </row>
    <row r="330" spans="1:62">
      <c r="A330" s="595"/>
      <c r="B330" s="242"/>
      <c r="C330" s="243"/>
      <c r="E330" s="260"/>
      <c r="F330" s="275"/>
      <c r="G330" s="275"/>
      <c r="H330" s="275"/>
      <c r="I330" s="276"/>
      <c r="J330" s="260"/>
      <c r="K330" s="260"/>
      <c r="L330" s="260"/>
      <c r="M330" s="260"/>
      <c r="N330" s="260"/>
      <c r="O330" s="260"/>
      <c r="P330" s="260"/>
      <c r="Q330" s="260"/>
      <c r="R330" s="260"/>
      <c r="S330" s="260"/>
      <c r="T330" s="260"/>
      <c r="U330" s="260"/>
      <c r="V330" s="260"/>
      <c r="W330" s="260"/>
      <c r="X330" s="260"/>
      <c r="Y330" s="260"/>
      <c r="Z330" s="260"/>
      <c r="AA330" s="260"/>
      <c r="AB330" s="260"/>
      <c r="AC330" s="260"/>
      <c r="AD330" s="260"/>
      <c r="AE330" s="260"/>
      <c r="AF330" s="260"/>
      <c r="AG330" s="260"/>
      <c r="AH330" s="260"/>
      <c r="AI330" s="260"/>
      <c r="AJ330" s="260"/>
      <c r="AK330" s="260"/>
      <c r="AL330" s="260"/>
      <c r="AM330" s="275"/>
      <c r="AN330" s="275"/>
      <c r="AO330" s="275"/>
      <c r="AP330" s="275"/>
      <c r="AQ330" s="275"/>
      <c r="AR330" s="275"/>
      <c r="AS330" s="275"/>
      <c r="AT330" s="275"/>
      <c r="AU330" s="275"/>
      <c r="AV330" s="275"/>
      <c r="AW330" s="275"/>
      <c r="AX330" s="275"/>
      <c r="AY330" s="275"/>
      <c r="AZ330" s="275"/>
      <c r="BA330" s="275"/>
      <c r="BB330" s="275"/>
      <c r="BC330" s="275"/>
      <c r="BD330" s="275"/>
      <c r="BE330" s="275"/>
      <c r="BF330" s="275"/>
      <c r="BG330" s="275"/>
      <c r="BH330" s="275"/>
      <c r="BI330" s="275"/>
      <c r="BJ330" s="275"/>
    </row>
    <row r="331" spans="1:62">
      <c r="A331" s="595"/>
      <c r="B331" s="242"/>
      <c r="C331" s="243"/>
      <c r="E331" s="260"/>
      <c r="F331" s="275"/>
      <c r="G331" s="275"/>
      <c r="H331" s="275"/>
      <c r="I331" s="276"/>
      <c r="J331" s="260"/>
      <c r="K331" s="260"/>
      <c r="L331" s="260"/>
      <c r="M331" s="260"/>
      <c r="N331" s="260"/>
      <c r="O331" s="260"/>
      <c r="P331" s="260"/>
      <c r="Q331" s="260"/>
      <c r="R331" s="260"/>
      <c r="S331" s="260"/>
      <c r="T331" s="260"/>
      <c r="U331" s="260"/>
      <c r="V331" s="260"/>
      <c r="W331" s="260"/>
      <c r="X331" s="260"/>
      <c r="Y331" s="260"/>
      <c r="Z331" s="260"/>
      <c r="AA331" s="260"/>
      <c r="AB331" s="260"/>
      <c r="AC331" s="260"/>
      <c r="AD331" s="260"/>
      <c r="AE331" s="260"/>
      <c r="AF331" s="260"/>
      <c r="AG331" s="260"/>
      <c r="AH331" s="260"/>
      <c r="AI331" s="260"/>
      <c r="AJ331" s="260"/>
      <c r="AK331" s="260"/>
      <c r="AL331" s="260"/>
      <c r="AM331" s="275"/>
      <c r="AN331" s="275"/>
      <c r="AO331" s="275"/>
      <c r="AP331" s="275"/>
      <c r="AQ331" s="275"/>
      <c r="AR331" s="275"/>
      <c r="AS331" s="275"/>
      <c r="AT331" s="275"/>
      <c r="AU331" s="275"/>
      <c r="AV331" s="275"/>
      <c r="AW331" s="275"/>
      <c r="AX331" s="275"/>
      <c r="AY331" s="275"/>
      <c r="AZ331" s="275"/>
      <c r="BA331" s="275"/>
      <c r="BB331" s="275"/>
      <c r="BC331" s="275"/>
      <c r="BD331" s="275"/>
      <c r="BE331" s="275"/>
      <c r="BF331" s="275"/>
      <c r="BG331" s="275"/>
      <c r="BH331" s="275"/>
      <c r="BI331" s="275"/>
      <c r="BJ331" s="275"/>
    </row>
    <row r="332" spans="1:62">
      <c r="A332" s="595"/>
      <c r="B332" s="242"/>
      <c r="C332" s="243"/>
      <c r="E332" s="260"/>
      <c r="F332" s="275"/>
      <c r="G332" s="275"/>
      <c r="H332" s="275"/>
      <c r="I332" s="276"/>
      <c r="J332" s="260"/>
      <c r="K332" s="260"/>
      <c r="L332" s="260"/>
      <c r="M332" s="260"/>
      <c r="N332" s="260"/>
      <c r="O332" s="260"/>
      <c r="P332" s="260"/>
      <c r="Q332" s="260"/>
      <c r="R332" s="260"/>
      <c r="S332" s="260"/>
      <c r="T332" s="260"/>
      <c r="U332" s="260"/>
      <c r="V332" s="260"/>
      <c r="W332" s="260"/>
      <c r="X332" s="260"/>
      <c r="Y332" s="260"/>
      <c r="Z332" s="260"/>
      <c r="AA332" s="260"/>
      <c r="AB332" s="260"/>
      <c r="AC332" s="260"/>
      <c r="AD332" s="260"/>
      <c r="AE332" s="260"/>
      <c r="AF332" s="260"/>
      <c r="AG332" s="260"/>
      <c r="AH332" s="260"/>
      <c r="AI332" s="260"/>
      <c r="AJ332" s="260"/>
      <c r="AK332" s="260"/>
      <c r="AL332" s="260"/>
      <c r="AM332" s="275"/>
      <c r="AN332" s="275"/>
      <c r="AO332" s="275"/>
      <c r="AP332" s="275"/>
      <c r="AQ332" s="275"/>
      <c r="AR332" s="275"/>
      <c r="AS332" s="275"/>
      <c r="AT332" s="275"/>
      <c r="AU332" s="275"/>
      <c r="AV332" s="275"/>
      <c r="AW332" s="275"/>
      <c r="AX332" s="275"/>
      <c r="AY332" s="275"/>
      <c r="AZ332" s="275"/>
      <c r="BA332" s="275"/>
      <c r="BB332" s="275"/>
      <c r="BC332" s="275"/>
      <c r="BD332" s="275"/>
      <c r="BE332" s="275"/>
      <c r="BF332" s="275"/>
      <c r="BG332" s="275"/>
      <c r="BH332" s="275"/>
      <c r="BI332" s="275"/>
      <c r="BJ332" s="275"/>
    </row>
    <row r="333" spans="1:62">
      <c r="A333" s="595"/>
      <c r="B333" s="242"/>
      <c r="C333" s="243"/>
      <c r="E333" s="260"/>
      <c r="F333" s="275"/>
      <c r="G333" s="275"/>
      <c r="H333" s="275"/>
      <c r="I333" s="276"/>
      <c r="J333" s="260"/>
      <c r="K333" s="260"/>
      <c r="L333" s="260"/>
      <c r="M333" s="260"/>
      <c r="N333" s="260"/>
      <c r="O333" s="260"/>
      <c r="P333" s="260"/>
      <c r="Q333" s="260"/>
      <c r="R333" s="260"/>
      <c r="S333" s="260"/>
      <c r="T333" s="260"/>
      <c r="U333" s="260"/>
      <c r="V333" s="260"/>
      <c r="W333" s="260"/>
      <c r="X333" s="260"/>
      <c r="Y333" s="260"/>
      <c r="Z333" s="260"/>
      <c r="AA333" s="260"/>
      <c r="AB333" s="260"/>
      <c r="AC333" s="260"/>
      <c r="AD333" s="260"/>
      <c r="AE333" s="260"/>
      <c r="AF333" s="260"/>
      <c r="AG333" s="260"/>
      <c r="AH333" s="260"/>
      <c r="AI333" s="260"/>
      <c r="AJ333" s="260"/>
      <c r="AK333" s="260"/>
      <c r="AL333" s="260"/>
      <c r="AM333" s="275"/>
      <c r="AN333" s="275"/>
      <c r="AO333" s="275"/>
      <c r="AP333" s="275"/>
      <c r="AQ333" s="275"/>
      <c r="AR333" s="275"/>
      <c r="AS333" s="275"/>
      <c r="AT333" s="275"/>
      <c r="AU333" s="275"/>
      <c r="AV333" s="275"/>
      <c r="AW333" s="275"/>
      <c r="AX333" s="275"/>
      <c r="AY333" s="275"/>
      <c r="AZ333" s="275"/>
      <c r="BA333" s="275"/>
      <c r="BB333" s="275"/>
      <c r="BC333" s="275"/>
      <c r="BD333" s="275"/>
      <c r="BE333" s="275"/>
      <c r="BF333" s="275"/>
      <c r="BG333" s="275"/>
      <c r="BH333" s="275"/>
      <c r="BI333" s="275"/>
      <c r="BJ333" s="275"/>
    </row>
    <row r="334" spans="1:62">
      <c r="A334" s="595"/>
      <c r="B334" s="242"/>
      <c r="C334" s="243"/>
      <c r="E334" s="260"/>
      <c r="F334" s="275"/>
      <c r="G334" s="275"/>
      <c r="H334" s="275"/>
      <c r="I334" s="276"/>
      <c r="J334" s="260"/>
      <c r="K334" s="260"/>
      <c r="L334" s="260"/>
      <c r="M334" s="260"/>
      <c r="N334" s="260"/>
      <c r="O334" s="260"/>
      <c r="P334" s="260"/>
      <c r="Q334" s="260"/>
      <c r="R334" s="260"/>
      <c r="S334" s="260"/>
      <c r="T334" s="260"/>
      <c r="U334" s="260"/>
      <c r="V334" s="260"/>
      <c r="W334" s="260"/>
      <c r="X334" s="260"/>
      <c r="Y334" s="260"/>
      <c r="Z334" s="260"/>
      <c r="AA334" s="260"/>
      <c r="AB334" s="260"/>
      <c r="AC334" s="260"/>
      <c r="AD334" s="260"/>
      <c r="AE334" s="260"/>
      <c r="AF334" s="260"/>
      <c r="AG334" s="260"/>
      <c r="AH334" s="260"/>
      <c r="AI334" s="260"/>
      <c r="AJ334" s="260"/>
      <c r="AK334" s="260"/>
      <c r="AL334" s="260"/>
      <c r="AM334" s="275"/>
      <c r="AN334" s="275"/>
      <c r="AO334" s="275"/>
      <c r="AP334" s="275"/>
      <c r="AQ334" s="275"/>
      <c r="AR334" s="275"/>
      <c r="AS334" s="275"/>
      <c r="AT334" s="275"/>
      <c r="AU334" s="275"/>
      <c r="AV334" s="275"/>
      <c r="AW334" s="275"/>
      <c r="AX334" s="275"/>
      <c r="AY334" s="275"/>
      <c r="AZ334" s="275"/>
      <c r="BA334" s="275"/>
      <c r="BB334" s="275"/>
      <c r="BC334" s="275"/>
      <c r="BD334" s="275"/>
      <c r="BE334" s="275"/>
      <c r="BF334" s="275"/>
      <c r="BG334" s="275"/>
      <c r="BH334" s="275"/>
      <c r="BI334" s="275"/>
      <c r="BJ334" s="275"/>
    </row>
    <row r="335" spans="1:62">
      <c r="A335" s="595"/>
      <c r="B335" s="242"/>
      <c r="C335" s="243"/>
      <c r="E335" s="260"/>
      <c r="F335" s="275"/>
      <c r="G335" s="275"/>
      <c r="H335" s="275"/>
      <c r="I335" s="276"/>
      <c r="J335" s="260"/>
      <c r="K335" s="260"/>
      <c r="L335" s="260"/>
      <c r="M335" s="260"/>
      <c r="N335" s="260"/>
      <c r="O335" s="260"/>
      <c r="P335" s="260"/>
      <c r="Q335" s="260"/>
      <c r="R335" s="260"/>
      <c r="S335" s="260"/>
      <c r="T335" s="260"/>
      <c r="U335" s="260"/>
      <c r="V335" s="260"/>
      <c r="W335" s="260"/>
      <c r="X335" s="260"/>
      <c r="Y335" s="260"/>
      <c r="Z335" s="260"/>
      <c r="AA335" s="260"/>
      <c r="AB335" s="260"/>
      <c r="AC335" s="260"/>
      <c r="AD335" s="260"/>
      <c r="AE335" s="260"/>
      <c r="AF335" s="260"/>
      <c r="AG335" s="260"/>
      <c r="AH335" s="260"/>
      <c r="AI335" s="260"/>
      <c r="AJ335" s="260"/>
      <c r="AK335" s="260"/>
      <c r="AL335" s="260"/>
      <c r="AM335" s="275"/>
      <c r="AN335" s="275"/>
      <c r="AO335" s="275"/>
      <c r="AP335" s="275"/>
      <c r="AQ335" s="275"/>
      <c r="AR335" s="275"/>
      <c r="AS335" s="275"/>
      <c r="AT335" s="275"/>
      <c r="AU335" s="275"/>
      <c r="AV335" s="275"/>
      <c r="AW335" s="275"/>
      <c r="AX335" s="275"/>
      <c r="AY335" s="275"/>
      <c r="AZ335" s="275"/>
      <c r="BA335" s="275"/>
      <c r="BB335" s="275"/>
      <c r="BC335" s="275"/>
      <c r="BD335" s="275"/>
      <c r="BE335" s="275"/>
      <c r="BF335" s="275"/>
      <c r="BG335" s="275"/>
      <c r="BH335" s="275"/>
      <c r="BI335" s="275"/>
      <c r="BJ335" s="275"/>
    </row>
    <row r="336" spans="1:62">
      <c r="A336" s="595"/>
      <c r="B336" s="242"/>
      <c r="C336" s="243"/>
      <c r="E336" s="260"/>
      <c r="F336" s="275"/>
      <c r="G336" s="275"/>
      <c r="H336" s="275"/>
      <c r="I336" s="276"/>
      <c r="J336" s="260"/>
      <c r="K336" s="260"/>
      <c r="L336" s="260"/>
      <c r="M336" s="260"/>
      <c r="N336" s="260"/>
      <c r="O336" s="260"/>
      <c r="P336" s="260"/>
      <c r="Q336" s="260"/>
      <c r="R336" s="260"/>
      <c r="S336" s="260"/>
      <c r="T336" s="260"/>
      <c r="U336" s="260"/>
      <c r="V336" s="260"/>
      <c r="W336" s="260"/>
      <c r="X336" s="260"/>
      <c r="Y336" s="260"/>
      <c r="Z336" s="260"/>
      <c r="AA336" s="260"/>
      <c r="AB336" s="260"/>
      <c r="AC336" s="260"/>
      <c r="AD336" s="260"/>
      <c r="AE336" s="260"/>
      <c r="AF336" s="260"/>
      <c r="AG336" s="260"/>
      <c r="AH336" s="260"/>
      <c r="AI336" s="260"/>
      <c r="AJ336" s="260"/>
      <c r="AK336" s="260"/>
      <c r="AL336" s="260"/>
      <c r="AM336" s="275"/>
      <c r="AN336" s="275"/>
      <c r="AO336" s="275"/>
      <c r="AP336" s="275"/>
      <c r="AQ336" s="275"/>
      <c r="AR336" s="275"/>
      <c r="AS336" s="275"/>
      <c r="AT336" s="275"/>
      <c r="AU336" s="275"/>
      <c r="AV336" s="275"/>
      <c r="AW336" s="275"/>
      <c r="AX336" s="275"/>
      <c r="AY336" s="275"/>
      <c r="AZ336" s="275"/>
      <c r="BA336" s="275"/>
      <c r="BB336" s="275"/>
      <c r="BC336" s="275"/>
      <c r="BD336" s="275"/>
      <c r="BE336" s="275"/>
      <c r="BF336" s="275"/>
      <c r="BG336" s="275"/>
      <c r="BH336" s="275"/>
      <c r="BI336" s="275"/>
      <c r="BJ336" s="275"/>
    </row>
    <row r="337" spans="1:62">
      <c r="A337" s="595"/>
      <c r="B337" s="242"/>
      <c r="C337" s="243"/>
      <c r="E337" s="260"/>
      <c r="F337" s="275"/>
      <c r="G337" s="275"/>
      <c r="H337" s="275"/>
      <c r="I337" s="276"/>
      <c r="J337" s="260"/>
      <c r="K337" s="260"/>
      <c r="L337" s="260"/>
      <c r="M337" s="260"/>
      <c r="N337" s="260"/>
      <c r="O337" s="260"/>
      <c r="P337" s="260"/>
      <c r="Q337" s="260"/>
      <c r="R337" s="260"/>
      <c r="S337" s="260"/>
      <c r="T337" s="260"/>
      <c r="U337" s="260"/>
      <c r="V337" s="260"/>
      <c r="W337" s="260"/>
      <c r="X337" s="260"/>
      <c r="Y337" s="260"/>
      <c r="Z337" s="260"/>
      <c r="AA337" s="260"/>
      <c r="AB337" s="260"/>
      <c r="AC337" s="260"/>
      <c r="AD337" s="260"/>
      <c r="AE337" s="260"/>
      <c r="AF337" s="260"/>
      <c r="AG337" s="260"/>
      <c r="AH337" s="260"/>
      <c r="AI337" s="260"/>
      <c r="AJ337" s="260"/>
      <c r="AK337" s="260"/>
      <c r="AL337" s="260"/>
      <c r="AM337" s="275"/>
      <c r="AN337" s="275"/>
      <c r="AO337" s="275"/>
      <c r="AP337" s="275"/>
      <c r="AQ337" s="275"/>
      <c r="AR337" s="275"/>
      <c r="AS337" s="275"/>
      <c r="AT337" s="275"/>
      <c r="AU337" s="275"/>
      <c r="AV337" s="275"/>
      <c r="AW337" s="275"/>
      <c r="AX337" s="275"/>
      <c r="AY337" s="275"/>
      <c r="AZ337" s="275"/>
      <c r="BA337" s="275"/>
      <c r="BB337" s="275"/>
      <c r="BC337" s="275"/>
      <c r="BD337" s="275"/>
      <c r="BE337" s="275"/>
      <c r="BF337" s="275"/>
      <c r="BG337" s="275"/>
      <c r="BH337" s="275"/>
      <c r="BI337" s="275"/>
      <c r="BJ337" s="275"/>
    </row>
    <row r="338" spans="1:62">
      <c r="A338" s="595"/>
      <c r="B338" s="242"/>
      <c r="C338" s="243"/>
      <c r="E338" s="260"/>
      <c r="F338" s="275"/>
      <c r="G338" s="275"/>
      <c r="H338" s="275"/>
      <c r="I338" s="276"/>
      <c r="J338" s="260"/>
      <c r="K338" s="260"/>
      <c r="L338" s="260"/>
      <c r="M338" s="260"/>
      <c r="N338" s="260"/>
      <c r="O338" s="260"/>
      <c r="P338" s="260"/>
      <c r="Q338" s="260"/>
      <c r="R338" s="260"/>
      <c r="S338" s="260"/>
      <c r="T338" s="260"/>
      <c r="U338" s="260"/>
      <c r="V338" s="260"/>
      <c r="W338" s="260"/>
      <c r="X338" s="260"/>
      <c r="Y338" s="260"/>
      <c r="Z338" s="260"/>
      <c r="AA338" s="260"/>
      <c r="AB338" s="260"/>
      <c r="AC338" s="260"/>
      <c r="AD338" s="260"/>
      <c r="AE338" s="260"/>
      <c r="AF338" s="260"/>
      <c r="AG338" s="260"/>
      <c r="AH338" s="260"/>
      <c r="AI338" s="260"/>
      <c r="AJ338" s="260"/>
      <c r="AK338" s="260"/>
      <c r="AL338" s="260"/>
      <c r="AM338" s="275"/>
      <c r="AN338" s="275"/>
      <c r="AO338" s="275"/>
      <c r="AP338" s="275"/>
      <c r="AQ338" s="275"/>
      <c r="AR338" s="275"/>
      <c r="AS338" s="275"/>
      <c r="AT338" s="275"/>
      <c r="AU338" s="275"/>
      <c r="AV338" s="275"/>
      <c r="AW338" s="275"/>
      <c r="AX338" s="275"/>
      <c r="AY338" s="275"/>
      <c r="AZ338" s="275"/>
      <c r="BA338" s="275"/>
      <c r="BB338" s="275"/>
      <c r="BC338" s="275"/>
      <c r="BD338" s="275"/>
      <c r="BE338" s="275"/>
      <c r="BF338" s="275"/>
      <c r="BG338" s="275"/>
      <c r="BH338" s="275"/>
      <c r="BI338" s="275"/>
      <c r="BJ338" s="275"/>
    </row>
    <row r="339" spans="1:62">
      <c r="A339" s="595"/>
      <c r="B339" s="242"/>
      <c r="C339" s="243"/>
      <c r="E339" s="260"/>
      <c r="F339" s="275"/>
      <c r="G339" s="275"/>
      <c r="H339" s="275"/>
      <c r="I339" s="276"/>
      <c r="J339" s="260"/>
      <c r="K339" s="260"/>
      <c r="L339" s="260"/>
      <c r="M339" s="260"/>
      <c r="N339" s="260"/>
      <c r="O339" s="260"/>
      <c r="P339" s="260"/>
      <c r="Q339" s="260"/>
      <c r="R339" s="260"/>
      <c r="S339" s="260"/>
      <c r="T339" s="260"/>
      <c r="U339" s="260"/>
      <c r="V339" s="260"/>
      <c r="W339" s="260"/>
      <c r="X339" s="260"/>
      <c r="Y339" s="260"/>
      <c r="Z339" s="260"/>
      <c r="AA339" s="260"/>
      <c r="AB339" s="260"/>
      <c r="AC339" s="260"/>
      <c r="AD339" s="260"/>
      <c r="AE339" s="260"/>
      <c r="AF339" s="260"/>
      <c r="AG339" s="260"/>
      <c r="AH339" s="260"/>
      <c r="AI339" s="260"/>
      <c r="AJ339" s="260"/>
      <c r="AK339" s="260"/>
      <c r="AL339" s="260"/>
      <c r="AM339" s="275"/>
      <c r="AN339" s="275"/>
      <c r="AO339" s="275"/>
      <c r="AP339" s="275"/>
      <c r="AQ339" s="275"/>
      <c r="AR339" s="275"/>
      <c r="AS339" s="275"/>
      <c r="AT339" s="275"/>
      <c r="AU339" s="275"/>
      <c r="AV339" s="275"/>
      <c r="AW339" s="275"/>
      <c r="AX339" s="275"/>
      <c r="AY339" s="275"/>
      <c r="AZ339" s="275"/>
      <c r="BA339" s="275"/>
      <c r="BB339" s="275"/>
      <c r="BC339" s="275"/>
      <c r="BD339" s="275"/>
      <c r="BE339" s="275"/>
      <c r="BF339" s="275"/>
      <c r="BG339" s="275"/>
      <c r="BH339" s="275"/>
      <c r="BI339" s="275"/>
      <c r="BJ339" s="275"/>
    </row>
    <row r="340" spans="1:62">
      <c r="A340" s="595"/>
      <c r="B340" s="242"/>
      <c r="C340" s="243"/>
      <c r="E340" s="260"/>
      <c r="F340" s="275"/>
      <c r="G340" s="275"/>
      <c r="H340" s="275"/>
      <c r="I340" s="276"/>
      <c r="J340" s="260"/>
      <c r="K340" s="260"/>
      <c r="L340" s="260"/>
      <c r="M340" s="260"/>
      <c r="N340" s="260"/>
      <c r="O340" s="260"/>
      <c r="P340" s="260"/>
      <c r="Q340" s="260"/>
      <c r="R340" s="260"/>
      <c r="S340" s="260"/>
      <c r="T340" s="260"/>
      <c r="U340" s="260"/>
      <c r="V340" s="260"/>
      <c r="W340" s="260"/>
      <c r="X340" s="260"/>
      <c r="Y340" s="260"/>
      <c r="Z340" s="260"/>
      <c r="AA340" s="260"/>
      <c r="AB340" s="260"/>
      <c r="AC340" s="260"/>
      <c r="AD340" s="260"/>
      <c r="AE340" s="260"/>
      <c r="AF340" s="260"/>
      <c r="AG340" s="260"/>
      <c r="AH340" s="260"/>
      <c r="AI340" s="260"/>
      <c r="AJ340" s="260"/>
      <c r="AK340" s="260"/>
      <c r="AL340" s="260"/>
      <c r="AM340" s="275"/>
      <c r="AN340" s="275"/>
      <c r="AO340" s="275"/>
      <c r="AP340" s="275"/>
      <c r="AQ340" s="275"/>
      <c r="AR340" s="275"/>
      <c r="AS340" s="275"/>
      <c r="AT340" s="275"/>
      <c r="AU340" s="275"/>
      <c r="AV340" s="275"/>
      <c r="AW340" s="275"/>
      <c r="AX340" s="275"/>
      <c r="AY340" s="275"/>
      <c r="AZ340" s="275"/>
      <c r="BA340" s="275"/>
      <c r="BB340" s="275"/>
    </row>
    <row r="341" spans="1:62">
      <c r="A341" s="595"/>
      <c r="B341" s="242"/>
      <c r="C341" s="243"/>
      <c r="E341" s="260"/>
      <c r="F341" s="275"/>
      <c r="G341" s="275"/>
      <c r="H341" s="275"/>
      <c r="I341" s="276"/>
      <c r="J341" s="260"/>
      <c r="K341" s="260"/>
      <c r="L341" s="260"/>
      <c r="M341" s="260"/>
      <c r="N341" s="260"/>
      <c r="O341" s="260"/>
      <c r="P341" s="260"/>
      <c r="Q341" s="260"/>
      <c r="R341" s="260"/>
      <c r="S341" s="260"/>
      <c r="T341" s="260"/>
      <c r="U341" s="260"/>
      <c r="V341" s="260"/>
      <c r="W341" s="260"/>
      <c r="X341" s="260"/>
      <c r="Y341" s="260"/>
      <c r="Z341" s="260"/>
      <c r="AA341" s="260"/>
      <c r="AB341" s="260"/>
      <c r="AC341" s="260"/>
      <c r="AD341" s="260"/>
      <c r="AE341" s="260"/>
      <c r="AF341" s="260"/>
      <c r="AG341" s="260"/>
      <c r="AH341" s="260"/>
      <c r="AI341" s="260"/>
      <c r="AJ341" s="260"/>
      <c r="AK341" s="260"/>
      <c r="AL341" s="260"/>
      <c r="AM341" s="275"/>
      <c r="AN341" s="275"/>
      <c r="AO341" s="275"/>
      <c r="AP341" s="275"/>
      <c r="AQ341" s="275"/>
      <c r="AR341" s="275"/>
      <c r="AS341" s="275"/>
      <c r="AT341" s="275"/>
      <c r="AU341" s="275"/>
      <c r="AV341" s="275"/>
      <c r="AW341" s="275"/>
      <c r="AX341" s="275"/>
      <c r="AY341" s="275"/>
      <c r="AZ341" s="275"/>
      <c r="BA341" s="275"/>
      <c r="BB341" s="275"/>
    </row>
    <row r="342" spans="1:62">
      <c r="A342" s="595"/>
      <c r="B342" s="242"/>
      <c r="C342" s="243"/>
    </row>
    <row r="343" spans="1:62">
      <c r="A343" s="595"/>
      <c r="B343" s="242"/>
      <c r="C343" s="243"/>
    </row>
    <row r="344" spans="1:62">
      <c r="A344" s="595"/>
      <c r="B344" s="242"/>
      <c r="C344" s="243"/>
    </row>
    <row r="345" spans="1:62">
      <c r="A345" s="595"/>
      <c r="B345" s="242"/>
      <c r="C345" s="243"/>
    </row>
    <row r="346" spans="1:62">
      <c r="A346" s="595"/>
      <c r="B346" s="242"/>
      <c r="C346" s="243"/>
    </row>
    <row r="347" spans="1:62">
      <c r="A347" s="595"/>
      <c r="B347" s="242"/>
      <c r="C347" s="243"/>
    </row>
    <row r="348" spans="1:62">
      <c r="A348" s="595"/>
      <c r="B348" s="242"/>
      <c r="C348" s="243"/>
    </row>
    <row r="349" spans="1:62">
      <c r="A349" s="595"/>
      <c r="B349" s="242"/>
      <c r="C349" s="243"/>
    </row>
  </sheetData>
  <mergeCells count="2">
    <mergeCell ref="F6:F7"/>
    <mergeCell ref="E6:E7"/>
  </mergeCells>
  <phoneticPr fontId="17" type="noConversion"/>
  <printOptions horizontalCentered="1"/>
  <pageMargins left="0.59055118110236227" right="0.59055118110236227" top="0.51181102362204722" bottom="0.19685039370078741" header="0.86614173228346458" footer="0.51181102362204722"/>
  <pageSetup paperSize="9" fitToHeight="0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Plan23">
    <tabColor indexed="12"/>
  </sheetPr>
  <dimension ref="A1:DB123"/>
  <sheetViews>
    <sheetView topLeftCell="A31" zoomScaleNormal="100" workbookViewId="0">
      <selection activeCell="D4" sqref="D4:G36"/>
    </sheetView>
  </sheetViews>
  <sheetFormatPr defaultRowHeight="12.75"/>
  <cols>
    <col min="1" max="1" width="2.85546875" style="612" customWidth="1"/>
    <col min="2" max="3" width="2.85546875" customWidth="1"/>
    <col min="4" max="4" width="8.28515625" customWidth="1"/>
    <col min="5" max="5" width="59.42578125" customWidth="1"/>
    <col min="6" max="6" width="10.140625" bestFit="1" customWidth="1"/>
    <col min="7" max="7" width="7.28515625" customWidth="1"/>
    <col min="8" max="8" width="9" customWidth="1"/>
    <col min="9" max="10" width="7.28515625" customWidth="1"/>
    <col min="11" max="11" width="8.140625" customWidth="1"/>
    <col min="12" max="36" width="7.28515625" customWidth="1"/>
    <col min="37" max="41" width="6.5703125" customWidth="1"/>
    <col min="42" max="42" width="3" customWidth="1"/>
    <col min="43" max="72" width="6.28515625" customWidth="1"/>
  </cols>
  <sheetData>
    <row r="1" spans="1:106" s="595" customFormat="1" ht="15" customHeight="1">
      <c r="B1" s="596"/>
      <c r="D1" s="596"/>
    </row>
    <row r="2" spans="1:106" s="241" customFormat="1" ht="10.5" customHeight="1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598"/>
      <c r="AI2" s="598"/>
      <c r="AJ2" s="598"/>
      <c r="AK2" s="598"/>
      <c r="AL2" s="598"/>
      <c r="AM2" s="598"/>
      <c r="AN2" s="598"/>
      <c r="AO2" s="598"/>
      <c r="AP2" s="598"/>
      <c r="AQ2" s="598"/>
      <c r="AR2" s="598"/>
      <c r="AS2" s="598"/>
      <c r="AT2" s="598"/>
      <c r="AU2" s="598"/>
      <c r="AV2" s="598"/>
      <c r="AW2" s="598"/>
      <c r="AX2" s="598"/>
      <c r="AY2" s="598"/>
      <c r="AZ2" s="598"/>
      <c r="BA2" s="598"/>
      <c r="BB2" s="598"/>
      <c r="BC2" s="598"/>
      <c r="BD2" s="598"/>
      <c r="BE2" s="598"/>
      <c r="BF2" s="598"/>
      <c r="BG2" s="598"/>
      <c r="BH2" s="598"/>
      <c r="BI2" s="598"/>
      <c r="BJ2" s="598"/>
      <c r="BK2" s="598"/>
      <c r="BL2" s="598"/>
      <c r="BM2" s="598"/>
      <c r="BN2" s="598"/>
      <c r="BO2" s="598"/>
      <c r="BP2" s="598"/>
      <c r="BQ2" s="598"/>
      <c r="BR2" s="598"/>
      <c r="BS2" s="598"/>
      <c r="BT2" s="598"/>
      <c r="BU2" s="598"/>
      <c r="BV2" s="598"/>
      <c r="BW2" s="598"/>
      <c r="BX2" s="598"/>
      <c r="BY2" s="598"/>
      <c r="BZ2" s="598"/>
      <c r="CA2" s="598"/>
      <c r="CB2" s="598"/>
      <c r="CC2" s="598"/>
      <c r="CD2" s="598"/>
      <c r="CE2" s="598"/>
      <c r="CF2" s="598"/>
      <c r="CG2" s="598"/>
      <c r="CH2" s="242"/>
      <c r="CI2" s="242"/>
      <c r="CJ2" s="242"/>
      <c r="CK2" s="242"/>
      <c r="CL2" s="242"/>
      <c r="CM2" s="242"/>
      <c r="CN2" s="242"/>
      <c r="CO2" s="242"/>
      <c r="CP2" s="242"/>
      <c r="CQ2" s="242"/>
      <c r="CR2" s="242"/>
      <c r="CS2" s="242"/>
      <c r="CT2" s="242"/>
      <c r="CU2" s="242"/>
      <c r="CV2" s="242"/>
      <c r="CW2" s="242"/>
      <c r="CX2" s="242"/>
      <c r="CY2" s="242"/>
      <c r="CZ2" s="242"/>
      <c r="DA2" s="242"/>
      <c r="DB2" s="242"/>
    </row>
    <row r="3" spans="1:106" s="241" customFormat="1" ht="10.5" customHeight="1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599"/>
      <c r="AI3" s="599"/>
      <c r="AJ3" s="599"/>
      <c r="AK3" s="599"/>
      <c r="AL3" s="599"/>
      <c r="AM3" s="599"/>
      <c r="AN3" s="599"/>
      <c r="AO3" s="599"/>
      <c r="AP3" s="599"/>
      <c r="AQ3" s="599"/>
      <c r="AR3" s="599"/>
      <c r="AS3" s="599"/>
      <c r="AT3" s="599"/>
      <c r="AU3" s="599"/>
      <c r="AV3" s="599"/>
      <c r="AW3" s="599"/>
      <c r="AX3" s="599"/>
      <c r="AY3" s="599"/>
      <c r="AZ3" s="599"/>
      <c r="BA3" s="599"/>
      <c r="BB3" s="599"/>
      <c r="BC3" s="599"/>
      <c r="BD3" s="599"/>
      <c r="BE3" s="599"/>
      <c r="BF3" s="599"/>
      <c r="BG3" s="599"/>
      <c r="BH3" s="599"/>
      <c r="BI3" s="599"/>
      <c r="BJ3" s="599"/>
      <c r="BK3" s="599"/>
      <c r="BL3" s="599"/>
      <c r="BM3" s="599"/>
      <c r="BN3" s="599"/>
      <c r="BO3" s="599"/>
      <c r="BP3" s="599"/>
      <c r="BQ3" s="599"/>
      <c r="BR3" s="599"/>
      <c r="BS3" s="599"/>
      <c r="BT3" s="599"/>
      <c r="BU3" s="599"/>
      <c r="BV3" s="599"/>
      <c r="BW3" s="599"/>
      <c r="BX3" s="599"/>
      <c r="BY3" s="599"/>
      <c r="BZ3" s="599"/>
      <c r="CA3" s="599"/>
      <c r="CB3" s="599"/>
      <c r="CC3" s="599"/>
      <c r="CD3" s="599"/>
      <c r="CE3" s="599"/>
      <c r="CF3" s="599"/>
      <c r="CG3" s="599"/>
      <c r="CH3" s="599"/>
      <c r="CI3" s="599"/>
      <c r="CJ3" s="599"/>
      <c r="CK3" s="599"/>
      <c r="CL3" s="599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</row>
    <row r="4" spans="1:106">
      <c r="A4" s="595"/>
      <c r="B4" s="598"/>
      <c r="C4" s="599"/>
      <c r="D4" s="282" t="s">
        <v>1390</v>
      </c>
      <c r="E4" s="283"/>
      <c r="F4" s="283"/>
      <c r="G4" s="284"/>
      <c r="H4" s="284"/>
      <c r="I4" s="284"/>
      <c r="J4" s="284"/>
      <c r="K4" s="284"/>
      <c r="L4" s="284"/>
      <c r="M4" s="284"/>
      <c r="N4" s="284"/>
      <c r="O4" s="284"/>
      <c r="P4" s="284"/>
      <c r="Q4" s="284"/>
      <c r="R4" s="284"/>
      <c r="S4" s="284"/>
      <c r="T4" s="284"/>
      <c r="U4" s="284"/>
      <c r="V4" s="284"/>
      <c r="W4" s="284"/>
      <c r="X4" s="284"/>
      <c r="Y4" s="284"/>
      <c r="Z4" s="284"/>
      <c r="AA4" s="284"/>
      <c r="AB4" s="284"/>
      <c r="AC4" s="284"/>
      <c r="AD4" s="284"/>
      <c r="AE4" s="284"/>
      <c r="AF4" s="284"/>
      <c r="AG4" s="284"/>
      <c r="AH4" s="284"/>
      <c r="AI4" s="284"/>
      <c r="AJ4" s="284"/>
      <c r="AK4" s="284"/>
      <c r="AL4" s="284"/>
      <c r="AM4" s="284"/>
      <c r="AN4" s="284"/>
      <c r="AO4" s="284"/>
      <c r="AP4" s="283"/>
      <c r="AQ4" s="284"/>
      <c r="AR4" s="284"/>
      <c r="AS4" s="284"/>
      <c r="AT4" s="284"/>
      <c r="AU4" s="284"/>
      <c r="AV4" s="284"/>
      <c r="AW4" s="284"/>
      <c r="AX4" s="284"/>
      <c r="AY4" s="284"/>
      <c r="AZ4" s="284"/>
      <c r="BA4" s="284"/>
      <c r="BB4" s="284"/>
      <c r="BC4" s="284"/>
      <c r="BD4" s="284"/>
      <c r="BE4" s="284"/>
      <c r="BF4" s="284"/>
      <c r="BG4" s="284"/>
      <c r="BH4" s="284"/>
      <c r="BI4" s="284"/>
      <c r="BJ4" s="284"/>
      <c r="BK4" s="284"/>
      <c r="BL4" s="284"/>
      <c r="BM4" s="284"/>
      <c r="BN4" s="284"/>
      <c r="BO4" s="284"/>
      <c r="BP4" s="284"/>
      <c r="BQ4" s="284"/>
      <c r="BR4" s="284"/>
      <c r="BS4" s="284"/>
      <c r="BT4" s="284"/>
      <c r="BU4" s="283"/>
      <c r="BV4" s="283"/>
      <c r="BW4" s="283"/>
      <c r="BX4" s="283"/>
      <c r="BY4" s="283"/>
      <c r="BZ4" s="283"/>
      <c r="CA4" s="283"/>
    </row>
    <row r="5" spans="1:106">
      <c r="A5" s="595"/>
      <c r="B5" s="598"/>
      <c r="C5" s="599"/>
      <c r="D5" s="283"/>
      <c r="E5" s="283"/>
      <c r="F5" s="283"/>
      <c r="G5" s="284"/>
      <c r="H5" s="284"/>
      <c r="I5" s="284"/>
      <c r="J5" s="284"/>
      <c r="K5" s="284"/>
      <c r="L5" s="284"/>
      <c r="M5" s="284"/>
      <c r="N5" s="284"/>
      <c r="O5" s="284"/>
      <c r="P5" s="284"/>
      <c r="Q5" s="284"/>
      <c r="R5" s="284"/>
      <c r="S5" s="284"/>
      <c r="T5" s="284"/>
      <c r="U5" s="284"/>
      <c r="V5" s="284"/>
      <c r="W5" s="284"/>
      <c r="X5" s="284"/>
      <c r="Y5" s="284"/>
      <c r="Z5" s="284"/>
      <c r="AA5" s="284"/>
      <c r="AB5" s="284"/>
      <c r="AC5" s="284"/>
      <c r="AD5" s="284"/>
      <c r="AE5" s="284"/>
      <c r="AF5" s="284"/>
      <c r="AG5" s="284"/>
      <c r="AH5" s="284"/>
      <c r="AI5" s="284"/>
      <c r="AJ5" s="284"/>
      <c r="AK5" s="284"/>
      <c r="AL5" s="284"/>
      <c r="AM5" s="284"/>
      <c r="AN5" s="284"/>
      <c r="AO5" s="284"/>
      <c r="AP5" s="283"/>
      <c r="AQ5" s="285"/>
      <c r="AR5" s="284"/>
      <c r="AS5" s="284"/>
      <c r="AT5" s="284"/>
      <c r="AU5" s="284"/>
      <c r="AV5" s="284"/>
      <c r="AW5" s="284"/>
      <c r="AX5" s="284"/>
      <c r="AY5" s="284"/>
      <c r="AZ5" s="284"/>
      <c r="BA5" s="284"/>
      <c r="BB5" s="284"/>
      <c r="BC5" s="284"/>
      <c r="BD5" s="284"/>
      <c r="BE5" s="284"/>
      <c r="BF5" s="284"/>
      <c r="BG5" s="284"/>
      <c r="BH5" s="284"/>
      <c r="BI5" s="284"/>
      <c r="BJ5" s="284"/>
      <c r="BK5" s="284"/>
      <c r="BL5" s="284"/>
      <c r="BM5" s="284"/>
      <c r="BN5" s="284"/>
      <c r="BO5" s="284"/>
      <c r="BP5" s="284"/>
      <c r="BQ5" s="284"/>
      <c r="BR5" s="284"/>
      <c r="BS5" s="284"/>
      <c r="BT5" s="284"/>
      <c r="BU5" s="283"/>
      <c r="BV5" s="283"/>
      <c r="BW5" s="283"/>
      <c r="BX5" s="283"/>
      <c r="BY5" s="283"/>
      <c r="BZ5" s="283"/>
      <c r="CA5" s="283"/>
    </row>
    <row r="6" spans="1:106">
      <c r="A6" s="595"/>
      <c r="B6" s="598"/>
      <c r="C6" s="599"/>
      <c r="D6" s="1932" t="s">
        <v>3</v>
      </c>
      <c r="E6" s="1932" t="s">
        <v>4</v>
      </c>
      <c r="F6" s="1932" t="s">
        <v>38</v>
      </c>
      <c r="G6" s="1932">
        <v>2018</v>
      </c>
      <c r="H6" s="1932">
        <f>1+G6</f>
        <v>2019</v>
      </c>
      <c r="I6" s="1932">
        <f t="shared" ref="I6:AD6" si="0">1+H6</f>
        <v>2020</v>
      </c>
      <c r="J6" s="1932">
        <f t="shared" si="0"/>
        <v>2021</v>
      </c>
      <c r="K6" s="1932">
        <f t="shared" si="0"/>
        <v>2022</v>
      </c>
      <c r="L6" s="1932">
        <f t="shared" si="0"/>
        <v>2023</v>
      </c>
      <c r="M6" s="1932">
        <f t="shared" si="0"/>
        <v>2024</v>
      </c>
      <c r="N6" s="1932">
        <f t="shared" si="0"/>
        <v>2025</v>
      </c>
      <c r="O6" s="1932">
        <f t="shared" si="0"/>
        <v>2026</v>
      </c>
      <c r="P6" s="1932">
        <f t="shared" si="0"/>
        <v>2027</v>
      </c>
      <c r="Q6" s="1932">
        <f t="shared" si="0"/>
        <v>2028</v>
      </c>
      <c r="R6" s="1932">
        <f t="shared" si="0"/>
        <v>2029</v>
      </c>
      <c r="S6" s="1932">
        <f t="shared" si="0"/>
        <v>2030</v>
      </c>
      <c r="T6" s="1932">
        <f t="shared" si="0"/>
        <v>2031</v>
      </c>
      <c r="U6" s="1932">
        <f t="shared" si="0"/>
        <v>2032</v>
      </c>
      <c r="V6" s="1932">
        <f t="shared" si="0"/>
        <v>2033</v>
      </c>
      <c r="W6" s="1932">
        <f t="shared" si="0"/>
        <v>2034</v>
      </c>
      <c r="X6" s="1932">
        <f t="shared" si="0"/>
        <v>2035</v>
      </c>
      <c r="Y6" s="1932">
        <f t="shared" si="0"/>
        <v>2036</v>
      </c>
      <c r="Z6" s="1932">
        <f t="shared" si="0"/>
        <v>2037</v>
      </c>
      <c r="AA6" s="1932">
        <f t="shared" si="0"/>
        <v>2038</v>
      </c>
      <c r="AB6" s="1932">
        <f t="shared" si="0"/>
        <v>2039</v>
      </c>
      <c r="AC6" s="1932">
        <f t="shared" si="0"/>
        <v>2040</v>
      </c>
      <c r="AD6" s="1932">
        <f t="shared" si="0"/>
        <v>2041</v>
      </c>
      <c r="AE6" s="1932">
        <f t="shared" ref="AE6" si="1">1+AD6</f>
        <v>2042</v>
      </c>
      <c r="AF6" s="1932">
        <f t="shared" ref="AF6" si="2">1+AE6</f>
        <v>2043</v>
      </c>
      <c r="AG6" s="1932">
        <f t="shared" ref="AG6" si="3">1+AF6</f>
        <v>2044</v>
      </c>
      <c r="AH6" s="1932">
        <f t="shared" ref="AH6" si="4">1+AG6</f>
        <v>2045</v>
      </c>
      <c r="AI6" s="1932">
        <f t="shared" ref="AI6" si="5">1+AH6</f>
        <v>2046</v>
      </c>
      <c r="AJ6" s="1932">
        <f t="shared" ref="AJ6" si="6">1+AI6</f>
        <v>2047</v>
      </c>
      <c r="AK6" s="286"/>
      <c r="AL6" s="287"/>
      <c r="AM6" s="287"/>
      <c r="AN6" s="287"/>
      <c r="AO6" s="287"/>
      <c r="AP6" s="288"/>
      <c r="AQ6" s="1066">
        <v>1</v>
      </c>
      <c r="AR6" s="1066">
        <f>1+AQ6</f>
        <v>2</v>
      </c>
      <c r="AS6" s="1066">
        <f t="shared" ref="AS6:BN6" si="7">1+AR6</f>
        <v>3</v>
      </c>
      <c r="AT6" s="1066">
        <f t="shared" si="7"/>
        <v>4</v>
      </c>
      <c r="AU6" s="1066">
        <f t="shared" si="7"/>
        <v>5</v>
      </c>
      <c r="AV6" s="1066">
        <f t="shared" si="7"/>
        <v>6</v>
      </c>
      <c r="AW6" s="1066">
        <f t="shared" si="7"/>
        <v>7</v>
      </c>
      <c r="AX6" s="1066">
        <f t="shared" si="7"/>
        <v>8</v>
      </c>
      <c r="AY6" s="1066">
        <f t="shared" si="7"/>
        <v>9</v>
      </c>
      <c r="AZ6" s="1066">
        <f t="shared" si="7"/>
        <v>10</v>
      </c>
      <c r="BA6" s="1066">
        <f t="shared" si="7"/>
        <v>11</v>
      </c>
      <c r="BB6" s="1066">
        <f t="shared" si="7"/>
        <v>12</v>
      </c>
      <c r="BC6" s="1066">
        <f t="shared" si="7"/>
        <v>13</v>
      </c>
      <c r="BD6" s="1066">
        <f t="shared" si="7"/>
        <v>14</v>
      </c>
      <c r="BE6" s="1066">
        <f t="shared" si="7"/>
        <v>15</v>
      </c>
      <c r="BF6" s="1066">
        <f t="shared" si="7"/>
        <v>16</v>
      </c>
      <c r="BG6" s="1066">
        <f t="shared" si="7"/>
        <v>17</v>
      </c>
      <c r="BH6" s="1066">
        <f t="shared" si="7"/>
        <v>18</v>
      </c>
      <c r="BI6" s="1066">
        <f t="shared" si="7"/>
        <v>19</v>
      </c>
      <c r="BJ6" s="1066">
        <f t="shared" si="7"/>
        <v>20</v>
      </c>
      <c r="BK6" s="1066">
        <f t="shared" si="7"/>
        <v>21</v>
      </c>
      <c r="BL6" s="1066">
        <f t="shared" si="7"/>
        <v>22</v>
      </c>
      <c r="BM6" s="1066">
        <f t="shared" si="7"/>
        <v>23</v>
      </c>
      <c r="BN6" s="1066">
        <f t="shared" si="7"/>
        <v>24</v>
      </c>
      <c r="BO6" s="1066">
        <f t="shared" ref="BO6" si="8">1+BN6</f>
        <v>25</v>
      </c>
      <c r="BP6" s="1066">
        <f t="shared" ref="BP6" si="9">1+BO6</f>
        <v>26</v>
      </c>
      <c r="BQ6" s="1066">
        <f t="shared" ref="BQ6" si="10">1+BP6</f>
        <v>27</v>
      </c>
      <c r="BR6" s="1066">
        <f t="shared" ref="BR6" si="11">1+BQ6</f>
        <v>28</v>
      </c>
      <c r="BS6" s="1066">
        <f t="shared" ref="BS6" si="12">1+BR6</f>
        <v>29</v>
      </c>
      <c r="BT6" s="1066">
        <f t="shared" ref="BT6" si="13">1+BS6</f>
        <v>30</v>
      </c>
      <c r="BU6" s="283"/>
      <c r="BV6" s="283"/>
      <c r="BW6" s="283"/>
      <c r="BX6" s="283"/>
      <c r="BY6" s="283"/>
      <c r="BZ6" s="283"/>
      <c r="CA6" s="283"/>
    </row>
    <row r="7" spans="1:106">
      <c r="A7" s="595"/>
      <c r="B7" s="598"/>
      <c r="C7" s="599"/>
      <c r="D7" s="1933"/>
      <c r="E7" s="1933"/>
      <c r="F7" s="1933"/>
      <c r="G7" s="1933"/>
      <c r="H7" s="1933"/>
      <c r="I7" s="1933"/>
      <c r="J7" s="1933"/>
      <c r="K7" s="1933"/>
      <c r="L7" s="1933"/>
      <c r="M7" s="1933"/>
      <c r="N7" s="1933"/>
      <c r="O7" s="1933"/>
      <c r="P7" s="1933"/>
      <c r="Q7" s="1933"/>
      <c r="R7" s="1933"/>
      <c r="S7" s="1933"/>
      <c r="T7" s="1933"/>
      <c r="U7" s="1933"/>
      <c r="V7" s="1933"/>
      <c r="W7" s="1933"/>
      <c r="X7" s="1933"/>
      <c r="Y7" s="1933"/>
      <c r="Z7" s="1933"/>
      <c r="AA7" s="1933"/>
      <c r="AB7" s="1933"/>
      <c r="AC7" s="1933"/>
      <c r="AD7" s="1933"/>
      <c r="AE7" s="1933"/>
      <c r="AF7" s="1933"/>
      <c r="AG7" s="1933"/>
      <c r="AH7" s="1933"/>
      <c r="AI7" s="1933"/>
      <c r="AJ7" s="1933"/>
      <c r="AK7" s="289"/>
      <c r="AL7" s="283"/>
      <c r="AM7" s="283"/>
      <c r="AN7" s="283"/>
      <c r="AO7" s="283"/>
      <c r="AP7" s="290"/>
      <c r="AQ7" s="498"/>
      <c r="AR7" s="498"/>
      <c r="AS7" s="498"/>
      <c r="AT7" s="498"/>
      <c r="AU7" s="498"/>
      <c r="AV7" s="498"/>
      <c r="AW7" s="498"/>
      <c r="AX7" s="498"/>
      <c r="AY7" s="498"/>
      <c r="AZ7" s="498"/>
      <c r="BA7" s="498"/>
      <c r="BB7" s="498"/>
      <c r="BC7" s="498"/>
      <c r="BD7" s="498"/>
      <c r="BE7" s="498"/>
      <c r="BF7" s="498"/>
      <c r="BG7" s="498"/>
      <c r="BH7" s="498"/>
      <c r="BI7" s="498"/>
      <c r="BJ7" s="498"/>
      <c r="BK7" s="498"/>
      <c r="BL7" s="498"/>
      <c r="BM7" s="498"/>
      <c r="BN7" s="498"/>
      <c r="BO7" s="498"/>
      <c r="BP7" s="498"/>
      <c r="BQ7" s="498"/>
      <c r="BR7" s="498"/>
      <c r="BS7" s="498"/>
      <c r="BT7" s="498"/>
      <c r="BU7" s="283"/>
      <c r="BV7" s="283"/>
      <c r="BW7" s="283"/>
      <c r="BX7" s="283"/>
      <c r="BY7" s="283"/>
      <c r="BZ7" s="283"/>
      <c r="CA7" s="283"/>
    </row>
    <row r="8" spans="1:106">
      <c r="A8" s="595"/>
      <c r="B8" s="598"/>
      <c r="C8" s="599"/>
      <c r="D8" s="498"/>
      <c r="E8" s="498"/>
      <c r="F8" s="1287"/>
      <c r="G8" s="1288"/>
      <c r="H8" s="1288"/>
      <c r="I8" s="1288"/>
      <c r="J8" s="1288"/>
      <c r="K8" s="1288"/>
      <c r="L8" s="1288"/>
      <c r="M8" s="1288"/>
      <c r="N8" s="1288"/>
      <c r="O8" s="1288"/>
      <c r="P8" s="1288"/>
      <c r="Q8" s="1288"/>
      <c r="R8" s="1288"/>
      <c r="S8" s="1288"/>
      <c r="T8" s="1288"/>
      <c r="U8" s="1288"/>
      <c r="V8" s="1288"/>
      <c r="W8" s="1288"/>
      <c r="X8" s="1288"/>
      <c r="Y8" s="1288"/>
      <c r="Z8" s="1288"/>
      <c r="AA8" s="1288"/>
      <c r="AB8" s="1288"/>
      <c r="AC8" s="1288"/>
      <c r="AD8" s="1288"/>
      <c r="AE8" s="1288"/>
      <c r="AF8" s="1288"/>
      <c r="AG8" s="1288"/>
      <c r="AH8" s="1288"/>
      <c r="AI8" s="1288"/>
      <c r="AJ8" s="1288"/>
      <c r="AK8" s="291"/>
      <c r="AL8" s="292"/>
      <c r="AM8" s="292"/>
      <c r="AN8" s="292"/>
      <c r="AO8" s="292"/>
      <c r="AP8" s="290"/>
      <c r="AQ8" s="1289">
        <f>IF(ISERROR(G8/$F8),0,G8/$F8)</f>
        <v>0</v>
      </c>
      <c r="AR8" s="1289">
        <f t="shared" ref="AR8:AR25" si="14">IF(ISERROR(H8/$F8),0,H8/$F8)</f>
        <v>0</v>
      </c>
      <c r="AS8" s="1289">
        <f t="shared" ref="AS8:AS25" si="15">IF(ISERROR(I8/$F8),0,I8/$F8)</f>
        <v>0</v>
      </c>
      <c r="AT8" s="1289">
        <f t="shared" ref="AT8:AT25" si="16">IF(ISERROR(J8/$F8),0,J8/$F8)</f>
        <v>0</v>
      </c>
      <c r="AU8" s="1289">
        <f t="shared" ref="AU8:AU25" si="17">IF(ISERROR(K8/$F8),0,K8/$F8)</f>
        <v>0</v>
      </c>
      <c r="AV8" s="1289">
        <f t="shared" ref="AV8:AV25" si="18">IF(ISERROR(L8/$F8),0,L8/$F8)</f>
        <v>0</v>
      </c>
      <c r="AW8" s="1289">
        <f t="shared" ref="AW8:AW25" si="19">IF(ISERROR(M8/$F8),0,M8/$F8)</f>
        <v>0</v>
      </c>
      <c r="AX8" s="1289">
        <f t="shared" ref="AX8:AX25" si="20">IF(ISERROR(N8/$F8),0,N8/$F8)</f>
        <v>0</v>
      </c>
      <c r="AY8" s="1289">
        <f t="shared" ref="AY8:AY25" si="21">IF(ISERROR(O8/$F8),0,O8/$F8)</f>
        <v>0</v>
      </c>
      <c r="AZ8" s="1289">
        <f t="shared" ref="AZ8:AZ25" si="22">IF(ISERROR(P8/$F8),0,P8/$F8)</f>
        <v>0</v>
      </c>
      <c r="BA8" s="1289">
        <f t="shared" ref="BA8:BA25" si="23">IF(ISERROR(Q8/$F8),0,Q8/$F8)</f>
        <v>0</v>
      </c>
      <c r="BB8" s="1289">
        <f t="shared" ref="BB8:BB25" si="24">IF(ISERROR(R8/$F8),0,R8/$F8)</f>
        <v>0</v>
      </c>
      <c r="BC8" s="1289">
        <f t="shared" ref="BC8:BC25" si="25">IF(ISERROR(S8/$F8),0,S8/$F8)</f>
        <v>0</v>
      </c>
      <c r="BD8" s="1289">
        <f t="shared" ref="BD8:BD25" si="26">IF(ISERROR(T8/$F8),0,T8/$F8)</f>
        <v>0</v>
      </c>
      <c r="BE8" s="1289">
        <f t="shared" ref="BE8:BE25" si="27">IF(ISERROR(U8/$F8),0,U8/$F8)</f>
        <v>0</v>
      </c>
      <c r="BF8" s="1289">
        <f t="shared" ref="BF8:BF25" si="28">IF(ISERROR(V8/$F8),0,V8/$F8)</f>
        <v>0</v>
      </c>
      <c r="BG8" s="1289">
        <f t="shared" ref="BG8:BG25" si="29">IF(ISERROR(W8/$F8),0,W8/$F8)</f>
        <v>0</v>
      </c>
      <c r="BH8" s="1289">
        <f t="shared" ref="BH8:BH25" si="30">IF(ISERROR(X8/$F8),0,X8/$F8)</f>
        <v>0</v>
      </c>
      <c r="BI8" s="1289">
        <f t="shared" ref="BI8:BI25" si="31">IF(ISERROR(Y8/$F8),0,Y8/$F8)</f>
        <v>0</v>
      </c>
      <c r="BJ8" s="1289">
        <f t="shared" ref="BJ8:BJ25" si="32">IF(ISERROR(Z8/$F8),0,Z8/$F8)</f>
        <v>0</v>
      </c>
      <c r="BK8" s="1289">
        <f t="shared" ref="BK8:BK25" si="33">IF(ISERROR(AA8/$F8),0,AA8/$F8)</f>
        <v>0</v>
      </c>
      <c r="BL8" s="1289">
        <f t="shared" ref="BL8:BL25" si="34">IF(ISERROR(AB8/$F8),0,AB8/$F8)</f>
        <v>0</v>
      </c>
      <c r="BM8" s="1289">
        <f t="shared" ref="BM8:BM25" si="35">IF(ISERROR(AC8/$F8),0,AC8/$F8)</f>
        <v>0</v>
      </c>
      <c r="BN8" s="1289">
        <f t="shared" ref="BN8:BN25" si="36">IF(ISERROR(AD8/$F8),0,AD8/$F8)</f>
        <v>0</v>
      </c>
      <c r="BO8" s="1289">
        <f t="shared" ref="BO8:BO25" si="37">IF(ISERROR(AE8/$F8),0,AE8/$F8)</f>
        <v>0</v>
      </c>
      <c r="BP8" s="1289">
        <f t="shared" ref="BP8:BP25" si="38">IF(ISERROR(AF8/$F8),0,AF8/$F8)</f>
        <v>0</v>
      </c>
      <c r="BQ8" s="1289">
        <f t="shared" ref="BQ8:BQ25" si="39">IF(ISERROR(AG8/$F8),0,AG8/$F8)</f>
        <v>0</v>
      </c>
      <c r="BR8" s="1289">
        <f t="shared" ref="BR8:BR25" si="40">IF(ISERROR(AH8/$F8),0,AH8/$F8)</f>
        <v>0</v>
      </c>
      <c r="BS8" s="1289">
        <f t="shared" ref="BS8:BS25" si="41">IF(ISERROR(AI8/$F8),0,AI8/$F8)</f>
        <v>0</v>
      </c>
      <c r="BT8" s="1289">
        <f t="shared" ref="BT8:BT25" si="42">IF(ISERROR(AJ8/$F8),0,AJ8/$F8)</f>
        <v>0</v>
      </c>
      <c r="BU8" s="283"/>
      <c r="BV8" s="283"/>
      <c r="BW8" s="283"/>
      <c r="BX8" s="283"/>
      <c r="BY8" s="283"/>
      <c r="BZ8" s="283"/>
      <c r="CA8" s="283"/>
    </row>
    <row r="9" spans="1:106">
      <c r="A9" s="595"/>
      <c r="B9" s="598"/>
      <c r="C9" s="599"/>
      <c r="D9" s="498" t="s">
        <v>1391</v>
      </c>
      <c r="E9" s="498" t="s">
        <v>254</v>
      </c>
      <c r="F9" s="1287">
        <f ca="1">SUM(G9:AJ9)</f>
        <v>389746.39305330889</v>
      </c>
      <c r="G9" s="1288">
        <f t="shared" ref="G9:AJ9" ca="1" si="43">G30+G55</f>
        <v>12463.169773245849</v>
      </c>
      <c r="H9" s="1288">
        <f t="shared" ca="1" si="43"/>
        <v>13071.513635836449</v>
      </c>
      <c r="I9" s="1288">
        <f t="shared" ca="1" si="43"/>
        <v>13071.513635836449</v>
      </c>
      <c r="J9" s="1288">
        <f t="shared" ca="1" si="43"/>
        <v>13071.513635836449</v>
      </c>
      <c r="K9" s="1288">
        <f t="shared" ca="1" si="43"/>
        <v>13071.513635836449</v>
      </c>
      <c r="L9" s="1288">
        <f t="shared" ca="1" si="43"/>
        <v>12999.886749468698</v>
      </c>
      <c r="M9" s="1288">
        <f t="shared" ca="1" si="43"/>
        <v>12999.886749468698</v>
      </c>
      <c r="N9" s="1288">
        <f t="shared" ca="1" si="43"/>
        <v>12999.886749468698</v>
      </c>
      <c r="O9" s="1288">
        <f t="shared" ca="1" si="43"/>
        <v>12999.886749468698</v>
      </c>
      <c r="P9" s="1288">
        <f t="shared" ca="1" si="43"/>
        <v>12999.886749468698</v>
      </c>
      <c r="Q9" s="1288">
        <f t="shared" ca="1" si="43"/>
        <v>12999.886749468698</v>
      </c>
      <c r="R9" s="1288">
        <f t="shared" ca="1" si="43"/>
        <v>12999.886749468698</v>
      </c>
      <c r="S9" s="1288">
        <f t="shared" ca="1" si="43"/>
        <v>12999.886749468698</v>
      </c>
      <c r="T9" s="1288">
        <f t="shared" ca="1" si="43"/>
        <v>12999.886749468698</v>
      </c>
      <c r="U9" s="1288">
        <f t="shared" ca="1" si="43"/>
        <v>12999.886749468698</v>
      </c>
      <c r="V9" s="1288">
        <f t="shared" ca="1" si="43"/>
        <v>12999.886749468698</v>
      </c>
      <c r="W9" s="1288">
        <f t="shared" ca="1" si="43"/>
        <v>12999.886749468698</v>
      </c>
      <c r="X9" s="1288">
        <f t="shared" ca="1" si="43"/>
        <v>12999.886749468698</v>
      </c>
      <c r="Y9" s="1288">
        <f t="shared" ca="1" si="43"/>
        <v>12999.886749468698</v>
      </c>
      <c r="Z9" s="1288">
        <f t="shared" ca="1" si="43"/>
        <v>12999.886749468698</v>
      </c>
      <c r="AA9" s="1288">
        <f t="shared" ca="1" si="43"/>
        <v>12999.886749468698</v>
      </c>
      <c r="AB9" s="1288">
        <f t="shared" ca="1" si="43"/>
        <v>12999.886749468698</v>
      </c>
      <c r="AC9" s="1288">
        <f t="shared" ca="1" si="43"/>
        <v>12999.886749468698</v>
      </c>
      <c r="AD9" s="1288">
        <f t="shared" ca="1" si="43"/>
        <v>12999.886749468698</v>
      </c>
      <c r="AE9" s="1288">
        <f t="shared" ca="1" si="43"/>
        <v>12999.886749468698</v>
      </c>
      <c r="AF9" s="1288">
        <f t="shared" ca="1" si="43"/>
        <v>12999.886749468698</v>
      </c>
      <c r="AG9" s="1288">
        <f t="shared" ca="1" si="43"/>
        <v>12999.886749468698</v>
      </c>
      <c r="AH9" s="1288">
        <f t="shared" ca="1" si="43"/>
        <v>12999.886749468698</v>
      </c>
      <c r="AI9" s="1288">
        <f t="shared" ca="1" si="43"/>
        <v>12999.886749468698</v>
      </c>
      <c r="AJ9" s="1288">
        <f t="shared" ca="1" si="43"/>
        <v>12999.886749468698</v>
      </c>
      <c r="AK9" s="291"/>
      <c r="AL9" s="292"/>
      <c r="AM9" s="292"/>
      <c r="AN9" s="292"/>
      <c r="AO9" s="292"/>
      <c r="AP9" s="290"/>
      <c r="AQ9" s="1289">
        <f ca="1">G9/$F$9</f>
        <v>3.1977639807281438E-2</v>
      </c>
      <c r="AR9" s="1289">
        <f t="shared" ref="AR9:BS9" ca="1" si="44">H9/$F$9</f>
        <v>3.3538510859415567E-2</v>
      </c>
      <c r="AS9" s="1289">
        <f t="shared" ca="1" si="44"/>
        <v>3.3538510859415567E-2</v>
      </c>
      <c r="AT9" s="1289">
        <f t="shared" ca="1" si="44"/>
        <v>3.3538510859415567E-2</v>
      </c>
      <c r="AU9" s="1289">
        <f t="shared" ca="1" si="44"/>
        <v>3.3538510859415567E-2</v>
      </c>
      <c r="AV9" s="1289">
        <f t="shared" ca="1" si="44"/>
        <v>3.3354732670202274E-2</v>
      </c>
      <c r="AW9" s="1289">
        <f t="shared" ca="1" si="44"/>
        <v>3.3354732670202274E-2</v>
      </c>
      <c r="AX9" s="1289">
        <f t="shared" ca="1" si="44"/>
        <v>3.3354732670202274E-2</v>
      </c>
      <c r="AY9" s="1289">
        <f t="shared" ca="1" si="44"/>
        <v>3.3354732670202274E-2</v>
      </c>
      <c r="AZ9" s="1289">
        <f t="shared" ca="1" si="44"/>
        <v>3.3354732670202274E-2</v>
      </c>
      <c r="BA9" s="1289">
        <f t="shared" ca="1" si="44"/>
        <v>3.3354732670202274E-2</v>
      </c>
      <c r="BB9" s="1289">
        <f t="shared" ca="1" si="44"/>
        <v>3.3354732670202274E-2</v>
      </c>
      <c r="BC9" s="1289">
        <f t="shared" ca="1" si="44"/>
        <v>3.3354732670202274E-2</v>
      </c>
      <c r="BD9" s="1289">
        <f t="shared" ca="1" si="44"/>
        <v>3.3354732670202274E-2</v>
      </c>
      <c r="BE9" s="1289">
        <f t="shared" ca="1" si="44"/>
        <v>3.3354732670202274E-2</v>
      </c>
      <c r="BF9" s="1289">
        <f t="shared" ca="1" si="44"/>
        <v>3.3354732670202274E-2</v>
      </c>
      <c r="BG9" s="1289">
        <f t="shared" ca="1" si="44"/>
        <v>3.3354732670202274E-2</v>
      </c>
      <c r="BH9" s="1289">
        <f t="shared" ca="1" si="44"/>
        <v>3.3354732670202274E-2</v>
      </c>
      <c r="BI9" s="1289">
        <f t="shared" ca="1" si="44"/>
        <v>3.3354732670202274E-2</v>
      </c>
      <c r="BJ9" s="1289">
        <f t="shared" ca="1" si="44"/>
        <v>3.3354732670202274E-2</v>
      </c>
      <c r="BK9" s="1289">
        <f t="shared" ca="1" si="44"/>
        <v>3.3354732670202274E-2</v>
      </c>
      <c r="BL9" s="1289">
        <f t="shared" ca="1" si="44"/>
        <v>3.3354732670202274E-2</v>
      </c>
      <c r="BM9" s="1289">
        <f t="shared" ca="1" si="44"/>
        <v>3.3354732670202274E-2</v>
      </c>
      <c r="BN9" s="1289">
        <f t="shared" ca="1" si="44"/>
        <v>3.3354732670202274E-2</v>
      </c>
      <c r="BO9" s="1289">
        <f t="shared" ca="1" si="44"/>
        <v>3.3354732670202274E-2</v>
      </c>
      <c r="BP9" s="1289">
        <f t="shared" ca="1" si="44"/>
        <v>3.3354732670202274E-2</v>
      </c>
      <c r="BQ9" s="1289">
        <f t="shared" ca="1" si="44"/>
        <v>3.3354732670202274E-2</v>
      </c>
      <c r="BR9" s="1289">
        <f t="shared" ca="1" si="44"/>
        <v>3.3354732670202274E-2</v>
      </c>
      <c r="BS9" s="1289">
        <f t="shared" ca="1" si="44"/>
        <v>3.3354732670202274E-2</v>
      </c>
      <c r="BT9" s="1289">
        <f ca="1">(AJ9/$F$9)+0.01%</f>
        <v>3.3454732670202277E-2</v>
      </c>
      <c r="BU9" s="283"/>
      <c r="BV9" s="283"/>
      <c r="BW9" s="283"/>
      <c r="BX9" s="283"/>
      <c r="BY9" s="283"/>
      <c r="BZ9" s="283"/>
      <c r="CA9" s="283"/>
    </row>
    <row r="10" spans="1:106">
      <c r="A10" s="595"/>
      <c r="B10" s="598"/>
      <c r="C10" s="599"/>
      <c r="D10" s="498" t="s">
        <v>1392</v>
      </c>
      <c r="E10" s="498" t="s">
        <v>255</v>
      </c>
      <c r="F10" s="1287">
        <f t="shared" ref="F10:F26" ca="1" si="45">SUM(G10:AJ10)</f>
        <v>47682.842711020268</v>
      </c>
      <c r="G10" s="1288">
        <f t="shared" ref="G10:AJ10" ca="1" si="46">G31+G56</f>
        <v>1584.5918633504646</v>
      </c>
      <c r="H10" s="1288">
        <f t="shared" ca="1" si="46"/>
        <v>1589.9301120424934</v>
      </c>
      <c r="I10" s="1288">
        <f t="shared" ca="1" si="46"/>
        <v>1589.9301120424934</v>
      </c>
      <c r="J10" s="1288">
        <f t="shared" ca="1" si="46"/>
        <v>1589.9301120424934</v>
      </c>
      <c r="K10" s="1288">
        <f t="shared" ca="1" si="46"/>
        <v>1589.9301120424934</v>
      </c>
      <c r="L10" s="1288">
        <f t="shared" ca="1" si="46"/>
        <v>1589.9301120424934</v>
      </c>
      <c r="M10" s="1288">
        <f t="shared" ca="1" si="46"/>
        <v>1589.9301120424934</v>
      </c>
      <c r="N10" s="1288">
        <f t="shared" ca="1" si="46"/>
        <v>1589.9301120424934</v>
      </c>
      <c r="O10" s="1288">
        <f t="shared" ca="1" si="46"/>
        <v>1589.9301120424934</v>
      </c>
      <c r="P10" s="1288">
        <f t="shared" ca="1" si="46"/>
        <v>1589.9301120424934</v>
      </c>
      <c r="Q10" s="1288">
        <f t="shared" ca="1" si="46"/>
        <v>1589.9301120424934</v>
      </c>
      <c r="R10" s="1288">
        <f t="shared" ca="1" si="46"/>
        <v>1589.9301120424934</v>
      </c>
      <c r="S10" s="1288">
        <f t="shared" ca="1" si="46"/>
        <v>1589.9301120424934</v>
      </c>
      <c r="T10" s="1288">
        <f t="shared" ca="1" si="46"/>
        <v>1589.9301120424934</v>
      </c>
      <c r="U10" s="1288">
        <f t="shared" ca="1" si="46"/>
        <v>1589.9301120424934</v>
      </c>
      <c r="V10" s="1288">
        <f t="shared" ca="1" si="46"/>
        <v>1589.9301120424934</v>
      </c>
      <c r="W10" s="1288">
        <f t="shared" ca="1" si="46"/>
        <v>1589.9301120424934</v>
      </c>
      <c r="X10" s="1288">
        <f t="shared" ca="1" si="46"/>
        <v>1589.9301120424934</v>
      </c>
      <c r="Y10" s="1288">
        <f t="shared" ca="1" si="46"/>
        <v>1589.9301120424934</v>
      </c>
      <c r="Z10" s="1288">
        <f t="shared" ca="1" si="46"/>
        <v>1589.9301120424934</v>
      </c>
      <c r="AA10" s="1288">
        <f t="shared" ca="1" si="46"/>
        <v>1589.9301120424934</v>
      </c>
      <c r="AB10" s="1288">
        <f t="shared" ca="1" si="46"/>
        <v>1589.9301120424934</v>
      </c>
      <c r="AC10" s="1288">
        <f t="shared" ca="1" si="46"/>
        <v>1589.9301120424934</v>
      </c>
      <c r="AD10" s="1288">
        <f t="shared" ca="1" si="46"/>
        <v>1589.9301120424934</v>
      </c>
      <c r="AE10" s="1288">
        <f t="shared" ca="1" si="46"/>
        <v>1589.9301120424934</v>
      </c>
      <c r="AF10" s="1288">
        <f t="shared" ca="1" si="46"/>
        <v>1589.9301120424934</v>
      </c>
      <c r="AG10" s="1288">
        <f t="shared" ca="1" si="46"/>
        <v>1589.9301120424934</v>
      </c>
      <c r="AH10" s="1288">
        <f t="shared" ca="1" si="46"/>
        <v>1589.9301120424934</v>
      </c>
      <c r="AI10" s="1288">
        <f t="shared" ca="1" si="46"/>
        <v>1589.9301120424934</v>
      </c>
      <c r="AJ10" s="1288">
        <f t="shared" ca="1" si="46"/>
        <v>1580.2077104799935</v>
      </c>
      <c r="AK10" s="291"/>
      <c r="AL10" s="292"/>
      <c r="AM10" s="292"/>
      <c r="AN10" s="292"/>
      <c r="AO10" s="292"/>
      <c r="AP10" s="290"/>
      <c r="AQ10" s="1289">
        <f t="shared" ref="AQ10:AQ25" ca="1" si="47">IF(ISERROR(G10/$F10),0,G10/$F10)</f>
        <v>3.3231908444591118E-2</v>
      </c>
      <c r="AR10" s="1289">
        <f t="shared" ca="1" si="14"/>
        <v>3.3343861683712811E-2</v>
      </c>
      <c r="AS10" s="1289">
        <f t="shared" ca="1" si="15"/>
        <v>3.3343861683712811E-2</v>
      </c>
      <c r="AT10" s="1289">
        <f t="shared" ca="1" si="16"/>
        <v>3.3343861683712811E-2</v>
      </c>
      <c r="AU10" s="1289">
        <f t="shared" ca="1" si="17"/>
        <v>3.3343861683712811E-2</v>
      </c>
      <c r="AV10" s="1289">
        <f t="shared" ca="1" si="18"/>
        <v>3.3343861683712811E-2</v>
      </c>
      <c r="AW10" s="1289">
        <f t="shared" ca="1" si="19"/>
        <v>3.3343861683712811E-2</v>
      </c>
      <c r="AX10" s="1289">
        <f t="shared" ca="1" si="20"/>
        <v>3.3343861683712811E-2</v>
      </c>
      <c r="AY10" s="1289">
        <f t="shared" ca="1" si="21"/>
        <v>3.3343861683712811E-2</v>
      </c>
      <c r="AZ10" s="1289">
        <f t="shared" ca="1" si="22"/>
        <v>3.3343861683712811E-2</v>
      </c>
      <c r="BA10" s="1289">
        <f t="shared" ca="1" si="23"/>
        <v>3.3343861683712811E-2</v>
      </c>
      <c r="BB10" s="1289">
        <f t="shared" ca="1" si="24"/>
        <v>3.3343861683712811E-2</v>
      </c>
      <c r="BC10" s="1289">
        <f t="shared" ca="1" si="25"/>
        <v>3.3343861683712811E-2</v>
      </c>
      <c r="BD10" s="1289">
        <f t="shared" ca="1" si="26"/>
        <v>3.3343861683712811E-2</v>
      </c>
      <c r="BE10" s="1289">
        <f t="shared" ca="1" si="27"/>
        <v>3.3343861683712811E-2</v>
      </c>
      <c r="BF10" s="1289">
        <f t="shared" ca="1" si="28"/>
        <v>3.3343861683712811E-2</v>
      </c>
      <c r="BG10" s="1289">
        <f t="shared" ca="1" si="29"/>
        <v>3.3343861683712811E-2</v>
      </c>
      <c r="BH10" s="1289">
        <f t="shared" ca="1" si="30"/>
        <v>3.3343861683712811E-2</v>
      </c>
      <c r="BI10" s="1289">
        <f t="shared" ca="1" si="31"/>
        <v>3.3343861683712811E-2</v>
      </c>
      <c r="BJ10" s="1289">
        <f t="shared" ca="1" si="32"/>
        <v>3.3343861683712811E-2</v>
      </c>
      <c r="BK10" s="1289">
        <f t="shared" ca="1" si="33"/>
        <v>3.3343861683712811E-2</v>
      </c>
      <c r="BL10" s="1289">
        <f t="shared" ca="1" si="34"/>
        <v>3.3343861683712811E-2</v>
      </c>
      <c r="BM10" s="1289">
        <f t="shared" ca="1" si="35"/>
        <v>3.3343861683712811E-2</v>
      </c>
      <c r="BN10" s="1289">
        <f t="shared" ca="1" si="36"/>
        <v>3.3343861683712811E-2</v>
      </c>
      <c r="BO10" s="1289">
        <f t="shared" ca="1" si="37"/>
        <v>3.3343861683712811E-2</v>
      </c>
      <c r="BP10" s="1289">
        <f t="shared" ca="1" si="38"/>
        <v>3.3343861683712811E-2</v>
      </c>
      <c r="BQ10" s="1289">
        <f t="shared" ca="1" si="39"/>
        <v>3.3343861683712811E-2</v>
      </c>
      <c r="BR10" s="1289">
        <f t="shared" ca="1" si="40"/>
        <v>3.3343861683712811E-2</v>
      </c>
      <c r="BS10" s="1289">
        <f t="shared" ca="1" si="41"/>
        <v>3.3343861683712811E-2</v>
      </c>
      <c r="BT10" s="1289">
        <f t="shared" ca="1" si="42"/>
        <v>3.3139964411450291E-2</v>
      </c>
      <c r="BU10" s="283"/>
      <c r="BV10" s="283"/>
      <c r="BW10" s="283"/>
      <c r="BX10" s="283"/>
      <c r="BY10" s="283"/>
      <c r="BZ10" s="283"/>
      <c r="CA10" s="283"/>
    </row>
    <row r="11" spans="1:106">
      <c r="A11" s="595"/>
      <c r="B11" s="598"/>
      <c r="C11" s="599"/>
      <c r="D11" s="498" t="s">
        <v>1393</v>
      </c>
      <c r="E11" s="498" t="s">
        <v>256</v>
      </c>
      <c r="F11" s="1287">
        <f t="shared" ca="1" si="45"/>
        <v>29113.443009400322</v>
      </c>
      <c r="G11" s="1288">
        <f t="shared" ref="G11:AJ11" ca="1" si="48">G32+G57</f>
        <v>970.44810031334407</v>
      </c>
      <c r="H11" s="1288">
        <f t="shared" ca="1" si="48"/>
        <v>970.44810031334407</v>
      </c>
      <c r="I11" s="1288">
        <f t="shared" ca="1" si="48"/>
        <v>970.44810031334407</v>
      </c>
      <c r="J11" s="1288">
        <f t="shared" ca="1" si="48"/>
        <v>970.44810031334407</v>
      </c>
      <c r="K11" s="1288">
        <f t="shared" ca="1" si="48"/>
        <v>970.44810031334407</v>
      </c>
      <c r="L11" s="1288">
        <f t="shared" ca="1" si="48"/>
        <v>970.44810031334407</v>
      </c>
      <c r="M11" s="1288">
        <f t="shared" ca="1" si="48"/>
        <v>970.44810031334407</v>
      </c>
      <c r="N11" s="1288">
        <f t="shared" ca="1" si="48"/>
        <v>970.44810031334407</v>
      </c>
      <c r="O11" s="1288">
        <f t="shared" ca="1" si="48"/>
        <v>970.44810031334407</v>
      </c>
      <c r="P11" s="1288">
        <f t="shared" ca="1" si="48"/>
        <v>970.44810031334407</v>
      </c>
      <c r="Q11" s="1288">
        <f t="shared" ca="1" si="48"/>
        <v>970.44810031334407</v>
      </c>
      <c r="R11" s="1288">
        <f t="shared" ca="1" si="48"/>
        <v>970.44810031334407</v>
      </c>
      <c r="S11" s="1288">
        <f t="shared" ca="1" si="48"/>
        <v>970.44810031334407</v>
      </c>
      <c r="T11" s="1288">
        <f t="shared" ca="1" si="48"/>
        <v>970.44810031334407</v>
      </c>
      <c r="U11" s="1288">
        <f t="shared" ca="1" si="48"/>
        <v>970.44810031334407</v>
      </c>
      <c r="V11" s="1288">
        <f t="shared" ca="1" si="48"/>
        <v>970.44810031334407</v>
      </c>
      <c r="W11" s="1288">
        <f t="shared" ca="1" si="48"/>
        <v>970.44810031334407</v>
      </c>
      <c r="X11" s="1288">
        <f t="shared" ca="1" si="48"/>
        <v>970.44810031334407</v>
      </c>
      <c r="Y11" s="1288">
        <f t="shared" ca="1" si="48"/>
        <v>970.44810031334407</v>
      </c>
      <c r="Z11" s="1288">
        <f t="shared" ca="1" si="48"/>
        <v>970.44810031334407</v>
      </c>
      <c r="AA11" s="1288">
        <f t="shared" ca="1" si="48"/>
        <v>970.44810031334407</v>
      </c>
      <c r="AB11" s="1288">
        <f t="shared" ca="1" si="48"/>
        <v>970.44810031334407</v>
      </c>
      <c r="AC11" s="1288">
        <f t="shared" ca="1" si="48"/>
        <v>970.44810031334407</v>
      </c>
      <c r="AD11" s="1288">
        <f t="shared" ca="1" si="48"/>
        <v>970.44810031334407</v>
      </c>
      <c r="AE11" s="1288">
        <f t="shared" ca="1" si="48"/>
        <v>970.44810031334407</v>
      </c>
      <c r="AF11" s="1288">
        <f t="shared" ca="1" si="48"/>
        <v>970.44810031334407</v>
      </c>
      <c r="AG11" s="1288">
        <f t="shared" ca="1" si="48"/>
        <v>970.44810031334407</v>
      </c>
      <c r="AH11" s="1288">
        <f t="shared" ca="1" si="48"/>
        <v>970.44810031334407</v>
      </c>
      <c r="AI11" s="1288">
        <f t="shared" ca="1" si="48"/>
        <v>970.44810031334407</v>
      </c>
      <c r="AJ11" s="1288">
        <f t="shared" ca="1" si="48"/>
        <v>970.44810031334407</v>
      </c>
      <c r="AK11" s="291"/>
      <c r="AL11" s="292"/>
      <c r="AM11" s="292"/>
      <c r="AN11" s="292"/>
      <c r="AO11" s="292"/>
      <c r="AP11" s="290"/>
      <c r="AQ11" s="1289">
        <f t="shared" ca="1" si="47"/>
        <v>3.3333333333333333E-2</v>
      </c>
      <c r="AR11" s="1289">
        <f t="shared" ca="1" si="14"/>
        <v>3.3333333333333333E-2</v>
      </c>
      <c r="AS11" s="1289">
        <f t="shared" ca="1" si="15"/>
        <v>3.3333333333333333E-2</v>
      </c>
      <c r="AT11" s="1289">
        <f t="shared" ca="1" si="16"/>
        <v>3.3333333333333333E-2</v>
      </c>
      <c r="AU11" s="1289">
        <f t="shared" ca="1" si="17"/>
        <v>3.3333333333333333E-2</v>
      </c>
      <c r="AV11" s="1289">
        <f t="shared" ca="1" si="18"/>
        <v>3.3333333333333333E-2</v>
      </c>
      <c r="AW11" s="1289">
        <f t="shared" ca="1" si="19"/>
        <v>3.3333333333333333E-2</v>
      </c>
      <c r="AX11" s="1289">
        <f t="shared" ca="1" si="20"/>
        <v>3.3333333333333333E-2</v>
      </c>
      <c r="AY11" s="1289">
        <f t="shared" ca="1" si="21"/>
        <v>3.3333333333333333E-2</v>
      </c>
      <c r="AZ11" s="1289">
        <f t="shared" ca="1" si="22"/>
        <v>3.3333333333333333E-2</v>
      </c>
      <c r="BA11" s="1289">
        <f t="shared" ca="1" si="23"/>
        <v>3.3333333333333333E-2</v>
      </c>
      <c r="BB11" s="1289">
        <f t="shared" ca="1" si="24"/>
        <v>3.3333333333333333E-2</v>
      </c>
      <c r="BC11" s="1289">
        <f t="shared" ca="1" si="25"/>
        <v>3.3333333333333333E-2</v>
      </c>
      <c r="BD11" s="1289">
        <f t="shared" ca="1" si="26"/>
        <v>3.3333333333333333E-2</v>
      </c>
      <c r="BE11" s="1289">
        <f t="shared" ca="1" si="27"/>
        <v>3.3333333333333333E-2</v>
      </c>
      <c r="BF11" s="1289">
        <f t="shared" ca="1" si="28"/>
        <v>3.3333333333333333E-2</v>
      </c>
      <c r="BG11" s="1289">
        <f t="shared" ca="1" si="29"/>
        <v>3.3333333333333333E-2</v>
      </c>
      <c r="BH11" s="1289">
        <f t="shared" ca="1" si="30"/>
        <v>3.3333333333333333E-2</v>
      </c>
      <c r="BI11" s="1289">
        <f t="shared" ca="1" si="31"/>
        <v>3.3333333333333333E-2</v>
      </c>
      <c r="BJ11" s="1289">
        <f t="shared" ca="1" si="32"/>
        <v>3.3333333333333333E-2</v>
      </c>
      <c r="BK11" s="1289">
        <f t="shared" ca="1" si="33"/>
        <v>3.3333333333333333E-2</v>
      </c>
      <c r="BL11" s="1289">
        <f t="shared" ca="1" si="34"/>
        <v>3.3333333333333333E-2</v>
      </c>
      <c r="BM11" s="1289">
        <f t="shared" ca="1" si="35"/>
        <v>3.3333333333333333E-2</v>
      </c>
      <c r="BN11" s="1289">
        <f t="shared" ca="1" si="36"/>
        <v>3.3333333333333333E-2</v>
      </c>
      <c r="BO11" s="1289">
        <f t="shared" ca="1" si="37"/>
        <v>3.3333333333333333E-2</v>
      </c>
      <c r="BP11" s="1289">
        <f t="shared" ca="1" si="38"/>
        <v>3.3333333333333333E-2</v>
      </c>
      <c r="BQ11" s="1289">
        <f t="shared" ca="1" si="39"/>
        <v>3.3333333333333333E-2</v>
      </c>
      <c r="BR11" s="1289">
        <f t="shared" ca="1" si="40"/>
        <v>3.3333333333333333E-2</v>
      </c>
      <c r="BS11" s="1289">
        <f t="shared" ca="1" si="41"/>
        <v>3.3333333333333333E-2</v>
      </c>
      <c r="BT11" s="1289">
        <f t="shared" ca="1" si="42"/>
        <v>3.3333333333333333E-2</v>
      </c>
      <c r="BU11" s="283"/>
      <c r="BV11" s="283"/>
      <c r="BW11" s="283"/>
      <c r="BX11" s="283"/>
      <c r="BY11" s="283"/>
      <c r="BZ11" s="283"/>
      <c r="CA11" s="283"/>
    </row>
    <row r="12" spans="1:106">
      <c r="A12" s="595"/>
      <c r="B12" s="598"/>
      <c r="C12" s="599"/>
      <c r="D12" s="498" t="s">
        <v>1394</v>
      </c>
      <c r="E12" s="498" t="s">
        <v>257</v>
      </c>
      <c r="F12" s="1287">
        <f t="shared" ca="1" si="45"/>
        <v>19062.878727417003</v>
      </c>
      <c r="G12" s="1288">
        <f t="shared" ref="G12:AJ12" ca="1" si="49">G33+G58</f>
        <v>0</v>
      </c>
      <c r="H12" s="1288">
        <f t="shared" ca="1" si="49"/>
        <v>657.34064577300001</v>
      </c>
      <c r="I12" s="1288">
        <f t="shared" ca="1" si="49"/>
        <v>657.34064577300001</v>
      </c>
      <c r="J12" s="1288">
        <f t="shared" ca="1" si="49"/>
        <v>657.34064577300001</v>
      </c>
      <c r="K12" s="1288">
        <f t="shared" ca="1" si="49"/>
        <v>657.34064577300001</v>
      </c>
      <c r="L12" s="1288">
        <f t="shared" ca="1" si="49"/>
        <v>657.34064577300001</v>
      </c>
      <c r="M12" s="1288">
        <f t="shared" ca="1" si="49"/>
        <v>657.34064577300001</v>
      </c>
      <c r="N12" s="1288">
        <f t="shared" ca="1" si="49"/>
        <v>657.34064577300001</v>
      </c>
      <c r="O12" s="1288">
        <f t="shared" ca="1" si="49"/>
        <v>657.34064577300001</v>
      </c>
      <c r="P12" s="1288">
        <f t="shared" ca="1" si="49"/>
        <v>657.34064577300001</v>
      </c>
      <c r="Q12" s="1288">
        <f t="shared" ca="1" si="49"/>
        <v>657.34064577300001</v>
      </c>
      <c r="R12" s="1288">
        <f t="shared" ca="1" si="49"/>
        <v>657.34064577300001</v>
      </c>
      <c r="S12" s="1288">
        <f t="shared" ca="1" si="49"/>
        <v>657.34064577300001</v>
      </c>
      <c r="T12" s="1288">
        <f t="shared" ca="1" si="49"/>
        <v>657.34064577300001</v>
      </c>
      <c r="U12" s="1288">
        <f t="shared" ca="1" si="49"/>
        <v>657.34064577300001</v>
      </c>
      <c r="V12" s="1288">
        <f t="shared" ca="1" si="49"/>
        <v>657.34064577300001</v>
      </c>
      <c r="W12" s="1288">
        <f t="shared" ca="1" si="49"/>
        <v>657.34064577300001</v>
      </c>
      <c r="X12" s="1288">
        <f t="shared" ca="1" si="49"/>
        <v>657.34064577300001</v>
      </c>
      <c r="Y12" s="1288">
        <f t="shared" ca="1" si="49"/>
        <v>657.34064577300001</v>
      </c>
      <c r="Z12" s="1288">
        <f t="shared" ca="1" si="49"/>
        <v>657.34064577300001</v>
      </c>
      <c r="AA12" s="1288">
        <f t="shared" ca="1" si="49"/>
        <v>657.34064577300001</v>
      </c>
      <c r="AB12" s="1288">
        <f t="shared" ca="1" si="49"/>
        <v>657.34064577300001</v>
      </c>
      <c r="AC12" s="1288">
        <f t="shared" ca="1" si="49"/>
        <v>657.34064577300001</v>
      </c>
      <c r="AD12" s="1288">
        <f t="shared" ca="1" si="49"/>
        <v>657.34064577300001</v>
      </c>
      <c r="AE12" s="1288">
        <f t="shared" ca="1" si="49"/>
        <v>657.34064577300001</v>
      </c>
      <c r="AF12" s="1288">
        <f t="shared" ca="1" si="49"/>
        <v>657.34064577300001</v>
      </c>
      <c r="AG12" s="1288">
        <f t="shared" ca="1" si="49"/>
        <v>657.34064577300001</v>
      </c>
      <c r="AH12" s="1288">
        <f t="shared" ca="1" si="49"/>
        <v>657.34064577300001</v>
      </c>
      <c r="AI12" s="1288">
        <f t="shared" ca="1" si="49"/>
        <v>657.34064577300001</v>
      </c>
      <c r="AJ12" s="1288">
        <f t="shared" ca="1" si="49"/>
        <v>657.34064577300001</v>
      </c>
      <c r="AK12" s="291"/>
      <c r="AL12" s="292"/>
      <c r="AM12" s="292"/>
      <c r="AN12" s="292"/>
      <c r="AO12" s="292"/>
      <c r="AP12" s="290"/>
      <c r="AQ12" s="1289">
        <f t="shared" ca="1" si="47"/>
        <v>0</v>
      </c>
      <c r="AR12" s="1289">
        <f t="shared" ca="1" si="14"/>
        <v>3.4482758620689648E-2</v>
      </c>
      <c r="AS12" s="1289">
        <f t="shared" ca="1" si="15"/>
        <v>3.4482758620689648E-2</v>
      </c>
      <c r="AT12" s="1289">
        <f t="shared" ca="1" si="16"/>
        <v>3.4482758620689648E-2</v>
      </c>
      <c r="AU12" s="1289">
        <f t="shared" ca="1" si="17"/>
        <v>3.4482758620689648E-2</v>
      </c>
      <c r="AV12" s="1289">
        <f t="shared" ca="1" si="18"/>
        <v>3.4482758620689648E-2</v>
      </c>
      <c r="AW12" s="1289">
        <f t="shared" ca="1" si="19"/>
        <v>3.4482758620689648E-2</v>
      </c>
      <c r="AX12" s="1289">
        <f t="shared" ca="1" si="20"/>
        <v>3.4482758620689648E-2</v>
      </c>
      <c r="AY12" s="1289">
        <f t="shared" ca="1" si="21"/>
        <v>3.4482758620689648E-2</v>
      </c>
      <c r="AZ12" s="1289">
        <f t="shared" ca="1" si="22"/>
        <v>3.4482758620689648E-2</v>
      </c>
      <c r="BA12" s="1289">
        <f t="shared" ca="1" si="23"/>
        <v>3.4482758620689648E-2</v>
      </c>
      <c r="BB12" s="1289">
        <f t="shared" ca="1" si="24"/>
        <v>3.4482758620689648E-2</v>
      </c>
      <c r="BC12" s="1289">
        <f t="shared" ca="1" si="25"/>
        <v>3.4482758620689648E-2</v>
      </c>
      <c r="BD12" s="1289">
        <f t="shared" ca="1" si="26"/>
        <v>3.4482758620689648E-2</v>
      </c>
      <c r="BE12" s="1289">
        <f t="shared" ca="1" si="27"/>
        <v>3.4482758620689648E-2</v>
      </c>
      <c r="BF12" s="1289">
        <f t="shared" ca="1" si="28"/>
        <v>3.4482758620689648E-2</v>
      </c>
      <c r="BG12" s="1289">
        <f t="shared" ca="1" si="29"/>
        <v>3.4482758620689648E-2</v>
      </c>
      <c r="BH12" s="1289">
        <f t="shared" ca="1" si="30"/>
        <v>3.4482758620689648E-2</v>
      </c>
      <c r="BI12" s="1289">
        <f t="shared" ca="1" si="31"/>
        <v>3.4482758620689648E-2</v>
      </c>
      <c r="BJ12" s="1289">
        <f t="shared" ca="1" si="32"/>
        <v>3.4482758620689648E-2</v>
      </c>
      <c r="BK12" s="1289">
        <f t="shared" ca="1" si="33"/>
        <v>3.4482758620689648E-2</v>
      </c>
      <c r="BL12" s="1289">
        <f t="shared" ca="1" si="34"/>
        <v>3.4482758620689648E-2</v>
      </c>
      <c r="BM12" s="1289">
        <f t="shared" ca="1" si="35"/>
        <v>3.4482758620689648E-2</v>
      </c>
      <c r="BN12" s="1289">
        <f t="shared" ca="1" si="36"/>
        <v>3.4482758620689648E-2</v>
      </c>
      <c r="BO12" s="1289">
        <f t="shared" ca="1" si="37"/>
        <v>3.4482758620689648E-2</v>
      </c>
      <c r="BP12" s="1289">
        <f t="shared" ca="1" si="38"/>
        <v>3.4482758620689648E-2</v>
      </c>
      <c r="BQ12" s="1289">
        <f t="shared" ca="1" si="39"/>
        <v>3.4482758620689648E-2</v>
      </c>
      <c r="BR12" s="1289">
        <f t="shared" ca="1" si="40"/>
        <v>3.4482758620689648E-2</v>
      </c>
      <c r="BS12" s="1289">
        <f t="shared" ca="1" si="41"/>
        <v>3.4482758620689648E-2</v>
      </c>
      <c r="BT12" s="1289">
        <f t="shared" ca="1" si="42"/>
        <v>3.4482758620689648E-2</v>
      </c>
      <c r="BU12" s="283"/>
      <c r="BV12" s="283"/>
      <c r="BW12" s="283"/>
      <c r="BX12" s="283"/>
      <c r="BY12" s="283"/>
      <c r="BZ12" s="283"/>
      <c r="CA12" s="283"/>
    </row>
    <row r="13" spans="1:106">
      <c r="A13" s="595"/>
      <c r="B13" s="598"/>
      <c r="C13" s="599"/>
      <c r="D13" s="498" t="s">
        <v>1395</v>
      </c>
      <c r="E13" s="498" t="s">
        <v>258</v>
      </c>
      <c r="F13" s="1287">
        <f t="shared" ca="1" si="45"/>
        <v>33228.100302390005</v>
      </c>
      <c r="G13" s="1288">
        <f t="shared" ref="G13:AJ13" ca="1" si="50">G34+G59</f>
        <v>1107.6033434130002</v>
      </c>
      <c r="H13" s="1288">
        <f t="shared" ca="1" si="50"/>
        <v>1107.6033434130002</v>
      </c>
      <c r="I13" s="1288">
        <f t="shared" ca="1" si="50"/>
        <v>1107.6033434130002</v>
      </c>
      <c r="J13" s="1288">
        <f t="shared" ca="1" si="50"/>
        <v>1107.6033434130002</v>
      </c>
      <c r="K13" s="1288">
        <f t="shared" ca="1" si="50"/>
        <v>1107.6033434130002</v>
      </c>
      <c r="L13" s="1288">
        <f t="shared" ca="1" si="50"/>
        <v>1107.6033434130002</v>
      </c>
      <c r="M13" s="1288">
        <f t="shared" ca="1" si="50"/>
        <v>1107.6033434130002</v>
      </c>
      <c r="N13" s="1288">
        <f t="shared" ca="1" si="50"/>
        <v>1107.6033434130002</v>
      </c>
      <c r="O13" s="1288">
        <f t="shared" ca="1" si="50"/>
        <v>1107.6033434130002</v>
      </c>
      <c r="P13" s="1288">
        <f t="shared" ca="1" si="50"/>
        <v>1107.6033434130002</v>
      </c>
      <c r="Q13" s="1288">
        <f t="shared" ca="1" si="50"/>
        <v>1107.6033434130002</v>
      </c>
      <c r="R13" s="1288">
        <f t="shared" ca="1" si="50"/>
        <v>1107.6033434130002</v>
      </c>
      <c r="S13" s="1288">
        <f t="shared" ca="1" si="50"/>
        <v>1107.6033434130002</v>
      </c>
      <c r="T13" s="1288">
        <f t="shared" ca="1" si="50"/>
        <v>1107.6033434130002</v>
      </c>
      <c r="U13" s="1288">
        <f t="shared" ca="1" si="50"/>
        <v>1107.6033434130002</v>
      </c>
      <c r="V13" s="1288">
        <f t="shared" ca="1" si="50"/>
        <v>1107.6033434130002</v>
      </c>
      <c r="W13" s="1288">
        <f t="shared" ca="1" si="50"/>
        <v>1107.6033434130002</v>
      </c>
      <c r="X13" s="1288">
        <f t="shared" ca="1" si="50"/>
        <v>1107.6033434130002</v>
      </c>
      <c r="Y13" s="1288">
        <f t="shared" ca="1" si="50"/>
        <v>1107.6033434130002</v>
      </c>
      <c r="Z13" s="1288">
        <f t="shared" ca="1" si="50"/>
        <v>1107.6033434130002</v>
      </c>
      <c r="AA13" s="1288">
        <f t="shared" ca="1" si="50"/>
        <v>1107.6033434130002</v>
      </c>
      <c r="AB13" s="1288">
        <f t="shared" ca="1" si="50"/>
        <v>1107.6033434130002</v>
      </c>
      <c r="AC13" s="1288">
        <f t="shared" ca="1" si="50"/>
        <v>1107.6033434130002</v>
      </c>
      <c r="AD13" s="1288">
        <f t="shared" ca="1" si="50"/>
        <v>1107.6033434130002</v>
      </c>
      <c r="AE13" s="1288">
        <f t="shared" ca="1" si="50"/>
        <v>1107.6033434130002</v>
      </c>
      <c r="AF13" s="1288">
        <f t="shared" ca="1" si="50"/>
        <v>1107.6033434130002</v>
      </c>
      <c r="AG13" s="1288">
        <f t="shared" ca="1" si="50"/>
        <v>1107.6033434130002</v>
      </c>
      <c r="AH13" s="1288">
        <f t="shared" ca="1" si="50"/>
        <v>1107.6033434130002</v>
      </c>
      <c r="AI13" s="1288">
        <f t="shared" ca="1" si="50"/>
        <v>1107.6033434130002</v>
      </c>
      <c r="AJ13" s="1288">
        <f t="shared" ca="1" si="50"/>
        <v>1107.6033434130002</v>
      </c>
      <c r="AK13" s="291"/>
      <c r="AL13" s="292"/>
      <c r="AM13" s="292"/>
      <c r="AN13" s="292"/>
      <c r="AO13" s="292"/>
      <c r="AP13" s="290"/>
      <c r="AQ13" s="1289">
        <f t="shared" ca="1" si="47"/>
        <v>3.3333333333333333E-2</v>
      </c>
      <c r="AR13" s="1289">
        <f t="shared" ca="1" si="14"/>
        <v>3.3333333333333333E-2</v>
      </c>
      <c r="AS13" s="1289">
        <f t="shared" ca="1" si="15"/>
        <v>3.3333333333333333E-2</v>
      </c>
      <c r="AT13" s="1289">
        <f t="shared" ca="1" si="16"/>
        <v>3.3333333333333333E-2</v>
      </c>
      <c r="AU13" s="1289">
        <f t="shared" ca="1" si="17"/>
        <v>3.3333333333333333E-2</v>
      </c>
      <c r="AV13" s="1289">
        <f t="shared" ca="1" si="18"/>
        <v>3.3333333333333333E-2</v>
      </c>
      <c r="AW13" s="1289">
        <f t="shared" ca="1" si="19"/>
        <v>3.3333333333333333E-2</v>
      </c>
      <c r="AX13" s="1289">
        <f t="shared" ca="1" si="20"/>
        <v>3.3333333333333333E-2</v>
      </c>
      <c r="AY13" s="1289">
        <f t="shared" ca="1" si="21"/>
        <v>3.3333333333333333E-2</v>
      </c>
      <c r="AZ13" s="1289">
        <f t="shared" ca="1" si="22"/>
        <v>3.3333333333333333E-2</v>
      </c>
      <c r="BA13" s="1289">
        <f t="shared" ca="1" si="23"/>
        <v>3.3333333333333333E-2</v>
      </c>
      <c r="BB13" s="1289">
        <f t="shared" ca="1" si="24"/>
        <v>3.3333333333333333E-2</v>
      </c>
      <c r="BC13" s="1289">
        <f t="shared" ca="1" si="25"/>
        <v>3.3333333333333333E-2</v>
      </c>
      <c r="BD13" s="1289">
        <f t="shared" ca="1" si="26"/>
        <v>3.3333333333333333E-2</v>
      </c>
      <c r="BE13" s="1289">
        <f t="shared" ca="1" si="27"/>
        <v>3.3333333333333333E-2</v>
      </c>
      <c r="BF13" s="1289">
        <f t="shared" ca="1" si="28"/>
        <v>3.3333333333333333E-2</v>
      </c>
      <c r="BG13" s="1289">
        <f t="shared" ca="1" si="29"/>
        <v>3.3333333333333333E-2</v>
      </c>
      <c r="BH13" s="1289">
        <f t="shared" ca="1" si="30"/>
        <v>3.3333333333333333E-2</v>
      </c>
      <c r="BI13" s="1289">
        <f t="shared" ca="1" si="31"/>
        <v>3.3333333333333333E-2</v>
      </c>
      <c r="BJ13" s="1289">
        <f t="shared" ca="1" si="32"/>
        <v>3.3333333333333333E-2</v>
      </c>
      <c r="BK13" s="1289">
        <f t="shared" ca="1" si="33"/>
        <v>3.3333333333333333E-2</v>
      </c>
      <c r="BL13" s="1289">
        <f t="shared" ca="1" si="34"/>
        <v>3.3333333333333333E-2</v>
      </c>
      <c r="BM13" s="1289">
        <f t="shared" ca="1" si="35"/>
        <v>3.3333333333333333E-2</v>
      </c>
      <c r="BN13" s="1289">
        <f t="shared" ca="1" si="36"/>
        <v>3.3333333333333333E-2</v>
      </c>
      <c r="BO13" s="1289">
        <f t="shared" ca="1" si="37"/>
        <v>3.3333333333333333E-2</v>
      </c>
      <c r="BP13" s="1289">
        <f t="shared" ca="1" si="38"/>
        <v>3.3333333333333333E-2</v>
      </c>
      <c r="BQ13" s="1289">
        <f t="shared" ca="1" si="39"/>
        <v>3.3333333333333333E-2</v>
      </c>
      <c r="BR13" s="1289">
        <f t="shared" ca="1" si="40"/>
        <v>3.3333333333333333E-2</v>
      </c>
      <c r="BS13" s="1289">
        <f t="shared" ca="1" si="41"/>
        <v>3.3333333333333333E-2</v>
      </c>
      <c r="BT13" s="1289">
        <f t="shared" ca="1" si="42"/>
        <v>3.3333333333333333E-2</v>
      </c>
      <c r="BU13" s="283"/>
      <c r="BV13" s="283"/>
      <c r="BW13" s="283"/>
      <c r="BX13" s="283"/>
      <c r="BY13" s="283"/>
      <c r="BZ13" s="283"/>
      <c r="CA13" s="283"/>
    </row>
    <row r="14" spans="1:106">
      <c r="A14" s="595"/>
      <c r="B14" s="598"/>
      <c r="C14" s="599"/>
      <c r="D14" s="498"/>
      <c r="E14" s="498" t="s">
        <v>259</v>
      </c>
      <c r="F14" s="1287">
        <f t="shared" ca="1" si="45"/>
        <v>46278.75</v>
      </c>
      <c r="G14" s="1288">
        <f t="shared" ref="G14:AJ14" ca="1" si="51">G35+G60</f>
        <v>1542.625</v>
      </c>
      <c r="H14" s="1288">
        <f t="shared" ca="1" si="51"/>
        <v>1542.625</v>
      </c>
      <c r="I14" s="1288">
        <f t="shared" ca="1" si="51"/>
        <v>1542.625</v>
      </c>
      <c r="J14" s="1288">
        <f t="shared" ca="1" si="51"/>
        <v>1542.625</v>
      </c>
      <c r="K14" s="1288">
        <f t="shared" ca="1" si="51"/>
        <v>1542.625</v>
      </c>
      <c r="L14" s="1288">
        <f t="shared" ca="1" si="51"/>
        <v>1542.625</v>
      </c>
      <c r="M14" s="1288">
        <f t="shared" ca="1" si="51"/>
        <v>1542.625</v>
      </c>
      <c r="N14" s="1288">
        <f t="shared" ca="1" si="51"/>
        <v>1542.625</v>
      </c>
      <c r="O14" s="1288">
        <f t="shared" ca="1" si="51"/>
        <v>1542.625</v>
      </c>
      <c r="P14" s="1288">
        <f t="shared" ca="1" si="51"/>
        <v>1542.625</v>
      </c>
      <c r="Q14" s="1288">
        <f t="shared" ca="1" si="51"/>
        <v>1542.625</v>
      </c>
      <c r="R14" s="1288">
        <f t="shared" ca="1" si="51"/>
        <v>1542.625</v>
      </c>
      <c r="S14" s="1288">
        <f t="shared" ca="1" si="51"/>
        <v>1542.625</v>
      </c>
      <c r="T14" s="1288">
        <f t="shared" ca="1" si="51"/>
        <v>1542.625</v>
      </c>
      <c r="U14" s="1288">
        <f t="shared" ca="1" si="51"/>
        <v>1542.625</v>
      </c>
      <c r="V14" s="1288">
        <f t="shared" ca="1" si="51"/>
        <v>1542.625</v>
      </c>
      <c r="W14" s="1288">
        <f t="shared" ca="1" si="51"/>
        <v>1542.625</v>
      </c>
      <c r="X14" s="1288">
        <f t="shared" ca="1" si="51"/>
        <v>1542.625</v>
      </c>
      <c r="Y14" s="1288">
        <f t="shared" ca="1" si="51"/>
        <v>1542.625</v>
      </c>
      <c r="Z14" s="1288">
        <f t="shared" ca="1" si="51"/>
        <v>1542.625</v>
      </c>
      <c r="AA14" s="1288">
        <f t="shared" ca="1" si="51"/>
        <v>1542.625</v>
      </c>
      <c r="AB14" s="1288">
        <f t="shared" ca="1" si="51"/>
        <v>1542.625</v>
      </c>
      <c r="AC14" s="1288">
        <f t="shared" ca="1" si="51"/>
        <v>1542.625</v>
      </c>
      <c r="AD14" s="1288">
        <f t="shared" ca="1" si="51"/>
        <v>1542.625</v>
      </c>
      <c r="AE14" s="1288">
        <f t="shared" ca="1" si="51"/>
        <v>1542.625</v>
      </c>
      <c r="AF14" s="1288">
        <f t="shared" ca="1" si="51"/>
        <v>1542.625</v>
      </c>
      <c r="AG14" s="1288">
        <f t="shared" ca="1" si="51"/>
        <v>1542.625</v>
      </c>
      <c r="AH14" s="1288">
        <f t="shared" ca="1" si="51"/>
        <v>1542.625</v>
      </c>
      <c r="AI14" s="1288">
        <f t="shared" ca="1" si="51"/>
        <v>1542.625</v>
      </c>
      <c r="AJ14" s="1288">
        <f t="shared" ca="1" si="51"/>
        <v>1542.625</v>
      </c>
      <c r="AK14" s="291"/>
      <c r="AL14" s="292"/>
      <c r="AM14" s="292"/>
      <c r="AN14" s="292"/>
      <c r="AO14" s="292"/>
      <c r="AP14" s="290"/>
      <c r="AQ14" s="1289">
        <f t="shared" ca="1" si="47"/>
        <v>3.3333333333333333E-2</v>
      </c>
      <c r="AR14" s="1289">
        <f t="shared" ca="1" si="14"/>
        <v>3.3333333333333333E-2</v>
      </c>
      <c r="AS14" s="1289">
        <f t="shared" ca="1" si="15"/>
        <v>3.3333333333333333E-2</v>
      </c>
      <c r="AT14" s="1289">
        <f t="shared" ca="1" si="16"/>
        <v>3.3333333333333333E-2</v>
      </c>
      <c r="AU14" s="1289">
        <f t="shared" ca="1" si="17"/>
        <v>3.3333333333333333E-2</v>
      </c>
      <c r="AV14" s="1289">
        <f t="shared" ca="1" si="18"/>
        <v>3.3333333333333333E-2</v>
      </c>
      <c r="AW14" s="1289">
        <f t="shared" ca="1" si="19"/>
        <v>3.3333333333333333E-2</v>
      </c>
      <c r="AX14" s="1289">
        <f t="shared" ca="1" si="20"/>
        <v>3.3333333333333333E-2</v>
      </c>
      <c r="AY14" s="1289">
        <f t="shared" ca="1" si="21"/>
        <v>3.3333333333333333E-2</v>
      </c>
      <c r="AZ14" s="1289">
        <f t="shared" ca="1" si="22"/>
        <v>3.3333333333333333E-2</v>
      </c>
      <c r="BA14" s="1289">
        <f t="shared" ca="1" si="23"/>
        <v>3.3333333333333333E-2</v>
      </c>
      <c r="BB14" s="1289">
        <f t="shared" ca="1" si="24"/>
        <v>3.3333333333333333E-2</v>
      </c>
      <c r="BC14" s="1289">
        <f t="shared" ca="1" si="25"/>
        <v>3.3333333333333333E-2</v>
      </c>
      <c r="BD14" s="1289">
        <f t="shared" ca="1" si="26"/>
        <v>3.3333333333333333E-2</v>
      </c>
      <c r="BE14" s="1289">
        <f t="shared" ca="1" si="27"/>
        <v>3.3333333333333333E-2</v>
      </c>
      <c r="BF14" s="1289">
        <f t="shared" ca="1" si="28"/>
        <v>3.3333333333333333E-2</v>
      </c>
      <c r="BG14" s="1289">
        <f t="shared" ca="1" si="29"/>
        <v>3.3333333333333333E-2</v>
      </c>
      <c r="BH14" s="1289">
        <f t="shared" ca="1" si="30"/>
        <v>3.3333333333333333E-2</v>
      </c>
      <c r="BI14" s="1289">
        <f t="shared" ca="1" si="31"/>
        <v>3.3333333333333333E-2</v>
      </c>
      <c r="BJ14" s="1289">
        <f t="shared" ca="1" si="32"/>
        <v>3.3333333333333333E-2</v>
      </c>
      <c r="BK14" s="1289">
        <f t="shared" ca="1" si="33"/>
        <v>3.3333333333333333E-2</v>
      </c>
      <c r="BL14" s="1289">
        <f t="shared" ca="1" si="34"/>
        <v>3.3333333333333333E-2</v>
      </c>
      <c r="BM14" s="1289">
        <f t="shared" ca="1" si="35"/>
        <v>3.3333333333333333E-2</v>
      </c>
      <c r="BN14" s="1289">
        <f t="shared" ca="1" si="36"/>
        <v>3.3333333333333333E-2</v>
      </c>
      <c r="BO14" s="1289">
        <f t="shared" ca="1" si="37"/>
        <v>3.3333333333333333E-2</v>
      </c>
      <c r="BP14" s="1289">
        <f t="shared" ca="1" si="38"/>
        <v>3.3333333333333333E-2</v>
      </c>
      <c r="BQ14" s="1289">
        <f t="shared" ca="1" si="39"/>
        <v>3.3333333333333333E-2</v>
      </c>
      <c r="BR14" s="1289">
        <f t="shared" ca="1" si="40"/>
        <v>3.3333333333333333E-2</v>
      </c>
      <c r="BS14" s="1289">
        <f t="shared" ca="1" si="41"/>
        <v>3.3333333333333333E-2</v>
      </c>
      <c r="BT14" s="1289">
        <f t="shared" ca="1" si="42"/>
        <v>3.3333333333333333E-2</v>
      </c>
      <c r="BU14" s="283"/>
      <c r="BV14" s="283"/>
      <c r="BW14" s="283"/>
      <c r="BX14" s="283"/>
      <c r="BY14" s="283"/>
      <c r="BZ14" s="283"/>
      <c r="CA14" s="283"/>
    </row>
    <row r="15" spans="1:106">
      <c r="A15" s="595"/>
      <c r="B15" s="598"/>
      <c r="C15" s="599"/>
      <c r="D15" s="498" t="s">
        <v>1396</v>
      </c>
      <c r="E15" s="498" t="s">
        <v>260</v>
      </c>
      <c r="F15" s="1287">
        <f t="shared" ca="1" si="45"/>
        <v>63202.700000000026</v>
      </c>
      <c r="G15" s="1288">
        <f t="shared" ref="G15:AJ15" ca="1" si="52">G36+G61</f>
        <v>2106.7566666666667</v>
      </c>
      <c r="H15" s="1288">
        <f t="shared" ca="1" si="52"/>
        <v>2106.7566666666667</v>
      </c>
      <c r="I15" s="1288">
        <f t="shared" ca="1" si="52"/>
        <v>2106.7566666666667</v>
      </c>
      <c r="J15" s="1288">
        <f t="shared" ca="1" si="52"/>
        <v>2106.7566666666667</v>
      </c>
      <c r="K15" s="1288">
        <f t="shared" ca="1" si="52"/>
        <v>2106.7566666666667</v>
      </c>
      <c r="L15" s="1288">
        <f t="shared" ca="1" si="52"/>
        <v>2106.7566666666667</v>
      </c>
      <c r="M15" s="1288">
        <f t="shared" ca="1" si="52"/>
        <v>2106.7566666666667</v>
      </c>
      <c r="N15" s="1288">
        <f t="shared" ca="1" si="52"/>
        <v>2106.7566666666667</v>
      </c>
      <c r="O15" s="1288">
        <f t="shared" ca="1" si="52"/>
        <v>2106.7566666666667</v>
      </c>
      <c r="P15" s="1288">
        <f t="shared" ca="1" si="52"/>
        <v>2106.7566666666667</v>
      </c>
      <c r="Q15" s="1288">
        <f t="shared" ca="1" si="52"/>
        <v>2106.7566666666667</v>
      </c>
      <c r="R15" s="1288">
        <f t="shared" ca="1" si="52"/>
        <v>2106.7566666666667</v>
      </c>
      <c r="S15" s="1288">
        <f t="shared" ca="1" si="52"/>
        <v>2106.7566666666667</v>
      </c>
      <c r="T15" s="1288">
        <f t="shared" ca="1" si="52"/>
        <v>2106.7566666666667</v>
      </c>
      <c r="U15" s="1288">
        <f t="shared" ca="1" si="52"/>
        <v>2106.7566666666667</v>
      </c>
      <c r="V15" s="1288">
        <f t="shared" ca="1" si="52"/>
        <v>2106.7566666666667</v>
      </c>
      <c r="W15" s="1288">
        <f t="shared" ca="1" si="52"/>
        <v>2106.7566666666667</v>
      </c>
      <c r="X15" s="1288">
        <f t="shared" ca="1" si="52"/>
        <v>2106.7566666666667</v>
      </c>
      <c r="Y15" s="1288">
        <f t="shared" ca="1" si="52"/>
        <v>2106.7566666666667</v>
      </c>
      <c r="Z15" s="1288">
        <f t="shared" ca="1" si="52"/>
        <v>2106.7566666666667</v>
      </c>
      <c r="AA15" s="1288">
        <f t="shared" ca="1" si="52"/>
        <v>2106.7566666666667</v>
      </c>
      <c r="AB15" s="1288">
        <f t="shared" ca="1" si="52"/>
        <v>2106.7566666666667</v>
      </c>
      <c r="AC15" s="1288">
        <f t="shared" ca="1" si="52"/>
        <v>2106.7566666666667</v>
      </c>
      <c r="AD15" s="1288">
        <f t="shared" ca="1" si="52"/>
        <v>2106.7566666666667</v>
      </c>
      <c r="AE15" s="1288">
        <f t="shared" ca="1" si="52"/>
        <v>2106.7566666666667</v>
      </c>
      <c r="AF15" s="1288">
        <f t="shared" ca="1" si="52"/>
        <v>2106.7566666666667</v>
      </c>
      <c r="AG15" s="1288">
        <f t="shared" ca="1" si="52"/>
        <v>2106.7566666666667</v>
      </c>
      <c r="AH15" s="1288">
        <f t="shared" ca="1" si="52"/>
        <v>2106.7566666666667</v>
      </c>
      <c r="AI15" s="1288">
        <f t="shared" ca="1" si="52"/>
        <v>2106.7566666666667</v>
      </c>
      <c r="AJ15" s="1288">
        <f t="shared" ca="1" si="52"/>
        <v>2106.7566666666667</v>
      </c>
      <c r="AK15" s="291"/>
      <c r="AL15" s="292"/>
      <c r="AM15" s="292"/>
      <c r="AN15" s="292"/>
      <c r="AO15" s="292"/>
      <c r="AP15" s="290"/>
      <c r="AQ15" s="1289">
        <f t="shared" ca="1" si="47"/>
        <v>3.3333333333333319E-2</v>
      </c>
      <c r="AR15" s="1289">
        <f t="shared" ca="1" si="14"/>
        <v>3.3333333333333319E-2</v>
      </c>
      <c r="AS15" s="1289">
        <f t="shared" ca="1" si="15"/>
        <v>3.3333333333333319E-2</v>
      </c>
      <c r="AT15" s="1289">
        <f t="shared" ca="1" si="16"/>
        <v>3.3333333333333319E-2</v>
      </c>
      <c r="AU15" s="1289">
        <f t="shared" ca="1" si="17"/>
        <v>3.3333333333333319E-2</v>
      </c>
      <c r="AV15" s="1289">
        <f t="shared" ca="1" si="18"/>
        <v>3.3333333333333319E-2</v>
      </c>
      <c r="AW15" s="1289">
        <f t="shared" ca="1" si="19"/>
        <v>3.3333333333333319E-2</v>
      </c>
      <c r="AX15" s="1289">
        <f t="shared" ca="1" si="20"/>
        <v>3.3333333333333319E-2</v>
      </c>
      <c r="AY15" s="1289">
        <f t="shared" ca="1" si="21"/>
        <v>3.3333333333333319E-2</v>
      </c>
      <c r="AZ15" s="1289">
        <f t="shared" ca="1" si="22"/>
        <v>3.3333333333333319E-2</v>
      </c>
      <c r="BA15" s="1289">
        <f t="shared" ca="1" si="23"/>
        <v>3.3333333333333319E-2</v>
      </c>
      <c r="BB15" s="1289">
        <f t="shared" ca="1" si="24"/>
        <v>3.3333333333333319E-2</v>
      </c>
      <c r="BC15" s="1289">
        <f t="shared" ca="1" si="25"/>
        <v>3.3333333333333319E-2</v>
      </c>
      <c r="BD15" s="1289">
        <f t="shared" ca="1" si="26"/>
        <v>3.3333333333333319E-2</v>
      </c>
      <c r="BE15" s="1289">
        <f t="shared" ca="1" si="27"/>
        <v>3.3333333333333319E-2</v>
      </c>
      <c r="BF15" s="1289">
        <f t="shared" ca="1" si="28"/>
        <v>3.3333333333333319E-2</v>
      </c>
      <c r="BG15" s="1289">
        <f t="shared" ca="1" si="29"/>
        <v>3.3333333333333319E-2</v>
      </c>
      <c r="BH15" s="1289">
        <f t="shared" ca="1" si="30"/>
        <v>3.3333333333333319E-2</v>
      </c>
      <c r="BI15" s="1289">
        <f t="shared" ca="1" si="31"/>
        <v>3.3333333333333319E-2</v>
      </c>
      <c r="BJ15" s="1289">
        <f t="shared" ca="1" si="32"/>
        <v>3.3333333333333319E-2</v>
      </c>
      <c r="BK15" s="1289">
        <f t="shared" ca="1" si="33"/>
        <v>3.3333333333333319E-2</v>
      </c>
      <c r="BL15" s="1289">
        <f t="shared" ca="1" si="34"/>
        <v>3.3333333333333319E-2</v>
      </c>
      <c r="BM15" s="1289">
        <f t="shared" ca="1" si="35"/>
        <v>3.3333333333333319E-2</v>
      </c>
      <c r="BN15" s="1289">
        <f t="shared" ca="1" si="36"/>
        <v>3.3333333333333319E-2</v>
      </c>
      <c r="BO15" s="1289">
        <f t="shared" ca="1" si="37"/>
        <v>3.3333333333333319E-2</v>
      </c>
      <c r="BP15" s="1289">
        <f t="shared" ca="1" si="38"/>
        <v>3.3333333333333319E-2</v>
      </c>
      <c r="BQ15" s="1289">
        <f t="shared" ca="1" si="39"/>
        <v>3.3333333333333319E-2</v>
      </c>
      <c r="BR15" s="1289">
        <f t="shared" ca="1" si="40"/>
        <v>3.3333333333333319E-2</v>
      </c>
      <c r="BS15" s="1289">
        <f t="shared" ca="1" si="41"/>
        <v>3.3333333333333319E-2</v>
      </c>
      <c r="BT15" s="1289">
        <f t="shared" ca="1" si="42"/>
        <v>3.3333333333333319E-2</v>
      </c>
      <c r="BU15" s="283"/>
      <c r="BV15" s="283"/>
      <c r="BW15" s="283"/>
      <c r="BX15" s="283"/>
      <c r="BY15" s="283"/>
      <c r="BZ15" s="283"/>
      <c r="CA15" s="283"/>
    </row>
    <row r="16" spans="1:106">
      <c r="A16" s="595"/>
      <c r="B16" s="598"/>
      <c r="C16" s="599"/>
      <c r="D16" s="498" t="s">
        <v>1397</v>
      </c>
      <c r="E16" s="498" t="s">
        <v>261</v>
      </c>
      <c r="F16" s="1287">
        <f t="shared" ca="1" si="45"/>
        <v>39391.950000000004</v>
      </c>
      <c r="G16" s="1288">
        <f t="shared" ref="G16:AJ16" ca="1" si="53">G37+G62</f>
        <v>1313.0650000000001</v>
      </c>
      <c r="H16" s="1288">
        <f t="shared" ca="1" si="53"/>
        <v>1313.0650000000001</v>
      </c>
      <c r="I16" s="1288">
        <f t="shared" ca="1" si="53"/>
        <v>1313.0650000000001</v>
      </c>
      <c r="J16" s="1288">
        <f t="shared" ca="1" si="53"/>
        <v>1313.0650000000001</v>
      </c>
      <c r="K16" s="1288">
        <f t="shared" ca="1" si="53"/>
        <v>1313.0650000000001</v>
      </c>
      <c r="L16" s="1288">
        <f t="shared" ca="1" si="53"/>
        <v>1313.0650000000001</v>
      </c>
      <c r="M16" s="1288">
        <f t="shared" ca="1" si="53"/>
        <v>1313.0650000000001</v>
      </c>
      <c r="N16" s="1288">
        <f t="shared" ca="1" si="53"/>
        <v>1313.0650000000001</v>
      </c>
      <c r="O16" s="1288">
        <f t="shared" ca="1" si="53"/>
        <v>1313.0650000000001</v>
      </c>
      <c r="P16" s="1288">
        <f t="shared" ca="1" si="53"/>
        <v>1313.0650000000001</v>
      </c>
      <c r="Q16" s="1288">
        <f t="shared" ca="1" si="53"/>
        <v>1313.0650000000001</v>
      </c>
      <c r="R16" s="1288">
        <f t="shared" ca="1" si="53"/>
        <v>1313.0650000000001</v>
      </c>
      <c r="S16" s="1288">
        <f t="shared" ca="1" si="53"/>
        <v>1313.0650000000001</v>
      </c>
      <c r="T16" s="1288">
        <f t="shared" ca="1" si="53"/>
        <v>1313.0650000000001</v>
      </c>
      <c r="U16" s="1288">
        <f t="shared" ca="1" si="53"/>
        <v>1313.0650000000001</v>
      </c>
      <c r="V16" s="1288">
        <f t="shared" ca="1" si="53"/>
        <v>1313.0650000000001</v>
      </c>
      <c r="W16" s="1288">
        <f t="shared" ca="1" si="53"/>
        <v>1313.0650000000001</v>
      </c>
      <c r="X16" s="1288">
        <f t="shared" ca="1" si="53"/>
        <v>1313.0650000000001</v>
      </c>
      <c r="Y16" s="1288">
        <f t="shared" ca="1" si="53"/>
        <v>1313.0650000000001</v>
      </c>
      <c r="Z16" s="1288">
        <f t="shared" ca="1" si="53"/>
        <v>1313.0650000000001</v>
      </c>
      <c r="AA16" s="1288">
        <f t="shared" ca="1" si="53"/>
        <v>1313.0650000000001</v>
      </c>
      <c r="AB16" s="1288">
        <f t="shared" ca="1" si="53"/>
        <v>1313.0650000000001</v>
      </c>
      <c r="AC16" s="1288">
        <f t="shared" ca="1" si="53"/>
        <v>1313.0650000000001</v>
      </c>
      <c r="AD16" s="1288">
        <f t="shared" ca="1" si="53"/>
        <v>1313.0650000000001</v>
      </c>
      <c r="AE16" s="1288">
        <f t="shared" ca="1" si="53"/>
        <v>1313.0650000000001</v>
      </c>
      <c r="AF16" s="1288">
        <f t="shared" ca="1" si="53"/>
        <v>1313.0650000000001</v>
      </c>
      <c r="AG16" s="1288">
        <f t="shared" ca="1" si="53"/>
        <v>1313.0650000000001</v>
      </c>
      <c r="AH16" s="1288">
        <f t="shared" ca="1" si="53"/>
        <v>1313.0650000000001</v>
      </c>
      <c r="AI16" s="1288">
        <f t="shared" ca="1" si="53"/>
        <v>1313.0650000000001</v>
      </c>
      <c r="AJ16" s="1288">
        <f t="shared" ca="1" si="53"/>
        <v>1313.0650000000001</v>
      </c>
      <c r="AK16" s="291"/>
      <c r="AL16" s="292"/>
      <c r="AM16" s="292"/>
      <c r="AN16" s="292"/>
      <c r="AO16" s="292"/>
      <c r="AP16" s="290"/>
      <c r="AQ16" s="1289">
        <f t="shared" ca="1" si="47"/>
        <v>3.3333333333333333E-2</v>
      </c>
      <c r="AR16" s="1289">
        <f t="shared" ca="1" si="14"/>
        <v>3.3333333333333333E-2</v>
      </c>
      <c r="AS16" s="1289">
        <f t="shared" ca="1" si="15"/>
        <v>3.3333333333333333E-2</v>
      </c>
      <c r="AT16" s="1289">
        <f t="shared" ca="1" si="16"/>
        <v>3.3333333333333333E-2</v>
      </c>
      <c r="AU16" s="1289">
        <f t="shared" ca="1" si="17"/>
        <v>3.3333333333333333E-2</v>
      </c>
      <c r="AV16" s="1289">
        <f t="shared" ca="1" si="18"/>
        <v>3.3333333333333333E-2</v>
      </c>
      <c r="AW16" s="1289">
        <f t="shared" ca="1" si="19"/>
        <v>3.3333333333333333E-2</v>
      </c>
      <c r="AX16" s="1289">
        <f t="shared" ca="1" si="20"/>
        <v>3.3333333333333333E-2</v>
      </c>
      <c r="AY16" s="1289">
        <f t="shared" ca="1" si="21"/>
        <v>3.3333333333333333E-2</v>
      </c>
      <c r="AZ16" s="1289">
        <f t="shared" ca="1" si="22"/>
        <v>3.3333333333333333E-2</v>
      </c>
      <c r="BA16" s="1289">
        <f t="shared" ca="1" si="23"/>
        <v>3.3333333333333333E-2</v>
      </c>
      <c r="BB16" s="1289">
        <f t="shared" ca="1" si="24"/>
        <v>3.3333333333333333E-2</v>
      </c>
      <c r="BC16" s="1289">
        <f t="shared" ca="1" si="25"/>
        <v>3.3333333333333333E-2</v>
      </c>
      <c r="BD16" s="1289">
        <f t="shared" ca="1" si="26"/>
        <v>3.3333333333333333E-2</v>
      </c>
      <c r="BE16" s="1289">
        <f t="shared" ca="1" si="27"/>
        <v>3.3333333333333333E-2</v>
      </c>
      <c r="BF16" s="1289">
        <f t="shared" ca="1" si="28"/>
        <v>3.3333333333333333E-2</v>
      </c>
      <c r="BG16" s="1289">
        <f t="shared" ca="1" si="29"/>
        <v>3.3333333333333333E-2</v>
      </c>
      <c r="BH16" s="1289">
        <f t="shared" ca="1" si="30"/>
        <v>3.3333333333333333E-2</v>
      </c>
      <c r="BI16" s="1289">
        <f t="shared" ca="1" si="31"/>
        <v>3.3333333333333333E-2</v>
      </c>
      <c r="BJ16" s="1289">
        <f t="shared" ca="1" si="32"/>
        <v>3.3333333333333333E-2</v>
      </c>
      <c r="BK16" s="1289">
        <f t="shared" ca="1" si="33"/>
        <v>3.3333333333333333E-2</v>
      </c>
      <c r="BL16" s="1289">
        <f t="shared" ca="1" si="34"/>
        <v>3.3333333333333333E-2</v>
      </c>
      <c r="BM16" s="1289">
        <f t="shared" ca="1" si="35"/>
        <v>3.3333333333333333E-2</v>
      </c>
      <c r="BN16" s="1289">
        <f t="shared" ca="1" si="36"/>
        <v>3.3333333333333333E-2</v>
      </c>
      <c r="BO16" s="1289">
        <f t="shared" ca="1" si="37"/>
        <v>3.3333333333333333E-2</v>
      </c>
      <c r="BP16" s="1289">
        <f t="shared" ca="1" si="38"/>
        <v>3.3333333333333333E-2</v>
      </c>
      <c r="BQ16" s="1289">
        <f t="shared" ca="1" si="39"/>
        <v>3.3333333333333333E-2</v>
      </c>
      <c r="BR16" s="1289">
        <f t="shared" ca="1" si="40"/>
        <v>3.3333333333333333E-2</v>
      </c>
      <c r="BS16" s="1289">
        <f t="shared" ca="1" si="41"/>
        <v>3.3333333333333333E-2</v>
      </c>
      <c r="BT16" s="1289">
        <f t="shared" ca="1" si="42"/>
        <v>3.3333333333333333E-2</v>
      </c>
      <c r="BU16" s="283"/>
      <c r="BV16" s="283"/>
      <c r="BW16" s="283"/>
      <c r="BX16" s="283"/>
      <c r="BY16" s="283"/>
      <c r="BZ16" s="283"/>
      <c r="CA16" s="283"/>
    </row>
    <row r="17" spans="1:79">
      <c r="A17" s="595"/>
      <c r="B17" s="598"/>
      <c r="C17" s="599"/>
      <c r="D17" s="498" t="s">
        <v>1398</v>
      </c>
      <c r="E17" s="498" t="s">
        <v>262</v>
      </c>
      <c r="F17" s="1287">
        <f t="shared" si="45"/>
        <v>70676.647256924974</v>
      </c>
      <c r="G17" s="1288">
        <f t="shared" ref="G17:AJ17" si="54">G38+G63</f>
        <v>2355.8882418975008</v>
      </c>
      <c r="H17" s="1288">
        <f t="shared" si="54"/>
        <v>2355.8882418975008</v>
      </c>
      <c r="I17" s="1288">
        <f t="shared" si="54"/>
        <v>2355.8882418975008</v>
      </c>
      <c r="J17" s="1288">
        <f t="shared" si="54"/>
        <v>2355.8882418975008</v>
      </c>
      <c r="K17" s="1288">
        <f t="shared" si="54"/>
        <v>2355.8882418975008</v>
      </c>
      <c r="L17" s="1288">
        <f t="shared" si="54"/>
        <v>2355.8882418975008</v>
      </c>
      <c r="M17" s="1288">
        <f t="shared" si="54"/>
        <v>2355.8882418975008</v>
      </c>
      <c r="N17" s="1288">
        <f t="shared" si="54"/>
        <v>2355.8882418975008</v>
      </c>
      <c r="O17" s="1288">
        <f t="shared" si="54"/>
        <v>2355.8882418975008</v>
      </c>
      <c r="P17" s="1288">
        <f t="shared" si="54"/>
        <v>2355.8882418975008</v>
      </c>
      <c r="Q17" s="1288">
        <f t="shared" si="54"/>
        <v>2355.8882418975008</v>
      </c>
      <c r="R17" s="1288">
        <f t="shared" si="54"/>
        <v>2355.8882418975008</v>
      </c>
      <c r="S17" s="1288">
        <f t="shared" si="54"/>
        <v>2355.8882418975008</v>
      </c>
      <c r="T17" s="1288">
        <f t="shared" si="54"/>
        <v>2355.8882418975008</v>
      </c>
      <c r="U17" s="1288">
        <f t="shared" si="54"/>
        <v>2355.8882418975008</v>
      </c>
      <c r="V17" s="1288">
        <f t="shared" si="54"/>
        <v>2355.8882418975008</v>
      </c>
      <c r="W17" s="1288">
        <f t="shared" si="54"/>
        <v>2355.8882418975008</v>
      </c>
      <c r="X17" s="1288">
        <f t="shared" si="54"/>
        <v>2355.8882418975008</v>
      </c>
      <c r="Y17" s="1288">
        <f t="shared" si="54"/>
        <v>2355.8882418975008</v>
      </c>
      <c r="Z17" s="1288">
        <f t="shared" si="54"/>
        <v>2355.8882418975008</v>
      </c>
      <c r="AA17" s="1288">
        <f t="shared" si="54"/>
        <v>2355.8882418975008</v>
      </c>
      <c r="AB17" s="1288">
        <f t="shared" si="54"/>
        <v>2355.8882418975008</v>
      </c>
      <c r="AC17" s="1288">
        <f t="shared" si="54"/>
        <v>2355.8882418975008</v>
      </c>
      <c r="AD17" s="1288">
        <f t="shared" si="54"/>
        <v>2355.8882418975008</v>
      </c>
      <c r="AE17" s="1288">
        <f t="shared" si="54"/>
        <v>2355.8882418975008</v>
      </c>
      <c r="AF17" s="1288">
        <f t="shared" si="54"/>
        <v>2355.8882418975008</v>
      </c>
      <c r="AG17" s="1288">
        <f t="shared" si="54"/>
        <v>2355.8882418975008</v>
      </c>
      <c r="AH17" s="1288">
        <f t="shared" si="54"/>
        <v>2355.8882418975008</v>
      </c>
      <c r="AI17" s="1288">
        <f t="shared" si="54"/>
        <v>2355.8882418975008</v>
      </c>
      <c r="AJ17" s="1288">
        <f t="shared" si="54"/>
        <v>2355.8882418975008</v>
      </c>
      <c r="AK17" s="291"/>
      <c r="AL17" s="292"/>
      <c r="AM17" s="292"/>
      <c r="AN17" s="292"/>
      <c r="AO17" s="292"/>
      <c r="AP17" s="290"/>
      <c r="AQ17" s="1289">
        <f t="shared" si="47"/>
        <v>3.3333333333333361E-2</v>
      </c>
      <c r="AR17" s="1289">
        <f t="shared" si="14"/>
        <v>3.3333333333333361E-2</v>
      </c>
      <c r="AS17" s="1289">
        <f t="shared" si="15"/>
        <v>3.3333333333333361E-2</v>
      </c>
      <c r="AT17" s="1289">
        <f t="shared" si="16"/>
        <v>3.3333333333333361E-2</v>
      </c>
      <c r="AU17" s="1289">
        <f t="shared" si="17"/>
        <v>3.3333333333333361E-2</v>
      </c>
      <c r="AV17" s="1289">
        <f t="shared" si="18"/>
        <v>3.3333333333333361E-2</v>
      </c>
      <c r="AW17" s="1289">
        <f t="shared" si="19"/>
        <v>3.3333333333333361E-2</v>
      </c>
      <c r="AX17" s="1289">
        <f t="shared" si="20"/>
        <v>3.3333333333333361E-2</v>
      </c>
      <c r="AY17" s="1289">
        <f t="shared" si="21"/>
        <v>3.3333333333333361E-2</v>
      </c>
      <c r="AZ17" s="1289">
        <f t="shared" si="22"/>
        <v>3.3333333333333361E-2</v>
      </c>
      <c r="BA17" s="1289">
        <f t="shared" si="23"/>
        <v>3.3333333333333361E-2</v>
      </c>
      <c r="BB17" s="1289">
        <f t="shared" si="24"/>
        <v>3.3333333333333361E-2</v>
      </c>
      <c r="BC17" s="1289">
        <f t="shared" si="25"/>
        <v>3.3333333333333361E-2</v>
      </c>
      <c r="BD17" s="1289">
        <f t="shared" si="26"/>
        <v>3.3333333333333361E-2</v>
      </c>
      <c r="BE17" s="1289">
        <f t="shared" si="27"/>
        <v>3.3333333333333361E-2</v>
      </c>
      <c r="BF17" s="1289">
        <f t="shared" si="28"/>
        <v>3.3333333333333361E-2</v>
      </c>
      <c r="BG17" s="1289">
        <f t="shared" si="29"/>
        <v>3.3333333333333361E-2</v>
      </c>
      <c r="BH17" s="1289">
        <f t="shared" si="30"/>
        <v>3.3333333333333361E-2</v>
      </c>
      <c r="BI17" s="1289">
        <f t="shared" si="31"/>
        <v>3.3333333333333361E-2</v>
      </c>
      <c r="BJ17" s="1289">
        <f t="shared" si="32"/>
        <v>3.3333333333333361E-2</v>
      </c>
      <c r="BK17" s="1289">
        <f t="shared" si="33"/>
        <v>3.3333333333333361E-2</v>
      </c>
      <c r="BL17" s="1289">
        <f t="shared" si="34"/>
        <v>3.3333333333333361E-2</v>
      </c>
      <c r="BM17" s="1289">
        <f t="shared" si="35"/>
        <v>3.3333333333333361E-2</v>
      </c>
      <c r="BN17" s="1289">
        <f t="shared" si="36"/>
        <v>3.3333333333333361E-2</v>
      </c>
      <c r="BO17" s="1289">
        <f t="shared" si="37"/>
        <v>3.3333333333333361E-2</v>
      </c>
      <c r="BP17" s="1289">
        <f t="shared" si="38"/>
        <v>3.3333333333333361E-2</v>
      </c>
      <c r="BQ17" s="1289">
        <f t="shared" si="39"/>
        <v>3.3333333333333361E-2</v>
      </c>
      <c r="BR17" s="1289">
        <f t="shared" si="40"/>
        <v>3.3333333333333361E-2</v>
      </c>
      <c r="BS17" s="1289">
        <f t="shared" si="41"/>
        <v>3.3333333333333361E-2</v>
      </c>
      <c r="BT17" s="1289">
        <f t="shared" si="42"/>
        <v>3.3333333333333361E-2</v>
      </c>
      <c r="BU17" s="283"/>
      <c r="BV17" s="283"/>
      <c r="BW17" s="283"/>
      <c r="BX17" s="283"/>
      <c r="BY17" s="283"/>
      <c r="BZ17" s="283"/>
      <c r="CA17" s="283"/>
    </row>
    <row r="18" spans="1:79">
      <c r="A18" s="595"/>
      <c r="B18" s="598"/>
      <c r="C18" s="599"/>
      <c r="D18" s="498" t="s">
        <v>1399</v>
      </c>
      <c r="E18" s="498" t="s">
        <v>263</v>
      </c>
      <c r="F18" s="1287">
        <f t="shared" si="45"/>
        <v>4700.2576458600015</v>
      </c>
      <c r="G18" s="1288">
        <f t="shared" ref="G18:AJ18" si="55">G39+G64</f>
        <v>299.96182279800007</v>
      </c>
      <c r="H18" s="1288">
        <f t="shared" si="55"/>
        <v>299.96182279800007</v>
      </c>
      <c r="I18" s="1288">
        <f t="shared" si="55"/>
        <v>299.96182279800007</v>
      </c>
      <c r="J18" s="1288">
        <f t="shared" si="55"/>
        <v>299.96182279800007</v>
      </c>
      <c r="K18" s="1288">
        <f t="shared" si="55"/>
        <v>299.96182279800007</v>
      </c>
      <c r="L18" s="1288">
        <f t="shared" si="55"/>
        <v>299.96182279800007</v>
      </c>
      <c r="M18" s="1288">
        <f t="shared" si="55"/>
        <v>120.85361287800001</v>
      </c>
      <c r="N18" s="1288">
        <f t="shared" si="55"/>
        <v>120.85361287800001</v>
      </c>
      <c r="O18" s="1288">
        <f t="shared" si="55"/>
        <v>120.85361287800001</v>
      </c>
      <c r="P18" s="1288">
        <f t="shared" si="55"/>
        <v>120.85361287800001</v>
      </c>
      <c r="Q18" s="1288">
        <f t="shared" si="55"/>
        <v>120.85361287800001</v>
      </c>
      <c r="R18" s="1288">
        <f t="shared" si="55"/>
        <v>120.85361287800001</v>
      </c>
      <c r="S18" s="1288">
        <f t="shared" si="55"/>
        <v>120.85361287800001</v>
      </c>
      <c r="T18" s="1288">
        <f t="shared" si="55"/>
        <v>120.85361287800001</v>
      </c>
      <c r="U18" s="1288">
        <f t="shared" si="55"/>
        <v>120.85361287800001</v>
      </c>
      <c r="V18" s="1288">
        <f t="shared" si="55"/>
        <v>120.85361287800001</v>
      </c>
      <c r="W18" s="1288">
        <f t="shared" si="55"/>
        <v>120.85361287800001</v>
      </c>
      <c r="X18" s="1288">
        <f t="shared" si="55"/>
        <v>120.85361287800001</v>
      </c>
      <c r="Y18" s="1288">
        <f t="shared" si="55"/>
        <v>120.85361287800001</v>
      </c>
      <c r="Z18" s="1288">
        <f t="shared" si="55"/>
        <v>120.85361287800001</v>
      </c>
      <c r="AA18" s="1288">
        <f t="shared" si="55"/>
        <v>120.85361287800001</v>
      </c>
      <c r="AB18" s="1288">
        <f t="shared" si="55"/>
        <v>120.85361287800001</v>
      </c>
      <c r="AC18" s="1288">
        <f t="shared" si="55"/>
        <v>120.85361287800001</v>
      </c>
      <c r="AD18" s="1288">
        <f t="shared" si="55"/>
        <v>120.85361287800001</v>
      </c>
      <c r="AE18" s="1288">
        <f t="shared" si="55"/>
        <v>120.85361287800001</v>
      </c>
      <c r="AF18" s="1288">
        <f t="shared" si="55"/>
        <v>120.85361287800001</v>
      </c>
      <c r="AG18" s="1288">
        <f t="shared" si="55"/>
        <v>120.85361287800001</v>
      </c>
      <c r="AH18" s="1288">
        <f t="shared" si="55"/>
        <v>120.85361287800001</v>
      </c>
      <c r="AI18" s="1288">
        <f t="shared" si="55"/>
        <v>120.85361287800001</v>
      </c>
      <c r="AJ18" s="1288">
        <f t="shared" si="55"/>
        <v>120.85361287800001</v>
      </c>
      <c r="AK18" s="291"/>
      <c r="AL18" s="292"/>
      <c r="AM18" s="292"/>
      <c r="AN18" s="292"/>
      <c r="AO18" s="292"/>
      <c r="AP18" s="290"/>
      <c r="AQ18" s="1289">
        <f t="shared" si="47"/>
        <v>6.3818166023772591E-2</v>
      </c>
      <c r="AR18" s="1289">
        <f t="shared" si="14"/>
        <v>6.3818166023772591E-2</v>
      </c>
      <c r="AS18" s="1289">
        <f t="shared" si="15"/>
        <v>6.3818166023772591E-2</v>
      </c>
      <c r="AT18" s="1289">
        <f t="shared" si="16"/>
        <v>6.3818166023772591E-2</v>
      </c>
      <c r="AU18" s="1289">
        <f t="shared" si="17"/>
        <v>6.3818166023772591E-2</v>
      </c>
      <c r="AV18" s="1289">
        <f t="shared" si="18"/>
        <v>6.3818166023772591E-2</v>
      </c>
      <c r="AW18" s="1289">
        <f t="shared" si="19"/>
        <v>2.5712125160723513E-2</v>
      </c>
      <c r="AX18" s="1289">
        <f t="shared" si="20"/>
        <v>2.5712125160723513E-2</v>
      </c>
      <c r="AY18" s="1289">
        <f t="shared" si="21"/>
        <v>2.5712125160723513E-2</v>
      </c>
      <c r="AZ18" s="1289">
        <f t="shared" si="22"/>
        <v>2.5712125160723513E-2</v>
      </c>
      <c r="BA18" s="1289">
        <f t="shared" si="23"/>
        <v>2.5712125160723513E-2</v>
      </c>
      <c r="BB18" s="1289">
        <f t="shared" si="24"/>
        <v>2.5712125160723513E-2</v>
      </c>
      <c r="BC18" s="1289">
        <f t="shared" si="25"/>
        <v>2.5712125160723513E-2</v>
      </c>
      <c r="BD18" s="1289">
        <f t="shared" si="26"/>
        <v>2.5712125160723513E-2</v>
      </c>
      <c r="BE18" s="1289">
        <f t="shared" si="27"/>
        <v>2.5712125160723513E-2</v>
      </c>
      <c r="BF18" s="1289">
        <f t="shared" si="28"/>
        <v>2.5712125160723513E-2</v>
      </c>
      <c r="BG18" s="1289">
        <f t="shared" si="29"/>
        <v>2.5712125160723513E-2</v>
      </c>
      <c r="BH18" s="1289">
        <f t="shared" si="30"/>
        <v>2.5712125160723513E-2</v>
      </c>
      <c r="BI18" s="1289">
        <f t="shared" si="31"/>
        <v>2.5712125160723513E-2</v>
      </c>
      <c r="BJ18" s="1289">
        <f t="shared" si="32"/>
        <v>2.5712125160723513E-2</v>
      </c>
      <c r="BK18" s="1289">
        <f t="shared" si="33"/>
        <v>2.5712125160723513E-2</v>
      </c>
      <c r="BL18" s="1289">
        <f t="shared" si="34"/>
        <v>2.5712125160723513E-2</v>
      </c>
      <c r="BM18" s="1289">
        <f t="shared" si="35"/>
        <v>2.5712125160723513E-2</v>
      </c>
      <c r="BN18" s="1289">
        <f t="shared" si="36"/>
        <v>2.5712125160723513E-2</v>
      </c>
      <c r="BO18" s="1289">
        <f t="shared" si="37"/>
        <v>2.5712125160723513E-2</v>
      </c>
      <c r="BP18" s="1289">
        <f t="shared" si="38"/>
        <v>2.5712125160723513E-2</v>
      </c>
      <c r="BQ18" s="1289">
        <f t="shared" si="39"/>
        <v>2.5712125160723513E-2</v>
      </c>
      <c r="BR18" s="1289">
        <f t="shared" si="40"/>
        <v>2.5712125160723513E-2</v>
      </c>
      <c r="BS18" s="1289">
        <f t="shared" si="41"/>
        <v>2.5712125160723513E-2</v>
      </c>
      <c r="BT18" s="1289">
        <f t="shared" si="42"/>
        <v>2.5712125160723513E-2</v>
      </c>
      <c r="BU18" s="283"/>
      <c r="BV18" s="283"/>
      <c r="BW18" s="283"/>
      <c r="BX18" s="283"/>
      <c r="BY18" s="283"/>
      <c r="BZ18" s="283"/>
      <c r="CA18" s="283"/>
    </row>
    <row r="19" spans="1:79">
      <c r="A19" s="595"/>
      <c r="B19" s="598"/>
      <c r="C19" s="599"/>
      <c r="D19" s="498" t="s">
        <v>1400</v>
      </c>
      <c r="E19" s="498" t="s">
        <v>264</v>
      </c>
      <c r="F19" s="1287">
        <f t="shared" si="45"/>
        <v>599.24627931783311</v>
      </c>
      <c r="G19" s="1288">
        <f t="shared" ref="G19:AJ19" si="56">G40+G65</f>
        <v>19.974875977261096</v>
      </c>
      <c r="H19" s="1288">
        <f t="shared" si="56"/>
        <v>19.974875977261096</v>
      </c>
      <c r="I19" s="1288">
        <f t="shared" si="56"/>
        <v>19.974875977261096</v>
      </c>
      <c r="J19" s="1288">
        <f t="shared" si="56"/>
        <v>19.974875977261096</v>
      </c>
      <c r="K19" s="1288">
        <f t="shared" si="56"/>
        <v>19.974875977261096</v>
      </c>
      <c r="L19" s="1288">
        <f t="shared" si="56"/>
        <v>19.974875977261096</v>
      </c>
      <c r="M19" s="1288">
        <f t="shared" si="56"/>
        <v>19.974875977261096</v>
      </c>
      <c r="N19" s="1288">
        <f t="shared" si="56"/>
        <v>19.974875977261096</v>
      </c>
      <c r="O19" s="1288">
        <f t="shared" si="56"/>
        <v>19.974875977261096</v>
      </c>
      <c r="P19" s="1288">
        <f t="shared" si="56"/>
        <v>19.974875977261096</v>
      </c>
      <c r="Q19" s="1288">
        <f t="shared" si="56"/>
        <v>19.974875977261096</v>
      </c>
      <c r="R19" s="1288">
        <f t="shared" si="56"/>
        <v>19.974875977261096</v>
      </c>
      <c r="S19" s="1288">
        <f t="shared" si="56"/>
        <v>19.974875977261096</v>
      </c>
      <c r="T19" s="1288">
        <f t="shared" si="56"/>
        <v>19.974875977261096</v>
      </c>
      <c r="U19" s="1288">
        <f t="shared" si="56"/>
        <v>19.974875977261096</v>
      </c>
      <c r="V19" s="1288">
        <f t="shared" si="56"/>
        <v>19.974875977261096</v>
      </c>
      <c r="W19" s="1288">
        <f t="shared" si="56"/>
        <v>19.974875977261096</v>
      </c>
      <c r="X19" s="1288">
        <f t="shared" si="56"/>
        <v>19.974875977261096</v>
      </c>
      <c r="Y19" s="1288">
        <f t="shared" si="56"/>
        <v>19.974875977261096</v>
      </c>
      <c r="Z19" s="1288">
        <f t="shared" si="56"/>
        <v>19.974875977261096</v>
      </c>
      <c r="AA19" s="1288">
        <f t="shared" si="56"/>
        <v>19.974875977261096</v>
      </c>
      <c r="AB19" s="1288">
        <f t="shared" si="56"/>
        <v>19.974875977261096</v>
      </c>
      <c r="AC19" s="1288">
        <f t="shared" si="56"/>
        <v>19.974875977261096</v>
      </c>
      <c r="AD19" s="1288">
        <f t="shared" si="56"/>
        <v>19.974875977261096</v>
      </c>
      <c r="AE19" s="1288">
        <f t="shared" si="56"/>
        <v>19.974875977261096</v>
      </c>
      <c r="AF19" s="1288">
        <f t="shared" si="56"/>
        <v>19.974875977261096</v>
      </c>
      <c r="AG19" s="1288">
        <f t="shared" si="56"/>
        <v>19.974875977261096</v>
      </c>
      <c r="AH19" s="1288">
        <f t="shared" si="56"/>
        <v>19.974875977261096</v>
      </c>
      <c r="AI19" s="1288">
        <f t="shared" si="56"/>
        <v>19.974875977261096</v>
      </c>
      <c r="AJ19" s="1288">
        <f t="shared" si="56"/>
        <v>19.974875977261096</v>
      </c>
      <c r="AK19" s="291"/>
      <c r="AL19" s="292"/>
      <c r="AM19" s="292"/>
      <c r="AN19" s="292"/>
      <c r="AO19" s="292"/>
      <c r="AP19" s="290"/>
      <c r="AQ19" s="1289">
        <f t="shared" si="47"/>
        <v>3.3333333333333319E-2</v>
      </c>
      <c r="AR19" s="1289">
        <f t="shared" si="14"/>
        <v>3.3333333333333319E-2</v>
      </c>
      <c r="AS19" s="1289">
        <f t="shared" si="15"/>
        <v>3.3333333333333319E-2</v>
      </c>
      <c r="AT19" s="1289">
        <f t="shared" si="16"/>
        <v>3.3333333333333319E-2</v>
      </c>
      <c r="AU19" s="1289">
        <f t="shared" si="17"/>
        <v>3.3333333333333319E-2</v>
      </c>
      <c r="AV19" s="1289">
        <f t="shared" si="18"/>
        <v>3.3333333333333319E-2</v>
      </c>
      <c r="AW19" s="1289">
        <f t="shared" si="19"/>
        <v>3.3333333333333319E-2</v>
      </c>
      <c r="AX19" s="1289">
        <f t="shared" si="20"/>
        <v>3.3333333333333319E-2</v>
      </c>
      <c r="AY19" s="1289">
        <f t="shared" si="21"/>
        <v>3.3333333333333319E-2</v>
      </c>
      <c r="AZ19" s="1289">
        <f t="shared" si="22"/>
        <v>3.3333333333333319E-2</v>
      </c>
      <c r="BA19" s="1289">
        <f t="shared" si="23"/>
        <v>3.3333333333333319E-2</v>
      </c>
      <c r="BB19" s="1289">
        <f t="shared" si="24"/>
        <v>3.3333333333333319E-2</v>
      </c>
      <c r="BC19" s="1289">
        <f t="shared" si="25"/>
        <v>3.3333333333333319E-2</v>
      </c>
      <c r="BD19" s="1289">
        <f t="shared" si="26"/>
        <v>3.3333333333333319E-2</v>
      </c>
      <c r="BE19" s="1289">
        <f t="shared" si="27"/>
        <v>3.3333333333333319E-2</v>
      </c>
      <c r="BF19" s="1289">
        <f t="shared" si="28"/>
        <v>3.3333333333333319E-2</v>
      </c>
      <c r="BG19" s="1289">
        <f t="shared" si="29"/>
        <v>3.3333333333333319E-2</v>
      </c>
      <c r="BH19" s="1289">
        <f t="shared" si="30"/>
        <v>3.3333333333333319E-2</v>
      </c>
      <c r="BI19" s="1289">
        <f t="shared" si="31"/>
        <v>3.3333333333333319E-2</v>
      </c>
      <c r="BJ19" s="1289">
        <f t="shared" si="32"/>
        <v>3.3333333333333319E-2</v>
      </c>
      <c r="BK19" s="1289">
        <f t="shared" si="33"/>
        <v>3.3333333333333319E-2</v>
      </c>
      <c r="BL19" s="1289">
        <f t="shared" si="34"/>
        <v>3.3333333333333319E-2</v>
      </c>
      <c r="BM19" s="1289">
        <f t="shared" si="35"/>
        <v>3.3333333333333319E-2</v>
      </c>
      <c r="BN19" s="1289">
        <f t="shared" si="36"/>
        <v>3.3333333333333319E-2</v>
      </c>
      <c r="BO19" s="1289">
        <f t="shared" si="37"/>
        <v>3.3333333333333319E-2</v>
      </c>
      <c r="BP19" s="1289">
        <f t="shared" si="38"/>
        <v>3.3333333333333319E-2</v>
      </c>
      <c r="BQ19" s="1289">
        <f t="shared" si="39"/>
        <v>3.3333333333333319E-2</v>
      </c>
      <c r="BR19" s="1289">
        <f t="shared" si="40"/>
        <v>3.3333333333333319E-2</v>
      </c>
      <c r="BS19" s="1289">
        <f t="shared" si="41"/>
        <v>3.3333333333333319E-2</v>
      </c>
      <c r="BT19" s="1289">
        <f t="shared" si="42"/>
        <v>3.3333333333333319E-2</v>
      </c>
      <c r="BU19" s="283"/>
      <c r="BV19" s="283"/>
      <c r="BW19" s="283"/>
      <c r="BX19" s="283"/>
      <c r="BY19" s="283"/>
      <c r="BZ19" s="283"/>
      <c r="CA19" s="283"/>
    </row>
    <row r="20" spans="1:79">
      <c r="A20" s="595"/>
      <c r="B20" s="598"/>
      <c r="C20" s="599"/>
      <c r="D20" s="498" t="s">
        <v>1401</v>
      </c>
      <c r="E20" s="498" t="s">
        <v>265</v>
      </c>
      <c r="F20" s="1287">
        <f t="shared" si="45"/>
        <v>13889.372921999997</v>
      </c>
      <c r="G20" s="1288">
        <f t="shared" ref="G20:AJ20" si="57">G42+G67</f>
        <v>0</v>
      </c>
      <c r="H20" s="1288">
        <f t="shared" si="57"/>
        <v>461.67561800000004</v>
      </c>
      <c r="I20" s="1288">
        <f t="shared" si="57"/>
        <v>461.67561800000004</v>
      </c>
      <c r="J20" s="1288">
        <f t="shared" si="57"/>
        <v>461.67561800000004</v>
      </c>
      <c r="K20" s="1288">
        <f t="shared" si="57"/>
        <v>561.83161800000005</v>
      </c>
      <c r="L20" s="1288">
        <f t="shared" si="57"/>
        <v>461.67561800000004</v>
      </c>
      <c r="M20" s="1288">
        <f t="shared" si="57"/>
        <v>461.67561800000004</v>
      </c>
      <c r="N20" s="1288">
        <f t="shared" si="57"/>
        <v>461.67561800000004</v>
      </c>
      <c r="O20" s="1288">
        <f t="shared" si="57"/>
        <v>461.67561800000004</v>
      </c>
      <c r="P20" s="1288">
        <f t="shared" si="57"/>
        <v>461.67561800000004</v>
      </c>
      <c r="Q20" s="1288">
        <f t="shared" si="57"/>
        <v>561.83161800000005</v>
      </c>
      <c r="R20" s="1288">
        <f t="shared" si="57"/>
        <v>461.67561800000004</v>
      </c>
      <c r="S20" s="1288">
        <f t="shared" si="57"/>
        <v>461.67561800000004</v>
      </c>
      <c r="T20" s="1288">
        <f t="shared" si="57"/>
        <v>461.67561800000004</v>
      </c>
      <c r="U20" s="1288">
        <f t="shared" si="57"/>
        <v>461.67561800000004</v>
      </c>
      <c r="V20" s="1288">
        <f t="shared" si="57"/>
        <v>461.67561800000004</v>
      </c>
      <c r="W20" s="1288">
        <f t="shared" si="57"/>
        <v>561.83161800000005</v>
      </c>
      <c r="X20" s="1288">
        <f t="shared" si="57"/>
        <v>461.67561800000004</v>
      </c>
      <c r="Y20" s="1288">
        <f t="shared" si="57"/>
        <v>461.67561800000004</v>
      </c>
      <c r="Z20" s="1288">
        <f t="shared" si="57"/>
        <v>461.67561800000004</v>
      </c>
      <c r="AA20" s="1288">
        <f t="shared" si="57"/>
        <v>461.67561800000004</v>
      </c>
      <c r="AB20" s="1288">
        <f t="shared" si="57"/>
        <v>461.67561800000004</v>
      </c>
      <c r="AC20" s="1288">
        <f t="shared" si="57"/>
        <v>561.83161800000005</v>
      </c>
      <c r="AD20" s="1288">
        <f t="shared" si="57"/>
        <v>461.67561800000004</v>
      </c>
      <c r="AE20" s="1288">
        <f t="shared" si="57"/>
        <v>461.67561800000004</v>
      </c>
      <c r="AF20" s="1288">
        <f t="shared" si="57"/>
        <v>461.67561800000004</v>
      </c>
      <c r="AG20" s="1288">
        <f t="shared" si="57"/>
        <v>461.67561800000004</v>
      </c>
      <c r="AH20" s="1288">
        <f t="shared" si="57"/>
        <v>461.67561800000004</v>
      </c>
      <c r="AI20" s="1288">
        <f t="shared" si="57"/>
        <v>561.83161800000005</v>
      </c>
      <c r="AJ20" s="1288">
        <f t="shared" si="57"/>
        <v>461.67561800000004</v>
      </c>
      <c r="AK20" s="291"/>
      <c r="AL20" s="292"/>
      <c r="AM20" s="292"/>
      <c r="AN20" s="292"/>
      <c r="AO20" s="292"/>
      <c r="AP20" s="290"/>
      <c r="AQ20" s="1289">
        <f t="shared" si="47"/>
        <v>0</v>
      </c>
      <c r="AR20" s="1289">
        <f t="shared" si="14"/>
        <v>3.3239486087145914E-2</v>
      </c>
      <c r="AS20" s="1289">
        <f t="shared" si="15"/>
        <v>3.3239486087145914E-2</v>
      </c>
      <c r="AT20" s="1289">
        <f t="shared" si="16"/>
        <v>3.3239486087145914E-2</v>
      </c>
      <c r="AU20" s="1289">
        <f t="shared" si="17"/>
        <v>4.0450466781699689E-2</v>
      </c>
      <c r="AV20" s="1289">
        <f t="shared" si="18"/>
        <v>3.3239486087145914E-2</v>
      </c>
      <c r="AW20" s="1289">
        <f t="shared" si="19"/>
        <v>3.3239486087145914E-2</v>
      </c>
      <c r="AX20" s="1289">
        <f t="shared" si="20"/>
        <v>3.3239486087145914E-2</v>
      </c>
      <c r="AY20" s="1289">
        <f t="shared" si="21"/>
        <v>3.3239486087145914E-2</v>
      </c>
      <c r="AZ20" s="1289">
        <f t="shared" si="22"/>
        <v>3.3239486087145914E-2</v>
      </c>
      <c r="BA20" s="1289">
        <f t="shared" si="23"/>
        <v>4.0450466781699689E-2</v>
      </c>
      <c r="BB20" s="1289">
        <f t="shared" si="24"/>
        <v>3.3239486087145914E-2</v>
      </c>
      <c r="BC20" s="1289">
        <f t="shared" si="25"/>
        <v>3.3239486087145914E-2</v>
      </c>
      <c r="BD20" s="1289">
        <f t="shared" si="26"/>
        <v>3.3239486087145914E-2</v>
      </c>
      <c r="BE20" s="1289">
        <f t="shared" si="27"/>
        <v>3.3239486087145914E-2</v>
      </c>
      <c r="BF20" s="1289">
        <f t="shared" si="28"/>
        <v>3.3239486087145914E-2</v>
      </c>
      <c r="BG20" s="1289">
        <f t="shared" si="29"/>
        <v>4.0450466781699689E-2</v>
      </c>
      <c r="BH20" s="1289">
        <f t="shared" si="30"/>
        <v>3.3239486087145914E-2</v>
      </c>
      <c r="BI20" s="1289">
        <f t="shared" si="31"/>
        <v>3.3239486087145914E-2</v>
      </c>
      <c r="BJ20" s="1289">
        <f t="shared" si="32"/>
        <v>3.3239486087145914E-2</v>
      </c>
      <c r="BK20" s="1289">
        <f t="shared" si="33"/>
        <v>3.3239486087145914E-2</v>
      </c>
      <c r="BL20" s="1289">
        <f t="shared" si="34"/>
        <v>3.3239486087145914E-2</v>
      </c>
      <c r="BM20" s="1289">
        <f t="shared" si="35"/>
        <v>4.0450466781699689E-2</v>
      </c>
      <c r="BN20" s="1289">
        <f t="shared" si="36"/>
        <v>3.3239486087145914E-2</v>
      </c>
      <c r="BO20" s="1289">
        <f t="shared" si="37"/>
        <v>3.3239486087145914E-2</v>
      </c>
      <c r="BP20" s="1289">
        <f t="shared" si="38"/>
        <v>3.3239486087145914E-2</v>
      </c>
      <c r="BQ20" s="1289">
        <f t="shared" si="39"/>
        <v>3.3239486087145914E-2</v>
      </c>
      <c r="BR20" s="1289">
        <f t="shared" si="40"/>
        <v>3.3239486087145914E-2</v>
      </c>
      <c r="BS20" s="1289">
        <f t="shared" si="41"/>
        <v>4.0450466781699689E-2</v>
      </c>
      <c r="BT20" s="1289">
        <f t="shared" si="42"/>
        <v>3.3239486087145914E-2</v>
      </c>
      <c r="BU20" s="283"/>
      <c r="BV20" s="283"/>
      <c r="BW20" s="283"/>
      <c r="BX20" s="283"/>
      <c r="BY20" s="283"/>
      <c r="BZ20" s="283"/>
      <c r="CA20" s="283"/>
    </row>
    <row r="21" spans="1:79">
      <c r="A21" s="595"/>
      <c r="B21" s="598"/>
      <c r="C21" s="599"/>
      <c r="D21" s="498" t="s">
        <v>1402</v>
      </c>
      <c r="E21" s="498" t="s">
        <v>266</v>
      </c>
      <c r="F21" s="1287">
        <f t="shared" si="45"/>
        <v>40139.510399999992</v>
      </c>
      <c r="G21" s="1288">
        <f t="shared" ref="G21:AJ21" si="58">G43+G68</f>
        <v>2034.8663466666667</v>
      </c>
      <c r="H21" s="1288">
        <f t="shared" si="58"/>
        <v>2170.0343466666668</v>
      </c>
      <c r="I21" s="1288">
        <f t="shared" si="58"/>
        <v>1407.6343466666667</v>
      </c>
      <c r="J21" s="1288">
        <f t="shared" si="58"/>
        <v>1620.0343466666666</v>
      </c>
      <c r="K21" s="1288">
        <f t="shared" si="58"/>
        <v>1407.6343466666667</v>
      </c>
      <c r="L21" s="1288">
        <f t="shared" si="58"/>
        <v>1370.0343466666666</v>
      </c>
      <c r="M21" s="1288">
        <f t="shared" si="58"/>
        <v>1149.1863466666666</v>
      </c>
      <c r="N21" s="1288">
        <f t="shared" si="58"/>
        <v>1361.5863466666667</v>
      </c>
      <c r="O21" s="1288">
        <f t="shared" si="58"/>
        <v>1149.1863466666666</v>
      </c>
      <c r="P21" s="1288">
        <f t="shared" si="58"/>
        <v>1361.5863466666667</v>
      </c>
      <c r="Q21" s="1288">
        <f t="shared" si="58"/>
        <v>1149.1863466666666</v>
      </c>
      <c r="R21" s="1288">
        <f t="shared" si="58"/>
        <v>1361.5863466666667</v>
      </c>
      <c r="S21" s="1288">
        <f t="shared" si="58"/>
        <v>1149.1863466666666</v>
      </c>
      <c r="T21" s="1288">
        <f t="shared" si="58"/>
        <v>1361.5863466666667</v>
      </c>
      <c r="U21" s="1288">
        <f t="shared" si="58"/>
        <v>1149.1863466666666</v>
      </c>
      <c r="V21" s="1288">
        <f t="shared" si="58"/>
        <v>1361.5863466666667</v>
      </c>
      <c r="W21" s="1288">
        <f t="shared" si="58"/>
        <v>1149.1863466666666</v>
      </c>
      <c r="X21" s="1288">
        <f t="shared" si="58"/>
        <v>1361.5863466666667</v>
      </c>
      <c r="Y21" s="1288">
        <f t="shared" si="58"/>
        <v>1149.1863466666666</v>
      </c>
      <c r="Z21" s="1288">
        <f t="shared" si="58"/>
        <v>1361.5863466666667</v>
      </c>
      <c r="AA21" s="1288">
        <f t="shared" si="58"/>
        <v>1149.1863466666666</v>
      </c>
      <c r="AB21" s="1288">
        <f t="shared" si="58"/>
        <v>1361.5863466666667</v>
      </c>
      <c r="AC21" s="1288">
        <f t="shared" si="58"/>
        <v>1149.1863466666666</v>
      </c>
      <c r="AD21" s="1288">
        <f t="shared" si="58"/>
        <v>1361.5863466666667</v>
      </c>
      <c r="AE21" s="1288">
        <f t="shared" si="58"/>
        <v>1149.1863466666666</v>
      </c>
      <c r="AF21" s="1288">
        <f t="shared" si="58"/>
        <v>1361.5863466666667</v>
      </c>
      <c r="AG21" s="1288">
        <f t="shared" si="58"/>
        <v>1149.1863466666666</v>
      </c>
      <c r="AH21" s="1288">
        <f t="shared" si="58"/>
        <v>1361.5863466666667</v>
      </c>
      <c r="AI21" s="1288">
        <f t="shared" si="58"/>
        <v>1149.1863466666666</v>
      </c>
      <c r="AJ21" s="1288">
        <f t="shared" si="58"/>
        <v>1361.5863466666667</v>
      </c>
      <c r="AK21" s="291"/>
      <c r="AL21" s="292"/>
      <c r="AM21" s="292"/>
      <c r="AN21" s="292"/>
      <c r="AO21" s="292"/>
      <c r="AP21" s="290"/>
      <c r="AQ21" s="1289">
        <f t="shared" si="47"/>
        <v>5.0694847206374176E-2</v>
      </c>
      <c r="AR21" s="1289">
        <f t="shared" si="14"/>
        <v>5.4062302331088406E-2</v>
      </c>
      <c r="AS21" s="1289">
        <f t="shared" si="15"/>
        <v>3.5068547987736967E-2</v>
      </c>
      <c r="AT21" s="1289">
        <f t="shared" si="16"/>
        <v>4.0360092350968657E-2</v>
      </c>
      <c r="AU21" s="1289">
        <f t="shared" si="17"/>
        <v>3.5068547987736967E-2</v>
      </c>
      <c r="AV21" s="1289">
        <f t="shared" si="18"/>
        <v>3.4131815087277868E-2</v>
      </c>
      <c r="AW21" s="1289">
        <f t="shared" si="19"/>
        <v>2.8629804778751534E-2</v>
      </c>
      <c r="AX21" s="1289">
        <f t="shared" si="20"/>
        <v>3.3921349141983234E-2</v>
      </c>
      <c r="AY21" s="1289">
        <f t="shared" si="21"/>
        <v>2.8629804778751534E-2</v>
      </c>
      <c r="AZ21" s="1289">
        <f t="shared" si="22"/>
        <v>3.3921349141983234E-2</v>
      </c>
      <c r="BA21" s="1289">
        <f t="shared" si="23"/>
        <v>2.8629804778751534E-2</v>
      </c>
      <c r="BB21" s="1289">
        <f t="shared" si="24"/>
        <v>3.3921349141983234E-2</v>
      </c>
      <c r="BC21" s="1289">
        <f t="shared" si="25"/>
        <v>2.8629804778751534E-2</v>
      </c>
      <c r="BD21" s="1289">
        <f t="shared" si="26"/>
        <v>3.3921349141983234E-2</v>
      </c>
      <c r="BE21" s="1289">
        <f t="shared" si="27"/>
        <v>2.8629804778751534E-2</v>
      </c>
      <c r="BF21" s="1289">
        <f t="shared" si="28"/>
        <v>3.3921349141983234E-2</v>
      </c>
      <c r="BG21" s="1289">
        <f t="shared" si="29"/>
        <v>2.8629804778751534E-2</v>
      </c>
      <c r="BH21" s="1289">
        <f t="shared" si="30"/>
        <v>3.3921349141983234E-2</v>
      </c>
      <c r="BI21" s="1289">
        <f t="shared" si="31"/>
        <v>2.8629804778751534E-2</v>
      </c>
      <c r="BJ21" s="1289">
        <f t="shared" si="32"/>
        <v>3.3921349141983234E-2</v>
      </c>
      <c r="BK21" s="1289">
        <f t="shared" si="33"/>
        <v>2.8629804778751534E-2</v>
      </c>
      <c r="BL21" s="1289">
        <f t="shared" si="34"/>
        <v>3.3921349141983234E-2</v>
      </c>
      <c r="BM21" s="1289">
        <f t="shared" si="35"/>
        <v>2.8629804778751534E-2</v>
      </c>
      <c r="BN21" s="1289">
        <f t="shared" si="36"/>
        <v>3.3921349141983234E-2</v>
      </c>
      <c r="BO21" s="1289">
        <f t="shared" si="37"/>
        <v>2.8629804778751534E-2</v>
      </c>
      <c r="BP21" s="1289">
        <f t="shared" si="38"/>
        <v>3.3921349141983234E-2</v>
      </c>
      <c r="BQ21" s="1289">
        <f t="shared" si="39"/>
        <v>2.8629804778751534E-2</v>
      </c>
      <c r="BR21" s="1289">
        <f t="shared" si="40"/>
        <v>3.3921349141983234E-2</v>
      </c>
      <c r="BS21" s="1289">
        <f t="shared" si="41"/>
        <v>2.8629804778751534E-2</v>
      </c>
      <c r="BT21" s="1289">
        <f t="shared" si="42"/>
        <v>3.3921349141983234E-2</v>
      </c>
      <c r="BU21" s="283"/>
      <c r="BV21" s="283"/>
      <c r="BW21" s="283"/>
      <c r="BX21" s="283"/>
      <c r="BY21" s="283"/>
      <c r="BZ21" s="283"/>
      <c r="CA21" s="283"/>
    </row>
    <row r="22" spans="1:79">
      <c r="A22" s="595"/>
      <c r="B22" s="598"/>
      <c r="C22" s="599"/>
      <c r="D22" s="498" t="s">
        <v>1403</v>
      </c>
      <c r="E22" s="498" t="s">
        <v>267</v>
      </c>
      <c r="F22" s="1287">
        <f t="shared" ca="1" si="45"/>
        <v>15472.293711448539</v>
      </c>
      <c r="G22" s="1288">
        <f t="shared" ref="G22:AJ22" ca="1" si="59">G44+G69</f>
        <v>671.11017814193485</v>
      </c>
      <c r="H22" s="1288">
        <f t="shared" ca="1" si="59"/>
        <v>721.01418528643489</v>
      </c>
      <c r="I22" s="1288">
        <f t="shared" ca="1" si="59"/>
        <v>583.01418528643489</v>
      </c>
      <c r="J22" s="1288">
        <f t="shared" ca="1" si="59"/>
        <v>721.01418528643489</v>
      </c>
      <c r="K22" s="1288">
        <f t="shared" ca="1" si="59"/>
        <v>583.01418528643489</v>
      </c>
      <c r="L22" s="1288">
        <f t="shared" ca="1" si="59"/>
        <v>721.01418528643489</v>
      </c>
      <c r="M22" s="1288">
        <f t="shared" ca="1" si="59"/>
        <v>492.76302528643487</v>
      </c>
      <c r="N22" s="1288">
        <f t="shared" ca="1" si="59"/>
        <v>492.76302528643487</v>
      </c>
      <c r="O22" s="1288">
        <f t="shared" ca="1" si="59"/>
        <v>476.66302528643484</v>
      </c>
      <c r="P22" s="1288">
        <f t="shared" ca="1" si="59"/>
        <v>476.66302528643484</v>
      </c>
      <c r="Q22" s="1288">
        <f t="shared" ca="1" si="59"/>
        <v>476.66302528643484</v>
      </c>
      <c r="R22" s="1288">
        <f t="shared" ca="1" si="59"/>
        <v>476.66302528643484</v>
      </c>
      <c r="S22" s="1288">
        <f t="shared" ca="1" si="59"/>
        <v>476.66302528643484</v>
      </c>
      <c r="T22" s="1288">
        <f t="shared" ca="1" si="59"/>
        <v>476.66302528643484</v>
      </c>
      <c r="U22" s="1288">
        <f t="shared" ca="1" si="59"/>
        <v>476.66302528643484</v>
      </c>
      <c r="V22" s="1288">
        <f t="shared" ca="1" si="59"/>
        <v>476.66302528643484</v>
      </c>
      <c r="W22" s="1288">
        <f t="shared" ca="1" si="59"/>
        <v>476.66302528643484</v>
      </c>
      <c r="X22" s="1288">
        <f t="shared" ca="1" si="59"/>
        <v>476.66302528643484</v>
      </c>
      <c r="Y22" s="1288">
        <f t="shared" ca="1" si="59"/>
        <v>476.66302528643484</v>
      </c>
      <c r="Z22" s="1288">
        <f t="shared" ca="1" si="59"/>
        <v>476.66302528643484</v>
      </c>
      <c r="AA22" s="1288">
        <f t="shared" ca="1" si="59"/>
        <v>476.66302528643484</v>
      </c>
      <c r="AB22" s="1288">
        <f t="shared" ca="1" si="59"/>
        <v>476.66302528643484</v>
      </c>
      <c r="AC22" s="1288">
        <f t="shared" ca="1" si="59"/>
        <v>476.66302528643484</v>
      </c>
      <c r="AD22" s="1288">
        <f t="shared" ca="1" si="59"/>
        <v>476.66302528643484</v>
      </c>
      <c r="AE22" s="1288">
        <f t="shared" ca="1" si="59"/>
        <v>476.66302528643484</v>
      </c>
      <c r="AF22" s="1288">
        <f t="shared" ca="1" si="59"/>
        <v>476.66302528643484</v>
      </c>
      <c r="AG22" s="1288">
        <f t="shared" ca="1" si="59"/>
        <v>476.66302528643484</v>
      </c>
      <c r="AH22" s="1288">
        <f t="shared" ca="1" si="59"/>
        <v>476.66302528643484</v>
      </c>
      <c r="AI22" s="1288">
        <f t="shared" ca="1" si="59"/>
        <v>476.66302528643484</v>
      </c>
      <c r="AJ22" s="1288">
        <f t="shared" ca="1" si="59"/>
        <v>476.66302528643484</v>
      </c>
      <c r="AK22" s="291"/>
      <c r="AL22" s="292"/>
      <c r="AM22" s="292"/>
      <c r="AN22" s="292"/>
      <c r="AO22" s="292"/>
      <c r="AP22" s="290"/>
      <c r="AQ22" s="1289">
        <f t="shared" ca="1" si="47"/>
        <v>4.3374963703368352E-2</v>
      </c>
      <c r="AR22" s="1289">
        <f t="shared" ca="1" si="14"/>
        <v>4.6600342440043588E-2</v>
      </c>
      <c r="AS22" s="1289">
        <f t="shared" ca="1" si="15"/>
        <v>3.768117359710154E-2</v>
      </c>
      <c r="AT22" s="1289">
        <f t="shared" ca="1" si="16"/>
        <v>4.6600342440043588E-2</v>
      </c>
      <c r="AU22" s="1289">
        <f t="shared" ca="1" si="17"/>
        <v>3.768117359710154E-2</v>
      </c>
      <c r="AV22" s="1289">
        <f t="shared" ca="1" si="18"/>
        <v>4.6600342440043588E-2</v>
      </c>
      <c r="AW22" s="1289">
        <f t="shared" ca="1" si="19"/>
        <v>3.1848091464410394E-2</v>
      </c>
      <c r="AX22" s="1289">
        <f t="shared" ca="1" si="20"/>
        <v>3.1848091464410394E-2</v>
      </c>
      <c r="AY22" s="1289">
        <f t="shared" ca="1" si="21"/>
        <v>3.0807521766067155E-2</v>
      </c>
      <c r="AZ22" s="1289">
        <f t="shared" ca="1" si="22"/>
        <v>3.0807521766067155E-2</v>
      </c>
      <c r="BA22" s="1289">
        <f t="shared" ca="1" si="23"/>
        <v>3.0807521766067155E-2</v>
      </c>
      <c r="BB22" s="1289">
        <f t="shared" ca="1" si="24"/>
        <v>3.0807521766067155E-2</v>
      </c>
      <c r="BC22" s="1289">
        <f t="shared" ca="1" si="25"/>
        <v>3.0807521766067155E-2</v>
      </c>
      <c r="BD22" s="1289">
        <f t="shared" ca="1" si="26"/>
        <v>3.0807521766067155E-2</v>
      </c>
      <c r="BE22" s="1289">
        <f t="shared" ca="1" si="27"/>
        <v>3.0807521766067155E-2</v>
      </c>
      <c r="BF22" s="1289">
        <f t="shared" ca="1" si="28"/>
        <v>3.0807521766067155E-2</v>
      </c>
      <c r="BG22" s="1289">
        <f t="shared" ca="1" si="29"/>
        <v>3.0807521766067155E-2</v>
      </c>
      <c r="BH22" s="1289">
        <f t="shared" ca="1" si="30"/>
        <v>3.0807521766067155E-2</v>
      </c>
      <c r="BI22" s="1289">
        <f t="shared" ca="1" si="31"/>
        <v>3.0807521766067155E-2</v>
      </c>
      <c r="BJ22" s="1289">
        <f t="shared" ca="1" si="32"/>
        <v>3.0807521766067155E-2</v>
      </c>
      <c r="BK22" s="1289">
        <f t="shared" ca="1" si="33"/>
        <v>3.0807521766067155E-2</v>
      </c>
      <c r="BL22" s="1289">
        <f t="shared" ca="1" si="34"/>
        <v>3.0807521766067155E-2</v>
      </c>
      <c r="BM22" s="1289">
        <f t="shared" ca="1" si="35"/>
        <v>3.0807521766067155E-2</v>
      </c>
      <c r="BN22" s="1289">
        <f t="shared" ca="1" si="36"/>
        <v>3.0807521766067155E-2</v>
      </c>
      <c r="BO22" s="1289">
        <f t="shared" ca="1" si="37"/>
        <v>3.0807521766067155E-2</v>
      </c>
      <c r="BP22" s="1289">
        <f t="shared" ca="1" si="38"/>
        <v>3.0807521766067155E-2</v>
      </c>
      <c r="BQ22" s="1289">
        <f t="shared" ca="1" si="39"/>
        <v>3.0807521766067155E-2</v>
      </c>
      <c r="BR22" s="1289">
        <f t="shared" ca="1" si="40"/>
        <v>3.0807521766067155E-2</v>
      </c>
      <c r="BS22" s="1289">
        <f t="shared" ca="1" si="41"/>
        <v>3.0807521766067155E-2</v>
      </c>
      <c r="BT22" s="1289">
        <f t="shared" ca="1" si="42"/>
        <v>3.0807521766067155E-2</v>
      </c>
      <c r="BU22" s="283"/>
      <c r="BV22" s="283"/>
      <c r="BW22" s="283"/>
      <c r="BX22" s="283"/>
      <c r="BY22" s="283"/>
      <c r="BZ22" s="283"/>
      <c r="CA22" s="283"/>
    </row>
    <row r="23" spans="1:79">
      <c r="A23" s="595"/>
      <c r="B23" s="598"/>
      <c r="C23" s="599"/>
      <c r="D23" s="498"/>
      <c r="E23" s="498" t="s">
        <v>268</v>
      </c>
      <c r="F23" s="1287">
        <f t="shared" si="45"/>
        <v>335918.25611635321</v>
      </c>
      <c r="G23" s="1288">
        <f t="shared" ref="G23:AJ23" si="60">G45+G70</f>
        <v>6219.0781801351113</v>
      </c>
      <c r="H23" s="1288">
        <f t="shared" si="60"/>
        <v>7887.5915146496027</v>
      </c>
      <c r="I23" s="1288">
        <f t="shared" si="60"/>
        <v>14703.822652058265</v>
      </c>
      <c r="J23" s="1288">
        <f t="shared" si="60"/>
        <v>7889.0776553590467</v>
      </c>
      <c r="K23" s="1288">
        <f t="shared" si="60"/>
        <v>7890.8758332506513</v>
      </c>
      <c r="L23" s="1288">
        <f t="shared" si="60"/>
        <v>11536.586893564157</v>
      </c>
      <c r="M23" s="1288">
        <f t="shared" si="60"/>
        <v>15682.292019107133</v>
      </c>
      <c r="N23" s="1288">
        <f t="shared" si="60"/>
        <v>8413.4168692253224</v>
      </c>
      <c r="O23" s="1288">
        <f t="shared" si="60"/>
        <v>12045.883454336217</v>
      </c>
      <c r="P23" s="1288">
        <f t="shared" si="60"/>
        <v>15682.767080820611</v>
      </c>
      <c r="Q23" s="1288">
        <f t="shared" si="60"/>
        <v>8455.495294869741</v>
      </c>
      <c r="R23" s="1288">
        <f t="shared" si="60"/>
        <v>12125.821230519796</v>
      </c>
      <c r="S23" s="1288">
        <f t="shared" si="60"/>
        <v>15801.066211622543</v>
      </c>
      <c r="T23" s="1288">
        <f t="shared" si="60"/>
        <v>8455.6355871883115</v>
      </c>
      <c r="U23" s="1288">
        <f t="shared" si="60"/>
        <v>12126.265869561968</v>
      </c>
      <c r="V23" s="1288">
        <f t="shared" si="60"/>
        <v>16018.318189444568</v>
      </c>
      <c r="W23" s="1288">
        <f t="shared" si="60"/>
        <v>8571.5956328000393</v>
      </c>
      <c r="X23" s="1288">
        <f t="shared" si="60"/>
        <v>12167.32599919207</v>
      </c>
      <c r="Y23" s="1288">
        <f t="shared" si="60"/>
        <v>15854.735881270257</v>
      </c>
      <c r="Z23" s="1288">
        <f t="shared" si="60"/>
        <v>8484.4293469333497</v>
      </c>
      <c r="AA23" s="1288">
        <f t="shared" si="60"/>
        <v>12590.919165514417</v>
      </c>
      <c r="AB23" s="1288">
        <f t="shared" si="60"/>
        <v>16407.205990983457</v>
      </c>
      <c r="AC23" s="1288">
        <f t="shared" si="60"/>
        <v>8779.0880248120229</v>
      </c>
      <c r="AD23" s="1288">
        <f t="shared" si="60"/>
        <v>12590.938487210988</v>
      </c>
      <c r="AE23" s="1288">
        <f t="shared" si="60"/>
        <v>8836.9824457487739</v>
      </c>
      <c r="AF23" s="1288">
        <f t="shared" si="60"/>
        <v>12674.155891200313</v>
      </c>
      <c r="AG23" s="1288">
        <f t="shared" si="60"/>
        <v>16515.74637802536</v>
      </c>
      <c r="AH23" s="1288">
        <f t="shared" si="60"/>
        <v>8836.9824457487739</v>
      </c>
      <c r="AI23" s="1288">
        <f t="shared" si="60"/>
        <v>12674.155891200313</v>
      </c>
      <c r="AJ23" s="1288">
        <f t="shared" si="60"/>
        <v>0</v>
      </c>
      <c r="AK23" s="291"/>
      <c r="AL23" s="292"/>
      <c r="AM23" s="292"/>
      <c r="AN23" s="292"/>
      <c r="AO23" s="292"/>
      <c r="AP23" s="290"/>
      <c r="AQ23" s="1289">
        <f t="shared" si="47"/>
        <v>1.8513665354290797E-2</v>
      </c>
      <c r="AR23" s="1289">
        <f t="shared" si="14"/>
        <v>2.3480687253620267E-2</v>
      </c>
      <c r="AS23" s="1289">
        <f t="shared" si="15"/>
        <v>4.3772026034111254E-2</v>
      </c>
      <c r="AT23" s="1289">
        <f t="shared" si="16"/>
        <v>2.3485111367768232E-2</v>
      </c>
      <c r="AU23" s="1289">
        <f t="shared" si="17"/>
        <v>2.3490464389995701E-2</v>
      </c>
      <c r="AV23" s="1289">
        <f t="shared" si="18"/>
        <v>3.434343529566368E-2</v>
      </c>
      <c r="AW23" s="1289">
        <f t="shared" si="19"/>
        <v>4.6684845892017261E-2</v>
      </c>
      <c r="AX23" s="1289">
        <f t="shared" si="20"/>
        <v>2.5046024489693518E-2</v>
      </c>
      <c r="AY23" s="1289">
        <f t="shared" si="21"/>
        <v>3.5859567722225379E-2</v>
      </c>
      <c r="AZ23" s="1289">
        <f t="shared" si="22"/>
        <v>4.6686260110223109E-2</v>
      </c>
      <c r="BA23" s="1289">
        <f t="shared" si="23"/>
        <v>2.517128837421977E-2</v>
      </c>
      <c r="BB23" s="1289">
        <f t="shared" si="24"/>
        <v>3.6097535664509198E-2</v>
      </c>
      <c r="BC23" s="1289">
        <f t="shared" si="25"/>
        <v>4.7038426533595336E-2</v>
      </c>
      <c r="BD23" s="1289">
        <f t="shared" si="26"/>
        <v>2.5171706012487464E-2</v>
      </c>
      <c r="BE23" s="1289">
        <f t="shared" si="27"/>
        <v>3.6098859317017146E-2</v>
      </c>
      <c r="BF23" s="1289">
        <f t="shared" si="28"/>
        <v>4.7685167143450058E-2</v>
      </c>
      <c r="BG23" s="1289">
        <f t="shared" si="29"/>
        <v>2.5516909178735035E-2</v>
      </c>
      <c r="BH23" s="1289">
        <f t="shared" si="30"/>
        <v>3.6221091821153149E-2</v>
      </c>
      <c r="BI23" s="1289">
        <f t="shared" si="31"/>
        <v>4.7198196562971542E-2</v>
      </c>
      <c r="BJ23" s="1289">
        <f t="shared" si="32"/>
        <v>2.5257422579600935E-2</v>
      </c>
      <c r="BK23" s="1289">
        <f t="shared" si="33"/>
        <v>3.7482092551567828E-2</v>
      </c>
      <c r="BL23" s="1289">
        <f t="shared" si="34"/>
        <v>4.8842852962717315E-2</v>
      </c>
      <c r="BM23" s="1289">
        <f t="shared" si="35"/>
        <v>2.6134596333969948E-2</v>
      </c>
      <c r="BN23" s="1289">
        <f t="shared" si="36"/>
        <v>3.748215007061069E-2</v>
      </c>
      <c r="BO23" s="1289">
        <f t="shared" si="37"/>
        <v>2.6306943087629858E-2</v>
      </c>
      <c r="BP23" s="1289">
        <f t="shared" si="38"/>
        <v>3.7729881185172384E-2</v>
      </c>
      <c r="BQ23" s="1289">
        <f t="shared" si="39"/>
        <v>4.9165968438180808E-2</v>
      </c>
      <c r="BR23" s="1289">
        <f t="shared" si="40"/>
        <v>2.6306943087629858E-2</v>
      </c>
      <c r="BS23" s="1289">
        <f t="shared" si="41"/>
        <v>3.7729881185172384E-2</v>
      </c>
      <c r="BT23" s="1289">
        <f t="shared" si="42"/>
        <v>0</v>
      </c>
      <c r="BU23" s="283"/>
      <c r="BV23" s="283"/>
      <c r="BW23" s="283"/>
      <c r="BX23" s="283"/>
      <c r="BY23" s="283"/>
      <c r="BZ23" s="283"/>
      <c r="CA23" s="283"/>
    </row>
    <row r="24" spans="1:79" s="139" customFormat="1">
      <c r="A24" s="595"/>
      <c r="B24" s="598"/>
      <c r="C24" s="599"/>
      <c r="D24" s="1290" t="s">
        <v>1404</v>
      </c>
      <c r="E24" s="1290" t="s">
        <v>269</v>
      </c>
      <c r="F24" s="1287">
        <f t="shared" si="45"/>
        <v>0</v>
      </c>
      <c r="G24" s="1288">
        <f t="shared" ref="G24:AJ24" si="61">G46+G71</f>
        <v>0</v>
      </c>
      <c r="H24" s="1288">
        <f t="shared" si="61"/>
        <v>0</v>
      </c>
      <c r="I24" s="1288">
        <f t="shared" si="61"/>
        <v>0</v>
      </c>
      <c r="J24" s="1288">
        <f t="shared" si="61"/>
        <v>0</v>
      </c>
      <c r="K24" s="1288">
        <f t="shared" si="61"/>
        <v>0</v>
      </c>
      <c r="L24" s="1288">
        <f t="shared" si="61"/>
        <v>0</v>
      </c>
      <c r="M24" s="1288">
        <f t="shared" si="61"/>
        <v>0</v>
      </c>
      <c r="N24" s="1288">
        <f t="shared" si="61"/>
        <v>0</v>
      </c>
      <c r="O24" s="1288">
        <f t="shared" si="61"/>
        <v>0</v>
      </c>
      <c r="P24" s="1288">
        <f t="shared" si="61"/>
        <v>0</v>
      </c>
      <c r="Q24" s="1288">
        <f t="shared" si="61"/>
        <v>0</v>
      </c>
      <c r="R24" s="1288">
        <f t="shared" si="61"/>
        <v>0</v>
      </c>
      <c r="S24" s="1288">
        <f t="shared" si="61"/>
        <v>0</v>
      </c>
      <c r="T24" s="1288">
        <f t="shared" si="61"/>
        <v>0</v>
      </c>
      <c r="U24" s="1288">
        <f t="shared" si="61"/>
        <v>0</v>
      </c>
      <c r="V24" s="1288">
        <f t="shared" si="61"/>
        <v>0</v>
      </c>
      <c r="W24" s="1288">
        <f t="shared" si="61"/>
        <v>0</v>
      </c>
      <c r="X24" s="1288">
        <f t="shared" si="61"/>
        <v>0</v>
      </c>
      <c r="Y24" s="1288">
        <f t="shared" si="61"/>
        <v>0</v>
      </c>
      <c r="Z24" s="1288">
        <f t="shared" si="61"/>
        <v>0</v>
      </c>
      <c r="AA24" s="1288">
        <f t="shared" si="61"/>
        <v>0</v>
      </c>
      <c r="AB24" s="1288">
        <f t="shared" si="61"/>
        <v>0</v>
      </c>
      <c r="AC24" s="1288">
        <f t="shared" si="61"/>
        <v>0</v>
      </c>
      <c r="AD24" s="1288">
        <f t="shared" si="61"/>
        <v>0</v>
      </c>
      <c r="AE24" s="1288">
        <f t="shared" si="61"/>
        <v>0</v>
      </c>
      <c r="AF24" s="1288">
        <f t="shared" si="61"/>
        <v>0</v>
      </c>
      <c r="AG24" s="1288">
        <f t="shared" si="61"/>
        <v>0</v>
      </c>
      <c r="AH24" s="1288">
        <f t="shared" si="61"/>
        <v>0</v>
      </c>
      <c r="AI24" s="1288">
        <f t="shared" si="61"/>
        <v>0</v>
      </c>
      <c r="AJ24" s="1288">
        <f t="shared" si="61"/>
        <v>0</v>
      </c>
      <c r="AK24" s="293"/>
      <c r="AL24" s="294"/>
      <c r="AM24" s="294"/>
      <c r="AN24" s="294"/>
      <c r="AO24" s="294"/>
      <c r="AP24" s="295"/>
      <c r="AQ24" s="1291">
        <f t="shared" si="47"/>
        <v>0</v>
      </c>
      <c r="AR24" s="1291">
        <f t="shared" si="14"/>
        <v>0</v>
      </c>
      <c r="AS24" s="1291">
        <f t="shared" si="15"/>
        <v>0</v>
      </c>
      <c r="AT24" s="1291">
        <f t="shared" si="16"/>
        <v>0</v>
      </c>
      <c r="AU24" s="1291">
        <f t="shared" si="17"/>
        <v>0</v>
      </c>
      <c r="AV24" s="1291">
        <f t="shared" si="18"/>
        <v>0</v>
      </c>
      <c r="AW24" s="1291">
        <f t="shared" si="19"/>
        <v>0</v>
      </c>
      <c r="AX24" s="1291">
        <f t="shared" si="20"/>
        <v>0</v>
      </c>
      <c r="AY24" s="1291">
        <f t="shared" si="21"/>
        <v>0</v>
      </c>
      <c r="AZ24" s="1291">
        <f t="shared" si="22"/>
        <v>0</v>
      </c>
      <c r="BA24" s="1291">
        <f t="shared" si="23"/>
        <v>0</v>
      </c>
      <c r="BB24" s="1291">
        <f t="shared" si="24"/>
        <v>0</v>
      </c>
      <c r="BC24" s="1291">
        <f t="shared" si="25"/>
        <v>0</v>
      </c>
      <c r="BD24" s="1291">
        <f t="shared" si="26"/>
        <v>0</v>
      </c>
      <c r="BE24" s="1291">
        <f t="shared" si="27"/>
        <v>0</v>
      </c>
      <c r="BF24" s="1291">
        <f t="shared" si="28"/>
        <v>0</v>
      </c>
      <c r="BG24" s="1291">
        <f t="shared" si="29"/>
        <v>0</v>
      </c>
      <c r="BH24" s="1291">
        <f t="shared" si="30"/>
        <v>0</v>
      </c>
      <c r="BI24" s="1291">
        <f t="shared" si="31"/>
        <v>0</v>
      </c>
      <c r="BJ24" s="1291">
        <f t="shared" si="32"/>
        <v>0</v>
      </c>
      <c r="BK24" s="1291">
        <f t="shared" si="33"/>
        <v>0</v>
      </c>
      <c r="BL24" s="1291">
        <f t="shared" si="34"/>
        <v>0</v>
      </c>
      <c r="BM24" s="1291">
        <f t="shared" si="35"/>
        <v>0</v>
      </c>
      <c r="BN24" s="1291">
        <f t="shared" si="36"/>
        <v>0</v>
      </c>
      <c r="BO24" s="1291">
        <f t="shared" si="37"/>
        <v>0</v>
      </c>
      <c r="BP24" s="1291">
        <f t="shared" si="38"/>
        <v>0</v>
      </c>
      <c r="BQ24" s="1291">
        <f t="shared" si="39"/>
        <v>0</v>
      </c>
      <c r="BR24" s="1291">
        <f t="shared" si="40"/>
        <v>0</v>
      </c>
      <c r="BS24" s="1291">
        <f t="shared" si="41"/>
        <v>0</v>
      </c>
      <c r="BT24" s="1291">
        <f t="shared" si="42"/>
        <v>0</v>
      </c>
      <c r="BU24" s="296"/>
      <c r="BV24" s="296"/>
      <c r="BW24" s="296"/>
      <c r="BX24" s="296"/>
      <c r="BY24" s="296"/>
      <c r="BZ24" s="296"/>
      <c r="CA24" s="296"/>
    </row>
    <row r="25" spans="1:79">
      <c r="A25" s="595"/>
      <c r="B25" s="598"/>
      <c r="C25" s="599"/>
      <c r="D25" s="498" t="s">
        <v>1405</v>
      </c>
      <c r="E25" s="498" t="s">
        <v>270</v>
      </c>
      <c r="F25" s="1287">
        <f t="shared" si="45"/>
        <v>0</v>
      </c>
      <c r="G25" s="1288">
        <f t="shared" ref="G25:AJ25" si="62">G47+G72</f>
        <v>0</v>
      </c>
      <c r="H25" s="1288">
        <f t="shared" si="62"/>
        <v>0</v>
      </c>
      <c r="I25" s="1288">
        <f t="shared" si="62"/>
        <v>0</v>
      </c>
      <c r="J25" s="1288">
        <f t="shared" si="62"/>
        <v>0</v>
      </c>
      <c r="K25" s="1288">
        <f t="shared" si="62"/>
        <v>0</v>
      </c>
      <c r="L25" s="1288">
        <f t="shared" si="62"/>
        <v>0</v>
      </c>
      <c r="M25" s="1288">
        <f t="shared" si="62"/>
        <v>0</v>
      </c>
      <c r="N25" s="1288">
        <f t="shared" si="62"/>
        <v>0</v>
      </c>
      <c r="O25" s="1288">
        <f t="shared" si="62"/>
        <v>0</v>
      </c>
      <c r="P25" s="1288">
        <f t="shared" si="62"/>
        <v>0</v>
      </c>
      <c r="Q25" s="1288">
        <f t="shared" si="62"/>
        <v>0</v>
      </c>
      <c r="R25" s="1288">
        <f t="shared" si="62"/>
        <v>0</v>
      </c>
      <c r="S25" s="1288">
        <f t="shared" si="62"/>
        <v>0</v>
      </c>
      <c r="T25" s="1288">
        <f t="shared" si="62"/>
        <v>0</v>
      </c>
      <c r="U25" s="1288">
        <f t="shared" si="62"/>
        <v>0</v>
      </c>
      <c r="V25" s="1288">
        <f t="shared" si="62"/>
        <v>0</v>
      </c>
      <c r="W25" s="1288">
        <f t="shared" si="62"/>
        <v>0</v>
      </c>
      <c r="X25" s="1288">
        <f t="shared" si="62"/>
        <v>0</v>
      </c>
      <c r="Y25" s="1288">
        <f t="shared" si="62"/>
        <v>0</v>
      </c>
      <c r="Z25" s="1288">
        <f t="shared" si="62"/>
        <v>0</v>
      </c>
      <c r="AA25" s="1288">
        <f t="shared" si="62"/>
        <v>0</v>
      </c>
      <c r="AB25" s="1288">
        <f t="shared" si="62"/>
        <v>0</v>
      </c>
      <c r="AC25" s="1288">
        <f t="shared" si="62"/>
        <v>0</v>
      </c>
      <c r="AD25" s="1288">
        <f t="shared" si="62"/>
        <v>0</v>
      </c>
      <c r="AE25" s="1288">
        <f t="shared" si="62"/>
        <v>0</v>
      </c>
      <c r="AF25" s="1288">
        <f t="shared" si="62"/>
        <v>0</v>
      </c>
      <c r="AG25" s="1288">
        <f t="shared" si="62"/>
        <v>0</v>
      </c>
      <c r="AH25" s="1288">
        <f t="shared" si="62"/>
        <v>0</v>
      </c>
      <c r="AI25" s="1288">
        <f t="shared" si="62"/>
        <v>0</v>
      </c>
      <c r="AJ25" s="1288">
        <f t="shared" si="62"/>
        <v>0</v>
      </c>
      <c r="AK25" s="291"/>
      <c r="AL25" s="292"/>
      <c r="AM25" s="292"/>
      <c r="AN25" s="292"/>
      <c r="AO25" s="292"/>
      <c r="AP25" s="290"/>
      <c r="AQ25" s="1289">
        <f t="shared" si="47"/>
        <v>0</v>
      </c>
      <c r="AR25" s="1289">
        <f t="shared" si="14"/>
        <v>0</v>
      </c>
      <c r="AS25" s="1289">
        <f t="shared" si="15"/>
        <v>0</v>
      </c>
      <c r="AT25" s="1289">
        <f t="shared" si="16"/>
        <v>0</v>
      </c>
      <c r="AU25" s="1289">
        <f t="shared" si="17"/>
        <v>0</v>
      </c>
      <c r="AV25" s="1289">
        <f t="shared" si="18"/>
        <v>0</v>
      </c>
      <c r="AW25" s="1289">
        <f t="shared" si="19"/>
        <v>0</v>
      </c>
      <c r="AX25" s="1289">
        <f t="shared" si="20"/>
        <v>0</v>
      </c>
      <c r="AY25" s="1289">
        <f t="shared" si="21"/>
        <v>0</v>
      </c>
      <c r="AZ25" s="1289">
        <f t="shared" si="22"/>
        <v>0</v>
      </c>
      <c r="BA25" s="1289">
        <f t="shared" si="23"/>
        <v>0</v>
      </c>
      <c r="BB25" s="1289">
        <f t="shared" si="24"/>
        <v>0</v>
      </c>
      <c r="BC25" s="1289">
        <f t="shared" si="25"/>
        <v>0</v>
      </c>
      <c r="BD25" s="1289">
        <f t="shared" si="26"/>
        <v>0</v>
      </c>
      <c r="BE25" s="1289">
        <f t="shared" si="27"/>
        <v>0</v>
      </c>
      <c r="BF25" s="1289">
        <f t="shared" si="28"/>
        <v>0</v>
      </c>
      <c r="BG25" s="1289">
        <f t="shared" si="29"/>
        <v>0</v>
      </c>
      <c r="BH25" s="1289">
        <f t="shared" si="30"/>
        <v>0</v>
      </c>
      <c r="BI25" s="1289">
        <f t="shared" si="31"/>
        <v>0</v>
      </c>
      <c r="BJ25" s="1289">
        <f t="shared" si="32"/>
        <v>0</v>
      </c>
      <c r="BK25" s="1289">
        <f t="shared" si="33"/>
        <v>0</v>
      </c>
      <c r="BL25" s="1289">
        <f t="shared" si="34"/>
        <v>0</v>
      </c>
      <c r="BM25" s="1289">
        <f t="shared" si="35"/>
        <v>0</v>
      </c>
      <c r="BN25" s="1289">
        <f t="shared" si="36"/>
        <v>0</v>
      </c>
      <c r="BO25" s="1289">
        <f t="shared" si="37"/>
        <v>0</v>
      </c>
      <c r="BP25" s="1289">
        <f t="shared" si="38"/>
        <v>0</v>
      </c>
      <c r="BQ25" s="1289">
        <f t="shared" si="39"/>
        <v>0</v>
      </c>
      <c r="BR25" s="1289">
        <f t="shared" si="40"/>
        <v>0</v>
      </c>
      <c r="BS25" s="1289">
        <f t="shared" si="41"/>
        <v>0</v>
      </c>
      <c r="BT25" s="1289">
        <f t="shared" si="42"/>
        <v>0</v>
      </c>
      <c r="BU25" s="283"/>
      <c r="BV25" s="283"/>
      <c r="BW25" s="283"/>
      <c r="BX25" s="283"/>
      <c r="BY25" s="283"/>
      <c r="BZ25" s="283"/>
      <c r="CA25" s="283"/>
    </row>
    <row r="26" spans="1:79">
      <c r="A26" s="595"/>
      <c r="B26" s="598"/>
      <c r="C26" s="599"/>
      <c r="D26" s="498"/>
      <c r="E26" s="1292" t="s">
        <v>38</v>
      </c>
      <c r="F26" s="1287">
        <f t="shared" ca="1" si="45"/>
        <v>1149102.6421354413</v>
      </c>
      <c r="G26" s="1287">
        <f t="shared" ref="G26:AJ26" ca="1" si="63">SUM(G8:G25)</f>
        <v>32689.139392605801</v>
      </c>
      <c r="H26" s="1287">
        <f t="shared" ca="1" si="63"/>
        <v>36275.423109320422</v>
      </c>
      <c r="I26" s="1287">
        <f t="shared" ca="1" si="63"/>
        <v>42191.254246729084</v>
      </c>
      <c r="J26" s="1287">
        <f t="shared" ca="1" si="63"/>
        <v>35726.909250029865</v>
      </c>
      <c r="K26" s="1287">
        <f t="shared" ca="1" si="63"/>
        <v>35478.463427921466</v>
      </c>
      <c r="L26" s="1287">
        <f t="shared" ca="1" si="63"/>
        <v>39052.791601867226</v>
      </c>
      <c r="M26" s="1287">
        <f t="shared" ca="1" si="63"/>
        <v>42570.289357490205</v>
      </c>
      <c r="N26" s="1287">
        <f t="shared" ca="1" si="63"/>
        <v>35513.81420760839</v>
      </c>
      <c r="O26" s="1287">
        <f t="shared" ca="1" si="63"/>
        <v>38917.780792719284</v>
      </c>
      <c r="P26" s="1287">
        <f t="shared" ca="1" si="63"/>
        <v>42767.064419203678</v>
      </c>
      <c r="Q26" s="1287">
        <f t="shared" ca="1" si="63"/>
        <v>35427.548633252809</v>
      </c>
      <c r="R26" s="1287">
        <f t="shared" ca="1" si="63"/>
        <v>39210.118568902864</v>
      </c>
      <c r="S26" s="1287">
        <f t="shared" ca="1" si="63"/>
        <v>42672.96355000561</v>
      </c>
      <c r="T26" s="1287">
        <f t="shared" ca="1" si="63"/>
        <v>35539.932925571382</v>
      </c>
      <c r="U26" s="1287">
        <f t="shared" ca="1" si="63"/>
        <v>38998.163207945036</v>
      </c>
      <c r="V26" s="1287">
        <f t="shared" ca="1" si="63"/>
        <v>43102.615527827635</v>
      </c>
      <c r="W26" s="1287">
        <f t="shared" ca="1" si="63"/>
        <v>35543.648971183109</v>
      </c>
      <c r="X26" s="1287">
        <f t="shared" ca="1" si="63"/>
        <v>39251.62333757514</v>
      </c>
      <c r="Y26" s="1287">
        <f t="shared" ca="1" si="63"/>
        <v>42726.633219653326</v>
      </c>
      <c r="Z26" s="1287">
        <f t="shared" ca="1" si="63"/>
        <v>35568.726685316418</v>
      </c>
      <c r="AA26" s="1287">
        <f t="shared" ca="1" si="63"/>
        <v>39462.816503897484</v>
      </c>
      <c r="AB26" s="1287">
        <f t="shared" ca="1" si="63"/>
        <v>43491.503329366526</v>
      </c>
      <c r="AC26" s="1287">
        <f t="shared" ca="1" si="63"/>
        <v>35751.141363195085</v>
      </c>
      <c r="AD26" s="1287">
        <f t="shared" ca="1" si="63"/>
        <v>39675.235825594056</v>
      </c>
      <c r="AE26" s="1287">
        <f t="shared" ca="1" si="63"/>
        <v>35708.879784131845</v>
      </c>
      <c r="AF26" s="1287">
        <f t="shared" ca="1" si="63"/>
        <v>39758.453229583378</v>
      </c>
      <c r="AG26" s="1287">
        <f t="shared" ca="1" si="63"/>
        <v>43387.643716408427</v>
      </c>
      <c r="AH26" s="1287">
        <f t="shared" ca="1" si="63"/>
        <v>35921.279784131839</v>
      </c>
      <c r="AI26" s="1287">
        <f t="shared" ca="1" si="63"/>
        <v>39646.209229583379</v>
      </c>
      <c r="AJ26" s="1287">
        <f t="shared" ca="1" si="63"/>
        <v>27074.574936820569</v>
      </c>
      <c r="AK26" s="297"/>
      <c r="AL26" s="298"/>
      <c r="AM26" s="298"/>
      <c r="AN26" s="298"/>
      <c r="AO26" s="298"/>
      <c r="AP26" s="290"/>
      <c r="AQ26" s="498"/>
      <c r="AR26" s="498"/>
      <c r="AS26" s="498"/>
      <c r="AT26" s="498"/>
      <c r="AU26" s="498"/>
      <c r="AV26" s="498"/>
      <c r="AW26" s="498"/>
      <c r="AX26" s="498"/>
      <c r="AY26" s="498"/>
      <c r="AZ26" s="498"/>
      <c r="BA26" s="498"/>
      <c r="BB26" s="498"/>
      <c r="BC26" s="498"/>
      <c r="BD26" s="498"/>
      <c r="BE26" s="498"/>
      <c r="BF26" s="498"/>
      <c r="BG26" s="498"/>
      <c r="BH26" s="498"/>
      <c r="BI26" s="498"/>
      <c r="BJ26" s="498"/>
      <c r="BK26" s="498"/>
      <c r="BL26" s="498"/>
      <c r="BM26" s="498"/>
      <c r="BN26" s="498"/>
      <c r="BO26" s="498"/>
      <c r="BP26" s="498"/>
      <c r="BQ26" s="498"/>
      <c r="BR26" s="498"/>
      <c r="BS26" s="498"/>
      <c r="BT26" s="498"/>
      <c r="BU26" s="283"/>
      <c r="BV26" s="283"/>
      <c r="BW26" s="283"/>
      <c r="BX26" s="283"/>
      <c r="BY26" s="283"/>
      <c r="BZ26" s="283"/>
      <c r="CA26" s="283"/>
    </row>
    <row r="27" spans="1:79">
      <c r="A27" s="595"/>
      <c r="B27" s="598"/>
      <c r="C27" s="599"/>
      <c r="D27" s="283"/>
      <c r="E27" s="283"/>
      <c r="F27" s="283"/>
      <c r="G27" s="283"/>
      <c r="H27" s="283"/>
      <c r="I27" s="283"/>
      <c r="J27" s="283"/>
      <c r="K27" s="283"/>
      <c r="L27" s="283"/>
      <c r="M27" s="283"/>
      <c r="N27" s="283"/>
      <c r="O27" s="283"/>
      <c r="P27" s="283"/>
      <c r="Q27" s="283"/>
      <c r="R27" s="283"/>
      <c r="S27" s="283"/>
      <c r="T27" s="283"/>
      <c r="U27" s="283"/>
      <c r="V27" s="283"/>
      <c r="W27" s="283"/>
      <c r="X27" s="283"/>
      <c r="Y27" s="283"/>
      <c r="Z27" s="283"/>
      <c r="AA27" s="283"/>
      <c r="AB27" s="283"/>
      <c r="AC27" s="283"/>
      <c r="AD27" s="283"/>
      <c r="AE27" s="283"/>
      <c r="AF27" s="283"/>
      <c r="AG27" s="283"/>
      <c r="AH27" s="283"/>
      <c r="AI27" s="283"/>
      <c r="AJ27" s="283"/>
      <c r="AK27" s="283"/>
      <c r="AL27" s="283"/>
      <c r="AM27" s="283"/>
      <c r="AN27" s="283"/>
      <c r="AO27" s="283"/>
      <c r="AP27" s="283"/>
      <c r="AQ27" s="283"/>
      <c r="AR27" s="283"/>
      <c r="AS27" s="283"/>
      <c r="AT27" s="283"/>
      <c r="AU27" s="283"/>
      <c r="AV27" s="283"/>
      <c r="AW27" s="283"/>
      <c r="AX27" s="283"/>
      <c r="AY27" s="283"/>
      <c r="AZ27" s="283"/>
      <c r="BA27" s="283"/>
      <c r="BB27" s="283"/>
      <c r="BC27" s="283"/>
      <c r="BD27" s="283"/>
      <c r="BE27" s="283"/>
      <c r="BF27" s="283"/>
      <c r="BG27" s="283"/>
      <c r="BH27" s="283"/>
      <c r="BI27" s="283"/>
      <c r="BJ27" s="283"/>
      <c r="BK27" s="283"/>
      <c r="BL27" s="283"/>
      <c r="BM27" s="283"/>
      <c r="BN27" s="283"/>
      <c r="BO27" s="283"/>
      <c r="BP27" s="283"/>
      <c r="BQ27" s="283"/>
      <c r="BR27" s="283"/>
      <c r="BS27" s="283"/>
      <c r="BT27" s="283"/>
      <c r="BU27" s="283"/>
      <c r="BV27" s="283"/>
      <c r="BW27" s="283"/>
      <c r="BX27" s="283"/>
      <c r="BY27" s="283"/>
      <c r="BZ27" s="283"/>
      <c r="CA27" s="283"/>
    </row>
    <row r="28" spans="1:79">
      <c r="A28" s="595"/>
      <c r="B28" s="598"/>
      <c r="C28" s="599"/>
      <c r="D28" s="283"/>
      <c r="E28" s="283"/>
      <c r="F28" s="292"/>
      <c r="G28" s="283"/>
      <c r="H28" s="283"/>
      <c r="I28" s="283"/>
      <c r="J28" s="283"/>
      <c r="K28" s="283"/>
      <c r="L28" s="283"/>
      <c r="M28" s="283"/>
      <c r="N28" s="283"/>
      <c r="O28" s="283"/>
      <c r="P28" s="283"/>
      <c r="Q28" s="283"/>
      <c r="R28" s="283"/>
      <c r="S28" s="283"/>
      <c r="T28" s="283"/>
      <c r="U28" s="283"/>
      <c r="V28" s="283"/>
      <c r="W28" s="283"/>
      <c r="X28" s="283"/>
      <c r="Y28" s="283"/>
      <c r="Z28" s="283"/>
      <c r="AA28" s="283"/>
      <c r="AB28" s="283"/>
      <c r="AC28" s="283"/>
      <c r="AD28" s="283"/>
      <c r="AE28" s="283"/>
      <c r="AF28" s="283"/>
      <c r="AG28" s="283"/>
      <c r="AH28" s="283"/>
      <c r="AI28" s="283"/>
      <c r="AJ28" s="283"/>
      <c r="AK28" s="283"/>
      <c r="AL28" s="283"/>
      <c r="AM28" s="283"/>
      <c r="AN28" s="283"/>
      <c r="AO28" s="283"/>
      <c r="AP28" s="283"/>
      <c r="AQ28" s="283"/>
      <c r="AR28" s="283"/>
      <c r="AS28" s="283"/>
      <c r="AT28" s="283"/>
      <c r="AU28" s="283"/>
      <c r="AV28" s="283"/>
      <c r="AW28" s="283"/>
      <c r="AX28" s="283"/>
      <c r="AY28" s="283"/>
      <c r="AZ28" s="283"/>
      <c r="BA28" s="283"/>
      <c r="BB28" s="283"/>
      <c r="BC28" s="283"/>
      <c r="BD28" s="283"/>
      <c r="BE28" s="283"/>
      <c r="BF28" s="283"/>
      <c r="BG28" s="283"/>
      <c r="BH28" s="283"/>
      <c r="BI28" s="283"/>
      <c r="BJ28" s="283"/>
      <c r="BK28" s="283"/>
      <c r="BL28" s="283"/>
      <c r="BM28" s="283"/>
      <c r="BN28" s="283"/>
      <c r="BO28" s="283"/>
      <c r="BP28" s="283"/>
      <c r="BQ28" s="283"/>
      <c r="BR28" s="283"/>
      <c r="BS28" s="283"/>
      <c r="BT28" s="283"/>
      <c r="BU28" s="283"/>
      <c r="BV28" s="283"/>
      <c r="BW28" s="283"/>
      <c r="BX28" s="283"/>
      <c r="BY28" s="283"/>
      <c r="BZ28" s="283"/>
      <c r="CA28" s="283"/>
    </row>
    <row r="29" spans="1:79">
      <c r="A29" s="595"/>
      <c r="B29" s="598"/>
      <c r="C29" s="599"/>
      <c r="D29" s="1264" t="s">
        <v>3</v>
      </c>
      <c r="E29" s="1293" t="s">
        <v>845</v>
      </c>
      <c r="F29" s="776" t="s">
        <v>38</v>
      </c>
      <c r="G29" s="776">
        <v>1</v>
      </c>
      <c r="H29" s="776">
        <f>1+G29</f>
        <v>2</v>
      </c>
      <c r="I29" s="776">
        <f t="shared" ref="I29:AD29" si="64">1+H29</f>
        <v>3</v>
      </c>
      <c r="J29" s="776">
        <f t="shared" si="64"/>
        <v>4</v>
      </c>
      <c r="K29" s="776">
        <f t="shared" si="64"/>
        <v>5</v>
      </c>
      <c r="L29" s="776">
        <f t="shared" si="64"/>
        <v>6</v>
      </c>
      <c r="M29" s="776">
        <f t="shared" si="64"/>
        <v>7</v>
      </c>
      <c r="N29" s="776">
        <f t="shared" si="64"/>
        <v>8</v>
      </c>
      <c r="O29" s="776">
        <f t="shared" si="64"/>
        <v>9</v>
      </c>
      <c r="P29" s="776">
        <f t="shared" si="64"/>
        <v>10</v>
      </c>
      <c r="Q29" s="776">
        <f t="shared" si="64"/>
        <v>11</v>
      </c>
      <c r="R29" s="776">
        <f t="shared" si="64"/>
        <v>12</v>
      </c>
      <c r="S29" s="776">
        <f t="shared" si="64"/>
        <v>13</v>
      </c>
      <c r="T29" s="776">
        <f t="shared" si="64"/>
        <v>14</v>
      </c>
      <c r="U29" s="776">
        <f t="shared" si="64"/>
        <v>15</v>
      </c>
      <c r="V29" s="776">
        <f t="shared" si="64"/>
        <v>16</v>
      </c>
      <c r="W29" s="776">
        <f t="shared" si="64"/>
        <v>17</v>
      </c>
      <c r="X29" s="776">
        <f t="shared" si="64"/>
        <v>18</v>
      </c>
      <c r="Y29" s="776">
        <f t="shared" si="64"/>
        <v>19</v>
      </c>
      <c r="Z29" s="776">
        <f t="shared" si="64"/>
        <v>20</v>
      </c>
      <c r="AA29" s="776">
        <f t="shared" si="64"/>
        <v>21</v>
      </c>
      <c r="AB29" s="776">
        <f t="shared" si="64"/>
        <v>22</v>
      </c>
      <c r="AC29" s="776">
        <f t="shared" si="64"/>
        <v>23</v>
      </c>
      <c r="AD29" s="776">
        <f t="shared" si="64"/>
        <v>24</v>
      </c>
      <c r="AE29" s="776">
        <f t="shared" ref="AE29" si="65">1+AD29</f>
        <v>25</v>
      </c>
      <c r="AF29" s="776">
        <f t="shared" ref="AF29" si="66">1+AE29</f>
        <v>26</v>
      </c>
      <c r="AG29" s="776">
        <f t="shared" ref="AG29" si="67">1+AF29</f>
        <v>27</v>
      </c>
      <c r="AH29" s="776">
        <f t="shared" ref="AH29" si="68">1+AG29</f>
        <v>28</v>
      </c>
      <c r="AI29" s="776">
        <f t="shared" ref="AI29" si="69">1+AH29</f>
        <v>29</v>
      </c>
      <c r="AJ29" s="776">
        <f t="shared" ref="AJ29" si="70">1+AI29</f>
        <v>30</v>
      </c>
      <c r="AK29" s="287"/>
      <c r="AL29" s="287"/>
      <c r="AM29" s="287"/>
      <c r="AN29" s="287"/>
      <c r="AO29" s="287"/>
      <c r="AP29" s="265"/>
      <c r="AQ29" s="265"/>
      <c r="AR29" s="265"/>
      <c r="AS29" s="265"/>
      <c r="AT29" s="283"/>
      <c r="AU29" s="283"/>
      <c r="AV29" s="283"/>
      <c r="AW29" s="283"/>
      <c r="AX29" s="283"/>
      <c r="AY29" s="283"/>
      <c r="AZ29" s="283"/>
      <c r="BA29" s="283"/>
      <c r="BB29" s="283"/>
      <c r="BC29" s="283"/>
      <c r="BD29" s="283"/>
      <c r="BE29" s="283"/>
      <c r="BF29" s="283"/>
      <c r="BG29" s="283"/>
      <c r="BH29" s="283"/>
      <c r="BI29" s="283"/>
      <c r="BJ29" s="283"/>
      <c r="BK29" s="283"/>
      <c r="BL29" s="283"/>
      <c r="BM29" s="283"/>
      <c r="BN29" s="283"/>
      <c r="BO29" s="283"/>
      <c r="BP29" s="283"/>
      <c r="BQ29" s="283"/>
      <c r="BR29" s="283"/>
      <c r="BS29" s="283"/>
      <c r="BT29" s="283"/>
      <c r="BU29" s="283"/>
      <c r="BV29" s="283"/>
      <c r="BW29" s="283"/>
      <c r="BX29" s="283"/>
      <c r="BY29" s="283"/>
      <c r="BZ29" s="283"/>
      <c r="CA29" s="283"/>
    </row>
    <row r="30" spans="1:79">
      <c r="A30" s="595"/>
      <c r="B30" s="598"/>
      <c r="C30" s="599"/>
      <c r="D30" s="874">
        <v>1</v>
      </c>
      <c r="E30" s="1294" t="s">
        <v>254</v>
      </c>
      <c r="F30" s="875">
        <f t="shared" ref="F30:F50" si="71">SUM(G30:AJ30)</f>
        <v>388123.39305330929</v>
      </c>
      <c r="G30" s="1295">
        <f>SUMIF('Despesas com Pessoal'!$K$203:$K$220,$D30,'Despesas com Pessoal'!M$203:M$220)+'LOCAÇÕES E TERCEIRIZAÇÕES'!$J$25/1000+'LOCAÇÕES E TERCEIRIZAÇÕES'!$J$27/1000</f>
        <v>12409.069773245848</v>
      </c>
      <c r="H30" s="1295">
        <f>SUMIF('Despesas com Pessoal'!$K$203:$K$220,$D30,'Despesas com Pessoal'!N$203:N$220)+'LOCAÇÕES E TERCEIRIZAÇÕES'!$J$25/1000+'LOCAÇÕES E TERCEIRIZAÇÕES'!$J$27/1000</f>
        <v>13017.413635836449</v>
      </c>
      <c r="I30" s="1295">
        <f>SUMIF('Despesas com Pessoal'!$K$203:$K$220,$D30,'Despesas com Pessoal'!O$203:O$220)+'LOCAÇÕES E TERCEIRIZAÇÕES'!$J$25/1000+'LOCAÇÕES E TERCEIRIZAÇÕES'!$J$27/1000</f>
        <v>13017.413635836449</v>
      </c>
      <c r="J30" s="1295">
        <f>SUMIF('Despesas com Pessoal'!$K$203:$K$220,$D30,'Despesas com Pessoal'!P$203:P$220)+'LOCAÇÕES E TERCEIRIZAÇÕES'!$J$25/1000+'LOCAÇÕES E TERCEIRIZAÇÕES'!$J$27/1000</f>
        <v>13017.413635836449</v>
      </c>
      <c r="K30" s="1295">
        <f>SUMIF('Despesas com Pessoal'!$K$203:$K$220,$D30,'Despesas com Pessoal'!Q$203:Q$220)+'LOCAÇÕES E TERCEIRIZAÇÕES'!$J$25/1000+'LOCAÇÕES E TERCEIRIZAÇÕES'!$J$27/1000</f>
        <v>13017.413635836449</v>
      </c>
      <c r="L30" s="1295">
        <f>SUMIF('Despesas com Pessoal'!$K$203:$K$220,$D30,'Despesas com Pessoal'!R$203:R$220)+'LOCAÇÕES E TERCEIRIZAÇÕES'!$J$25/1000+'LOCAÇÕES E TERCEIRIZAÇÕES'!$J$27/1000</f>
        <v>12945.786749468698</v>
      </c>
      <c r="M30" s="1295">
        <f>SUMIF('Despesas com Pessoal'!$K$203:$K$220,$D30,'Despesas com Pessoal'!S$203:S$220)+'LOCAÇÕES E TERCEIRIZAÇÕES'!$J$25/1000+'LOCAÇÕES E TERCEIRIZAÇÕES'!$J$27/1000</f>
        <v>12945.786749468698</v>
      </c>
      <c r="N30" s="1295">
        <f>SUMIF('Despesas com Pessoal'!$K$203:$K$220,$D30,'Despesas com Pessoal'!T$203:T$220)+'LOCAÇÕES E TERCEIRIZAÇÕES'!$J$25/1000+'LOCAÇÕES E TERCEIRIZAÇÕES'!$J$27/1000</f>
        <v>12945.786749468698</v>
      </c>
      <c r="O30" s="1295">
        <f>SUMIF('Despesas com Pessoal'!$K$203:$K$220,$D30,'Despesas com Pessoal'!U$203:U$220)+'LOCAÇÕES E TERCEIRIZAÇÕES'!$J$25/1000+'LOCAÇÕES E TERCEIRIZAÇÕES'!$J$27/1000</f>
        <v>12945.786749468698</v>
      </c>
      <c r="P30" s="1295">
        <f>SUMIF('Despesas com Pessoal'!$K$203:$K$220,$D30,'Despesas com Pessoal'!V$203:V$220)+'LOCAÇÕES E TERCEIRIZAÇÕES'!$J$25/1000+'LOCAÇÕES E TERCEIRIZAÇÕES'!$J$27/1000</f>
        <v>12945.786749468698</v>
      </c>
      <c r="Q30" s="1295">
        <f>SUMIF('Despesas com Pessoal'!$K$203:$K$220,$D30,'Despesas com Pessoal'!W$203:W$220)+'LOCAÇÕES E TERCEIRIZAÇÕES'!$J$25/1000+'LOCAÇÕES E TERCEIRIZAÇÕES'!$J$27/1000</f>
        <v>12945.786749468698</v>
      </c>
      <c r="R30" s="1295">
        <f>SUMIF('Despesas com Pessoal'!$K$203:$K$220,$D30,'Despesas com Pessoal'!X$203:X$220)+'LOCAÇÕES E TERCEIRIZAÇÕES'!$J$25/1000+'LOCAÇÕES E TERCEIRIZAÇÕES'!$J$27/1000</f>
        <v>12945.786749468698</v>
      </c>
      <c r="S30" s="1295">
        <f>SUMIF('Despesas com Pessoal'!$K$203:$K$220,$D30,'Despesas com Pessoal'!Y$203:Y$220)+'LOCAÇÕES E TERCEIRIZAÇÕES'!$J$25/1000+'LOCAÇÕES E TERCEIRIZAÇÕES'!$J$27/1000</f>
        <v>12945.786749468698</v>
      </c>
      <c r="T30" s="1295">
        <f>SUMIF('Despesas com Pessoal'!$K$203:$K$220,$D30,'Despesas com Pessoal'!Z$203:Z$220)+'LOCAÇÕES E TERCEIRIZAÇÕES'!$J$25/1000+'LOCAÇÕES E TERCEIRIZAÇÕES'!$J$27/1000</f>
        <v>12945.786749468698</v>
      </c>
      <c r="U30" s="1295">
        <f>SUMIF('Despesas com Pessoal'!$K$203:$K$220,$D30,'Despesas com Pessoal'!AA$203:AA$220)+'LOCAÇÕES E TERCEIRIZAÇÕES'!$J$25/1000+'LOCAÇÕES E TERCEIRIZAÇÕES'!$J$27/1000</f>
        <v>12945.786749468698</v>
      </c>
      <c r="V30" s="1295">
        <f>SUMIF('Despesas com Pessoal'!$K$203:$K$220,$D30,'Despesas com Pessoal'!AB$203:AB$220)+'LOCAÇÕES E TERCEIRIZAÇÕES'!$J$25/1000+'LOCAÇÕES E TERCEIRIZAÇÕES'!$J$27/1000</f>
        <v>12945.786749468698</v>
      </c>
      <c r="W30" s="1295">
        <f>SUMIF('Despesas com Pessoal'!$K$203:$K$220,$D30,'Despesas com Pessoal'!AC$203:AC$220)+'LOCAÇÕES E TERCEIRIZAÇÕES'!$J$25/1000+'LOCAÇÕES E TERCEIRIZAÇÕES'!$J$27/1000</f>
        <v>12945.786749468698</v>
      </c>
      <c r="X30" s="1295">
        <f>SUMIF('Despesas com Pessoal'!$K$203:$K$220,$D30,'Despesas com Pessoal'!AD$203:AD$220)+'LOCAÇÕES E TERCEIRIZAÇÕES'!$J$25/1000+'LOCAÇÕES E TERCEIRIZAÇÕES'!$J$27/1000</f>
        <v>12945.786749468698</v>
      </c>
      <c r="Y30" s="1295">
        <f>SUMIF('Despesas com Pessoal'!$K$203:$K$220,$D30,'Despesas com Pessoal'!AE$203:AE$220)+'LOCAÇÕES E TERCEIRIZAÇÕES'!$J$25/1000+'LOCAÇÕES E TERCEIRIZAÇÕES'!$J$27/1000</f>
        <v>12945.786749468698</v>
      </c>
      <c r="Z30" s="1295">
        <f>SUMIF('Despesas com Pessoal'!$K$203:$K$220,$D30,'Despesas com Pessoal'!AF$203:AF$220)+'LOCAÇÕES E TERCEIRIZAÇÕES'!$J$25/1000+'LOCAÇÕES E TERCEIRIZAÇÕES'!$J$27/1000</f>
        <v>12945.786749468698</v>
      </c>
      <c r="AA30" s="1295">
        <f>SUMIF('Despesas com Pessoal'!$K$203:$K$220,$D30,'Despesas com Pessoal'!AG$203:AG$220)+'LOCAÇÕES E TERCEIRIZAÇÕES'!$J$25/1000+'LOCAÇÕES E TERCEIRIZAÇÕES'!$J$27/1000</f>
        <v>12945.786749468698</v>
      </c>
      <c r="AB30" s="1295">
        <f>SUMIF('Despesas com Pessoal'!$K$203:$K$220,$D30,'Despesas com Pessoal'!AH$203:AH$220)+'LOCAÇÕES E TERCEIRIZAÇÕES'!$J$25/1000+'LOCAÇÕES E TERCEIRIZAÇÕES'!$J$27/1000</f>
        <v>12945.786749468698</v>
      </c>
      <c r="AC30" s="1295">
        <f>SUMIF('Despesas com Pessoal'!$K$203:$K$220,$D30,'Despesas com Pessoal'!AI$203:AI$220)+'LOCAÇÕES E TERCEIRIZAÇÕES'!$J$25/1000+'LOCAÇÕES E TERCEIRIZAÇÕES'!$J$27/1000</f>
        <v>12945.786749468698</v>
      </c>
      <c r="AD30" s="1295">
        <f>SUMIF('Despesas com Pessoal'!$K$203:$K$220,$D30,'Despesas com Pessoal'!AJ$203:AJ$220)+'LOCAÇÕES E TERCEIRIZAÇÕES'!$J$25/1000+'LOCAÇÕES E TERCEIRIZAÇÕES'!$J$27/1000</f>
        <v>12945.786749468698</v>
      </c>
      <c r="AE30" s="1295">
        <f>SUMIF('Despesas com Pessoal'!$K$203:$K$220,$D30,'Despesas com Pessoal'!AK$203:AK$220)+'LOCAÇÕES E TERCEIRIZAÇÕES'!$J$25/1000+'LOCAÇÕES E TERCEIRIZAÇÕES'!$J$27/1000</f>
        <v>12945.786749468698</v>
      </c>
      <c r="AF30" s="1295">
        <f>SUMIF('Despesas com Pessoal'!$K$203:$K$220,$D30,'Despesas com Pessoal'!AL$203:AL$220)+'LOCAÇÕES E TERCEIRIZAÇÕES'!$J$25/1000+'LOCAÇÕES E TERCEIRIZAÇÕES'!$J$27/1000</f>
        <v>12945.786749468698</v>
      </c>
      <c r="AG30" s="1295">
        <f>SUMIF('Despesas com Pessoal'!$K$203:$K$220,$D30,'Despesas com Pessoal'!AM$203:AM$220)+'LOCAÇÕES E TERCEIRIZAÇÕES'!$J$25/1000+'LOCAÇÕES E TERCEIRIZAÇÕES'!$J$27/1000</f>
        <v>12945.786749468698</v>
      </c>
      <c r="AH30" s="1295">
        <f>SUMIF('Despesas com Pessoal'!$K$203:$K$220,$D30,'Despesas com Pessoal'!AN$203:AN$220)+'LOCAÇÕES E TERCEIRIZAÇÕES'!$J$25/1000+'LOCAÇÕES E TERCEIRIZAÇÕES'!$J$27/1000</f>
        <v>12945.786749468698</v>
      </c>
      <c r="AI30" s="1295">
        <f>SUMIF('Despesas com Pessoal'!$K$203:$K$220,$D30,'Despesas com Pessoal'!AO$203:AO$220)+'LOCAÇÕES E TERCEIRIZAÇÕES'!$J$25/1000+'LOCAÇÕES E TERCEIRIZAÇÕES'!$J$27/1000</f>
        <v>12945.786749468698</v>
      </c>
      <c r="AJ30" s="1295">
        <f>SUMIF('Despesas com Pessoal'!$K$203:$K$220,$D30,'Despesas com Pessoal'!AP$203:AP$220)+'LOCAÇÕES E TERCEIRIZAÇÕES'!$J$25/1000+'LOCAÇÕES E TERCEIRIZAÇÕES'!$J$27/1000</f>
        <v>12945.786749468698</v>
      </c>
      <c r="AK30" s="280"/>
      <c r="AL30" s="280"/>
      <c r="AM30" s="280"/>
      <c r="AN30" s="280"/>
      <c r="AO30" s="280"/>
      <c r="AP30" s="283"/>
      <c r="AQ30" s="283"/>
      <c r="AR30" s="283"/>
      <c r="AS30" s="283"/>
      <c r="AT30" s="283"/>
      <c r="AU30" s="283"/>
      <c r="AV30" s="283"/>
      <c r="AW30" s="283"/>
      <c r="AX30" s="283"/>
      <c r="AY30" s="283"/>
      <c r="AZ30" s="283"/>
      <c r="BA30" s="283"/>
      <c r="BB30" s="283"/>
      <c r="BC30" s="283"/>
      <c r="BD30" s="283"/>
      <c r="BE30" s="283"/>
      <c r="BF30" s="283"/>
      <c r="BG30" s="283"/>
      <c r="BH30" s="283"/>
      <c r="BI30" s="283"/>
      <c r="BJ30" s="283"/>
      <c r="BK30" s="283"/>
      <c r="BL30" s="283"/>
      <c r="BM30" s="283"/>
      <c r="BN30" s="283"/>
      <c r="BO30" s="283"/>
      <c r="BP30" s="283"/>
      <c r="BQ30" s="283"/>
      <c r="BR30" s="283"/>
      <c r="BS30" s="283"/>
      <c r="BT30" s="283"/>
      <c r="BU30" s="283"/>
      <c r="BV30" s="283"/>
      <c r="BW30" s="283"/>
      <c r="BX30" s="283"/>
      <c r="BY30" s="283"/>
      <c r="BZ30" s="283"/>
      <c r="CA30" s="283"/>
    </row>
    <row r="31" spans="1:79">
      <c r="A31" s="595"/>
      <c r="B31" s="598"/>
      <c r="C31" s="599"/>
      <c r="D31" s="874">
        <v>2</v>
      </c>
      <c r="E31" s="1294" t="s">
        <v>255</v>
      </c>
      <c r="F31" s="875">
        <f t="shared" si="71"/>
        <v>44433.739694700002</v>
      </c>
      <c r="G31" s="1295">
        <f>SUMIF('Despesas com Pessoal'!$K$203:$K$220,$D31,'Despesas com Pessoal'!M$203:M$220)+'LOCAÇÕES E TERCEIRIZAÇÕES'!$J$31/1000</f>
        <v>1481.1246564900005</v>
      </c>
      <c r="H31" s="1295">
        <f>SUMIF('Despesas com Pessoal'!$K$203:$K$220,$D31,'Despesas com Pessoal'!N$203:N$220)+'LOCAÇÕES E TERCEIRIZAÇÕES'!$J$31/1000</f>
        <v>1481.1246564900005</v>
      </c>
      <c r="I31" s="1295">
        <f>SUMIF('Despesas com Pessoal'!$K$203:$K$220,$D31,'Despesas com Pessoal'!O$203:O$220)+'LOCAÇÕES E TERCEIRIZAÇÕES'!$J$31/1000</f>
        <v>1481.1246564900005</v>
      </c>
      <c r="J31" s="1295">
        <f>SUMIF('Despesas com Pessoal'!$K$203:$K$220,$D31,'Despesas com Pessoal'!P$203:P$220)+'LOCAÇÕES E TERCEIRIZAÇÕES'!$J$31/1000</f>
        <v>1481.1246564900005</v>
      </c>
      <c r="K31" s="1295">
        <f>SUMIF('Despesas com Pessoal'!$K$203:$K$220,$D31,'Despesas com Pessoal'!Q$203:Q$220)+'LOCAÇÕES E TERCEIRIZAÇÕES'!$J$31/1000</f>
        <v>1481.1246564900005</v>
      </c>
      <c r="L31" s="1295">
        <f>SUMIF('Despesas com Pessoal'!$K$203:$K$220,$D31,'Despesas com Pessoal'!R$203:R$220)+'LOCAÇÕES E TERCEIRIZAÇÕES'!$J$31/1000</f>
        <v>1481.1246564900005</v>
      </c>
      <c r="M31" s="1295">
        <f>SUMIF('Despesas com Pessoal'!$K$203:$K$220,$D31,'Despesas com Pessoal'!S$203:S$220)+'LOCAÇÕES E TERCEIRIZAÇÕES'!$J$31/1000</f>
        <v>1481.1246564900005</v>
      </c>
      <c r="N31" s="1295">
        <f>SUMIF('Despesas com Pessoal'!$K$203:$K$220,$D31,'Despesas com Pessoal'!T$203:T$220)+'LOCAÇÕES E TERCEIRIZAÇÕES'!$J$31/1000</f>
        <v>1481.1246564900005</v>
      </c>
      <c r="O31" s="1295">
        <f>SUMIF('Despesas com Pessoal'!$K$203:$K$220,$D31,'Despesas com Pessoal'!U$203:U$220)+'LOCAÇÕES E TERCEIRIZAÇÕES'!$J$31/1000</f>
        <v>1481.1246564900005</v>
      </c>
      <c r="P31" s="1295">
        <f>SUMIF('Despesas com Pessoal'!$K$203:$K$220,$D31,'Despesas com Pessoal'!V$203:V$220)+'LOCAÇÕES E TERCEIRIZAÇÕES'!$J$31/1000</f>
        <v>1481.1246564900005</v>
      </c>
      <c r="Q31" s="1295">
        <f>SUMIF('Despesas com Pessoal'!$K$203:$K$220,$D31,'Despesas com Pessoal'!W$203:W$220)+'LOCAÇÕES E TERCEIRIZAÇÕES'!$J$31/1000</f>
        <v>1481.1246564900005</v>
      </c>
      <c r="R31" s="1295">
        <f>SUMIF('Despesas com Pessoal'!$K$203:$K$220,$D31,'Despesas com Pessoal'!X$203:X$220)+'LOCAÇÕES E TERCEIRIZAÇÕES'!$J$31/1000</f>
        <v>1481.1246564900005</v>
      </c>
      <c r="S31" s="1295">
        <f>SUMIF('Despesas com Pessoal'!$K$203:$K$220,$D31,'Despesas com Pessoal'!Y$203:Y$220)+'LOCAÇÕES E TERCEIRIZAÇÕES'!$J$31/1000</f>
        <v>1481.1246564900005</v>
      </c>
      <c r="T31" s="1295">
        <f>SUMIF('Despesas com Pessoal'!$K$203:$K$220,$D31,'Despesas com Pessoal'!Z$203:Z$220)+'LOCAÇÕES E TERCEIRIZAÇÕES'!$J$31/1000</f>
        <v>1481.1246564900005</v>
      </c>
      <c r="U31" s="1295">
        <f>SUMIF('Despesas com Pessoal'!$K$203:$K$220,$D31,'Despesas com Pessoal'!AA$203:AA$220)+'LOCAÇÕES E TERCEIRIZAÇÕES'!$J$31/1000</f>
        <v>1481.1246564900005</v>
      </c>
      <c r="V31" s="1295">
        <f>SUMIF('Despesas com Pessoal'!$K$203:$K$220,$D31,'Despesas com Pessoal'!AB$203:AB$220)+'LOCAÇÕES E TERCEIRIZAÇÕES'!$J$31/1000</f>
        <v>1481.1246564900005</v>
      </c>
      <c r="W31" s="1295">
        <f>SUMIF('Despesas com Pessoal'!$K$203:$K$220,$D31,'Despesas com Pessoal'!AC$203:AC$220)+'LOCAÇÕES E TERCEIRIZAÇÕES'!$J$31/1000</f>
        <v>1481.1246564900005</v>
      </c>
      <c r="X31" s="1295">
        <f>SUMIF('Despesas com Pessoal'!$K$203:$K$220,$D31,'Despesas com Pessoal'!AD$203:AD$220)+'LOCAÇÕES E TERCEIRIZAÇÕES'!$J$31/1000</f>
        <v>1481.1246564900005</v>
      </c>
      <c r="Y31" s="1295">
        <f>SUMIF('Despesas com Pessoal'!$K$203:$K$220,$D31,'Despesas com Pessoal'!AE$203:AE$220)+'LOCAÇÕES E TERCEIRIZAÇÕES'!$J$31/1000</f>
        <v>1481.1246564900005</v>
      </c>
      <c r="Z31" s="1295">
        <f>SUMIF('Despesas com Pessoal'!$K$203:$K$220,$D31,'Despesas com Pessoal'!AF$203:AF$220)+'LOCAÇÕES E TERCEIRIZAÇÕES'!$J$31/1000</f>
        <v>1481.1246564900005</v>
      </c>
      <c r="AA31" s="1295">
        <f>SUMIF('Despesas com Pessoal'!$K$203:$K$220,$D31,'Despesas com Pessoal'!AG$203:AG$220)+'LOCAÇÕES E TERCEIRIZAÇÕES'!$J$31/1000</f>
        <v>1481.1246564900005</v>
      </c>
      <c r="AB31" s="1295">
        <f>SUMIF('Despesas com Pessoal'!$K$203:$K$220,$D31,'Despesas com Pessoal'!AH$203:AH$220)+'LOCAÇÕES E TERCEIRIZAÇÕES'!$J$31/1000</f>
        <v>1481.1246564900005</v>
      </c>
      <c r="AC31" s="1295">
        <f>SUMIF('Despesas com Pessoal'!$K$203:$K$220,$D31,'Despesas com Pessoal'!AI$203:AI$220)+'LOCAÇÕES E TERCEIRIZAÇÕES'!$J$31/1000</f>
        <v>1481.1246564900005</v>
      </c>
      <c r="AD31" s="1295">
        <f>SUMIF('Despesas com Pessoal'!$K$203:$K$220,$D31,'Despesas com Pessoal'!AJ$203:AJ$220)+'LOCAÇÕES E TERCEIRIZAÇÕES'!$J$31/1000</f>
        <v>1481.1246564900005</v>
      </c>
      <c r="AE31" s="1295">
        <f>SUMIF('Despesas com Pessoal'!$K$203:$K$220,$D31,'Despesas com Pessoal'!AK$203:AK$220)+'LOCAÇÕES E TERCEIRIZAÇÕES'!$J$31/1000</f>
        <v>1481.1246564900005</v>
      </c>
      <c r="AF31" s="1295">
        <f>SUMIF('Despesas com Pessoal'!$K$203:$K$220,$D31,'Despesas com Pessoal'!AL$203:AL$220)+'LOCAÇÕES E TERCEIRIZAÇÕES'!$J$31/1000</f>
        <v>1481.1246564900005</v>
      </c>
      <c r="AG31" s="1295">
        <f>SUMIF('Despesas com Pessoal'!$K$203:$K$220,$D31,'Despesas com Pessoal'!AM$203:AM$220)+'LOCAÇÕES E TERCEIRIZAÇÕES'!$J$31/1000</f>
        <v>1481.1246564900005</v>
      </c>
      <c r="AH31" s="1295">
        <f>SUMIF('Despesas com Pessoal'!$K$203:$K$220,$D31,'Despesas com Pessoal'!AN$203:AN$220)+'LOCAÇÕES E TERCEIRIZAÇÕES'!$J$31/1000</f>
        <v>1481.1246564900005</v>
      </c>
      <c r="AI31" s="1295">
        <f>SUMIF('Despesas com Pessoal'!$K$203:$K$220,$D31,'Despesas com Pessoal'!AO$203:AO$220)+'LOCAÇÕES E TERCEIRIZAÇÕES'!$J$31/1000</f>
        <v>1481.1246564900005</v>
      </c>
      <c r="AJ31" s="1295">
        <f>SUMIF('Despesas com Pessoal'!$K$203:$K$220,$D31,'Despesas com Pessoal'!AP$203:AP$220)+'LOCAÇÕES E TERCEIRIZAÇÕES'!$J$31/1000</f>
        <v>1481.1246564900005</v>
      </c>
      <c r="AK31" s="280"/>
      <c r="AL31" s="280"/>
      <c r="AM31" s="280"/>
      <c r="AN31" s="280"/>
      <c r="AO31" s="280"/>
      <c r="AP31" s="283"/>
      <c r="AQ31" s="283"/>
      <c r="AR31" s="283"/>
      <c r="AS31" s="283"/>
      <c r="AT31" s="283"/>
      <c r="AU31" s="283"/>
      <c r="AV31" s="283"/>
      <c r="AW31" s="283"/>
      <c r="AX31" s="283"/>
      <c r="AY31" s="283"/>
      <c r="AZ31" s="283"/>
      <c r="BA31" s="283"/>
      <c r="BB31" s="283"/>
      <c r="BC31" s="283"/>
      <c r="BD31" s="283"/>
      <c r="BE31" s="283"/>
      <c r="BF31" s="283"/>
      <c r="BG31" s="283"/>
      <c r="BH31" s="283"/>
      <c r="BI31" s="283"/>
      <c r="BJ31" s="283"/>
      <c r="BK31" s="283"/>
      <c r="BL31" s="283"/>
      <c r="BM31" s="283"/>
      <c r="BN31" s="283"/>
      <c r="BO31" s="283"/>
      <c r="BP31" s="283"/>
      <c r="BQ31" s="283"/>
      <c r="BR31" s="283"/>
      <c r="BS31" s="283"/>
      <c r="BT31" s="283"/>
      <c r="BU31" s="283"/>
      <c r="BV31" s="283"/>
      <c r="BW31" s="283"/>
      <c r="BX31" s="283"/>
      <c r="BY31" s="283"/>
      <c r="BZ31" s="283"/>
      <c r="CA31" s="283"/>
    </row>
    <row r="32" spans="1:79" s="139" customFormat="1">
      <c r="A32" s="595"/>
      <c r="B32" s="598"/>
      <c r="C32" s="599"/>
      <c r="D32" s="874" t="s">
        <v>1406</v>
      </c>
      <c r="E32" s="1294" t="s">
        <v>256</v>
      </c>
      <c r="F32" s="875">
        <f t="shared" si="71"/>
        <v>27285.318009400322</v>
      </c>
      <c r="G32" s="1295">
        <f>SUMIF('Despesas com Pessoal'!$K$203:$K$220,$D32,'Despesas com Pessoal'!M$203:M$220)</f>
        <v>909.51060031334407</v>
      </c>
      <c r="H32" s="1295">
        <f>SUMIF('Despesas com Pessoal'!$K$203:$K$220,$D32,'Despesas com Pessoal'!N$203:N$220)</f>
        <v>909.51060031334407</v>
      </c>
      <c r="I32" s="1295">
        <f>SUMIF('Despesas com Pessoal'!$K$203:$K$220,$D32,'Despesas com Pessoal'!O$203:O$220)</f>
        <v>909.51060031334407</v>
      </c>
      <c r="J32" s="1295">
        <f>SUMIF('Despesas com Pessoal'!$K$203:$K$220,$D32,'Despesas com Pessoal'!P$203:P$220)</f>
        <v>909.51060031334407</v>
      </c>
      <c r="K32" s="1295">
        <f>SUMIF('Despesas com Pessoal'!$K$203:$K$220,$D32,'Despesas com Pessoal'!Q$203:Q$220)</f>
        <v>909.51060031334407</v>
      </c>
      <c r="L32" s="1295">
        <f>SUMIF('Despesas com Pessoal'!$K$203:$K$220,$D32,'Despesas com Pessoal'!R$203:R$220)</f>
        <v>909.51060031334407</v>
      </c>
      <c r="M32" s="1295">
        <f>SUMIF('Despesas com Pessoal'!$K$203:$K$220,$D32,'Despesas com Pessoal'!S$203:S$220)</f>
        <v>909.51060031334407</v>
      </c>
      <c r="N32" s="1295">
        <f>SUMIF('Despesas com Pessoal'!$K$203:$K$220,$D32,'Despesas com Pessoal'!T$203:T$220)</f>
        <v>909.51060031334407</v>
      </c>
      <c r="O32" s="1295">
        <f>SUMIF('Despesas com Pessoal'!$K$203:$K$220,$D32,'Despesas com Pessoal'!U$203:U$220)</f>
        <v>909.51060031334407</v>
      </c>
      <c r="P32" s="1295">
        <f>SUMIF('Despesas com Pessoal'!$K$203:$K$220,$D32,'Despesas com Pessoal'!V$203:V$220)</f>
        <v>909.51060031334407</v>
      </c>
      <c r="Q32" s="1295">
        <f>SUMIF('Despesas com Pessoal'!$K$203:$K$220,$D32,'Despesas com Pessoal'!W$203:W$220)</f>
        <v>909.51060031334407</v>
      </c>
      <c r="R32" s="1295">
        <f>SUMIF('Despesas com Pessoal'!$K$203:$K$220,$D32,'Despesas com Pessoal'!X$203:X$220)</f>
        <v>909.51060031334407</v>
      </c>
      <c r="S32" s="1295">
        <f>SUMIF('Despesas com Pessoal'!$K$203:$K$220,$D32,'Despesas com Pessoal'!Y$203:Y$220)</f>
        <v>909.51060031334407</v>
      </c>
      <c r="T32" s="1295">
        <f>SUMIF('Despesas com Pessoal'!$K$203:$K$220,$D32,'Despesas com Pessoal'!Z$203:Z$220)</f>
        <v>909.51060031334407</v>
      </c>
      <c r="U32" s="1295">
        <f>SUMIF('Despesas com Pessoal'!$K$203:$K$220,$D32,'Despesas com Pessoal'!AA$203:AA$220)</f>
        <v>909.51060031334407</v>
      </c>
      <c r="V32" s="1295">
        <f>SUMIF('Despesas com Pessoal'!$K$203:$K$220,$D32,'Despesas com Pessoal'!AB$203:AB$220)</f>
        <v>909.51060031334407</v>
      </c>
      <c r="W32" s="1295">
        <f>SUMIF('Despesas com Pessoal'!$K$203:$K$220,$D32,'Despesas com Pessoal'!AC$203:AC$220)</f>
        <v>909.51060031334407</v>
      </c>
      <c r="X32" s="1295">
        <f>SUMIF('Despesas com Pessoal'!$K$203:$K$220,$D32,'Despesas com Pessoal'!AD$203:AD$220)</f>
        <v>909.51060031334407</v>
      </c>
      <c r="Y32" s="1295">
        <f>SUMIF('Despesas com Pessoal'!$K$203:$K$220,$D32,'Despesas com Pessoal'!AE$203:AE$220)</f>
        <v>909.51060031334407</v>
      </c>
      <c r="Z32" s="1295">
        <f>SUMIF('Despesas com Pessoal'!$K$203:$K$220,$D32,'Despesas com Pessoal'!AF$203:AF$220)</f>
        <v>909.51060031334407</v>
      </c>
      <c r="AA32" s="1295">
        <f>SUMIF('Despesas com Pessoal'!$K$203:$K$220,$D32,'Despesas com Pessoal'!AG$203:AG$220)</f>
        <v>909.51060031334407</v>
      </c>
      <c r="AB32" s="1295">
        <f>SUMIF('Despesas com Pessoal'!$K$203:$K$220,$D32,'Despesas com Pessoal'!AH$203:AH$220)</f>
        <v>909.51060031334407</v>
      </c>
      <c r="AC32" s="1295">
        <f>SUMIF('Despesas com Pessoal'!$K$203:$K$220,$D32,'Despesas com Pessoal'!AI$203:AI$220)</f>
        <v>909.51060031334407</v>
      </c>
      <c r="AD32" s="1295">
        <f>SUMIF('Despesas com Pessoal'!$K$203:$K$220,$D32,'Despesas com Pessoal'!AJ$203:AJ$220)</f>
        <v>909.51060031334407</v>
      </c>
      <c r="AE32" s="1295">
        <f>SUMIF('Despesas com Pessoal'!$K$203:$K$220,$D32,'Despesas com Pessoal'!AK$203:AK$220)</f>
        <v>909.51060031334407</v>
      </c>
      <c r="AF32" s="1295">
        <f>SUMIF('Despesas com Pessoal'!$K$203:$K$220,$D32,'Despesas com Pessoal'!AL$203:AL$220)</f>
        <v>909.51060031334407</v>
      </c>
      <c r="AG32" s="1295">
        <f>SUMIF('Despesas com Pessoal'!$K$203:$K$220,$D32,'Despesas com Pessoal'!AM$203:AM$220)</f>
        <v>909.51060031334407</v>
      </c>
      <c r="AH32" s="1295">
        <f>SUMIF('Despesas com Pessoal'!$K$203:$K$220,$D32,'Despesas com Pessoal'!AN$203:AN$220)</f>
        <v>909.51060031334407</v>
      </c>
      <c r="AI32" s="1295">
        <f>SUMIF('Despesas com Pessoal'!$K$203:$K$220,$D32,'Despesas com Pessoal'!AO$203:AO$220)</f>
        <v>909.51060031334407</v>
      </c>
      <c r="AJ32" s="1295">
        <f>SUMIF('Despesas com Pessoal'!$K$203:$K$220,$D32,'Despesas com Pessoal'!AP$203:AP$220)</f>
        <v>909.51060031334407</v>
      </c>
      <c r="AK32" s="299"/>
      <c r="AL32" s="299"/>
      <c r="AM32" s="299"/>
      <c r="AN32" s="299"/>
      <c r="AO32" s="299"/>
      <c r="AP32" s="296"/>
      <c r="AQ32" s="296"/>
      <c r="AR32" s="296"/>
      <c r="AS32" s="296"/>
      <c r="AT32" s="296"/>
      <c r="AU32" s="296"/>
      <c r="AV32" s="296"/>
      <c r="AW32" s="296"/>
      <c r="AX32" s="296"/>
      <c r="AY32" s="296"/>
      <c r="AZ32" s="296"/>
      <c r="BA32" s="296"/>
      <c r="BB32" s="296"/>
      <c r="BC32" s="296"/>
      <c r="BD32" s="296"/>
      <c r="BE32" s="296"/>
      <c r="BF32" s="296"/>
      <c r="BG32" s="296"/>
      <c r="BH32" s="296"/>
      <c r="BI32" s="296"/>
      <c r="BJ32" s="296"/>
      <c r="BK32" s="296"/>
      <c r="BL32" s="296"/>
      <c r="BM32" s="296"/>
      <c r="BN32" s="296"/>
      <c r="BO32" s="296"/>
      <c r="BP32" s="296"/>
      <c r="BQ32" s="296"/>
      <c r="BR32" s="296"/>
      <c r="BS32" s="296"/>
      <c r="BT32" s="296"/>
      <c r="BU32" s="296"/>
      <c r="BV32" s="296"/>
      <c r="BW32" s="296"/>
      <c r="BX32" s="296"/>
      <c r="BY32" s="296"/>
      <c r="BZ32" s="296"/>
      <c r="CA32" s="296"/>
    </row>
    <row r="33" spans="1:79">
      <c r="A33" s="595"/>
      <c r="B33" s="598"/>
      <c r="C33" s="599"/>
      <c r="D33" s="874" t="s">
        <v>1407</v>
      </c>
      <c r="E33" s="1294" t="s">
        <v>257</v>
      </c>
      <c r="F33" s="875">
        <f t="shared" si="71"/>
        <v>19062.878727417003</v>
      </c>
      <c r="G33" s="1295">
        <f>SUMIF('Despesas com Pessoal'!$K$203:$K$220,$D33,'Despesas com Pessoal'!M$203:M$220)</f>
        <v>0</v>
      </c>
      <c r="H33" s="1295">
        <f>SUMIF('Despesas com Pessoal'!$K$203:$K$220,$D33,'Despesas com Pessoal'!N$203:N$220)</f>
        <v>657.34064577300001</v>
      </c>
      <c r="I33" s="1295">
        <f>SUMIF('Despesas com Pessoal'!$K$203:$K$220,$D33,'Despesas com Pessoal'!O$203:O$220)</f>
        <v>657.34064577300001</v>
      </c>
      <c r="J33" s="1295">
        <f>SUMIF('Despesas com Pessoal'!$K$203:$K$220,$D33,'Despesas com Pessoal'!P$203:P$220)</f>
        <v>657.34064577300001</v>
      </c>
      <c r="K33" s="1295">
        <f>SUMIF('Despesas com Pessoal'!$K$203:$K$220,$D33,'Despesas com Pessoal'!Q$203:Q$220)</f>
        <v>657.34064577300001</v>
      </c>
      <c r="L33" s="1295">
        <f>SUMIF('Despesas com Pessoal'!$K$203:$K$220,$D33,'Despesas com Pessoal'!R$203:R$220)</f>
        <v>657.34064577300001</v>
      </c>
      <c r="M33" s="1295">
        <f>SUMIF('Despesas com Pessoal'!$K$203:$K$220,$D33,'Despesas com Pessoal'!S$203:S$220)</f>
        <v>657.34064577300001</v>
      </c>
      <c r="N33" s="1295">
        <f>SUMIF('Despesas com Pessoal'!$K$203:$K$220,$D33,'Despesas com Pessoal'!T$203:T$220)</f>
        <v>657.34064577300001</v>
      </c>
      <c r="O33" s="1295">
        <f>SUMIF('Despesas com Pessoal'!$K$203:$K$220,$D33,'Despesas com Pessoal'!U$203:U$220)</f>
        <v>657.34064577300001</v>
      </c>
      <c r="P33" s="1295">
        <f>SUMIF('Despesas com Pessoal'!$K$203:$K$220,$D33,'Despesas com Pessoal'!V$203:V$220)</f>
        <v>657.34064577300001</v>
      </c>
      <c r="Q33" s="1295">
        <f>SUMIF('Despesas com Pessoal'!$K$203:$K$220,$D33,'Despesas com Pessoal'!W$203:W$220)</f>
        <v>657.34064577300001</v>
      </c>
      <c r="R33" s="1295">
        <f>SUMIF('Despesas com Pessoal'!$K$203:$K$220,$D33,'Despesas com Pessoal'!X$203:X$220)</f>
        <v>657.34064577300001</v>
      </c>
      <c r="S33" s="1295">
        <f>SUMIF('Despesas com Pessoal'!$K$203:$K$220,$D33,'Despesas com Pessoal'!Y$203:Y$220)</f>
        <v>657.34064577300001</v>
      </c>
      <c r="T33" s="1295">
        <f>SUMIF('Despesas com Pessoal'!$K$203:$K$220,$D33,'Despesas com Pessoal'!Z$203:Z$220)</f>
        <v>657.34064577300001</v>
      </c>
      <c r="U33" s="1295">
        <f>SUMIF('Despesas com Pessoal'!$K$203:$K$220,$D33,'Despesas com Pessoal'!AA$203:AA$220)</f>
        <v>657.34064577300001</v>
      </c>
      <c r="V33" s="1295">
        <f>SUMIF('Despesas com Pessoal'!$K$203:$K$220,$D33,'Despesas com Pessoal'!AB$203:AB$220)</f>
        <v>657.34064577300001</v>
      </c>
      <c r="W33" s="1295">
        <f>SUMIF('Despesas com Pessoal'!$K$203:$K$220,$D33,'Despesas com Pessoal'!AC$203:AC$220)</f>
        <v>657.34064577300001</v>
      </c>
      <c r="X33" s="1295">
        <f>SUMIF('Despesas com Pessoal'!$K$203:$K$220,$D33,'Despesas com Pessoal'!AD$203:AD$220)</f>
        <v>657.34064577300001</v>
      </c>
      <c r="Y33" s="1295">
        <f>SUMIF('Despesas com Pessoal'!$K$203:$K$220,$D33,'Despesas com Pessoal'!AE$203:AE$220)</f>
        <v>657.34064577300001</v>
      </c>
      <c r="Z33" s="1295">
        <f>SUMIF('Despesas com Pessoal'!$K$203:$K$220,$D33,'Despesas com Pessoal'!AF$203:AF$220)</f>
        <v>657.34064577300001</v>
      </c>
      <c r="AA33" s="1295">
        <f>SUMIF('Despesas com Pessoal'!$K$203:$K$220,$D33,'Despesas com Pessoal'!AG$203:AG$220)</f>
        <v>657.34064577300001</v>
      </c>
      <c r="AB33" s="1295">
        <f>SUMIF('Despesas com Pessoal'!$K$203:$K$220,$D33,'Despesas com Pessoal'!AH$203:AH$220)</f>
        <v>657.34064577300001</v>
      </c>
      <c r="AC33" s="1295">
        <f>SUMIF('Despesas com Pessoal'!$K$203:$K$220,$D33,'Despesas com Pessoal'!AI$203:AI$220)</f>
        <v>657.34064577300001</v>
      </c>
      <c r="AD33" s="1295">
        <f>SUMIF('Despesas com Pessoal'!$K$203:$K$220,$D33,'Despesas com Pessoal'!AJ$203:AJ$220)</f>
        <v>657.34064577300001</v>
      </c>
      <c r="AE33" s="1295">
        <f>SUMIF('Despesas com Pessoal'!$K$203:$K$220,$D33,'Despesas com Pessoal'!AK$203:AK$220)</f>
        <v>657.34064577300001</v>
      </c>
      <c r="AF33" s="1295">
        <f>SUMIF('Despesas com Pessoal'!$K$203:$K$220,$D33,'Despesas com Pessoal'!AL$203:AL$220)</f>
        <v>657.34064577300001</v>
      </c>
      <c r="AG33" s="1295">
        <f>SUMIF('Despesas com Pessoal'!$K$203:$K$220,$D33,'Despesas com Pessoal'!AM$203:AM$220)</f>
        <v>657.34064577300001</v>
      </c>
      <c r="AH33" s="1295">
        <f>SUMIF('Despesas com Pessoal'!$K$203:$K$220,$D33,'Despesas com Pessoal'!AN$203:AN$220)</f>
        <v>657.34064577300001</v>
      </c>
      <c r="AI33" s="1295">
        <f>SUMIF('Despesas com Pessoal'!$K$203:$K$220,$D33,'Despesas com Pessoal'!AO$203:AO$220)</f>
        <v>657.34064577300001</v>
      </c>
      <c r="AJ33" s="1295">
        <f>SUMIF('Despesas com Pessoal'!$K$203:$K$220,$D33,'Despesas com Pessoal'!AP$203:AP$220)</f>
        <v>657.34064577300001</v>
      </c>
      <c r="AK33" s="280"/>
      <c r="AL33" s="280"/>
      <c r="AM33" s="280"/>
      <c r="AN33" s="280"/>
      <c r="AO33" s="280"/>
      <c r="AP33" s="283"/>
      <c r="AQ33" s="283"/>
      <c r="AR33" s="283"/>
      <c r="AS33" s="283"/>
      <c r="AT33" s="283"/>
      <c r="AU33" s="283"/>
      <c r="AV33" s="283"/>
      <c r="AW33" s="283"/>
      <c r="AX33" s="283"/>
      <c r="AY33" s="283"/>
      <c r="AZ33" s="283"/>
      <c r="BA33" s="283"/>
      <c r="BB33" s="283"/>
      <c r="BC33" s="283"/>
      <c r="BD33" s="283"/>
      <c r="BE33" s="283"/>
      <c r="BF33" s="283"/>
      <c r="BG33" s="283"/>
      <c r="BH33" s="283"/>
      <c r="BI33" s="283"/>
      <c r="BJ33" s="283"/>
      <c r="BK33" s="283"/>
      <c r="BL33" s="283"/>
      <c r="BM33" s="283"/>
      <c r="BN33" s="283"/>
      <c r="BO33" s="283"/>
      <c r="BP33" s="283"/>
      <c r="BQ33" s="283"/>
      <c r="BR33" s="283"/>
      <c r="BS33" s="283"/>
      <c r="BT33" s="283"/>
      <c r="BU33" s="283"/>
      <c r="BV33" s="283"/>
      <c r="BW33" s="283"/>
      <c r="BX33" s="283"/>
      <c r="BY33" s="283"/>
      <c r="BZ33" s="283"/>
      <c r="CA33" s="283"/>
    </row>
    <row r="34" spans="1:79">
      <c r="A34" s="595"/>
      <c r="B34" s="598"/>
      <c r="C34" s="599"/>
      <c r="D34" s="874" t="s">
        <v>1408</v>
      </c>
      <c r="E34" s="1294" t="s">
        <v>258</v>
      </c>
      <c r="F34" s="875">
        <f t="shared" si="71"/>
        <v>33178.463023140001</v>
      </c>
      <c r="G34" s="1295">
        <f>SUMIF('Despesas com Pessoal'!$K$203:$K$220,$D34,'Despesas com Pessoal'!M$203:M$220)</f>
        <v>1105.9487674380002</v>
      </c>
      <c r="H34" s="1295">
        <f>SUMIF('Despesas com Pessoal'!$K$203:$K$220,$D34,'Despesas com Pessoal'!N$203:N$220)</f>
        <v>1105.9487674380002</v>
      </c>
      <c r="I34" s="1295">
        <f>SUMIF('Despesas com Pessoal'!$K$203:$K$220,$D34,'Despesas com Pessoal'!O$203:O$220)</f>
        <v>1105.9487674380002</v>
      </c>
      <c r="J34" s="1295">
        <f>SUMIF('Despesas com Pessoal'!$K$203:$K$220,$D34,'Despesas com Pessoal'!P$203:P$220)</f>
        <v>1105.9487674380002</v>
      </c>
      <c r="K34" s="1295">
        <f>SUMIF('Despesas com Pessoal'!$K$203:$K$220,$D34,'Despesas com Pessoal'!Q$203:Q$220)</f>
        <v>1105.9487674380002</v>
      </c>
      <c r="L34" s="1295">
        <f>SUMIF('Despesas com Pessoal'!$K$203:$K$220,$D34,'Despesas com Pessoal'!R$203:R$220)</f>
        <v>1105.9487674380002</v>
      </c>
      <c r="M34" s="1295">
        <f>SUMIF('Despesas com Pessoal'!$K$203:$K$220,$D34,'Despesas com Pessoal'!S$203:S$220)</f>
        <v>1105.9487674380002</v>
      </c>
      <c r="N34" s="1295">
        <f>SUMIF('Despesas com Pessoal'!$K$203:$K$220,$D34,'Despesas com Pessoal'!T$203:T$220)</f>
        <v>1105.9487674380002</v>
      </c>
      <c r="O34" s="1295">
        <f>SUMIF('Despesas com Pessoal'!$K$203:$K$220,$D34,'Despesas com Pessoal'!U$203:U$220)</f>
        <v>1105.9487674380002</v>
      </c>
      <c r="P34" s="1295">
        <f>SUMIF('Despesas com Pessoal'!$K$203:$K$220,$D34,'Despesas com Pessoal'!V$203:V$220)</f>
        <v>1105.9487674380002</v>
      </c>
      <c r="Q34" s="1295">
        <f>SUMIF('Despesas com Pessoal'!$K$203:$K$220,$D34,'Despesas com Pessoal'!W$203:W$220)</f>
        <v>1105.9487674380002</v>
      </c>
      <c r="R34" s="1295">
        <f>SUMIF('Despesas com Pessoal'!$K$203:$K$220,$D34,'Despesas com Pessoal'!X$203:X$220)</f>
        <v>1105.9487674380002</v>
      </c>
      <c r="S34" s="1295">
        <f>SUMIF('Despesas com Pessoal'!$K$203:$K$220,$D34,'Despesas com Pessoal'!Y$203:Y$220)</f>
        <v>1105.9487674380002</v>
      </c>
      <c r="T34" s="1295">
        <f>SUMIF('Despesas com Pessoal'!$K$203:$K$220,$D34,'Despesas com Pessoal'!Z$203:Z$220)</f>
        <v>1105.9487674380002</v>
      </c>
      <c r="U34" s="1295">
        <f>SUMIF('Despesas com Pessoal'!$K$203:$K$220,$D34,'Despesas com Pessoal'!AA$203:AA$220)</f>
        <v>1105.9487674380002</v>
      </c>
      <c r="V34" s="1295">
        <f>SUMIF('Despesas com Pessoal'!$K$203:$K$220,$D34,'Despesas com Pessoal'!AB$203:AB$220)</f>
        <v>1105.9487674380002</v>
      </c>
      <c r="W34" s="1295">
        <f>SUMIF('Despesas com Pessoal'!$K$203:$K$220,$D34,'Despesas com Pessoal'!AC$203:AC$220)</f>
        <v>1105.9487674380002</v>
      </c>
      <c r="X34" s="1295">
        <f>SUMIF('Despesas com Pessoal'!$K$203:$K$220,$D34,'Despesas com Pessoal'!AD$203:AD$220)</f>
        <v>1105.9487674380002</v>
      </c>
      <c r="Y34" s="1295">
        <f>SUMIF('Despesas com Pessoal'!$K$203:$K$220,$D34,'Despesas com Pessoal'!AE$203:AE$220)</f>
        <v>1105.9487674380002</v>
      </c>
      <c r="Z34" s="1295">
        <f>SUMIF('Despesas com Pessoal'!$K$203:$K$220,$D34,'Despesas com Pessoal'!AF$203:AF$220)</f>
        <v>1105.9487674380002</v>
      </c>
      <c r="AA34" s="1295">
        <f>SUMIF('Despesas com Pessoal'!$K$203:$K$220,$D34,'Despesas com Pessoal'!AG$203:AG$220)</f>
        <v>1105.9487674380002</v>
      </c>
      <c r="AB34" s="1295">
        <f>SUMIF('Despesas com Pessoal'!$K$203:$K$220,$D34,'Despesas com Pessoal'!AH$203:AH$220)</f>
        <v>1105.9487674380002</v>
      </c>
      <c r="AC34" s="1295">
        <f>SUMIF('Despesas com Pessoal'!$K$203:$K$220,$D34,'Despesas com Pessoal'!AI$203:AI$220)</f>
        <v>1105.9487674380002</v>
      </c>
      <c r="AD34" s="1295">
        <f>SUMIF('Despesas com Pessoal'!$K$203:$K$220,$D34,'Despesas com Pessoal'!AJ$203:AJ$220)</f>
        <v>1105.9487674380002</v>
      </c>
      <c r="AE34" s="1295">
        <f>SUMIF('Despesas com Pessoal'!$K$203:$K$220,$D34,'Despesas com Pessoal'!AK$203:AK$220)</f>
        <v>1105.9487674380002</v>
      </c>
      <c r="AF34" s="1295">
        <f>SUMIF('Despesas com Pessoal'!$K$203:$K$220,$D34,'Despesas com Pessoal'!AL$203:AL$220)</f>
        <v>1105.9487674380002</v>
      </c>
      <c r="AG34" s="1295">
        <f>SUMIF('Despesas com Pessoal'!$K$203:$K$220,$D34,'Despesas com Pessoal'!AM$203:AM$220)</f>
        <v>1105.9487674380002</v>
      </c>
      <c r="AH34" s="1295">
        <f>SUMIF('Despesas com Pessoal'!$K$203:$K$220,$D34,'Despesas com Pessoal'!AN$203:AN$220)</f>
        <v>1105.9487674380002</v>
      </c>
      <c r="AI34" s="1295">
        <f>SUMIF('Despesas com Pessoal'!$K$203:$K$220,$D34,'Despesas com Pessoal'!AO$203:AO$220)</f>
        <v>1105.9487674380002</v>
      </c>
      <c r="AJ34" s="1295">
        <f>SUMIF('Despesas com Pessoal'!$K$203:$K$220,$D34,'Despesas com Pessoal'!AP$203:AP$220)</f>
        <v>1105.9487674380002</v>
      </c>
      <c r="AK34" s="280"/>
      <c r="AL34" s="280"/>
      <c r="AM34" s="280"/>
      <c r="AN34" s="280"/>
      <c r="AO34" s="280"/>
      <c r="AP34" s="283"/>
      <c r="AQ34" s="283"/>
      <c r="AR34" s="283"/>
      <c r="AS34" s="283"/>
      <c r="AT34" s="283"/>
      <c r="AU34" s="283"/>
      <c r="AV34" s="283"/>
      <c r="AW34" s="283"/>
      <c r="AX34" s="283"/>
      <c r="AY34" s="283"/>
      <c r="AZ34" s="283"/>
      <c r="BA34" s="283"/>
      <c r="BB34" s="283"/>
      <c r="BC34" s="283"/>
      <c r="BD34" s="283"/>
      <c r="BE34" s="283"/>
      <c r="BF34" s="283"/>
      <c r="BG34" s="283"/>
      <c r="BH34" s="283"/>
      <c r="BI34" s="283"/>
      <c r="BJ34" s="283"/>
      <c r="BK34" s="283"/>
      <c r="BL34" s="283"/>
      <c r="BM34" s="283"/>
      <c r="BN34" s="283"/>
      <c r="BO34" s="283"/>
      <c r="BP34" s="283"/>
      <c r="BQ34" s="283"/>
      <c r="BR34" s="283"/>
      <c r="BS34" s="283"/>
      <c r="BT34" s="283"/>
      <c r="BU34" s="283"/>
      <c r="BV34" s="283"/>
      <c r="BW34" s="283"/>
      <c r="BX34" s="283"/>
      <c r="BY34" s="283"/>
      <c r="BZ34" s="283"/>
      <c r="CA34" s="283"/>
    </row>
    <row r="35" spans="1:79">
      <c r="A35" s="595"/>
      <c r="B35" s="598"/>
      <c r="C35" s="599"/>
      <c r="D35" s="874" t="s">
        <v>1409</v>
      </c>
      <c r="E35" s="1294" t="s">
        <v>259</v>
      </c>
      <c r="F35" s="875">
        <f t="shared" si="71"/>
        <v>46091.25</v>
      </c>
      <c r="G35" s="1295">
        <v>1536.375</v>
      </c>
      <c r="H35" s="1295">
        <v>1536.375</v>
      </c>
      <c r="I35" s="1295">
        <v>1536.375</v>
      </c>
      <c r="J35" s="1295">
        <v>1536.375</v>
      </c>
      <c r="K35" s="1295">
        <v>1536.375</v>
      </c>
      <c r="L35" s="1295">
        <v>1536.375</v>
      </c>
      <c r="M35" s="1295">
        <v>1536.375</v>
      </c>
      <c r="N35" s="1295">
        <v>1536.375</v>
      </c>
      <c r="O35" s="1295">
        <v>1536.375</v>
      </c>
      <c r="P35" s="1295">
        <v>1536.375</v>
      </c>
      <c r="Q35" s="1295">
        <v>1536.375</v>
      </c>
      <c r="R35" s="1295">
        <v>1536.375</v>
      </c>
      <c r="S35" s="1295">
        <v>1536.375</v>
      </c>
      <c r="T35" s="1295">
        <v>1536.375</v>
      </c>
      <c r="U35" s="1295">
        <v>1536.375</v>
      </c>
      <c r="V35" s="1295">
        <v>1536.375</v>
      </c>
      <c r="W35" s="1295">
        <v>1536.375</v>
      </c>
      <c r="X35" s="1295">
        <v>1536.375</v>
      </c>
      <c r="Y35" s="1295">
        <v>1536.375</v>
      </c>
      <c r="Z35" s="1295">
        <v>1536.375</v>
      </c>
      <c r="AA35" s="1295">
        <v>1536.375</v>
      </c>
      <c r="AB35" s="1295">
        <v>1536.375</v>
      </c>
      <c r="AC35" s="1295">
        <v>1536.375</v>
      </c>
      <c r="AD35" s="1295">
        <v>1536.375</v>
      </c>
      <c r="AE35" s="1295">
        <v>1536.375</v>
      </c>
      <c r="AF35" s="1295">
        <v>1536.375</v>
      </c>
      <c r="AG35" s="1295">
        <v>1536.375</v>
      </c>
      <c r="AH35" s="1295">
        <v>1536.375</v>
      </c>
      <c r="AI35" s="1295">
        <v>1536.375</v>
      </c>
      <c r="AJ35" s="1295">
        <v>1536.375</v>
      </c>
      <c r="AK35" s="280"/>
      <c r="AL35" s="280"/>
      <c r="AM35" s="280"/>
      <c r="AN35" s="280"/>
      <c r="AO35" s="280"/>
      <c r="AP35" s="283"/>
      <c r="AQ35" s="283"/>
      <c r="AR35" s="283"/>
      <c r="AS35" s="283"/>
      <c r="AT35" s="283"/>
      <c r="AU35" s="283"/>
      <c r="AV35" s="283"/>
      <c r="AW35" s="283"/>
      <c r="AX35" s="283"/>
      <c r="AY35" s="283"/>
      <c r="AZ35" s="283"/>
      <c r="BA35" s="283"/>
      <c r="BB35" s="283"/>
      <c r="BC35" s="283"/>
      <c r="BD35" s="283"/>
      <c r="BE35" s="283"/>
      <c r="BF35" s="283"/>
      <c r="BG35" s="283"/>
      <c r="BH35" s="283"/>
      <c r="BI35" s="283"/>
      <c r="BJ35" s="283"/>
      <c r="BK35" s="283"/>
      <c r="BL35" s="283"/>
      <c r="BM35" s="283"/>
      <c r="BN35" s="283"/>
      <c r="BO35" s="283"/>
      <c r="BP35" s="283"/>
      <c r="BQ35" s="283"/>
      <c r="BR35" s="283"/>
      <c r="BS35" s="283"/>
      <c r="BT35" s="283"/>
      <c r="BU35" s="283"/>
      <c r="BV35" s="283"/>
      <c r="BW35" s="283"/>
      <c r="BX35" s="283"/>
      <c r="BY35" s="283"/>
      <c r="BZ35" s="283"/>
      <c r="CA35" s="283"/>
    </row>
    <row r="36" spans="1:79">
      <c r="A36" s="595"/>
      <c r="B36" s="598"/>
      <c r="C36" s="599"/>
      <c r="D36" s="874" t="s">
        <v>1410</v>
      </c>
      <c r="E36" s="1294" t="s">
        <v>260</v>
      </c>
      <c r="F36" s="875">
        <f t="shared" si="71"/>
        <v>61652.699999999953</v>
      </c>
      <c r="G36" s="1295">
        <v>2055.09</v>
      </c>
      <c r="H36" s="1295">
        <v>2055.09</v>
      </c>
      <c r="I36" s="1295">
        <v>2055.09</v>
      </c>
      <c r="J36" s="1295">
        <v>2055.09</v>
      </c>
      <c r="K36" s="1295">
        <v>2055.09</v>
      </c>
      <c r="L36" s="1295">
        <v>2055.09</v>
      </c>
      <c r="M36" s="1295">
        <v>2055.09</v>
      </c>
      <c r="N36" s="1295">
        <v>2055.09</v>
      </c>
      <c r="O36" s="1295">
        <v>2055.09</v>
      </c>
      <c r="P36" s="1295">
        <v>2055.09</v>
      </c>
      <c r="Q36" s="1295">
        <v>2055.09</v>
      </c>
      <c r="R36" s="1295">
        <v>2055.09</v>
      </c>
      <c r="S36" s="1295">
        <v>2055.09</v>
      </c>
      <c r="T36" s="1295">
        <v>2055.09</v>
      </c>
      <c r="U36" s="1295">
        <v>2055.09</v>
      </c>
      <c r="V36" s="1295">
        <v>2055.09</v>
      </c>
      <c r="W36" s="1295">
        <v>2055.09</v>
      </c>
      <c r="X36" s="1295">
        <v>2055.09</v>
      </c>
      <c r="Y36" s="1295">
        <v>2055.09</v>
      </c>
      <c r="Z36" s="1295">
        <v>2055.09</v>
      </c>
      <c r="AA36" s="1295">
        <v>2055.09</v>
      </c>
      <c r="AB36" s="1295">
        <v>2055.09</v>
      </c>
      <c r="AC36" s="1295">
        <v>2055.09</v>
      </c>
      <c r="AD36" s="1295">
        <v>2055.09</v>
      </c>
      <c r="AE36" s="1295">
        <v>2055.09</v>
      </c>
      <c r="AF36" s="1295">
        <v>2055.09</v>
      </c>
      <c r="AG36" s="1295">
        <v>2055.09</v>
      </c>
      <c r="AH36" s="1295">
        <v>2055.09</v>
      </c>
      <c r="AI36" s="1295">
        <v>2055.09</v>
      </c>
      <c r="AJ36" s="1295">
        <v>2055.09</v>
      </c>
      <c r="AK36" s="280"/>
      <c r="AL36" s="280"/>
      <c r="AM36" s="280"/>
      <c r="AN36" s="280"/>
      <c r="AO36" s="280"/>
      <c r="AP36" s="283"/>
      <c r="AQ36" s="283"/>
      <c r="AR36" s="283"/>
      <c r="AS36" s="283"/>
      <c r="AT36" s="283"/>
      <c r="AU36" s="283"/>
      <c r="AV36" s="283"/>
      <c r="AW36" s="283"/>
      <c r="AX36" s="283"/>
      <c r="AY36" s="283"/>
      <c r="AZ36" s="283"/>
      <c r="BA36" s="283"/>
      <c r="BB36" s="283"/>
      <c r="BC36" s="283"/>
      <c r="BD36" s="283"/>
      <c r="BE36" s="283"/>
      <c r="BF36" s="283"/>
      <c r="BG36" s="283"/>
      <c r="BH36" s="283"/>
      <c r="BI36" s="283"/>
      <c r="BJ36" s="283"/>
      <c r="BK36" s="283"/>
      <c r="BL36" s="283"/>
      <c r="BM36" s="283"/>
      <c r="BN36" s="283"/>
      <c r="BO36" s="283"/>
      <c r="BP36" s="283"/>
      <c r="BQ36" s="283"/>
      <c r="BR36" s="283"/>
      <c r="BS36" s="283"/>
      <c r="BT36" s="283"/>
      <c r="BU36" s="283"/>
      <c r="BV36" s="283"/>
      <c r="BW36" s="283"/>
      <c r="BX36" s="283"/>
      <c r="BY36" s="283"/>
      <c r="BZ36" s="283"/>
      <c r="CA36" s="283"/>
    </row>
    <row r="37" spans="1:79">
      <c r="A37" s="595"/>
      <c r="B37" s="598"/>
      <c r="C37" s="599"/>
      <c r="D37" s="874" t="s">
        <v>1411</v>
      </c>
      <c r="E37" s="1294" t="s">
        <v>261</v>
      </c>
      <c r="F37" s="875">
        <f t="shared" si="71"/>
        <v>38911.949999999997</v>
      </c>
      <c r="G37" s="1295">
        <v>1297.0650000000001</v>
      </c>
      <c r="H37" s="1295">
        <v>1297.0650000000001</v>
      </c>
      <c r="I37" s="1295">
        <v>1297.0650000000001</v>
      </c>
      <c r="J37" s="1295">
        <v>1297.0650000000001</v>
      </c>
      <c r="K37" s="1295">
        <v>1297.0650000000001</v>
      </c>
      <c r="L37" s="1295">
        <v>1297.0650000000001</v>
      </c>
      <c r="M37" s="1295">
        <v>1297.0650000000001</v>
      </c>
      <c r="N37" s="1295">
        <v>1297.0650000000001</v>
      </c>
      <c r="O37" s="1295">
        <v>1297.0650000000001</v>
      </c>
      <c r="P37" s="1295">
        <v>1297.0650000000001</v>
      </c>
      <c r="Q37" s="1295">
        <v>1297.0650000000001</v>
      </c>
      <c r="R37" s="1295">
        <v>1297.0650000000001</v>
      </c>
      <c r="S37" s="1295">
        <v>1297.0650000000001</v>
      </c>
      <c r="T37" s="1295">
        <v>1297.0650000000001</v>
      </c>
      <c r="U37" s="1295">
        <v>1297.0650000000001</v>
      </c>
      <c r="V37" s="1295">
        <v>1297.0650000000001</v>
      </c>
      <c r="W37" s="1295">
        <v>1297.0650000000001</v>
      </c>
      <c r="X37" s="1295">
        <v>1297.0650000000001</v>
      </c>
      <c r="Y37" s="1295">
        <v>1297.0650000000001</v>
      </c>
      <c r="Z37" s="1295">
        <v>1297.0650000000001</v>
      </c>
      <c r="AA37" s="1295">
        <v>1297.0650000000001</v>
      </c>
      <c r="AB37" s="1295">
        <v>1297.0650000000001</v>
      </c>
      <c r="AC37" s="1295">
        <v>1297.0650000000001</v>
      </c>
      <c r="AD37" s="1295">
        <v>1297.0650000000001</v>
      </c>
      <c r="AE37" s="1295">
        <v>1297.0650000000001</v>
      </c>
      <c r="AF37" s="1295">
        <v>1297.0650000000001</v>
      </c>
      <c r="AG37" s="1295">
        <v>1297.0650000000001</v>
      </c>
      <c r="AH37" s="1295">
        <v>1297.0650000000001</v>
      </c>
      <c r="AI37" s="1295">
        <v>1297.0650000000001</v>
      </c>
      <c r="AJ37" s="1295">
        <v>1297.0650000000001</v>
      </c>
      <c r="AK37" s="280"/>
      <c r="AL37" s="280"/>
      <c r="AM37" s="280"/>
      <c r="AN37" s="280"/>
      <c r="AO37" s="280"/>
      <c r="AP37" s="283"/>
      <c r="AQ37" s="283"/>
      <c r="AR37" s="283"/>
      <c r="AS37" s="283"/>
      <c r="AT37" s="283"/>
      <c r="AU37" s="283"/>
      <c r="AV37" s="283"/>
      <c r="AW37" s="283"/>
      <c r="AX37" s="283"/>
      <c r="AY37" s="283"/>
      <c r="AZ37" s="283"/>
      <c r="BA37" s="283"/>
      <c r="BB37" s="283"/>
      <c r="BC37" s="283"/>
      <c r="BD37" s="283"/>
      <c r="BE37" s="283"/>
      <c r="BF37" s="283"/>
      <c r="BG37" s="283"/>
      <c r="BH37" s="283"/>
      <c r="BI37" s="283"/>
      <c r="BJ37" s="283"/>
      <c r="BK37" s="283"/>
      <c r="BL37" s="283"/>
      <c r="BM37" s="283"/>
      <c r="BN37" s="283"/>
      <c r="BO37" s="283"/>
      <c r="BP37" s="283"/>
      <c r="BQ37" s="283"/>
      <c r="BR37" s="283"/>
      <c r="BS37" s="283"/>
      <c r="BT37" s="283"/>
      <c r="BU37" s="283"/>
      <c r="BV37" s="283"/>
      <c r="BW37" s="283"/>
      <c r="BX37" s="283"/>
      <c r="BY37" s="283"/>
      <c r="BZ37" s="283"/>
      <c r="CA37" s="283"/>
    </row>
    <row r="38" spans="1:79">
      <c r="A38" s="595"/>
      <c r="B38" s="598"/>
      <c r="C38" s="599"/>
      <c r="D38" s="874" t="s">
        <v>1412</v>
      </c>
      <c r="E38" s="1294" t="s">
        <v>262</v>
      </c>
      <c r="F38" s="875">
        <f t="shared" si="71"/>
        <v>70676.647256924974</v>
      </c>
      <c r="G38" s="1295">
        <f>SUMIF('Despesas com Pessoal'!$K$203:$K$220,$D38,'Despesas com Pessoal'!M$203:M$220)</f>
        <v>2355.8882418975008</v>
      </c>
      <c r="H38" s="1295">
        <f>SUMIF('Despesas com Pessoal'!$K$203:$K$220,$D38,'Despesas com Pessoal'!N$203:N$220)</f>
        <v>2355.8882418975008</v>
      </c>
      <c r="I38" s="1295">
        <f>SUMIF('Despesas com Pessoal'!$K$203:$K$220,$D38,'Despesas com Pessoal'!O$203:O$220)</f>
        <v>2355.8882418975008</v>
      </c>
      <c r="J38" s="1295">
        <f>SUMIF('Despesas com Pessoal'!$K$203:$K$220,$D38,'Despesas com Pessoal'!P$203:P$220)</f>
        <v>2355.8882418975008</v>
      </c>
      <c r="K38" s="1295">
        <f>SUMIF('Despesas com Pessoal'!$K$203:$K$220,$D38,'Despesas com Pessoal'!Q$203:Q$220)</f>
        <v>2355.8882418975008</v>
      </c>
      <c r="L38" s="1295">
        <f>SUMIF('Despesas com Pessoal'!$K$203:$K$220,$D38,'Despesas com Pessoal'!R$203:R$220)</f>
        <v>2355.8882418975008</v>
      </c>
      <c r="M38" s="1295">
        <f>SUMIF('Despesas com Pessoal'!$K$203:$K$220,$D38,'Despesas com Pessoal'!S$203:S$220)</f>
        <v>2355.8882418975008</v>
      </c>
      <c r="N38" s="1295">
        <f>SUMIF('Despesas com Pessoal'!$K$203:$K$220,$D38,'Despesas com Pessoal'!T$203:T$220)</f>
        <v>2355.8882418975008</v>
      </c>
      <c r="O38" s="1295">
        <f>SUMIF('Despesas com Pessoal'!$K$203:$K$220,$D38,'Despesas com Pessoal'!U$203:U$220)</f>
        <v>2355.8882418975008</v>
      </c>
      <c r="P38" s="1295">
        <f>SUMIF('Despesas com Pessoal'!$K$203:$K$220,$D38,'Despesas com Pessoal'!V$203:V$220)</f>
        <v>2355.8882418975008</v>
      </c>
      <c r="Q38" s="1295">
        <f>SUMIF('Despesas com Pessoal'!$K$203:$K$220,$D38,'Despesas com Pessoal'!W$203:W$220)</f>
        <v>2355.8882418975008</v>
      </c>
      <c r="R38" s="1295">
        <f>SUMIF('Despesas com Pessoal'!$K$203:$K$220,$D38,'Despesas com Pessoal'!X$203:X$220)</f>
        <v>2355.8882418975008</v>
      </c>
      <c r="S38" s="1295">
        <f>SUMIF('Despesas com Pessoal'!$K$203:$K$220,$D38,'Despesas com Pessoal'!Y$203:Y$220)</f>
        <v>2355.8882418975008</v>
      </c>
      <c r="T38" s="1295">
        <f>SUMIF('Despesas com Pessoal'!$K$203:$K$220,$D38,'Despesas com Pessoal'!Z$203:Z$220)</f>
        <v>2355.8882418975008</v>
      </c>
      <c r="U38" s="1295">
        <f>SUMIF('Despesas com Pessoal'!$K$203:$K$220,$D38,'Despesas com Pessoal'!AA$203:AA$220)</f>
        <v>2355.8882418975008</v>
      </c>
      <c r="V38" s="1295">
        <f>SUMIF('Despesas com Pessoal'!$K$203:$K$220,$D38,'Despesas com Pessoal'!AB$203:AB$220)</f>
        <v>2355.8882418975008</v>
      </c>
      <c r="W38" s="1295">
        <f>SUMIF('Despesas com Pessoal'!$K$203:$K$220,$D38,'Despesas com Pessoal'!AC$203:AC$220)</f>
        <v>2355.8882418975008</v>
      </c>
      <c r="X38" s="1295">
        <f>SUMIF('Despesas com Pessoal'!$K$203:$K$220,$D38,'Despesas com Pessoal'!AD$203:AD$220)</f>
        <v>2355.8882418975008</v>
      </c>
      <c r="Y38" s="1295">
        <f>SUMIF('Despesas com Pessoal'!$K$203:$K$220,$D38,'Despesas com Pessoal'!AE$203:AE$220)</f>
        <v>2355.8882418975008</v>
      </c>
      <c r="Z38" s="1295">
        <f>SUMIF('Despesas com Pessoal'!$K$203:$K$220,$D38,'Despesas com Pessoal'!AF$203:AF$220)</f>
        <v>2355.8882418975008</v>
      </c>
      <c r="AA38" s="1295">
        <f>SUMIF('Despesas com Pessoal'!$K$203:$K$220,$D38,'Despesas com Pessoal'!AG$203:AG$220)</f>
        <v>2355.8882418975008</v>
      </c>
      <c r="AB38" s="1295">
        <f>SUMIF('Despesas com Pessoal'!$K$203:$K$220,$D38,'Despesas com Pessoal'!AH$203:AH$220)</f>
        <v>2355.8882418975008</v>
      </c>
      <c r="AC38" s="1295">
        <f>SUMIF('Despesas com Pessoal'!$K$203:$K$220,$D38,'Despesas com Pessoal'!AI$203:AI$220)</f>
        <v>2355.8882418975008</v>
      </c>
      <c r="AD38" s="1295">
        <f>SUMIF('Despesas com Pessoal'!$K$203:$K$220,$D38,'Despesas com Pessoal'!AJ$203:AJ$220)</f>
        <v>2355.8882418975008</v>
      </c>
      <c r="AE38" s="1295">
        <f>SUMIF('Despesas com Pessoal'!$K$203:$K$220,$D38,'Despesas com Pessoal'!AK$203:AK$220)</f>
        <v>2355.8882418975008</v>
      </c>
      <c r="AF38" s="1295">
        <f>SUMIF('Despesas com Pessoal'!$K$203:$K$220,$D38,'Despesas com Pessoal'!AL$203:AL$220)</f>
        <v>2355.8882418975008</v>
      </c>
      <c r="AG38" s="1295">
        <f>SUMIF('Despesas com Pessoal'!$K$203:$K$220,$D38,'Despesas com Pessoal'!AM$203:AM$220)</f>
        <v>2355.8882418975008</v>
      </c>
      <c r="AH38" s="1295">
        <f>SUMIF('Despesas com Pessoal'!$K$203:$K$220,$D38,'Despesas com Pessoal'!AN$203:AN$220)</f>
        <v>2355.8882418975008</v>
      </c>
      <c r="AI38" s="1295">
        <f>SUMIF('Despesas com Pessoal'!$K$203:$K$220,$D38,'Despesas com Pessoal'!AO$203:AO$220)</f>
        <v>2355.8882418975008</v>
      </c>
      <c r="AJ38" s="1295">
        <f>SUMIF('Despesas com Pessoal'!$K$203:$K$220,$D38,'Despesas com Pessoal'!AP$203:AP$220)</f>
        <v>2355.8882418975008</v>
      </c>
      <c r="AK38" s="280"/>
      <c r="AL38" s="280"/>
      <c r="AM38" s="280"/>
      <c r="AN38" s="280"/>
      <c r="AO38" s="280"/>
      <c r="AP38" s="283"/>
      <c r="AQ38" s="283"/>
      <c r="AR38" s="283"/>
      <c r="AS38" s="283"/>
      <c r="AT38" s="283"/>
      <c r="AU38" s="283"/>
      <c r="AV38" s="283"/>
      <c r="AW38" s="283"/>
      <c r="AX38" s="283"/>
      <c r="AY38" s="283"/>
      <c r="AZ38" s="283"/>
      <c r="BA38" s="283"/>
      <c r="BB38" s="283"/>
      <c r="BC38" s="283"/>
      <c r="BD38" s="283"/>
      <c r="BE38" s="283"/>
      <c r="BF38" s="283"/>
      <c r="BG38" s="283"/>
      <c r="BH38" s="283"/>
      <c r="BI38" s="283"/>
      <c r="BJ38" s="283"/>
      <c r="BK38" s="283"/>
      <c r="BL38" s="283"/>
      <c r="BM38" s="283"/>
      <c r="BN38" s="283"/>
      <c r="BO38" s="283"/>
      <c r="BP38" s="283"/>
      <c r="BQ38" s="283"/>
      <c r="BR38" s="283"/>
      <c r="BS38" s="283"/>
      <c r="BT38" s="283"/>
      <c r="BU38" s="283"/>
      <c r="BV38" s="283"/>
      <c r="BW38" s="283"/>
      <c r="BX38" s="283"/>
      <c r="BY38" s="283"/>
      <c r="BZ38" s="283"/>
      <c r="CA38" s="283"/>
    </row>
    <row r="39" spans="1:79">
      <c r="A39" s="595"/>
      <c r="B39" s="598"/>
      <c r="C39" s="599"/>
      <c r="D39" s="874" t="s">
        <v>1413</v>
      </c>
      <c r="E39" s="1294" t="s">
        <v>263</v>
      </c>
      <c r="F39" s="875">
        <f t="shared" si="71"/>
        <v>4700.2576458600015</v>
      </c>
      <c r="G39" s="1295">
        <f>SUMIF('Despesas com Pessoal'!$K$203:$K$220,$D39,'Despesas com Pessoal'!M$203:M$220)</f>
        <v>299.96182279800007</v>
      </c>
      <c r="H39" s="1295">
        <f>SUMIF('Despesas com Pessoal'!$K$203:$K$220,$D39,'Despesas com Pessoal'!N$203:N$220)</f>
        <v>299.96182279800007</v>
      </c>
      <c r="I39" s="1295">
        <f>SUMIF('Despesas com Pessoal'!$K$203:$K$220,$D39,'Despesas com Pessoal'!O$203:O$220)</f>
        <v>299.96182279800007</v>
      </c>
      <c r="J39" s="1295">
        <f>SUMIF('Despesas com Pessoal'!$K$203:$K$220,$D39,'Despesas com Pessoal'!P$203:P$220)</f>
        <v>299.96182279800007</v>
      </c>
      <c r="K39" s="1295">
        <f>SUMIF('Despesas com Pessoal'!$K$203:$K$220,$D39,'Despesas com Pessoal'!Q$203:Q$220)</f>
        <v>299.96182279800007</v>
      </c>
      <c r="L39" s="1295">
        <f>SUMIF('Despesas com Pessoal'!$K$203:$K$220,$D39,'Despesas com Pessoal'!R$203:R$220)</f>
        <v>299.96182279800007</v>
      </c>
      <c r="M39" s="1295">
        <f>SUMIF('Despesas com Pessoal'!$K$203:$K$220,$D39,'Despesas com Pessoal'!S$203:S$220)</f>
        <v>120.85361287800001</v>
      </c>
      <c r="N39" s="1295">
        <f>SUMIF('Despesas com Pessoal'!$K$203:$K$220,$D39,'Despesas com Pessoal'!T$203:T$220)</f>
        <v>120.85361287800001</v>
      </c>
      <c r="O39" s="1295">
        <f>SUMIF('Despesas com Pessoal'!$K$203:$K$220,$D39,'Despesas com Pessoal'!U$203:U$220)</f>
        <v>120.85361287800001</v>
      </c>
      <c r="P39" s="1295">
        <f>SUMIF('Despesas com Pessoal'!$K$203:$K$220,$D39,'Despesas com Pessoal'!V$203:V$220)</f>
        <v>120.85361287800001</v>
      </c>
      <c r="Q39" s="1295">
        <f>SUMIF('Despesas com Pessoal'!$K$203:$K$220,$D39,'Despesas com Pessoal'!W$203:W$220)</f>
        <v>120.85361287800001</v>
      </c>
      <c r="R39" s="1295">
        <f>SUMIF('Despesas com Pessoal'!$K$203:$K$220,$D39,'Despesas com Pessoal'!X$203:X$220)</f>
        <v>120.85361287800001</v>
      </c>
      <c r="S39" s="1295">
        <f>SUMIF('Despesas com Pessoal'!$K$203:$K$220,$D39,'Despesas com Pessoal'!Y$203:Y$220)</f>
        <v>120.85361287800001</v>
      </c>
      <c r="T39" s="1295">
        <f>SUMIF('Despesas com Pessoal'!$K$203:$K$220,$D39,'Despesas com Pessoal'!Z$203:Z$220)</f>
        <v>120.85361287800001</v>
      </c>
      <c r="U39" s="1295">
        <f>SUMIF('Despesas com Pessoal'!$K$203:$K$220,$D39,'Despesas com Pessoal'!AA$203:AA$220)</f>
        <v>120.85361287800001</v>
      </c>
      <c r="V39" s="1295">
        <f>SUMIF('Despesas com Pessoal'!$K$203:$K$220,$D39,'Despesas com Pessoal'!AB$203:AB$220)</f>
        <v>120.85361287800001</v>
      </c>
      <c r="W39" s="1295">
        <f>SUMIF('Despesas com Pessoal'!$K$203:$K$220,$D39,'Despesas com Pessoal'!AC$203:AC$220)</f>
        <v>120.85361287800001</v>
      </c>
      <c r="X39" s="1295">
        <f>SUMIF('Despesas com Pessoal'!$K$203:$K$220,$D39,'Despesas com Pessoal'!AD$203:AD$220)</f>
        <v>120.85361287800001</v>
      </c>
      <c r="Y39" s="1295">
        <f>SUMIF('Despesas com Pessoal'!$K$203:$K$220,$D39,'Despesas com Pessoal'!AE$203:AE$220)</f>
        <v>120.85361287800001</v>
      </c>
      <c r="Z39" s="1295">
        <f>SUMIF('Despesas com Pessoal'!$K$203:$K$220,$D39,'Despesas com Pessoal'!AF$203:AF$220)</f>
        <v>120.85361287800001</v>
      </c>
      <c r="AA39" s="1295">
        <f>SUMIF('Despesas com Pessoal'!$K$203:$K$220,$D39,'Despesas com Pessoal'!AG$203:AG$220)</f>
        <v>120.85361287800001</v>
      </c>
      <c r="AB39" s="1295">
        <f>SUMIF('Despesas com Pessoal'!$K$203:$K$220,$D39,'Despesas com Pessoal'!AH$203:AH$220)</f>
        <v>120.85361287800001</v>
      </c>
      <c r="AC39" s="1295">
        <f>SUMIF('Despesas com Pessoal'!$K$203:$K$220,$D39,'Despesas com Pessoal'!AI$203:AI$220)</f>
        <v>120.85361287800001</v>
      </c>
      <c r="AD39" s="1295">
        <f>SUMIF('Despesas com Pessoal'!$K$203:$K$220,$D39,'Despesas com Pessoal'!AJ$203:AJ$220)</f>
        <v>120.85361287800001</v>
      </c>
      <c r="AE39" s="1295">
        <f>SUMIF('Despesas com Pessoal'!$K$203:$K$220,$D39,'Despesas com Pessoal'!AK$203:AK$220)</f>
        <v>120.85361287800001</v>
      </c>
      <c r="AF39" s="1295">
        <f>SUMIF('Despesas com Pessoal'!$K$203:$K$220,$D39,'Despesas com Pessoal'!AL$203:AL$220)</f>
        <v>120.85361287800001</v>
      </c>
      <c r="AG39" s="1295">
        <f>SUMIF('Despesas com Pessoal'!$K$203:$K$220,$D39,'Despesas com Pessoal'!AM$203:AM$220)</f>
        <v>120.85361287800001</v>
      </c>
      <c r="AH39" s="1295">
        <f>SUMIF('Despesas com Pessoal'!$K$203:$K$220,$D39,'Despesas com Pessoal'!AN$203:AN$220)</f>
        <v>120.85361287800001</v>
      </c>
      <c r="AI39" s="1295">
        <f>SUMIF('Despesas com Pessoal'!$K$203:$K$220,$D39,'Despesas com Pessoal'!AO$203:AO$220)</f>
        <v>120.85361287800001</v>
      </c>
      <c r="AJ39" s="1295">
        <f>SUMIF('Despesas com Pessoal'!$K$203:$K$220,$D39,'Despesas com Pessoal'!AP$203:AP$220)</f>
        <v>120.85361287800001</v>
      </c>
      <c r="AK39" s="280"/>
      <c r="AL39" s="280"/>
      <c r="AM39" s="280"/>
      <c r="AN39" s="280"/>
      <c r="AO39" s="280"/>
      <c r="AP39" s="283"/>
      <c r="AQ39" s="283"/>
      <c r="AR39" s="283"/>
      <c r="AS39" s="283"/>
      <c r="AT39" s="283"/>
      <c r="AU39" s="283"/>
      <c r="AV39" s="283"/>
      <c r="AW39" s="283"/>
      <c r="AX39" s="283"/>
      <c r="AY39" s="283"/>
      <c r="AZ39" s="283"/>
      <c r="BA39" s="283"/>
      <c r="BB39" s="283"/>
      <c r="BC39" s="283"/>
      <c r="BD39" s="283"/>
      <c r="BE39" s="283"/>
      <c r="BF39" s="283"/>
      <c r="BG39" s="283"/>
      <c r="BH39" s="283"/>
      <c r="BI39" s="283"/>
      <c r="BJ39" s="283"/>
      <c r="BK39" s="283"/>
      <c r="BL39" s="283"/>
      <c r="BM39" s="283"/>
      <c r="BN39" s="283"/>
      <c r="BO39" s="283"/>
      <c r="BP39" s="283"/>
      <c r="BQ39" s="283"/>
      <c r="BR39" s="283"/>
      <c r="BS39" s="283"/>
      <c r="BT39" s="283"/>
      <c r="BU39" s="283"/>
      <c r="BV39" s="283"/>
      <c r="BW39" s="283"/>
      <c r="BX39" s="283"/>
      <c r="BY39" s="283"/>
      <c r="BZ39" s="283"/>
      <c r="CA39" s="283"/>
    </row>
    <row r="40" spans="1:79">
      <c r="A40" s="595"/>
      <c r="B40" s="598"/>
      <c r="C40" s="599"/>
      <c r="D40" s="874" t="s">
        <v>1414</v>
      </c>
      <c r="E40" s="1294" t="s">
        <v>1415</v>
      </c>
      <c r="F40" s="875">
        <f t="shared" si="71"/>
        <v>0</v>
      </c>
      <c r="G40" s="1295">
        <f>SUMIF('Despesas com Pessoal'!$K$203:$K$220,$D40,'Despesas com Pessoal'!M$203:M$220)</f>
        <v>0</v>
      </c>
      <c r="H40" s="1295">
        <f>SUMIF('Despesas com Pessoal'!$K$203:$K$220,$D40,'Despesas com Pessoal'!N$203:N$220)</f>
        <v>0</v>
      </c>
      <c r="I40" s="1295">
        <f>SUMIF('Despesas com Pessoal'!$K$203:$K$220,$D40,'Despesas com Pessoal'!O$203:O$220)</f>
        <v>0</v>
      </c>
      <c r="J40" s="1295">
        <f>SUMIF('Despesas com Pessoal'!$K$203:$K$220,$D40,'Despesas com Pessoal'!P$203:P$220)</f>
        <v>0</v>
      </c>
      <c r="K40" s="1295">
        <f>SUMIF('Despesas com Pessoal'!$K$203:$K$220,$D40,'Despesas com Pessoal'!Q$203:Q$220)</f>
        <v>0</v>
      </c>
      <c r="L40" s="1295">
        <f>SUMIF('Despesas com Pessoal'!$K$203:$K$220,$D40,'Despesas com Pessoal'!R$203:R$220)</f>
        <v>0</v>
      </c>
      <c r="M40" s="1295">
        <f>SUMIF('Despesas com Pessoal'!$K$203:$K$220,$D40,'Despesas com Pessoal'!S$203:S$220)</f>
        <v>0</v>
      </c>
      <c r="N40" s="1295">
        <f>SUMIF('Despesas com Pessoal'!$K$203:$K$220,$D40,'Despesas com Pessoal'!T$203:T$220)</f>
        <v>0</v>
      </c>
      <c r="O40" s="1295">
        <f>SUMIF('Despesas com Pessoal'!$K$203:$K$220,$D40,'Despesas com Pessoal'!U$203:U$220)</f>
        <v>0</v>
      </c>
      <c r="P40" s="1295">
        <f>SUMIF('Despesas com Pessoal'!$K$203:$K$220,$D40,'Despesas com Pessoal'!V$203:V$220)</f>
        <v>0</v>
      </c>
      <c r="Q40" s="1295">
        <f>SUMIF('Despesas com Pessoal'!$K$203:$K$220,$D40,'Despesas com Pessoal'!W$203:W$220)</f>
        <v>0</v>
      </c>
      <c r="R40" s="1295">
        <f>SUMIF('Despesas com Pessoal'!$K$203:$K$220,$D40,'Despesas com Pessoal'!X$203:X$220)</f>
        <v>0</v>
      </c>
      <c r="S40" s="1295">
        <f>SUMIF('Despesas com Pessoal'!$K$203:$K$220,$D40,'Despesas com Pessoal'!Y$203:Y$220)</f>
        <v>0</v>
      </c>
      <c r="T40" s="1295">
        <f>SUMIF('Despesas com Pessoal'!$K$203:$K$220,$D40,'Despesas com Pessoal'!Z$203:Z$220)</f>
        <v>0</v>
      </c>
      <c r="U40" s="1295">
        <f>SUMIF('Despesas com Pessoal'!$K$203:$K$220,$D40,'Despesas com Pessoal'!AA$203:AA$220)</f>
        <v>0</v>
      </c>
      <c r="V40" s="1295">
        <f>SUMIF('Despesas com Pessoal'!$K$203:$K$220,$D40,'Despesas com Pessoal'!AB$203:AB$220)</f>
        <v>0</v>
      </c>
      <c r="W40" s="1295">
        <f>SUMIF('Despesas com Pessoal'!$K$203:$K$220,$D40,'Despesas com Pessoal'!AC$203:AC$220)</f>
        <v>0</v>
      </c>
      <c r="X40" s="1295">
        <f>SUMIF('Despesas com Pessoal'!$K$203:$K$220,$D40,'Despesas com Pessoal'!AD$203:AD$220)</f>
        <v>0</v>
      </c>
      <c r="Y40" s="1295">
        <f>SUMIF('Despesas com Pessoal'!$K$203:$K$220,$D40,'Despesas com Pessoal'!AE$203:AE$220)</f>
        <v>0</v>
      </c>
      <c r="Z40" s="1295">
        <f>SUMIF('Despesas com Pessoal'!$K$203:$K$220,$D40,'Despesas com Pessoal'!AF$203:AF$220)</f>
        <v>0</v>
      </c>
      <c r="AA40" s="1295">
        <f>SUMIF('Despesas com Pessoal'!$K$203:$K$220,$D40,'Despesas com Pessoal'!AG$203:AG$220)</f>
        <v>0</v>
      </c>
      <c r="AB40" s="1295">
        <f>SUMIF('Despesas com Pessoal'!$K$203:$K$220,$D40,'Despesas com Pessoal'!AH$203:AH$220)</f>
        <v>0</v>
      </c>
      <c r="AC40" s="1295">
        <f>SUMIF('Despesas com Pessoal'!$K$203:$K$220,$D40,'Despesas com Pessoal'!AI$203:AI$220)</f>
        <v>0</v>
      </c>
      <c r="AD40" s="1295">
        <f>SUMIF('Despesas com Pessoal'!$K$203:$K$220,$D40,'Despesas com Pessoal'!AJ$203:AJ$220)</f>
        <v>0</v>
      </c>
      <c r="AE40" s="1295">
        <f>SUMIF('Despesas com Pessoal'!$K$203:$K$220,$D40,'Despesas com Pessoal'!AK$203:AK$220)</f>
        <v>0</v>
      </c>
      <c r="AF40" s="1295">
        <f>SUMIF('Despesas com Pessoal'!$K$203:$K$220,$D40,'Despesas com Pessoal'!AL$203:AL$220)</f>
        <v>0</v>
      </c>
      <c r="AG40" s="1295">
        <f>SUMIF('Despesas com Pessoal'!$K$203:$K$220,$D40,'Despesas com Pessoal'!AM$203:AM$220)</f>
        <v>0</v>
      </c>
      <c r="AH40" s="1295">
        <f>SUMIF('Despesas com Pessoal'!$K$203:$K$220,$D40,'Despesas com Pessoal'!AN$203:AN$220)</f>
        <v>0</v>
      </c>
      <c r="AI40" s="1295">
        <f>SUMIF('Despesas com Pessoal'!$K$203:$K$220,$D40,'Despesas com Pessoal'!AO$203:AO$220)</f>
        <v>0</v>
      </c>
      <c r="AJ40" s="1295">
        <f>SUMIF('Despesas com Pessoal'!$K$203:$K$220,$D40,'Despesas com Pessoal'!AP$203:AP$220)</f>
        <v>0</v>
      </c>
      <c r="AK40" s="280"/>
      <c r="AL40" s="280"/>
      <c r="AM40" s="280"/>
      <c r="AN40" s="280"/>
      <c r="AO40" s="280"/>
      <c r="AP40" s="283"/>
      <c r="AQ40" s="283"/>
      <c r="AR40" s="283"/>
      <c r="AS40" s="283"/>
      <c r="AT40" s="283"/>
      <c r="AU40" s="283"/>
      <c r="AV40" s="283"/>
      <c r="AW40" s="283"/>
      <c r="AX40" s="283"/>
      <c r="AY40" s="283"/>
      <c r="AZ40" s="283"/>
      <c r="BA40" s="283"/>
      <c r="BB40" s="283"/>
      <c r="BC40" s="283"/>
      <c r="BD40" s="283"/>
      <c r="BE40" s="283"/>
      <c r="BF40" s="283"/>
      <c r="BG40" s="283"/>
      <c r="BH40" s="283"/>
      <c r="BI40" s="283"/>
      <c r="BJ40" s="283"/>
      <c r="BK40" s="283"/>
      <c r="BL40" s="283"/>
      <c r="BM40" s="283"/>
      <c r="BN40" s="283"/>
      <c r="BO40" s="283"/>
      <c r="BP40" s="283"/>
      <c r="BQ40" s="283"/>
      <c r="BR40" s="283"/>
      <c r="BS40" s="283"/>
      <c r="BT40" s="283"/>
      <c r="BU40" s="283"/>
      <c r="BV40" s="283"/>
      <c r="BW40" s="283"/>
      <c r="BX40" s="283"/>
      <c r="BY40" s="283"/>
      <c r="BZ40" s="283"/>
      <c r="CA40" s="283"/>
    </row>
    <row r="41" spans="1:79">
      <c r="A41" s="595"/>
      <c r="B41" s="598"/>
      <c r="C41" s="599"/>
      <c r="D41" s="874" t="s">
        <v>1416</v>
      </c>
      <c r="E41" s="1294" t="s">
        <v>1417</v>
      </c>
      <c r="F41" s="875">
        <f t="shared" si="71"/>
        <v>522000</v>
      </c>
      <c r="G41" s="1295"/>
      <c r="H41" s="1295">
        <f>'LOCAÇÕES E TERCEIRIZAÇÕES'!$I$13/1000</f>
        <v>18000</v>
      </c>
      <c r="I41" s="1295">
        <f>'LOCAÇÕES E TERCEIRIZAÇÕES'!$I$13/1000</f>
        <v>18000</v>
      </c>
      <c r="J41" s="1295">
        <f>'LOCAÇÕES E TERCEIRIZAÇÕES'!$I$13/1000</f>
        <v>18000</v>
      </c>
      <c r="K41" s="1295">
        <f>'LOCAÇÕES E TERCEIRIZAÇÕES'!$I$13/1000</f>
        <v>18000</v>
      </c>
      <c r="L41" s="1295">
        <f>'LOCAÇÕES E TERCEIRIZAÇÕES'!$I$13/1000</f>
        <v>18000</v>
      </c>
      <c r="M41" s="1295">
        <f>'LOCAÇÕES E TERCEIRIZAÇÕES'!$I$13/1000</f>
        <v>18000</v>
      </c>
      <c r="N41" s="1295">
        <f>'LOCAÇÕES E TERCEIRIZAÇÕES'!$I$13/1000</f>
        <v>18000</v>
      </c>
      <c r="O41" s="1295">
        <f>'LOCAÇÕES E TERCEIRIZAÇÕES'!$I$13/1000</f>
        <v>18000</v>
      </c>
      <c r="P41" s="1295">
        <f>'LOCAÇÕES E TERCEIRIZAÇÕES'!$I$13/1000</f>
        <v>18000</v>
      </c>
      <c r="Q41" s="1295">
        <f>'LOCAÇÕES E TERCEIRIZAÇÕES'!$I$13/1000</f>
        <v>18000</v>
      </c>
      <c r="R41" s="1295">
        <f>'LOCAÇÕES E TERCEIRIZAÇÕES'!$I$13/1000</f>
        <v>18000</v>
      </c>
      <c r="S41" s="1295">
        <f>'LOCAÇÕES E TERCEIRIZAÇÕES'!$I$13/1000</f>
        <v>18000</v>
      </c>
      <c r="T41" s="1295">
        <f>'LOCAÇÕES E TERCEIRIZAÇÕES'!$I$13/1000</f>
        <v>18000</v>
      </c>
      <c r="U41" s="1295">
        <f>'LOCAÇÕES E TERCEIRIZAÇÕES'!$I$13/1000</f>
        <v>18000</v>
      </c>
      <c r="V41" s="1295">
        <f>'LOCAÇÕES E TERCEIRIZAÇÕES'!$I$13/1000</f>
        <v>18000</v>
      </c>
      <c r="W41" s="1295">
        <f>'LOCAÇÕES E TERCEIRIZAÇÕES'!$I$13/1000</f>
        <v>18000</v>
      </c>
      <c r="X41" s="1295">
        <f>'LOCAÇÕES E TERCEIRIZAÇÕES'!$I$13/1000</f>
        <v>18000</v>
      </c>
      <c r="Y41" s="1295">
        <f>'LOCAÇÕES E TERCEIRIZAÇÕES'!$I$13/1000</f>
        <v>18000</v>
      </c>
      <c r="Z41" s="1295">
        <f>'LOCAÇÕES E TERCEIRIZAÇÕES'!$I$13/1000</f>
        <v>18000</v>
      </c>
      <c r="AA41" s="1295">
        <f>'LOCAÇÕES E TERCEIRIZAÇÕES'!$I$13/1000</f>
        <v>18000</v>
      </c>
      <c r="AB41" s="1295">
        <f>'LOCAÇÕES E TERCEIRIZAÇÕES'!$I$13/1000</f>
        <v>18000</v>
      </c>
      <c r="AC41" s="1295">
        <f>'LOCAÇÕES E TERCEIRIZAÇÕES'!$I$13/1000</f>
        <v>18000</v>
      </c>
      <c r="AD41" s="1295">
        <f>'LOCAÇÕES E TERCEIRIZAÇÕES'!$I$13/1000</f>
        <v>18000</v>
      </c>
      <c r="AE41" s="1295">
        <f>'LOCAÇÕES E TERCEIRIZAÇÕES'!$I$13/1000</f>
        <v>18000</v>
      </c>
      <c r="AF41" s="1295">
        <f>'LOCAÇÕES E TERCEIRIZAÇÕES'!$I$13/1000</f>
        <v>18000</v>
      </c>
      <c r="AG41" s="1295">
        <f>'LOCAÇÕES E TERCEIRIZAÇÕES'!$I$13/1000</f>
        <v>18000</v>
      </c>
      <c r="AH41" s="1295">
        <f>'LOCAÇÕES E TERCEIRIZAÇÕES'!$I$13/1000</f>
        <v>18000</v>
      </c>
      <c r="AI41" s="1295">
        <f>'LOCAÇÕES E TERCEIRIZAÇÕES'!$I$13/1000</f>
        <v>18000</v>
      </c>
      <c r="AJ41" s="1295">
        <f>'LOCAÇÕES E TERCEIRIZAÇÕES'!$I$13/1000</f>
        <v>18000</v>
      </c>
      <c r="AK41" s="280"/>
      <c r="AL41" s="280"/>
      <c r="AM41" s="280"/>
      <c r="AN41" s="280"/>
      <c r="AO41" s="280"/>
      <c r="AP41" s="283"/>
      <c r="AQ41" s="283"/>
      <c r="AR41" s="283"/>
      <c r="AS41" s="283"/>
      <c r="AT41" s="283"/>
      <c r="AU41" s="283"/>
      <c r="AV41" s="283"/>
      <c r="AW41" s="283"/>
      <c r="AX41" s="283"/>
      <c r="AY41" s="283"/>
      <c r="AZ41" s="283"/>
      <c r="BA41" s="283"/>
      <c r="BB41" s="283"/>
      <c r="BC41" s="283"/>
      <c r="BD41" s="283"/>
      <c r="BE41" s="283"/>
      <c r="BF41" s="283"/>
      <c r="BG41" s="283"/>
      <c r="BH41" s="283"/>
      <c r="BI41" s="283"/>
      <c r="BJ41" s="283"/>
      <c r="BK41" s="283"/>
      <c r="BL41" s="283"/>
      <c r="BM41" s="283"/>
      <c r="BN41" s="283"/>
      <c r="BO41" s="283"/>
      <c r="BP41" s="283"/>
      <c r="BQ41" s="283"/>
      <c r="BR41" s="283"/>
      <c r="BS41" s="283"/>
      <c r="BT41" s="283"/>
      <c r="BU41" s="283"/>
      <c r="BV41" s="283"/>
      <c r="BW41" s="283"/>
      <c r="BX41" s="283"/>
      <c r="BY41" s="283"/>
      <c r="BZ41" s="283"/>
      <c r="CA41" s="283"/>
    </row>
    <row r="42" spans="1:79">
      <c r="A42" s="595"/>
      <c r="B42" s="598"/>
      <c r="C42" s="599"/>
      <c r="D42" s="874" t="s">
        <v>1418</v>
      </c>
      <c r="E42" s="1294" t="s">
        <v>265</v>
      </c>
      <c r="F42" s="875">
        <f t="shared" si="71"/>
        <v>13889.372921999997</v>
      </c>
      <c r="G42" s="1295">
        <f>SUMIF('Despesas com Pessoal'!$K$203:$K$220,$D42,'Despesas com Pessoal'!M$203:M$220)</f>
        <v>0</v>
      </c>
      <c r="H42" s="1295">
        <f>SUMIF('Despesas com Pessoal'!$K$203:$K$220,$D42,'Despesas com Pessoal'!N$203:N$220)</f>
        <v>461.67561800000004</v>
      </c>
      <c r="I42" s="1295">
        <f>SUMIF('Despesas com Pessoal'!$K$203:$K$220,$D42,'Despesas com Pessoal'!O$203:O$220)</f>
        <v>461.67561800000004</v>
      </c>
      <c r="J42" s="1295">
        <f>SUMIF('Despesas com Pessoal'!$K$203:$K$220,$D42,'Despesas com Pessoal'!P$203:P$220)</f>
        <v>461.67561800000004</v>
      </c>
      <c r="K42" s="1295">
        <f>SUMIF('Despesas com Pessoal'!$K$203:$K$220,$D42,'Despesas com Pessoal'!Q$203:Q$220)</f>
        <v>561.83161800000005</v>
      </c>
      <c r="L42" s="1295">
        <f>SUMIF('Despesas com Pessoal'!$K$203:$K$220,$D42,'Despesas com Pessoal'!R$203:R$220)</f>
        <v>461.67561800000004</v>
      </c>
      <c r="M42" s="1295">
        <f>SUMIF('Despesas com Pessoal'!$K$203:$K$220,$D42,'Despesas com Pessoal'!S$203:S$220)</f>
        <v>461.67561800000004</v>
      </c>
      <c r="N42" s="1295">
        <f>SUMIF('Despesas com Pessoal'!$K$203:$K$220,$D42,'Despesas com Pessoal'!T$203:T$220)</f>
        <v>461.67561800000004</v>
      </c>
      <c r="O42" s="1295">
        <f>SUMIF('Despesas com Pessoal'!$K$203:$K$220,$D42,'Despesas com Pessoal'!U$203:U$220)</f>
        <v>461.67561800000004</v>
      </c>
      <c r="P42" s="1295">
        <f>SUMIF('Despesas com Pessoal'!$K$203:$K$220,$D42,'Despesas com Pessoal'!V$203:V$220)</f>
        <v>461.67561800000004</v>
      </c>
      <c r="Q42" s="1295">
        <f>SUMIF('Despesas com Pessoal'!$K$203:$K$220,$D42,'Despesas com Pessoal'!W$203:W$220)</f>
        <v>561.83161800000005</v>
      </c>
      <c r="R42" s="1295">
        <f>SUMIF('Despesas com Pessoal'!$K$203:$K$220,$D42,'Despesas com Pessoal'!X$203:X$220)</f>
        <v>461.67561800000004</v>
      </c>
      <c r="S42" s="1295">
        <f>SUMIF('Despesas com Pessoal'!$K$203:$K$220,$D42,'Despesas com Pessoal'!Y$203:Y$220)</f>
        <v>461.67561800000004</v>
      </c>
      <c r="T42" s="1295">
        <f>SUMIF('Despesas com Pessoal'!$K$203:$K$220,$D42,'Despesas com Pessoal'!Z$203:Z$220)</f>
        <v>461.67561800000004</v>
      </c>
      <c r="U42" s="1295">
        <f>SUMIF('Despesas com Pessoal'!$K$203:$K$220,$D42,'Despesas com Pessoal'!AA$203:AA$220)</f>
        <v>461.67561800000004</v>
      </c>
      <c r="V42" s="1295">
        <f>SUMIF('Despesas com Pessoal'!$K$203:$K$220,$D42,'Despesas com Pessoal'!AB$203:AB$220)</f>
        <v>461.67561800000004</v>
      </c>
      <c r="W42" s="1295">
        <f>SUMIF('Despesas com Pessoal'!$K$203:$K$220,$D42,'Despesas com Pessoal'!AC$203:AC$220)</f>
        <v>561.83161800000005</v>
      </c>
      <c r="X42" s="1295">
        <f>SUMIF('Despesas com Pessoal'!$K$203:$K$220,$D42,'Despesas com Pessoal'!AD$203:AD$220)</f>
        <v>461.67561800000004</v>
      </c>
      <c r="Y42" s="1295">
        <f>SUMIF('Despesas com Pessoal'!$K$203:$K$220,$D42,'Despesas com Pessoal'!AE$203:AE$220)</f>
        <v>461.67561800000004</v>
      </c>
      <c r="Z42" s="1295">
        <f>SUMIF('Despesas com Pessoal'!$K$203:$K$220,$D42,'Despesas com Pessoal'!AF$203:AF$220)</f>
        <v>461.67561800000004</v>
      </c>
      <c r="AA42" s="1295">
        <f>SUMIF('Despesas com Pessoal'!$K$203:$K$220,$D42,'Despesas com Pessoal'!AG$203:AG$220)</f>
        <v>461.67561800000004</v>
      </c>
      <c r="AB42" s="1295">
        <f>SUMIF('Despesas com Pessoal'!$K$203:$K$220,$D42,'Despesas com Pessoal'!AH$203:AH$220)</f>
        <v>461.67561800000004</v>
      </c>
      <c r="AC42" s="1295">
        <f>SUMIF('Despesas com Pessoal'!$K$203:$K$220,$D42,'Despesas com Pessoal'!AI$203:AI$220)</f>
        <v>561.83161800000005</v>
      </c>
      <c r="AD42" s="1295">
        <f>SUMIF('Despesas com Pessoal'!$K$203:$K$220,$D42,'Despesas com Pessoal'!AJ$203:AJ$220)</f>
        <v>461.67561800000004</v>
      </c>
      <c r="AE42" s="1295">
        <f>SUMIF('Despesas com Pessoal'!$K$203:$K$220,$D42,'Despesas com Pessoal'!AK$203:AK$220)</f>
        <v>461.67561800000004</v>
      </c>
      <c r="AF42" s="1295">
        <f>SUMIF('Despesas com Pessoal'!$K$203:$K$220,$D42,'Despesas com Pessoal'!AL$203:AL$220)</f>
        <v>461.67561800000004</v>
      </c>
      <c r="AG42" s="1295">
        <f>SUMIF('Despesas com Pessoal'!$K$203:$K$220,$D42,'Despesas com Pessoal'!AM$203:AM$220)</f>
        <v>461.67561800000004</v>
      </c>
      <c r="AH42" s="1295">
        <f>SUMIF('Despesas com Pessoal'!$K$203:$K$220,$D42,'Despesas com Pessoal'!AN$203:AN$220)</f>
        <v>461.67561800000004</v>
      </c>
      <c r="AI42" s="1295">
        <f>SUMIF('Despesas com Pessoal'!$K$203:$K$220,$D42,'Despesas com Pessoal'!AO$203:AO$220)</f>
        <v>561.83161800000005</v>
      </c>
      <c r="AJ42" s="1295">
        <f>SUMIF('Despesas com Pessoal'!$K$203:$K$220,$D42,'Despesas com Pessoal'!AP$203:AP$220)</f>
        <v>461.67561800000004</v>
      </c>
      <c r="AK42" s="280"/>
      <c r="AL42" s="280"/>
      <c r="AM42" s="280"/>
      <c r="AN42" s="280"/>
      <c r="AO42" s="280"/>
      <c r="AP42" s="283"/>
      <c r="AQ42" s="283"/>
      <c r="AR42" s="283"/>
      <c r="AS42" s="283"/>
      <c r="AT42" s="283"/>
      <c r="AU42" s="283"/>
      <c r="AV42" s="283"/>
      <c r="AW42" s="283"/>
      <c r="AX42" s="283"/>
      <c r="AY42" s="283"/>
      <c r="AZ42" s="283"/>
      <c r="BA42" s="283"/>
      <c r="BB42" s="283"/>
      <c r="BC42" s="283"/>
      <c r="BD42" s="283"/>
      <c r="BE42" s="283"/>
      <c r="BF42" s="283"/>
      <c r="BG42" s="283"/>
      <c r="BH42" s="283"/>
      <c r="BI42" s="283"/>
      <c r="BJ42" s="283"/>
      <c r="BK42" s="283"/>
      <c r="BL42" s="283"/>
      <c r="BM42" s="283"/>
      <c r="BN42" s="283"/>
      <c r="BO42" s="283"/>
      <c r="BP42" s="283"/>
      <c r="BQ42" s="283"/>
      <c r="BR42" s="283"/>
      <c r="BS42" s="283"/>
      <c r="BT42" s="283"/>
      <c r="BU42" s="283"/>
      <c r="BV42" s="283"/>
      <c r="BW42" s="283"/>
      <c r="BX42" s="283"/>
      <c r="BY42" s="283"/>
      <c r="BZ42" s="283"/>
      <c r="CA42" s="283"/>
    </row>
    <row r="43" spans="1:79">
      <c r="A43" s="595"/>
      <c r="B43" s="598"/>
      <c r="C43" s="599"/>
      <c r="D43" s="874" t="s">
        <v>1419</v>
      </c>
      <c r="E43" s="1294" t="s">
        <v>266</v>
      </c>
      <c r="F43" s="875">
        <f t="shared" si="71"/>
        <v>40139.510399999992</v>
      </c>
      <c r="G43" s="1295">
        <f>SUMIF('Despesas com Pessoal'!$K$203:$K$220,$D43,'Despesas com Pessoal'!M$203:M$220)</f>
        <v>2034.8663466666667</v>
      </c>
      <c r="H43" s="1295">
        <f>SUMIF('Despesas com Pessoal'!$K$203:$K$220,$D43,'Despesas com Pessoal'!N$203:N$220)</f>
        <v>2170.0343466666668</v>
      </c>
      <c r="I43" s="1295">
        <f>SUMIF('Despesas com Pessoal'!$K$203:$K$220,$D43,'Despesas com Pessoal'!O$203:O$220)</f>
        <v>1407.6343466666667</v>
      </c>
      <c r="J43" s="1295">
        <f>SUMIF('Despesas com Pessoal'!$K$203:$K$220,$D43,'Despesas com Pessoal'!P$203:P$220)</f>
        <v>1620.0343466666666</v>
      </c>
      <c r="K43" s="1295">
        <f>SUMIF('Despesas com Pessoal'!$K$203:$K$220,$D43,'Despesas com Pessoal'!Q$203:Q$220)</f>
        <v>1407.6343466666667</v>
      </c>
      <c r="L43" s="1295">
        <f>SUMIF('Despesas com Pessoal'!$K$203:$K$220,$D43,'Despesas com Pessoal'!R$203:R$220)</f>
        <v>1370.0343466666666</v>
      </c>
      <c r="M43" s="1295">
        <f>SUMIF('Despesas com Pessoal'!$K$203:$K$220,$D43,'Despesas com Pessoal'!S$203:S$220)</f>
        <v>1149.1863466666666</v>
      </c>
      <c r="N43" s="1295">
        <f>SUMIF('Despesas com Pessoal'!$K$203:$K$220,$D43,'Despesas com Pessoal'!T$203:T$220)</f>
        <v>1361.5863466666667</v>
      </c>
      <c r="O43" s="1295">
        <f>SUMIF('Despesas com Pessoal'!$K$203:$K$220,$D43,'Despesas com Pessoal'!U$203:U$220)</f>
        <v>1149.1863466666666</v>
      </c>
      <c r="P43" s="1295">
        <f>SUMIF('Despesas com Pessoal'!$K$203:$K$220,$D43,'Despesas com Pessoal'!V$203:V$220)</f>
        <v>1361.5863466666667</v>
      </c>
      <c r="Q43" s="1295">
        <f>SUMIF('Despesas com Pessoal'!$K$203:$K$220,$D43,'Despesas com Pessoal'!W$203:W$220)</f>
        <v>1149.1863466666666</v>
      </c>
      <c r="R43" s="1295">
        <f>SUMIF('Despesas com Pessoal'!$K$203:$K$220,$D43,'Despesas com Pessoal'!X$203:X$220)</f>
        <v>1361.5863466666667</v>
      </c>
      <c r="S43" s="1295">
        <f>SUMIF('Despesas com Pessoal'!$K$203:$K$220,$D43,'Despesas com Pessoal'!Y$203:Y$220)</f>
        <v>1149.1863466666666</v>
      </c>
      <c r="T43" s="1295">
        <f>SUMIF('Despesas com Pessoal'!$K$203:$K$220,$D43,'Despesas com Pessoal'!Z$203:Z$220)</f>
        <v>1361.5863466666667</v>
      </c>
      <c r="U43" s="1295">
        <f>SUMIF('Despesas com Pessoal'!$K$203:$K$220,$D43,'Despesas com Pessoal'!AA$203:AA$220)</f>
        <v>1149.1863466666666</v>
      </c>
      <c r="V43" s="1295">
        <f>SUMIF('Despesas com Pessoal'!$K$203:$K$220,$D43,'Despesas com Pessoal'!AB$203:AB$220)</f>
        <v>1361.5863466666667</v>
      </c>
      <c r="W43" s="1295">
        <f>SUMIF('Despesas com Pessoal'!$K$203:$K$220,$D43,'Despesas com Pessoal'!AC$203:AC$220)</f>
        <v>1149.1863466666666</v>
      </c>
      <c r="X43" s="1295">
        <f>SUMIF('Despesas com Pessoal'!$K$203:$K$220,$D43,'Despesas com Pessoal'!AD$203:AD$220)</f>
        <v>1361.5863466666667</v>
      </c>
      <c r="Y43" s="1295">
        <f>SUMIF('Despesas com Pessoal'!$K$203:$K$220,$D43,'Despesas com Pessoal'!AE$203:AE$220)</f>
        <v>1149.1863466666666</v>
      </c>
      <c r="Z43" s="1295">
        <f>SUMIF('Despesas com Pessoal'!$K$203:$K$220,$D43,'Despesas com Pessoal'!AF$203:AF$220)</f>
        <v>1361.5863466666667</v>
      </c>
      <c r="AA43" s="1295">
        <f>SUMIF('Despesas com Pessoal'!$K$203:$K$220,$D43,'Despesas com Pessoal'!AG$203:AG$220)</f>
        <v>1149.1863466666666</v>
      </c>
      <c r="AB43" s="1295">
        <f>SUMIF('Despesas com Pessoal'!$K$203:$K$220,$D43,'Despesas com Pessoal'!AH$203:AH$220)</f>
        <v>1361.5863466666667</v>
      </c>
      <c r="AC43" s="1295">
        <f>SUMIF('Despesas com Pessoal'!$K$203:$K$220,$D43,'Despesas com Pessoal'!AI$203:AI$220)</f>
        <v>1149.1863466666666</v>
      </c>
      <c r="AD43" s="1295">
        <f>SUMIF('Despesas com Pessoal'!$K$203:$K$220,$D43,'Despesas com Pessoal'!AJ$203:AJ$220)</f>
        <v>1361.5863466666667</v>
      </c>
      <c r="AE43" s="1295">
        <f>SUMIF('Despesas com Pessoal'!$K$203:$K$220,$D43,'Despesas com Pessoal'!AK$203:AK$220)</f>
        <v>1149.1863466666666</v>
      </c>
      <c r="AF43" s="1295">
        <f>SUMIF('Despesas com Pessoal'!$K$203:$K$220,$D43,'Despesas com Pessoal'!AL$203:AL$220)</f>
        <v>1361.5863466666667</v>
      </c>
      <c r="AG43" s="1295">
        <f>SUMIF('Despesas com Pessoal'!$K$203:$K$220,$D43,'Despesas com Pessoal'!AM$203:AM$220)</f>
        <v>1149.1863466666666</v>
      </c>
      <c r="AH43" s="1295">
        <f>SUMIF('Despesas com Pessoal'!$K$203:$K$220,$D43,'Despesas com Pessoal'!AN$203:AN$220)</f>
        <v>1361.5863466666667</v>
      </c>
      <c r="AI43" s="1295">
        <f>SUMIF('Despesas com Pessoal'!$K$203:$K$220,$D43,'Despesas com Pessoal'!AO$203:AO$220)</f>
        <v>1149.1863466666666</v>
      </c>
      <c r="AJ43" s="1295">
        <f>SUMIF('Despesas com Pessoal'!$K$203:$K$220,$D43,'Despesas com Pessoal'!AP$203:AP$220)</f>
        <v>1361.5863466666667</v>
      </c>
      <c r="AK43" s="280"/>
      <c r="AL43" s="280"/>
      <c r="AM43" s="280"/>
      <c r="AN43" s="280"/>
      <c r="AO43" s="280"/>
      <c r="AP43" s="283"/>
      <c r="AQ43" s="283"/>
      <c r="AR43" s="283"/>
      <c r="AS43" s="283"/>
      <c r="AT43" s="283"/>
      <c r="AU43" s="283"/>
      <c r="AV43" s="283"/>
      <c r="AW43" s="283"/>
      <c r="AX43" s="283"/>
      <c r="AY43" s="283"/>
      <c r="AZ43" s="283"/>
      <c r="BA43" s="283"/>
      <c r="BB43" s="283"/>
      <c r="BC43" s="283"/>
      <c r="BD43" s="283"/>
      <c r="BE43" s="283"/>
      <c r="BF43" s="283"/>
      <c r="BG43" s="283"/>
      <c r="BH43" s="283"/>
      <c r="BI43" s="283"/>
      <c r="BJ43" s="283"/>
      <c r="BK43" s="283"/>
      <c r="BL43" s="283"/>
      <c r="BM43" s="283"/>
      <c r="BN43" s="283"/>
      <c r="BO43" s="283"/>
      <c r="BP43" s="283"/>
      <c r="BQ43" s="283"/>
      <c r="BR43" s="283"/>
      <c r="BS43" s="283"/>
      <c r="BT43" s="283"/>
      <c r="BU43" s="283"/>
      <c r="BV43" s="283"/>
      <c r="BW43" s="283"/>
      <c r="BX43" s="283"/>
      <c r="BY43" s="283"/>
      <c r="BZ43" s="283"/>
      <c r="CA43" s="283"/>
    </row>
    <row r="44" spans="1:79">
      <c r="A44" s="595"/>
      <c r="B44" s="598"/>
      <c r="C44" s="599"/>
      <c r="D44" s="874" t="s">
        <v>1420</v>
      </c>
      <c r="E44" s="1294" t="s">
        <v>1421</v>
      </c>
      <c r="F44" s="875">
        <f t="shared" si="71"/>
        <v>15472.293711448539</v>
      </c>
      <c r="G44" s="1295">
        <f>SUMIF('Despesas com Pessoal'!$K$203:$K$220,$D44,'Despesas com Pessoal'!M$203:M$220)+'Custos Ambientais - Obras'!L25/1000+'Reconstituição Meio Ambiente'!$G$23/1000</f>
        <v>671.11017814193485</v>
      </c>
      <c r="H44" s="1295">
        <f>SUMIF('Despesas com Pessoal'!$K$203:$K$220,$D44,'Despesas com Pessoal'!N$203:N$220)+'Custos Ambientais - Obras'!M25/1000+'Reconstituição Meio Ambiente'!$G$23/1000</f>
        <v>721.01418528643489</v>
      </c>
      <c r="I44" s="1295">
        <f>SUMIF('Despesas com Pessoal'!$K$203:$K$220,$D44,'Despesas com Pessoal'!O$203:O$220)+'Custos Ambientais - Obras'!N25/1000+'Reconstituição Meio Ambiente'!$G$23/1000</f>
        <v>583.01418528643489</v>
      </c>
      <c r="J44" s="1295">
        <f>SUMIF('Despesas com Pessoal'!$K$203:$K$220,$D44,'Despesas com Pessoal'!P$203:P$220)+'Custos Ambientais - Obras'!O25/1000+'Reconstituição Meio Ambiente'!$G$23/1000</f>
        <v>721.01418528643489</v>
      </c>
      <c r="K44" s="1295">
        <f>SUMIF('Despesas com Pessoal'!$K$203:$K$220,$D44,'Despesas com Pessoal'!Q$203:Q$220)+'Custos Ambientais - Obras'!P25/1000+'Reconstituição Meio Ambiente'!$G$23/1000</f>
        <v>583.01418528643489</v>
      </c>
      <c r="L44" s="1295">
        <f>SUMIF('Despesas com Pessoal'!$K$203:$K$220,$D44,'Despesas com Pessoal'!R$203:R$220)+'Custos Ambientais - Obras'!Q25/1000+'Reconstituição Meio Ambiente'!$G$23/1000</f>
        <v>721.01418528643489</v>
      </c>
      <c r="M44" s="1295">
        <f>SUMIF('Despesas com Pessoal'!$K$203:$K$220,$D44,'Despesas com Pessoal'!S$203:S$220)+'Custos Ambientais - Obras'!R25/1000+'Reconstituição Meio Ambiente'!$G$23/1000</f>
        <v>492.76302528643487</v>
      </c>
      <c r="N44" s="1295">
        <f>SUMIF('Despesas com Pessoal'!$K$203:$K$220,$D44,'Despesas com Pessoal'!T$203:T$220)+'Custos Ambientais - Obras'!S25/1000+'Reconstituição Meio Ambiente'!$G$23/1000</f>
        <v>492.76302528643487</v>
      </c>
      <c r="O44" s="1295">
        <f>SUMIF('Despesas com Pessoal'!$K$203:$K$220,$D44,'Despesas com Pessoal'!U$203:U$220)+'Custos Ambientais - Obras'!T25/1000+'Reconstituição Meio Ambiente'!$G$23/1000</f>
        <v>476.66302528643484</v>
      </c>
      <c r="P44" s="1295">
        <f>SUMIF('Despesas com Pessoal'!$K$203:$K$220,$D44,'Despesas com Pessoal'!V$203:V$220)+'Custos Ambientais - Obras'!$V$11/1000+'Reconstituição Meio Ambiente'!$G$23/1000</f>
        <v>476.66302528643484</v>
      </c>
      <c r="Q44" s="1295">
        <f>SUMIF('Despesas com Pessoal'!$K$203:$K$220,$D44,'Despesas com Pessoal'!W$203:W$220)+'Custos Ambientais - Obras'!$V$11/1000+'Reconstituição Meio Ambiente'!$G$23/1000</f>
        <v>476.66302528643484</v>
      </c>
      <c r="R44" s="1295">
        <f>SUMIF('Despesas com Pessoal'!$K$203:$K$220,$D44,'Despesas com Pessoal'!X$203:X$220)+'Custos Ambientais - Obras'!$V$11/1000+'Reconstituição Meio Ambiente'!$G$23/1000</f>
        <v>476.66302528643484</v>
      </c>
      <c r="S44" s="1295">
        <f>SUMIF('Despesas com Pessoal'!$K$203:$K$220,$D44,'Despesas com Pessoal'!Y$203:Y$220)+'Custos Ambientais - Obras'!$V$11/1000+'Reconstituição Meio Ambiente'!$G$23/1000</f>
        <v>476.66302528643484</v>
      </c>
      <c r="T44" s="1295">
        <f>SUMIF('Despesas com Pessoal'!$K$203:$K$220,$D44,'Despesas com Pessoal'!Z$203:Z$220)+'Custos Ambientais - Obras'!$V$11/1000+'Reconstituição Meio Ambiente'!$G$23/1000</f>
        <v>476.66302528643484</v>
      </c>
      <c r="U44" s="1295">
        <f>SUMIF('Despesas com Pessoal'!$K$203:$K$220,$D44,'Despesas com Pessoal'!AA$203:AA$220)+'Custos Ambientais - Obras'!$V$11/1000+'Reconstituição Meio Ambiente'!$G$23/1000</f>
        <v>476.66302528643484</v>
      </c>
      <c r="V44" s="1295">
        <f>SUMIF('Despesas com Pessoal'!$K$203:$K$220,$D44,'Despesas com Pessoal'!AB$203:AB$220)+'Custos Ambientais - Obras'!$V$11/1000+'Reconstituição Meio Ambiente'!$G$23/1000</f>
        <v>476.66302528643484</v>
      </c>
      <c r="W44" s="1295">
        <f>SUMIF('Despesas com Pessoal'!$K$203:$K$220,$D44,'Despesas com Pessoal'!AC$203:AC$220)+'Custos Ambientais - Obras'!$V$11/1000+'Reconstituição Meio Ambiente'!$G$23/1000</f>
        <v>476.66302528643484</v>
      </c>
      <c r="X44" s="1295">
        <f>SUMIF('Despesas com Pessoal'!$K$203:$K$220,$D44,'Despesas com Pessoal'!AD$203:AD$220)+'Custos Ambientais - Obras'!$V$11/1000+'Reconstituição Meio Ambiente'!$G$23/1000</f>
        <v>476.66302528643484</v>
      </c>
      <c r="Y44" s="1295">
        <f>SUMIF('Despesas com Pessoal'!$K$203:$K$220,$D44,'Despesas com Pessoal'!AE$203:AE$220)+'Custos Ambientais - Obras'!$V$11/1000+'Reconstituição Meio Ambiente'!$G$23/1000</f>
        <v>476.66302528643484</v>
      </c>
      <c r="Z44" s="1295">
        <f>SUMIF('Despesas com Pessoal'!$K$203:$K$220,$D44,'Despesas com Pessoal'!AF$203:AF$220)+'Custos Ambientais - Obras'!$V$11/1000+'Reconstituição Meio Ambiente'!$G$23/1000</f>
        <v>476.66302528643484</v>
      </c>
      <c r="AA44" s="1295">
        <f>SUMIF('Despesas com Pessoal'!$K$203:$K$220,$D44,'Despesas com Pessoal'!AG$203:AG$220)+'Custos Ambientais - Obras'!$V$11/1000+'Reconstituição Meio Ambiente'!$G$23/1000</f>
        <v>476.66302528643484</v>
      </c>
      <c r="AB44" s="1295">
        <f>SUMIF('Despesas com Pessoal'!$K$203:$K$220,$D44,'Despesas com Pessoal'!AH$203:AH$220)+'Custos Ambientais - Obras'!$V$11/1000+'Reconstituição Meio Ambiente'!$G$23/1000</f>
        <v>476.66302528643484</v>
      </c>
      <c r="AC44" s="1295">
        <f>SUMIF('Despesas com Pessoal'!$K$203:$K$220,$D44,'Despesas com Pessoal'!AI$203:AI$220)+'Custos Ambientais - Obras'!$V$11/1000+'Reconstituição Meio Ambiente'!$G$23/1000</f>
        <v>476.66302528643484</v>
      </c>
      <c r="AD44" s="1295">
        <f>SUMIF('Despesas com Pessoal'!$K$203:$K$220,$D44,'Despesas com Pessoal'!AJ$203:AJ$220)+'Custos Ambientais - Obras'!$V$11/1000+'Reconstituição Meio Ambiente'!$G$23/1000</f>
        <v>476.66302528643484</v>
      </c>
      <c r="AE44" s="1295">
        <f>SUMIF('Despesas com Pessoal'!$K$203:$K$220,$D44,'Despesas com Pessoal'!AK$203:AK$220)+'Custos Ambientais - Obras'!$V$11/1000+'Reconstituição Meio Ambiente'!$G$23/1000</f>
        <v>476.66302528643484</v>
      </c>
      <c r="AF44" s="1295">
        <f>SUMIF('Despesas com Pessoal'!$K$203:$K$220,$D44,'Despesas com Pessoal'!AL$203:AL$220)+'Custos Ambientais - Obras'!$V$11/1000+'Reconstituição Meio Ambiente'!$G$23/1000</f>
        <v>476.66302528643484</v>
      </c>
      <c r="AG44" s="1295">
        <f>SUMIF('Despesas com Pessoal'!$K$203:$K$220,$D44,'Despesas com Pessoal'!AM$203:AM$220)+'Custos Ambientais - Obras'!$V$11/1000+'Reconstituição Meio Ambiente'!$G$23/1000</f>
        <v>476.66302528643484</v>
      </c>
      <c r="AH44" s="1295">
        <f>SUMIF('Despesas com Pessoal'!$K$203:$K$220,$D44,'Despesas com Pessoal'!AN$203:AN$220)+'Custos Ambientais - Obras'!$V$11/1000+'Reconstituição Meio Ambiente'!$G$23/1000</f>
        <v>476.66302528643484</v>
      </c>
      <c r="AI44" s="1295">
        <f>SUMIF('Despesas com Pessoal'!$K$203:$K$220,$D44,'Despesas com Pessoal'!AO$203:AO$220)+'Custos Ambientais - Obras'!$V$11/1000+'Reconstituição Meio Ambiente'!$G$23/1000</f>
        <v>476.66302528643484</v>
      </c>
      <c r="AJ44" s="1295">
        <f>SUMIF('Despesas com Pessoal'!$K$203:$K$220,$D44,'Despesas com Pessoal'!AP$203:AP$220)+'Custos Ambientais - Obras'!$V$11/1000+'Reconstituição Meio Ambiente'!$G$23/1000</f>
        <v>476.66302528643484</v>
      </c>
      <c r="AK44" s="280"/>
      <c r="AL44" s="280"/>
      <c r="AM44" s="280"/>
      <c r="AN44" s="280"/>
      <c r="AO44" s="280"/>
      <c r="AP44" s="283"/>
      <c r="AQ44" s="283"/>
      <c r="AR44" s="283"/>
      <c r="AS44" s="283"/>
      <c r="AT44" s="283"/>
      <c r="AU44" s="283"/>
      <c r="AV44" s="283"/>
      <c r="AW44" s="283"/>
      <c r="AX44" s="283"/>
      <c r="AY44" s="283"/>
      <c r="AZ44" s="283"/>
      <c r="BA44" s="283"/>
      <c r="BB44" s="283"/>
      <c r="BC44" s="283"/>
      <c r="BD44" s="283"/>
      <c r="BE44" s="283"/>
      <c r="BF44" s="283"/>
      <c r="BG44" s="283"/>
      <c r="BH44" s="283"/>
      <c r="BI44" s="283"/>
      <c r="BJ44" s="283"/>
      <c r="BK44" s="283"/>
      <c r="BL44" s="283"/>
      <c r="BM44" s="283"/>
      <c r="BN44" s="283"/>
      <c r="BO44" s="283"/>
      <c r="BP44" s="283"/>
      <c r="BQ44" s="283"/>
      <c r="BR44" s="283"/>
      <c r="BS44" s="283"/>
      <c r="BT44" s="283"/>
      <c r="BU44" s="283"/>
      <c r="BV44" s="283"/>
      <c r="BW44" s="283"/>
      <c r="BX44" s="283"/>
      <c r="BY44" s="283"/>
      <c r="BZ44" s="283"/>
      <c r="CA44" s="283"/>
    </row>
    <row r="45" spans="1:79">
      <c r="A45" s="595"/>
      <c r="B45" s="598"/>
      <c r="C45" s="599"/>
      <c r="D45" s="874" t="s">
        <v>1422</v>
      </c>
      <c r="E45" s="1294" t="s">
        <v>268</v>
      </c>
      <c r="F45" s="875">
        <f t="shared" si="71"/>
        <v>335918.25611635321</v>
      </c>
      <c r="G45" s="1295">
        <f>SUMIF('Despesas com Pessoal'!$K$203:$K$220,$D45,'Despesas com Pessoal'!M$203:M$220)</f>
        <v>6219.0781801351113</v>
      </c>
      <c r="H45" s="1295">
        <f>SUMIF('Despesas com Pessoal'!$K$203:$K$220,$D45,'Despesas com Pessoal'!N$203:N$220)</f>
        <v>7887.5915146496027</v>
      </c>
      <c r="I45" s="1295">
        <f>SUMIF('Despesas com Pessoal'!$K$203:$K$220,$D45,'Despesas com Pessoal'!O$203:O$220)</f>
        <v>14703.822652058265</v>
      </c>
      <c r="J45" s="1295">
        <f>SUMIF('Despesas com Pessoal'!$K$203:$K$220,$D45,'Despesas com Pessoal'!P$203:P$220)</f>
        <v>7889.0776553590467</v>
      </c>
      <c r="K45" s="1295">
        <f>SUMIF('Despesas com Pessoal'!$K$203:$K$220,$D45,'Despesas com Pessoal'!Q$203:Q$220)</f>
        <v>7890.8758332506513</v>
      </c>
      <c r="L45" s="1295">
        <f>SUMIF('Despesas com Pessoal'!$K$203:$K$220,$D45,'Despesas com Pessoal'!R$203:R$220)</f>
        <v>11536.586893564157</v>
      </c>
      <c r="M45" s="1295">
        <f>SUMIF('Despesas com Pessoal'!$K$203:$K$220,$D45,'Despesas com Pessoal'!S$203:S$220)</f>
        <v>15682.292019107133</v>
      </c>
      <c r="N45" s="1295">
        <f>SUMIF('Despesas com Pessoal'!$K$203:$K$220,$D45,'Despesas com Pessoal'!T$203:T$220)</f>
        <v>8413.4168692253224</v>
      </c>
      <c r="O45" s="1295">
        <f>SUMIF('Despesas com Pessoal'!$K$203:$K$220,$D45,'Despesas com Pessoal'!U$203:U$220)</f>
        <v>12045.883454336217</v>
      </c>
      <c r="P45" s="1295">
        <f>SUMIF('Despesas com Pessoal'!$K$203:$K$220,$D45,'Despesas com Pessoal'!V$203:V$220)</f>
        <v>15682.767080820611</v>
      </c>
      <c r="Q45" s="1295">
        <f>SUMIF('Despesas com Pessoal'!$K$203:$K$220,$D45,'Despesas com Pessoal'!W$203:W$220)</f>
        <v>8455.495294869741</v>
      </c>
      <c r="R45" s="1295">
        <f>SUMIF('Despesas com Pessoal'!$K$203:$K$220,$D45,'Despesas com Pessoal'!X$203:X$220)</f>
        <v>12125.821230519796</v>
      </c>
      <c r="S45" s="1295">
        <f>SUMIF('Despesas com Pessoal'!$K$203:$K$220,$D45,'Despesas com Pessoal'!Y$203:Y$220)</f>
        <v>15801.066211622543</v>
      </c>
      <c r="T45" s="1295">
        <f>SUMIF('Despesas com Pessoal'!$K$203:$K$220,$D45,'Despesas com Pessoal'!Z$203:Z$220)</f>
        <v>8455.6355871883115</v>
      </c>
      <c r="U45" s="1295">
        <f>SUMIF('Despesas com Pessoal'!$K$203:$K$220,$D45,'Despesas com Pessoal'!AA$203:AA$220)</f>
        <v>12126.265869561968</v>
      </c>
      <c r="V45" s="1295">
        <f>SUMIF('Despesas com Pessoal'!$K$203:$K$220,$D45,'Despesas com Pessoal'!AB$203:AB$220)</f>
        <v>16018.318189444568</v>
      </c>
      <c r="W45" s="1295">
        <f>SUMIF('Despesas com Pessoal'!$K$203:$K$220,$D45,'Despesas com Pessoal'!AC$203:AC$220)</f>
        <v>8571.5956328000393</v>
      </c>
      <c r="X45" s="1295">
        <f>SUMIF('Despesas com Pessoal'!$K$203:$K$220,$D45,'Despesas com Pessoal'!AD$203:AD$220)</f>
        <v>12167.32599919207</v>
      </c>
      <c r="Y45" s="1295">
        <f>SUMIF('Despesas com Pessoal'!$K$203:$K$220,$D45,'Despesas com Pessoal'!AE$203:AE$220)</f>
        <v>15854.735881270257</v>
      </c>
      <c r="Z45" s="1295">
        <f>SUMIF('Despesas com Pessoal'!$K$203:$K$220,$D45,'Despesas com Pessoal'!AF$203:AF$220)</f>
        <v>8484.4293469333497</v>
      </c>
      <c r="AA45" s="1295">
        <f>SUMIF('Despesas com Pessoal'!$K$203:$K$220,$D45,'Despesas com Pessoal'!AG$203:AG$220)</f>
        <v>12590.919165514417</v>
      </c>
      <c r="AB45" s="1295">
        <f>SUMIF('Despesas com Pessoal'!$K$203:$K$220,$D45,'Despesas com Pessoal'!AH$203:AH$220)</f>
        <v>16407.205990983457</v>
      </c>
      <c r="AC45" s="1295">
        <f>SUMIF('Despesas com Pessoal'!$K$203:$K$220,$D45,'Despesas com Pessoal'!AI$203:AI$220)</f>
        <v>8779.0880248120229</v>
      </c>
      <c r="AD45" s="1295">
        <f>SUMIF('Despesas com Pessoal'!$K$203:$K$220,$D45,'Despesas com Pessoal'!AJ$203:AJ$220)</f>
        <v>12590.938487210988</v>
      </c>
      <c r="AE45" s="1295">
        <f>SUMIF('Despesas com Pessoal'!$K$203:$K$220,$D45,'Despesas com Pessoal'!AK$203:AK$220)</f>
        <v>8836.9824457487739</v>
      </c>
      <c r="AF45" s="1295">
        <f>SUMIF('Despesas com Pessoal'!$K$203:$K$220,$D45,'Despesas com Pessoal'!AL$203:AL$220)</f>
        <v>12674.155891200313</v>
      </c>
      <c r="AG45" s="1295">
        <f>SUMIF('Despesas com Pessoal'!$K$203:$K$220,$D45,'Despesas com Pessoal'!AM$203:AM$220)</f>
        <v>16515.74637802536</v>
      </c>
      <c r="AH45" s="1295">
        <f>SUMIF('Despesas com Pessoal'!$K$203:$K$220,$D45,'Despesas com Pessoal'!AN$203:AN$220)</f>
        <v>8836.9824457487739</v>
      </c>
      <c r="AI45" s="1295">
        <f>SUMIF('Despesas com Pessoal'!$K$203:$K$220,$D45,'Despesas com Pessoal'!AO$203:AO$220)</f>
        <v>12674.155891200313</v>
      </c>
      <c r="AJ45" s="1295">
        <f>SUMIF('Despesas com Pessoal'!$K$203:$K$220,$D45,'Despesas com Pessoal'!AP$203:AP$220)</f>
        <v>0</v>
      </c>
      <c r="AK45" s="280"/>
      <c r="AL45" s="280"/>
      <c r="AM45" s="280"/>
      <c r="AN45" s="280"/>
      <c r="AO45" s="280"/>
      <c r="AP45" s="283"/>
      <c r="AQ45" s="283"/>
      <c r="AR45" s="283"/>
      <c r="AS45" s="283"/>
      <c r="AT45" s="283"/>
      <c r="AU45" s="283"/>
      <c r="AV45" s="283"/>
      <c r="AW45" s="283"/>
      <c r="AX45" s="283"/>
      <c r="AY45" s="283"/>
      <c r="AZ45" s="283"/>
      <c r="BA45" s="283"/>
      <c r="BB45" s="283"/>
      <c r="BC45" s="283"/>
      <c r="BD45" s="283"/>
      <c r="BE45" s="283"/>
      <c r="BF45" s="283"/>
      <c r="BG45" s="283"/>
      <c r="BH45" s="283"/>
      <c r="BI45" s="283"/>
      <c r="BJ45" s="283"/>
      <c r="BK45" s="283"/>
      <c r="BL45" s="283"/>
      <c r="BM45" s="283"/>
      <c r="BN45" s="283"/>
      <c r="BO45" s="283"/>
      <c r="BP45" s="283"/>
      <c r="BQ45" s="283"/>
      <c r="BR45" s="283"/>
      <c r="BS45" s="283"/>
      <c r="BT45" s="283"/>
      <c r="BU45" s="283"/>
      <c r="BV45" s="283"/>
      <c r="BW45" s="283"/>
      <c r="BX45" s="283"/>
      <c r="BY45" s="283"/>
      <c r="BZ45" s="283"/>
      <c r="CA45" s="283"/>
    </row>
    <row r="46" spans="1:79">
      <c r="A46" s="595"/>
      <c r="B46" s="598"/>
      <c r="C46" s="599"/>
      <c r="D46" s="874" t="s">
        <v>1423</v>
      </c>
      <c r="E46" s="1294" t="s">
        <v>269</v>
      </c>
      <c r="F46" s="875">
        <f t="shared" si="71"/>
        <v>0</v>
      </c>
      <c r="G46" s="1295">
        <f>SUMIF('Despesas com Pessoal'!$K$203:$K$220,$D46,'Despesas com Pessoal'!M$203:M$220)</f>
        <v>0</v>
      </c>
      <c r="H46" s="1295">
        <f>SUMIF('Despesas com Pessoal'!$K$203:$K$220,$D46,'Despesas com Pessoal'!N$203:N$220)</f>
        <v>0</v>
      </c>
      <c r="I46" s="1295">
        <f>SUMIF('Despesas com Pessoal'!$K$203:$K$220,$D46,'Despesas com Pessoal'!O$203:O$220)</f>
        <v>0</v>
      </c>
      <c r="J46" s="1295">
        <f>SUMIF('Despesas com Pessoal'!$K$203:$K$220,$D46,'Despesas com Pessoal'!P$203:P$220)</f>
        <v>0</v>
      </c>
      <c r="K46" s="1295">
        <f>SUMIF('Despesas com Pessoal'!$K$203:$K$220,$D46,'Despesas com Pessoal'!Q$203:Q$220)</f>
        <v>0</v>
      </c>
      <c r="L46" s="1295">
        <f>SUMIF('Despesas com Pessoal'!$K$203:$K$220,$D46,'Despesas com Pessoal'!R$203:R$220)</f>
        <v>0</v>
      </c>
      <c r="M46" s="1295">
        <f>SUMIF('Despesas com Pessoal'!$K$203:$K$220,$D46,'Despesas com Pessoal'!S$203:S$220)</f>
        <v>0</v>
      </c>
      <c r="N46" s="1295">
        <f>SUMIF('Despesas com Pessoal'!$K$203:$K$220,$D46,'Despesas com Pessoal'!T$203:T$220)</f>
        <v>0</v>
      </c>
      <c r="O46" s="1295">
        <f>SUMIF('Despesas com Pessoal'!$K$203:$K$220,$D46,'Despesas com Pessoal'!U$203:U$220)</f>
        <v>0</v>
      </c>
      <c r="P46" s="1295">
        <f>SUMIF('Despesas com Pessoal'!$K$203:$K$220,$D46,'Despesas com Pessoal'!V$203:V$220)</f>
        <v>0</v>
      </c>
      <c r="Q46" s="1295">
        <f>SUMIF('Despesas com Pessoal'!$K$203:$K$220,$D46,'Despesas com Pessoal'!W$203:W$220)</f>
        <v>0</v>
      </c>
      <c r="R46" s="1295">
        <f>SUMIF('Despesas com Pessoal'!$K$203:$K$220,$D46,'Despesas com Pessoal'!X$203:X$220)</f>
        <v>0</v>
      </c>
      <c r="S46" s="1295">
        <f>SUMIF('Despesas com Pessoal'!$K$203:$K$220,$D46,'Despesas com Pessoal'!Y$203:Y$220)</f>
        <v>0</v>
      </c>
      <c r="T46" s="1295">
        <f>SUMIF('Despesas com Pessoal'!$K$203:$K$220,$D46,'Despesas com Pessoal'!Z$203:Z$220)</f>
        <v>0</v>
      </c>
      <c r="U46" s="1295">
        <f>SUMIF('Despesas com Pessoal'!$K$203:$K$220,$D46,'Despesas com Pessoal'!AA$203:AA$220)</f>
        <v>0</v>
      </c>
      <c r="V46" s="1295">
        <f>SUMIF('Despesas com Pessoal'!$K$203:$K$220,$D46,'Despesas com Pessoal'!AB$203:AB$220)</f>
        <v>0</v>
      </c>
      <c r="W46" s="1295">
        <f>SUMIF('Despesas com Pessoal'!$K$203:$K$220,$D46,'Despesas com Pessoal'!AC$203:AC$220)</f>
        <v>0</v>
      </c>
      <c r="X46" s="1295">
        <f>SUMIF('Despesas com Pessoal'!$K$203:$K$220,$D46,'Despesas com Pessoal'!AD$203:AD$220)</f>
        <v>0</v>
      </c>
      <c r="Y46" s="1295">
        <f>SUMIF('Despesas com Pessoal'!$K$203:$K$220,$D46,'Despesas com Pessoal'!AE$203:AE$220)</f>
        <v>0</v>
      </c>
      <c r="Z46" s="1295">
        <f>SUMIF('Despesas com Pessoal'!$K$203:$K$220,$D46,'Despesas com Pessoal'!AF$203:AF$220)</f>
        <v>0</v>
      </c>
      <c r="AA46" s="1295">
        <f>SUMIF('Despesas com Pessoal'!$K$203:$K$220,$D46,'Despesas com Pessoal'!AG$203:AG$220)</f>
        <v>0</v>
      </c>
      <c r="AB46" s="1295">
        <f>SUMIF('Despesas com Pessoal'!$K$203:$K$220,$D46,'Despesas com Pessoal'!AH$203:AH$220)</f>
        <v>0</v>
      </c>
      <c r="AC46" s="1295">
        <f>SUMIF('Despesas com Pessoal'!$K$203:$K$220,$D46,'Despesas com Pessoal'!AI$203:AI$220)</f>
        <v>0</v>
      </c>
      <c r="AD46" s="1295">
        <f>SUMIF('Despesas com Pessoal'!$K$203:$K$220,$D46,'Despesas com Pessoal'!AJ$203:AJ$220)</f>
        <v>0</v>
      </c>
      <c r="AE46" s="1295">
        <f>SUMIF('Despesas com Pessoal'!$K$203:$K$220,$D46,'Despesas com Pessoal'!AK$203:AK$220)</f>
        <v>0</v>
      </c>
      <c r="AF46" s="1295">
        <f>SUMIF('Despesas com Pessoal'!$K$203:$K$220,$D46,'Despesas com Pessoal'!AL$203:AL$220)</f>
        <v>0</v>
      </c>
      <c r="AG46" s="1295">
        <f>SUMIF('Despesas com Pessoal'!$K$203:$K$220,$D46,'Despesas com Pessoal'!AM$203:AM$220)</f>
        <v>0</v>
      </c>
      <c r="AH46" s="1295">
        <f>SUMIF('Despesas com Pessoal'!$K$203:$K$220,$D46,'Despesas com Pessoal'!AN$203:AN$220)</f>
        <v>0</v>
      </c>
      <c r="AI46" s="1295">
        <f>SUMIF('Despesas com Pessoal'!$K$203:$K$220,$D46,'Despesas com Pessoal'!AO$203:AO$220)</f>
        <v>0</v>
      </c>
      <c r="AJ46" s="1295">
        <f>SUMIF('Despesas com Pessoal'!$K$203:$K$220,$D46,'Despesas com Pessoal'!AP$203:AP$220)</f>
        <v>0</v>
      </c>
      <c r="AK46" s="280"/>
      <c r="AL46" s="280"/>
      <c r="AM46" s="280"/>
      <c r="AN46" s="280"/>
      <c r="AO46" s="280"/>
      <c r="AP46" s="283"/>
      <c r="AQ46" s="283"/>
      <c r="AR46" s="283"/>
      <c r="AS46" s="283"/>
      <c r="AT46" s="283"/>
      <c r="AU46" s="283"/>
      <c r="AV46" s="283"/>
      <c r="AW46" s="283"/>
      <c r="AX46" s="283"/>
      <c r="AY46" s="283"/>
      <c r="AZ46" s="283"/>
      <c r="BA46" s="283"/>
      <c r="BB46" s="283"/>
      <c r="BC46" s="283"/>
      <c r="BD46" s="283"/>
      <c r="BE46" s="283"/>
      <c r="BF46" s="283"/>
      <c r="BG46" s="283"/>
      <c r="BH46" s="283"/>
      <c r="BI46" s="283"/>
      <c r="BJ46" s="283"/>
      <c r="BK46" s="283"/>
      <c r="BL46" s="283"/>
      <c r="BM46" s="283"/>
      <c r="BN46" s="283"/>
      <c r="BO46" s="283"/>
      <c r="BP46" s="283"/>
      <c r="BQ46" s="283"/>
      <c r="BR46" s="283"/>
      <c r="BS46" s="283"/>
      <c r="BT46" s="283"/>
      <c r="BU46" s="283"/>
      <c r="BV46" s="283"/>
      <c r="BW46" s="283"/>
      <c r="BX46" s="283"/>
      <c r="BY46" s="283"/>
      <c r="BZ46" s="283"/>
      <c r="CA46" s="283"/>
    </row>
    <row r="47" spans="1:79">
      <c r="A47" s="595"/>
      <c r="B47" s="598"/>
      <c r="C47" s="599"/>
      <c r="D47" s="874" t="s">
        <v>1424</v>
      </c>
      <c r="E47" s="1294" t="s">
        <v>270</v>
      </c>
      <c r="F47" s="875">
        <f t="shared" si="71"/>
        <v>0</v>
      </c>
      <c r="G47" s="1295">
        <f>SUMIF('Despesas com Pessoal'!$K$203:$K$220,$D47,'Despesas com Pessoal'!M$203:M$220)</f>
        <v>0</v>
      </c>
      <c r="H47" s="1295">
        <f>SUMIF('Despesas com Pessoal'!$K$203:$K$220,$D47,'Despesas com Pessoal'!N$203:N$220)</f>
        <v>0</v>
      </c>
      <c r="I47" s="1295">
        <f>SUMIF('Despesas com Pessoal'!$K$203:$K$220,$D47,'Despesas com Pessoal'!O$203:O$220)</f>
        <v>0</v>
      </c>
      <c r="J47" s="1295">
        <f>SUMIF('Despesas com Pessoal'!$K$203:$K$220,$D47,'Despesas com Pessoal'!P$203:P$220)</f>
        <v>0</v>
      </c>
      <c r="K47" s="1295">
        <f>SUMIF('Despesas com Pessoal'!$K$203:$K$220,$D47,'Despesas com Pessoal'!Q$203:Q$220)</f>
        <v>0</v>
      </c>
      <c r="L47" s="1295">
        <f>SUMIF('Despesas com Pessoal'!$K$203:$K$220,$D47,'Despesas com Pessoal'!R$203:R$220)</f>
        <v>0</v>
      </c>
      <c r="M47" s="1295">
        <f>SUMIF('Despesas com Pessoal'!$K$203:$K$220,$D47,'Despesas com Pessoal'!S$203:S$220)</f>
        <v>0</v>
      </c>
      <c r="N47" s="1295">
        <f>SUMIF('Despesas com Pessoal'!$K$203:$K$220,$D47,'Despesas com Pessoal'!T$203:T$220)</f>
        <v>0</v>
      </c>
      <c r="O47" s="1295">
        <f>SUMIF('Despesas com Pessoal'!$K$203:$K$220,$D47,'Despesas com Pessoal'!U$203:U$220)</f>
        <v>0</v>
      </c>
      <c r="P47" s="1295">
        <f>SUMIF('Despesas com Pessoal'!$K$203:$K$220,$D47,'Despesas com Pessoal'!V$203:V$220)</f>
        <v>0</v>
      </c>
      <c r="Q47" s="1295">
        <f>SUMIF('Despesas com Pessoal'!$K$203:$K$220,$D47,'Despesas com Pessoal'!W$203:W$220)</f>
        <v>0</v>
      </c>
      <c r="R47" s="1295">
        <f>SUMIF('Despesas com Pessoal'!$K$203:$K$220,$D47,'Despesas com Pessoal'!X$203:X$220)</f>
        <v>0</v>
      </c>
      <c r="S47" s="1295">
        <f>SUMIF('Despesas com Pessoal'!$K$203:$K$220,$D47,'Despesas com Pessoal'!Y$203:Y$220)</f>
        <v>0</v>
      </c>
      <c r="T47" s="1295">
        <f>SUMIF('Despesas com Pessoal'!$K$203:$K$220,$D47,'Despesas com Pessoal'!Z$203:Z$220)</f>
        <v>0</v>
      </c>
      <c r="U47" s="1295">
        <f>SUMIF('Despesas com Pessoal'!$K$203:$K$220,$D47,'Despesas com Pessoal'!AA$203:AA$220)</f>
        <v>0</v>
      </c>
      <c r="V47" s="1295">
        <f>SUMIF('Despesas com Pessoal'!$K$203:$K$220,$D47,'Despesas com Pessoal'!AB$203:AB$220)</f>
        <v>0</v>
      </c>
      <c r="W47" s="1295">
        <f>SUMIF('Despesas com Pessoal'!$K$203:$K$220,$D47,'Despesas com Pessoal'!AC$203:AC$220)</f>
        <v>0</v>
      </c>
      <c r="X47" s="1295">
        <f>SUMIF('Despesas com Pessoal'!$K$203:$K$220,$D47,'Despesas com Pessoal'!AD$203:AD$220)</f>
        <v>0</v>
      </c>
      <c r="Y47" s="1295">
        <f>SUMIF('Despesas com Pessoal'!$K$203:$K$220,$D47,'Despesas com Pessoal'!AE$203:AE$220)</f>
        <v>0</v>
      </c>
      <c r="Z47" s="1295">
        <f>SUMIF('Despesas com Pessoal'!$K$203:$K$220,$D47,'Despesas com Pessoal'!AF$203:AF$220)</f>
        <v>0</v>
      </c>
      <c r="AA47" s="1295">
        <f>SUMIF('Despesas com Pessoal'!$K$203:$K$220,$D47,'Despesas com Pessoal'!AG$203:AG$220)</f>
        <v>0</v>
      </c>
      <c r="AB47" s="1295">
        <f>SUMIF('Despesas com Pessoal'!$K$203:$K$220,$D47,'Despesas com Pessoal'!AH$203:AH$220)</f>
        <v>0</v>
      </c>
      <c r="AC47" s="1295">
        <f>SUMIF('Despesas com Pessoal'!$K$203:$K$220,$D47,'Despesas com Pessoal'!AI$203:AI$220)</f>
        <v>0</v>
      </c>
      <c r="AD47" s="1295">
        <f>SUMIF('Despesas com Pessoal'!$K$203:$K$220,$D47,'Despesas com Pessoal'!AJ$203:AJ$220)</f>
        <v>0</v>
      </c>
      <c r="AE47" s="1295">
        <f>SUMIF('Despesas com Pessoal'!$K$203:$K$220,$D47,'Despesas com Pessoal'!AK$203:AK$220)</f>
        <v>0</v>
      </c>
      <c r="AF47" s="1295">
        <f>SUMIF('Despesas com Pessoal'!$K$203:$K$220,$D47,'Despesas com Pessoal'!AL$203:AL$220)</f>
        <v>0</v>
      </c>
      <c r="AG47" s="1295">
        <f>SUMIF('Despesas com Pessoal'!$K$203:$K$220,$D47,'Despesas com Pessoal'!AM$203:AM$220)</f>
        <v>0</v>
      </c>
      <c r="AH47" s="1295">
        <f>SUMIF('Despesas com Pessoal'!$K$203:$K$220,$D47,'Despesas com Pessoal'!AN$203:AN$220)</f>
        <v>0</v>
      </c>
      <c r="AI47" s="1295">
        <f>SUMIF('Despesas com Pessoal'!$K$203:$K$220,$D47,'Despesas com Pessoal'!AO$203:AO$220)</f>
        <v>0</v>
      </c>
      <c r="AJ47" s="1295">
        <f>SUMIF('Despesas com Pessoal'!$K$203:$K$220,$D47,'Despesas com Pessoal'!AP$203:AP$220)</f>
        <v>0</v>
      </c>
      <c r="AK47" s="280"/>
      <c r="AL47" s="280"/>
      <c r="AM47" s="280"/>
      <c r="AN47" s="280"/>
      <c r="AO47" s="280"/>
      <c r="AP47" s="283"/>
      <c r="AQ47" s="283"/>
      <c r="AR47" s="283"/>
      <c r="AS47" s="283"/>
      <c r="AT47" s="283"/>
      <c r="AU47" s="283"/>
      <c r="AV47" s="283"/>
      <c r="AW47" s="283"/>
      <c r="AX47" s="283"/>
      <c r="AY47" s="283"/>
      <c r="AZ47" s="283"/>
      <c r="BA47" s="283"/>
      <c r="BB47" s="283"/>
      <c r="BC47" s="283"/>
      <c r="BD47" s="283"/>
      <c r="BE47" s="283"/>
      <c r="BF47" s="283"/>
      <c r="BG47" s="283"/>
      <c r="BH47" s="283"/>
      <c r="BI47" s="283"/>
      <c r="BJ47" s="283"/>
      <c r="BK47" s="283"/>
      <c r="BL47" s="283"/>
      <c r="BM47" s="283"/>
      <c r="BN47" s="283"/>
      <c r="BO47" s="283"/>
      <c r="BP47" s="283"/>
      <c r="BQ47" s="283"/>
      <c r="BR47" s="283"/>
      <c r="BS47" s="283"/>
      <c r="BT47" s="283"/>
      <c r="BU47" s="283"/>
      <c r="BV47" s="283"/>
      <c r="BW47" s="283"/>
      <c r="BX47" s="283"/>
      <c r="BY47" s="283"/>
      <c r="BZ47" s="283"/>
      <c r="CA47" s="283"/>
    </row>
    <row r="48" spans="1:79">
      <c r="A48" s="595"/>
      <c r="B48" s="598"/>
      <c r="C48" s="599"/>
      <c r="D48" s="874"/>
      <c r="E48" s="1294"/>
      <c r="F48" s="875">
        <f t="shared" si="71"/>
        <v>0</v>
      </c>
      <c r="G48" s="1295">
        <f>SUMIF('Despesas com Pessoal'!$K$203:$K$220,$D48,'Despesas com Pessoal'!M$203:M$220)</f>
        <v>0</v>
      </c>
      <c r="H48" s="1295">
        <f>SUMIF('Despesas com Pessoal'!$K$203:$K$220,$D48,'Despesas com Pessoal'!N$203:N$220)</f>
        <v>0</v>
      </c>
      <c r="I48" s="1295">
        <f>SUMIF('Despesas com Pessoal'!$K$203:$K$220,$D48,'Despesas com Pessoal'!O$203:O$220)</f>
        <v>0</v>
      </c>
      <c r="J48" s="1295">
        <f>SUMIF('Despesas com Pessoal'!$K$203:$K$220,$D48,'Despesas com Pessoal'!P$203:P$220)</f>
        <v>0</v>
      </c>
      <c r="K48" s="1295">
        <f>SUMIF('Despesas com Pessoal'!$K$203:$K$220,$D48,'Despesas com Pessoal'!Q$203:Q$220)</f>
        <v>0</v>
      </c>
      <c r="L48" s="1295">
        <f>SUMIF('Despesas com Pessoal'!$K$203:$K$220,$D48,'Despesas com Pessoal'!R$203:R$220)</f>
        <v>0</v>
      </c>
      <c r="M48" s="1295">
        <f>SUMIF('Despesas com Pessoal'!$K$203:$K$220,$D48,'Despesas com Pessoal'!S$203:S$220)</f>
        <v>0</v>
      </c>
      <c r="N48" s="1295">
        <f>SUMIF('Despesas com Pessoal'!$K$203:$K$220,$D48,'Despesas com Pessoal'!T$203:T$220)</f>
        <v>0</v>
      </c>
      <c r="O48" s="1295">
        <f>SUMIF('Despesas com Pessoal'!$K$203:$K$220,$D48,'Despesas com Pessoal'!U$203:U$220)</f>
        <v>0</v>
      </c>
      <c r="P48" s="1295">
        <f>SUMIF('Despesas com Pessoal'!$K$203:$K$220,$D48,'Despesas com Pessoal'!V$203:V$220)</f>
        <v>0</v>
      </c>
      <c r="Q48" s="1295">
        <f>SUMIF('Despesas com Pessoal'!$K$203:$K$220,$D48,'Despesas com Pessoal'!W$203:W$220)</f>
        <v>0</v>
      </c>
      <c r="R48" s="1295">
        <f>SUMIF('Despesas com Pessoal'!$K$203:$K$220,$D48,'Despesas com Pessoal'!X$203:X$220)</f>
        <v>0</v>
      </c>
      <c r="S48" s="1295">
        <f>SUMIF('Despesas com Pessoal'!$K$203:$K$220,$D48,'Despesas com Pessoal'!Y$203:Y$220)</f>
        <v>0</v>
      </c>
      <c r="T48" s="1295">
        <f>SUMIF('Despesas com Pessoal'!$K$203:$K$220,$D48,'Despesas com Pessoal'!Z$203:Z$220)</f>
        <v>0</v>
      </c>
      <c r="U48" s="1295">
        <f>SUMIF('Despesas com Pessoal'!$K$203:$K$220,$D48,'Despesas com Pessoal'!AA$203:AA$220)</f>
        <v>0</v>
      </c>
      <c r="V48" s="1295">
        <f>SUMIF('Despesas com Pessoal'!$K$203:$K$220,$D48,'Despesas com Pessoal'!AB$203:AB$220)</f>
        <v>0</v>
      </c>
      <c r="W48" s="1295">
        <f>SUMIF('Despesas com Pessoal'!$K$203:$K$220,$D48,'Despesas com Pessoal'!AC$203:AC$220)</f>
        <v>0</v>
      </c>
      <c r="X48" s="1295">
        <f>SUMIF('Despesas com Pessoal'!$K$203:$K$220,$D48,'Despesas com Pessoal'!AD$203:AD$220)</f>
        <v>0</v>
      </c>
      <c r="Y48" s="1295">
        <f>SUMIF('Despesas com Pessoal'!$K$203:$K$220,$D48,'Despesas com Pessoal'!AE$203:AE$220)</f>
        <v>0</v>
      </c>
      <c r="Z48" s="1295">
        <f>SUMIF('Despesas com Pessoal'!$K$203:$K$220,$D48,'Despesas com Pessoal'!AF$203:AF$220)</f>
        <v>0</v>
      </c>
      <c r="AA48" s="1295">
        <f>SUMIF('Despesas com Pessoal'!$K$203:$K$220,$D48,'Despesas com Pessoal'!AG$203:AG$220)</f>
        <v>0</v>
      </c>
      <c r="AB48" s="1295">
        <f>SUMIF('Despesas com Pessoal'!$K$203:$K$220,$D48,'Despesas com Pessoal'!AH$203:AH$220)</f>
        <v>0</v>
      </c>
      <c r="AC48" s="1295">
        <f>SUMIF('Despesas com Pessoal'!$K$203:$K$220,$D48,'Despesas com Pessoal'!AI$203:AI$220)</f>
        <v>0</v>
      </c>
      <c r="AD48" s="1295">
        <f>SUMIF('Despesas com Pessoal'!$K$203:$K$220,$D48,'Despesas com Pessoal'!AJ$203:AJ$220)</f>
        <v>0</v>
      </c>
      <c r="AE48" s="1295">
        <f>SUMIF('Despesas com Pessoal'!$K$203:$K$220,$D48,'Despesas com Pessoal'!AK$203:AK$220)</f>
        <v>0</v>
      </c>
      <c r="AF48" s="1295">
        <f>SUMIF('Despesas com Pessoal'!$K$203:$K$220,$D48,'Despesas com Pessoal'!AL$203:AL$220)</f>
        <v>0</v>
      </c>
      <c r="AG48" s="1295">
        <f>SUMIF('Despesas com Pessoal'!$K$203:$K$220,$D48,'Despesas com Pessoal'!AM$203:AM$220)</f>
        <v>0</v>
      </c>
      <c r="AH48" s="1295">
        <f>SUMIF('Despesas com Pessoal'!$K$203:$K$220,$D48,'Despesas com Pessoal'!AN$203:AN$220)</f>
        <v>0</v>
      </c>
      <c r="AI48" s="1295">
        <f>SUMIF('Despesas com Pessoal'!$K$203:$K$220,$D48,'Despesas com Pessoal'!AO$203:AO$220)</f>
        <v>0</v>
      </c>
      <c r="AJ48" s="1295">
        <f>SUMIF('Despesas com Pessoal'!$K$203:$K$220,$D48,'Despesas com Pessoal'!AP$203:AP$220)</f>
        <v>0</v>
      </c>
      <c r="AK48" s="280"/>
      <c r="AL48" s="280"/>
      <c r="AM48" s="280"/>
      <c r="AN48" s="280"/>
      <c r="AO48" s="280"/>
      <c r="AP48" s="283"/>
      <c r="AQ48" s="283"/>
      <c r="AR48" s="283"/>
      <c r="AS48" s="283"/>
      <c r="AT48" s="283"/>
      <c r="AU48" s="283"/>
      <c r="AV48" s="283"/>
      <c r="AW48" s="283"/>
      <c r="AX48" s="283"/>
      <c r="AY48" s="283"/>
      <c r="AZ48" s="283"/>
      <c r="BA48" s="283"/>
      <c r="BB48" s="283"/>
      <c r="BC48" s="283"/>
      <c r="BD48" s="283"/>
      <c r="BE48" s="283"/>
      <c r="BF48" s="283"/>
      <c r="BG48" s="283"/>
      <c r="BH48" s="283"/>
      <c r="BI48" s="283"/>
      <c r="BJ48" s="283"/>
      <c r="BK48" s="283"/>
      <c r="BL48" s="283"/>
      <c r="BM48" s="283"/>
      <c r="BN48" s="283"/>
      <c r="BO48" s="283"/>
      <c r="BP48" s="283"/>
      <c r="BQ48" s="283"/>
      <c r="BR48" s="283"/>
      <c r="BS48" s="283"/>
      <c r="BT48" s="283"/>
      <c r="BU48" s="283"/>
      <c r="BV48" s="283"/>
      <c r="BW48" s="283"/>
      <c r="BX48" s="283"/>
      <c r="BY48" s="283"/>
      <c r="BZ48" s="283"/>
      <c r="CA48" s="283"/>
    </row>
    <row r="49" spans="1:79">
      <c r="A49" s="595"/>
      <c r="B49" s="598"/>
      <c r="C49" s="599"/>
      <c r="D49" s="874"/>
      <c r="E49" s="1294"/>
      <c r="F49" s="875">
        <f t="shared" si="71"/>
        <v>0</v>
      </c>
      <c r="G49" s="1295">
        <f>SUMIF('Despesas com Pessoal'!$K$203:$K$220,$D49,'Despesas com Pessoal'!M$203:M$220)</f>
        <v>0</v>
      </c>
      <c r="H49" s="1295">
        <f>SUMIF('Despesas com Pessoal'!$K$203:$K$220,$D49,'Despesas com Pessoal'!N$203:N$220)</f>
        <v>0</v>
      </c>
      <c r="I49" s="1295">
        <f>SUMIF('Despesas com Pessoal'!$K$203:$K$220,$D49,'Despesas com Pessoal'!O$203:O$220)</f>
        <v>0</v>
      </c>
      <c r="J49" s="1295">
        <f>SUMIF('Despesas com Pessoal'!$K$203:$K$220,$D49,'Despesas com Pessoal'!P$203:P$220)</f>
        <v>0</v>
      </c>
      <c r="K49" s="1295">
        <f>SUMIF('Despesas com Pessoal'!$K$203:$K$220,$D49,'Despesas com Pessoal'!Q$203:Q$220)</f>
        <v>0</v>
      </c>
      <c r="L49" s="1295">
        <f>SUMIF('Despesas com Pessoal'!$K$203:$K$220,$D49,'Despesas com Pessoal'!R$203:R$220)</f>
        <v>0</v>
      </c>
      <c r="M49" s="1295">
        <f>SUMIF('Despesas com Pessoal'!$K$203:$K$220,$D49,'Despesas com Pessoal'!S$203:S$220)</f>
        <v>0</v>
      </c>
      <c r="N49" s="1295">
        <f>SUMIF('Despesas com Pessoal'!$K$203:$K$220,$D49,'Despesas com Pessoal'!T$203:T$220)</f>
        <v>0</v>
      </c>
      <c r="O49" s="1295">
        <f>SUMIF('Despesas com Pessoal'!$K$203:$K$220,$D49,'Despesas com Pessoal'!U$203:U$220)</f>
        <v>0</v>
      </c>
      <c r="P49" s="1295">
        <f>SUMIF('Despesas com Pessoal'!$K$203:$K$220,$D49,'Despesas com Pessoal'!V$203:V$220)</f>
        <v>0</v>
      </c>
      <c r="Q49" s="1295">
        <f>SUMIF('Despesas com Pessoal'!$K$203:$K$220,$D49,'Despesas com Pessoal'!W$203:W$220)</f>
        <v>0</v>
      </c>
      <c r="R49" s="1295">
        <f>SUMIF('Despesas com Pessoal'!$K$203:$K$220,$D49,'Despesas com Pessoal'!X$203:X$220)</f>
        <v>0</v>
      </c>
      <c r="S49" s="1295">
        <f>SUMIF('Despesas com Pessoal'!$K$203:$K$220,$D49,'Despesas com Pessoal'!Y$203:Y$220)</f>
        <v>0</v>
      </c>
      <c r="T49" s="1295">
        <f>SUMIF('Despesas com Pessoal'!$K$203:$K$220,$D49,'Despesas com Pessoal'!Z$203:Z$220)</f>
        <v>0</v>
      </c>
      <c r="U49" s="1295">
        <f>SUMIF('Despesas com Pessoal'!$K$203:$K$220,$D49,'Despesas com Pessoal'!AA$203:AA$220)</f>
        <v>0</v>
      </c>
      <c r="V49" s="1295">
        <f>SUMIF('Despesas com Pessoal'!$K$203:$K$220,$D49,'Despesas com Pessoal'!AB$203:AB$220)</f>
        <v>0</v>
      </c>
      <c r="W49" s="1295">
        <f>SUMIF('Despesas com Pessoal'!$K$203:$K$220,$D49,'Despesas com Pessoal'!AC$203:AC$220)</f>
        <v>0</v>
      </c>
      <c r="X49" s="1295">
        <f>SUMIF('Despesas com Pessoal'!$K$203:$K$220,$D49,'Despesas com Pessoal'!AD$203:AD$220)</f>
        <v>0</v>
      </c>
      <c r="Y49" s="1295">
        <f>SUMIF('Despesas com Pessoal'!$K$203:$K$220,$D49,'Despesas com Pessoal'!AE$203:AE$220)</f>
        <v>0</v>
      </c>
      <c r="Z49" s="1295">
        <f>SUMIF('Despesas com Pessoal'!$K$203:$K$220,$D49,'Despesas com Pessoal'!AF$203:AF$220)</f>
        <v>0</v>
      </c>
      <c r="AA49" s="1295">
        <f>SUMIF('Despesas com Pessoal'!$K$203:$K$220,$D49,'Despesas com Pessoal'!AG$203:AG$220)</f>
        <v>0</v>
      </c>
      <c r="AB49" s="1295">
        <f>SUMIF('Despesas com Pessoal'!$K$203:$K$220,$D49,'Despesas com Pessoal'!AH$203:AH$220)</f>
        <v>0</v>
      </c>
      <c r="AC49" s="1295">
        <f>SUMIF('Despesas com Pessoal'!$K$203:$K$220,$D49,'Despesas com Pessoal'!AI$203:AI$220)</f>
        <v>0</v>
      </c>
      <c r="AD49" s="1295">
        <f>SUMIF('Despesas com Pessoal'!$K$203:$K$220,$D49,'Despesas com Pessoal'!AJ$203:AJ$220)</f>
        <v>0</v>
      </c>
      <c r="AE49" s="1295">
        <f>SUMIF('Despesas com Pessoal'!$K$203:$K$220,$D49,'Despesas com Pessoal'!AK$203:AK$220)</f>
        <v>0</v>
      </c>
      <c r="AF49" s="1295">
        <f>SUMIF('Despesas com Pessoal'!$K$203:$K$220,$D49,'Despesas com Pessoal'!AL$203:AL$220)</f>
        <v>0</v>
      </c>
      <c r="AG49" s="1295">
        <f>SUMIF('Despesas com Pessoal'!$K$203:$K$220,$D49,'Despesas com Pessoal'!AM$203:AM$220)</f>
        <v>0</v>
      </c>
      <c r="AH49" s="1295">
        <f>SUMIF('Despesas com Pessoal'!$K$203:$K$220,$D49,'Despesas com Pessoal'!AN$203:AN$220)</f>
        <v>0</v>
      </c>
      <c r="AI49" s="1295">
        <f>SUMIF('Despesas com Pessoal'!$K$203:$K$220,$D49,'Despesas com Pessoal'!AO$203:AO$220)</f>
        <v>0</v>
      </c>
      <c r="AJ49" s="1295">
        <f>SUMIF('Despesas com Pessoal'!$K$203:$K$220,$D49,'Despesas com Pessoal'!AP$203:AP$220)</f>
        <v>0</v>
      </c>
      <c r="AK49" s="280"/>
      <c r="AL49" s="280"/>
      <c r="AM49" s="280"/>
      <c r="AN49" s="280"/>
      <c r="AO49" s="280"/>
      <c r="AP49" s="283"/>
      <c r="AQ49" s="283"/>
      <c r="AR49" s="283"/>
      <c r="AS49" s="283"/>
      <c r="AT49" s="283"/>
      <c r="AU49" s="283"/>
      <c r="AV49" s="283"/>
      <c r="AW49" s="283"/>
      <c r="AX49" s="283"/>
      <c r="AY49" s="283"/>
      <c r="AZ49" s="283"/>
      <c r="BA49" s="283"/>
      <c r="BB49" s="283"/>
      <c r="BC49" s="283"/>
      <c r="BD49" s="283"/>
      <c r="BE49" s="283"/>
      <c r="BF49" s="283"/>
      <c r="BG49" s="283"/>
      <c r="BH49" s="283"/>
      <c r="BI49" s="283"/>
      <c r="BJ49" s="283"/>
      <c r="BK49" s="283"/>
      <c r="BL49" s="283"/>
      <c r="BM49" s="283"/>
      <c r="BN49" s="283"/>
      <c r="BO49" s="283"/>
      <c r="BP49" s="283"/>
      <c r="BQ49" s="283"/>
      <c r="BR49" s="283"/>
      <c r="BS49" s="283"/>
      <c r="BT49" s="283"/>
      <c r="BU49" s="283"/>
      <c r="BV49" s="283"/>
      <c r="BW49" s="283"/>
      <c r="BX49" s="283"/>
      <c r="BY49" s="283"/>
      <c r="BZ49" s="283"/>
      <c r="CA49" s="283"/>
    </row>
    <row r="50" spans="1:79">
      <c r="A50" s="595"/>
      <c r="B50" s="598"/>
      <c r="C50" s="599"/>
      <c r="D50" s="874"/>
      <c r="E50" s="1294"/>
      <c r="F50" s="875">
        <f t="shared" si="71"/>
        <v>0</v>
      </c>
      <c r="G50" s="1295">
        <f>SUMIF('Despesas com Pessoal'!$K$203:$K$220,$D50,'Despesas com Pessoal'!M$203:M$220)</f>
        <v>0</v>
      </c>
      <c r="H50" s="1295">
        <f>SUMIF('Despesas com Pessoal'!$K$203:$K$220,$D50,'Despesas com Pessoal'!N$203:N$220)</f>
        <v>0</v>
      </c>
      <c r="I50" s="1295">
        <f>SUMIF('Despesas com Pessoal'!$K$203:$K$220,$D50,'Despesas com Pessoal'!O$203:O$220)</f>
        <v>0</v>
      </c>
      <c r="J50" s="1295">
        <f>SUMIF('Despesas com Pessoal'!$K$203:$K$220,$D50,'Despesas com Pessoal'!P$203:P$220)</f>
        <v>0</v>
      </c>
      <c r="K50" s="1295">
        <f>SUMIF('Despesas com Pessoal'!$K$203:$K$220,$D50,'Despesas com Pessoal'!Q$203:Q$220)</f>
        <v>0</v>
      </c>
      <c r="L50" s="1295">
        <f>SUMIF('Despesas com Pessoal'!$K$203:$K$220,$D50,'Despesas com Pessoal'!R$203:R$220)</f>
        <v>0</v>
      </c>
      <c r="M50" s="1295">
        <f>SUMIF('Despesas com Pessoal'!$K$203:$K$220,$D50,'Despesas com Pessoal'!S$203:S$220)</f>
        <v>0</v>
      </c>
      <c r="N50" s="1295">
        <f>SUMIF('Despesas com Pessoal'!$K$203:$K$220,$D50,'Despesas com Pessoal'!T$203:T$220)</f>
        <v>0</v>
      </c>
      <c r="O50" s="1295">
        <f>SUMIF('Despesas com Pessoal'!$K$203:$K$220,$D50,'Despesas com Pessoal'!U$203:U$220)</f>
        <v>0</v>
      </c>
      <c r="P50" s="1295">
        <f>SUMIF('Despesas com Pessoal'!$K$203:$K$220,$D50,'Despesas com Pessoal'!V$203:V$220)</f>
        <v>0</v>
      </c>
      <c r="Q50" s="1295">
        <f>SUMIF('Despesas com Pessoal'!$K$203:$K$220,$D50,'Despesas com Pessoal'!W$203:W$220)</f>
        <v>0</v>
      </c>
      <c r="R50" s="1295">
        <f>SUMIF('Despesas com Pessoal'!$K$203:$K$220,$D50,'Despesas com Pessoal'!X$203:X$220)</f>
        <v>0</v>
      </c>
      <c r="S50" s="1295">
        <f>SUMIF('Despesas com Pessoal'!$K$203:$K$220,$D50,'Despesas com Pessoal'!Y$203:Y$220)</f>
        <v>0</v>
      </c>
      <c r="T50" s="1295">
        <f>SUMIF('Despesas com Pessoal'!$K$203:$K$220,$D50,'Despesas com Pessoal'!Z$203:Z$220)</f>
        <v>0</v>
      </c>
      <c r="U50" s="1295">
        <f>SUMIF('Despesas com Pessoal'!$K$203:$K$220,$D50,'Despesas com Pessoal'!AA$203:AA$220)</f>
        <v>0</v>
      </c>
      <c r="V50" s="1295">
        <f>SUMIF('Despesas com Pessoal'!$K$203:$K$220,$D50,'Despesas com Pessoal'!AB$203:AB$220)</f>
        <v>0</v>
      </c>
      <c r="W50" s="1295">
        <f>SUMIF('Despesas com Pessoal'!$K$203:$K$220,$D50,'Despesas com Pessoal'!AC$203:AC$220)</f>
        <v>0</v>
      </c>
      <c r="X50" s="1295">
        <f>SUMIF('Despesas com Pessoal'!$K$203:$K$220,$D50,'Despesas com Pessoal'!AD$203:AD$220)</f>
        <v>0</v>
      </c>
      <c r="Y50" s="1295">
        <f>SUMIF('Despesas com Pessoal'!$K$203:$K$220,$D50,'Despesas com Pessoal'!AE$203:AE$220)</f>
        <v>0</v>
      </c>
      <c r="Z50" s="1295">
        <f>SUMIF('Despesas com Pessoal'!$K$203:$K$220,$D50,'Despesas com Pessoal'!AF$203:AF$220)</f>
        <v>0</v>
      </c>
      <c r="AA50" s="1295">
        <f>SUMIF('Despesas com Pessoal'!$K$203:$K$220,$D50,'Despesas com Pessoal'!AG$203:AG$220)</f>
        <v>0</v>
      </c>
      <c r="AB50" s="1295">
        <f>SUMIF('Despesas com Pessoal'!$K$203:$K$220,$D50,'Despesas com Pessoal'!AH$203:AH$220)</f>
        <v>0</v>
      </c>
      <c r="AC50" s="1295">
        <f>SUMIF('Despesas com Pessoal'!$K$203:$K$220,$D50,'Despesas com Pessoal'!AI$203:AI$220)</f>
        <v>0</v>
      </c>
      <c r="AD50" s="1295">
        <f>SUMIF('Despesas com Pessoal'!$K$203:$K$220,$D50,'Despesas com Pessoal'!AJ$203:AJ$220)</f>
        <v>0</v>
      </c>
      <c r="AE50" s="1295">
        <f>SUMIF('Despesas com Pessoal'!$K$203:$K$220,$D50,'Despesas com Pessoal'!AK$203:AK$220)</f>
        <v>0</v>
      </c>
      <c r="AF50" s="1295">
        <f>SUMIF('Despesas com Pessoal'!$K$203:$K$220,$D50,'Despesas com Pessoal'!AL$203:AL$220)</f>
        <v>0</v>
      </c>
      <c r="AG50" s="1295">
        <f>SUMIF('Despesas com Pessoal'!$K$203:$K$220,$D50,'Despesas com Pessoal'!AM$203:AM$220)</f>
        <v>0</v>
      </c>
      <c r="AH50" s="1295">
        <f>SUMIF('Despesas com Pessoal'!$K$203:$K$220,$D50,'Despesas com Pessoal'!AN$203:AN$220)</f>
        <v>0</v>
      </c>
      <c r="AI50" s="1295">
        <f>SUMIF('Despesas com Pessoal'!$K$203:$K$220,$D50,'Despesas com Pessoal'!AO$203:AO$220)</f>
        <v>0</v>
      </c>
      <c r="AJ50" s="1295">
        <f>SUMIF('Despesas com Pessoal'!$K$203:$K$220,$D50,'Despesas com Pessoal'!AP$203:AP$220)</f>
        <v>0</v>
      </c>
      <c r="AK50" s="300"/>
      <c r="AL50" s="300"/>
      <c r="AM50" s="300"/>
      <c r="AN50" s="300"/>
      <c r="AO50" s="300"/>
      <c r="AP50" s="283"/>
      <c r="AQ50" s="283"/>
      <c r="AR50" s="283"/>
      <c r="AS50" s="283"/>
      <c r="AT50" s="283"/>
      <c r="AU50" s="283"/>
      <c r="AV50" s="283"/>
      <c r="AW50" s="283"/>
      <c r="AX50" s="283"/>
      <c r="AY50" s="283"/>
      <c r="AZ50" s="283"/>
      <c r="BA50" s="283"/>
      <c r="BB50" s="283"/>
      <c r="BC50" s="283"/>
      <c r="BD50" s="283"/>
      <c r="BE50" s="283"/>
      <c r="BF50" s="283"/>
      <c r="BG50" s="283"/>
      <c r="BH50" s="283"/>
      <c r="BI50" s="283"/>
      <c r="BJ50" s="283"/>
      <c r="BK50" s="283"/>
      <c r="BL50" s="283"/>
      <c r="BM50" s="283"/>
      <c r="BN50" s="283"/>
      <c r="BO50" s="283"/>
      <c r="BP50" s="283"/>
      <c r="BQ50" s="283"/>
      <c r="BR50" s="283"/>
      <c r="BS50" s="283"/>
      <c r="BT50" s="283"/>
      <c r="BU50" s="283"/>
      <c r="BV50" s="283"/>
      <c r="BW50" s="283"/>
      <c r="BX50" s="283"/>
      <c r="BY50" s="283"/>
      <c r="BZ50" s="283"/>
      <c r="CA50" s="283"/>
    </row>
    <row r="51" spans="1:79">
      <c r="A51" s="595"/>
      <c r="B51" s="598"/>
      <c r="C51" s="599"/>
      <c r="D51" s="874"/>
      <c r="E51" s="1296" t="s">
        <v>38</v>
      </c>
      <c r="F51" s="875">
        <f t="shared" ref="F51:AJ51" si="72">SUM(F30:F47)</f>
        <v>1661536.0305605533</v>
      </c>
      <c r="G51" s="875">
        <f t="shared" si="72"/>
        <v>32375.088567126404</v>
      </c>
      <c r="H51" s="875">
        <f t="shared" si="72"/>
        <v>53956.034035149001</v>
      </c>
      <c r="I51" s="875">
        <f t="shared" si="72"/>
        <v>59871.865172557664</v>
      </c>
      <c r="J51" s="875">
        <f t="shared" si="72"/>
        <v>53407.520175858444</v>
      </c>
      <c r="K51" s="875">
        <f t="shared" si="72"/>
        <v>53159.074353750038</v>
      </c>
      <c r="L51" s="875">
        <f t="shared" si="72"/>
        <v>56733.402527695798</v>
      </c>
      <c r="M51" s="875">
        <f t="shared" si="72"/>
        <v>60250.900283318777</v>
      </c>
      <c r="N51" s="875">
        <f t="shared" si="72"/>
        <v>53194.425133436962</v>
      </c>
      <c r="O51" s="875">
        <f t="shared" si="72"/>
        <v>56598.391718547864</v>
      </c>
      <c r="P51" s="875">
        <f t="shared" si="72"/>
        <v>60447.67534503225</v>
      </c>
      <c r="Q51" s="875">
        <f t="shared" si="72"/>
        <v>53108.159559081381</v>
      </c>
      <c r="R51" s="875">
        <f t="shared" si="72"/>
        <v>56890.729494731437</v>
      </c>
      <c r="S51" s="875">
        <f t="shared" si="72"/>
        <v>60353.57447583419</v>
      </c>
      <c r="T51" s="875">
        <f t="shared" si="72"/>
        <v>53220.543851399954</v>
      </c>
      <c r="U51" s="875">
        <f t="shared" si="72"/>
        <v>56678.774133773615</v>
      </c>
      <c r="V51" s="875">
        <f t="shared" si="72"/>
        <v>60783.226453656207</v>
      </c>
      <c r="W51" s="875">
        <f t="shared" si="72"/>
        <v>53224.259897011681</v>
      </c>
      <c r="X51" s="875">
        <f t="shared" si="72"/>
        <v>56932.234263403712</v>
      </c>
      <c r="Y51" s="875">
        <f t="shared" si="72"/>
        <v>60407.244145481905</v>
      </c>
      <c r="Z51" s="875">
        <f t="shared" si="72"/>
        <v>53249.337611144991</v>
      </c>
      <c r="AA51" s="875">
        <f t="shared" si="72"/>
        <v>57143.427429726064</v>
      </c>
      <c r="AB51" s="875">
        <f t="shared" si="72"/>
        <v>61172.114255195098</v>
      </c>
      <c r="AC51" s="875">
        <f t="shared" si="72"/>
        <v>53431.752289023665</v>
      </c>
      <c r="AD51" s="875">
        <f t="shared" si="72"/>
        <v>57355.846751422629</v>
      </c>
      <c r="AE51" s="875">
        <f t="shared" si="72"/>
        <v>53389.490709960417</v>
      </c>
      <c r="AF51" s="875">
        <f t="shared" si="72"/>
        <v>57439.06415541195</v>
      </c>
      <c r="AG51" s="875">
        <f t="shared" si="72"/>
        <v>61068.254642237007</v>
      </c>
      <c r="AH51" s="875">
        <f t="shared" si="72"/>
        <v>53601.890709960411</v>
      </c>
      <c r="AI51" s="875">
        <f t="shared" si="72"/>
        <v>57326.820155411959</v>
      </c>
      <c r="AJ51" s="875">
        <f t="shared" si="72"/>
        <v>44764.908264211641</v>
      </c>
      <c r="AK51" s="300"/>
      <c r="AL51" s="300"/>
      <c r="AM51" s="300"/>
      <c r="AN51" s="300"/>
      <c r="AO51" s="300"/>
      <c r="AP51" s="283"/>
      <c r="AQ51" s="283"/>
      <c r="AR51" s="283"/>
      <c r="AS51" s="283"/>
      <c r="AT51" s="283"/>
      <c r="AU51" s="283"/>
      <c r="AV51" s="283"/>
      <c r="AW51" s="283"/>
      <c r="AX51" s="283"/>
      <c r="AY51" s="283"/>
      <c r="AZ51" s="283"/>
      <c r="BA51" s="283"/>
      <c r="BB51" s="283"/>
      <c r="BC51" s="283"/>
      <c r="BD51" s="283"/>
      <c r="BE51" s="283"/>
      <c r="BF51" s="283"/>
      <c r="BG51" s="283"/>
      <c r="BH51" s="283"/>
      <c r="BI51" s="283"/>
      <c r="BJ51" s="283"/>
      <c r="BK51" s="283"/>
      <c r="BL51" s="283"/>
      <c r="BM51" s="283"/>
      <c r="BN51" s="283"/>
      <c r="BO51" s="283"/>
      <c r="BP51" s="283"/>
      <c r="BQ51" s="283"/>
      <c r="BR51" s="283"/>
      <c r="BS51" s="283"/>
      <c r="BT51" s="283"/>
      <c r="BU51" s="283"/>
      <c r="BV51" s="283"/>
      <c r="BW51" s="283"/>
      <c r="BX51" s="283"/>
      <c r="BY51" s="283"/>
      <c r="BZ51" s="283"/>
      <c r="CA51" s="283"/>
    </row>
    <row r="52" spans="1:79">
      <c r="A52" s="595"/>
      <c r="B52" s="598"/>
      <c r="C52" s="599"/>
      <c r="D52" s="263"/>
      <c r="E52" s="327"/>
      <c r="F52" s="300"/>
      <c r="G52" s="300"/>
      <c r="H52" s="300"/>
      <c r="I52" s="300"/>
      <c r="J52" s="300"/>
      <c r="K52" s="300"/>
      <c r="L52" s="300"/>
      <c r="M52" s="300"/>
      <c r="N52" s="300"/>
      <c r="O52" s="300"/>
      <c r="P52" s="300"/>
      <c r="Q52" s="300"/>
      <c r="R52" s="300"/>
      <c r="S52" s="300"/>
      <c r="T52" s="300"/>
      <c r="U52" s="300"/>
      <c r="V52" s="300"/>
      <c r="W52" s="300"/>
      <c r="X52" s="300"/>
      <c r="Y52" s="300"/>
      <c r="Z52" s="300"/>
      <c r="AA52" s="300"/>
      <c r="AB52" s="300"/>
      <c r="AC52" s="300"/>
      <c r="AD52" s="300"/>
      <c r="AE52" s="300"/>
      <c r="AF52" s="300"/>
      <c r="AG52" s="300"/>
      <c r="AH52" s="300"/>
      <c r="AI52" s="300"/>
      <c r="AJ52" s="300"/>
      <c r="AK52" s="283"/>
      <c r="AL52" s="283"/>
      <c r="AM52" s="283"/>
      <c r="AN52" s="283"/>
      <c r="AO52" s="283"/>
      <c r="AP52" s="283"/>
      <c r="AQ52" s="283"/>
      <c r="AR52" s="283"/>
      <c r="AS52" s="283"/>
      <c r="AT52" s="283"/>
      <c r="AU52" s="283"/>
      <c r="AV52" s="283"/>
      <c r="AW52" s="283"/>
      <c r="AX52" s="283"/>
      <c r="AY52" s="283"/>
      <c r="AZ52" s="283"/>
      <c r="BA52" s="283"/>
      <c r="BB52" s="283"/>
      <c r="BC52" s="283"/>
      <c r="BD52" s="283"/>
      <c r="BE52" s="283"/>
      <c r="BF52" s="283"/>
      <c r="BG52" s="283"/>
      <c r="BH52" s="283"/>
      <c r="BI52" s="283"/>
      <c r="BJ52" s="283"/>
      <c r="BK52" s="283"/>
      <c r="BL52" s="283"/>
      <c r="BM52" s="283"/>
      <c r="BN52" s="283"/>
      <c r="BO52" s="283"/>
      <c r="BP52" s="283"/>
      <c r="BQ52" s="283"/>
      <c r="BR52" s="283"/>
      <c r="BS52" s="283"/>
      <c r="BT52" s="283"/>
      <c r="BU52" s="283"/>
      <c r="BV52" s="283"/>
      <c r="BW52" s="283"/>
      <c r="BX52" s="283"/>
      <c r="BY52" s="283"/>
      <c r="BZ52" s="283"/>
      <c r="CA52" s="283"/>
    </row>
    <row r="53" spans="1:79">
      <c r="A53" s="595"/>
      <c r="B53" s="598"/>
      <c r="C53" s="599"/>
      <c r="D53" s="283"/>
      <c r="E53" s="283"/>
      <c r="F53" s="283"/>
      <c r="G53" s="283"/>
      <c r="H53" s="283"/>
      <c r="I53" s="283"/>
      <c r="J53" s="283"/>
      <c r="K53" s="283"/>
      <c r="L53" s="283"/>
      <c r="M53" s="283"/>
      <c r="N53" s="283"/>
      <c r="O53" s="283"/>
      <c r="P53" s="283"/>
      <c r="Q53" s="283"/>
      <c r="R53" s="283"/>
      <c r="S53" s="283"/>
      <c r="T53" s="283"/>
      <c r="U53" s="283"/>
      <c r="V53" s="283"/>
      <c r="W53" s="283"/>
      <c r="X53" s="283"/>
      <c r="Y53" s="283"/>
      <c r="Z53" s="283"/>
      <c r="AA53" s="283"/>
      <c r="AB53" s="283"/>
      <c r="AC53" s="283"/>
      <c r="AD53" s="283"/>
      <c r="AE53" s="283"/>
      <c r="AF53" s="283"/>
      <c r="AG53" s="283"/>
      <c r="AH53" s="283"/>
      <c r="AI53" s="283"/>
      <c r="AJ53" s="283"/>
      <c r="AK53" s="287"/>
      <c r="AL53" s="287"/>
      <c r="AM53" s="287"/>
      <c r="AN53" s="287"/>
      <c r="AO53" s="287"/>
      <c r="AP53" s="283"/>
      <c r="AQ53" s="283"/>
      <c r="AR53" s="283"/>
      <c r="AS53" s="283"/>
      <c r="AT53" s="283"/>
      <c r="AU53" s="283"/>
      <c r="AV53" s="283"/>
      <c r="AW53" s="283"/>
      <c r="AX53" s="283"/>
      <c r="AY53" s="283"/>
      <c r="AZ53" s="283"/>
      <c r="BA53" s="283"/>
      <c r="BB53" s="283"/>
      <c r="BC53" s="283"/>
      <c r="BD53" s="283"/>
      <c r="BE53" s="283"/>
      <c r="BF53" s="283"/>
      <c r="BG53" s="283"/>
      <c r="BH53" s="283"/>
      <c r="BI53" s="283"/>
      <c r="BJ53" s="283"/>
      <c r="BK53" s="283"/>
      <c r="BL53" s="283"/>
      <c r="BM53" s="283"/>
      <c r="BN53" s="283"/>
      <c r="BO53" s="283"/>
      <c r="BP53" s="283"/>
      <c r="BQ53" s="283"/>
      <c r="BR53" s="283"/>
      <c r="BS53" s="283"/>
      <c r="BT53" s="283"/>
      <c r="BU53" s="283"/>
      <c r="BV53" s="283"/>
      <c r="BW53" s="283"/>
      <c r="BX53" s="283"/>
      <c r="BY53" s="283"/>
      <c r="BZ53" s="283"/>
      <c r="CA53" s="283"/>
    </row>
    <row r="54" spans="1:79">
      <c r="A54" s="595"/>
      <c r="B54" s="598"/>
      <c r="C54" s="599"/>
      <c r="D54" s="1264" t="s">
        <v>3</v>
      </c>
      <c r="E54" s="1293" t="s">
        <v>1425</v>
      </c>
      <c r="F54" s="776" t="s">
        <v>38</v>
      </c>
      <c r="G54" s="776">
        <v>1</v>
      </c>
      <c r="H54" s="776">
        <f>1+G54</f>
        <v>2</v>
      </c>
      <c r="I54" s="776">
        <f t="shared" ref="I54:AD54" si="73">1+H54</f>
        <v>3</v>
      </c>
      <c r="J54" s="776">
        <f t="shared" si="73"/>
        <v>4</v>
      </c>
      <c r="K54" s="776">
        <f t="shared" si="73"/>
        <v>5</v>
      </c>
      <c r="L54" s="776">
        <f t="shared" si="73"/>
        <v>6</v>
      </c>
      <c r="M54" s="776">
        <f t="shared" si="73"/>
        <v>7</v>
      </c>
      <c r="N54" s="776">
        <f t="shared" si="73"/>
        <v>8</v>
      </c>
      <c r="O54" s="776">
        <f t="shared" si="73"/>
        <v>9</v>
      </c>
      <c r="P54" s="776">
        <f t="shared" si="73"/>
        <v>10</v>
      </c>
      <c r="Q54" s="776">
        <f t="shared" si="73"/>
        <v>11</v>
      </c>
      <c r="R54" s="776">
        <f t="shared" si="73"/>
        <v>12</v>
      </c>
      <c r="S54" s="776">
        <f t="shared" si="73"/>
        <v>13</v>
      </c>
      <c r="T54" s="776">
        <f t="shared" si="73"/>
        <v>14</v>
      </c>
      <c r="U54" s="776">
        <f t="shared" si="73"/>
        <v>15</v>
      </c>
      <c r="V54" s="776">
        <f t="shared" si="73"/>
        <v>16</v>
      </c>
      <c r="W54" s="776">
        <f t="shared" si="73"/>
        <v>17</v>
      </c>
      <c r="X54" s="776">
        <f t="shared" si="73"/>
        <v>18</v>
      </c>
      <c r="Y54" s="776">
        <f t="shared" si="73"/>
        <v>19</v>
      </c>
      <c r="Z54" s="776">
        <f t="shared" si="73"/>
        <v>20</v>
      </c>
      <c r="AA54" s="776">
        <f t="shared" si="73"/>
        <v>21</v>
      </c>
      <c r="AB54" s="776">
        <f t="shared" si="73"/>
        <v>22</v>
      </c>
      <c r="AC54" s="776">
        <f t="shared" si="73"/>
        <v>23</v>
      </c>
      <c r="AD54" s="776">
        <f t="shared" si="73"/>
        <v>24</v>
      </c>
      <c r="AE54" s="776">
        <f t="shared" ref="AE54" si="74">1+AD54</f>
        <v>25</v>
      </c>
      <c r="AF54" s="776">
        <f t="shared" ref="AF54" si="75">1+AE54</f>
        <v>26</v>
      </c>
      <c r="AG54" s="776">
        <f t="shared" ref="AG54" si="76">1+AF54</f>
        <v>27</v>
      </c>
      <c r="AH54" s="776">
        <f t="shared" ref="AH54" si="77">1+AG54</f>
        <v>28</v>
      </c>
      <c r="AI54" s="776">
        <f t="shared" ref="AI54" si="78">1+AH54</f>
        <v>29</v>
      </c>
      <c r="AJ54" s="776">
        <f t="shared" ref="AJ54" si="79">1+AI54</f>
        <v>30</v>
      </c>
      <c r="AK54" s="280"/>
      <c r="AL54" s="280"/>
      <c r="AM54" s="280"/>
      <c r="AN54" s="280"/>
      <c r="AO54" s="280"/>
      <c r="AP54" s="283"/>
      <c r="AQ54" s="283"/>
      <c r="AR54" s="283"/>
      <c r="AS54" s="283"/>
      <c r="AT54" s="283"/>
      <c r="AU54" s="283"/>
      <c r="AV54" s="283"/>
      <c r="AW54" s="283"/>
      <c r="AX54" s="283"/>
      <c r="AY54" s="283"/>
      <c r="AZ54" s="283"/>
      <c r="BA54" s="283"/>
      <c r="BB54" s="283"/>
      <c r="BC54" s="283"/>
      <c r="BD54" s="283"/>
      <c r="BE54" s="283"/>
      <c r="BF54" s="283"/>
      <c r="BG54" s="283"/>
      <c r="BH54" s="283"/>
      <c r="BI54" s="283"/>
      <c r="BJ54" s="283"/>
      <c r="BK54" s="283"/>
      <c r="BL54" s="283"/>
      <c r="BM54" s="283"/>
      <c r="BN54" s="283"/>
      <c r="BO54" s="283"/>
      <c r="BP54" s="283"/>
      <c r="BQ54" s="283"/>
      <c r="BR54" s="283"/>
      <c r="BS54" s="283"/>
      <c r="BT54" s="283"/>
      <c r="BU54" s="283"/>
      <c r="BV54" s="283"/>
      <c r="BW54" s="283"/>
      <c r="BX54" s="283"/>
      <c r="BY54" s="283"/>
      <c r="BZ54" s="283"/>
      <c r="CA54" s="283"/>
    </row>
    <row r="55" spans="1:79">
      <c r="A55" s="595"/>
      <c r="B55" s="598"/>
      <c r="C55" s="599"/>
      <c r="D55" s="874">
        <v>1</v>
      </c>
      <c r="E55" s="1294" t="s">
        <v>254</v>
      </c>
      <c r="F55" s="875">
        <f t="shared" ref="F55:F72" ca="1" si="80">SUM(G55:AJ55)</f>
        <v>1622.9999999999993</v>
      </c>
      <c r="G55" s="1295">
        <f ca="1">'Sistemas-Manutenção'!AR152+'Sistemas-Manutenção'!BX152</f>
        <v>54.1</v>
      </c>
      <c r="H55" s="1295">
        <f ca="1">'Sistemas-Manutenção'!AS152+'Sistemas-Manutenção'!BY152</f>
        <v>54.1</v>
      </c>
      <c r="I55" s="1295">
        <f ca="1">'Sistemas-Manutenção'!AT152+'Sistemas-Manutenção'!BZ152</f>
        <v>54.1</v>
      </c>
      <c r="J55" s="1295">
        <f ca="1">'Sistemas-Manutenção'!AU152+'Sistemas-Manutenção'!CA152</f>
        <v>54.1</v>
      </c>
      <c r="K55" s="1295">
        <f ca="1">'Sistemas-Manutenção'!AV152+'Sistemas-Manutenção'!CB152</f>
        <v>54.1</v>
      </c>
      <c r="L55" s="1295">
        <f ca="1">'Sistemas-Manutenção'!AW152+'Sistemas-Manutenção'!CC152</f>
        <v>54.1</v>
      </c>
      <c r="M55" s="1295">
        <f ca="1">'Sistemas-Manutenção'!AX152+'Sistemas-Manutenção'!CD152</f>
        <v>54.1</v>
      </c>
      <c r="N55" s="1295">
        <f ca="1">'Sistemas-Manutenção'!AY152+'Sistemas-Manutenção'!CE152</f>
        <v>54.1</v>
      </c>
      <c r="O55" s="1295">
        <f ca="1">'Sistemas-Manutenção'!AZ152+'Sistemas-Manutenção'!CF152</f>
        <v>54.1</v>
      </c>
      <c r="P55" s="1295">
        <f ca="1">'Sistemas-Manutenção'!BA152+'Sistemas-Manutenção'!CG152</f>
        <v>54.1</v>
      </c>
      <c r="Q55" s="1295">
        <f ca="1">'Sistemas-Manutenção'!BB152+'Sistemas-Manutenção'!CH152</f>
        <v>54.1</v>
      </c>
      <c r="R55" s="1295">
        <f ca="1">'Sistemas-Manutenção'!BC152+'Sistemas-Manutenção'!CI152</f>
        <v>54.1</v>
      </c>
      <c r="S55" s="1295">
        <f ca="1">'Sistemas-Manutenção'!BD152+'Sistemas-Manutenção'!CJ152</f>
        <v>54.1</v>
      </c>
      <c r="T55" s="1295">
        <f ca="1">'Sistemas-Manutenção'!BE152+'Sistemas-Manutenção'!CK152</f>
        <v>54.1</v>
      </c>
      <c r="U55" s="1295">
        <f ca="1">'Sistemas-Manutenção'!BF152+'Sistemas-Manutenção'!CL152</f>
        <v>54.1</v>
      </c>
      <c r="V55" s="1295">
        <f ca="1">'Sistemas-Manutenção'!BG152+'Sistemas-Manutenção'!CM152</f>
        <v>54.1</v>
      </c>
      <c r="W55" s="1295">
        <f ca="1">'Sistemas-Manutenção'!BH152+'Sistemas-Manutenção'!CN152</f>
        <v>54.1</v>
      </c>
      <c r="X55" s="1295">
        <f ca="1">'Sistemas-Manutenção'!BI152+'Sistemas-Manutenção'!CO152</f>
        <v>54.1</v>
      </c>
      <c r="Y55" s="1295">
        <f ca="1">'Sistemas-Manutenção'!BJ152+'Sistemas-Manutenção'!CP152</f>
        <v>54.1</v>
      </c>
      <c r="Z55" s="1295">
        <f ca="1">'Sistemas-Manutenção'!BK152+'Sistemas-Manutenção'!CQ152</f>
        <v>54.1</v>
      </c>
      <c r="AA55" s="1295">
        <f ca="1">'Sistemas-Manutenção'!BL152+'Sistemas-Manutenção'!CR152</f>
        <v>54.1</v>
      </c>
      <c r="AB55" s="1295">
        <f ca="1">'Sistemas-Manutenção'!BM152+'Sistemas-Manutenção'!CS152</f>
        <v>54.1</v>
      </c>
      <c r="AC55" s="1295">
        <f ca="1">'Sistemas-Manutenção'!BN152+'Sistemas-Manutenção'!CT152</f>
        <v>54.1</v>
      </c>
      <c r="AD55" s="1295">
        <f ca="1">'Sistemas-Manutenção'!BO152+'Sistemas-Manutenção'!CU152</f>
        <v>54.1</v>
      </c>
      <c r="AE55" s="1295">
        <f ca="1">'Sistemas-Manutenção'!BP152+'Sistemas-Manutenção'!CV152</f>
        <v>54.1</v>
      </c>
      <c r="AF55" s="1295">
        <f ca="1">'Sistemas-Manutenção'!BQ152+'Sistemas-Manutenção'!CW152</f>
        <v>54.1</v>
      </c>
      <c r="AG55" s="1295">
        <f ca="1">'Sistemas-Manutenção'!BR152+'Sistemas-Manutenção'!CX152</f>
        <v>54.1</v>
      </c>
      <c r="AH55" s="1295">
        <f ca="1">'Sistemas-Manutenção'!BS152+'Sistemas-Manutenção'!CY152</f>
        <v>54.1</v>
      </c>
      <c r="AI55" s="1295">
        <f ca="1">'Sistemas-Manutenção'!BT152+'Sistemas-Manutenção'!CZ152</f>
        <v>54.1</v>
      </c>
      <c r="AJ55" s="1295">
        <f ca="1">'Sistemas-Manutenção'!BU152+'Sistemas-Manutenção'!DA152</f>
        <v>54.1</v>
      </c>
      <c r="AK55" s="280"/>
      <c r="AL55" s="280"/>
      <c r="AM55" s="280"/>
      <c r="AN55" s="280"/>
      <c r="AO55" s="280"/>
      <c r="AP55" s="283"/>
      <c r="AQ55" s="283"/>
      <c r="AR55" s="283"/>
      <c r="AS55" s="283"/>
      <c r="AT55" s="283"/>
      <c r="AU55" s="283"/>
      <c r="AV55" s="283"/>
      <c r="AW55" s="283"/>
      <c r="AX55" s="283"/>
      <c r="AY55" s="283"/>
      <c r="AZ55" s="283"/>
      <c r="BA55" s="283"/>
      <c r="BB55" s="283"/>
      <c r="BC55" s="283"/>
      <c r="BD55" s="283"/>
      <c r="BE55" s="283"/>
      <c r="BF55" s="283"/>
      <c r="BG55" s="283"/>
      <c r="BH55" s="283"/>
      <c r="BI55" s="283"/>
      <c r="BJ55" s="283"/>
      <c r="BK55" s="283"/>
      <c r="BL55" s="283"/>
      <c r="BM55" s="283"/>
      <c r="BN55" s="283"/>
      <c r="BO55" s="283"/>
      <c r="BP55" s="283"/>
      <c r="BQ55" s="283"/>
      <c r="BR55" s="283"/>
      <c r="BS55" s="283"/>
      <c r="BT55" s="283"/>
      <c r="BU55" s="283"/>
      <c r="BV55" s="283"/>
      <c r="BW55" s="283"/>
      <c r="BX55" s="283"/>
      <c r="BY55" s="283"/>
      <c r="BZ55" s="283"/>
      <c r="CA55" s="283"/>
    </row>
    <row r="56" spans="1:79">
      <c r="A56" s="595"/>
      <c r="B56" s="598"/>
      <c r="C56" s="599"/>
      <c r="D56" s="874">
        <v>2</v>
      </c>
      <c r="E56" s="1294" t="s">
        <v>255</v>
      </c>
      <c r="F56" s="875">
        <f t="shared" ca="1" si="80"/>
        <v>3249.1030163202654</v>
      </c>
      <c r="G56" s="1295">
        <f ca="1">'Sistemas-Manutenção'!AR153+'Sistemas-Manutenção'!BX153</f>
        <v>103.46720686046407</v>
      </c>
      <c r="H56" s="1295">
        <f ca="1">'Sistemas-Manutenção'!AS153+'Sistemas-Manutenção'!BY153</f>
        <v>108.80545555249307</v>
      </c>
      <c r="I56" s="1295">
        <f ca="1">'Sistemas-Manutenção'!AT153+'Sistemas-Manutenção'!BZ153</f>
        <v>108.80545555249307</v>
      </c>
      <c r="J56" s="1295">
        <f ca="1">'Sistemas-Manutenção'!AU153+'Sistemas-Manutenção'!CA153</f>
        <v>108.80545555249307</v>
      </c>
      <c r="K56" s="1295">
        <f ca="1">'Sistemas-Manutenção'!AV153+'Sistemas-Manutenção'!CB153</f>
        <v>108.80545555249307</v>
      </c>
      <c r="L56" s="1295">
        <f ca="1">'Sistemas-Manutenção'!AW153+'Sistemas-Manutenção'!CC153</f>
        <v>108.80545555249307</v>
      </c>
      <c r="M56" s="1295">
        <f ca="1">'Sistemas-Manutenção'!AX153+'Sistemas-Manutenção'!CD153</f>
        <v>108.80545555249307</v>
      </c>
      <c r="N56" s="1295">
        <f ca="1">'Sistemas-Manutenção'!AY153+'Sistemas-Manutenção'!CE153</f>
        <v>108.80545555249307</v>
      </c>
      <c r="O56" s="1295">
        <f ca="1">'Sistemas-Manutenção'!AZ153+'Sistemas-Manutenção'!CF153</f>
        <v>108.80545555249307</v>
      </c>
      <c r="P56" s="1295">
        <f ca="1">'Sistemas-Manutenção'!BA153+'Sistemas-Manutenção'!CG153</f>
        <v>108.80545555249307</v>
      </c>
      <c r="Q56" s="1295">
        <f ca="1">'Sistemas-Manutenção'!BB153+'Sistemas-Manutenção'!CH153</f>
        <v>108.80545555249307</v>
      </c>
      <c r="R56" s="1295">
        <f ca="1">'Sistemas-Manutenção'!BC153+'Sistemas-Manutenção'!CI153</f>
        <v>108.80545555249307</v>
      </c>
      <c r="S56" s="1295">
        <f ca="1">'Sistemas-Manutenção'!BD153+'Sistemas-Manutenção'!CJ153</f>
        <v>108.80545555249307</v>
      </c>
      <c r="T56" s="1295">
        <f ca="1">'Sistemas-Manutenção'!BE153+'Sistemas-Manutenção'!CK153</f>
        <v>108.80545555249307</v>
      </c>
      <c r="U56" s="1295">
        <f ca="1">'Sistemas-Manutenção'!BF153+'Sistemas-Manutenção'!CL153</f>
        <v>108.80545555249307</v>
      </c>
      <c r="V56" s="1295">
        <f ca="1">'Sistemas-Manutenção'!BG153+'Sistemas-Manutenção'!CM153</f>
        <v>108.80545555249307</v>
      </c>
      <c r="W56" s="1295">
        <f ca="1">'Sistemas-Manutenção'!BH153+'Sistemas-Manutenção'!CN153</f>
        <v>108.80545555249307</v>
      </c>
      <c r="X56" s="1295">
        <f ca="1">'Sistemas-Manutenção'!BI153+'Sistemas-Manutenção'!CO153</f>
        <v>108.80545555249307</v>
      </c>
      <c r="Y56" s="1295">
        <f ca="1">'Sistemas-Manutenção'!BJ153+'Sistemas-Manutenção'!CP153</f>
        <v>108.80545555249307</v>
      </c>
      <c r="Z56" s="1295">
        <f ca="1">'Sistemas-Manutenção'!BK153+'Sistemas-Manutenção'!CQ153</f>
        <v>108.80545555249307</v>
      </c>
      <c r="AA56" s="1295">
        <f ca="1">'Sistemas-Manutenção'!BL153+'Sistemas-Manutenção'!CR153</f>
        <v>108.80545555249307</v>
      </c>
      <c r="AB56" s="1295">
        <f ca="1">'Sistemas-Manutenção'!BM153+'Sistemas-Manutenção'!CS153</f>
        <v>108.80545555249307</v>
      </c>
      <c r="AC56" s="1295">
        <f ca="1">'Sistemas-Manutenção'!BN153+'Sistemas-Manutenção'!CT153</f>
        <v>108.80545555249307</v>
      </c>
      <c r="AD56" s="1295">
        <f ca="1">'Sistemas-Manutenção'!BO153+'Sistemas-Manutenção'!CU153</f>
        <v>108.80545555249307</v>
      </c>
      <c r="AE56" s="1295">
        <f ca="1">'Sistemas-Manutenção'!BP153+'Sistemas-Manutenção'!CV153</f>
        <v>108.80545555249307</v>
      </c>
      <c r="AF56" s="1295">
        <f ca="1">'Sistemas-Manutenção'!BQ153+'Sistemas-Manutenção'!CW153</f>
        <v>108.80545555249307</v>
      </c>
      <c r="AG56" s="1295">
        <f ca="1">'Sistemas-Manutenção'!BR153+'Sistemas-Manutenção'!CX153</f>
        <v>108.80545555249307</v>
      </c>
      <c r="AH56" s="1295">
        <f ca="1">'Sistemas-Manutenção'!BS153+'Sistemas-Manutenção'!CY153</f>
        <v>108.80545555249307</v>
      </c>
      <c r="AI56" s="1295">
        <f ca="1">'Sistemas-Manutenção'!BT153+'Sistemas-Manutenção'!CZ153</f>
        <v>108.80545555249307</v>
      </c>
      <c r="AJ56" s="1295">
        <f ca="1">'Sistemas-Manutenção'!BU153+'Sistemas-Manutenção'!DA153</f>
        <v>99.083053989993076</v>
      </c>
      <c r="AK56" s="280"/>
      <c r="AL56" s="280"/>
      <c r="AM56" s="280"/>
      <c r="AN56" s="280"/>
      <c r="AO56" s="280"/>
      <c r="AP56" s="283"/>
      <c r="AQ56" s="283"/>
      <c r="AR56" s="283"/>
      <c r="AS56" s="283"/>
      <c r="AT56" s="283"/>
      <c r="AU56" s="283"/>
      <c r="AV56" s="283"/>
      <c r="AW56" s="283"/>
      <c r="AX56" s="283"/>
      <c r="AY56" s="283"/>
      <c r="AZ56" s="283"/>
      <c r="BA56" s="283"/>
      <c r="BB56" s="283"/>
      <c r="BC56" s="283"/>
      <c r="BD56" s="283"/>
      <c r="BE56" s="283"/>
      <c r="BF56" s="283"/>
      <c r="BG56" s="283"/>
      <c r="BH56" s="283"/>
      <c r="BI56" s="283"/>
      <c r="BJ56" s="283"/>
      <c r="BK56" s="283"/>
      <c r="BL56" s="283"/>
      <c r="BM56" s="283"/>
      <c r="BN56" s="283"/>
      <c r="BO56" s="283"/>
      <c r="BP56" s="283"/>
      <c r="BQ56" s="283"/>
      <c r="BR56" s="283"/>
      <c r="BS56" s="283"/>
      <c r="BT56" s="283"/>
      <c r="BU56" s="283"/>
      <c r="BV56" s="283"/>
      <c r="BW56" s="283"/>
      <c r="BX56" s="283"/>
      <c r="BY56" s="283"/>
      <c r="BZ56" s="283"/>
      <c r="CA56" s="283"/>
    </row>
    <row r="57" spans="1:79">
      <c r="A57" s="595"/>
      <c r="B57" s="598"/>
      <c r="C57" s="599"/>
      <c r="D57" s="874" t="s">
        <v>1406</v>
      </c>
      <c r="E57" s="1294" t="s">
        <v>256</v>
      </c>
      <c r="F57" s="875">
        <f t="shared" ca="1" si="80"/>
        <v>1828.125</v>
      </c>
      <c r="G57" s="1295">
        <f ca="1">'Sistemas-Manutenção'!AR154+'Sistemas-Manutenção'!BX154</f>
        <v>60.9375</v>
      </c>
      <c r="H57" s="1295">
        <f ca="1">'Sistemas-Manutenção'!AS154+'Sistemas-Manutenção'!BY154</f>
        <v>60.9375</v>
      </c>
      <c r="I57" s="1295">
        <f ca="1">'Sistemas-Manutenção'!AT154+'Sistemas-Manutenção'!BZ154</f>
        <v>60.9375</v>
      </c>
      <c r="J57" s="1295">
        <f ca="1">'Sistemas-Manutenção'!AU154+'Sistemas-Manutenção'!CA154</f>
        <v>60.9375</v>
      </c>
      <c r="K57" s="1295">
        <f ca="1">'Sistemas-Manutenção'!AV154+'Sistemas-Manutenção'!CB154</f>
        <v>60.9375</v>
      </c>
      <c r="L57" s="1295">
        <f ca="1">'Sistemas-Manutenção'!AW154+'Sistemas-Manutenção'!CC154</f>
        <v>60.9375</v>
      </c>
      <c r="M57" s="1295">
        <f ca="1">'Sistemas-Manutenção'!AX154+'Sistemas-Manutenção'!CD154</f>
        <v>60.9375</v>
      </c>
      <c r="N57" s="1295">
        <f ca="1">'Sistemas-Manutenção'!AY154+'Sistemas-Manutenção'!CE154</f>
        <v>60.9375</v>
      </c>
      <c r="O57" s="1295">
        <f ca="1">'Sistemas-Manutenção'!AZ154+'Sistemas-Manutenção'!CF154</f>
        <v>60.9375</v>
      </c>
      <c r="P57" s="1295">
        <f ca="1">'Sistemas-Manutenção'!BA154+'Sistemas-Manutenção'!CG154</f>
        <v>60.9375</v>
      </c>
      <c r="Q57" s="1295">
        <f ca="1">'Sistemas-Manutenção'!BB154+'Sistemas-Manutenção'!CH154</f>
        <v>60.9375</v>
      </c>
      <c r="R57" s="1295">
        <f ca="1">'Sistemas-Manutenção'!BC154+'Sistemas-Manutenção'!CI154</f>
        <v>60.9375</v>
      </c>
      <c r="S57" s="1295">
        <f ca="1">'Sistemas-Manutenção'!BD154+'Sistemas-Manutenção'!CJ154</f>
        <v>60.9375</v>
      </c>
      <c r="T57" s="1295">
        <f ca="1">'Sistemas-Manutenção'!BE154+'Sistemas-Manutenção'!CK154</f>
        <v>60.9375</v>
      </c>
      <c r="U57" s="1295">
        <f ca="1">'Sistemas-Manutenção'!BF154+'Sistemas-Manutenção'!CL154</f>
        <v>60.9375</v>
      </c>
      <c r="V57" s="1295">
        <f ca="1">'Sistemas-Manutenção'!BG154+'Sistemas-Manutenção'!CM154</f>
        <v>60.9375</v>
      </c>
      <c r="W57" s="1295">
        <f ca="1">'Sistemas-Manutenção'!BH154+'Sistemas-Manutenção'!CN154</f>
        <v>60.9375</v>
      </c>
      <c r="X57" s="1295">
        <f ca="1">'Sistemas-Manutenção'!BI154+'Sistemas-Manutenção'!CO154</f>
        <v>60.9375</v>
      </c>
      <c r="Y57" s="1295">
        <f ca="1">'Sistemas-Manutenção'!BJ154+'Sistemas-Manutenção'!CP154</f>
        <v>60.9375</v>
      </c>
      <c r="Z57" s="1295">
        <f ca="1">'Sistemas-Manutenção'!BK154+'Sistemas-Manutenção'!CQ154</f>
        <v>60.9375</v>
      </c>
      <c r="AA57" s="1295">
        <f ca="1">'Sistemas-Manutenção'!BL154+'Sistemas-Manutenção'!CR154</f>
        <v>60.9375</v>
      </c>
      <c r="AB57" s="1295">
        <f ca="1">'Sistemas-Manutenção'!BM154+'Sistemas-Manutenção'!CS154</f>
        <v>60.9375</v>
      </c>
      <c r="AC57" s="1295">
        <f ca="1">'Sistemas-Manutenção'!BN154+'Sistemas-Manutenção'!CT154</f>
        <v>60.9375</v>
      </c>
      <c r="AD57" s="1295">
        <f ca="1">'Sistemas-Manutenção'!BO154+'Sistemas-Manutenção'!CU154</f>
        <v>60.9375</v>
      </c>
      <c r="AE57" s="1295">
        <f ca="1">'Sistemas-Manutenção'!BP154+'Sistemas-Manutenção'!CV154</f>
        <v>60.9375</v>
      </c>
      <c r="AF57" s="1295">
        <f ca="1">'Sistemas-Manutenção'!BQ154+'Sistemas-Manutenção'!CW154</f>
        <v>60.9375</v>
      </c>
      <c r="AG57" s="1295">
        <f ca="1">'Sistemas-Manutenção'!BR154+'Sistemas-Manutenção'!CX154</f>
        <v>60.9375</v>
      </c>
      <c r="AH57" s="1295">
        <f ca="1">'Sistemas-Manutenção'!BS154+'Sistemas-Manutenção'!CY154</f>
        <v>60.9375</v>
      </c>
      <c r="AI57" s="1295">
        <f ca="1">'Sistemas-Manutenção'!BT154+'Sistemas-Manutenção'!CZ154</f>
        <v>60.9375</v>
      </c>
      <c r="AJ57" s="1295">
        <f ca="1">'Sistemas-Manutenção'!BU154+'Sistemas-Manutenção'!DA154</f>
        <v>60.9375</v>
      </c>
      <c r="AK57" s="280"/>
      <c r="AL57" s="280"/>
      <c r="AM57" s="280"/>
      <c r="AN57" s="280"/>
      <c r="AO57" s="280"/>
      <c r="AP57" s="283"/>
      <c r="AQ57" s="283"/>
      <c r="AR57" s="283"/>
      <c r="AS57" s="283"/>
      <c r="AT57" s="283"/>
      <c r="AU57" s="283"/>
      <c r="AV57" s="283"/>
      <c r="AW57" s="283"/>
      <c r="AX57" s="283"/>
      <c r="AY57" s="283"/>
      <c r="AZ57" s="283"/>
      <c r="BA57" s="283"/>
      <c r="BB57" s="283"/>
      <c r="BC57" s="283"/>
      <c r="BD57" s="283"/>
      <c r="BE57" s="283"/>
      <c r="BF57" s="283"/>
      <c r="BG57" s="283"/>
      <c r="BH57" s="283"/>
      <c r="BI57" s="283"/>
      <c r="BJ57" s="283"/>
      <c r="BK57" s="283"/>
      <c r="BL57" s="283"/>
      <c r="BM57" s="283"/>
      <c r="BN57" s="283"/>
      <c r="BO57" s="283"/>
      <c r="BP57" s="283"/>
      <c r="BQ57" s="283"/>
      <c r="BR57" s="283"/>
      <c r="BS57" s="283"/>
      <c r="BT57" s="283"/>
      <c r="BU57" s="283"/>
      <c r="BV57" s="283"/>
      <c r="BW57" s="283"/>
      <c r="BX57" s="283"/>
      <c r="BY57" s="283"/>
      <c r="BZ57" s="283"/>
      <c r="CA57" s="283"/>
    </row>
    <row r="58" spans="1:79">
      <c r="A58" s="595"/>
      <c r="B58" s="598"/>
      <c r="C58" s="599"/>
      <c r="D58" s="874" t="s">
        <v>1407</v>
      </c>
      <c r="E58" s="1294" t="s">
        <v>257</v>
      </c>
      <c r="F58" s="875">
        <f t="shared" ca="1" si="80"/>
        <v>0</v>
      </c>
      <c r="G58" s="1295">
        <f ca="1">'Sistemas-Manutenção'!AR155+'Sistemas-Manutenção'!BX155</f>
        <v>0</v>
      </c>
      <c r="H58" s="1295">
        <f ca="1">'Sistemas-Manutenção'!AS155+'Sistemas-Manutenção'!BY155</f>
        <v>0</v>
      </c>
      <c r="I58" s="1295">
        <f ca="1">'Sistemas-Manutenção'!AT155+'Sistemas-Manutenção'!BZ155</f>
        <v>0</v>
      </c>
      <c r="J58" s="1295">
        <f ca="1">'Sistemas-Manutenção'!AU155+'Sistemas-Manutenção'!CA155</f>
        <v>0</v>
      </c>
      <c r="K58" s="1295">
        <f ca="1">'Sistemas-Manutenção'!AV155+'Sistemas-Manutenção'!CB155</f>
        <v>0</v>
      </c>
      <c r="L58" s="1295">
        <f ca="1">'Sistemas-Manutenção'!AW155+'Sistemas-Manutenção'!CC155</f>
        <v>0</v>
      </c>
      <c r="M58" s="1295">
        <f ca="1">'Sistemas-Manutenção'!AX155+'Sistemas-Manutenção'!CD155</f>
        <v>0</v>
      </c>
      <c r="N58" s="1295">
        <f ca="1">'Sistemas-Manutenção'!AY155+'Sistemas-Manutenção'!CE155</f>
        <v>0</v>
      </c>
      <c r="O58" s="1295">
        <f ca="1">'Sistemas-Manutenção'!AZ155+'Sistemas-Manutenção'!CF155</f>
        <v>0</v>
      </c>
      <c r="P58" s="1295">
        <f ca="1">'Sistemas-Manutenção'!BA155+'Sistemas-Manutenção'!CG155</f>
        <v>0</v>
      </c>
      <c r="Q58" s="1295">
        <f ca="1">'Sistemas-Manutenção'!BB155+'Sistemas-Manutenção'!CH155</f>
        <v>0</v>
      </c>
      <c r="R58" s="1295">
        <f ca="1">'Sistemas-Manutenção'!BC155+'Sistemas-Manutenção'!CI155</f>
        <v>0</v>
      </c>
      <c r="S58" s="1295">
        <f ca="1">'Sistemas-Manutenção'!BD155+'Sistemas-Manutenção'!CJ155</f>
        <v>0</v>
      </c>
      <c r="T58" s="1295">
        <f ca="1">'Sistemas-Manutenção'!BE155+'Sistemas-Manutenção'!CK155</f>
        <v>0</v>
      </c>
      <c r="U58" s="1295">
        <f ca="1">'Sistemas-Manutenção'!BF155+'Sistemas-Manutenção'!CL155</f>
        <v>0</v>
      </c>
      <c r="V58" s="1295">
        <f ca="1">'Sistemas-Manutenção'!BG155+'Sistemas-Manutenção'!CM155</f>
        <v>0</v>
      </c>
      <c r="W58" s="1295">
        <f ca="1">'Sistemas-Manutenção'!BH155+'Sistemas-Manutenção'!CN155</f>
        <v>0</v>
      </c>
      <c r="X58" s="1295">
        <f ca="1">'Sistemas-Manutenção'!BI155+'Sistemas-Manutenção'!CO155</f>
        <v>0</v>
      </c>
      <c r="Y58" s="1295">
        <f ca="1">'Sistemas-Manutenção'!BJ155+'Sistemas-Manutenção'!CP155</f>
        <v>0</v>
      </c>
      <c r="Z58" s="1295">
        <f ca="1">'Sistemas-Manutenção'!BK155+'Sistemas-Manutenção'!CQ155</f>
        <v>0</v>
      </c>
      <c r="AA58" s="1295">
        <f ca="1">'Sistemas-Manutenção'!BL155+'Sistemas-Manutenção'!CR155</f>
        <v>0</v>
      </c>
      <c r="AB58" s="1295">
        <f ca="1">'Sistemas-Manutenção'!BM155+'Sistemas-Manutenção'!CS155</f>
        <v>0</v>
      </c>
      <c r="AC58" s="1295">
        <f ca="1">'Sistemas-Manutenção'!BN155+'Sistemas-Manutenção'!CT155</f>
        <v>0</v>
      </c>
      <c r="AD58" s="1295">
        <f ca="1">'Sistemas-Manutenção'!BO155+'Sistemas-Manutenção'!CU155</f>
        <v>0</v>
      </c>
      <c r="AE58" s="1295">
        <f ca="1">'Sistemas-Manutenção'!BP155+'Sistemas-Manutenção'!CV155</f>
        <v>0</v>
      </c>
      <c r="AF58" s="1295">
        <f ca="1">'Sistemas-Manutenção'!BQ155+'Sistemas-Manutenção'!CW155</f>
        <v>0</v>
      </c>
      <c r="AG58" s="1295">
        <f ca="1">'Sistemas-Manutenção'!BR155+'Sistemas-Manutenção'!CX155</f>
        <v>0</v>
      </c>
      <c r="AH58" s="1295">
        <f ca="1">'Sistemas-Manutenção'!BS155+'Sistemas-Manutenção'!CY155</f>
        <v>0</v>
      </c>
      <c r="AI58" s="1295">
        <f ca="1">'Sistemas-Manutenção'!BT155+'Sistemas-Manutenção'!CZ155</f>
        <v>0</v>
      </c>
      <c r="AJ58" s="1295">
        <f ca="1">'Sistemas-Manutenção'!BU155+'Sistemas-Manutenção'!DA155</f>
        <v>0</v>
      </c>
      <c r="AK58" s="280"/>
      <c r="AL58" s="280"/>
      <c r="AM58" s="280"/>
      <c r="AN58" s="280"/>
      <c r="AO58" s="280"/>
      <c r="AP58" s="283"/>
      <c r="AQ58" s="283"/>
      <c r="AR58" s="283"/>
      <c r="AS58" s="283"/>
      <c r="AT58" s="283"/>
      <c r="AU58" s="283"/>
      <c r="AV58" s="283"/>
      <c r="AW58" s="283"/>
      <c r="AX58" s="283"/>
      <c r="AY58" s="283"/>
      <c r="AZ58" s="283"/>
      <c r="BA58" s="283"/>
      <c r="BB58" s="283"/>
      <c r="BC58" s="283"/>
      <c r="BD58" s="283"/>
      <c r="BE58" s="283"/>
      <c r="BF58" s="283"/>
      <c r="BG58" s="283"/>
      <c r="BH58" s="283"/>
      <c r="BI58" s="283"/>
      <c r="BJ58" s="283"/>
      <c r="BK58" s="283"/>
      <c r="BL58" s="283"/>
      <c r="BM58" s="283"/>
      <c r="BN58" s="283"/>
      <c r="BO58" s="283"/>
      <c r="BP58" s="283"/>
      <c r="BQ58" s="283"/>
      <c r="BR58" s="283"/>
      <c r="BS58" s="283"/>
      <c r="BT58" s="283"/>
      <c r="BU58" s="283"/>
      <c r="BV58" s="283"/>
      <c r="BW58" s="283"/>
      <c r="BX58" s="283"/>
      <c r="BY58" s="283"/>
      <c r="BZ58" s="283"/>
      <c r="CA58" s="283"/>
    </row>
    <row r="59" spans="1:79">
      <c r="A59" s="595"/>
      <c r="B59" s="598"/>
      <c r="C59" s="599"/>
      <c r="D59" s="874" t="s">
        <v>1408</v>
      </c>
      <c r="E59" s="1294" t="s">
        <v>258</v>
      </c>
      <c r="F59" s="875">
        <f t="shared" ca="1" si="80"/>
        <v>49.637279249999999</v>
      </c>
      <c r="G59" s="1295">
        <f ca="1">'Sistemas-Manutenção'!AR156+'Sistemas-Manutenção'!BX156</f>
        <v>1.654575975</v>
      </c>
      <c r="H59" s="1295">
        <f ca="1">'Sistemas-Manutenção'!AS156+'Sistemas-Manutenção'!BY156</f>
        <v>1.654575975</v>
      </c>
      <c r="I59" s="1295">
        <f ca="1">'Sistemas-Manutenção'!AT156+'Sistemas-Manutenção'!BZ156</f>
        <v>1.654575975</v>
      </c>
      <c r="J59" s="1295">
        <f ca="1">'Sistemas-Manutenção'!AU156+'Sistemas-Manutenção'!CA156</f>
        <v>1.654575975</v>
      </c>
      <c r="K59" s="1295">
        <f ca="1">'Sistemas-Manutenção'!AV156+'Sistemas-Manutenção'!CB156</f>
        <v>1.654575975</v>
      </c>
      <c r="L59" s="1295">
        <f ca="1">'Sistemas-Manutenção'!AW156+'Sistemas-Manutenção'!CC156</f>
        <v>1.654575975</v>
      </c>
      <c r="M59" s="1295">
        <f ca="1">'Sistemas-Manutenção'!AX156+'Sistemas-Manutenção'!CD156</f>
        <v>1.654575975</v>
      </c>
      <c r="N59" s="1295">
        <f ca="1">'Sistemas-Manutenção'!AY156+'Sistemas-Manutenção'!CE156</f>
        <v>1.654575975</v>
      </c>
      <c r="O59" s="1295">
        <f ca="1">'Sistemas-Manutenção'!AZ156+'Sistemas-Manutenção'!CF156</f>
        <v>1.654575975</v>
      </c>
      <c r="P59" s="1295">
        <f ca="1">'Sistemas-Manutenção'!BA156+'Sistemas-Manutenção'!CG156</f>
        <v>1.654575975</v>
      </c>
      <c r="Q59" s="1295">
        <f ca="1">'Sistemas-Manutenção'!BB156+'Sistemas-Manutenção'!CH156</f>
        <v>1.654575975</v>
      </c>
      <c r="R59" s="1295">
        <f ca="1">'Sistemas-Manutenção'!BC156+'Sistemas-Manutenção'!CI156</f>
        <v>1.654575975</v>
      </c>
      <c r="S59" s="1295">
        <f ca="1">'Sistemas-Manutenção'!BD156+'Sistemas-Manutenção'!CJ156</f>
        <v>1.654575975</v>
      </c>
      <c r="T59" s="1295">
        <f ca="1">'Sistemas-Manutenção'!BE156+'Sistemas-Manutenção'!CK156</f>
        <v>1.654575975</v>
      </c>
      <c r="U59" s="1295">
        <f ca="1">'Sistemas-Manutenção'!BF156+'Sistemas-Manutenção'!CL156</f>
        <v>1.654575975</v>
      </c>
      <c r="V59" s="1295">
        <f ca="1">'Sistemas-Manutenção'!BG156+'Sistemas-Manutenção'!CM156</f>
        <v>1.654575975</v>
      </c>
      <c r="W59" s="1295">
        <f ca="1">'Sistemas-Manutenção'!BH156+'Sistemas-Manutenção'!CN156</f>
        <v>1.654575975</v>
      </c>
      <c r="X59" s="1295">
        <f ca="1">'Sistemas-Manutenção'!BI156+'Sistemas-Manutenção'!CO156</f>
        <v>1.654575975</v>
      </c>
      <c r="Y59" s="1295">
        <f ca="1">'Sistemas-Manutenção'!BJ156+'Sistemas-Manutenção'!CP156</f>
        <v>1.654575975</v>
      </c>
      <c r="Z59" s="1295">
        <f ca="1">'Sistemas-Manutenção'!BK156+'Sistemas-Manutenção'!CQ156</f>
        <v>1.654575975</v>
      </c>
      <c r="AA59" s="1295">
        <f ca="1">'Sistemas-Manutenção'!BL156+'Sistemas-Manutenção'!CR156</f>
        <v>1.654575975</v>
      </c>
      <c r="AB59" s="1295">
        <f ca="1">'Sistemas-Manutenção'!BM156+'Sistemas-Manutenção'!CS156</f>
        <v>1.654575975</v>
      </c>
      <c r="AC59" s="1295">
        <f ca="1">'Sistemas-Manutenção'!BN156+'Sistemas-Manutenção'!CT156</f>
        <v>1.654575975</v>
      </c>
      <c r="AD59" s="1295">
        <f ca="1">'Sistemas-Manutenção'!BO156+'Sistemas-Manutenção'!CU156</f>
        <v>1.654575975</v>
      </c>
      <c r="AE59" s="1295">
        <f ca="1">'Sistemas-Manutenção'!BP156+'Sistemas-Manutenção'!CV156</f>
        <v>1.654575975</v>
      </c>
      <c r="AF59" s="1295">
        <f ca="1">'Sistemas-Manutenção'!BQ156+'Sistemas-Manutenção'!CW156</f>
        <v>1.654575975</v>
      </c>
      <c r="AG59" s="1295">
        <f ca="1">'Sistemas-Manutenção'!BR156+'Sistemas-Manutenção'!CX156</f>
        <v>1.654575975</v>
      </c>
      <c r="AH59" s="1295">
        <f ca="1">'Sistemas-Manutenção'!BS156+'Sistemas-Manutenção'!CY156</f>
        <v>1.654575975</v>
      </c>
      <c r="AI59" s="1295">
        <f ca="1">'Sistemas-Manutenção'!BT156+'Sistemas-Manutenção'!CZ156</f>
        <v>1.654575975</v>
      </c>
      <c r="AJ59" s="1295">
        <f ca="1">'Sistemas-Manutenção'!BU156+'Sistemas-Manutenção'!DA156</f>
        <v>1.654575975</v>
      </c>
      <c r="AK59" s="280"/>
      <c r="AL59" s="280"/>
      <c r="AM59" s="280"/>
      <c r="AN59" s="280"/>
      <c r="AO59" s="280"/>
      <c r="AP59" s="283"/>
      <c r="AQ59" s="283"/>
      <c r="AR59" s="283"/>
      <c r="AS59" s="283"/>
      <c r="AT59" s="283"/>
      <c r="AU59" s="283"/>
      <c r="AV59" s="283"/>
      <c r="AW59" s="283"/>
      <c r="AX59" s="283"/>
      <c r="AY59" s="283"/>
      <c r="AZ59" s="283"/>
      <c r="BA59" s="283"/>
      <c r="BB59" s="283"/>
      <c r="BC59" s="283"/>
      <c r="BD59" s="283"/>
      <c r="BE59" s="283"/>
      <c r="BF59" s="283"/>
      <c r="BG59" s="283"/>
      <c r="BH59" s="283"/>
      <c r="BI59" s="283"/>
      <c r="BJ59" s="283"/>
      <c r="BK59" s="283"/>
      <c r="BL59" s="283"/>
      <c r="BM59" s="283"/>
      <c r="BN59" s="283"/>
      <c r="BO59" s="283"/>
      <c r="BP59" s="283"/>
      <c r="BQ59" s="283"/>
      <c r="BR59" s="283"/>
      <c r="BS59" s="283"/>
      <c r="BT59" s="283"/>
      <c r="BU59" s="283"/>
      <c r="BV59" s="283"/>
      <c r="BW59" s="283"/>
      <c r="BX59" s="283"/>
      <c r="BY59" s="283"/>
      <c r="BZ59" s="283"/>
      <c r="CA59" s="283"/>
    </row>
    <row r="60" spans="1:79">
      <c r="A60" s="595"/>
      <c r="B60" s="598"/>
      <c r="C60" s="599"/>
      <c r="D60" s="874" t="s">
        <v>1409</v>
      </c>
      <c r="E60" s="1294" t="s">
        <v>1426</v>
      </c>
      <c r="F60" s="875">
        <f t="shared" ca="1" si="80"/>
        <v>187.5</v>
      </c>
      <c r="G60" s="1295">
        <f ca="1">'Sistemas-Manutenção'!AR157+'Sistemas-Manutenção'!BX157</f>
        <v>6.25</v>
      </c>
      <c r="H60" s="1295">
        <f ca="1">'Sistemas-Manutenção'!AS157+'Sistemas-Manutenção'!BY157</f>
        <v>6.25</v>
      </c>
      <c r="I60" s="1295">
        <f ca="1">'Sistemas-Manutenção'!AT157+'Sistemas-Manutenção'!BZ157</f>
        <v>6.25</v>
      </c>
      <c r="J60" s="1295">
        <f ca="1">'Sistemas-Manutenção'!AU157+'Sistemas-Manutenção'!CA157</f>
        <v>6.25</v>
      </c>
      <c r="K60" s="1295">
        <f ca="1">'Sistemas-Manutenção'!AV157+'Sistemas-Manutenção'!CB157</f>
        <v>6.25</v>
      </c>
      <c r="L60" s="1295">
        <f ca="1">'Sistemas-Manutenção'!AW157+'Sistemas-Manutenção'!CC157</f>
        <v>6.25</v>
      </c>
      <c r="M60" s="1295">
        <f ca="1">'Sistemas-Manutenção'!AX157+'Sistemas-Manutenção'!CD157</f>
        <v>6.25</v>
      </c>
      <c r="N60" s="1295">
        <f ca="1">'Sistemas-Manutenção'!AY157+'Sistemas-Manutenção'!CE157</f>
        <v>6.25</v>
      </c>
      <c r="O60" s="1295">
        <f ca="1">'Sistemas-Manutenção'!AZ157+'Sistemas-Manutenção'!CF157</f>
        <v>6.25</v>
      </c>
      <c r="P60" s="1295">
        <f ca="1">'Sistemas-Manutenção'!BA157+'Sistemas-Manutenção'!CG157</f>
        <v>6.25</v>
      </c>
      <c r="Q60" s="1295">
        <f ca="1">'Sistemas-Manutenção'!BB157+'Sistemas-Manutenção'!CH157</f>
        <v>6.25</v>
      </c>
      <c r="R60" s="1295">
        <f ca="1">'Sistemas-Manutenção'!BC157+'Sistemas-Manutenção'!CI157</f>
        <v>6.25</v>
      </c>
      <c r="S60" s="1295">
        <f ca="1">'Sistemas-Manutenção'!BD157+'Sistemas-Manutenção'!CJ157</f>
        <v>6.25</v>
      </c>
      <c r="T60" s="1295">
        <f ca="1">'Sistemas-Manutenção'!BE157+'Sistemas-Manutenção'!CK157</f>
        <v>6.25</v>
      </c>
      <c r="U60" s="1295">
        <f ca="1">'Sistemas-Manutenção'!BF157+'Sistemas-Manutenção'!CL157</f>
        <v>6.25</v>
      </c>
      <c r="V60" s="1295">
        <f ca="1">'Sistemas-Manutenção'!BG157+'Sistemas-Manutenção'!CM157</f>
        <v>6.25</v>
      </c>
      <c r="W60" s="1295">
        <f ca="1">'Sistemas-Manutenção'!BH157+'Sistemas-Manutenção'!CN157</f>
        <v>6.25</v>
      </c>
      <c r="X60" s="1295">
        <f ca="1">'Sistemas-Manutenção'!BI157+'Sistemas-Manutenção'!CO157</f>
        <v>6.25</v>
      </c>
      <c r="Y60" s="1295">
        <f ca="1">'Sistemas-Manutenção'!BJ157+'Sistemas-Manutenção'!CP157</f>
        <v>6.25</v>
      </c>
      <c r="Z60" s="1295">
        <f ca="1">'Sistemas-Manutenção'!BK157+'Sistemas-Manutenção'!CQ157</f>
        <v>6.25</v>
      </c>
      <c r="AA60" s="1295">
        <f ca="1">'Sistemas-Manutenção'!BL157+'Sistemas-Manutenção'!CR157</f>
        <v>6.25</v>
      </c>
      <c r="AB60" s="1295">
        <f ca="1">'Sistemas-Manutenção'!BM157+'Sistemas-Manutenção'!CS157</f>
        <v>6.25</v>
      </c>
      <c r="AC60" s="1295">
        <f ca="1">'Sistemas-Manutenção'!BN157+'Sistemas-Manutenção'!CT157</f>
        <v>6.25</v>
      </c>
      <c r="AD60" s="1295">
        <f ca="1">'Sistemas-Manutenção'!BO157+'Sistemas-Manutenção'!CU157</f>
        <v>6.25</v>
      </c>
      <c r="AE60" s="1295">
        <f ca="1">'Sistemas-Manutenção'!BP157+'Sistemas-Manutenção'!CV157</f>
        <v>6.25</v>
      </c>
      <c r="AF60" s="1295">
        <f ca="1">'Sistemas-Manutenção'!BQ157+'Sistemas-Manutenção'!CW157</f>
        <v>6.25</v>
      </c>
      <c r="AG60" s="1295">
        <f ca="1">'Sistemas-Manutenção'!BR157+'Sistemas-Manutenção'!CX157</f>
        <v>6.25</v>
      </c>
      <c r="AH60" s="1295">
        <f ca="1">'Sistemas-Manutenção'!BS157+'Sistemas-Manutenção'!CY157</f>
        <v>6.25</v>
      </c>
      <c r="AI60" s="1295">
        <f ca="1">'Sistemas-Manutenção'!BT157+'Sistemas-Manutenção'!CZ157</f>
        <v>6.25</v>
      </c>
      <c r="AJ60" s="1295">
        <f ca="1">'Sistemas-Manutenção'!BU157+'Sistemas-Manutenção'!DA157</f>
        <v>6.25</v>
      </c>
      <c r="AK60" s="280"/>
      <c r="AL60" s="280"/>
      <c r="AM60" s="280"/>
      <c r="AN60" s="280"/>
      <c r="AO60" s="280"/>
      <c r="AP60" s="283"/>
      <c r="AQ60" s="283"/>
      <c r="AR60" s="283"/>
      <c r="AS60" s="283"/>
      <c r="AT60" s="283"/>
      <c r="AU60" s="283"/>
      <c r="AV60" s="283"/>
      <c r="AW60" s="283"/>
      <c r="AX60" s="283"/>
      <c r="AY60" s="283"/>
      <c r="AZ60" s="283"/>
      <c r="BA60" s="283"/>
      <c r="BB60" s="283"/>
      <c r="BC60" s="283"/>
      <c r="BD60" s="283"/>
      <c r="BE60" s="283"/>
      <c r="BF60" s="283"/>
      <c r="BG60" s="283"/>
      <c r="BH60" s="283"/>
      <c r="BI60" s="283"/>
      <c r="BJ60" s="283"/>
      <c r="BK60" s="283"/>
      <c r="BL60" s="283"/>
      <c r="BM60" s="283"/>
      <c r="BN60" s="283"/>
      <c r="BO60" s="283"/>
      <c r="BP60" s="283"/>
      <c r="BQ60" s="283"/>
      <c r="BR60" s="283"/>
      <c r="BS60" s="283"/>
      <c r="BT60" s="283"/>
      <c r="BU60" s="283"/>
      <c r="BV60" s="283"/>
      <c r="BW60" s="283"/>
      <c r="BX60" s="283"/>
      <c r="BY60" s="283"/>
      <c r="BZ60" s="283"/>
      <c r="CA60" s="283"/>
    </row>
    <row r="61" spans="1:79">
      <c r="A61" s="595"/>
      <c r="B61" s="598"/>
      <c r="C61" s="599"/>
      <c r="D61" s="874" t="s">
        <v>1410</v>
      </c>
      <c r="E61" s="1294" t="s">
        <v>260</v>
      </c>
      <c r="F61" s="875">
        <f t="shared" ca="1" si="80"/>
        <v>1550.0000000000005</v>
      </c>
      <c r="G61" s="1295">
        <f ca="1">'Sistemas-Manutenção'!AR158+'Sistemas-Manutenção'!BX158</f>
        <v>51.666666666666671</v>
      </c>
      <c r="H61" s="1295">
        <f ca="1">'Sistemas-Manutenção'!AS158+'Sistemas-Manutenção'!BY158</f>
        <v>51.666666666666671</v>
      </c>
      <c r="I61" s="1295">
        <f ca="1">'Sistemas-Manutenção'!AT158+'Sistemas-Manutenção'!BZ158</f>
        <v>51.666666666666671</v>
      </c>
      <c r="J61" s="1295">
        <f ca="1">'Sistemas-Manutenção'!AU158+'Sistemas-Manutenção'!CA158</f>
        <v>51.666666666666671</v>
      </c>
      <c r="K61" s="1295">
        <f ca="1">'Sistemas-Manutenção'!AV158+'Sistemas-Manutenção'!CB158</f>
        <v>51.666666666666671</v>
      </c>
      <c r="L61" s="1295">
        <f ca="1">'Sistemas-Manutenção'!AW158+'Sistemas-Manutenção'!CC158</f>
        <v>51.666666666666671</v>
      </c>
      <c r="M61" s="1295">
        <f ca="1">'Sistemas-Manutenção'!AX158+'Sistemas-Manutenção'!CD158</f>
        <v>51.666666666666671</v>
      </c>
      <c r="N61" s="1295">
        <f ca="1">'Sistemas-Manutenção'!AY158+'Sistemas-Manutenção'!CE158</f>
        <v>51.666666666666671</v>
      </c>
      <c r="O61" s="1295">
        <f ca="1">'Sistemas-Manutenção'!AZ158+'Sistemas-Manutenção'!CF158</f>
        <v>51.666666666666671</v>
      </c>
      <c r="P61" s="1295">
        <f ca="1">'Sistemas-Manutenção'!BA158+'Sistemas-Manutenção'!CG158</f>
        <v>51.666666666666671</v>
      </c>
      <c r="Q61" s="1295">
        <f ca="1">'Sistemas-Manutenção'!BB158+'Sistemas-Manutenção'!CH158</f>
        <v>51.666666666666671</v>
      </c>
      <c r="R61" s="1295">
        <f ca="1">'Sistemas-Manutenção'!BC158+'Sistemas-Manutenção'!CI158</f>
        <v>51.666666666666671</v>
      </c>
      <c r="S61" s="1295">
        <f ca="1">'Sistemas-Manutenção'!BD158+'Sistemas-Manutenção'!CJ158</f>
        <v>51.666666666666671</v>
      </c>
      <c r="T61" s="1295">
        <f ca="1">'Sistemas-Manutenção'!BE158+'Sistemas-Manutenção'!CK158</f>
        <v>51.666666666666671</v>
      </c>
      <c r="U61" s="1295">
        <f ca="1">'Sistemas-Manutenção'!BF158+'Sistemas-Manutenção'!CL158</f>
        <v>51.666666666666671</v>
      </c>
      <c r="V61" s="1295">
        <f ca="1">'Sistemas-Manutenção'!BG158+'Sistemas-Manutenção'!CM158</f>
        <v>51.666666666666671</v>
      </c>
      <c r="W61" s="1295">
        <f ca="1">'Sistemas-Manutenção'!BH158+'Sistemas-Manutenção'!CN158</f>
        <v>51.666666666666671</v>
      </c>
      <c r="X61" s="1295">
        <f ca="1">'Sistemas-Manutenção'!BI158+'Sistemas-Manutenção'!CO158</f>
        <v>51.666666666666671</v>
      </c>
      <c r="Y61" s="1295">
        <f ca="1">'Sistemas-Manutenção'!BJ158+'Sistemas-Manutenção'!CP158</f>
        <v>51.666666666666671</v>
      </c>
      <c r="Z61" s="1295">
        <f ca="1">'Sistemas-Manutenção'!BK158+'Sistemas-Manutenção'!CQ158</f>
        <v>51.666666666666671</v>
      </c>
      <c r="AA61" s="1295">
        <f ca="1">'Sistemas-Manutenção'!BL158+'Sistemas-Manutenção'!CR158</f>
        <v>51.666666666666671</v>
      </c>
      <c r="AB61" s="1295">
        <f ca="1">'Sistemas-Manutenção'!BM158+'Sistemas-Manutenção'!CS158</f>
        <v>51.666666666666671</v>
      </c>
      <c r="AC61" s="1295">
        <f ca="1">'Sistemas-Manutenção'!BN158+'Sistemas-Manutenção'!CT158</f>
        <v>51.666666666666671</v>
      </c>
      <c r="AD61" s="1295">
        <f ca="1">'Sistemas-Manutenção'!BO158+'Sistemas-Manutenção'!CU158</f>
        <v>51.666666666666671</v>
      </c>
      <c r="AE61" s="1295">
        <f ca="1">'Sistemas-Manutenção'!BP158+'Sistemas-Manutenção'!CV158</f>
        <v>51.666666666666671</v>
      </c>
      <c r="AF61" s="1295">
        <f ca="1">'Sistemas-Manutenção'!BQ158+'Sistemas-Manutenção'!CW158</f>
        <v>51.666666666666671</v>
      </c>
      <c r="AG61" s="1295">
        <f ca="1">'Sistemas-Manutenção'!BR158+'Sistemas-Manutenção'!CX158</f>
        <v>51.666666666666671</v>
      </c>
      <c r="AH61" s="1295">
        <f ca="1">'Sistemas-Manutenção'!BS158+'Sistemas-Manutenção'!CY158</f>
        <v>51.666666666666671</v>
      </c>
      <c r="AI61" s="1295">
        <f ca="1">'Sistemas-Manutenção'!BT158+'Sistemas-Manutenção'!CZ158</f>
        <v>51.666666666666671</v>
      </c>
      <c r="AJ61" s="1295">
        <f ca="1">'Sistemas-Manutenção'!BU158+'Sistemas-Manutenção'!DA158</f>
        <v>51.666666666666671</v>
      </c>
      <c r="AK61" s="280"/>
      <c r="AL61" s="280"/>
      <c r="AM61" s="280"/>
      <c r="AN61" s="280"/>
      <c r="AO61" s="280"/>
      <c r="AP61" s="283"/>
      <c r="AQ61" s="283"/>
      <c r="AR61" s="283"/>
      <c r="AS61" s="283"/>
      <c r="AT61" s="283"/>
      <c r="AU61" s="283"/>
      <c r="AV61" s="283"/>
      <c r="AW61" s="283"/>
      <c r="AX61" s="283"/>
      <c r="AY61" s="283"/>
      <c r="AZ61" s="283"/>
      <c r="BA61" s="283"/>
      <c r="BB61" s="283"/>
      <c r="BC61" s="283"/>
      <c r="BD61" s="283"/>
      <c r="BE61" s="283"/>
      <c r="BF61" s="283"/>
      <c r="BG61" s="283"/>
      <c r="BH61" s="283"/>
      <c r="BI61" s="283"/>
      <c r="BJ61" s="283"/>
      <c r="BK61" s="283"/>
      <c r="BL61" s="283"/>
      <c r="BM61" s="283"/>
      <c r="BN61" s="283"/>
      <c r="BO61" s="283"/>
      <c r="BP61" s="283"/>
      <c r="BQ61" s="283"/>
      <c r="BR61" s="283"/>
      <c r="BS61" s="283"/>
      <c r="BT61" s="283"/>
      <c r="BU61" s="283"/>
      <c r="BV61" s="283"/>
      <c r="BW61" s="283"/>
      <c r="BX61" s="283"/>
      <c r="BY61" s="283"/>
      <c r="BZ61" s="283"/>
      <c r="CA61" s="283"/>
    </row>
    <row r="62" spans="1:79">
      <c r="A62" s="595"/>
      <c r="B62" s="598"/>
      <c r="C62" s="599"/>
      <c r="D62" s="874" t="s">
        <v>1411</v>
      </c>
      <c r="E62" s="1294" t="s">
        <v>261</v>
      </c>
      <c r="F62" s="875">
        <f t="shared" ca="1" si="80"/>
        <v>480</v>
      </c>
      <c r="G62" s="1295">
        <f ca="1">'Sistemas-Manutenção'!AR159+'Sistemas-Manutenção'!BX159</f>
        <v>16</v>
      </c>
      <c r="H62" s="1295">
        <f ca="1">'Sistemas-Manutenção'!AS159+'Sistemas-Manutenção'!BY159</f>
        <v>16</v>
      </c>
      <c r="I62" s="1295">
        <f ca="1">'Sistemas-Manutenção'!AT159+'Sistemas-Manutenção'!BZ159</f>
        <v>16</v>
      </c>
      <c r="J62" s="1295">
        <f ca="1">'Sistemas-Manutenção'!AU159+'Sistemas-Manutenção'!CA159</f>
        <v>16</v>
      </c>
      <c r="K62" s="1295">
        <f ca="1">'Sistemas-Manutenção'!AV159+'Sistemas-Manutenção'!CB159</f>
        <v>16</v>
      </c>
      <c r="L62" s="1295">
        <f ca="1">'Sistemas-Manutenção'!AW159+'Sistemas-Manutenção'!CC159</f>
        <v>16</v>
      </c>
      <c r="M62" s="1295">
        <f ca="1">'Sistemas-Manutenção'!AX159+'Sistemas-Manutenção'!CD159</f>
        <v>16</v>
      </c>
      <c r="N62" s="1295">
        <f ca="1">'Sistemas-Manutenção'!AY159+'Sistemas-Manutenção'!CE159</f>
        <v>16</v>
      </c>
      <c r="O62" s="1295">
        <f ca="1">'Sistemas-Manutenção'!AZ159+'Sistemas-Manutenção'!CF159</f>
        <v>16</v>
      </c>
      <c r="P62" s="1295">
        <f ca="1">'Sistemas-Manutenção'!BA159+'Sistemas-Manutenção'!CG159</f>
        <v>16</v>
      </c>
      <c r="Q62" s="1295">
        <f ca="1">'Sistemas-Manutenção'!BB159+'Sistemas-Manutenção'!CH159</f>
        <v>16</v>
      </c>
      <c r="R62" s="1295">
        <f ca="1">'Sistemas-Manutenção'!BC159+'Sistemas-Manutenção'!CI159</f>
        <v>16</v>
      </c>
      <c r="S62" s="1295">
        <f ca="1">'Sistemas-Manutenção'!BD159+'Sistemas-Manutenção'!CJ159</f>
        <v>16</v>
      </c>
      <c r="T62" s="1295">
        <f ca="1">'Sistemas-Manutenção'!BE159+'Sistemas-Manutenção'!CK159</f>
        <v>16</v>
      </c>
      <c r="U62" s="1295">
        <f ca="1">'Sistemas-Manutenção'!BF159+'Sistemas-Manutenção'!CL159</f>
        <v>16</v>
      </c>
      <c r="V62" s="1295">
        <f ca="1">'Sistemas-Manutenção'!BG159+'Sistemas-Manutenção'!CM159</f>
        <v>16</v>
      </c>
      <c r="W62" s="1295">
        <f ca="1">'Sistemas-Manutenção'!BH159+'Sistemas-Manutenção'!CN159</f>
        <v>16</v>
      </c>
      <c r="X62" s="1295">
        <f ca="1">'Sistemas-Manutenção'!BI159+'Sistemas-Manutenção'!CO159</f>
        <v>16</v>
      </c>
      <c r="Y62" s="1295">
        <f ca="1">'Sistemas-Manutenção'!BJ159+'Sistemas-Manutenção'!CP159</f>
        <v>16</v>
      </c>
      <c r="Z62" s="1295">
        <f ca="1">'Sistemas-Manutenção'!BK159+'Sistemas-Manutenção'!CQ159</f>
        <v>16</v>
      </c>
      <c r="AA62" s="1295">
        <f ca="1">'Sistemas-Manutenção'!BL159+'Sistemas-Manutenção'!CR159</f>
        <v>16</v>
      </c>
      <c r="AB62" s="1295">
        <f ca="1">'Sistemas-Manutenção'!BM159+'Sistemas-Manutenção'!CS159</f>
        <v>16</v>
      </c>
      <c r="AC62" s="1295">
        <f ca="1">'Sistemas-Manutenção'!BN159+'Sistemas-Manutenção'!CT159</f>
        <v>16</v>
      </c>
      <c r="AD62" s="1295">
        <f ca="1">'Sistemas-Manutenção'!BO159+'Sistemas-Manutenção'!CU159</f>
        <v>16</v>
      </c>
      <c r="AE62" s="1295">
        <f ca="1">'Sistemas-Manutenção'!BP159+'Sistemas-Manutenção'!CV159</f>
        <v>16</v>
      </c>
      <c r="AF62" s="1295">
        <f ca="1">'Sistemas-Manutenção'!BQ159+'Sistemas-Manutenção'!CW159</f>
        <v>16</v>
      </c>
      <c r="AG62" s="1295">
        <f ca="1">'Sistemas-Manutenção'!BR159+'Sistemas-Manutenção'!CX159</f>
        <v>16</v>
      </c>
      <c r="AH62" s="1295">
        <f ca="1">'Sistemas-Manutenção'!BS159+'Sistemas-Manutenção'!CY159</f>
        <v>16</v>
      </c>
      <c r="AI62" s="1295">
        <f ca="1">'Sistemas-Manutenção'!BT159+'Sistemas-Manutenção'!CZ159</f>
        <v>16</v>
      </c>
      <c r="AJ62" s="1295">
        <f ca="1">'Sistemas-Manutenção'!BU159+'Sistemas-Manutenção'!DA159</f>
        <v>16</v>
      </c>
      <c r="AK62" s="280"/>
      <c r="AL62" s="280"/>
      <c r="AM62" s="280"/>
      <c r="AN62" s="280"/>
      <c r="AO62" s="280"/>
      <c r="AP62" s="283"/>
      <c r="AQ62" s="283"/>
      <c r="AR62" s="283"/>
      <c r="AS62" s="283"/>
      <c r="AT62" s="283"/>
      <c r="AU62" s="283"/>
      <c r="AV62" s="283"/>
      <c r="AW62" s="283"/>
      <c r="AX62" s="283"/>
      <c r="AY62" s="283"/>
      <c r="AZ62" s="283"/>
      <c r="BA62" s="283"/>
      <c r="BB62" s="283"/>
      <c r="BC62" s="283"/>
      <c r="BD62" s="283"/>
      <c r="BE62" s="283"/>
      <c r="BF62" s="283"/>
      <c r="BG62" s="283"/>
      <c r="BH62" s="283"/>
      <c r="BI62" s="283"/>
      <c r="BJ62" s="283"/>
      <c r="BK62" s="283"/>
      <c r="BL62" s="283"/>
      <c r="BM62" s="283"/>
      <c r="BN62" s="283"/>
      <c r="BO62" s="283"/>
      <c r="BP62" s="283"/>
      <c r="BQ62" s="283"/>
      <c r="BR62" s="283"/>
      <c r="BS62" s="283"/>
      <c r="BT62" s="283"/>
      <c r="BU62" s="283"/>
      <c r="BV62" s="283"/>
      <c r="BW62" s="283"/>
      <c r="BX62" s="283"/>
      <c r="BY62" s="283"/>
      <c r="BZ62" s="283"/>
      <c r="CA62" s="283"/>
    </row>
    <row r="63" spans="1:79">
      <c r="A63" s="595"/>
      <c r="B63" s="598"/>
      <c r="C63" s="599"/>
      <c r="D63" s="874" t="s">
        <v>1412</v>
      </c>
      <c r="E63" s="1294" t="s">
        <v>262</v>
      </c>
      <c r="F63" s="875">
        <f t="shared" si="80"/>
        <v>0</v>
      </c>
      <c r="G63" s="1295">
        <f>'Sistemas-Manutenção'!AR160+'Sistemas-Manutenção'!BX160</f>
        <v>0</v>
      </c>
      <c r="H63" s="1295">
        <f>'Sistemas-Manutenção'!AS160+'Sistemas-Manutenção'!BY160</f>
        <v>0</v>
      </c>
      <c r="I63" s="1295">
        <f>'Sistemas-Manutenção'!AT160+'Sistemas-Manutenção'!BZ160</f>
        <v>0</v>
      </c>
      <c r="J63" s="1295">
        <f>'Sistemas-Manutenção'!AU160+'Sistemas-Manutenção'!CA160</f>
        <v>0</v>
      </c>
      <c r="K63" s="1295">
        <f>'Sistemas-Manutenção'!AV160+'Sistemas-Manutenção'!CB160</f>
        <v>0</v>
      </c>
      <c r="L63" s="1295">
        <f>'Sistemas-Manutenção'!AW160+'Sistemas-Manutenção'!CC160</f>
        <v>0</v>
      </c>
      <c r="M63" s="1295">
        <f>'Sistemas-Manutenção'!AX160+'Sistemas-Manutenção'!CD160</f>
        <v>0</v>
      </c>
      <c r="N63" s="1295">
        <f>'Sistemas-Manutenção'!AY160+'Sistemas-Manutenção'!CE160</f>
        <v>0</v>
      </c>
      <c r="O63" s="1295">
        <f>'Sistemas-Manutenção'!AZ160+'Sistemas-Manutenção'!CF160</f>
        <v>0</v>
      </c>
      <c r="P63" s="1295">
        <f>'Sistemas-Manutenção'!BA160+'Sistemas-Manutenção'!CG160</f>
        <v>0</v>
      </c>
      <c r="Q63" s="1295">
        <f>'Sistemas-Manutenção'!BB160+'Sistemas-Manutenção'!CH160</f>
        <v>0</v>
      </c>
      <c r="R63" s="1295">
        <f>'Sistemas-Manutenção'!BC160+'Sistemas-Manutenção'!CI160</f>
        <v>0</v>
      </c>
      <c r="S63" s="1295">
        <f>'Sistemas-Manutenção'!BD160+'Sistemas-Manutenção'!CJ160</f>
        <v>0</v>
      </c>
      <c r="T63" s="1295">
        <f>'Sistemas-Manutenção'!BE160+'Sistemas-Manutenção'!CK160</f>
        <v>0</v>
      </c>
      <c r="U63" s="1295">
        <f>'Sistemas-Manutenção'!BF160+'Sistemas-Manutenção'!CL160</f>
        <v>0</v>
      </c>
      <c r="V63" s="1295">
        <f>'Sistemas-Manutenção'!BG160+'Sistemas-Manutenção'!CM160</f>
        <v>0</v>
      </c>
      <c r="W63" s="1295">
        <f>'Sistemas-Manutenção'!BH160+'Sistemas-Manutenção'!CN160</f>
        <v>0</v>
      </c>
      <c r="X63" s="1295">
        <f>'Sistemas-Manutenção'!BI160+'Sistemas-Manutenção'!CO160</f>
        <v>0</v>
      </c>
      <c r="Y63" s="1295">
        <f>'Sistemas-Manutenção'!BJ160+'Sistemas-Manutenção'!CP160</f>
        <v>0</v>
      </c>
      <c r="Z63" s="1295">
        <f>'Sistemas-Manutenção'!BK160+'Sistemas-Manutenção'!CQ160</f>
        <v>0</v>
      </c>
      <c r="AA63" s="1295">
        <f>'Sistemas-Manutenção'!BL160+'Sistemas-Manutenção'!CR160</f>
        <v>0</v>
      </c>
      <c r="AB63" s="1295">
        <f>'Sistemas-Manutenção'!BM160+'Sistemas-Manutenção'!CS160</f>
        <v>0</v>
      </c>
      <c r="AC63" s="1295">
        <f>'Sistemas-Manutenção'!BN160+'Sistemas-Manutenção'!CT160</f>
        <v>0</v>
      </c>
      <c r="AD63" s="1295">
        <f>'Sistemas-Manutenção'!BO160+'Sistemas-Manutenção'!CU160</f>
        <v>0</v>
      </c>
      <c r="AE63" s="1295">
        <f>'Sistemas-Manutenção'!BP160+'Sistemas-Manutenção'!CV160</f>
        <v>0</v>
      </c>
      <c r="AF63" s="1295">
        <f>'Sistemas-Manutenção'!BQ160+'Sistemas-Manutenção'!CW160</f>
        <v>0</v>
      </c>
      <c r="AG63" s="1295">
        <f>'Sistemas-Manutenção'!BR160+'Sistemas-Manutenção'!CX160</f>
        <v>0</v>
      </c>
      <c r="AH63" s="1295">
        <f>'Sistemas-Manutenção'!BS160+'Sistemas-Manutenção'!CY160</f>
        <v>0</v>
      </c>
      <c r="AI63" s="1295">
        <f>'Sistemas-Manutenção'!BT160+'Sistemas-Manutenção'!CZ160</f>
        <v>0</v>
      </c>
      <c r="AJ63" s="1295">
        <f>'Sistemas-Manutenção'!BU160+'Sistemas-Manutenção'!DA160</f>
        <v>0</v>
      </c>
      <c r="AK63" s="280"/>
      <c r="AL63" s="280"/>
      <c r="AM63" s="280"/>
      <c r="AN63" s="280"/>
      <c r="AO63" s="280"/>
      <c r="AP63" s="283"/>
      <c r="AQ63" s="283"/>
      <c r="AR63" s="283"/>
      <c r="AS63" s="283"/>
      <c r="AT63" s="283"/>
      <c r="AU63" s="283"/>
      <c r="AV63" s="283"/>
      <c r="AW63" s="283"/>
      <c r="AX63" s="283"/>
      <c r="AY63" s="283"/>
      <c r="AZ63" s="283"/>
      <c r="BA63" s="283"/>
      <c r="BB63" s="283"/>
      <c r="BC63" s="283"/>
      <c r="BD63" s="283"/>
      <c r="BE63" s="283"/>
      <c r="BF63" s="283"/>
      <c r="BG63" s="283"/>
      <c r="BH63" s="283"/>
      <c r="BI63" s="283"/>
      <c r="BJ63" s="283"/>
      <c r="BK63" s="283"/>
      <c r="BL63" s="283"/>
      <c r="BM63" s="283"/>
      <c r="BN63" s="283"/>
      <c r="BO63" s="283"/>
      <c r="BP63" s="283"/>
      <c r="BQ63" s="283"/>
      <c r="BR63" s="283"/>
      <c r="BS63" s="283"/>
      <c r="BT63" s="283"/>
      <c r="BU63" s="283"/>
      <c r="BV63" s="283"/>
      <c r="BW63" s="283"/>
      <c r="BX63" s="283"/>
      <c r="BY63" s="283"/>
      <c r="BZ63" s="283"/>
      <c r="CA63" s="283"/>
    </row>
    <row r="64" spans="1:79">
      <c r="A64" s="595"/>
      <c r="B64" s="598"/>
      <c r="C64" s="599"/>
      <c r="D64" s="874" t="s">
        <v>1413</v>
      </c>
      <c r="E64" s="1294" t="s">
        <v>263</v>
      </c>
      <c r="F64" s="875">
        <f t="shared" si="80"/>
        <v>0</v>
      </c>
      <c r="G64" s="1295">
        <f>'Sistemas-Manutenção'!AR161+'Sistemas-Manutenção'!BX161</f>
        <v>0</v>
      </c>
      <c r="H64" s="1295">
        <f>'Sistemas-Manutenção'!AS161+'Sistemas-Manutenção'!BY161</f>
        <v>0</v>
      </c>
      <c r="I64" s="1295">
        <f>'Sistemas-Manutenção'!AT161+'Sistemas-Manutenção'!BZ161</f>
        <v>0</v>
      </c>
      <c r="J64" s="1295">
        <f>'Sistemas-Manutenção'!AU161+'Sistemas-Manutenção'!CA161</f>
        <v>0</v>
      </c>
      <c r="K64" s="1295">
        <f>'Sistemas-Manutenção'!AV161+'Sistemas-Manutenção'!CB161</f>
        <v>0</v>
      </c>
      <c r="L64" s="1295">
        <f>'Sistemas-Manutenção'!AW161+'Sistemas-Manutenção'!CC161</f>
        <v>0</v>
      </c>
      <c r="M64" s="1295">
        <f>'Sistemas-Manutenção'!AX161+'Sistemas-Manutenção'!CD161</f>
        <v>0</v>
      </c>
      <c r="N64" s="1295">
        <f>'Sistemas-Manutenção'!AY161+'Sistemas-Manutenção'!CE161</f>
        <v>0</v>
      </c>
      <c r="O64" s="1295">
        <f>'Sistemas-Manutenção'!AZ161+'Sistemas-Manutenção'!CF161</f>
        <v>0</v>
      </c>
      <c r="P64" s="1295">
        <f>'Sistemas-Manutenção'!BA161+'Sistemas-Manutenção'!CG161</f>
        <v>0</v>
      </c>
      <c r="Q64" s="1295">
        <f>'Sistemas-Manutenção'!BB161+'Sistemas-Manutenção'!CH161</f>
        <v>0</v>
      </c>
      <c r="R64" s="1295">
        <f>'Sistemas-Manutenção'!BC161+'Sistemas-Manutenção'!CI161</f>
        <v>0</v>
      </c>
      <c r="S64" s="1295">
        <f>'Sistemas-Manutenção'!BD161+'Sistemas-Manutenção'!CJ161</f>
        <v>0</v>
      </c>
      <c r="T64" s="1295">
        <f>'Sistemas-Manutenção'!BE161+'Sistemas-Manutenção'!CK161</f>
        <v>0</v>
      </c>
      <c r="U64" s="1295">
        <f>'Sistemas-Manutenção'!BF161+'Sistemas-Manutenção'!CL161</f>
        <v>0</v>
      </c>
      <c r="V64" s="1295">
        <f>'Sistemas-Manutenção'!BG161+'Sistemas-Manutenção'!CM161</f>
        <v>0</v>
      </c>
      <c r="W64" s="1295">
        <f>'Sistemas-Manutenção'!BH161+'Sistemas-Manutenção'!CN161</f>
        <v>0</v>
      </c>
      <c r="X64" s="1295">
        <f>'Sistemas-Manutenção'!BI161+'Sistemas-Manutenção'!CO161</f>
        <v>0</v>
      </c>
      <c r="Y64" s="1295">
        <f>'Sistemas-Manutenção'!BJ161+'Sistemas-Manutenção'!CP161</f>
        <v>0</v>
      </c>
      <c r="Z64" s="1295">
        <f>'Sistemas-Manutenção'!BK161+'Sistemas-Manutenção'!CQ161</f>
        <v>0</v>
      </c>
      <c r="AA64" s="1295">
        <f>'Sistemas-Manutenção'!BL161+'Sistemas-Manutenção'!CR161</f>
        <v>0</v>
      </c>
      <c r="AB64" s="1295">
        <f>'Sistemas-Manutenção'!BM161+'Sistemas-Manutenção'!CS161</f>
        <v>0</v>
      </c>
      <c r="AC64" s="1295">
        <f>'Sistemas-Manutenção'!BN161+'Sistemas-Manutenção'!CT161</f>
        <v>0</v>
      </c>
      <c r="AD64" s="1295">
        <f>'Sistemas-Manutenção'!BO161+'Sistemas-Manutenção'!CU161</f>
        <v>0</v>
      </c>
      <c r="AE64" s="1295">
        <f>'Sistemas-Manutenção'!BP161+'Sistemas-Manutenção'!CV161</f>
        <v>0</v>
      </c>
      <c r="AF64" s="1295">
        <f>'Sistemas-Manutenção'!BQ161+'Sistemas-Manutenção'!CW161</f>
        <v>0</v>
      </c>
      <c r="AG64" s="1295">
        <f>'Sistemas-Manutenção'!BR161+'Sistemas-Manutenção'!CX161</f>
        <v>0</v>
      </c>
      <c r="AH64" s="1295">
        <f>'Sistemas-Manutenção'!BS161+'Sistemas-Manutenção'!CY161</f>
        <v>0</v>
      </c>
      <c r="AI64" s="1295">
        <f>'Sistemas-Manutenção'!BT161+'Sistemas-Manutenção'!CZ161</f>
        <v>0</v>
      </c>
      <c r="AJ64" s="1295">
        <f>'Sistemas-Manutenção'!BU161+'Sistemas-Manutenção'!DA161</f>
        <v>0</v>
      </c>
      <c r="AK64" s="280"/>
      <c r="AL64" s="280"/>
      <c r="AM64" s="280"/>
      <c r="AN64" s="280"/>
      <c r="AO64" s="280"/>
      <c r="AP64" s="283"/>
      <c r="AQ64" s="283"/>
      <c r="AR64" s="283"/>
      <c r="AS64" s="283"/>
      <c r="AT64" s="283"/>
      <c r="AU64" s="283"/>
      <c r="AV64" s="283"/>
      <c r="AW64" s="283"/>
      <c r="AX64" s="283"/>
      <c r="AY64" s="283"/>
      <c r="AZ64" s="283"/>
      <c r="BA64" s="283"/>
      <c r="BB64" s="283"/>
      <c r="BC64" s="283"/>
      <c r="BD64" s="283"/>
      <c r="BE64" s="283"/>
      <c r="BF64" s="283"/>
      <c r="BG64" s="283"/>
      <c r="BH64" s="283"/>
      <c r="BI64" s="283"/>
      <c r="BJ64" s="283"/>
      <c r="BK64" s="283"/>
      <c r="BL64" s="283"/>
      <c r="BM64" s="283"/>
      <c r="BN64" s="283"/>
      <c r="BO64" s="283"/>
      <c r="BP64" s="283"/>
      <c r="BQ64" s="283"/>
      <c r="BR64" s="283"/>
      <c r="BS64" s="283"/>
      <c r="BT64" s="283"/>
      <c r="BU64" s="283"/>
      <c r="BV64" s="283"/>
      <c r="BW64" s="283"/>
      <c r="BX64" s="283"/>
      <c r="BY64" s="283"/>
      <c r="BZ64" s="283"/>
      <c r="CA64" s="283"/>
    </row>
    <row r="65" spans="1:79">
      <c r="A65" s="595"/>
      <c r="B65" s="598"/>
      <c r="C65" s="599"/>
      <c r="D65" s="874" t="s">
        <v>1414</v>
      </c>
      <c r="E65" s="1294" t="s">
        <v>1415</v>
      </c>
      <c r="F65" s="875">
        <f t="shared" si="80"/>
        <v>599.24627931783311</v>
      </c>
      <c r="G65" s="1295">
        <f>'Sistemas-Manutenção'!AR162+'Sistemas-Manutenção'!BX162</f>
        <v>19.974875977261096</v>
      </c>
      <c r="H65" s="1295">
        <f>'Sistemas-Manutenção'!AS162+'Sistemas-Manutenção'!BY162</f>
        <v>19.974875977261096</v>
      </c>
      <c r="I65" s="1295">
        <f>'Sistemas-Manutenção'!AT162+'Sistemas-Manutenção'!BZ162</f>
        <v>19.974875977261096</v>
      </c>
      <c r="J65" s="1295">
        <f>'Sistemas-Manutenção'!AU162+'Sistemas-Manutenção'!CA162</f>
        <v>19.974875977261096</v>
      </c>
      <c r="K65" s="1295">
        <f>'Sistemas-Manutenção'!AV162+'Sistemas-Manutenção'!CB162</f>
        <v>19.974875977261096</v>
      </c>
      <c r="L65" s="1295">
        <f>'Sistemas-Manutenção'!AW162+'Sistemas-Manutenção'!CC162</f>
        <v>19.974875977261096</v>
      </c>
      <c r="M65" s="1295">
        <f>'Sistemas-Manutenção'!AX162+'Sistemas-Manutenção'!CD162</f>
        <v>19.974875977261096</v>
      </c>
      <c r="N65" s="1295">
        <f>'Sistemas-Manutenção'!AY162+'Sistemas-Manutenção'!CE162</f>
        <v>19.974875977261096</v>
      </c>
      <c r="O65" s="1295">
        <f>'Sistemas-Manutenção'!AZ162+'Sistemas-Manutenção'!CF162</f>
        <v>19.974875977261096</v>
      </c>
      <c r="P65" s="1295">
        <f>'Sistemas-Manutenção'!BA162+'Sistemas-Manutenção'!CG162</f>
        <v>19.974875977261096</v>
      </c>
      <c r="Q65" s="1295">
        <f>'Sistemas-Manutenção'!BB162+'Sistemas-Manutenção'!CH162</f>
        <v>19.974875977261096</v>
      </c>
      <c r="R65" s="1295">
        <f>'Sistemas-Manutenção'!BC162+'Sistemas-Manutenção'!CI162</f>
        <v>19.974875977261096</v>
      </c>
      <c r="S65" s="1295">
        <f>'Sistemas-Manutenção'!BD162+'Sistemas-Manutenção'!CJ162</f>
        <v>19.974875977261096</v>
      </c>
      <c r="T65" s="1295">
        <f>'Sistemas-Manutenção'!BE162+'Sistemas-Manutenção'!CK162</f>
        <v>19.974875977261096</v>
      </c>
      <c r="U65" s="1295">
        <f>'Sistemas-Manutenção'!BF162+'Sistemas-Manutenção'!CL162</f>
        <v>19.974875977261096</v>
      </c>
      <c r="V65" s="1295">
        <f>'Sistemas-Manutenção'!BG162+'Sistemas-Manutenção'!CM162</f>
        <v>19.974875977261096</v>
      </c>
      <c r="W65" s="1295">
        <f>'Sistemas-Manutenção'!BH162+'Sistemas-Manutenção'!CN162</f>
        <v>19.974875977261096</v>
      </c>
      <c r="X65" s="1295">
        <f>'Sistemas-Manutenção'!BI162+'Sistemas-Manutenção'!CO162</f>
        <v>19.974875977261096</v>
      </c>
      <c r="Y65" s="1295">
        <f>'Sistemas-Manutenção'!BJ162+'Sistemas-Manutenção'!CP162</f>
        <v>19.974875977261096</v>
      </c>
      <c r="Z65" s="1295">
        <f>'Sistemas-Manutenção'!BK162+'Sistemas-Manutenção'!CQ162</f>
        <v>19.974875977261096</v>
      </c>
      <c r="AA65" s="1295">
        <f>'Sistemas-Manutenção'!BL162+'Sistemas-Manutenção'!CR162</f>
        <v>19.974875977261096</v>
      </c>
      <c r="AB65" s="1295">
        <f>'Sistemas-Manutenção'!BM162+'Sistemas-Manutenção'!CS162</f>
        <v>19.974875977261096</v>
      </c>
      <c r="AC65" s="1295">
        <f>'Sistemas-Manutenção'!BN162+'Sistemas-Manutenção'!CT162</f>
        <v>19.974875977261096</v>
      </c>
      <c r="AD65" s="1295">
        <f>'Sistemas-Manutenção'!BO162+'Sistemas-Manutenção'!CU162</f>
        <v>19.974875977261096</v>
      </c>
      <c r="AE65" s="1295">
        <f>'Sistemas-Manutenção'!BP162+'Sistemas-Manutenção'!CV162</f>
        <v>19.974875977261096</v>
      </c>
      <c r="AF65" s="1295">
        <f>'Sistemas-Manutenção'!BQ162+'Sistemas-Manutenção'!CW162</f>
        <v>19.974875977261096</v>
      </c>
      <c r="AG65" s="1295">
        <f>'Sistemas-Manutenção'!BR162+'Sistemas-Manutenção'!CX162</f>
        <v>19.974875977261096</v>
      </c>
      <c r="AH65" s="1295">
        <f>'Sistemas-Manutenção'!BS162+'Sistemas-Manutenção'!CY162</f>
        <v>19.974875977261096</v>
      </c>
      <c r="AI65" s="1295">
        <f>'Sistemas-Manutenção'!BT162+'Sistemas-Manutenção'!CZ162</f>
        <v>19.974875977261096</v>
      </c>
      <c r="AJ65" s="1295">
        <f>'Sistemas-Manutenção'!BU162+'Sistemas-Manutenção'!DA162</f>
        <v>19.974875977261096</v>
      </c>
      <c r="AK65" s="280"/>
      <c r="AL65" s="280"/>
      <c r="AM65" s="280"/>
      <c r="AN65" s="280"/>
      <c r="AO65" s="280"/>
      <c r="AP65" s="283"/>
      <c r="AQ65" s="283"/>
      <c r="AR65" s="283"/>
      <c r="AS65" s="283"/>
      <c r="AT65" s="283"/>
      <c r="AU65" s="283"/>
      <c r="AV65" s="283"/>
      <c r="AW65" s="283"/>
      <c r="AX65" s="283"/>
      <c r="AY65" s="283"/>
      <c r="AZ65" s="283"/>
      <c r="BA65" s="283"/>
      <c r="BB65" s="283"/>
      <c r="BC65" s="283"/>
      <c r="BD65" s="283"/>
      <c r="BE65" s="283"/>
      <c r="BF65" s="283"/>
      <c r="BG65" s="283"/>
      <c r="BH65" s="283"/>
      <c r="BI65" s="283"/>
      <c r="BJ65" s="283"/>
      <c r="BK65" s="283"/>
      <c r="BL65" s="283"/>
      <c r="BM65" s="283"/>
      <c r="BN65" s="283"/>
      <c r="BO65" s="283"/>
      <c r="BP65" s="283"/>
      <c r="BQ65" s="283"/>
      <c r="BR65" s="283"/>
      <c r="BS65" s="283"/>
      <c r="BT65" s="283"/>
      <c r="BU65" s="283"/>
      <c r="BV65" s="283"/>
      <c r="BW65" s="283"/>
      <c r="BX65" s="283"/>
      <c r="BY65" s="283"/>
      <c r="BZ65" s="283"/>
      <c r="CA65" s="283"/>
    </row>
    <row r="66" spans="1:79">
      <c r="A66" s="595"/>
      <c r="B66" s="598"/>
      <c r="C66" s="599"/>
      <c r="D66" s="874" t="s">
        <v>1416</v>
      </c>
      <c r="E66" s="1294" t="s">
        <v>1417</v>
      </c>
      <c r="F66" s="875"/>
      <c r="G66" s="1295"/>
      <c r="H66" s="1295"/>
      <c r="I66" s="1295"/>
      <c r="J66" s="1295"/>
      <c r="K66" s="1295"/>
      <c r="L66" s="1295"/>
      <c r="M66" s="1295"/>
      <c r="N66" s="1295"/>
      <c r="O66" s="1295"/>
      <c r="P66" s="1295"/>
      <c r="Q66" s="1295"/>
      <c r="R66" s="1295"/>
      <c r="S66" s="1295"/>
      <c r="T66" s="1295"/>
      <c r="U66" s="1295"/>
      <c r="V66" s="1295"/>
      <c r="W66" s="1295"/>
      <c r="X66" s="1295"/>
      <c r="Y66" s="1295"/>
      <c r="Z66" s="1295"/>
      <c r="AA66" s="1295"/>
      <c r="AB66" s="1295"/>
      <c r="AC66" s="1295"/>
      <c r="AD66" s="1295"/>
      <c r="AE66" s="1295"/>
      <c r="AF66" s="1295"/>
      <c r="AG66" s="1295"/>
      <c r="AH66" s="1295"/>
      <c r="AI66" s="1295"/>
      <c r="AJ66" s="1295"/>
      <c r="AK66" s="280"/>
      <c r="AL66" s="280"/>
      <c r="AM66" s="280"/>
      <c r="AN66" s="280"/>
      <c r="AO66" s="280"/>
      <c r="AP66" s="283"/>
      <c r="AQ66" s="283"/>
      <c r="AR66" s="283"/>
      <c r="AS66" s="283"/>
      <c r="AT66" s="283"/>
      <c r="AU66" s="283"/>
      <c r="AV66" s="283"/>
      <c r="AW66" s="283"/>
      <c r="AX66" s="283"/>
      <c r="AY66" s="283"/>
      <c r="AZ66" s="283"/>
      <c r="BA66" s="283"/>
      <c r="BB66" s="283"/>
      <c r="BC66" s="283"/>
      <c r="BD66" s="283"/>
      <c r="BE66" s="283"/>
      <c r="BF66" s="283"/>
      <c r="BG66" s="283"/>
      <c r="BH66" s="283"/>
      <c r="BI66" s="283"/>
      <c r="BJ66" s="283"/>
      <c r="BK66" s="283"/>
      <c r="BL66" s="283"/>
      <c r="BM66" s="283"/>
      <c r="BN66" s="283"/>
      <c r="BO66" s="283"/>
      <c r="BP66" s="283"/>
      <c r="BQ66" s="283"/>
      <c r="BR66" s="283"/>
      <c r="BS66" s="283"/>
      <c r="BT66" s="283"/>
      <c r="BU66" s="283"/>
      <c r="BV66" s="283"/>
      <c r="BW66" s="283"/>
      <c r="BX66" s="283"/>
      <c r="BY66" s="283"/>
      <c r="BZ66" s="283"/>
      <c r="CA66" s="283"/>
    </row>
    <row r="67" spans="1:79">
      <c r="A67" s="595"/>
      <c r="B67" s="598"/>
      <c r="C67" s="599"/>
      <c r="D67" s="874" t="s">
        <v>1418</v>
      </c>
      <c r="E67" s="1294" t="s">
        <v>265</v>
      </c>
      <c r="F67" s="875">
        <f t="shared" si="80"/>
        <v>0</v>
      </c>
      <c r="G67" s="1295">
        <f>'Sistemas-Manutenção'!AR163+'Sistemas-Manutenção'!BX163</f>
        <v>0</v>
      </c>
      <c r="H67" s="1295">
        <f>'Sistemas-Manutenção'!AS163+'Sistemas-Manutenção'!BY163</f>
        <v>0</v>
      </c>
      <c r="I67" s="1295">
        <f>'Sistemas-Manutenção'!AT163+'Sistemas-Manutenção'!BZ163</f>
        <v>0</v>
      </c>
      <c r="J67" s="1295">
        <f>'Sistemas-Manutenção'!AU163+'Sistemas-Manutenção'!CA163</f>
        <v>0</v>
      </c>
      <c r="K67" s="1295">
        <f>'Sistemas-Manutenção'!AV163+'Sistemas-Manutenção'!CB163</f>
        <v>0</v>
      </c>
      <c r="L67" s="1295">
        <f>'Sistemas-Manutenção'!AW163+'Sistemas-Manutenção'!CC163</f>
        <v>0</v>
      </c>
      <c r="M67" s="1295">
        <f>'Sistemas-Manutenção'!AX163+'Sistemas-Manutenção'!CD163</f>
        <v>0</v>
      </c>
      <c r="N67" s="1295">
        <f>'Sistemas-Manutenção'!AY163+'Sistemas-Manutenção'!CE163</f>
        <v>0</v>
      </c>
      <c r="O67" s="1295">
        <f>'Sistemas-Manutenção'!AZ163+'Sistemas-Manutenção'!CF163</f>
        <v>0</v>
      </c>
      <c r="P67" s="1295">
        <f>'Sistemas-Manutenção'!BA163+'Sistemas-Manutenção'!CG163</f>
        <v>0</v>
      </c>
      <c r="Q67" s="1295">
        <f>'Sistemas-Manutenção'!BB163+'Sistemas-Manutenção'!CH163</f>
        <v>0</v>
      </c>
      <c r="R67" s="1295">
        <f>'Sistemas-Manutenção'!BC163+'Sistemas-Manutenção'!CI163</f>
        <v>0</v>
      </c>
      <c r="S67" s="1295">
        <f>'Sistemas-Manutenção'!BD163+'Sistemas-Manutenção'!CJ163</f>
        <v>0</v>
      </c>
      <c r="T67" s="1295">
        <f>'Sistemas-Manutenção'!BE163+'Sistemas-Manutenção'!CK163</f>
        <v>0</v>
      </c>
      <c r="U67" s="1295">
        <f>'Sistemas-Manutenção'!BF163+'Sistemas-Manutenção'!CL163</f>
        <v>0</v>
      </c>
      <c r="V67" s="1295">
        <f>'Sistemas-Manutenção'!BG163+'Sistemas-Manutenção'!CM163</f>
        <v>0</v>
      </c>
      <c r="W67" s="1295">
        <f>'Sistemas-Manutenção'!BH163+'Sistemas-Manutenção'!CN163</f>
        <v>0</v>
      </c>
      <c r="X67" s="1295">
        <f>'Sistemas-Manutenção'!BI163+'Sistemas-Manutenção'!CO163</f>
        <v>0</v>
      </c>
      <c r="Y67" s="1295">
        <f>'Sistemas-Manutenção'!BJ163+'Sistemas-Manutenção'!CP163</f>
        <v>0</v>
      </c>
      <c r="Z67" s="1295">
        <f>'Sistemas-Manutenção'!BK163+'Sistemas-Manutenção'!CQ163</f>
        <v>0</v>
      </c>
      <c r="AA67" s="1295">
        <f>'Sistemas-Manutenção'!BL163+'Sistemas-Manutenção'!CR163</f>
        <v>0</v>
      </c>
      <c r="AB67" s="1295">
        <f>'Sistemas-Manutenção'!BM163+'Sistemas-Manutenção'!CS163</f>
        <v>0</v>
      </c>
      <c r="AC67" s="1295">
        <f>'Sistemas-Manutenção'!BN163+'Sistemas-Manutenção'!CT163</f>
        <v>0</v>
      </c>
      <c r="AD67" s="1295">
        <f>'Sistemas-Manutenção'!BO163+'Sistemas-Manutenção'!CU163</f>
        <v>0</v>
      </c>
      <c r="AE67" s="1295">
        <f>'Sistemas-Manutenção'!BP163+'Sistemas-Manutenção'!CV163</f>
        <v>0</v>
      </c>
      <c r="AF67" s="1295">
        <f>'Sistemas-Manutenção'!BQ163+'Sistemas-Manutenção'!CW163</f>
        <v>0</v>
      </c>
      <c r="AG67" s="1295">
        <f>'Sistemas-Manutenção'!BR163+'Sistemas-Manutenção'!CX163</f>
        <v>0</v>
      </c>
      <c r="AH67" s="1295">
        <f>'Sistemas-Manutenção'!BS163+'Sistemas-Manutenção'!CY163</f>
        <v>0</v>
      </c>
      <c r="AI67" s="1295">
        <f>'Sistemas-Manutenção'!BT163+'Sistemas-Manutenção'!CZ163</f>
        <v>0</v>
      </c>
      <c r="AJ67" s="1295">
        <f>'Sistemas-Manutenção'!BU163+'Sistemas-Manutenção'!DA163</f>
        <v>0</v>
      </c>
      <c r="AK67" s="280"/>
      <c r="AL67" s="280"/>
      <c r="AM67" s="280"/>
      <c r="AN67" s="280"/>
      <c r="AO67" s="280"/>
      <c r="AP67" s="283"/>
      <c r="AQ67" s="283"/>
      <c r="AR67" s="283"/>
      <c r="AS67" s="283"/>
      <c r="AT67" s="283"/>
      <c r="AU67" s="283"/>
      <c r="AV67" s="283"/>
      <c r="AW67" s="283"/>
      <c r="AX67" s="283"/>
      <c r="AY67" s="283"/>
      <c r="AZ67" s="283"/>
      <c r="BA67" s="283"/>
      <c r="BB67" s="283"/>
      <c r="BC67" s="283"/>
      <c r="BD67" s="283"/>
      <c r="BE67" s="283"/>
      <c r="BF67" s="283"/>
      <c r="BG67" s="283"/>
      <c r="BH67" s="283"/>
      <c r="BI67" s="283"/>
      <c r="BJ67" s="283"/>
      <c r="BK67" s="283"/>
      <c r="BL67" s="283"/>
      <c r="BM67" s="283"/>
      <c r="BN67" s="283"/>
      <c r="BO67" s="283"/>
      <c r="BP67" s="283"/>
      <c r="BQ67" s="283"/>
      <c r="BR67" s="283"/>
      <c r="BS67" s="283"/>
      <c r="BT67" s="283"/>
      <c r="BU67" s="283"/>
      <c r="BV67" s="283"/>
      <c r="BW67" s="283"/>
      <c r="BX67" s="283"/>
      <c r="BY67" s="283"/>
      <c r="BZ67" s="283"/>
      <c r="CA67" s="283"/>
    </row>
    <row r="68" spans="1:79">
      <c r="A68" s="595"/>
      <c r="B68" s="598"/>
      <c r="C68" s="599"/>
      <c r="D68" s="874" t="s">
        <v>1419</v>
      </c>
      <c r="E68" s="1294" t="s">
        <v>266</v>
      </c>
      <c r="F68" s="875">
        <f t="shared" si="80"/>
        <v>0</v>
      </c>
      <c r="G68" s="1295">
        <f>'Sistemas-Manutenção'!AR164+'Sistemas-Manutenção'!BX164</f>
        <v>0</v>
      </c>
      <c r="H68" s="1295">
        <f>'Sistemas-Manutenção'!AS164+'Sistemas-Manutenção'!BY164</f>
        <v>0</v>
      </c>
      <c r="I68" s="1295">
        <f>'Sistemas-Manutenção'!AT164+'Sistemas-Manutenção'!BZ164</f>
        <v>0</v>
      </c>
      <c r="J68" s="1295">
        <f>'Sistemas-Manutenção'!AU164+'Sistemas-Manutenção'!CA164</f>
        <v>0</v>
      </c>
      <c r="K68" s="1295">
        <f>'Sistemas-Manutenção'!AV164+'Sistemas-Manutenção'!CB164</f>
        <v>0</v>
      </c>
      <c r="L68" s="1295">
        <f>'Sistemas-Manutenção'!AW164+'Sistemas-Manutenção'!CC164</f>
        <v>0</v>
      </c>
      <c r="M68" s="1295">
        <f>'Sistemas-Manutenção'!AX164+'Sistemas-Manutenção'!CD164</f>
        <v>0</v>
      </c>
      <c r="N68" s="1295">
        <f>'Sistemas-Manutenção'!AY164+'Sistemas-Manutenção'!CE164</f>
        <v>0</v>
      </c>
      <c r="O68" s="1295">
        <f>'Sistemas-Manutenção'!AZ164+'Sistemas-Manutenção'!CF164</f>
        <v>0</v>
      </c>
      <c r="P68" s="1295">
        <f>'Sistemas-Manutenção'!BA164+'Sistemas-Manutenção'!CG164</f>
        <v>0</v>
      </c>
      <c r="Q68" s="1295">
        <f>'Sistemas-Manutenção'!BB164+'Sistemas-Manutenção'!CH164</f>
        <v>0</v>
      </c>
      <c r="R68" s="1295">
        <f>'Sistemas-Manutenção'!BC164+'Sistemas-Manutenção'!CI164</f>
        <v>0</v>
      </c>
      <c r="S68" s="1295">
        <f>'Sistemas-Manutenção'!BD164+'Sistemas-Manutenção'!CJ164</f>
        <v>0</v>
      </c>
      <c r="T68" s="1295">
        <f>'Sistemas-Manutenção'!BE164+'Sistemas-Manutenção'!CK164</f>
        <v>0</v>
      </c>
      <c r="U68" s="1295">
        <f>'Sistemas-Manutenção'!BF164+'Sistemas-Manutenção'!CL164</f>
        <v>0</v>
      </c>
      <c r="V68" s="1295">
        <f>'Sistemas-Manutenção'!BG164+'Sistemas-Manutenção'!CM164</f>
        <v>0</v>
      </c>
      <c r="W68" s="1295">
        <f>'Sistemas-Manutenção'!BH164+'Sistemas-Manutenção'!CN164</f>
        <v>0</v>
      </c>
      <c r="X68" s="1295">
        <f>'Sistemas-Manutenção'!BI164+'Sistemas-Manutenção'!CO164</f>
        <v>0</v>
      </c>
      <c r="Y68" s="1295">
        <f>'Sistemas-Manutenção'!BJ164+'Sistemas-Manutenção'!CP164</f>
        <v>0</v>
      </c>
      <c r="Z68" s="1295">
        <f>'Sistemas-Manutenção'!BK164+'Sistemas-Manutenção'!CQ164</f>
        <v>0</v>
      </c>
      <c r="AA68" s="1295">
        <f>'Sistemas-Manutenção'!BL164+'Sistemas-Manutenção'!CR164</f>
        <v>0</v>
      </c>
      <c r="AB68" s="1295">
        <f>'Sistemas-Manutenção'!BM164+'Sistemas-Manutenção'!CS164</f>
        <v>0</v>
      </c>
      <c r="AC68" s="1295">
        <f>'Sistemas-Manutenção'!BN164+'Sistemas-Manutenção'!CT164</f>
        <v>0</v>
      </c>
      <c r="AD68" s="1295">
        <f>'Sistemas-Manutenção'!BO164+'Sistemas-Manutenção'!CU164</f>
        <v>0</v>
      </c>
      <c r="AE68" s="1295">
        <f>'Sistemas-Manutenção'!BP164+'Sistemas-Manutenção'!CV164</f>
        <v>0</v>
      </c>
      <c r="AF68" s="1295">
        <f>'Sistemas-Manutenção'!BQ164+'Sistemas-Manutenção'!CW164</f>
        <v>0</v>
      </c>
      <c r="AG68" s="1295">
        <f>'Sistemas-Manutenção'!BR164+'Sistemas-Manutenção'!CX164</f>
        <v>0</v>
      </c>
      <c r="AH68" s="1295">
        <f>'Sistemas-Manutenção'!BS164+'Sistemas-Manutenção'!CY164</f>
        <v>0</v>
      </c>
      <c r="AI68" s="1295">
        <f>'Sistemas-Manutenção'!BT164+'Sistemas-Manutenção'!CZ164</f>
        <v>0</v>
      </c>
      <c r="AJ68" s="1295">
        <f>'Sistemas-Manutenção'!BU164+'Sistemas-Manutenção'!DA164</f>
        <v>0</v>
      </c>
      <c r="AK68" s="280"/>
      <c r="AL68" s="280"/>
      <c r="AM68" s="280"/>
      <c r="AN68" s="280"/>
      <c r="AO68" s="280"/>
      <c r="AP68" s="283"/>
      <c r="AQ68" s="283"/>
      <c r="AR68" s="283"/>
      <c r="AS68" s="283"/>
      <c r="AT68" s="283"/>
      <c r="AU68" s="283"/>
      <c r="AV68" s="283"/>
      <c r="AW68" s="283"/>
      <c r="AX68" s="283"/>
      <c r="AY68" s="283"/>
      <c r="AZ68" s="283"/>
      <c r="BA68" s="283"/>
      <c r="BB68" s="283"/>
      <c r="BC68" s="283"/>
      <c r="BD68" s="283"/>
      <c r="BE68" s="283"/>
      <c r="BF68" s="283"/>
      <c r="BG68" s="283"/>
      <c r="BH68" s="283"/>
      <c r="BI68" s="283"/>
      <c r="BJ68" s="283"/>
      <c r="BK68" s="283"/>
      <c r="BL68" s="283"/>
      <c r="BM68" s="283"/>
      <c r="BN68" s="283"/>
      <c r="BO68" s="283"/>
      <c r="BP68" s="283"/>
      <c r="BQ68" s="283"/>
      <c r="BR68" s="283"/>
      <c r="BS68" s="283"/>
      <c r="BT68" s="283"/>
      <c r="BU68" s="283"/>
      <c r="BV68" s="283"/>
      <c r="BW68" s="283"/>
      <c r="BX68" s="283"/>
      <c r="BY68" s="283"/>
      <c r="BZ68" s="283"/>
      <c r="CA68" s="283"/>
    </row>
    <row r="69" spans="1:79">
      <c r="A69" s="595"/>
      <c r="B69" s="598"/>
      <c r="C69" s="599"/>
      <c r="D69" s="874" t="s">
        <v>1420</v>
      </c>
      <c r="E69" s="1294" t="s">
        <v>267</v>
      </c>
      <c r="F69" s="875">
        <f t="shared" ca="1" si="80"/>
        <v>0</v>
      </c>
      <c r="G69" s="1295">
        <f ca="1">'Sistemas-Manutenção'!AR165+'Sistemas-Manutenção'!BX165</f>
        <v>0</v>
      </c>
      <c r="H69" s="1295">
        <f ca="1">'Sistemas-Manutenção'!AS165+'Sistemas-Manutenção'!BY165</f>
        <v>0</v>
      </c>
      <c r="I69" s="1295">
        <f ca="1">'Sistemas-Manutenção'!AT165+'Sistemas-Manutenção'!BZ165</f>
        <v>0</v>
      </c>
      <c r="J69" s="1295">
        <f ca="1">'Sistemas-Manutenção'!AU165+'Sistemas-Manutenção'!CA165</f>
        <v>0</v>
      </c>
      <c r="K69" s="1295">
        <f ca="1">'Sistemas-Manutenção'!AV165+'Sistemas-Manutenção'!CB165</f>
        <v>0</v>
      </c>
      <c r="L69" s="1295">
        <f ca="1">'Sistemas-Manutenção'!AW165+'Sistemas-Manutenção'!CC165</f>
        <v>0</v>
      </c>
      <c r="M69" s="1295">
        <f ca="1">'Sistemas-Manutenção'!AX165+'Sistemas-Manutenção'!CD165</f>
        <v>0</v>
      </c>
      <c r="N69" s="1295">
        <f ca="1">'Sistemas-Manutenção'!AY165+'Sistemas-Manutenção'!CE165</f>
        <v>0</v>
      </c>
      <c r="O69" s="1295">
        <f ca="1">'Sistemas-Manutenção'!AZ165+'Sistemas-Manutenção'!CF165</f>
        <v>0</v>
      </c>
      <c r="P69" s="1295">
        <f ca="1">'Sistemas-Manutenção'!BA165+'Sistemas-Manutenção'!CG165</f>
        <v>0</v>
      </c>
      <c r="Q69" s="1295">
        <f ca="1">'Sistemas-Manutenção'!BB165+'Sistemas-Manutenção'!CH165</f>
        <v>0</v>
      </c>
      <c r="R69" s="1295">
        <f ca="1">'Sistemas-Manutenção'!BC165+'Sistemas-Manutenção'!CI165</f>
        <v>0</v>
      </c>
      <c r="S69" s="1295">
        <f ca="1">'Sistemas-Manutenção'!BD165+'Sistemas-Manutenção'!CJ165</f>
        <v>0</v>
      </c>
      <c r="T69" s="1295">
        <f ca="1">'Sistemas-Manutenção'!BE165+'Sistemas-Manutenção'!CK165</f>
        <v>0</v>
      </c>
      <c r="U69" s="1295">
        <f ca="1">'Sistemas-Manutenção'!BF165+'Sistemas-Manutenção'!CL165</f>
        <v>0</v>
      </c>
      <c r="V69" s="1295">
        <f ca="1">'Sistemas-Manutenção'!BG165+'Sistemas-Manutenção'!CM165</f>
        <v>0</v>
      </c>
      <c r="W69" s="1295">
        <f ca="1">'Sistemas-Manutenção'!BH165+'Sistemas-Manutenção'!CN165</f>
        <v>0</v>
      </c>
      <c r="X69" s="1295">
        <f ca="1">'Sistemas-Manutenção'!BI165+'Sistemas-Manutenção'!CO165</f>
        <v>0</v>
      </c>
      <c r="Y69" s="1295">
        <f ca="1">'Sistemas-Manutenção'!BJ165+'Sistemas-Manutenção'!CP165</f>
        <v>0</v>
      </c>
      <c r="Z69" s="1295">
        <f ca="1">'Sistemas-Manutenção'!BK165+'Sistemas-Manutenção'!CQ165</f>
        <v>0</v>
      </c>
      <c r="AA69" s="1295">
        <f ca="1">'Sistemas-Manutenção'!BL165+'Sistemas-Manutenção'!CR165</f>
        <v>0</v>
      </c>
      <c r="AB69" s="1295">
        <f ca="1">'Sistemas-Manutenção'!BM165+'Sistemas-Manutenção'!CS165</f>
        <v>0</v>
      </c>
      <c r="AC69" s="1295">
        <f ca="1">'Sistemas-Manutenção'!BN165+'Sistemas-Manutenção'!CT165</f>
        <v>0</v>
      </c>
      <c r="AD69" s="1295">
        <f ca="1">'Sistemas-Manutenção'!BO165+'Sistemas-Manutenção'!CU165</f>
        <v>0</v>
      </c>
      <c r="AE69" s="1295">
        <f ca="1">'Sistemas-Manutenção'!BP165+'Sistemas-Manutenção'!CV165</f>
        <v>0</v>
      </c>
      <c r="AF69" s="1295">
        <f ca="1">'Sistemas-Manutenção'!BQ165+'Sistemas-Manutenção'!CW165</f>
        <v>0</v>
      </c>
      <c r="AG69" s="1295">
        <f ca="1">'Sistemas-Manutenção'!BR165+'Sistemas-Manutenção'!CX165</f>
        <v>0</v>
      </c>
      <c r="AH69" s="1295">
        <f ca="1">'Sistemas-Manutenção'!BS165+'Sistemas-Manutenção'!CY165</f>
        <v>0</v>
      </c>
      <c r="AI69" s="1295">
        <f ca="1">'Sistemas-Manutenção'!BT165+'Sistemas-Manutenção'!CZ165</f>
        <v>0</v>
      </c>
      <c r="AJ69" s="1295">
        <f ca="1">'Sistemas-Manutenção'!BU165+'Sistemas-Manutenção'!DA165</f>
        <v>0</v>
      </c>
      <c r="AK69" s="280"/>
      <c r="AL69" s="280"/>
      <c r="AM69" s="280"/>
      <c r="AN69" s="280"/>
      <c r="AO69" s="280"/>
      <c r="AP69" s="283"/>
      <c r="AQ69" s="283"/>
      <c r="AR69" s="283"/>
      <c r="AS69" s="283"/>
      <c r="AT69" s="283"/>
      <c r="AU69" s="283"/>
      <c r="AV69" s="283"/>
      <c r="AW69" s="283"/>
      <c r="AX69" s="283"/>
      <c r="AY69" s="283"/>
      <c r="AZ69" s="283"/>
      <c r="BA69" s="283"/>
      <c r="BB69" s="283"/>
      <c r="BC69" s="283"/>
      <c r="BD69" s="283"/>
      <c r="BE69" s="283"/>
      <c r="BF69" s="283"/>
      <c r="BG69" s="283"/>
      <c r="BH69" s="283"/>
      <c r="BI69" s="283"/>
      <c r="BJ69" s="283"/>
      <c r="BK69" s="283"/>
      <c r="BL69" s="283"/>
      <c r="BM69" s="283"/>
      <c r="BN69" s="283"/>
      <c r="BO69" s="283"/>
      <c r="BP69" s="283"/>
      <c r="BQ69" s="283"/>
      <c r="BR69" s="283"/>
      <c r="BS69" s="283"/>
      <c r="BT69" s="283"/>
      <c r="BU69" s="283"/>
      <c r="BV69" s="283"/>
      <c r="BW69" s="283"/>
      <c r="BX69" s="283"/>
      <c r="BY69" s="283"/>
      <c r="BZ69" s="283"/>
      <c r="CA69" s="283"/>
    </row>
    <row r="70" spans="1:79">
      <c r="A70" s="595"/>
      <c r="B70" s="598"/>
      <c r="C70" s="599"/>
      <c r="D70" s="874" t="s">
        <v>1422</v>
      </c>
      <c r="E70" s="1294" t="s">
        <v>268</v>
      </c>
      <c r="F70" s="875">
        <f t="shared" si="80"/>
        <v>0</v>
      </c>
      <c r="G70" s="1295">
        <f>'Sistemas-Manutenção'!AR166+'Sistemas-Manutenção'!BX166</f>
        <v>0</v>
      </c>
      <c r="H70" s="1295">
        <f>'Sistemas-Manutenção'!AS166+'Sistemas-Manutenção'!BY166</f>
        <v>0</v>
      </c>
      <c r="I70" s="1295">
        <f>'Sistemas-Manutenção'!AT166+'Sistemas-Manutenção'!BZ166</f>
        <v>0</v>
      </c>
      <c r="J70" s="1295">
        <f>'Sistemas-Manutenção'!AU166+'Sistemas-Manutenção'!CA166</f>
        <v>0</v>
      </c>
      <c r="K70" s="1295">
        <f>'Sistemas-Manutenção'!AV166+'Sistemas-Manutenção'!CB166</f>
        <v>0</v>
      </c>
      <c r="L70" s="1295">
        <f>'Sistemas-Manutenção'!AW166+'Sistemas-Manutenção'!CC166</f>
        <v>0</v>
      </c>
      <c r="M70" s="1295">
        <f>'Sistemas-Manutenção'!AX166+'Sistemas-Manutenção'!CD166</f>
        <v>0</v>
      </c>
      <c r="N70" s="1295">
        <f>'Sistemas-Manutenção'!AY166+'Sistemas-Manutenção'!CE166</f>
        <v>0</v>
      </c>
      <c r="O70" s="1295">
        <f>'Sistemas-Manutenção'!AZ166+'Sistemas-Manutenção'!CF166</f>
        <v>0</v>
      </c>
      <c r="P70" s="1295">
        <f>'Sistemas-Manutenção'!BA166+'Sistemas-Manutenção'!CG166</f>
        <v>0</v>
      </c>
      <c r="Q70" s="1295">
        <f>'Sistemas-Manutenção'!BB166+'Sistemas-Manutenção'!CH166</f>
        <v>0</v>
      </c>
      <c r="R70" s="1295">
        <f>'Sistemas-Manutenção'!BC166+'Sistemas-Manutenção'!CI166</f>
        <v>0</v>
      </c>
      <c r="S70" s="1295">
        <f>'Sistemas-Manutenção'!BD166+'Sistemas-Manutenção'!CJ166</f>
        <v>0</v>
      </c>
      <c r="T70" s="1295">
        <f>'Sistemas-Manutenção'!BE166+'Sistemas-Manutenção'!CK166</f>
        <v>0</v>
      </c>
      <c r="U70" s="1295">
        <f>'Sistemas-Manutenção'!BF166+'Sistemas-Manutenção'!CL166</f>
        <v>0</v>
      </c>
      <c r="V70" s="1295">
        <f>'Sistemas-Manutenção'!BG166+'Sistemas-Manutenção'!CM166</f>
        <v>0</v>
      </c>
      <c r="W70" s="1295">
        <f>'Sistemas-Manutenção'!BH166+'Sistemas-Manutenção'!CN166</f>
        <v>0</v>
      </c>
      <c r="X70" s="1295">
        <f>'Sistemas-Manutenção'!BI166+'Sistemas-Manutenção'!CO166</f>
        <v>0</v>
      </c>
      <c r="Y70" s="1295">
        <f>'Sistemas-Manutenção'!BJ166+'Sistemas-Manutenção'!CP166</f>
        <v>0</v>
      </c>
      <c r="Z70" s="1295">
        <f>'Sistemas-Manutenção'!BK166+'Sistemas-Manutenção'!CQ166</f>
        <v>0</v>
      </c>
      <c r="AA70" s="1295">
        <f>'Sistemas-Manutenção'!BL166+'Sistemas-Manutenção'!CR166</f>
        <v>0</v>
      </c>
      <c r="AB70" s="1295">
        <f>'Sistemas-Manutenção'!BM166+'Sistemas-Manutenção'!CS166</f>
        <v>0</v>
      </c>
      <c r="AC70" s="1295">
        <f>'Sistemas-Manutenção'!BN166+'Sistemas-Manutenção'!CT166</f>
        <v>0</v>
      </c>
      <c r="AD70" s="1295">
        <f>'Sistemas-Manutenção'!BO166+'Sistemas-Manutenção'!CU166</f>
        <v>0</v>
      </c>
      <c r="AE70" s="1295">
        <f>'Sistemas-Manutenção'!BP166+'Sistemas-Manutenção'!CV166</f>
        <v>0</v>
      </c>
      <c r="AF70" s="1295">
        <f>'Sistemas-Manutenção'!BQ166+'Sistemas-Manutenção'!CW166</f>
        <v>0</v>
      </c>
      <c r="AG70" s="1295">
        <f>'Sistemas-Manutenção'!BR166+'Sistemas-Manutenção'!CX166</f>
        <v>0</v>
      </c>
      <c r="AH70" s="1295">
        <f>'Sistemas-Manutenção'!BS166+'Sistemas-Manutenção'!CY166</f>
        <v>0</v>
      </c>
      <c r="AI70" s="1295">
        <f>'Sistemas-Manutenção'!BT166+'Sistemas-Manutenção'!CZ166</f>
        <v>0</v>
      </c>
      <c r="AJ70" s="1295">
        <f>'Sistemas-Manutenção'!BU166+'Sistemas-Manutenção'!DA166</f>
        <v>0</v>
      </c>
      <c r="AK70" s="280"/>
      <c r="AL70" s="280"/>
      <c r="AM70" s="280"/>
      <c r="AN70" s="280"/>
      <c r="AO70" s="280"/>
      <c r="AP70" s="283"/>
      <c r="AQ70" s="283"/>
      <c r="AR70" s="283"/>
      <c r="AS70" s="283"/>
      <c r="AT70" s="283"/>
      <c r="AU70" s="283"/>
      <c r="AV70" s="283"/>
      <c r="AW70" s="283"/>
      <c r="AX70" s="283"/>
      <c r="AY70" s="283"/>
      <c r="AZ70" s="283"/>
      <c r="BA70" s="283"/>
      <c r="BB70" s="283"/>
      <c r="BC70" s="283"/>
      <c r="BD70" s="283"/>
      <c r="BE70" s="283"/>
      <c r="BF70" s="283"/>
      <c r="BG70" s="283"/>
      <c r="BH70" s="283"/>
      <c r="BI70" s="283"/>
      <c r="BJ70" s="283"/>
      <c r="BK70" s="283"/>
      <c r="BL70" s="283"/>
      <c r="BM70" s="283"/>
      <c r="BN70" s="283"/>
      <c r="BO70" s="283"/>
      <c r="BP70" s="283"/>
      <c r="BQ70" s="283"/>
      <c r="BR70" s="283"/>
      <c r="BS70" s="283"/>
      <c r="BT70" s="283"/>
      <c r="BU70" s="283"/>
      <c r="BV70" s="283"/>
      <c r="BW70" s="283"/>
      <c r="BX70" s="283"/>
      <c r="BY70" s="283"/>
      <c r="BZ70" s="283"/>
      <c r="CA70" s="283"/>
    </row>
    <row r="71" spans="1:79">
      <c r="A71" s="595"/>
      <c r="B71" s="598"/>
      <c r="C71" s="599"/>
      <c r="D71" s="874" t="s">
        <v>1423</v>
      </c>
      <c r="E71" s="1294" t="s">
        <v>269</v>
      </c>
      <c r="F71" s="875">
        <f t="shared" si="80"/>
        <v>0</v>
      </c>
      <c r="G71" s="1295">
        <f>'Sistemas-Manutenção'!AR167+'Sistemas-Manutenção'!BX167</f>
        <v>0</v>
      </c>
      <c r="H71" s="1295">
        <f>'Sistemas-Manutenção'!AS167+'Sistemas-Manutenção'!BY167</f>
        <v>0</v>
      </c>
      <c r="I71" s="1295">
        <f>'Sistemas-Manutenção'!AT167+'Sistemas-Manutenção'!BZ167</f>
        <v>0</v>
      </c>
      <c r="J71" s="1295">
        <f>'Sistemas-Manutenção'!AU167+'Sistemas-Manutenção'!CA167</f>
        <v>0</v>
      </c>
      <c r="K71" s="1295">
        <f>'Sistemas-Manutenção'!AV167+'Sistemas-Manutenção'!CB167</f>
        <v>0</v>
      </c>
      <c r="L71" s="1295">
        <f>'Sistemas-Manutenção'!AW167+'Sistemas-Manutenção'!CC167</f>
        <v>0</v>
      </c>
      <c r="M71" s="1295">
        <f>'Sistemas-Manutenção'!AX167+'Sistemas-Manutenção'!CD167</f>
        <v>0</v>
      </c>
      <c r="N71" s="1295">
        <f>'Sistemas-Manutenção'!AY167+'Sistemas-Manutenção'!CE167</f>
        <v>0</v>
      </c>
      <c r="O71" s="1295">
        <f>'Sistemas-Manutenção'!AZ167+'Sistemas-Manutenção'!CF167</f>
        <v>0</v>
      </c>
      <c r="P71" s="1295">
        <f>'Sistemas-Manutenção'!BA167+'Sistemas-Manutenção'!CG167</f>
        <v>0</v>
      </c>
      <c r="Q71" s="1295">
        <f>'Sistemas-Manutenção'!BB167+'Sistemas-Manutenção'!CH167</f>
        <v>0</v>
      </c>
      <c r="R71" s="1295">
        <f>'Sistemas-Manutenção'!BC167+'Sistemas-Manutenção'!CI167</f>
        <v>0</v>
      </c>
      <c r="S71" s="1295">
        <f>'Sistemas-Manutenção'!BD167+'Sistemas-Manutenção'!CJ167</f>
        <v>0</v>
      </c>
      <c r="T71" s="1295">
        <f>'Sistemas-Manutenção'!BE167+'Sistemas-Manutenção'!CK167</f>
        <v>0</v>
      </c>
      <c r="U71" s="1295">
        <f>'Sistemas-Manutenção'!BF167+'Sistemas-Manutenção'!CL167</f>
        <v>0</v>
      </c>
      <c r="V71" s="1295">
        <f>'Sistemas-Manutenção'!BG167+'Sistemas-Manutenção'!CM167</f>
        <v>0</v>
      </c>
      <c r="W71" s="1295">
        <f>'Sistemas-Manutenção'!BH167+'Sistemas-Manutenção'!CN167</f>
        <v>0</v>
      </c>
      <c r="X71" s="1295">
        <f>'Sistemas-Manutenção'!BI167+'Sistemas-Manutenção'!CO167</f>
        <v>0</v>
      </c>
      <c r="Y71" s="1295">
        <f>'Sistemas-Manutenção'!BJ167+'Sistemas-Manutenção'!CP167</f>
        <v>0</v>
      </c>
      <c r="Z71" s="1295">
        <f>'Sistemas-Manutenção'!BK167+'Sistemas-Manutenção'!CQ167</f>
        <v>0</v>
      </c>
      <c r="AA71" s="1295">
        <f>'Sistemas-Manutenção'!BL167+'Sistemas-Manutenção'!CR167</f>
        <v>0</v>
      </c>
      <c r="AB71" s="1295">
        <f>'Sistemas-Manutenção'!BM167+'Sistemas-Manutenção'!CS167</f>
        <v>0</v>
      </c>
      <c r="AC71" s="1295">
        <f>'Sistemas-Manutenção'!BN167+'Sistemas-Manutenção'!CT167</f>
        <v>0</v>
      </c>
      <c r="AD71" s="1295">
        <f>'Sistemas-Manutenção'!BO167+'Sistemas-Manutenção'!CU167</f>
        <v>0</v>
      </c>
      <c r="AE71" s="1295">
        <f>'Sistemas-Manutenção'!BP167+'Sistemas-Manutenção'!CV167</f>
        <v>0</v>
      </c>
      <c r="AF71" s="1295">
        <f>'Sistemas-Manutenção'!BQ167+'Sistemas-Manutenção'!CW167</f>
        <v>0</v>
      </c>
      <c r="AG71" s="1295">
        <f>'Sistemas-Manutenção'!BR167+'Sistemas-Manutenção'!CX167</f>
        <v>0</v>
      </c>
      <c r="AH71" s="1295">
        <f>'Sistemas-Manutenção'!BS167+'Sistemas-Manutenção'!CY167</f>
        <v>0</v>
      </c>
      <c r="AI71" s="1295">
        <f>'Sistemas-Manutenção'!BT167+'Sistemas-Manutenção'!CZ167</f>
        <v>0</v>
      </c>
      <c r="AJ71" s="1295">
        <f>'Sistemas-Manutenção'!BU167+'Sistemas-Manutenção'!DA167</f>
        <v>0</v>
      </c>
      <c r="AK71" s="280"/>
      <c r="AL71" s="280"/>
      <c r="AM71" s="280"/>
      <c r="AN71" s="280"/>
      <c r="AO71" s="280"/>
      <c r="AP71" s="283"/>
      <c r="AQ71" s="283"/>
      <c r="AR71" s="283"/>
      <c r="AS71" s="283"/>
      <c r="AT71" s="283"/>
      <c r="AU71" s="283"/>
      <c r="AV71" s="283"/>
      <c r="AW71" s="283"/>
      <c r="AX71" s="283"/>
      <c r="AY71" s="283"/>
      <c r="AZ71" s="283"/>
      <c r="BA71" s="283"/>
      <c r="BB71" s="283"/>
      <c r="BC71" s="283"/>
      <c r="BD71" s="283"/>
      <c r="BE71" s="283"/>
      <c r="BF71" s="283"/>
      <c r="BG71" s="283"/>
      <c r="BH71" s="283"/>
      <c r="BI71" s="283"/>
      <c r="BJ71" s="283"/>
      <c r="BK71" s="283"/>
      <c r="BL71" s="283"/>
      <c r="BM71" s="283"/>
      <c r="BN71" s="283"/>
      <c r="BO71" s="283"/>
      <c r="BP71" s="283"/>
      <c r="BQ71" s="283"/>
      <c r="BR71" s="283"/>
      <c r="BS71" s="283"/>
      <c r="BT71" s="283"/>
      <c r="BU71" s="283"/>
      <c r="BV71" s="283"/>
      <c r="BW71" s="283"/>
      <c r="BX71" s="283"/>
      <c r="BY71" s="283"/>
      <c r="BZ71" s="283"/>
      <c r="CA71" s="283"/>
    </row>
    <row r="72" spans="1:79">
      <c r="A72" s="595"/>
      <c r="B72" s="598"/>
      <c r="C72" s="599"/>
      <c r="D72" s="874" t="s">
        <v>1424</v>
      </c>
      <c r="E72" s="1294" t="s">
        <v>270</v>
      </c>
      <c r="F72" s="875">
        <f t="shared" si="80"/>
        <v>0</v>
      </c>
      <c r="G72" s="1295">
        <f>'Sistemas-Manutenção'!AR168+'Sistemas-Manutenção'!BX168</f>
        <v>0</v>
      </c>
      <c r="H72" s="1295">
        <f>'Sistemas-Manutenção'!AS168+'Sistemas-Manutenção'!BY168</f>
        <v>0</v>
      </c>
      <c r="I72" s="1295">
        <f>'Sistemas-Manutenção'!AT168+'Sistemas-Manutenção'!BZ168</f>
        <v>0</v>
      </c>
      <c r="J72" s="1295">
        <f>'Sistemas-Manutenção'!AU168+'Sistemas-Manutenção'!CA168</f>
        <v>0</v>
      </c>
      <c r="K72" s="1295">
        <f>'Sistemas-Manutenção'!AV168+'Sistemas-Manutenção'!CB168</f>
        <v>0</v>
      </c>
      <c r="L72" s="1295">
        <f>'Sistemas-Manutenção'!AW168+'Sistemas-Manutenção'!CC168</f>
        <v>0</v>
      </c>
      <c r="M72" s="1295">
        <f>'Sistemas-Manutenção'!AX168+'Sistemas-Manutenção'!CD168</f>
        <v>0</v>
      </c>
      <c r="N72" s="1295">
        <f>'Sistemas-Manutenção'!AY168+'Sistemas-Manutenção'!CE168</f>
        <v>0</v>
      </c>
      <c r="O72" s="1295">
        <f>'Sistemas-Manutenção'!AZ168+'Sistemas-Manutenção'!CF168</f>
        <v>0</v>
      </c>
      <c r="P72" s="1295">
        <f>'Sistemas-Manutenção'!BA168+'Sistemas-Manutenção'!CG168</f>
        <v>0</v>
      </c>
      <c r="Q72" s="1295">
        <f>'Sistemas-Manutenção'!BB168+'Sistemas-Manutenção'!CH168</f>
        <v>0</v>
      </c>
      <c r="R72" s="1295">
        <f>'Sistemas-Manutenção'!BC168+'Sistemas-Manutenção'!CI168</f>
        <v>0</v>
      </c>
      <c r="S72" s="1295">
        <f>'Sistemas-Manutenção'!BD168+'Sistemas-Manutenção'!CJ168</f>
        <v>0</v>
      </c>
      <c r="T72" s="1295">
        <f>'Sistemas-Manutenção'!BE168+'Sistemas-Manutenção'!CK168</f>
        <v>0</v>
      </c>
      <c r="U72" s="1295">
        <f>'Sistemas-Manutenção'!BF168+'Sistemas-Manutenção'!CL168</f>
        <v>0</v>
      </c>
      <c r="V72" s="1295">
        <f>'Sistemas-Manutenção'!BG168+'Sistemas-Manutenção'!CM168</f>
        <v>0</v>
      </c>
      <c r="W72" s="1295">
        <f>'Sistemas-Manutenção'!BH168+'Sistemas-Manutenção'!CN168</f>
        <v>0</v>
      </c>
      <c r="X72" s="1295">
        <f>'Sistemas-Manutenção'!BI168+'Sistemas-Manutenção'!CO168</f>
        <v>0</v>
      </c>
      <c r="Y72" s="1295">
        <f>'Sistemas-Manutenção'!BJ168+'Sistemas-Manutenção'!CP168</f>
        <v>0</v>
      </c>
      <c r="Z72" s="1295">
        <f>'Sistemas-Manutenção'!BK168+'Sistemas-Manutenção'!CQ168</f>
        <v>0</v>
      </c>
      <c r="AA72" s="1295">
        <f>'Sistemas-Manutenção'!BL168+'Sistemas-Manutenção'!CR168</f>
        <v>0</v>
      </c>
      <c r="AB72" s="1295">
        <f>'Sistemas-Manutenção'!BM168+'Sistemas-Manutenção'!CS168</f>
        <v>0</v>
      </c>
      <c r="AC72" s="1295">
        <f>'Sistemas-Manutenção'!BN168+'Sistemas-Manutenção'!CT168</f>
        <v>0</v>
      </c>
      <c r="AD72" s="1295">
        <f>'Sistemas-Manutenção'!BO168+'Sistemas-Manutenção'!CU168</f>
        <v>0</v>
      </c>
      <c r="AE72" s="1295">
        <f>'Sistemas-Manutenção'!BP168+'Sistemas-Manutenção'!CV168</f>
        <v>0</v>
      </c>
      <c r="AF72" s="1295">
        <f>'Sistemas-Manutenção'!BQ168+'Sistemas-Manutenção'!CW168</f>
        <v>0</v>
      </c>
      <c r="AG72" s="1295">
        <f>'Sistemas-Manutenção'!BR168+'Sistemas-Manutenção'!CX168</f>
        <v>0</v>
      </c>
      <c r="AH72" s="1295">
        <f>'Sistemas-Manutenção'!BS168+'Sistemas-Manutenção'!CY168</f>
        <v>0</v>
      </c>
      <c r="AI72" s="1295">
        <f>'Sistemas-Manutenção'!BT168+'Sistemas-Manutenção'!CZ168</f>
        <v>0</v>
      </c>
      <c r="AJ72" s="1295">
        <f>'Sistemas-Manutenção'!BU168+'Sistemas-Manutenção'!DA168</f>
        <v>0</v>
      </c>
      <c r="AK72" s="300"/>
      <c r="AL72" s="300"/>
      <c r="AM72" s="300"/>
      <c r="AN72" s="300"/>
      <c r="AO72" s="300"/>
      <c r="AP72" s="283"/>
      <c r="AQ72" s="283"/>
      <c r="AR72" s="283"/>
      <c r="AS72" s="283"/>
      <c r="AT72" s="283"/>
      <c r="AU72" s="283"/>
      <c r="AV72" s="283"/>
      <c r="AW72" s="283"/>
      <c r="AX72" s="283"/>
      <c r="AY72" s="283"/>
      <c r="AZ72" s="283"/>
      <c r="BA72" s="283"/>
      <c r="BB72" s="283"/>
      <c r="BC72" s="283"/>
      <c r="BD72" s="283"/>
      <c r="BE72" s="283"/>
      <c r="BF72" s="283"/>
      <c r="BG72" s="283"/>
      <c r="BH72" s="283"/>
      <c r="BI72" s="283"/>
      <c r="BJ72" s="283"/>
      <c r="BK72" s="283"/>
      <c r="BL72" s="283"/>
      <c r="BM72" s="283"/>
      <c r="BN72" s="283"/>
      <c r="BO72" s="283"/>
      <c r="BP72" s="283"/>
      <c r="BQ72" s="283"/>
      <c r="BR72" s="283"/>
      <c r="BS72" s="283"/>
      <c r="BT72" s="283"/>
      <c r="BU72" s="283"/>
      <c r="BV72" s="283"/>
      <c r="BW72" s="283"/>
      <c r="BX72" s="283"/>
      <c r="BY72" s="283"/>
      <c r="BZ72" s="283"/>
      <c r="CA72" s="283"/>
    </row>
    <row r="73" spans="1:79">
      <c r="A73" s="595"/>
      <c r="B73" s="598"/>
      <c r="C73" s="599"/>
      <c r="D73" s="874"/>
      <c r="E73" s="1294"/>
      <c r="F73" s="875"/>
      <c r="G73" s="1295"/>
      <c r="H73" s="1295"/>
      <c r="I73" s="1295"/>
      <c r="J73" s="1295"/>
      <c r="K73" s="1295"/>
      <c r="L73" s="1295"/>
      <c r="M73" s="1295"/>
      <c r="N73" s="1295"/>
      <c r="O73" s="1295"/>
      <c r="P73" s="1295"/>
      <c r="Q73" s="1295"/>
      <c r="R73" s="1295"/>
      <c r="S73" s="1295"/>
      <c r="T73" s="1295"/>
      <c r="U73" s="1295"/>
      <c r="V73" s="1295"/>
      <c r="W73" s="1295"/>
      <c r="X73" s="1295"/>
      <c r="Y73" s="1295"/>
      <c r="Z73" s="1295"/>
      <c r="AA73" s="1295"/>
      <c r="AB73" s="1295"/>
      <c r="AC73" s="1295"/>
      <c r="AD73" s="1295"/>
      <c r="AE73" s="1295"/>
      <c r="AF73" s="1295"/>
      <c r="AG73" s="1295"/>
      <c r="AH73" s="1295"/>
      <c r="AI73" s="1295"/>
      <c r="AJ73" s="1295"/>
      <c r="AK73" s="283"/>
      <c r="AL73" s="283"/>
      <c r="AM73" s="283"/>
      <c r="AN73" s="283"/>
      <c r="AO73" s="283"/>
      <c r="AP73" s="283"/>
      <c r="AQ73" s="283"/>
      <c r="AR73" s="283"/>
      <c r="AS73" s="283"/>
      <c r="AT73" s="283"/>
      <c r="AU73" s="283"/>
      <c r="AV73" s="283"/>
      <c r="AW73" s="283"/>
      <c r="AX73" s="283"/>
      <c r="AY73" s="283"/>
      <c r="AZ73" s="283"/>
      <c r="BA73" s="283"/>
      <c r="BB73" s="283"/>
      <c r="BC73" s="283"/>
      <c r="BD73" s="283"/>
      <c r="BE73" s="283"/>
      <c r="BF73" s="283"/>
      <c r="BG73" s="283"/>
      <c r="BH73" s="283"/>
      <c r="BI73" s="283"/>
      <c r="BJ73" s="283"/>
      <c r="BK73" s="283"/>
      <c r="BL73" s="283"/>
      <c r="BM73" s="283"/>
      <c r="BN73" s="283"/>
      <c r="BO73" s="283"/>
      <c r="BP73" s="283"/>
      <c r="BQ73" s="283"/>
      <c r="BR73" s="283"/>
      <c r="BS73" s="283"/>
      <c r="BT73" s="283"/>
      <c r="BU73" s="283"/>
      <c r="BV73" s="283"/>
      <c r="BW73" s="283"/>
      <c r="BX73" s="283"/>
      <c r="BY73" s="283"/>
      <c r="BZ73" s="283"/>
      <c r="CA73" s="283"/>
    </row>
    <row r="74" spans="1:79">
      <c r="A74" s="595"/>
      <c r="B74" s="598"/>
      <c r="C74" s="599"/>
      <c r="D74" s="874"/>
      <c r="E74" s="1296" t="s">
        <v>38</v>
      </c>
      <c r="F74" s="875">
        <f t="shared" ref="F74:AJ74" ca="1" si="81">SUM(F55:F73)</f>
        <v>9566.6115748880984</v>
      </c>
      <c r="G74" s="875">
        <f t="shared" ca="1" si="81"/>
        <v>314.05082547939185</v>
      </c>
      <c r="H74" s="875">
        <f t="shared" ca="1" si="81"/>
        <v>319.38907417142082</v>
      </c>
      <c r="I74" s="875">
        <f t="shared" ca="1" si="81"/>
        <v>319.38907417142082</v>
      </c>
      <c r="J74" s="875">
        <f t="shared" ca="1" si="81"/>
        <v>319.38907417142082</v>
      </c>
      <c r="K74" s="875">
        <f t="shared" ca="1" si="81"/>
        <v>319.38907417142082</v>
      </c>
      <c r="L74" s="875">
        <f t="shared" ca="1" si="81"/>
        <v>319.38907417142082</v>
      </c>
      <c r="M74" s="875">
        <f t="shared" ca="1" si="81"/>
        <v>319.38907417142082</v>
      </c>
      <c r="N74" s="875">
        <f t="shared" ca="1" si="81"/>
        <v>319.38907417142082</v>
      </c>
      <c r="O74" s="875">
        <f t="shared" ca="1" si="81"/>
        <v>319.38907417142082</v>
      </c>
      <c r="P74" s="875">
        <f t="shared" ca="1" si="81"/>
        <v>319.38907417142082</v>
      </c>
      <c r="Q74" s="875">
        <f t="shared" ca="1" si="81"/>
        <v>319.38907417142082</v>
      </c>
      <c r="R74" s="875">
        <f t="shared" ca="1" si="81"/>
        <v>319.38907417142082</v>
      </c>
      <c r="S74" s="875">
        <f t="shared" ca="1" si="81"/>
        <v>319.38907417142082</v>
      </c>
      <c r="T74" s="875">
        <f t="shared" ca="1" si="81"/>
        <v>319.38907417142082</v>
      </c>
      <c r="U74" s="875">
        <f t="shared" ca="1" si="81"/>
        <v>319.38907417142082</v>
      </c>
      <c r="V74" s="875">
        <f t="shared" ca="1" si="81"/>
        <v>319.38907417142082</v>
      </c>
      <c r="W74" s="875">
        <f t="shared" ca="1" si="81"/>
        <v>319.38907417142082</v>
      </c>
      <c r="X74" s="875">
        <f t="shared" ca="1" si="81"/>
        <v>319.38907417142082</v>
      </c>
      <c r="Y74" s="875">
        <f t="shared" ca="1" si="81"/>
        <v>319.38907417142082</v>
      </c>
      <c r="Z74" s="875">
        <f t="shared" ca="1" si="81"/>
        <v>319.38907417142082</v>
      </c>
      <c r="AA74" s="875">
        <f t="shared" ca="1" si="81"/>
        <v>319.38907417142082</v>
      </c>
      <c r="AB74" s="875">
        <f t="shared" ca="1" si="81"/>
        <v>319.38907417142082</v>
      </c>
      <c r="AC74" s="875">
        <f t="shared" ca="1" si="81"/>
        <v>319.38907417142082</v>
      </c>
      <c r="AD74" s="875">
        <f t="shared" ca="1" si="81"/>
        <v>319.38907417142082</v>
      </c>
      <c r="AE74" s="875">
        <f t="shared" ca="1" si="81"/>
        <v>319.38907417142082</v>
      </c>
      <c r="AF74" s="875">
        <f t="shared" ca="1" si="81"/>
        <v>319.38907417142082</v>
      </c>
      <c r="AG74" s="875">
        <f t="shared" ca="1" si="81"/>
        <v>319.38907417142082</v>
      </c>
      <c r="AH74" s="875">
        <f t="shared" ca="1" si="81"/>
        <v>319.38907417142082</v>
      </c>
      <c r="AI74" s="875">
        <f t="shared" ca="1" si="81"/>
        <v>319.38907417142082</v>
      </c>
      <c r="AJ74" s="875">
        <f t="shared" ca="1" si="81"/>
        <v>309.66667260892086</v>
      </c>
      <c r="AK74" s="283"/>
      <c r="AL74" s="283"/>
      <c r="AM74" s="283"/>
      <c r="AN74" s="283"/>
      <c r="AO74" s="283"/>
      <c r="AP74" s="283"/>
      <c r="AQ74" s="283"/>
      <c r="AR74" s="283"/>
      <c r="AS74" s="283"/>
      <c r="AT74" s="283"/>
      <c r="AU74" s="283"/>
      <c r="AV74" s="283"/>
      <c r="AW74" s="283"/>
      <c r="AX74" s="283"/>
      <c r="AY74" s="283"/>
      <c r="AZ74" s="283"/>
      <c r="BA74" s="283"/>
      <c r="BB74" s="283"/>
      <c r="BC74" s="283"/>
      <c r="BD74" s="283"/>
      <c r="BE74" s="283"/>
      <c r="BF74" s="283"/>
      <c r="BG74" s="283"/>
      <c r="BH74" s="283"/>
      <c r="BI74" s="283"/>
      <c r="BJ74" s="283"/>
      <c r="BK74" s="283"/>
      <c r="BL74" s="283"/>
      <c r="BM74" s="283"/>
      <c r="BN74" s="283"/>
      <c r="BO74" s="283"/>
      <c r="BP74" s="283"/>
      <c r="BQ74" s="283"/>
      <c r="BR74" s="283"/>
      <c r="BS74" s="283"/>
      <c r="BT74" s="283"/>
      <c r="BU74" s="283"/>
      <c r="BV74" s="283"/>
      <c r="BW74" s="283"/>
      <c r="BX74" s="283"/>
      <c r="BY74" s="283"/>
      <c r="BZ74" s="283"/>
      <c r="CA74" s="283"/>
    </row>
    <row r="75" spans="1:79">
      <c r="A75" s="595"/>
      <c r="B75" s="598"/>
      <c r="C75" s="599"/>
      <c r="D75" s="283"/>
      <c r="E75" s="283"/>
      <c r="F75" s="292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3"/>
      <c r="Z75" s="283"/>
      <c r="AA75" s="283"/>
      <c r="AB75" s="283"/>
      <c r="AC75" s="283"/>
      <c r="AD75" s="283"/>
      <c r="AE75" s="283"/>
      <c r="AF75" s="283"/>
      <c r="AG75" s="283"/>
      <c r="AH75" s="283"/>
      <c r="AI75" s="283"/>
      <c r="AJ75" s="283"/>
      <c r="AK75" s="283"/>
      <c r="AL75" s="283"/>
      <c r="AM75" s="283"/>
      <c r="AN75" s="283"/>
      <c r="AO75" s="283"/>
      <c r="AP75" s="283"/>
      <c r="AQ75" s="283"/>
      <c r="AR75" s="283"/>
      <c r="AS75" s="283"/>
      <c r="AT75" s="283"/>
      <c r="AU75" s="283"/>
      <c r="AV75" s="283"/>
      <c r="AW75" s="283"/>
      <c r="AX75" s="283"/>
      <c r="AY75" s="283"/>
      <c r="AZ75" s="283"/>
      <c r="BA75" s="283"/>
      <c r="BB75" s="283"/>
      <c r="BC75" s="283"/>
      <c r="BD75" s="283"/>
      <c r="BE75" s="283"/>
      <c r="BF75" s="283"/>
      <c r="BG75" s="283"/>
      <c r="BH75" s="283"/>
      <c r="BI75" s="283"/>
      <c r="BJ75" s="283"/>
      <c r="BK75" s="283"/>
      <c r="BL75" s="283"/>
      <c r="BM75" s="283"/>
      <c r="BN75" s="283"/>
      <c r="BO75" s="283"/>
      <c r="BP75" s="283"/>
      <c r="BQ75" s="283"/>
      <c r="BR75" s="283"/>
      <c r="BS75" s="283"/>
      <c r="BT75" s="283"/>
      <c r="BU75" s="283"/>
      <c r="BV75" s="283"/>
      <c r="BW75" s="283"/>
      <c r="BX75" s="283"/>
      <c r="BY75" s="283"/>
      <c r="BZ75" s="283"/>
      <c r="CA75" s="283"/>
    </row>
    <row r="76" spans="1:79">
      <c r="A76" s="595"/>
      <c r="B76" s="598"/>
      <c r="C76" s="599"/>
      <c r="D76" s="283"/>
      <c r="E76" s="283"/>
      <c r="F76" s="292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283"/>
      <c r="W76" s="283"/>
      <c r="X76" s="283"/>
      <c r="Y76" s="283"/>
      <c r="Z76" s="283"/>
      <c r="AA76" s="283"/>
      <c r="AB76" s="283"/>
      <c r="AC76" s="283"/>
      <c r="AD76" s="283"/>
      <c r="AE76" s="283"/>
      <c r="AF76" s="283"/>
      <c r="AG76" s="283"/>
      <c r="AH76" s="283"/>
      <c r="AI76" s="283"/>
      <c r="AJ76" s="283"/>
      <c r="AK76" s="283"/>
      <c r="AL76" s="283"/>
      <c r="AM76" s="283"/>
      <c r="AN76" s="283"/>
      <c r="AO76" s="283"/>
      <c r="AP76" s="283"/>
      <c r="AQ76" s="283"/>
      <c r="AR76" s="283"/>
      <c r="AS76" s="283"/>
      <c r="AT76" s="283"/>
      <c r="AU76" s="283"/>
      <c r="AV76" s="283"/>
      <c r="AW76" s="283"/>
      <c r="AX76" s="283"/>
      <c r="AY76" s="283"/>
      <c r="AZ76" s="283"/>
      <c r="BA76" s="283"/>
      <c r="BB76" s="283"/>
      <c r="BC76" s="283"/>
      <c r="BD76" s="283"/>
      <c r="BE76" s="283"/>
      <c r="BF76" s="283"/>
      <c r="BG76" s="283"/>
      <c r="BH76" s="283"/>
      <c r="BI76" s="283"/>
      <c r="BJ76" s="283"/>
      <c r="BK76" s="283"/>
      <c r="BL76" s="283"/>
      <c r="BM76" s="283"/>
      <c r="BN76" s="283"/>
      <c r="BO76" s="283"/>
      <c r="BP76" s="283"/>
      <c r="BQ76" s="283"/>
      <c r="BR76" s="283"/>
      <c r="BS76" s="283"/>
      <c r="BT76" s="283"/>
      <c r="BU76" s="283"/>
      <c r="BV76" s="283"/>
      <c r="BW76" s="283"/>
      <c r="BX76" s="283"/>
      <c r="BY76" s="283"/>
      <c r="BZ76" s="283"/>
      <c r="CA76" s="283"/>
    </row>
    <row r="77" spans="1:79">
      <c r="A77" s="595"/>
      <c r="B77" s="598"/>
      <c r="C77" s="599"/>
      <c r="D77" s="283"/>
      <c r="E77" s="283"/>
      <c r="F77" s="292"/>
      <c r="G77" s="292"/>
      <c r="H77" s="292"/>
      <c r="I77" s="301"/>
      <c r="J77" s="301"/>
      <c r="K77" s="302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283"/>
      <c r="W77" s="283"/>
      <c r="X77" s="283"/>
      <c r="Y77" s="283"/>
      <c r="Z77" s="283"/>
      <c r="AA77" s="283"/>
      <c r="AB77" s="283"/>
      <c r="AC77" s="283"/>
      <c r="AD77" s="283"/>
      <c r="AE77" s="283"/>
      <c r="AF77" s="283"/>
      <c r="AG77" s="283"/>
      <c r="AH77" s="283"/>
      <c r="AI77" s="283"/>
      <c r="AJ77" s="283"/>
      <c r="AK77" s="283"/>
      <c r="AL77" s="283"/>
      <c r="AM77" s="283"/>
      <c r="AN77" s="283"/>
      <c r="AO77" s="283"/>
      <c r="AP77" s="283"/>
      <c r="AQ77" s="283"/>
      <c r="AR77" s="283"/>
      <c r="AS77" s="283"/>
      <c r="AT77" s="283"/>
      <c r="AU77" s="283"/>
      <c r="AV77" s="283"/>
      <c r="AW77" s="283"/>
      <c r="AX77" s="283"/>
      <c r="AY77" s="283"/>
      <c r="AZ77" s="283"/>
      <c r="BA77" s="283"/>
      <c r="BB77" s="283"/>
      <c r="BC77" s="283"/>
      <c r="BD77" s="283"/>
      <c r="BE77" s="283"/>
      <c r="BF77" s="283"/>
      <c r="BG77" s="283"/>
      <c r="BH77" s="283"/>
      <c r="BI77" s="283"/>
      <c r="BJ77" s="283"/>
      <c r="BK77" s="283"/>
      <c r="BL77" s="283"/>
      <c r="BM77" s="283"/>
      <c r="BN77" s="283"/>
      <c r="BO77" s="283"/>
      <c r="BP77" s="283"/>
      <c r="BQ77" s="283"/>
      <c r="BR77" s="283"/>
      <c r="BS77" s="283"/>
      <c r="BT77" s="283"/>
      <c r="BU77" s="283"/>
      <c r="BV77" s="283"/>
      <c r="BW77" s="283"/>
      <c r="BX77" s="283"/>
      <c r="BY77" s="283"/>
      <c r="BZ77" s="283"/>
      <c r="CA77" s="283"/>
    </row>
    <row r="78" spans="1:79">
      <c r="A78" s="595"/>
      <c r="B78" s="598"/>
      <c r="C78" s="599"/>
      <c r="D78" s="283"/>
      <c r="E78" s="283"/>
      <c r="F78" s="292"/>
      <c r="G78" s="292"/>
      <c r="H78" s="292"/>
      <c r="I78" s="301"/>
      <c r="J78" s="301"/>
      <c r="K78" s="302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283"/>
      <c r="W78" s="283"/>
      <c r="X78" s="283"/>
      <c r="Y78" s="283"/>
      <c r="Z78" s="283"/>
      <c r="AA78" s="283"/>
      <c r="AB78" s="283"/>
      <c r="AC78" s="283"/>
      <c r="AD78" s="283"/>
      <c r="AE78" s="283"/>
      <c r="AF78" s="283"/>
      <c r="AG78" s="283"/>
      <c r="AH78" s="283"/>
      <c r="AI78" s="283"/>
      <c r="AJ78" s="283"/>
      <c r="AK78" s="283"/>
      <c r="AL78" s="283"/>
      <c r="AM78" s="283"/>
      <c r="AN78" s="283"/>
      <c r="AO78" s="283"/>
      <c r="AP78" s="283"/>
      <c r="AQ78" s="283"/>
      <c r="AR78" s="283"/>
      <c r="AS78" s="283"/>
      <c r="AT78" s="283"/>
      <c r="AU78" s="283"/>
      <c r="AV78" s="283"/>
      <c r="AW78" s="283"/>
      <c r="AX78" s="283"/>
      <c r="AY78" s="283"/>
      <c r="AZ78" s="283"/>
      <c r="BA78" s="283"/>
      <c r="BB78" s="283"/>
      <c r="BC78" s="283"/>
      <c r="BD78" s="283"/>
      <c r="BE78" s="283"/>
      <c r="BF78" s="283"/>
      <c r="BG78" s="283"/>
      <c r="BH78" s="283"/>
      <c r="BI78" s="283"/>
      <c r="BJ78" s="283"/>
      <c r="BK78" s="283"/>
      <c r="BL78" s="283"/>
      <c r="BM78" s="283"/>
      <c r="BN78" s="283"/>
      <c r="BO78" s="283"/>
      <c r="BP78" s="283"/>
      <c r="BQ78" s="283"/>
      <c r="BR78" s="283"/>
      <c r="BS78" s="283"/>
      <c r="BT78" s="283"/>
      <c r="BU78" s="283"/>
      <c r="BV78" s="283"/>
      <c r="BW78" s="283"/>
      <c r="BX78" s="283"/>
      <c r="BY78" s="283"/>
      <c r="BZ78" s="283"/>
      <c r="CA78" s="283"/>
    </row>
    <row r="79" spans="1:79">
      <c r="A79" s="595"/>
      <c r="B79" s="598"/>
      <c r="C79" s="599"/>
      <c r="D79" s="283"/>
      <c r="E79" s="283"/>
      <c r="F79" s="292"/>
      <c r="G79" s="292"/>
      <c r="H79" s="292"/>
      <c r="I79" s="301"/>
      <c r="J79" s="301"/>
      <c r="K79" s="302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3"/>
      <c r="Z79" s="283"/>
      <c r="AA79" s="283"/>
      <c r="AB79" s="283"/>
      <c r="AC79" s="283"/>
      <c r="AD79" s="283"/>
      <c r="AE79" s="283"/>
      <c r="AF79" s="283"/>
      <c r="AG79" s="283"/>
      <c r="AH79" s="283"/>
      <c r="AI79" s="283"/>
      <c r="AJ79" s="283"/>
      <c r="AK79" s="283"/>
      <c r="AL79" s="283"/>
      <c r="AM79" s="283"/>
      <c r="AN79" s="283"/>
      <c r="AO79" s="283"/>
      <c r="AP79" s="283"/>
      <c r="AQ79" s="283"/>
      <c r="AR79" s="283"/>
      <c r="AS79" s="283"/>
      <c r="AT79" s="283"/>
      <c r="AU79" s="283"/>
      <c r="AV79" s="283"/>
      <c r="AW79" s="283"/>
      <c r="AX79" s="283"/>
      <c r="AY79" s="283"/>
      <c r="AZ79" s="283"/>
      <c r="BA79" s="283"/>
      <c r="BB79" s="283"/>
      <c r="BC79" s="283"/>
      <c r="BD79" s="283"/>
      <c r="BE79" s="283"/>
      <c r="BF79" s="283"/>
      <c r="BG79" s="283"/>
      <c r="BH79" s="283"/>
      <c r="BI79" s="283"/>
      <c r="BJ79" s="283"/>
      <c r="BK79" s="283"/>
      <c r="BL79" s="283"/>
      <c r="BM79" s="283"/>
      <c r="BN79" s="283"/>
      <c r="BO79" s="283"/>
      <c r="BP79" s="283"/>
      <c r="BQ79" s="283"/>
      <c r="BR79" s="283"/>
      <c r="BS79" s="283"/>
      <c r="BT79" s="283"/>
      <c r="BU79" s="283"/>
      <c r="BV79" s="283"/>
      <c r="BW79" s="283"/>
      <c r="BX79" s="283"/>
      <c r="BY79" s="283"/>
      <c r="BZ79" s="283"/>
      <c r="CA79" s="283"/>
    </row>
    <row r="80" spans="1:79">
      <c r="A80" s="595"/>
      <c r="B80" s="598"/>
      <c r="C80" s="599"/>
      <c r="D80" s="283"/>
      <c r="E80" s="283"/>
      <c r="F80" s="292"/>
      <c r="G80" s="292"/>
      <c r="H80" s="292"/>
      <c r="I80" s="301"/>
      <c r="J80" s="301"/>
      <c r="K80" s="302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3"/>
      <c r="Z80" s="283"/>
      <c r="AA80" s="283"/>
      <c r="AB80" s="283"/>
      <c r="AC80" s="283"/>
      <c r="AD80" s="283"/>
      <c r="AE80" s="283"/>
      <c r="AF80" s="283"/>
      <c r="AG80" s="283"/>
      <c r="AH80" s="283"/>
      <c r="AI80" s="283"/>
      <c r="AJ80" s="283"/>
      <c r="AK80" s="283"/>
      <c r="AL80" s="283"/>
      <c r="AM80" s="283"/>
      <c r="AN80" s="283"/>
      <c r="AO80" s="283"/>
      <c r="AP80" s="283"/>
      <c r="AQ80" s="283"/>
      <c r="AR80" s="283"/>
      <c r="AS80" s="283"/>
      <c r="AT80" s="283"/>
      <c r="AU80" s="283"/>
      <c r="AV80" s="283"/>
      <c r="AW80" s="283"/>
      <c r="AX80" s="283"/>
      <c r="AY80" s="283"/>
      <c r="AZ80" s="283"/>
      <c r="BA80" s="283"/>
      <c r="BB80" s="283"/>
      <c r="BC80" s="283"/>
      <c r="BD80" s="283"/>
      <c r="BE80" s="283"/>
      <c r="BF80" s="283"/>
      <c r="BG80" s="283"/>
      <c r="BH80" s="283"/>
      <c r="BI80" s="283"/>
      <c r="BJ80" s="283"/>
      <c r="BK80" s="283"/>
      <c r="BL80" s="283"/>
      <c r="BM80" s="283"/>
      <c r="BN80" s="283"/>
      <c r="BO80" s="283"/>
      <c r="BP80" s="283"/>
      <c r="BQ80" s="283"/>
      <c r="BR80" s="283"/>
      <c r="BS80" s="283"/>
      <c r="BT80" s="283"/>
      <c r="BU80" s="283"/>
      <c r="BV80" s="283"/>
      <c r="BW80" s="283"/>
      <c r="BX80" s="283"/>
      <c r="BY80" s="283"/>
      <c r="BZ80" s="283"/>
      <c r="CA80" s="283"/>
    </row>
    <row r="81" spans="1:79">
      <c r="A81" s="595"/>
      <c r="B81" s="598"/>
      <c r="C81" s="599"/>
      <c r="D81" s="283"/>
      <c r="E81" s="283"/>
      <c r="F81" s="292"/>
      <c r="G81" s="292"/>
      <c r="H81" s="292"/>
      <c r="I81" s="301"/>
      <c r="J81" s="301"/>
      <c r="K81" s="302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3"/>
      <c r="Z81" s="283"/>
      <c r="AA81" s="283"/>
      <c r="AB81" s="283"/>
      <c r="AC81" s="283"/>
      <c r="AD81" s="283"/>
      <c r="AE81" s="283"/>
      <c r="AF81" s="283"/>
      <c r="AG81" s="283"/>
      <c r="AH81" s="283"/>
      <c r="AI81" s="283"/>
      <c r="AJ81" s="283"/>
      <c r="AK81" s="283"/>
      <c r="AL81" s="283"/>
      <c r="AM81" s="283"/>
      <c r="AN81" s="283"/>
      <c r="AO81" s="283"/>
      <c r="AP81" s="283"/>
      <c r="AQ81" s="283"/>
      <c r="AR81" s="283"/>
      <c r="AS81" s="283"/>
      <c r="AT81" s="283"/>
      <c r="AU81" s="283"/>
      <c r="AV81" s="283"/>
      <c r="AW81" s="283"/>
      <c r="AX81" s="283"/>
      <c r="AY81" s="283"/>
      <c r="AZ81" s="283"/>
      <c r="BA81" s="283"/>
      <c r="BB81" s="283"/>
      <c r="BC81" s="283"/>
      <c r="BD81" s="283"/>
      <c r="BE81" s="283"/>
      <c r="BF81" s="283"/>
      <c r="BG81" s="283"/>
      <c r="BH81" s="283"/>
      <c r="BI81" s="283"/>
      <c r="BJ81" s="283"/>
      <c r="BK81" s="283"/>
      <c r="BL81" s="283"/>
      <c r="BM81" s="283"/>
      <c r="BN81" s="283"/>
      <c r="BO81" s="283"/>
      <c r="BP81" s="283"/>
      <c r="BQ81" s="283"/>
      <c r="BR81" s="283"/>
      <c r="BS81" s="283"/>
      <c r="BT81" s="283"/>
      <c r="BU81" s="283"/>
      <c r="BV81" s="283"/>
      <c r="BW81" s="283"/>
      <c r="BX81" s="283"/>
      <c r="BY81" s="283"/>
      <c r="BZ81" s="283"/>
      <c r="CA81" s="283"/>
    </row>
    <row r="82" spans="1:79">
      <c r="A82" s="595"/>
      <c r="B82" s="598"/>
      <c r="C82" s="599"/>
      <c r="D82" s="283"/>
      <c r="E82" s="283"/>
      <c r="F82" s="292"/>
      <c r="G82" s="292"/>
      <c r="H82" s="292"/>
      <c r="I82" s="301"/>
      <c r="J82" s="301"/>
      <c r="K82" s="302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3"/>
      <c r="Z82" s="283"/>
      <c r="AA82" s="283"/>
      <c r="AB82" s="283"/>
      <c r="AC82" s="283"/>
      <c r="AD82" s="283"/>
      <c r="AE82" s="283"/>
      <c r="AF82" s="283"/>
      <c r="AG82" s="283"/>
      <c r="AH82" s="283"/>
      <c r="AI82" s="283"/>
      <c r="AJ82" s="283"/>
      <c r="AK82" s="283"/>
      <c r="AL82" s="283"/>
      <c r="AM82" s="283"/>
      <c r="AN82" s="283"/>
      <c r="AO82" s="283"/>
      <c r="AP82" s="283"/>
      <c r="AQ82" s="283"/>
      <c r="AR82" s="283"/>
      <c r="AS82" s="283"/>
      <c r="AT82" s="283"/>
      <c r="AU82" s="283"/>
      <c r="AV82" s="283"/>
      <c r="AW82" s="283"/>
      <c r="AX82" s="283"/>
      <c r="AY82" s="283"/>
      <c r="AZ82" s="283"/>
      <c r="BA82" s="283"/>
      <c r="BB82" s="283"/>
      <c r="BC82" s="283"/>
      <c r="BD82" s="283"/>
      <c r="BE82" s="283"/>
      <c r="BF82" s="283"/>
      <c r="BG82" s="283"/>
      <c r="BH82" s="283"/>
      <c r="BI82" s="283"/>
      <c r="BJ82" s="283"/>
      <c r="BK82" s="283"/>
      <c r="BL82" s="283"/>
      <c r="BM82" s="283"/>
      <c r="BN82" s="283"/>
      <c r="BO82" s="283"/>
      <c r="BP82" s="283"/>
      <c r="BQ82" s="283"/>
      <c r="BR82" s="283"/>
      <c r="BS82" s="283"/>
      <c r="BT82" s="283"/>
      <c r="BU82" s="283"/>
      <c r="BV82" s="283"/>
      <c r="BW82" s="283"/>
      <c r="BX82" s="283"/>
      <c r="BY82" s="283"/>
      <c r="BZ82" s="283"/>
      <c r="CA82" s="283"/>
    </row>
    <row r="83" spans="1:79">
      <c r="A83" s="595"/>
      <c r="B83" s="598"/>
      <c r="C83" s="599"/>
      <c r="D83" s="283"/>
      <c r="E83" s="283"/>
      <c r="F83" s="292"/>
      <c r="G83" s="292"/>
      <c r="H83" s="292"/>
      <c r="I83" s="301"/>
      <c r="J83" s="301"/>
      <c r="K83" s="302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3"/>
      <c r="Z83" s="283"/>
      <c r="AA83" s="283"/>
      <c r="AB83" s="283"/>
      <c r="AC83" s="283"/>
      <c r="AD83" s="283"/>
      <c r="AE83" s="283"/>
      <c r="AF83" s="283"/>
      <c r="AG83" s="283"/>
      <c r="AH83" s="283"/>
      <c r="AI83" s="283"/>
      <c r="AJ83" s="283"/>
      <c r="AK83" s="283"/>
      <c r="AL83" s="283"/>
      <c r="AM83" s="283"/>
      <c r="AN83" s="283"/>
      <c r="AO83" s="283"/>
      <c r="AP83" s="283"/>
      <c r="AQ83" s="283"/>
      <c r="AR83" s="283"/>
      <c r="AS83" s="283"/>
      <c r="AT83" s="283"/>
      <c r="AU83" s="283"/>
      <c r="AV83" s="283"/>
      <c r="AW83" s="283"/>
      <c r="AX83" s="283"/>
      <c r="AY83" s="283"/>
      <c r="AZ83" s="283"/>
      <c r="BA83" s="283"/>
      <c r="BB83" s="283"/>
      <c r="BC83" s="283"/>
      <c r="BD83" s="283"/>
      <c r="BE83" s="283"/>
      <c r="BF83" s="283"/>
      <c r="BG83" s="283"/>
      <c r="BH83" s="283"/>
      <c r="BI83" s="283"/>
      <c r="BJ83" s="283"/>
      <c r="BK83" s="283"/>
      <c r="BL83" s="283"/>
      <c r="BM83" s="283"/>
      <c r="BN83" s="283"/>
      <c r="BO83" s="283"/>
      <c r="BP83" s="283"/>
      <c r="BQ83" s="283"/>
      <c r="BR83" s="283"/>
      <c r="BS83" s="283"/>
      <c r="BT83" s="283"/>
      <c r="BU83" s="283"/>
      <c r="BV83" s="283"/>
      <c r="BW83" s="283"/>
      <c r="BX83" s="283"/>
      <c r="BY83" s="283"/>
      <c r="BZ83" s="283"/>
      <c r="CA83" s="283"/>
    </row>
    <row r="84" spans="1:79">
      <c r="A84" s="595"/>
      <c r="B84" s="598"/>
      <c r="C84" s="599"/>
      <c r="D84" s="283"/>
      <c r="E84" s="283"/>
      <c r="F84" s="292"/>
      <c r="G84" s="292"/>
      <c r="H84" s="292"/>
      <c r="I84" s="301"/>
      <c r="J84" s="301"/>
      <c r="K84" s="302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3"/>
      <c r="Z84" s="283"/>
      <c r="AA84" s="283"/>
      <c r="AB84" s="283"/>
      <c r="AC84" s="283"/>
      <c r="AD84" s="283"/>
      <c r="AE84" s="283"/>
      <c r="AF84" s="283"/>
      <c r="AG84" s="283"/>
      <c r="AH84" s="283"/>
      <c r="AI84" s="283"/>
      <c r="AJ84" s="283"/>
      <c r="AK84" s="283"/>
      <c r="AL84" s="283"/>
      <c r="AM84" s="283"/>
      <c r="AN84" s="283"/>
      <c r="AO84" s="283"/>
      <c r="AP84" s="283"/>
      <c r="AQ84" s="283"/>
      <c r="AR84" s="283"/>
      <c r="AS84" s="283"/>
      <c r="AT84" s="283"/>
      <c r="AU84" s="283"/>
      <c r="AV84" s="283"/>
      <c r="AW84" s="283"/>
      <c r="AX84" s="283"/>
      <c r="AY84" s="283"/>
      <c r="AZ84" s="283"/>
      <c r="BA84" s="283"/>
      <c r="BB84" s="283"/>
      <c r="BC84" s="283"/>
      <c r="BD84" s="283"/>
      <c r="BE84" s="283"/>
      <c r="BF84" s="283"/>
      <c r="BG84" s="283"/>
      <c r="BH84" s="283"/>
      <c r="BI84" s="283"/>
      <c r="BJ84" s="283"/>
      <c r="BK84" s="283"/>
      <c r="BL84" s="283"/>
      <c r="BM84" s="283"/>
      <c r="BN84" s="283"/>
      <c r="BO84" s="283"/>
      <c r="BP84" s="283"/>
      <c r="BQ84" s="283"/>
      <c r="BR84" s="283"/>
      <c r="BS84" s="283"/>
      <c r="BT84" s="283"/>
      <c r="BU84" s="283"/>
      <c r="BV84" s="283"/>
      <c r="BW84" s="283"/>
      <c r="BX84" s="283"/>
      <c r="BY84" s="283"/>
      <c r="BZ84" s="283"/>
      <c r="CA84" s="283"/>
    </row>
    <row r="85" spans="1:79">
      <c r="A85" s="595"/>
      <c r="B85" s="598"/>
      <c r="C85" s="599"/>
      <c r="D85" s="283"/>
      <c r="E85" s="283"/>
      <c r="F85" s="292"/>
      <c r="G85" s="292"/>
      <c r="H85" s="292"/>
      <c r="I85" s="301"/>
      <c r="J85" s="301"/>
      <c r="K85" s="302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3"/>
      <c r="Z85" s="283"/>
      <c r="AA85" s="283"/>
      <c r="AB85" s="283"/>
      <c r="AC85" s="283"/>
      <c r="AD85" s="283"/>
      <c r="AE85" s="283"/>
      <c r="AF85" s="283"/>
      <c r="AG85" s="283"/>
      <c r="AH85" s="283"/>
      <c r="AI85" s="283"/>
      <c r="AJ85" s="283"/>
      <c r="AK85" s="283"/>
      <c r="AL85" s="283"/>
      <c r="AM85" s="283"/>
      <c r="AN85" s="283"/>
      <c r="AO85" s="283"/>
      <c r="AP85" s="283"/>
      <c r="AQ85" s="283"/>
      <c r="AR85" s="283"/>
      <c r="AS85" s="283"/>
      <c r="AT85" s="283"/>
      <c r="AU85" s="283"/>
      <c r="AV85" s="283"/>
      <c r="AW85" s="283"/>
      <c r="AX85" s="283"/>
      <c r="AY85" s="283"/>
      <c r="AZ85" s="283"/>
      <c r="BA85" s="283"/>
      <c r="BB85" s="283"/>
      <c r="BC85" s="283"/>
      <c r="BD85" s="283"/>
      <c r="BE85" s="283"/>
      <c r="BF85" s="283"/>
      <c r="BG85" s="283"/>
      <c r="BH85" s="283"/>
      <c r="BI85" s="283"/>
      <c r="BJ85" s="283"/>
      <c r="BK85" s="283"/>
      <c r="BL85" s="283"/>
      <c r="BM85" s="283"/>
      <c r="BN85" s="283"/>
      <c r="BO85" s="283"/>
      <c r="BP85" s="283"/>
      <c r="BQ85" s="283"/>
      <c r="BR85" s="283"/>
      <c r="BS85" s="283"/>
      <c r="BT85" s="283"/>
      <c r="BU85" s="283"/>
      <c r="BV85" s="283"/>
      <c r="BW85" s="283"/>
      <c r="BX85" s="283"/>
      <c r="BY85" s="283"/>
      <c r="BZ85" s="283"/>
      <c r="CA85" s="283"/>
    </row>
    <row r="86" spans="1:79">
      <c r="A86" s="595"/>
      <c r="B86" s="598"/>
      <c r="C86" s="599"/>
      <c r="D86" s="283"/>
      <c r="E86" s="283"/>
      <c r="F86" s="292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3"/>
      <c r="Z86" s="283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3"/>
      <c r="AL86" s="283"/>
      <c r="AM86" s="283"/>
      <c r="AN86" s="283"/>
      <c r="AO86" s="283"/>
      <c r="AP86" s="283"/>
      <c r="AQ86" s="283"/>
      <c r="AR86" s="283"/>
      <c r="AS86" s="283"/>
      <c r="AT86" s="283"/>
      <c r="AU86" s="283"/>
      <c r="AV86" s="283"/>
      <c r="AW86" s="283"/>
      <c r="AX86" s="283"/>
      <c r="AY86" s="283"/>
      <c r="AZ86" s="283"/>
      <c r="BA86" s="283"/>
      <c r="BB86" s="283"/>
      <c r="BC86" s="283"/>
      <c r="BD86" s="283"/>
      <c r="BE86" s="283"/>
      <c r="BF86" s="283"/>
      <c r="BG86" s="283"/>
      <c r="BH86" s="283"/>
      <c r="BI86" s="283"/>
      <c r="BJ86" s="283"/>
      <c r="BK86" s="283"/>
      <c r="BL86" s="283"/>
      <c r="BM86" s="283"/>
      <c r="BN86" s="283"/>
      <c r="BO86" s="283"/>
      <c r="BP86" s="283"/>
      <c r="BQ86" s="283"/>
      <c r="BR86" s="283"/>
      <c r="BS86" s="283"/>
      <c r="BT86" s="283"/>
      <c r="BU86" s="283"/>
      <c r="BV86" s="283"/>
      <c r="BW86" s="283"/>
      <c r="BX86" s="283"/>
      <c r="BY86" s="283"/>
      <c r="BZ86" s="283"/>
      <c r="CA86" s="283"/>
    </row>
    <row r="87" spans="1:79">
      <c r="A87" s="595"/>
      <c r="B87" s="598"/>
      <c r="C87" s="599"/>
      <c r="D87" s="283"/>
      <c r="E87" s="283"/>
      <c r="F87" s="292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283"/>
      <c r="X87" s="283"/>
      <c r="Y87" s="283"/>
      <c r="Z87" s="283"/>
      <c r="AA87" s="283"/>
      <c r="AB87" s="283"/>
      <c r="AC87" s="283"/>
      <c r="AD87" s="283"/>
      <c r="AE87" s="283"/>
      <c r="AF87" s="283"/>
      <c r="AG87" s="283"/>
      <c r="AH87" s="283"/>
      <c r="AI87" s="283"/>
      <c r="AJ87" s="283"/>
      <c r="AK87" s="283"/>
      <c r="AL87" s="283"/>
      <c r="AM87" s="283"/>
      <c r="AN87" s="283"/>
      <c r="AO87" s="283"/>
      <c r="AP87" s="283"/>
      <c r="AQ87" s="283"/>
      <c r="AR87" s="283"/>
      <c r="AS87" s="283"/>
      <c r="AT87" s="283"/>
      <c r="AU87" s="283"/>
      <c r="AV87" s="283"/>
      <c r="AW87" s="283"/>
      <c r="AX87" s="283"/>
      <c r="AY87" s="283"/>
      <c r="AZ87" s="283"/>
      <c r="BA87" s="283"/>
      <c r="BB87" s="283"/>
      <c r="BC87" s="283"/>
      <c r="BD87" s="283"/>
      <c r="BE87" s="283"/>
      <c r="BF87" s="283"/>
      <c r="BG87" s="283"/>
      <c r="BH87" s="283"/>
      <c r="BI87" s="283"/>
      <c r="BJ87" s="283"/>
      <c r="BK87" s="283"/>
      <c r="BL87" s="283"/>
      <c r="BM87" s="283"/>
      <c r="BN87" s="283"/>
      <c r="BO87" s="283"/>
      <c r="BP87" s="283"/>
      <c r="BQ87" s="283"/>
      <c r="BR87" s="283"/>
      <c r="BS87" s="283"/>
      <c r="BT87" s="283"/>
      <c r="BU87" s="283"/>
      <c r="BV87" s="283"/>
      <c r="BW87" s="283"/>
      <c r="BX87" s="283"/>
      <c r="BY87" s="283"/>
      <c r="BZ87" s="283"/>
      <c r="CA87" s="283"/>
    </row>
    <row r="88" spans="1:79">
      <c r="A88" s="595"/>
      <c r="B88" s="598"/>
      <c r="C88" s="599"/>
      <c r="D88" s="283"/>
      <c r="E88" s="283"/>
      <c r="F88" s="283"/>
      <c r="G88" s="283"/>
      <c r="H88" s="283"/>
      <c r="I88" s="283"/>
      <c r="J88" s="283"/>
      <c r="K88" s="283"/>
      <c r="L88" s="283"/>
      <c r="M88" s="283"/>
      <c r="N88" s="283"/>
      <c r="O88" s="283"/>
      <c r="P88" s="283"/>
      <c r="Q88" s="283"/>
      <c r="R88" s="283"/>
      <c r="S88" s="283"/>
      <c r="T88" s="283"/>
      <c r="U88" s="283"/>
      <c r="V88" s="283"/>
      <c r="W88" s="283"/>
      <c r="X88" s="283"/>
      <c r="Y88" s="283"/>
      <c r="Z88" s="283"/>
      <c r="AA88" s="283"/>
      <c r="AB88" s="283"/>
      <c r="AC88" s="283"/>
      <c r="AD88" s="283"/>
      <c r="AE88" s="283"/>
      <c r="AF88" s="283"/>
      <c r="AG88" s="283"/>
      <c r="AH88" s="283"/>
      <c r="AI88" s="283"/>
      <c r="AJ88" s="283"/>
      <c r="AK88" s="283"/>
      <c r="AL88" s="283"/>
      <c r="AM88" s="283"/>
      <c r="AN88" s="283"/>
      <c r="AO88" s="283"/>
      <c r="AP88" s="283"/>
      <c r="AQ88" s="283"/>
      <c r="AR88" s="283"/>
      <c r="AS88" s="283"/>
      <c r="AT88" s="283"/>
      <c r="AU88" s="283"/>
      <c r="AV88" s="283"/>
      <c r="AW88" s="283"/>
      <c r="AX88" s="283"/>
      <c r="AY88" s="283"/>
      <c r="AZ88" s="283"/>
      <c r="BA88" s="283"/>
      <c r="BB88" s="283"/>
      <c r="BC88" s="283"/>
      <c r="BD88" s="283"/>
      <c r="BE88" s="283"/>
      <c r="BF88" s="283"/>
      <c r="BG88" s="283"/>
      <c r="BH88" s="283"/>
      <c r="BI88" s="283"/>
      <c r="BJ88" s="283"/>
      <c r="BK88" s="283"/>
      <c r="BL88" s="283"/>
      <c r="BM88" s="283"/>
      <c r="BN88" s="283"/>
      <c r="BO88" s="283"/>
      <c r="BP88" s="283"/>
      <c r="BQ88" s="283"/>
      <c r="BR88" s="283"/>
      <c r="BS88" s="283"/>
      <c r="BT88" s="283"/>
      <c r="BU88" s="283"/>
      <c r="BV88" s="283"/>
      <c r="BW88" s="283"/>
      <c r="BX88" s="283"/>
      <c r="BY88" s="283"/>
      <c r="BZ88" s="283"/>
      <c r="CA88" s="283"/>
    </row>
    <row r="89" spans="1:79">
      <c r="A89" s="595"/>
      <c r="B89" s="598"/>
      <c r="C89" s="599"/>
      <c r="D89" s="283"/>
      <c r="E89" s="283"/>
      <c r="F89" s="283"/>
      <c r="G89" s="283"/>
      <c r="H89" s="283"/>
      <c r="I89" s="283"/>
      <c r="J89" s="283"/>
      <c r="K89" s="283"/>
      <c r="L89" s="283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3"/>
      <c r="Z89" s="283"/>
      <c r="AA89" s="283"/>
      <c r="AB89" s="283"/>
      <c r="AC89" s="283"/>
      <c r="AD89" s="283"/>
      <c r="AE89" s="283"/>
      <c r="AF89" s="283"/>
      <c r="AG89" s="283"/>
      <c r="AH89" s="283"/>
      <c r="AI89" s="283"/>
      <c r="AJ89" s="283"/>
      <c r="AK89" s="283"/>
      <c r="AL89" s="283"/>
      <c r="AM89" s="283"/>
      <c r="AN89" s="283"/>
      <c r="AO89" s="283"/>
      <c r="AP89" s="283"/>
      <c r="AQ89" s="283"/>
      <c r="AR89" s="283"/>
      <c r="AS89" s="283"/>
      <c r="AT89" s="283"/>
      <c r="AU89" s="283"/>
      <c r="AV89" s="283"/>
      <c r="AW89" s="283"/>
      <c r="AX89" s="283"/>
      <c r="AY89" s="283"/>
      <c r="AZ89" s="283"/>
      <c r="BA89" s="283"/>
      <c r="BB89" s="283"/>
      <c r="BC89" s="283"/>
      <c r="BD89" s="283"/>
      <c r="BE89" s="283"/>
      <c r="BF89" s="283"/>
      <c r="BG89" s="283"/>
      <c r="BH89" s="283"/>
      <c r="BI89" s="283"/>
      <c r="BJ89" s="283"/>
      <c r="BK89" s="283"/>
      <c r="BL89" s="283"/>
      <c r="BM89" s="283"/>
      <c r="BN89" s="283"/>
      <c r="BO89" s="283"/>
      <c r="BP89" s="283"/>
      <c r="BQ89" s="283"/>
      <c r="BR89" s="283"/>
      <c r="BS89" s="283"/>
      <c r="BT89" s="283"/>
      <c r="BU89" s="283"/>
      <c r="BV89" s="283"/>
      <c r="BW89" s="283"/>
      <c r="BX89" s="283"/>
      <c r="BY89" s="283"/>
      <c r="BZ89" s="283"/>
      <c r="CA89" s="283"/>
    </row>
    <row r="90" spans="1:79">
      <c r="A90" s="595"/>
      <c r="B90" s="598"/>
      <c r="C90" s="599"/>
      <c r="D90" s="283"/>
      <c r="E90" s="283"/>
      <c r="F90" s="283"/>
      <c r="G90" s="283"/>
      <c r="H90" s="283"/>
      <c r="I90" s="283"/>
      <c r="J90" s="283"/>
      <c r="K90" s="283"/>
      <c r="L90" s="283"/>
      <c r="M90" s="283"/>
      <c r="N90" s="283"/>
      <c r="O90" s="283"/>
      <c r="P90" s="283"/>
      <c r="Q90" s="283"/>
      <c r="R90" s="283"/>
      <c r="S90" s="283"/>
      <c r="T90" s="283"/>
      <c r="U90" s="283"/>
      <c r="V90" s="283"/>
      <c r="W90" s="283"/>
      <c r="X90" s="283"/>
      <c r="Y90" s="283"/>
      <c r="Z90" s="283"/>
      <c r="AA90" s="283"/>
      <c r="AB90" s="283"/>
      <c r="AC90" s="283"/>
      <c r="AD90" s="283"/>
      <c r="AE90" s="283"/>
      <c r="AF90" s="283"/>
      <c r="AG90" s="283"/>
      <c r="AH90" s="283"/>
      <c r="AI90" s="283"/>
      <c r="AJ90" s="283"/>
      <c r="AK90" s="283"/>
      <c r="AL90" s="283"/>
      <c r="AM90" s="283"/>
      <c r="AN90" s="283"/>
      <c r="AO90" s="283"/>
      <c r="AP90" s="283"/>
      <c r="AQ90" s="283"/>
      <c r="AR90" s="283"/>
      <c r="AS90" s="283"/>
      <c r="AT90" s="283"/>
      <c r="AU90" s="283"/>
      <c r="AV90" s="283"/>
      <c r="AW90" s="283"/>
      <c r="AX90" s="283"/>
      <c r="AY90" s="283"/>
      <c r="AZ90" s="283"/>
      <c r="BA90" s="283"/>
      <c r="BB90" s="283"/>
      <c r="BC90" s="283"/>
      <c r="BD90" s="283"/>
      <c r="BE90" s="283"/>
      <c r="BF90" s="283"/>
      <c r="BG90" s="283"/>
      <c r="BH90" s="283"/>
      <c r="BI90" s="283"/>
      <c r="BJ90" s="283"/>
      <c r="BK90" s="283"/>
      <c r="BL90" s="283"/>
      <c r="BM90" s="283"/>
      <c r="BN90" s="283"/>
      <c r="BO90" s="283"/>
      <c r="BP90" s="283"/>
      <c r="BQ90" s="283"/>
      <c r="BR90" s="283"/>
      <c r="BS90" s="283"/>
      <c r="BT90" s="283"/>
      <c r="BU90" s="283"/>
      <c r="BV90" s="283"/>
      <c r="BW90" s="283"/>
      <c r="BX90" s="283"/>
      <c r="BY90" s="283"/>
      <c r="BZ90" s="283"/>
      <c r="CA90" s="283"/>
    </row>
    <row r="91" spans="1:79">
      <c r="A91" s="595"/>
      <c r="B91" s="598"/>
      <c r="C91" s="599"/>
      <c r="D91" s="283"/>
      <c r="E91" s="283"/>
      <c r="F91" s="283"/>
      <c r="G91" s="283"/>
      <c r="H91" s="283"/>
      <c r="I91" s="283"/>
      <c r="J91" s="283"/>
      <c r="K91" s="283"/>
      <c r="L91" s="283"/>
      <c r="M91" s="283"/>
      <c r="N91" s="283"/>
      <c r="O91" s="283"/>
      <c r="P91" s="283"/>
      <c r="Q91" s="283"/>
      <c r="R91" s="283"/>
      <c r="S91" s="283"/>
      <c r="T91" s="283"/>
      <c r="U91" s="283"/>
      <c r="V91" s="283"/>
      <c r="W91" s="283"/>
      <c r="X91" s="283"/>
      <c r="Y91" s="283"/>
      <c r="Z91" s="283"/>
      <c r="AA91" s="283"/>
      <c r="AB91" s="283"/>
      <c r="AC91" s="283"/>
      <c r="AD91" s="283"/>
      <c r="AE91" s="283"/>
      <c r="AF91" s="283"/>
      <c r="AG91" s="283"/>
      <c r="AH91" s="283"/>
      <c r="AI91" s="283"/>
      <c r="AJ91" s="283"/>
      <c r="AK91" s="283"/>
      <c r="AL91" s="283"/>
      <c r="AM91" s="283"/>
      <c r="AN91" s="283"/>
      <c r="AO91" s="283"/>
      <c r="AP91" s="283"/>
      <c r="AQ91" s="283"/>
      <c r="AR91" s="283"/>
      <c r="AS91" s="283"/>
      <c r="AT91" s="283"/>
      <c r="AU91" s="283"/>
      <c r="AV91" s="283"/>
      <c r="AW91" s="283"/>
      <c r="AX91" s="283"/>
      <c r="AY91" s="283"/>
      <c r="AZ91" s="283"/>
      <c r="BA91" s="283"/>
      <c r="BB91" s="283"/>
      <c r="BC91" s="283"/>
      <c r="BD91" s="283"/>
      <c r="BE91" s="283"/>
      <c r="BF91" s="283"/>
      <c r="BG91" s="283"/>
      <c r="BH91" s="283"/>
      <c r="BI91" s="283"/>
      <c r="BJ91" s="283"/>
      <c r="BK91" s="283"/>
      <c r="BL91" s="283"/>
      <c r="BM91" s="283"/>
      <c r="BN91" s="283"/>
      <c r="BO91" s="283"/>
      <c r="BP91" s="283"/>
      <c r="BQ91" s="283"/>
      <c r="BR91" s="283"/>
      <c r="BS91" s="283"/>
      <c r="BT91" s="283"/>
      <c r="BU91" s="283"/>
      <c r="BV91" s="283"/>
      <c r="BW91" s="283"/>
      <c r="BX91" s="283"/>
      <c r="BY91" s="283"/>
      <c r="BZ91" s="283"/>
      <c r="CA91" s="283"/>
    </row>
    <row r="92" spans="1:79">
      <c r="A92" s="595"/>
      <c r="B92" s="598"/>
      <c r="C92" s="599"/>
      <c r="D92" s="283"/>
      <c r="E92" s="283"/>
      <c r="F92" s="283"/>
      <c r="G92" s="283"/>
      <c r="H92" s="283"/>
      <c r="I92" s="283"/>
      <c r="J92" s="283"/>
      <c r="K92" s="283"/>
      <c r="L92" s="283"/>
      <c r="M92" s="283"/>
      <c r="N92" s="283"/>
      <c r="O92" s="283"/>
      <c r="P92" s="283"/>
      <c r="Q92" s="283"/>
      <c r="R92" s="283"/>
      <c r="S92" s="283"/>
      <c r="T92" s="283"/>
      <c r="U92" s="283"/>
      <c r="V92" s="283"/>
      <c r="W92" s="283"/>
      <c r="X92" s="283"/>
      <c r="Y92" s="283"/>
      <c r="Z92" s="283"/>
      <c r="AA92" s="283"/>
      <c r="AB92" s="283"/>
      <c r="AC92" s="283"/>
      <c r="AD92" s="283"/>
      <c r="AE92" s="283"/>
      <c r="AF92" s="283"/>
      <c r="AG92" s="283"/>
      <c r="AH92" s="283"/>
      <c r="AI92" s="283"/>
      <c r="AJ92" s="283"/>
      <c r="AK92" s="283"/>
      <c r="AL92" s="283"/>
      <c r="AM92" s="283"/>
      <c r="AN92" s="283"/>
      <c r="AO92" s="283"/>
      <c r="AP92" s="283"/>
      <c r="AQ92" s="283"/>
      <c r="AR92" s="283"/>
      <c r="AS92" s="283"/>
      <c r="AT92" s="283"/>
      <c r="AU92" s="283"/>
      <c r="AV92" s="283"/>
      <c r="AW92" s="283"/>
      <c r="AX92" s="283"/>
      <c r="AY92" s="283"/>
      <c r="AZ92" s="283"/>
      <c r="BA92" s="283"/>
      <c r="BB92" s="283"/>
      <c r="BC92" s="283"/>
      <c r="BD92" s="283"/>
      <c r="BE92" s="283"/>
      <c r="BF92" s="283"/>
      <c r="BG92" s="283"/>
      <c r="BH92" s="283"/>
      <c r="BI92" s="283"/>
      <c r="BJ92" s="283"/>
      <c r="BK92" s="283"/>
      <c r="BL92" s="283"/>
      <c r="BM92" s="283"/>
      <c r="BN92" s="283"/>
      <c r="BO92" s="283"/>
      <c r="BP92" s="283"/>
      <c r="BQ92" s="283"/>
      <c r="BR92" s="283"/>
      <c r="BS92" s="283"/>
      <c r="BT92" s="283"/>
      <c r="BU92" s="283"/>
      <c r="BV92" s="283"/>
      <c r="BW92" s="283"/>
      <c r="BX92" s="283"/>
      <c r="BY92" s="283"/>
      <c r="BZ92" s="283"/>
      <c r="CA92" s="283"/>
    </row>
    <row r="93" spans="1:79">
      <c r="A93" s="595"/>
      <c r="B93" s="598"/>
      <c r="C93" s="599"/>
      <c r="D93" s="283"/>
      <c r="E93" s="283"/>
      <c r="F93" s="283"/>
      <c r="G93" s="283"/>
      <c r="H93" s="283"/>
      <c r="I93" s="283"/>
      <c r="J93" s="283"/>
      <c r="K93" s="283"/>
      <c r="L93" s="283"/>
      <c r="M93" s="283"/>
      <c r="N93" s="283"/>
      <c r="O93" s="283"/>
      <c r="P93" s="283"/>
      <c r="Q93" s="283"/>
      <c r="R93" s="283"/>
      <c r="S93" s="283"/>
      <c r="T93" s="283"/>
      <c r="U93" s="283"/>
      <c r="V93" s="283"/>
      <c r="W93" s="283"/>
      <c r="X93" s="283"/>
      <c r="Y93" s="283"/>
      <c r="Z93" s="283"/>
      <c r="AA93" s="283"/>
      <c r="AB93" s="283"/>
      <c r="AC93" s="283"/>
      <c r="AD93" s="283"/>
      <c r="AE93" s="283"/>
      <c r="AF93" s="283"/>
      <c r="AG93" s="283"/>
      <c r="AH93" s="283"/>
      <c r="AI93" s="283"/>
      <c r="AJ93" s="283"/>
      <c r="AK93" s="283"/>
      <c r="AL93" s="283"/>
      <c r="AM93" s="283"/>
      <c r="AN93" s="283"/>
      <c r="AO93" s="283"/>
      <c r="AP93" s="283"/>
      <c r="AQ93" s="283"/>
      <c r="AR93" s="283"/>
      <c r="AS93" s="283"/>
      <c r="AT93" s="283"/>
      <c r="AU93" s="283"/>
      <c r="AV93" s="283"/>
      <c r="AW93" s="283"/>
      <c r="AX93" s="283"/>
      <c r="AY93" s="283"/>
      <c r="AZ93" s="283"/>
      <c r="BA93" s="283"/>
      <c r="BB93" s="283"/>
      <c r="BC93" s="283"/>
      <c r="BD93" s="283"/>
      <c r="BE93" s="283"/>
      <c r="BF93" s="283"/>
      <c r="BG93" s="283"/>
      <c r="BH93" s="283"/>
      <c r="BI93" s="283"/>
      <c r="BJ93" s="283"/>
      <c r="BK93" s="283"/>
      <c r="BL93" s="283"/>
      <c r="BM93" s="283"/>
      <c r="BN93" s="283"/>
      <c r="BO93" s="283"/>
      <c r="BP93" s="283"/>
      <c r="BQ93" s="283"/>
      <c r="BR93" s="283"/>
      <c r="BS93" s="283"/>
      <c r="BT93" s="283"/>
      <c r="BU93" s="283"/>
      <c r="BV93" s="283"/>
      <c r="BW93" s="283"/>
      <c r="BX93" s="283"/>
      <c r="BY93" s="283"/>
      <c r="BZ93" s="283"/>
      <c r="CA93" s="283"/>
    </row>
    <row r="94" spans="1:79">
      <c r="A94" s="595"/>
      <c r="B94" s="598"/>
      <c r="C94" s="599"/>
      <c r="D94" s="283"/>
      <c r="E94" s="283"/>
      <c r="F94" s="283"/>
      <c r="G94" s="283"/>
      <c r="H94" s="283"/>
      <c r="I94" s="283"/>
      <c r="J94" s="283"/>
      <c r="K94" s="283"/>
      <c r="L94" s="283"/>
      <c r="M94" s="283"/>
      <c r="N94" s="283"/>
      <c r="O94" s="283"/>
      <c r="P94" s="283"/>
      <c r="Q94" s="283"/>
      <c r="R94" s="283"/>
      <c r="S94" s="283"/>
      <c r="T94" s="283"/>
      <c r="U94" s="283"/>
      <c r="V94" s="283"/>
      <c r="W94" s="283"/>
      <c r="X94" s="283"/>
      <c r="Y94" s="283"/>
      <c r="Z94" s="283"/>
      <c r="AA94" s="283"/>
      <c r="AB94" s="283"/>
      <c r="AC94" s="283"/>
      <c r="AD94" s="283"/>
      <c r="AE94" s="283"/>
      <c r="AF94" s="283"/>
      <c r="AG94" s="283"/>
      <c r="AH94" s="283"/>
      <c r="AI94" s="283"/>
      <c r="AJ94" s="283"/>
      <c r="AK94" s="283"/>
      <c r="AL94" s="283"/>
      <c r="AM94" s="283"/>
      <c r="AN94" s="283"/>
      <c r="AO94" s="283"/>
      <c r="AP94" s="283"/>
      <c r="AQ94" s="283"/>
      <c r="AR94" s="283"/>
      <c r="AS94" s="283"/>
      <c r="AT94" s="283"/>
      <c r="AU94" s="283"/>
      <c r="AV94" s="283"/>
      <c r="AW94" s="283"/>
      <c r="AX94" s="283"/>
      <c r="AY94" s="283"/>
      <c r="AZ94" s="283"/>
      <c r="BA94" s="283"/>
      <c r="BB94" s="283"/>
      <c r="BC94" s="283"/>
      <c r="BD94" s="283"/>
      <c r="BE94" s="283"/>
      <c r="BF94" s="283"/>
      <c r="BG94" s="283"/>
      <c r="BH94" s="283"/>
      <c r="BI94" s="283"/>
      <c r="BJ94" s="283"/>
      <c r="BK94" s="283"/>
      <c r="BL94" s="283"/>
      <c r="BM94" s="283"/>
      <c r="BN94" s="283"/>
      <c r="BO94" s="283"/>
      <c r="BP94" s="283"/>
      <c r="BQ94" s="283"/>
      <c r="BR94" s="283"/>
      <c r="BS94" s="283"/>
      <c r="BT94" s="283"/>
      <c r="BU94" s="283"/>
      <c r="BV94" s="283"/>
      <c r="BW94" s="283"/>
      <c r="BX94" s="283"/>
      <c r="BY94" s="283"/>
      <c r="BZ94" s="283"/>
      <c r="CA94" s="283"/>
    </row>
    <row r="95" spans="1:79">
      <c r="A95" s="595"/>
      <c r="B95" s="598"/>
      <c r="C95" s="599"/>
      <c r="D95" s="283"/>
      <c r="E95" s="283"/>
      <c r="F95" s="283"/>
      <c r="G95" s="283"/>
      <c r="H95" s="283"/>
      <c r="I95" s="283"/>
      <c r="J95" s="283"/>
      <c r="K95" s="283"/>
      <c r="L95" s="283"/>
      <c r="M95" s="283"/>
      <c r="N95" s="283"/>
      <c r="O95" s="283"/>
      <c r="P95" s="283"/>
      <c r="Q95" s="283"/>
      <c r="R95" s="283"/>
      <c r="S95" s="283"/>
      <c r="T95" s="283"/>
      <c r="U95" s="283"/>
      <c r="V95" s="283"/>
      <c r="W95" s="283"/>
      <c r="X95" s="283"/>
      <c r="Y95" s="283"/>
      <c r="Z95" s="283"/>
      <c r="AA95" s="283"/>
      <c r="AB95" s="283"/>
      <c r="AC95" s="283"/>
      <c r="AD95" s="283"/>
      <c r="AE95" s="283"/>
      <c r="AF95" s="283"/>
      <c r="AG95" s="283"/>
      <c r="AH95" s="283"/>
      <c r="AI95" s="283"/>
      <c r="AJ95" s="283"/>
      <c r="AK95" s="283"/>
      <c r="AL95" s="283"/>
      <c r="AM95" s="283"/>
      <c r="AN95" s="283"/>
      <c r="AO95" s="283"/>
      <c r="AP95" s="283"/>
      <c r="AQ95" s="283"/>
      <c r="AR95" s="283"/>
      <c r="AS95" s="283"/>
      <c r="AT95" s="283"/>
      <c r="AU95" s="283"/>
      <c r="AV95" s="283"/>
      <c r="AW95" s="283"/>
      <c r="AX95" s="283"/>
      <c r="AY95" s="283"/>
      <c r="AZ95" s="283"/>
      <c r="BA95" s="283"/>
      <c r="BB95" s="283"/>
      <c r="BC95" s="283"/>
      <c r="BD95" s="283"/>
      <c r="BE95" s="283"/>
      <c r="BF95" s="283"/>
      <c r="BG95" s="283"/>
      <c r="BH95" s="283"/>
      <c r="BI95" s="283"/>
      <c r="BJ95" s="283"/>
      <c r="BK95" s="283"/>
      <c r="BL95" s="283"/>
      <c r="BM95" s="283"/>
      <c r="BN95" s="283"/>
      <c r="BO95" s="283"/>
      <c r="BP95" s="283"/>
      <c r="BQ95" s="283"/>
      <c r="BR95" s="283"/>
      <c r="BS95" s="283"/>
      <c r="BT95" s="283"/>
      <c r="BU95" s="283"/>
      <c r="BV95" s="283"/>
      <c r="BW95" s="283"/>
      <c r="BX95" s="283"/>
      <c r="BY95" s="283"/>
      <c r="BZ95" s="283"/>
      <c r="CA95" s="283"/>
    </row>
    <row r="96" spans="1:79">
      <c r="A96" s="595"/>
      <c r="B96" s="598"/>
      <c r="C96" s="599"/>
      <c r="D96" s="283"/>
      <c r="E96" s="283"/>
      <c r="F96" s="283"/>
      <c r="G96" s="283"/>
      <c r="H96" s="283"/>
      <c r="I96" s="283"/>
      <c r="J96" s="283"/>
      <c r="K96" s="283"/>
      <c r="L96" s="283"/>
      <c r="M96" s="283"/>
      <c r="N96" s="283"/>
      <c r="O96" s="283"/>
      <c r="P96" s="283"/>
      <c r="Q96" s="283"/>
      <c r="R96" s="283"/>
      <c r="S96" s="283"/>
      <c r="T96" s="283"/>
      <c r="U96" s="283"/>
      <c r="V96" s="283"/>
      <c r="W96" s="283"/>
      <c r="X96" s="283"/>
      <c r="Y96" s="283"/>
      <c r="Z96" s="283"/>
      <c r="AA96" s="283"/>
      <c r="AB96" s="283"/>
      <c r="AC96" s="283"/>
      <c r="AD96" s="283"/>
      <c r="AE96" s="283"/>
      <c r="AF96" s="283"/>
      <c r="AG96" s="283"/>
      <c r="AH96" s="283"/>
      <c r="AI96" s="283"/>
      <c r="AJ96" s="283"/>
      <c r="AK96" s="283"/>
      <c r="AL96" s="283"/>
      <c r="AM96" s="283"/>
      <c r="AN96" s="283"/>
      <c r="AO96" s="283"/>
      <c r="AP96" s="283"/>
      <c r="AQ96" s="283"/>
      <c r="AR96" s="283"/>
      <c r="AS96" s="283"/>
      <c r="AT96" s="283"/>
      <c r="AU96" s="283"/>
      <c r="AV96" s="283"/>
      <c r="AW96" s="283"/>
      <c r="AX96" s="283"/>
      <c r="AY96" s="283"/>
      <c r="AZ96" s="283"/>
      <c r="BA96" s="283"/>
      <c r="BB96" s="283"/>
      <c r="BC96" s="283"/>
      <c r="BD96" s="283"/>
      <c r="BE96" s="283"/>
      <c r="BF96" s="283"/>
      <c r="BG96" s="283"/>
      <c r="BH96" s="283"/>
      <c r="BI96" s="283"/>
      <c r="BJ96" s="283"/>
      <c r="BK96" s="283"/>
      <c r="BL96" s="283"/>
      <c r="BM96" s="283"/>
      <c r="BN96" s="283"/>
      <c r="BO96" s="283"/>
      <c r="BP96" s="283"/>
      <c r="BQ96" s="283"/>
      <c r="BR96" s="283"/>
      <c r="BS96" s="283"/>
      <c r="BT96" s="283"/>
      <c r="BU96" s="283"/>
      <c r="BV96" s="283"/>
      <c r="BW96" s="283"/>
      <c r="BX96" s="283"/>
      <c r="BY96" s="283"/>
      <c r="BZ96" s="283"/>
      <c r="CA96" s="283"/>
    </row>
    <row r="97" spans="1:79">
      <c r="A97" s="595"/>
      <c r="B97" s="598"/>
      <c r="C97" s="599"/>
      <c r="D97" s="283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283"/>
      <c r="S97" s="283"/>
      <c r="T97" s="283"/>
      <c r="U97" s="283"/>
      <c r="V97" s="283"/>
      <c r="W97" s="283"/>
      <c r="X97" s="283"/>
      <c r="Y97" s="283"/>
      <c r="Z97" s="283"/>
      <c r="AA97" s="283"/>
      <c r="AB97" s="283"/>
      <c r="AC97" s="283"/>
      <c r="AD97" s="283"/>
      <c r="AE97" s="283"/>
      <c r="AF97" s="283"/>
      <c r="AG97" s="283"/>
      <c r="AH97" s="283"/>
      <c r="AI97" s="283"/>
      <c r="AJ97" s="283"/>
      <c r="AK97" s="283"/>
      <c r="AL97" s="283"/>
      <c r="AM97" s="283"/>
      <c r="AN97" s="283"/>
      <c r="AO97" s="283"/>
      <c r="AP97" s="283"/>
      <c r="AQ97" s="283"/>
      <c r="AR97" s="283"/>
      <c r="AS97" s="283"/>
      <c r="AT97" s="283"/>
      <c r="AU97" s="283"/>
      <c r="AV97" s="283"/>
      <c r="AW97" s="283"/>
      <c r="AX97" s="283"/>
      <c r="AY97" s="283"/>
      <c r="AZ97" s="283"/>
      <c r="BA97" s="283"/>
      <c r="BB97" s="283"/>
      <c r="BC97" s="283"/>
      <c r="BD97" s="283"/>
      <c r="BE97" s="283"/>
      <c r="BF97" s="283"/>
      <c r="BG97" s="283"/>
      <c r="BH97" s="283"/>
      <c r="BI97" s="283"/>
      <c r="BJ97" s="283"/>
      <c r="BK97" s="283"/>
      <c r="BL97" s="283"/>
      <c r="BM97" s="283"/>
      <c r="BN97" s="283"/>
      <c r="BO97" s="283"/>
      <c r="BP97" s="283"/>
      <c r="BQ97" s="283"/>
      <c r="BR97" s="283"/>
      <c r="BS97" s="283"/>
      <c r="BT97" s="283"/>
      <c r="BU97" s="283"/>
      <c r="BV97" s="283"/>
      <c r="BW97" s="283"/>
      <c r="BX97" s="283"/>
      <c r="BY97" s="283"/>
      <c r="BZ97" s="283"/>
      <c r="CA97" s="283"/>
    </row>
    <row r="98" spans="1:79">
      <c r="A98" s="595"/>
      <c r="B98" s="598"/>
      <c r="C98" s="599"/>
      <c r="D98" s="283"/>
      <c r="E98" s="283"/>
      <c r="F98" s="283"/>
      <c r="G98" s="283"/>
      <c r="H98" s="283"/>
      <c r="I98" s="283"/>
      <c r="J98" s="283"/>
      <c r="K98" s="283"/>
      <c r="L98" s="283"/>
      <c r="M98" s="283"/>
      <c r="N98" s="283"/>
      <c r="O98" s="283"/>
      <c r="P98" s="283"/>
      <c r="Q98" s="283"/>
      <c r="R98" s="283"/>
      <c r="S98" s="283"/>
      <c r="T98" s="283"/>
      <c r="U98" s="283"/>
      <c r="V98" s="283"/>
      <c r="W98" s="283"/>
      <c r="X98" s="283"/>
      <c r="Y98" s="283"/>
      <c r="Z98" s="283"/>
      <c r="AA98" s="283"/>
      <c r="AB98" s="283"/>
      <c r="AC98" s="283"/>
      <c r="AD98" s="283"/>
      <c r="AE98" s="283"/>
      <c r="AF98" s="283"/>
      <c r="AG98" s="283"/>
      <c r="AH98" s="283"/>
      <c r="AI98" s="283"/>
      <c r="AJ98" s="283"/>
      <c r="AK98" s="283"/>
      <c r="AL98" s="283"/>
      <c r="AM98" s="283"/>
      <c r="AN98" s="283"/>
      <c r="AO98" s="283"/>
      <c r="AP98" s="283"/>
      <c r="AQ98" s="283"/>
      <c r="AR98" s="283"/>
      <c r="AS98" s="283"/>
      <c r="AT98" s="283"/>
      <c r="AU98" s="283"/>
      <c r="AV98" s="283"/>
      <c r="AW98" s="283"/>
      <c r="AX98" s="283"/>
      <c r="AY98" s="283"/>
      <c r="AZ98" s="283"/>
      <c r="BA98" s="283"/>
      <c r="BB98" s="283"/>
      <c r="BC98" s="283"/>
      <c r="BD98" s="283"/>
      <c r="BE98" s="283"/>
      <c r="BF98" s="283"/>
      <c r="BG98" s="283"/>
      <c r="BH98" s="283"/>
      <c r="BI98" s="283"/>
      <c r="BJ98" s="283"/>
      <c r="BK98" s="283"/>
      <c r="BL98" s="283"/>
      <c r="BM98" s="283"/>
      <c r="BN98" s="283"/>
      <c r="BO98" s="283"/>
      <c r="BP98" s="283"/>
      <c r="BQ98" s="283"/>
      <c r="BR98" s="283"/>
      <c r="BS98" s="283"/>
      <c r="BT98" s="283"/>
      <c r="BU98" s="283"/>
      <c r="BV98" s="283"/>
      <c r="BW98" s="283"/>
      <c r="BX98" s="283"/>
      <c r="BY98" s="283"/>
      <c r="BZ98" s="283"/>
      <c r="CA98" s="283"/>
    </row>
    <row r="99" spans="1:79">
      <c r="A99" s="595"/>
      <c r="B99" s="598"/>
      <c r="C99" s="599"/>
      <c r="D99" s="283"/>
      <c r="E99" s="283"/>
      <c r="F99" s="283"/>
      <c r="G99" s="283"/>
      <c r="H99" s="283"/>
      <c r="I99" s="283"/>
      <c r="J99" s="283"/>
      <c r="K99" s="283"/>
      <c r="L99" s="283"/>
      <c r="M99" s="283"/>
      <c r="N99" s="283"/>
      <c r="O99" s="283"/>
      <c r="P99" s="283"/>
      <c r="Q99" s="283"/>
      <c r="R99" s="283"/>
      <c r="S99" s="283"/>
      <c r="T99" s="283"/>
      <c r="U99" s="283"/>
      <c r="V99" s="283"/>
      <c r="W99" s="283"/>
      <c r="X99" s="283"/>
      <c r="Y99" s="283"/>
      <c r="Z99" s="283"/>
      <c r="AA99" s="283"/>
      <c r="AB99" s="283"/>
      <c r="AC99" s="283"/>
      <c r="AD99" s="283"/>
      <c r="AE99" s="283"/>
      <c r="AF99" s="283"/>
      <c r="AG99" s="283"/>
      <c r="AH99" s="283"/>
      <c r="AI99" s="283"/>
      <c r="AJ99" s="283"/>
      <c r="AK99" s="283"/>
      <c r="AL99" s="283"/>
      <c r="AM99" s="283"/>
      <c r="AN99" s="283"/>
      <c r="AO99" s="283"/>
      <c r="AP99" s="283"/>
      <c r="AQ99" s="283"/>
      <c r="AR99" s="283"/>
      <c r="AS99" s="283"/>
      <c r="AT99" s="283"/>
      <c r="AU99" s="283"/>
      <c r="AV99" s="283"/>
      <c r="AW99" s="283"/>
      <c r="AX99" s="283"/>
      <c r="AY99" s="283"/>
      <c r="AZ99" s="283"/>
      <c r="BA99" s="283"/>
      <c r="BB99" s="283"/>
      <c r="BC99" s="283"/>
      <c r="BD99" s="283"/>
      <c r="BE99" s="283"/>
      <c r="BF99" s="283"/>
      <c r="BG99" s="283"/>
      <c r="BH99" s="283"/>
      <c r="BI99" s="283"/>
      <c r="BJ99" s="283"/>
      <c r="BK99" s="283"/>
      <c r="BL99" s="283"/>
      <c r="BM99" s="283"/>
      <c r="BN99" s="283"/>
      <c r="BO99" s="283"/>
      <c r="BP99" s="283"/>
      <c r="BQ99" s="283"/>
      <c r="BR99" s="283"/>
      <c r="BS99" s="283"/>
      <c r="BT99" s="283"/>
      <c r="BU99" s="283"/>
      <c r="BV99" s="283"/>
      <c r="BW99" s="283"/>
      <c r="BX99" s="283"/>
      <c r="BY99" s="283"/>
      <c r="BZ99" s="283"/>
      <c r="CA99" s="283"/>
    </row>
    <row r="100" spans="1:79">
      <c r="A100" s="595"/>
      <c r="B100" s="598"/>
      <c r="C100" s="599"/>
      <c r="D100" s="283"/>
      <c r="E100" s="283"/>
      <c r="F100" s="283"/>
      <c r="G100" s="283"/>
      <c r="H100" s="283"/>
      <c r="I100" s="283"/>
      <c r="J100" s="283"/>
      <c r="K100" s="283"/>
      <c r="L100" s="283"/>
      <c r="M100" s="283"/>
      <c r="N100" s="283"/>
      <c r="O100" s="283"/>
      <c r="P100" s="283"/>
      <c r="Q100" s="283"/>
      <c r="R100" s="283"/>
      <c r="S100" s="283"/>
      <c r="T100" s="283"/>
      <c r="U100" s="283"/>
      <c r="V100" s="283"/>
      <c r="W100" s="283"/>
      <c r="X100" s="283"/>
      <c r="Y100" s="283"/>
      <c r="Z100" s="283"/>
      <c r="AA100" s="283"/>
      <c r="AB100" s="283"/>
      <c r="AC100" s="283"/>
      <c r="AD100" s="283"/>
      <c r="AE100" s="283"/>
      <c r="AF100" s="283"/>
      <c r="AG100" s="283"/>
      <c r="AH100" s="283"/>
      <c r="AI100" s="283"/>
      <c r="AJ100" s="283"/>
      <c r="AK100" s="283"/>
      <c r="AL100" s="283"/>
      <c r="AM100" s="283"/>
      <c r="AN100" s="283"/>
      <c r="AO100" s="283"/>
      <c r="AP100" s="283"/>
      <c r="AQ100" s="283"/>
      <c r="AR100" s="283"/>
      <c r="AS100" s="283"/>
      <c r="AT100" s="283"/>
      <c r="AU100" s="283"/>
      <c r="AV100" s="283"/>
      <c r="AW100" s="283"/>
      <c r="AX100" s="283"/>
      <c r="AY100" s="283"/>
      <c r="AZ100" s="283"/>
      <c r="BA100" s="283"/>
      <c r="BB100" s="283"/>
      <c r="BC100" s="283"/>
      <c r="BD100" s="283"/>
      <c r="BE100" s="283"/>
      <c r="BF100" s="283"/>
      <c r="BG100" s="283"/>
      <c r="BH100" s="283"/>
      <c r="BI100" s="283"/>
      <c r="BJ100" s="283"/>
      <c r="BK100" s="283"/>
      <c r="BL100" s="283"/>
      <c r="BM100" s="283"/>
      <c r="BN100" s="283"/>
      <c r="BO100" s="283"/>
      <c r="BP100" s="283"/>
      <c r="BQ100" s="283"/>
      <c r="BR100" s="283"/>
      <c r="BS100" s="283"/>
      <c r="BT100" s="283"/>
      <c r="BU100" s="283"/>
      <c r="BV100" s="283"/>
      <c r="BW100" s="283"/>
      <c r="BX100" s="283"/>
      <c r="BY100" s="283"/>
      <c r="BZ100" s="283"/>
      <c r="CA100" s="283"/>
    </row>
    <row r="101" spans="1:79">
      <c r="A101" s="595"/>
      <c r="B101" s="598"/>
      <c r="C101" s="599"/>
      <c r="D101" s="283"/>
      <c r="E101" s="283"/>
      <c r="F101" s="283"/>
      <c r="G101" s="283"/>
      <c r="H101" s="283"/>
      <c r="I101" s="283"/>
      <c r="J101" s="283"/>
      <c r="K101" s="283"/>
      <c r="L101" s="283"/>
      <c r="M101" s="283"/>
      <c r="N101" s="283"/>
      <c r="O101" s="283"/>
      <c r="P101" s="283"/>
      <c r="Q101" s="283"/>
      <c r="R101" s="283"/>
      <c r="S101" s="283"/>
      <c r="T101" s="283"/>
      <c r="U101" s="283"/>
      <c r="V101" s="283"/>
      <c r="W101" s="283"/>
      <c r="X101" s="283"/>
      <c r="Y101" s="283"/>
      <c r="Z101" s="283"/>
      <c r="AA101" s="283"/>
      <c r="AB101" s="283"/>
      <c r="AC101" s="283"/>
      <c r="AD101" s="283"/>
      <c r="AE101" s="283"/>
      <c r="AF101" s="283"/>
      <c r="AG101" s="283"/>
      <c r="AH101" s="283"/>
      <c r="AI101" s="283"/>
      <c r="AJ101" s="283"/>
      <c r="AK101" s="283"/>
      <c r="AL101" s="283"/>
      <c r="AM101" s="283"/>
      <c r="AN101" s="283"/>
      <c r="AO101" s="283"/>
      <c r="AP101" s="283"/>
      <c r="AQ101" s="283"/>
      <c r="AR101" s="283"/>
      <c r="AS101" s="283"/>
      <c r="AT101" s="283"/>
      <c r="AU101" s="283"/>
      <c r="AV101" s="283"/>
      <c r="AW101" s="283"/>
      <c r="AX101" s="283"/>
      <c r="AY101" s="283"/>
      <c r="AZ101" s="283"/>
      <c r="BA101" s="283"/>
      <c r="BB101" s="283"/>
      <c r="BC101" s="283"/>
      <c r="BD101" s="283"/>
      <c r="BE101" s="283"/>
      <c r="BF101" s="283"/>
      <c r="BG101" s="283"/>
      <c r="BH101" s="283"/>
      <c r="BI101" s="283"/>
      <c r="BJ101" s="283"/>
      <c r="BK101" s="283"/>
      <c r="BL101" s="283"/>
      <c r="BM101" s="283"/>
      <c r="BN101" s="283"/>
      <c r="BO101" s="283"/>
      <c r="BP101" s="283"/>
      <c r="BQ101" s="283"/>
      <c r="BR101" s="283"/>
      <c r="BS101" s="283"/>
      <c r="BT101" s="283"/>
      <c r="BU101" s="283"/>
      <c r="BV101" s="283"/>
      <c r="BW101" s="283"/>
      <c r="BX101" s="283"/>
      <c r="BY101" s="283"/>
      <c r="BZ101" s="283"/>
      <c r="CA101" s="283"/>
    </row>
    <row r="102" spans="1:79">
      <c r="A102" s="595"/>
      <c r="B102" s="598"/>
      <c r="C102" s="599"/>
      <c r="D102" s="283"/>
      <c r="E102" s="283"/>
      <c r="F102" s="283"/>
      <c r="G102" s="283"/>
      <c r="H102" s="283"/>
      <c r="I102" s="283"/>
      <c r="J102" s="283"/>
      <c r="K102" s="283"/>
      <c r="L102" s="283"/>
      <c r="M102" s="283"/>
      <c r="N102" s="283"/>
      <c r="O102" s="283"/>
      <c r="P102" s="283"/>
      <c r="Q102" s="283"/>
      <c r="R102" s="283"/>
      <c r="S102" s="283"/>
      <c r="T102" s="283"/>
      <c r="U102" s="283"/>
      <c r="V102" s="283"/>
      <c r="W102" s="283"/>
      <c r="X102" s="283"/>
      <c r="Y102" s="283"/>
      <c r="Z102" s="283"/>
      <c r="AA102" s="283"/>
      <c r="AB102" s="283"/>
      <c r="AC102" s="283"/>
      <c r="AD102" s="283"/>
      <c r="AE102" s="283"/>
      <c r="AF102" s="283"/>
      <c r="AG102" s="283"/>
      <c r="AH102" s="283"/>
      <c r="AI102" s="283"/>
      <c r="AJ102" s="283"/>
      <c r="AK102" s="283"/>
      <c r="AL102" s="283"/>
      <c r="AM102" s="283"/>
      <c r="AN102" s="283"/>
      <c r="AO102" s="283"/>
      <c r="AP102" s="283"/>
      <c r="AQ102" s="283"/>
      <c r="AR102" s="283"/>
      <c r="AS102" s="283"/>
      <c r="AT102" s="283"/>
      <c r="AU102" s="283"/>
      <c r="AV102" s="283"/>
      <c r="AW102" s="283"/>
      <c r="AX102" s="283"/>
      <c r="AY102" s="283"/>
      <c r="AZ102" s="283"/>
      <c r="BA102" s="283"/>
      <c r="BB102" s="283"/>
      <c r="BC102" s="283"/>
      <c r="BD102" s="283"/>
      <c r="BE102" s="283"/>
      <c r="BF102" s="283"/>
      <c r="BG102" s="283"/>
      <c r="BH102" s="283"/>
      <c r="BI102" s="283"/>
      <c r="BJ102" s="283"/>
      <c r="BK102" s="283"/>
      <c r="BL102" s="283"/>
      <c r="BM102" s="283"/>
      <c r="BN102" s="283"/>
      <c r="BO102" s="283"/>
      <c r="BP102" s="283"/>
      <c r="BQ102" s="283"/>
      <c r="BR102" s="283"/>
      <c r="BS102" s="283"/>
      <c r="BT102" s="283"/>
      <c r="BU102" s="283"/>
      <c r="BV102" s="283"/>
      <c r="BW102" s="283"/>
      <c r="BX102" s="283"/>
      <c r="BY102" s="283"/>
      <c r="BZ102" s="283"/>
      <c r="CA102" s="283"/>
    </row>
    <row r="103" spans="1:79">
      <c r="A103" s="595"/>
      <c r="B103" s="598"/>
      <c r="C103" s="599"/>
      <c r="D103" s="283"/>
      <c r="E103" s="283"/>
      <c r="F103" s="283"/>
      <c r="G103" s="283"/>
      <c r="H103" s="283"/>
      <c r="I103" s="283"/>
      <c r="J103" s="283"/>
      <c r="K103" s="283"/>
      <c r="L103" s="283"/>
      <c r="M103" s="283"/>
      <c r="N103" s="283"/>
      <c r="O103" s="283"/>
      <c r="P103" s="283"/>
      <c r="Q103" s="283"/>
      <c r="R103" s="283"/>
      <c r="S103" s="283"/>
      <c r="T103" s="283"/>
      <c r="U103" s="283"/>
      <c r="V103" s="283"/>
      <c r="W103" s="283"/>
      <c r="X103" s="283"/>
      <c r="Y103" s="283"/>
      <c r="Z103" s="283"/>
      <c r="AA103" s="283"/>
      <c r="AB103" s="283"/>
      <c r="AC103" s="283"/>
      <c r="AD103" s="283"/>
      <c r="AE103" s="283"/>
      <c r="AF103" s="283"/>
      <c r="AG103" s="283"/>
      <c r="AH103" s="283"/>
      <c r="AI103" s="283"/>
      <c r="AJ103" s="283"/>
      <c r="AK103" s="283"/>
      <c r="AL103" s="283"/>
      <c r="AM103" s="283"/>
      <c r="AN103" s="283"/>
      <c r="AO103" s="283"/>
      <c r="AP103" s="283"/>
      <c r="AQ103" s="283"/>
      <c r="AR103" s="283"/>
      <c r="AS103" s="283"/>
      <c r="AT103" s="283"/>
      <c r="AU103" s="283"/>
      <c r="AV103" s="283"/>
      <c r="AW103" s="283"/>
      <c r="AX103" s="283"/>
      <c r="AY103" s="283"/>
      <c r="AZ103" s="283"/>
      <c r="BA103" s="283"/>
      <c r="BB103" s="283"/>
      <c r="BC103" s="283"/>
      <c r="BD103" s="283"/>
      <c r="BE103" s="283"/>
      <c r="BF103" s="283"/>
      <c r="BG103" s="283"/>
      <c r="BH103" s="283"/>
      <c r="BI103" s="283"/>
      <c r="BJ103" s="283"/>
      <c r="BK103" s="283"/>
      <c r="BL103" s="283"/>
      <c r="BM103" s="283"/>
      <c r="BN103" s="283"/>
      <c r="BO103" s="283"/>
      <c r="BP103" s="283"/>
      <c r="BQ103" s="283"/>
      <c r="BR103" s="283"/>
      <c r="BS103" s="283"/>
      <c r="BT103" s="283"/>
      <c r="BU103" s="283"/>
      <c r="BV103" s="283"/>
      <c r="BW103" s="283"/>
      <c r="BX103" s="283"/>
      <c r="BY103" s="283"/>
      <c r="BZ103" s="283"/>
      <c r="CA103" s="283"/>
    </row>
    <row r="104" spans="1:79">
      <c r="A104" s="595"/>
      <c r="B104" s="598"/>
      <c r="C104" s="599"/>
      <c r="D104" s="283"/>
      <c r="E104" s="283"/>
      <c r="F104" s="283"/>
      <c r="G104" s="283"/>
      <c r="H104" s="283"/>
      <c r="I104" s="283"/>
      <c r="J104" s="283"/>
      <c r="K104" s="283"/>
      <c r="L104" s="283"/>
      <c r="M104" s="283"/>
      <c r="N104" s="283"/>
      <c r="O104" s="283"/>
      <c r="P104" s="283"/>
      <c r="Q104" s="283"/>
      <c r="R104" s="283"/>
      <c r="S104" s="283"/>
      <c r="T104" s="283"/>
      <c r="U104" s="283"/>
      <c r="V104" s="283"/>
      <c r="W104" s="283"/>
      <c r="X104" s="283"/>
      <c r="Y104" s="283"/>
      <c r="Z104" s="283"/>
      <c r="AA104" s="283"/>
      <c r="AB104" s="283"/>
      <c r="AC104" s="283"/>
      <c r="AD104" s="283"/>
      <c r="AE104" s="283"/>
      <c r="AF104" s="283"/>
      <c r="AG104" s="283"/>
      <c r="AH104" s="283"/>
      <c r="AI104" s="283"/>
      <c r="AJ104" s="283"/>
      <c r="AK104" s="283"/>
      <c r="AL104" s="283"/>
      <c r="AM104" s="283"/>
      <c r="AN104" s="283"/>
      <c r="AO104" s="283"/>
      <c r="AP104" s="283"/>
      <c r="AQ104" s="283"/>
      <c r="AR104" s="283"/>
      <c r="AS104" s="283"/>
      <c r="AT104" s="283"/>
      <c r="AU104" s="283"/>
      <c r="AV104" s="283"/>
      <c r="AW104" s="283"/>
      <c r="AX104" s="283"/>
      <c r="AY104" s="283"/>
      <c r="AZ104" s="283"/>
      <c r="BA104" s="283"/>
      <c r="BB104" s="283"/>
      <c r="BC104" s="283"/>
      <c r="BD104" s="283"/>
      <c r="BE104" s="283"/>
      <c r="BF104" s="283"/>
      <c r="BG104" s="283"/>
      <c r="BH104" s="283"/>
      <c r="BI104" s="283"/>
      <c r="BJ104" s="283"/>
      <c r="BK104" s="283"/>
      <c r="BL104" s="283"/>
      <c r="BM104" s="283"/>
      <c r="BN104" s="283"/>
      <c r="BO104" s="283"/>
      <c r="BP104" s="283"/>
      <c r="BQ104" s="283"/>
      <c r="BR104" s="283"/>
      <c r="BS104" s="283"/>
      <c r="BT104" s="283"/>
      <c r="BU104" s="283"/>
      <c r="BV104" s="283"/>
      <c r="BW104" s="283"/>
      <c r="BX104" s="283"/>
      <c r="BY104" s="283"/>
      <c r="BZ104" s="283"/>
      <c r="CA104" s="283"/>
    </row>
    <row r="105" spans="1:79">
      <c r="A105" s="595"/>
      <c r="B105" s="598"/>
      <c r="C105" s="599"/>
      <c r="D105" s="283"/>
      <c r="E105" s="283"/>
      <c r="F105" s="283"/>
      <c r="G105" s="283"/>
      <c r="H105" s="283"/>
      <c r="I105" s="283"/>
      <c r="J105" s="283"/>
      <c r="K105" s="283"/>
      <c r="L105" s="283"/>
      <c r="M105" s="283"/>
      <c r="N105" s="283"/>
      <c r="O105" s="283"/>
      <c r="P105" s="283"/>
      <c r="Q105" s="283"/>
      <c r="R105" s="283"/>
      <c r="S105" s="283"/>
      <c r="T105" s="283"/>
      <c r="U105" s="283"/>
      <c r="V105" s="283"/>
      <c r="W105" s="283"/>
      <c r="X105" s="283"/>
      <c r="Y105" s="283"/>
      <c r="Z105" s="283"/>
      <c r="AA105" s="283"/>
      <c r="AB105" s="283"/>
      <c r="AC105" s="283"/>
      <c r="AD105" s="283"/>
      <c r="AE105" s="283"/>
      <c r="AF105" s="283"/>
      <c r="AG105" s="283"/>
      <c r="AH105" s="283"/>
      <c r="AI105" s="283"/>
      <c r="AJ105" s="283"/>
      <c r="AK105" s="283"/>
      <c r="AL105" s="283"/>
      <c r="AM105" s="283"/>
      <c r="AN105" s="283"/>
      <c r="AO105" s="283"/>
      <c r="AP105" s="283"/>
      <c r="AQ105" s="283"/>
      <c r="AR105" s="283"/>
      <c r="AS105" s="283"/>
      <c r="AT105" s="283"/>
      <c r="AU105" s="283"/>
      <c r="AV105" s="283"/>
      <c r="AW105" s="283"/>
      <c r="AX105" s="283"/>
      <c r="AY105" s="283"/>
      <c r="AZ105" s="283"/>
      <c r="BA105" s="283"/>
      <c r="BB105" s="283"/>
      <c r="BC105" s="283"/>
      <c r="BD105" s="283"/>
      <c r="BE105" s="283"/>
      <c r="BF105" s="283"/>
      <c r="BG105" s="283"/>
      <c r="BH105" s="283"/>
      <c r="BI105" s="283"/>
      <c r="BJ105" s="283"/>
      <c r="BK105" s="283"/>
      <c r="BL105" s="283"/>
      <c r="BM105" s="283"/>
      <c r="BN105" s="283"/>
      <c r="BO105" s="283"/>
      <c r="BP105" s="283"/>
      <c r="BQ105" s="283"/>
      <c r="BR105" s="283"/>
      <c r="BS105" s="283"/>
      <c r="BT105" s="283"/>
      <c r="BU105" s="283"/>
      <c r="BV105" s="283"/>
      <c r="BW105" s="283"/>
      <c r="BX105" s="283"/>
      <c r="BY105" s="283"/>
      <c r="BZ105" s="283"/>
      <c r="CA105" s="283"/>
    </row>
    <row r="106" spans="1:79">
      <c r="A106" s="595"/>
      <c r="B106" s="598"/>
      <c r="C106" s="599"/>
      <c r="D106" s="283"/>
      <c r="E106" s="283"/>
      <c r="F106" s="283"/>
      <c r="G106" s="283"/>
      <c r="H106" s="283"/>
      <c r="I106" s="283"/>
      <c r="J106" s="283"/>
      <c r="K106" s="283"/>
      <c r="L106" s="283"/>
      <c r="M106" s="283"/>
      <c r="N106" s="283"/>
      <c r="O106" s="283"/>
      <c r="P106" s="283"/>
      <c r="Q106" s="283"/>
      <c r="R106" s="283"/>
      <c r="S106" s="283"/>
      <c r="T106" s="283"/>
      <c r="U106" s="283"/>
      <c r="V106" s="283"/>
      <c r="W106" s="283"/>
      <c r="X106" s="283"/>
      <c r="Y106" s="283"/>
      <c r="Z106" s="283"/>
      <c r="AA106" s="283"/>
      <c r="AB106" s="283"/>
      <c r="AC106" s="283"/>
      <c r="AD106" s="283"/>
      <c r="AE106" s="283"/>
      <c r="AF106" s="283"/>
      <c r="AG106" s="283"/>
      <c r="AH106" s="283"/>
      <c r="AI106" s="283"/>
      <c r="AJ106" s="283"/>
      <c r="AK106" s="283"/>
      <c r="AL106" s="283"/>
      <c r="AM106" s="283"/>
      <c r="AN106" s="283"/>
      <c r="AO106" s="283"/>
      <c r="AP106" s="283"/>
      <c r="AQ106" s="283"/>
      <c r="AR106" s="283"/>
      <c r="AS106" s="283"/>
      <c r="AT106" s="283"/>
      <c r="AU106" s="283"/>
      <c r="AV106" s="283"/>
      <c r="AW106" s="283"/>
      <c r="AX106" s="283"/>
      <c r="AY106" s="283"/>
      <c r="AZ106" s="283"/>
      <c r="BA106" s="283"/>
      <c r="BB106" s="283"/>
      <c r="BC106" s="283"/>
      <c r="BD106" s="283"/>
      <c r="BE106" s="283"/>
      <c r="BF106" s="283"/>
      <c r="BG106" s="283"/>
      <c r="BH106" s="283"/>
      <c r="BI106" s="283"/>
      <c r="BJ106" s="283"/>
      <c r="BK106" s="283"/>
      <c r="BL106" s="283"/>
      <c r="BM106" s="283"/>
      <c r="BN106" s="283"/>
      <c r="BO106" s="283"/>
      <c r="BP106" s="283"/>
      <c r="BQ106" s="283"/>
      <c r="BR106" s="283"/>
      <c r="BS106" s="283"/>
      <c r="BT106" s="283"/>
      <c r="BU106" s="283"/>
      <c r="BV106" s="283"/>
      <c r="BW106" s="283"/>
      <c r="BX106" s="283"/>
      <c r="BY106" s="283"/>
      <c r="BZ106" s="283"/>
      <c r="CA106" s="283"/>
    </row>
    <row r="107" spans="1:79">
      <c r="A107" s="595"/>
      <c r="B107" s="598"/>
      <c r="C107" s="599"/>
      <c r="D107" s="283"/>
      <c r="E107" s="283"/>
      <c r="F107" s="283"/>
      <c r="G107" s="283"/>
      <c r="H107" s="283"/>
      <c r="I107" s="283"/>
      <c r="J107" s="283"/>
      <c r="K107" s="283"/>
      <c r="L107" s="283"/>
      <c r="M107" s="283"/>
      <c r="N107" s="283"/>
      <c r="O107" s="283"/>
      <c r="P107" s="283"/>
      <c r="Q107" s="283"/>
      <c r="R107" s="283"/>
      <c r="S107" s="283"/>
      <c r="T107" s="283"/>
      <c r="U107" s="283"/>
      <c r="V107" s="283"/>
      <c r="W107" s="283"/>
      <c r="X107" s="283"/>
      <c r="Y107" s="283"/>
      <c r="Z107" s="283"/>
      <c r="AA107" s="283"/>
      <c r="AB107" s="283"/>
      <c r="AC107" s="283"/>
      <c r="AD107" s="283"/>
      <c r="AE107" s="283"/>
      <c r="AF107" s="283"/>
      <c r="AG107" s="283"/>
      <c r="AH107" s="283"/>
      <c r="AI107" s="283"/>
      <c r="AJ107" s="283"/>
      <c r="AK107" s="283"/>
      <c r="AL107" s="283"/>
      <c r="AM107" s="283"/>
      <c r="AN107" s="283"/>
      <c r="AO107" s="283"/>
      <c r="AP107" s="283"/>
      <c r="AQ107" s="283"/>
      <c r="AR107" s="283"/>
      <c r="AS107" s="283"/>
      <c r="AT107" s="283"/>
      <c r="AU107" s="283"/>
      <c r="AV107" s="283"/>
      <c r="AW107" s="283"/>
      <c r="AX107" s="283"/>
      <c r="AY107" s="283"/>
      <c r="AZ107" s="283"/>
      <c r="BA107" s="283"/>
      <c r="BB107" s="283"/>
      <c r="BC107" s="283"/>
      <c r="BD107" s="283"/>
      <c r="BE107" s="283"/>
      <c r="BF107" s="283"/>
      <c r="BG107" s="283"/>
      <c r="BH107" s="283"/>
      <c r="BI107" s="283"/>
      <c r="BJ107" s="283"/>
      <c r="BK107" s="283"/>
      <c r="BL107" s="283"/>
      <c r="BM107" s="283"/>
      <c r="BN107" s="283"/>
      <c r="BO107" s="283"/>
      <c r="BP107" s="283"/>
      <c r="BQ107" s="283"/>
      <c r="BR107" s="283"/>
      <c r="BS107" s="283"/>
      <c r="BT107" s="283"/>
      <c r="BU107" s="283"/>
      <c r="BV107" s="283"/>
      <c r="BW107" s="283"/>
      <c r="BX107" s="283"/>
      <c r="BY107" s="283"/>
      <c r="BZ107" s="283"/>
      <c r="CA107" s="283"/>
    </row>
    <row r="108" spans="1:79">
      <c r="A108" s="595"/>
      <c r="B108" s="598"/>
      <c r="C108" s="599"/>
      <c r="D108" s="283"/>
      <c r="E108" s="283"/>
      <c r="F108" s="283"/>
      <c r="G108" s="283"/>
      <c r="H108" s="283"/>
      <c r="I108" s="283"/>
      <c r="J108" s="283"/>
      <c r="K108" s="283"/>
      <c r="L108" s="283"/>
      <c r="M108" s="283"/>
      <c r="N108" s="283"/>
      <c r="O108" s="283"/>
      <c r="P108" s="283"/>
      <c r="Q108" s="283"/>
      <c r="R108" s="283"/>
      <c r="S108" s="283"/>
      <c r="T108" s="283"/>
      <c r="U108" s="283"/>
      <c r="V108" s="283"/>
      <c r="W108" s="283"/>
      <c r="X108" s="283"/>
      <c r="Y108" s="283"/>
      <c r="Z108" s="283"/>
      <c r="AA108" s="283"/>
      <c r="AB108" s="283"/>
      <c r="AC108" s="283"/>
      <c r="AD108" s="283"/>
      <c r="AE108" s="283"/>
      <c r="AF108" s="283"/>
      <c r="AG108" s="283"/>
      <c r="AH108" s="283"/>
      <c r="AI108" s="283"/>
      <c r="AJ108" s="283"/>
      <c r="AK108" s="283"/>
      <c r="AL108" s="283"/>
      <c r="AM108" s="283"/>
      <c r="AN108" s="283"/>
      <c r="AO108" s="283"/>
      <c r="AP108" s="283"/>
      <c r="AQ108" s="283"/>
      <c r="AR108" s="283"/>
      <c r="AS108" s="283"/>
      <c r="AT108" s="283"/>
      <c r="AU108" s="283"/>
      <c r="AV108" s="283"/>
      <c r="AW108" s="283"/>
      <c r="AX108" s="283"/>
      <c r="AY108" s="283"/>
      <c r="AZ108" s="283"/>
      <c r="BA108" s="283"/>
      <c r="BB108" s="283"/>
      <c r="BC108" s="283"/>
      <c r="BD108" s="283"/>
      <c r="BE108" s="283"/>
      <c r="BF108" s="283"/>
      <c r="BG108" s="283"/>
      <c r="BH108" s="283"/>
      <c r="BI108" s="283"/>
      <c r="BJ108" s="283"/>
      <c r="BK108" s="283"/>
      <c r="BL108" s="283"/>
      <c r="BM108" s="283"/>
      <c r="BN108" s="283"/>
      <c r="BO108" s="283"/>
      <c r="BP108" s="283"/>
      <c r="BQ108" s="283"/>
      <c r="BR108" s="283"/>
      <c r="BS108" s="283"/>
      <c r="BT108" s="283"/>
      <c r="BU108" s="283"/>
      <c r="BV108" s="283"/>
      <c r="BW108" s="283"/>
      <c r="BX108" s="283"/>
      <c r="BY108" s="283"/>
      <c r="BZ108" s="283"/>
      <c r="CA108" s="283"/>
    </row>
    <row r="109" spans="1:79">
      <c r="A109" s="595"/>
      <c r="B109" s="598"/>
      <c r="C109" s="599"/>
      <c r="D109" s="283"/>
      <c r="E109" s="283"/>
      <c r="F109" s="283"/>
      <c r="G109" s="283"/>
      <c r="H109" s="283"/>
      <c r="I109" s="283"/>
      <c r="J109" s="283"/>
      <c r="K109" s="283"/>
      <c r="L109" s="283"/>
      <c r="M109" s="283"/>
      <c r="N109" s="283"/>
      <c r="O109" s="283"/>
      <c r="P109" s="283"/>
      <c r="Q109" s="283"/>
      <c r="R109" s="283"/>
      <c r="S109" s="283"/>
      <c r="T109" s="283"/>
      <c r="U109" s="283"/>
      <c r="V109" s="283"/>
      <c r="W109" s="283"/>
      <c r="X109" s="283"/>
      <c r="Y109" s="283"/>
      <c r="Z109" s="283"/>
      <c r="AA109" s="283"/>
      <c r="AB109" s="283"/>
      <c r="AC109" s="283"/>
      <c r="AD109" s="283"/>
      <c r="AE109" s="283"/>
      <c r="AF109" s="283"/>
      <c r="AG109" s="283"/>
      <c r="AH109" s="283"/>
      <c r="AI109" s="283"/>
      <c r="AJ109" s="283"/>
      <c r="AK109" s="283"/>
      <c r="AL109" s="283"/>
      <c r="AM109" s="283"/>
      <c r="AN109" s="283"/>
      <c r="AO109" s="283"/>
      <c r="AP109" s="283"/>
      <c r="AQ109" s="283"/>
      <c r="AR109" s="283"/>
      <c r="AS109" s="283"/>
      <c r="AT109" s="283"/>
      <c r="AU109" s="283"/>
      <c r="AV109" s="283"/>
      <c r="AW109" s="283"/>
      <c r="AX109" s="283"/>
      <c r="AY109" s="283"/>
      <c r="AZ109" s="283"/>
      <c r="BA109" s="283"/>
      <c r="BB109" s="283"/>
      <c r="BC109" s="283"/>
      <c r="BD109" s="283"/>
      <c r="BE109" s="283"/>
      <c r="BF109" s="283"/>
      <c r="BG109" s="283"/>
      <c r="BH109" s="283"/>
      <c r="BI109" s="283"/>
      <c r="BJ109" s="283"/>
      <c r="BK109" s="283"/>
      <c r="BL109" s="283"/>
      <c r="BM109" s="283"/>
      <c r="BN109" s="283"/>
      <c r="BO109" s="283"/>
      <c r="BP109" s="283"/>
      <c r="BQ109" s="283"/>
      <c r="BR109" s="283"/>
      <c r="BS109" s="283"/>
      <c r="BT109" s="283"/>
      <c r="BU109" s="283"/>
      <c r="BV109" s="283"/>
      <c r="BW109" s="283"/>
      <c r="BX109" s="283"/>
      <c r="BY109" s="283"/>
      <c r="BZ109" s="283"/>
      <c r="CA109" s="283"/>
    </row>
    <row r="110" spans="1:79">
      <c r="A110" s="595"/>
      <c r="B110" s="598"/>
      <c r="C110" s="599"/>
      <c r="D110" s="283"/>
      <c r="E110" s="283"/>
      <c r="F110" s="283"/>
      <c r="G110" s="283"/>
      <c r="H110" s="283"/>
      <c r="I110" s="283"/>
      <c r="J110" s="283"/>
      <c r="K110" s="283"/>
      <c r="L110" s="283"/>
      <c r="M110" s="283"/>
      <c r="N110" s="283"/>
      <c r="O110" s="283"/>
      <c r="P110" s="283"/>
      <c r="Q110" s="283"/>
      <c r="R110" s="283"/>
      <c r="S110" s="283"/>
      <c r="T110" s="283"/>
      <c r="U110" s="283"/>
      <c r="V110" s="283"/>
      <c r="W110" s="283"/>
      <c r="X110" s="283"/>
      <c r="Y110" s="283"/>
      <c r="Z110" s="283"/>
      <c r="AA110" s="283"/>
      <c r="AB110" s="283"/>
      <c r="AC110" s="283"/>
      <c r="AD110" s="283"/>
      <c r="AE110" s="283"/>
      <c r="AF110" s="283"/>
      <c r="AG110" s="283"/>
      <c r="AH110" s="283"/>
      <c r="AI110" s="283"/>
      <c r="AJ110" s="283"/>
      <c r="AK110" s="283"/>
      <c r="AL110" s="283"/>
      <c r="AM110" s="283"/>
      <c r="AN110" s="283"/>
      <c r="AO110" s="283"/>
      <c r="AP110" s="283"/>
      <c r="AQ110" s="283"/>
      <c r="AR110" s="283"/>
      <c r="AS110" s="283"/>
      <c r="AT110" s="283"/>
      <c r="AU110" s="283"/>
      <c r="AV110" s="283"/>
      <c r="AW110" s="283"/>
      <c r="AX110" s="283"/>
      <c r="AY110" s="283"/>
      <c r="AZ110" s="283"/>
      <c r="BA110" s="283"/>
      <c r="BB110" s="283"/>
      <c r="BC110" s="283"/>
      <c r="BD110" s="283"/>
      <c r="BE110" s="283"/>
      <c r="BF110" s="283"/>
      <c r="BG110" s="283"/>
      <c r="BH110" s="283"/>
      <c r="BI110" s="283"/>
      <c r="BJ110" s="283"/>
      <c r="BK110" s="283"/>
      <c r="BL110" s="283"/>
      <c r="BM110" s="283"/>
      <c r="BN110" s="283"/>
      <c r="BO110" s="283"/>
      <c r="BP110" s="283"/>
      <c r="BQ110" s="283"/>
      <c r="BR110" s="283"/>
      <c r="BS110" s="283"/>
      <c r="BT110" s="283"/>
      <c r="BU110" s="283"/>
      <c r="BV110" s="283"/>
      <c r="BW110" s="283"/>
      <c r="BX110" s="283"/>
      <c r="BY110" s="283"/>
      <c r="BZ110" s="283"/>
      <c r="CA110" s="283"/>
    </row>
    <row r="111" spans="1:79">
      <c r="A111" s="595"/>
      <c r="B111" s="598"/>
      <c r="C111" s="599"/>
      <c r="D111" s="283"/>
      <c r="E111" s="283"/>
      <c r="F111" s="283"/>
      <c r="G111" s="283"/>
      <c r="H111" s="283"/>
      <c r="I111" s="283"/>
      <c r="J111" s="283"/>
      <c r="K111" s="283"/>
      <c r="L111" s="283"/>
      <c r="M111" s="283"/>
      <c r="N111" s="283"/>
      <c r="O111" s="283"/>
      <c r="P111" s="283"/>
      <c r="Q111" s="283"/>
      <c r="R111" s="283"/>
      <c r="S111" s="283"/>
      <c r="T111" s="283"/>
      <c r="U111" s="283"/>
      <c r="V111" s="283"/>
      <c r="W111" s="283"/>
      <c r="X111" s="283"/>
      <c r="Y111" s="283"/>
      <c r="Z111" s="283"/>
      <c r="AA111" s="283"/>
      <c r="AB111" s="283"/>
      <c r="AC111" s="283"/>
      <c r="AD111" s="283"/>
      <c r="AE111" s="283"/>
      <c r="AF111" s="283"/>
      <c r="AG111" s="283"/>
      <c r="AH111" s="283"/>
      <c r="AI111" s="283"/>
      <c r="AJ111" s="283"/>
      <c r="AK111" s="283"/>
      <c r="AL111" s="283"/>
      <c r="AM111" s="283"/>
      <c r="AN111" s="283"/>
      <c r="AO111" s="283"/>
      <c r="AP111" s="283"/>
      <c r="AQ111" s="283"/>
      <c r="AR111" s="283"/>
      <c r="AS111" s="283"/>
      <c r="AT111" s="283"/>
      <c r="AU111" s="283"/>
      <c r="AV111" s="283"/>
      <c r="AW111" s="283"/>
      <c r="AX111" s="283"/>
      <c r="AY111" s="283"/>
      <c r="AZ111" s="283"/>
      <c r="BA111" s="283"/>
      <c r="BB111" s="283"/>
      <c r="BC111" s="283"/>
      <c r="BD111" s="283"/>
      <c r="BE111" s="283"/>
      <c r="BF111" s="283"/>
      <c r="BG111" s="283"/>
      <c r="BH111" s="283"/>
      <c r="BI111" s="283"/>
      <c r="BJ111" s="283"/>
      <c r="BK111" s="283"/>
      <c r="BL111" s="283"/>
      <c r="BM111" s="283"/>
      <c r="BN111" s="283"/>
      <c r="BO111" s="283"/>
      <c r="BP111" s="283"/>
      <c r="BQ111" s="283"/>
      <c r="BR111" s="283"/>
      <c r="BS111" s="283"/>
      <c r="BT111" s="283"/>
      <c r="BU111" s="283"/>
      <c r="BV111" s="283"/>
      <c r="BW111" s="283"/>
      <c r="BX111" s="283"/>
      <c r="BY111" s="283"/>
      <c r="BZ111" s="283"/>
      <c r="CA111" s="283"/>
    </row>
    <row r="112" spans="1:79">
      <c r="A112" s="595"/>
      <c r="B112" s="598"/>
      <c r="C112" s="599"/>
      <c r="D112" s="283"/>
      <c r="E112" s="283"/>
      <c r="F112" s="283"/>
      <c r="G112" s="283"/>
      <c r="H112" s="283"/>
      <c r="I112" s="283"/>
      <c r="J112" s="283"/>
      <c r="K112" s="283"/>
      <c r="L112" s="283"/>
      <c r="M112" s="283"/>
      <c r="N112" s="283"/>
      <c r="O112" s="283"/>
      <c r="P112" s="283"/>
      <c r="Q112" s="283"/>
      <c r="R112" s="283"/>
      <c r="S112" s="283"/>
      <c r="T112" s="283"/>
      <c r="U112" s="283"/>
      <c r="V112" s="283"/>
      <c r="W112" s="283"/>
      <c r="X112" s="283"/>
      <c r="Y112" s="283"/>
      <c r="Z112" s="283"/>
      <c r="AA112" s="283"/>
      <c r="AB112" s="283"/>
      <c r="AC112" s="283"/>
      <c r="AD112" s="283"/>
      <c r="AE112" s="283"/>
      <c r="AF112" s="283"/>
      <c r="AG112" s="283"/>
      <c r="AH112" s="283"/>
      <c r="AI112" s="283"/>
      <c r="AJ112" s="283"/>
      <c r="AK112" s="283"/>
      <c r="AL112" s="283"/>
      <c r="AM112" s="283"/>
      <c r="AN112" s="283"/>
      <c r="AO112" s="283"/>
      <c r="AP112" s="283"/>
      <c r="AQ112" s="283"/>
      <c r="AR112" s="283"/>
      <c r="AS112" s="283"/>
      <c r="AT112" s="283"/>
      <c r="AU112" s="283"/>
      <c r="AV112" s="283"/>
      <c r="AW112" s="283"/>
      <c r="AX112" s="283"/>
      <c r="AY112" s="283"/>
      <c r="AZ112" s="283"/>
      <c r="BA112" s="283"/>
      <c r="BB112" s="283"/>
      <c r="BC112" s="283"/>
      <c r="BD112" s="283"/>
      <c r="BE112" s="283"/>
      <c r="BF112" s="283"/>
      <c r="BG112" s="283"/>
      <c r="BH112" s="283"/>
      <c r="BI112" s="283"/>
      <c r="BJ112" s="283"/>
      <c r="BK112" s="283"/>
      <c r="BL112" s="283"/>
      <c r="BM112" s="283"/>
      <c r="BN112" s="283"/>
      <c r="BO112" s="283"/>
      <c r="BP112" s="283"/>
      <c r="BQ112" s="283"/>
      <c r="BR112" s="283"/>
      <c r="BS112" s="283"/>
      <c r="BT112" s="283"/>
      <c r="BU112" s="283"/>
      <c r="BV112" s="283"/>
      <c r="BW112" s="283"/>
      <c r="BX112" s="283"/>
      <c r="BY112" s="283"/>
      <c r="BZ112" s="283"/>
      <c r="CA112" s="283"/>
    </row>
    <row r="113" spans="1:79">
      <c r="A113" s="595"/>
      <c r="B113" s="598"/>
      <c r="C113" s="599"/>
      <c r="D113" s="283"/>
      <c r="E113" s="283"/>
      <c r="F113" s="283"/>
      <c r="G113" s="283"/>
      <c r="H113" s="283"/>
      <c r="I113" s="283"/>
      <c r="J113" s="283"/>
      <c r="K113" s="283"/>
      <c r="L113" s="283"/>
      <c r="M113" s="283"/>
      <c r="N113" s="283"/>
      <c r="O113" s="283"/>
      <c r="P113" s="283"/>
      <c r="Q113" s="283"/>
      <c r="R113" s="283"/>
      <c r="S113" s="283"/>
      <c r="T113" s="283"/>
      <c r="U113" s="283"/>
      <c r="V113" s="283"/>
      <c r="W113" s="283"/>
      <c r="X113" s="283"/>
      <c r="Y113" s="283"/>
      <c r="Z113" s="283"/>
      <c r="AA113" s="283"/>
      <c r="AB113" s="283"/>
      <c r="AC113" s="283"/>
      <c r="AD113" s="283"/>
      <c r="AE113" s="283"/>
      <c r="AF113" s="283"/>
      <c r="AG113" s="283"/>
      <c r="AH113" s="283"/>
      <c r="AI113" s="283"/>
      <c r="AJ113" s="283"/>
      <c r="AK113" s="283"/>
      <c r="AL113" s="283"/>
      <c r="AM113" s="283"/>
      <c r="AN113" s="283"/>
      <c r="AO113" s="283"/>
      <c r="AP113" s="283"/>
      <c r="AQ113" s="283"/>
      <c r="AR113" s="283"/>
      <c r="AS113" s="283"/>
      <c r="AT113" s="283"/>
      <c r="AU113" s="283"/>
      <c r="AV113" s="283"/>
      <c r="AW113" s="283"/>
      <c r="AX113" s="283"/>
      <c r="AY113" s="283"/>
      <c r="AZ113" s="283"/>
      <c r="BA113" s="283"/>
      <c r="BB113" s="283"/>
      <c r="BC113" s="283"/>
      <c r="BD113" s="283"/>
      <c r="BE113" s="283"/>
      <c r="BF113" s="283"/>
      <c r="BG113" s="283"/>
      <c r="BH113" s="283"/>
      <c r="BI113" s="283"/>
      <c r="BJ113" s="283"/>
      <c r="BK113" s="283"/>
      <c r="BL113" s="283"/>
      <c r="BM113" s="283"/>
      <c r="BN113" s="283"/>
      <c r="BO113" s="283"/>
      <c r="BP113" s="283"/>
      <c r="BQ113" s="283"/>
      <c r="BR113" s="283"/>
      <c r="BS113" s="283"/>
      <c r="BT113" s="283"/>
      <c r="BU113" s="283"/>
      <c r="BV113" s="283"/>
      <c r="BW113" s="283"/>
      <c r="BX113" s="283"/>
      <c r="BY113" s="283"/>
      <c r="BZ113" s="283"/>
      <c r="CA113" s="283"/>
    </row>
    <row r="114" spans="1:79">
      <c r="A114" s="595"/>
      <c r="B114" s="598"/>
      <c r="C114" s="599"/>
      <c r="D114" s="283"/>
      <c r="E114" s="283"/>
      <c r="F114" s="283"/>
      <c r="G114" s="283"/>
      <c r="H114" s="283"/>
      <c r="I114" s="283"/>
      <c r="J114" s="283"/>
      <c r="K114" s="283"/>
      <c r="L114" s="283"/>
      <c r="M114" s="283"/>
      <c r="N114" s="283"/>
      <c r="O114" s="283"/>
      <c r="P114" s="283"/>
      <c r="Q114" s="283"/>
      <c r="R114" s="283"/>
      <c r="S114" s="283"/>
      <c r="T114" s="283"/>
      <c r="U114" s="283"/>
      <c r="V114" s="283"/>
      <c r="W114" s="283"/>
      <c r="X114" s="283"/>
      <c r="Y114" s="283"/>
      <c r="Z114" s="283"/>
      <c r="AA114" s="283"/>
      <c r="AB114" s="283"/>
      <c r="AC114" s="283"/>
      <c r="AD114" s="283"/>
      <c r="AE114" s="283"/>
      <c r="AF114" s="283"/>
      <c r="AG114" s="283"/>
      <c r="AH114" s="283"/>
      <c r="AI114" s="283"/>
      <c r="AJ114" s="283"/>
      <c r="AK114" s="283"/>
      <c r="AL114" s="283"/>
      <c r="AM114" s="283"/>
      <c r="AN114" s="283"/>
      <c r="AO114" s="283"/>
      <c r="AP114" s="283"/>
      <c r="AQ114" s="283"/>
      <c r="AR114" s="283"/>
      <c r="AS114" s="283"/>
      <c r="AT114" s="283"/>
      <c r="AU114" s="283"/>
      <c r="AV114" s="283"/>
      <c r="AW114" s="283"/>
      <c r="AX114" s="283"/>
      <c r="AY114" s="283"/>
      <c r="AZ114" s="283"/>
      <c r="BA114" s="283"/>
      <c r="BB114" s="283"/>
      <c r="BC114" s="283"/>
      <c r="BD114" s="283"/>
      <c r="BE114" s="283"/>
      <c r="BF114" s="283"/>
      <c r="BG114" s="283"/>
      <c r="BH114" s="283"/>
      <c r="BI114" s="283"/>
      <c r="BJ114" s="283"/>
      <c r="BK114" s="283"/>
      <c r="BL114" s="283"/>
      <c r="BM114" s="283"/>
      <c r="BN114" s="283"/>
      <c r="BO114" s="283"/>
      <c r="BP114" s="283"/>
      <c r="BQ114" s="283"/>
      <c r="BR114" s="283"/>
      <c r="BS114" s="283"/>
      <c r="BT114" s="283"/>
      <c r="BU114" s="283"/>
      <c r="BV114" s="283"/>
      <c r="BW114" s="283"/>
      <c r="BX114" s="283"/>
      <c r="BY114" s="283"/>
      <c r="BZ114" s="283"/>
      <c r="CA114" s="283"/>
    </row>
    <row r="115" spans="1:79">
      <c r="A115" s="595"/>
      <c r="B115" s="598"/>
      <c r="C115" s="599"/>
      <c r="D115" s="283"/>
      <c r="E115" s="283"/>
      <c r="F115" s="283"/>
      <c r="G115" s="283"/>
      <c r="H115" s="283"/>
      <c r="I115" s="283"/>
      <c r="J115" s="283"/>
      <c r="K115" s="283"/>
      <c r="L115" s="283"/>
      <c r="M115" s="283"/>
      <c r="N115" s="283"/>
      <c r="O115" s="283"/>
      <c r="P115" s="283"/>
      <c r="Q115" s="283"/>
      <c r="R115" s="283"/>
      <c r="S115" s="283"/>
      <c r="T115" s="283"/>
      <c r="U115" s="283"/>
      <c r="V115" s="283"/>
      <c r="W115" s="283"/>
      <c r="X115" s="283"/>
      <c r="Y115" s="283"/>
      <c r="Z115" s="283"/>
      <c r="AA115" s="283"/>
      <c r="AB115" s="283"/>
      <c r="AC115" s="283"/>
      <c r="AD115" s="283"/>
      <c r="AE115" s="283"/>
      <c r="AF115" s="283"/>
      <c r="AG115" s="283"/>
      <c r="AH115" s="283"/>
      <c r="AI115" s="283"/>
      <c r="AJ115" s="283"/>
      <c r="AK115" s="283"/>
      <c r="AL115" s="283"/>
      <c r="AM115" s="283"/>
      <c r="AN115" s="283"/>
      <c r="AO115" s="283"/>
      <c r="AP115" s="283"/>
      <c r="AQ115" s="283"/>
      <c r="AR115" s="283"/>
      <c r="AS115" s="283"/>
      <c r="AT115" s="283"/>
      <c r="AU115" s="283"/>
      <c r="AV115" s="283"/>
      <c r="AW115" s="283"/>
      <c r="AX115" s="283"/>
      <c r="AY115" s="283"/>
      <c r="AZ115" s="283"/>
      <c r="BA115" s="283"/>
      <c r="BB115" s="283"/>
      <c r="BC115" s="283"/>
      <c r="BD115" s="283"/>
      <c r="BE115" s="283"/>
      <c r="BF115" s="283"/>
      <c r="BG115" s="283"/>
      <c r="BH115" s="283"/>
      <c r="BI115" s="283"/>
      <c r="BJ115" s="283"/>
      <c r="BK115" s="283"/>
      <c r="BL115" s="283"/>
      <c r="BM115" s="283"/>
      <c r="BN115" s="283"/>
      <c r="BO115" s="283"/>
      <c r="BP115" s="283"/>
      <c r="BQ115" s="283"/>
      <c r="BR115" s="283"/>
      <c r="BS115" s="283"/>
      <c r="BT115" s="283"/>
      <c r="BU115" s="283"/>
      <c r="BV115" s="283"/>
      <c r="BW115" s="283"/>
      <c r="BX115" s="283"/>
      <c r="BY115" s="283"/>
      <c r="BZ115" s="283"/>
      <c r="CA115" s="283"/>
    </row>
    <row r="116" spans="1:79">
      <c r="A116" s="595"/>
      <c r="B116" s="598"/>
      <c r="C116" s="599"/>
      <c r="D116" s="283"/>
      <c r="E116" s="283"/>
      <c r="F116" s="283"/>
      <c r="G116" s="283"/>
      <c r="H116" s="283"/>
      <c r="I116" s="283"/>
      <c r="J116" s="283"/>
      <c r="K116" s="283"/>
      <c r="L116" s="283"/>
      <c r="M116" s="283"/>
      <c r="N116" s="283"/>
      <c r="O116" s="283"/>
      <c r="P116" s="283"/>
      <c r="Q116" s="283"/>
      <c r="R116" s="283"/>
      <c r="S116" s="283"/>
      <c r="T116" s="283"/>
      <c r="U116" s="283"/>
      <c r="V116" s="283"/>
      <c r="W116" s="283"/>
      <c r="X116" s="283"/>
      <c r="Y116" s="283"/>
      <c r="Z116" s="283"/>
      <c r="AA116" s="283"/>
      <c r="AB116" s="283"/>
      <c r="AC116" s="283"/>
      <c r="AD116" s="283"/>
      <c r="AE116" s="283"/>
      <c r="AF116" s="283"/>
      <c r="AG116" s="283"/>
      <c r="AH116" s="283"/>
      <c r="AI116" s="283"/>
      <c r="AJ116" s="283"/>
      <c r="AK116" s="283"/>
      <c r="AL116" s="283"/>
      <c r="AM116" s="283"/>
      <c r="AN116" s="283"/>
      <c r="AO116" s="283"/>
      <c r="AP116" s="283"/>
      <c r="AQ116" s="283"/>
      <c r="AR116" s="283"/>
      <c r="AS116" s="283"/>
      <c r="AT116" s="283"/>
      <c r="AU116" s="283"/>
      <c r="AV116" s="283"/>
      <c r="AW116" s="283"/>
      <c r="AX116" s="283"/>
      <c r="AY116" s="283"/>
      <c r="AZ116" s="283"/>
      <c r="BA116" s="283"/>
      <c r="BB116" s="283"/>
      <c r="BC116" s="283"/>
      <c r="BD116" s="283"/>
      <c r="BE116" s="283"/>
      <c r="BF116" s="283"/>
      <c r="BG116" s="283"/>
      <c r="BH116" s="283"/>
      <c r="BI116" s="283"/>
      <c r="BJ116" s="283"/>
      <c r="BK116" s="283"/>
      <c r="BL116" s="283"/>
      <c r="BM116" s="283"/>
      <c r="BN116" s="283"/>
      <c r="BO116" s="283"/>
      <c r="BP116" s="283"/>
      <c r="BQ116" s="283"/>
      <c r="BR116" s="283"/>
      <c r="BS116" s="283"/>
      <c r="BT116" s="283"/>
      <c r="BU116" s="283"/>
      <c r="BV116" s="283"/>
      <c r="BW116" s="283"/>
      <c r="BX116" s="283"/>
      <c r="BY116" s="283"/>
      <c r="BZ116" s="283"/>
      <c r="CA116" s="283"/>
    </row>
    <row r="117" spans="1:79">
      <c r="A117" s="595"/>
      <c r="B117" s="598"/>
      <c r="C117" s="599"/>
      <c r="D117" s="283"/>
      <c r="E117" s="283"/>
      <c r="F117" s="283"/>
      <c r="G117" s="283"/>
      <c r="H117" s="283"/>
      <c r="I117" s="283"/>
      <c r="J117" s="283"/>
      <c r="K117" s="283"/>
      <c r="L117" s="283"/>
      <c r="M117" s="283"/>
      <c r="N117" s="283"/>
      <c r="O117" s="283"/>
      <c r="P117" s="283"/>
      <c r="Q117" s="283"/>
      <c r="R117" s="283"/>
      <c r="S117" s="283"/>
      <c r="T117" s="283"/>
      <c r="U117" s="283"/>
      <c r="V117" s="283"/>
      <c r="W117" s="283"/>
      <c r="X117" s="283"/>
      <c r="Y117" s="283"/>
      <c r="Z117" s="283"/>
      <c r="AA117" s="283"/>
      <c r="AB117" s="283"/>
      <c r="AC117" s="283"/>
      <c r="AD117" s="283"/>
      <c r="AE117" s="283"/>
      <c r="AF117" s="283"/>
      <c r="AG117" s="283"/>
      <c r="AH117" s="283"/>
      <c r="AI117" s="283"/>
      <c r="AJ117" s="283"/>
      <c r="AK117" s="283"/>
      <c r="AL117" s="283"/>
      <c r="AM117" s="283"/>
      <c r="AN117" s="283"/>
      <c r="AO117" s="283"/>
      <c r="AP117" s="283"/>
      <c r="AQ117" s="283"/>
      <c r="AR117" s="283"/>
      <c r="AS117" s="283"/>
      <c r="AT117" s="283"/>
      <c r="AU117" s="283"/>
      <c r="AV117" s="283"/>
      <c r="AW117" s="283"/>
      <c r="AX117" s="283"/>
      <c r="AY117" s="283"/>
      <c r="AZ117" s="283"/>
      <c r="BA117" s="283"/>
      <c r="BB117" s="283"/>
      <c r="BC117" s="283"/>
      <c r="BD117" s="283"/>
      <c r="BE117" s="283"/>
      <c r="BF117" s="283"/>
      <c r="BG117" s="283"/>
      <c r="BH117" s="283"/>
      <c r="BI117" s="283"/>
      <c r="BJ117" s="283"/>
      <c r="BK117" s="283"/>
      <c r="BL117" s="283"/>
      <c r="BM117" s="283"/>
      <c r="BN117" s="283"/>
      <c r="BO117" s="283"/>
      <c r="BP117" s="283"/>
      <c r="BQ117" s="283"/>
      <c r="BR117" s="283"/>
      <c r="BS117" s="283"/>
      <c r="BT117" s="283"/>
      <c r="BU117" s="283"/>
      <c r="BV117" s="283"/>
      <c r="BW117" s="283"/>
      <c r="BX117" s="283"/>
      <c r="BY117" s="283"/>
      <c r="BZ117" s="283"/>
      <c r="CA117" s="283"/>
    </row>
    <row r="118" spans="1:79">
      <c r="A118" s="595"/>
      <c r="B118" s="598"/>
      <c r="C118" s="599"/>
      <c r="D118" s="283"/>
      <c r="E118" s="283"/>
      <c r="F118" s="283"/>
      <c r="G118" s="283"/>
      <c r="H118" s="283"/>
      <c r="I118" s="283"/>
      <c r="J118" s="283"/>
      <c r="K118" s="283"/>
      <c r="L118" s="283"/>
      <c r="M118" s="283"/>
      <c r="N118" s="283"/>
      <c r="O118" s="283"/>
      <c r="P118" s="283"/>
      <c r="Q118" s="283"/>
      <c r="R118" s="283"/>
      <c r="S118" s="283"/>
      <c r="T118" s="283"/>
      <c r="U118" s="283"/>
      <c r="V118" s="283"/>
      <c r="W118" s="283"/>
      <c r="X118" s="283"/>
      <c r="Y118" s="283"/>
      <c r="Z118" s="283"/>
      <c r="AA118" s="283"/>
      <c r="AB118" s="283"/>
      <c r="AC118" s="283"/>
      <c r="AD118" s="283"/>
      <c r="AE118" s="283"/>
      <c r="AF118" s="283"/>
      <c r="AG118" s="283"/>
      <c r="AH118" s="283"/>
      <c r="AI118" s="283"/>
      <c r="AJ118" s="283"/>
      <c r="AK118" s="283"/>
      <c r="AL118" s="283"/>
      <c r="AM118" s="283"/>
      <c r="AN118" s="283"/>
      <c r="AO118" s="283"/>
      <c r="AP118" s="283"/>
      <c r="AQ118" s="283"/>
      <c r="AR118" s="283"/>
      <c r="AS118" s="283"/>
      <c r="AT118" s="283"/>
      <c r="AU118" s="283"/>
      <c r="AV118" s="283"/>
      <c r="AW118" s="283"/>
      <c r="AX118" s="283"/>
      <c r="AY118" s="283"/>
      <c r="AZ118" s="283"/>
      <c r="BA118" s="283"/>
      <c r="BB118" s="283"/>
      <c r="BC118" s="283"/>
      <c r="BD118" s="283"/>
      <c r="BE118" s="283"/>
      <c r="BF118" s="283"/>
      <c r="BG118" s="283"/>
      <c r="BH118" s="283"/>
      <c r="BI118" s="283"/>
      <c r="BJ118" s="283"/>
      <c r="BK118" s="283"/>
      <c r="BL118" s="283"/>
      <c r="BM118" s="283"/>
      <c r="BN118" s="283"/>
      <c r="BO118" s="283"/>
      <c r="BP118" s="283"/>
      <c r="BQ118" s="283"/>
      <c r="BR118" s="283"/>
      <c r="BS118" s="283"/>
      <c r="BT118" s="283"/>
      <c r="BU118" s="283"/>
      <c r="BV118" s="283"/>
      <c r="BW118" s="283"/>
      <c r="BX118" s="283"/>
      <c r="BY118" s="283"/>
      <c r="BZ118" s="283"/>
      <c r="CA118" s="283"/>
    </row>
    <row r="119" spans="1:79">
      <c r="A119" s="595"/>
      <c r="B119" s="242"/>
      <c r="C119" s="599"/>
      <c r="D119" s="283"/>
      <c r="E119" s="283"/>
      <c r="F119" s="283"/>
      <c r="G119" s="283"/>
      <c r="H119" s="283"/>
      <c r="I119" s="283"/>
      <c r="J119" s="283"/>
      <c r="K119" s="283"/>
      <c r="L119" s="283"/>
      <c r="M119" s="283"/>
      <c r="N119" s="283"/>
      <c r="O119" s="283"/>
      <c r="P119" s="283"/>
      <c r="Q119" s="283"/>
      <c r="R119" s="283"/>
      <c r="S119" s="283"/>
      <c r="T119" s="283"/>
      <c r="U119" s="283"/>
      <c r="V119" s="283"/>
      <c r="W119" s="283"/>
      <c r="X119" s="283"/>
      <c r="Y119" s="283"/>
      <c r="Z119" s="283"/>
      <c r="AA119" s="283"/>
      <c r="AB119" s="283"/>
      <c r="AC119" s="283"/>
      <c r="AD119" s="283"/>
      <c r="AE119" s="283"/>
      <c r="AF119" s="283"/>
      <c r="AG119" s="283"/>
      <c r="AH119" s="283"/>
      <c r="AI119" s="283"/>
      <c r="AJ119" s="283"/>
      <c r="AK119" s="283"/>
      <c r="AL119" s="283"/>
      <c r="AM119" s="283"/>
      <c r="AN119" s="283"/>
      <c r="AO119" s="283"/>
      <c r="AP119" s="283"/>
      <c r="AQ119" s="283"/>
      <c r="AR119" s="283"/>
      <c r="AS119" s="283"/>
      <c r="AT119" s="283"/>
      <c r="AU119" s="283"/>
      <c r="AV119" s="283"/>
      <c r="AW119" s="283"/>
      <c r="AX119" s="283"/>
      <c r="AY119" s="283"/>
      <c r="AZ119" s="283"/>
      <c r="BA119" s="283"/>
      <c r="BB119" s="283"/>
      <c r="BC119" s="283"/>
      <c r="BD119" s="283"/>
      <c r="BE119" s="283"/>
      <c r="BF119" s="283"/>
      <c r="BG119" s="283"/>
      <c r="BH119" s="283"/>
      <c r="BI119" s="283"/>
      <c r="BJ119" s="283"/>
      <c r="BK119" s="283"/>
      <c r="BL119" s="283"/>
      <c r="BM119" s="283"/>
      <c r="BN119" s="283"/>
      <c r="BO119" s="283"/>
      <c r="BP119" s="283"/>
      <c r="BQ119" s="283"/>
      <c r="BR119" s="283"/>
      <c r="BS119" s="283"/>
      <c r="BT119" s="283"/>
      <c r="BU119" s="283"/>
      <c r="BV119" s="283"/>
      <c r="BW119" s="283"/>
      <c r="BX119" s="283"/>
      <c r="BY119" s="283"/>
      <c r="BZ119" s="283"/>
      <c r="CA119" s="283"/>
    </row>
    <row r="120" spans="1:79">
      <c r="A120" s="595"/>
      <c r="B120" s="242"/>
      <c r="C120" s="243"/>
      <c r="D120" s="283"/>
      <c r="E120" s="283"/>
      <c r="F120" s="283"/>
      <c r="G120" s="283"/>
      <c r="H120" s="283"/>
      <c r="I120" s="283"/>
      <c r="J120" s="283"/>
      <c r="K120" s="283"/>
      <c r="L120" s="283"/>
      <c r="M120" s="283"/>
      <c r="N120" s="283"/>
      <c r="O120" s="283"/>
      <c r="P120" s="283"/>
      <c r="Q120" s="283"/>
      <c r="R120" s="283"/>
      <c r="S120" s="283"/>
      <c r="T120" s="283"/>
      <c r="U120" s="283"/>
      <c r="V120" s="283"/>
      <c r="W120" s="283"/>
      <c r="X120" s="283"/>
      <c r="Y120" s="283"/>
      <c r="Z120" s="283"/>
      <c r="AA120" s="283"/>
      <c r="AB120" s="283"/>
      <c r="AC120" s="283"/>
      <c r="AD120" s="283"/>
      <c r="AE120" s="283"/>
      <c r="AF120" s="283"/>
      <c r="AG120" s="283"/>
      <c r="AH120" s="283"/>
      <c r="AI120" s="283"/>
      <c r="AJ120" s="283"/>
      <c r="AK120" s="283"/>
      <c r="AL120" s="283"/>
      <c r="AM120" s="283"/>
      <c r="AN120" s="283"/>
      <c r="AO120" s="283"/>
      <c r="AP120" s="283"/>
      <c r="AQ120" s="283"/>
      <c r="AR120" s="283"/>
      <c r="AS120" s="283"/>
      <c r="AT120" s="283"/>
      <c r="AU120" s="283"/>
      <c r="AV120" s="283"/>
      <c r="AW120" s="283"/>
      <c r="AX120" s="283"/>
      <c r="AY120" s="283"/>
      <c r="AZ120" s="283"/>
      <c r="BA120" s="283"/>
      <c r="BB120" s="283"/>
      <c r="BC120" s="283"/>
      <c r="BD120" s="283"/>
      <c r="BE120" s="283"/>
      <c r="BF120" s="283"/>
      <c r="BG120" s="283"/>
      <c r="BH120" s="283"/>
      <c r="BI120" s="283"/>
      <c r="BJ120" s="283"/>
      <c r="BK120" s="283"/>
      <c r="BL120" s="283"/>
      <c r="BM120" s="283"/>
      <c r="BN120" s="283"/>
      <c r="BO120" s="283"/>
      <c r="BP120" s="283"/>
      <c r="BQ120" s="283"/>
      <c r="BR120" s="283"/>
      <c r="BS120" s="283"/>
      <c r="BT120" s="283"/>
      <c r="BU120" s="283"/>
      <c r="BV120" s="283"/>
      <c r="BW120" s="283"/>
      <c r="BX120" s="283"/>
      <c r="BY120" s="283"/>
      <c r="BZ120" s="283"/>
      <c r="CA120" s="283"/>
    </row>
    <row r="121" spans="1:79">
      <c r="A121" s="595"/>
      <c r="B121" s="242"/>
      <c r="C121" s="243"/>
      <c r="D121" s="283"/>
      <c r="E121" s="283"/>
      <c r="F121" s="283"/>
      <c r="G121" s="283"/>
      <c r="H121" s="283"/>
      <c r="I121" s="283"/>
      <c r="J121" s="283"/>
      <c r="K121" s="283"/>
      <c r="L121" s="283"/>
      <c r="M121" s="283"/>
      <c r="N121" s="283"/>
      <c r="O121" s="283"/>
      <c r="P121" s="283"/>
      <c r="Q121" s="283"/>
      <c r="R121" s="283"/>
      <c r="S121" s="283"/>
      <c r="T121" s="283"/>
      <c r="U121" s="283"/>
      <c r="V121" s="283"/>
      <c r="W121" s="283"/>
      <c r="X121" s="283"/>
      <c r="Y121" s="283"/>
      <c r="Z121" s="283"/>
      <c r="AA121" s="283"/>
      <c r="AB121" s="283"/>
      <c r="AC121" s="283"/>
      <c r="AD121" s="283"/>
      <c r="AE121" s="283"/>
      <c r="AF121" s="283"/>
      <c r="AG121" s="283"/>
      <c r="AH121" s="283"/>
      <c r="AI121" s="283"/>
      <c r="AJ121" s="283"/>
      <c r="AK121" s="283"/>
      <c r="AL121" s="283"/>
      <c r="AM121" s="283"/>
      <c r="AN121" s="283"/>
      <c r="AO121" s="283"/>
      <c r="AP121" s="283"/>
      <c r="AQ121" s="283"/>
      <c r="AR121" s="283"/>
      <c r="AS121" s="283"/>
      <c r="AT121" s="283"/>
      <c r="AU121" s="283"/>
      <c r="AV121" s="283"/>
      <c r="AW121" s="283"/>
      <c r="AX121" s="283"/>
      <c r="AY121" s="283"/>
      <c r="AZ121" s="283"/>
      <c r="BA121" s="283"/>
      <c r="BB121" s="283"/>
      <c r="BC121" s="283"/>
      <c r="BD121" s="283"/>
      <c r="BE121" s="283"/>
      <c r="BF121" s="283"/>
      <c r="BG121" s="283"/>
      <c r="BH121" s="283"/>
      <c r="BI121" s="283"/>
      <c r="BJ121" s="283"/>
      <c r="BK121" s="283"/>
      <c r="BL121" s="283"/>
      <c r="BM121" s="283"/>
      <c r="BN121" s="283"/>
      <c r="BO121" s="283"/>
      <c r="BP121" s="283"/>
      <c r="BQ121" s="283"/>
      <c r="BR121" s="283"/>
      <c r="BS121" s="283"/>
      <c r="BT121" s="283"/>
      <c r="BU121" s="283"/>
      <c r="BV121" s="283"/>
      <c r="BW121" s="283"/>
      <c r="BX121" s="283"/>
      <c r="BY121" s="283"/>
      <c r="BZ121" s="283"/>
      <c r="CA121" s="283"/>
    </row>
    <row r="122" spans="1:79">
      <c r="A122" s="595"/>
      <c r="B122" s="242"/>
      <c r="C122" s="243"/>
      <c r="D122" s="283"/>
      <c r="E122" s="283"/>
      <c r="F122" s="283"/>
      <c r="G122" s="283"/>
      <c r="H122" s="283"/>
      <c r="I122" s="283"/>
      <c r="J122" s="283"/>
      <c r="K122" s="283"/>
      <c r="L122" s="283"/>
      <c r="M122" s="283"/>
      <c r="N122" s="283"/>
      <c r="O122" s="283"/>
      <c r="P122" s="283"/>
      <c r="Q122" s="283"/>
      <c r="R122" s="283"/>
      <c r="S122" s="283"/>
      <c r="T122" s="283"/>
      <c r="U122" s="283"/>
      <c r="V122" s="283"/>
      <c r="W122" s="283"/>
      <c r="X122" s="283"/>
      <c r="Y122" s="283"/>
      <c r="Z122" s="283"/>
      <c r="AA122" s="283"/>
      <c r="AB122" s="283"/>
      <c r="AC122" s="283"/>
      <c r="AD122" s="283"/>
      <c r="AE122" s="283"/>
      <c r="AF122" s="283"/>
      <c r="AG122" s="283"/>
      <c r="AH122" s="283"/>
      <c r="AI122" s="283"/>
      <c r="AJ122" s="283"/>
    </row>
    <row r="123" spans="1:79">
      <c r="D123" s="283"/>
      <c r="E123" s="283"/>
      <c r="F123" s="283"/>
      <c r="G123" s="283"/>
      <c r="H123" s="283"/>
      <c r="I123" s="283"/>
      <c r="J123" s="283"/>
      <c r="K123" s="283"/>
      <c r="L123" s="283"/>
      <c r="M123" s="283"/>
      <c r="N123" s="283"/>
      <c r="O123" s="283"/>
      <c r="P123" s="283"/>
      <c r="Q123" s="283"/>
      <c r="R123" s="283"/>
      <c r="S123" s="283"/>
      <c r="T123" s="283"/>
      <c r="U123" s="283"/>
      <c r="V123" s="283"/>
      <c r="W123" s="283"/>
      <c r="X123" s="283"/>
      <c r="Y123" s="283"/>
      <c r="Z123" s="283"/>
      <c r="AA123" s="283"/>
      <c r="AB123" s="283"/>
      <c r="AC123" s="283"/>
      <c r="AD123" s="283"/>
      <c r="AE123" s="283"/>
      <c r="AF123" s="283"/>
      <c r="AG123" s="283"/>
      <c r="AH123" s="283"/>
      <c r="AI123" s="283"/>
      <c r="AJ123" s="283"/>
    </row>
  </sheetData>
  <mergeCells count="33">
    <mergeCell ref="AH6:AH7"/>
    <mergeCell ref="AI6:AI7"/>
    <mergeCell ref="AJ6:AJ7"/>
    <mergeCell ref="AB6:AB7"/>
    <mergeCell ref="AC6:AC7"/>
    <mergeCell ref="AD6:AD7"/>
    <mergeCell ref="AE6:AE7"/>
    <mergeCell ref="AF6:AF7"/>
    <mergeCell ref="AG6:AG7"/>
    <mergeCell ref="AA6:AA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  <mergeCell ref="Z6:Z7"/>
    <mergeCell ref="O6:O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</mergeCells>
  <pageMargins left="0.511811024" right="0.511811024" top="0.78740157499999996" bottom="0.78740157499999996" header="0.31496062000000002" footer="0.31496062000000002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Plan24">
    <tabColor rgb="FF00B050"/>
  </sheetPr>
  <dimension ref="A1:DC478"/>
  <sheetViews>
    <sheetView topLeftCell="A367" workbookViewId="0">
      <selection activeCell="D4" sqref="D4:G36"/>
    </sheetView>
  </sheetViews>
  <sheetFormatPr defaultColWidth="9.140625" defaultRowHeight="12.75"/>
  <cols>
    <col min="1" max="1" width="2.5703125" style="662" customWidth="1"/>
    <col min="2" max="4" width="2.5703125" style="306" customWidth="1"/>
    <col min="5" max="5" width="11.7109375" style="307" customWidth="1"/>
    <col min="6" max="6" width="70.85546875" style="432" customWidth="1"/>
    <col min="7" max="7" width="10.7109375" style="303" customWidth="1"/>
    <col min="8" max="8" width="13.85546875" style="304" customWidth="1"/>
    <col min="9" max="9" width="11.85546875" style="305" customWidth="1"/>
    <col min="10" max="10" width="15.7109375" style="305" customWidth="1"/>
    <col min="11" max="11" width="9.140625" style="306"/>
    <col min="12" max="12" width="10.140625" style="377" bestFit="1" customWidth="1"/>
    <col min="13" max="16384" width="9.140625" style="306"/>
  </cols>
  <sheetData>
    <row r="1" spans="1:107" s="595" customFormat="1" ht="15" customHeight="1">
      <c r="B1" s="596"/>
      <c r="E1" s="658"/>
      <c r="F1" s="659"/>
      <c r="H1" s="660"/>
      <c r="I1" s="660"/>
      <c r="J1" s="660"/>
      <c r="L1" s="661"/>
    </row>
    <row r="2" spans="1:107" s="241" customFormat="1" ht="10.5" customHeight="1">
      <c r="A2" s="595"/>
      <c r="B2" s="598"/>
      <c r="C2" s="598"/>
      <c r="D2" s="598"/>
      <c r="E2" s="663"/>
      <c r="F2" s="664"/>
      <c r="G2" s="598"/>
      <c r="H2" s="665"/>
      <c r="I2" s="665"/>
      <c r="J2" s="665"/>
      <c r="K2" s="598"/>
      <c r="L2" s="666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598"/>
      <c r="AI2" s="598"/>
      <c r="AJ2" s="598"/>
      <c r="AK2" s="598"/>
      <c r="AL2" s="598"/>
      <c r="AM2" s="598"/>
      <c r="AN2" s="598"/>
      <c r="AO2" s="598"/>
      <c r="AP2" s="598"/>
      <c r="AQ2" s="598"/>
      <c r="AR2" s="598"/>
      <c r="AS2" s="598"/>
      <c r="AT2" s="598"/>
      <c r="AU2" s="598"/>
      <c r="AV2" s="598"/>
      <c r="AW2" s="242"/>
      <c r="AX2" s="242"/>
      <c r="AY2" s="242"/>
      <c r="AZ2" s="242"/>
      <c r="BA2" s="242"/>
      <c r="BB2" s="242"/>
      <c r="BC2" s="242"/>
      <c r="BD2" s="242"/>
      <c r="BE2" s="242"/>
      <c r="BF2" s="242"/>
      <c r="BG2" s="242"/>
      <c r="BH2" s="242"/>
      <c r="BI2" s="242"/>
      <c r="BJ2" s="242"/>
      <c r="BK2" s="242"/>
      <c r="BL2" s="242"/>
      <c r="BM2" s="242"/>
      <c r="BN2" s="242"/>
      <c r="BO2" s="242"/>
      <c r="BP2" s="242"/>
      <c r="BQ2" s="242"/>
      <c r="BR2" s="242"/>
      <c r="BS2" s="242"/>
      <c r="BT2" s="242"/>
      <c r="BU2" s="242"/>
      <c r="BV2" s="242"/>
      <c r="BW2" s="242"/>
      <c r="BX2" s="242"/>
      <c r="BY2" s="242"/>
      <c r="BZ2" s="242"/>
      <c r="CA2" s="242"/>
      <c r="CB2" s="242"/>
      <c r="CC2" s="242"/>
      <c r="CD2" s="242"/>
      <c r="CE2" s="242"/>
      <c r="CF2" s="242"/>
      <c r="CG2" s="242"/>
      <c r="CH2" s="242"/>
      <c r="CI2" s="242"/>
      <c r="CJ2" s="242"/>
      <c r="CK2" s="242"/>
      <c r="CL2" s="242"/>
      <c r="CM2" s="242"/>
      <c r="CN2" s="242"/>
      <c r="CO2" s="242"/>
      <c r="CP2" s="242"/>
      <c r="CQ2" s="242"/>
      <c r="CR2" s="242"/>
      <c r="CS2" s="242"/>
      <c r="CT2" s="242"/>
      <c r="CU2" s="242"/>
      <c r="CV2" s="242"/>
      <c r="CW2" s="242"/>
      <c r="CX2" s="242"/>
      <c r="CY2" s="242"/>
      <c r="CZ2" s="242"/>
      <c r="DA2" s="242"/>
      <c r="DB2" s="242"/>
      <c r="DC2" s="242"/>
    </row>
    <row r="3" spans="1:107" s="241" customFormat="1" ht="10.5" customHeight="1">
      <c r="A3" s="595"/>
      <c r="B3" s="598"/>
      <c r="C3" s="599"/>
      <c r="D3" s="599"/>
      <c r="E3" s="667"/>
      <c r="F3" s="668"/>
      <c r="G3" s="599"/>
      <c r="H3" s="669"/>
      <c r="I3" s="669"/>
      <c r="J3" s="669"/>
      <c r="K3" s="599"/>
      <c r="L3" s="670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599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  <c r="DC3" s="243"/>
    </row>
    <row r="4" spans="1:107">
      <c r="A4" s="595"/>
      <c r="B4" s="598"/>
      <c r="C4" s="599"/>
      <c r="D4" s="308"/>
      <c r="E4" s="449"/>
      <c r="F4" s="431"/>
      <c r="L4" s="377">
        <v>2</v>
      </c>
    </row>
    <row r="5" spans="1:107" ht="18">
      <c r="A5" s="595"/>
      <c r="B5" s="598"/>
      <c r="C5" s="599"/>
      <c r="D5" s="308"/>
      <c r="E5" s="1940" t="s">
        <v>1427</v>
      </c>
      <c r="F5" s="1941"/>
      <c r="G5" s="1941"/>
      <c r="H5" s="1941"/>
      <c r="I5" s="1941"/>
      <c r="J5" s="1942"/>
    </row>
    <row r="6" spans="1:107" ht="15" customHeight="1">
      <c r="A6" s="595"/>
      <c r="B6" s="598"/>
      <c r="C6" s="599"/>
      <c r="D6" s="308"/>
      <c r="E6" s="1943" t="s">
        <v>1428</v>
      </c>
      <c r="F6" s="1944"/>
      <c r="G6" s="1944"/>
      <c r="H6" s="1944"/>
      <c r="I6" s="1944"/>
      <c r="J6" s="1945"/>
    </row>
    <row r="7" spans="1:107">
      <c r="A7" s="595"/>
      <c r="B7" s="598"/>
      <c r="C7" s="599"/>
      <c r="D7" s="308"/>
      <c r="E7" s="1297"/>
      <c r="F7" s="1298"/>
      <c r="G7" s="1299"/>
      <c r="H7" s="1300"/>
      <c r="I7" s="1300"/>
      <c r="J7" s="1301"/>
    </row>
    <row r="8" spans="1:107">
      <c r="A8" s="595"/>
      <c r="B8" s="598"/>
      <c r="C8" s="599"/>
      <c r="D8" s="308"/>
      <c r="E8" s="1302"/>
      <c r="F8" s="1303" t="s">
        <v>1427</v>
      </c>
      <c r="G8" s="1304"/>
      <c r="H8" s="1305"/>
      <c r="I8" s="1306" t="s">
        <v>1367</v>
      </c>
      <c r="J8" s="1307" t="e">
        <v>#REF!</v>
      </c>
    </row>
    <row r="9" spans="1:107" ht="24" customHeight="1">
      <c r="A9" s="595"/>
      <c r="B9" s="598"/>
      <c r="C9" s="599"/>
      <c r="D9" s="308"/>
      <c r="E9" s="1308" t="s">
        <v>1429</v>
      </c>
      <c r="F9" s="1303" t="s">
        <v>736</v>
      </c>
      <c r="G9" s="1304" t="s">
        <v>1430</v>
      </c>
      <c r="H9" s="1309" t="s">
        <v>667</v>
      </c>
      <c r="I9" s="1304" t="s">
        <v>1431</v>
      </c>
      <c r="J9" s="1304" t="s">
        <v>1432</v>
      </c>
    </row>
    <row r="10" spans="1:107">
      <c r="A10" s="595"/>
      <c r="B10" s="598"/>
      <c r="C10" s="599"/>
      <c r="D10" s="308"/>
      <c r="E10" s="440"/>
      <c r="F10" s="1310" t="s">
        <v>1433</v>
      </c>
      <c r="G10" s="1311"/>
      <c r="H10" s="1312"/>
      <c r="I10" s="1313"/>
      <c r="J10" s="1314" t="e">
        <f>SUBTOTAL(9,J11:J14)</f>
        <v>#N/A</v>
      </c>
    </row>
    <row r="11" spans="1:107" ht="41.25" customHeight="1">
      <c r="A11" s="595"/>
      <c r="B11" s="598"/>
      <c r="C11" s="599"/>
      <c r="D11" s="308"/>
      <c r="E11" s="440">
        <v>43333</v>
      </c>
      <c r="F11" s="456" t="s">
        <v>1434</v>
      </c>
      <c r="G11" s="477" t="s">
        <v>1435</v>
      </c>
      <c r="H11" s="476">
        <f>M11*$L$4</f>
        <v>317520</v>
      </c>
      <c r="I11" s="476">
        <f>VLOOKUP(E11,'DER MG'!$D$5:$I$84,6,0)</f>
        <v>0.57999999999999996</v>
      </c>
      <c r="J11" s="476">
        <f>H11*I11</f>
        <v>184161.59999999998</v>
      </c>
      <c r="K11" s="306">
        <v>0.28000000000000003</v>
      </c>
      <c r="M11" s="306">
        <v>158760</v>
      </c>
    </row>
    <row r="12" spans="1:107" ht="31.5" customHeight="1">
      <c r="A12" s="595"/>
      <c r="B12" s="598"/>
      <c r="C12" s="599"/>
      <c r="D12" s="308"/>
      <c r="E12" s="440">
        <v>40150</v>
      </c>
      <c r="F12" s="456" t="s">
        <v>1436</v>
      </c>
      <c r="G12" s="477" t="s">
        <v>413</v>
      </c>
      <c r="H12" s="476">
        <f t="shared" ref="H12:H13" si="0">M12*$L$4</f>
        <v>476280</v>
      </c>
      <c r="I12" s="476" t="e">
        <f>VLOOKUP(E12,'DER MG'!$D$5:$I$84,6,0)</f>
        <v>#N/A</v>
      </c>
      <c r="J12" s="476" t="e">
        <f t="shared" ref="J12:J13" si="1">H12*I12</f>
        <v>#N/A</v>
      </c>
      <c r="K12" s="306">
        <v>6.97</v>
      </c>
      <c r="M12" s="306">
        <v>238140</v>
      </c>
    </row>
    <row r="13" spans="1:107">
      <c r="A13" s="595"/>
      <c r="B13" s="598"/>
      <c r="C13" s="599"/>
      <c r="D13" s="308"/>
      <c r="E13" s="440">
        <v>40249</v>
      </c>
      <c r="F13" s="456" t="s">
        <v>1437</v>
      </c>
      <c r="G13" s="477" t="s">
        <v>413</v>
      </c>
      <c r="H13" s="476">
        <f t="shared" si="0"/>
        <v>476280</v>
      </c>
      <c r="I13" s="476">
        <f>VLOOKUP(E13,'DER MG'!$D$5:$I$84,6,0)</f>
        <v>4.92</v>
      </c>
      <c r="J13" s="476">
        <f t="shared" si="1"/>
        <v>2343297.6</v>
      </c>
      <c r="K13" s="306">
        <v>2.52</v>
      </c>
      <c r="M13" s="306">
        <v>238140</v>
      </c>
    </row>
    <row r="14" spans="1:107">
      <c r="A14" s="595"/>
      <c r="B14" s="598"/>
      <c r="C14" s="599"/>
      <c r="D14" s="308"/>
      <c r="E14" s="440"/>
      <c r="F14" s="443"/>
      <c r="G14" s="444"/>
      <c r="H14" s="442"/>
      <c r="I14" s="442"/>
      <c r="J14" s="442"/>
    </row>
    <row r="15" spans="1:107">
      <c r="A15" s="595"/>
      <c r="B15" s="598"/>
      <c r="C15" s="599"/>
      <c r="D15" s="308"/>
      <c r="E15" s="440"/>
      <c r="F15" s="443" t="s">
        <v>1438</v>
      </c>
      <c r="G15" s="444"/>
      <c r="H15" s="442"/>
      <c r="I15" s="442"/>
      <c r="J15" s="1314">
        <f>SUBTOTAL(9,J16:J20)</f>
        <v>8137995.5552000003</v>
      </c>
    </row>
    <row r="16" spans="1:107" ht="22.5">
      <c r="A16" s="595"/>
      <c r="B16" s="598"/>
      <c r="C16" s="599"/>
      <c r="D16" s="308"/>
      <c r="E16" s="440">
        <v>42456</v>
      </c>
      <c r="F16" s="456" t="s">
        <v>1439</v>
      </c>
      <c r="G16" s="477" t="s">
        <v>413</v>
      </c>
      <c r="H16" s="476">
        <f t="shared" ref="H16:H19" si="2">M16*$L$4</f>
        <v>1775.44</v>
      </c>
      <c r="I16" s="476">
        <f>VLOOKUP(E16,'DER MG'!$D$5:$I$84,6,0)</f>
        <v>775.66</v>
      </c>
      <c r="J16" s="476">
        <f t="shared" ref="J16:J19" si="3">H16*I16</f>
        <v>1377137.7904000001</v>
      </c>
      <c r="K16" s="306">
        <v>366.43</v>
      </c>
      <c r="M16" s="306">
        <v>887.72</v>
      </c>
    </row>
    <row r="17" spans="1:13" ht="22.5">
      <c r="A17" s="595"/>
      <c r="B17" s="598"/>
      <c r="C17" s="599"/>
      <c r="D17" s="308"/>
      <c r="E17" s="440">
        <v>41558</v>
      </c>
      <c r="F17" s="456" t="s">
        <v>1440</v>
      </c>
      <c r="G17" s="477" t="s">
        <v>1435</v>
      </c>
      <c r="H17" s="476">
        <f t="shared" si="2"/>
        <v>15466.86</v>
      </c>
      <c r="I17" s="476">
        <f>VLOOKUP(E17,'DER MG'!$D$5:$I$84,6,0)</f>
        <v>115.68</v>
      </c>
      <c r="J17" s="476">
        <f t="shared" si="3"/>
        <v>1789206.3648000001</v>
      </c>
      <c r="K17" s="306">
        <v>49.72</v>
      </c>
      <c r="M17" s="306">
        <v>7733.43</v>
      </c>
    </row>
    <row r="18" spans="1:13" ht="22.5">
      <c r="A18" s="595"/>
      <c r="B18" s="598"/>
      <c r="C18" s="599"/>
      <c r="D18" s="308"/>
      <c r="E18" s="440">
        <v>41387</v>
      </c>
      <c r="F18" s="456" t="s">
        <v>1441</v>
      </c>
      <c r="G18" s="440" t="s">
        <v>1442</v>
      </c>
      <c r="H18" s="476">
        <f t="shared" si="2"/>
        <v>340380.4</v>
      </c>
      <c r="I18" s="476">
        <f>VLOOKUP(E18,'DER MG'!$D$5:$I$84,6,0)</f>
        <v>11.5</v>
      </c>
      <c r="J18" s="476">
        <f t="shared" si="3"/>
        <v>3914374.6</v>
      </c>
      <c r="K18" s="306">
        <v>6.5</v>
      </c>
      <c r="M18" s="306">
        <v>170190.2</v>
      </c>
    </row>
    <row r="19" spans="1:13" ht="22.5">
      <c r="A19" s="595"/>
      <c r="B19" s="598"/>
      <c r="C19" s="599"/>
      <c r="D19" s="308"/>
      <c r="E19" s="440">
        <v>40989</v>
      </c>
      <c r="F19" s="456" t="s">
        <v>1443</v>
      </c>
      <c r="G19" s="440" t="s">
        <v>416</v>
      </c>
      <c r="H19" s="476">
        <f t="shared" si="2"/>
        <v>2160</v>
      </c>
      <c r="I19" s="476">
        <f>VLOOKUP(E19,'DER MG'!$D$5:$I$84,6,0)</f>
        <v>489.48</v>
      </c>
      <c r="J19" s="476">
        <f t="shared" si="3"/>
        <v>1057276.8</v>
      </c>
      <c r="K19" s="306">
        <v>247.09</v>
      </c>
      <c r="M19" s="306">
        <v>1080</v>
      </c>
    </row>
    <row r="20" spans="1:13">
      <c r="A20" s="595"/>
      <c r="B20" s="598"/>
      <c r="C20" s="599"/>
      <c r="D20" s="308"/>
      <c r="E20" s="440"/>
      <c r="F20" s="443"/>
      <c r="G20" s="444"/>
      <c r="H20" s="442"/>
      <c r="I20" s="1315"/>
      <c r="J20" s="442"/>
    </row>
    <row r="21" spans="1:13">
      <c r="A21" s="595"/>
      <c r="B21" s="598"/>
      <c r="C21" s="599"/>
      <c r="D21" s="308"/>
      <c r="E21" s="440"/>
      <c r="F21" s="443" t="s">
        <v>1444</v>
      </c>
      <c r="G21" s="444"/>
      <c r="H21" s="442"/>
      <c r="I21" s="442"/>
      <c r="J21" s="1314">
        <f>SUBTOTAL(9,J22:J26)</f>
        <v>2244330.0760000004</v>
      </c>
    </row>
    <row r="22" spans="1:13">
      <c r="A22" s="595"/>
      <c r="B22" s="598"/>
      <c r="C22" s="599"/>
      <c r="D22" s="308"/>
      <c r="E22" s="440"/>
      <c r="F22" s="1310" t="s">
        <v>1445</v>
      </c>
      <c r="G22" s="477" t="s">
        <v>1435</v>
      </c>
      <c r="H22" s="476">
        <f t="shared" ref="H22:H25" si="4">M22*$L$4</f>
        <v>1600</v>
      </c>
      <c r="I22" s="476">
        <v>1295.53</v>
      </c>
      <c r="J22" s="476">
        <f t="shared" ref="J22:J25" si="5">H22*I22</f>
        <v>2072848</v>
      </c>
      <c r="M22" s="306">
        <v>800</v>
      </c>
    </row>
    <row r="23" spans="1:13" ht="22.5">
      <c r="A23" s="595"/>
      <c r="B23" s="598"/>
      <c r="C23" s="599"/>
      <c r="D23" s="308"/>
      <c r="E23" s="461">
        <v>40638</v>
      </c>
      <c r="F23" s="456" t="s">
        <v>1446</v>
      </c>
      <c r="G23" s="477" t="s">
        <v>416</v>
      </c>
      <c r="H23" s="478">
        <f t="shared" si="4"/>
        <v>216</v>
      </c>
      <c r="I23" s="476">
        <f>VLOOKUP(E23,'DER MG'!$D$5:$I$84,6,0)</f>
        <v>73.89</v>
      </c>
      <c r="J23" s="476">
        <f t="shared" si="5"/>
        <v>15960.24</v>
      </c>
      <c r="K23" s="306">
        <v>35.369999999999997</v>
      </c>
      <c r="M23" s="306">
        <v>108</v>
      </c>
    </row>
    <row r="24" spans="1:13" ht="22.5">
      <c r="A24" s="595"/>
      <c r="B24" s="598"/>
      <c r="C24" s="599"/>
      <c r="D24" s="308"/>
      <c r="E24" s="440">
        <v>40654</v>
      </c>
      <c r="F24" s="456" t="s">
        <v>1447</v>
      </c>
      <c r="G24" s="477" t="s">
        <v>416</v>
      </c>
      <c r="H24" s="478">
        <f t="shared" si="4"/>
        <v>259.2</v>
      </c>
      <c r="I24" s="476">
        <f>VLOOKUP(E24,'DER MG'!$D$5:$I$84,6,0)</f>
        <v>79.680000000000007</v>
      </c>
      <c r="J24" s="476">
        <f t="shared" si="5"/>
        <v>20653.056</v>
      </c>
      <c r="K24" s="306">
        <v>41.36</v>
      </c>
      <c r="M24" s="306">
        <v>129.6</v>
      </c>
    </row>
    <row r="25" spans="1:13" ht="22.5">
      <c r="A25" s="595"/>
      <c r="B25" s="598"/>
      <c r="C25" s="599"/>
      <c r="D25" s="308"/>
      <c r="E25" s="440">
        <v>42467</v>
      </c>
      <c r="F25" s="456" t="s">
        <v>1448</v>
      </c>
      <c r="G25" s="440" t="s">
        <v>1449</v>
      </c>
      <c r="H25" s="478">
        <f t="shared" si="4"/>
        <v>248.4</v>
      </c>
      <c r="I25" s="476">
        <f>VLOOKUP(E25,'DER MG'!$D$5:$I$84,6,0)</f>
        <v>542.95000000000005</v>
      </c>
      <c r="J25" s="476">
        <f t="shared" si="5"/>
        <v>134868.78000000003</v>
      </c>
      <c r="K25" s="306">
        <v>255.28</v>
      </c>
      <c r="M25" s="306">
        <v>124.2</v>
      </c>
    </row>
    <row r="26" spans="1:13">
      <c r="A26" s="595"/>
      <c r="B26" s="598"/>
      <c r="C26" s="599"/>
      <c r="D26" s="308"/>
      <c r="E26" s="440"/>
      <c r="F26" s="443"/>
      <c r="G26" s="444"/>
      <c r="H26" s="442"/>
      <c r="I26" s="1316"/>
      <c r="J26" s="442"/>
    </row>
    <row r="27" spans="1:13">
      <c r="A27" s="595"/>
      <c r="B27" s="598"/>
      <c r="C27" s="599"/>
      <c r="D27" s="308"/>
      <c r="E27" s="440"/>
      <c r="F27" s="443" t="s">
        <v>1450</v>
      </c>
      <c r="G27" s="444"/>
      <c r="H27" s="442"/>
      <c r="I27" s="442"/>
      <c r="J27" s="1314">
        <f>SUBTOTAL(9,J28:J32)</f>
        <v>4968850.716</v>
      </c>
    </row>
    <row r="28" spans="1:13">
      <c r="A28" s="595"/>
      <c r="B28" s="598"/>
      <c r="C28" s="599"/>
      <c r="D28" s="308"/>
      <c r="E28" s="440"/>
      <c r="F28" s="1310" t="s">
        <v>1451</v>
      </c>
      <c r="G28" s="441"/>
      <c r="H28" s="442"/>
      <c r="I28" s="442"/>
      <c r="J28" s="442"/>
    </row>
    <row r="29" spans="1:13" ht="22.5">
      <c r="A29" s="595"/>
      <c r="B29" s="598"/>
      <c r="C29" s="599"/>
      <c r="D29" s="308"/>
      <c r="E29" s="440">
        <v>42456</v>
      </c>
      <c r="F29" s="456" t="s">
        <v>1439</v>
      </c>
      <c r="G29" s="477" t="s">
        <v>413</v>
      </c>
      <c r="H29" s="476">
        <f t="shared" ref="H29:H32" si="6">M29*$L$4</f>
        <v>849.6</v>
      </c>
      <c r="I29" s="476">
        <f>VLOOKUP(E29,'DER MG'!$D$5:$I$84,6,0)</f>
        <v>775.66</v>
      </c>
      <c r="J29" s="476">
        <f t="shared" ref="J29:J32" si="7">H29*I29</f>
        <v>659000.73600000003</v>
      </c>
      <c r="M29" s="306">
        <v>424.8</v>
      </c>
    </row>
    <row r="30" spans="1:13" ht="22.5">
      <c r="A30" s="595"/>
      <c r="B30" s="598"/>
      <c r="C30" s="599"/>
      <c r="D30" s="308"/>
      <c r="E30" s="440">
        <v>41558</v>
      </c>
      <c r="F30" s="456" t="s">
        <v>1440</v>
      </c>
      <c r="G30" s="477" t="s">
        <v>1435</v>
      </c>
      <c r="H30" s="476">
        <f t="shared" si="6"/>
        <v>29736</v>
      </c>
      <c r="I30" s="476">
        <f>VLOOKUP(E30,'DER MG'!$D$5:$I$84,6,0)</f>
        <v>115.68</v>
      </c>
      <c r="J30" s="476">
        <f t="shared" si="7"/>
        <v>3439860.48</v>
      </c>
      <c r="M30" s="306">
        <v>14868</v>
      </c>
    </row>
    <row r="31" spans="1:13" ht="22.5">
      <c r="A31" s="595"/>
      <c r="B31" s="598"/>
      <c r="C31" s="599"/>
      <c r="D31" s="308"/>
      <c r="E31" s="440">
        <v>41387</v>
      </c>
      <c r="F31" s="456" t="s">
        <v>1441</v>
      </c>
      <c r="G31" s="477" t="s">
        <v>1442</v>
      </c>
      <c r="H31" s="476">
        <f t="shared" si="6"/>
        <v>67968</v>
      </c>
      <c r="I31" s="476">
        <f>VLOOKUP(E31,'DER MG'!$D$5:$I$84,6,0)</f>
        <v>11.5</v>
      </c>
      <c r="J31" s="476">
        <f t="shared" si="7"/>
        <v>781632</v>
      </c>
      <c r="M31" s="306">
        <v>33984</v>
      </c>
    </row>
    <row r="32" spans="1:13">
      <c r="A32" s="595"/>
      <c r="B32" s="598"/>
      <c r="C32" s="599"/>
      <c r="D32" s="308"/>
      <c r="E32" s="440" t="s">
        <v>1452</v>
      </c>
      <c r="F32" s="456" t="s">
        <v>1453</v>
      </c>
      <c r="G32" s="477" t="s">
        <v>1435</v>
      </c>
      <c r="H32" s="476">
        <f t="shared" si="6"/>
        <v>675</v>
      </c>
      <c r="I32" s="476">
        <f>VLOOKUP(E32,'DER MG'!$D$5:$I$84,6,0)</f>
        <v>130.9</v>
      </c>
      <c r="J32" s="476">
        <f t="shared" si="7"/>
        <v>88357.5</v>
      </c>
      <c r="K32" s="306">
        <v>70.28</v>
      </c>
      <c r="M32" s="306">
        <v>337.5</v>
      </c>
    </row>
    <row r="33" spans="1:18">
      <c r="A33" s="595"/>
      <c r="B33" s="598"/>
      <c r="C33" s="599"/>
      <c r="D33" s="308"/>
      <c r="E33" s="440"/>
      <c r="F33" s="443"/>
      <c r="G33" s="444"/>
      <c r="H33" s="442"/>
      <c r="I33" s="442"/>
      <c r="J33" s="442"/>
    </row>
    <row r="34" spans="1:18">
      <c r="A34" s="595"/>
      <c r="B34" s="598"/>
      <c r="C34" s="599"/>
      <c r="D34" s="308"/>
      <c r="E34" s="440"/>
      <c r="F34" s="443" t="s">
        <v>1454</v>
      </c>
      <c r="G34" s="441"/>
      <c r="H34" s="442"/>
      <c r="I34" s="442"/>
      <c r="J34" s="1314" t="e">
        <f>SUBTOTAL(9,J35:J44)</f>
        <v>#N/A</v>
      </c>
      <c r="M34" s="468"/>
    </row>
    <row r="35" spans="1:18">
      <c r="A35" s="595"/>
      <c r="B35" s="598"/>
      <c r="C35" s="599"/>
      <c r="D35" s="308"/>
      <c r="E35" s="440">
        <v>41081</v>
      </c>
      <c r="F35" s="456" t="s">
        <v>1455</v>
      </c>
      <c r="G35" s="477" t="s">
        <v>1435</v>
      </c>
      <c r="H35" s="476">
        <f t="shared" ref="H35:H44" si="8">M35*$L$4</f>
        <v>301590</v>
      </c>
      <c r="I35" s="476">
        <f>VLOOKUP(E35,'DER MG'!$D$5:$I$84,6,0)</f>
        <v>1.45</v>
      </c>
      <c r="J35" s="476">
        <f t="shared" ref="J35:J44" si="9">H35*I35</f>
        <v>437305.5</v>
      </c>
      <c r="M35" s="306">
        <v>150795</v>
      </c>
    </row>
    <row r="36" spans="1:18" ht="33.75">
      <c r="A36" s="595"/>
      <c r="B36" s="598"/>
      <c r="C36" s="599"/>
      <c r="D36" s="308"/>
      <c r="E36" s="440">
        <v>43859</v>
      </c>
      <c r="F36" s="456" t="s">
        <v>1456</v>
      </c>
      <c r="G36" s="477" t="s">
        <v>413</v>
      </c>
      <c r="H36" s="476">
        <f t="shared" si="8"/>
        <v>90477</v>
      </c>
      <c r="I36" s="476">
        <f>VLOOKUP(E36,'DER MG'!$D$5:$I$84,6,0)</f>
        <v>255.57</v>
      </c>
      <c r="J36" s="476">
        <f t="shared" si="9"/>
        <v>23123206.890000001</v>
      </c>
      <c r="K36" s="306">
        <v>101.7</v>
      </c>
      <c r="M36" s="306">
        <v>45238.5</v>
      </c>
    </row>
    <row r="37" spans="1:18" ht="22.5">
      <c r="A37" s="595"/>
      <c r="B37" s="598"/>
      <c r="C37" s="599"/>
      <c r="D37" s="308"/>
      <c r="E37" s="440">
        <v>41164</v>
      </c>
      <c r="F37" s="456" t="s">
        <v>1457</v>
      </c>
      <c r="G37" s="477" t="s">
        <v>1435</v>
      </c>
      <c r="H37" s="476">
        <f t="shared" si="8"/>
        <v>301590</v>
      </c>
      <c r="I37" s="476">
        <f>VLOOKUP(E37,'DER MG'!$D$5:$I$84,6,0)</f>
        <v>0.5</v>
      </c>
      <c r="J37" s="476">
        <f t="shared" si="9"/>
        <v>150795</v>
      </c>
      <c r="K37" s="306">
        <v>0.25</v>
      </c>
      <c r="M37" s="306">
        <v>150795</v>
      </c>
    </row>
    <row r="38" spans="1:18" ht="22.5">
      <c r="A38" s="595"/>
      <c r="B38" s="598"/>
      <c r="C38" s="599"/>
      <c r="D38" s="308"/>
      <c r="E38" s="440">
        <v>41186</v>
      </c>
      <c r="F38" s="456" t="s">
        <v>1458</v>
      </c>
      <c r="G38" s="477" t="s">
        <v>413</v>
      </c>
      <c r="H38" s="476">
        <f t="shared" si="8"/>
        <v>8616</v>
      </c>
      <c r="I38" s="476" t="e">
        <f>VLOOKUP(E38,'DER MG'!$D$5:$I$84,6,0)</f>
        <v>#N/A</v>
      </c>
      <c r="J38" s="476" t="e">
        <f t="shared" si="9"/>
        <v>#N/A</v>
      </c>
      <c r="K38" s="306">
        <v>209.2</v>
      </c>
      <c r="M38" s="306">
        <v>4308</v>
      </c>
    </row>
    <row r="39" spans="1:18">
      <c r="A39" s="595"/>
      <c r="B39" s="598"/>
      <c r="C39" s="599"/>
      <c r="D39" s="308"/>
      <c r="E39" s="472">
        <v>41368</v>
      </c>
      <c r="F39" s="473" t="s">
        <v>1459</v>
      </c>
      <c r="G39" s="474" t="s">
        <v>1460</v>
      </c>
      <c r="H39" s="476">
        <f t="shared" si="8"/>
        <v>8616</v>
      </c>
      <c r="I39" s="476">
        <f>VLOOKUP(E39,'DER MG'!$D$5:$I$84,6,0)</f>
        <v>1.59</v>
      </c>
      <c r="J39" s="476">
        <f t="shared" si="9"/>
        <v>13699.44</v>
      </c>
      <c r="M39" s="306">
        <v>4308</v>
      </c>
    </row>
    <row r="40" spans="1:18" ht="22.5">
      <c r="A40" s="595"/>
      <c r="B40" s="598"/>
      <c r="C40" s="599"/>
      <c r="D40" s="308"/>
      <c r="E40" s="440">
        <v>41166</v>
      </c>
      <c r="F40" s="456" t="s">
        <v>1461</v>
      </c>
      <c r="G40" s="477" t="s">
        <v>1435</v>
      </c>
      <c r="H40" s="476">
        <f t="shared" si="8"/>
        <v>603180</v>
      </c>
      <c r="I40" s="476">
        <f>VLOOKUP(E40,'DER MG'!$D$5:$I$84,6,0)</f>
        <v>0.34</v>
      </c>
      <c r="J40" s="476">
        <f t="shared" si="9"/>
        <v>205081.2</v>
      </c>
      <c r="K40" s="306">
        <v>0.17</v>
      </c>
      <c r="M40" s="306">
        <v>301590</v>
      </c>
    </row>
    <row r="41" spans="1:18" ht="22.5">
      <c r="A41" s="595"/>
      <c r="B41" s="598"/>
      <c r="C41" s="599"/>
      <c r="D41" s="308"/>
      <c r="E41" s="440">
        <v>40638</v>
      </c>
      <c r="F41" s="456" t="s">
        <v>1446</v>
      </c>
      <c r="G41" s="477" t="s">
        <v>416</v>
      </c>
      <c r="H41" s="476">
        <f t="shared" si="8"/>
        <v>3690</v>
      </c>
      <c r="I41" s="476">
        <f>VLOOKUP(E41,'DER MG'!$D$5:$I$84,6,0)</f>
        <v>73.89</v>
      </c>
      <c r="J41" s="476">
        <f t="shared" si="9"/>
        <v>272654.09999999998</v>
      </c>
      <c r="M41" s="306">
        <v>1845</v>
      </c>
    </row>
    <row r="42" spans="1:18" ht="22.5">
      <c r="A42" s="595"/>
      <c r="B42" s="598"/>
      <c r="C42" s="599"/>
      <c r="D42" s="308"/>
      <c r="E42" s="440">
        <v>40654</v>
      </c>
      <c r="F42" s="456" t="s">
        <v>1447</v>
      </c>
      <c r="G42" s="477" t="s">
        <v>416</v>
      </c>
      <c r="H42" s="476">
        <f t="shared" si="8"/>
        <v>3690</v>
      </c>
      <c r="I42" s="476">
        <f>VLOOKUP(E42,'DER MG'!$D$5:$I$84,6,0)</f>
        <v>79.680000000000007</v>
      </c>
      <c r="J42" s="476">
        <f t="shared" si="9"/>
        <v>294019.20000000001</v>
      </c>
      <c r="M42" s="306">
        <v>1845</v>
      </c>
      <c r="R42" s="377"/>
    </row>
    <row r="43" spans="1:18" ht="33.75">
      <c r="A43" s="595"/>
      <c r="B43" s="598"/>
      <c r="C43" s="599"/>
      <c r="D43" s="308"/>
      <c r="E43" s="440">
        <v>41093</v>
      </c>
      <c r="F43" s="456" t="s">
        <v>1462</v>
      </c>
      <c r="G43" s="477" t="s">
        <v>413</v>
      </c>
      <c r="H43" s="476">
        <f t="shared" si="8"/>
        <v>32737.5</v>
      </c>
      <c r="I43" s="476">
        <f>VLOOKUP(E43,'DER MG'!$D$5:$I$84,6,0)</f>
        <v>20.48</v>
      </c>
      <c r="J43" s="476">
        <f t="shared" si="9"/>
        <v>670464</v>
      </c>
      <c r="K43" s="306">
        <v>9.75</v>
      </c>
      <c r="M43" s="306">
        <v>16368.75</v>
      </c>
    </row>
    <row r="44" spans="1:18" ht="22.5">
      <c r="A44" s="595"/>
      <c r="B44" s="598"/>
      <c r="C44" s="599"/>
      <c r="D44" s="308"/>
      <c r="E44" s="440">
        <v>41633</v>
      </c>
      <c r="F44" s="456" t="s">
        <v>1463</v>
      </c>
      <c r="G44" s="477" t="s">
        <v>413</v>
      </c>
      <c r="H44" s="476">
        <f t="shared" si="8"/>
        <v>6547.5</v>
      </c>
      <c r="I44" s="476">
        <f>VLOOKUP(E44,'DER MG'!$D$5:$I$84,6,0)</f>
        <v>840.19</v>
      </c>
      <c r="J44" s="476">
        <f t="shared" si="9"/>
        <v>5501144.0250000004</v>
      </c>
      <c r="K44" s="306">
        <v>391.79</v>
      </c>
      <c r="M44" s="306">
        <v>3273.75</v>
      </c>
    </row>
    <row r="45" spans="1:18">
      <c r="A45" s="595"/>
      <c r="B45" s="598"/>
      <c r="C45" s="599"/>
      <c r="D45" s="308"/>
      <c r="E45" s="440"/>
      <c r="F45" s="443"/>
      <c r="G45" s="444"/>
      <c r="H45" s="442"/>
      <c r="I45" s="442"/>
      <c r="J45" s="442"/>
    </row>
    <row r="46" spans="1:18">
      <c r="A46" s="595"/>
      <c r="B46" s="598"/>
      <c r="C46" s="599"/>
      <c r="D46" s="308"/>
      <c r="E46" s="440"/>
      <c r="F46" s="443" t="s">
        <v>1464</v>
      </c>
      <c r="G46" s="444"/>
      <c r="H46" s="442"/>
      <c r="I46" s="442"/>
      <c r="J46" s="1314" t="e">
        <f>SUBTOTAL(9,J47:J54)</f>
        <v>#N/A</v>
      </c>
    </row>
    <row r="47" spans="1:18">
      <c r="A47" s="595"/>
      <c r="B47" s="598"/>
      <c r="C47" s="599"/>
      <c r="D47" s="308"/>
      <c r="E47" s="440"/>
      <c r="F47" s="1310" t="s">
        <v>317</v>
      </c>
      <c r="G47" s="441"/>
      <c r="H47" s="442"/>
      <c r="I47" s="442"/>
      <c r="J47" s="442"/>
    </row>
    <row r="48" spans="1:18">
      <c r="A48" s="595"/>
      <c r="B48" s="598"/>
      <c r="C48" s="599"/>
      <c r="D48" s="308"/>
      <c r="E48" s="525" t="s">
        <v>1465</v>
      </c>
      <c r="F48" s="456" t="s">
        <v>1466</v>
      </c>
      <c r="G48" s="477" t="s">
        <v>1435</v>
      </c>
      <c r="H48" s="476">
        <f t="shared" ref="H48:H49" si="10">M48*$L$4</f>
        <v>1728</v>
      </c>
      <c r="I48" s="483" t="e">
        <f>VLOOKUP(E48,'DER MG'!$D$5:$I$84,6,0)</f>
        <v>#N/A</v>
      </c>
      <c r="J48" s="476" t="e">
        <f t="shared" ref="J48:J49" si="11">H48*I48</f>
        <v>#N/A</v>
      </c>
      <c r="K48" s="306">
        <v>34.869999999999997</v>
      </c>
      <c r="M48" s="306">
        <v>864</v>
      </c>
      <c r="P48" s="445"/>
    </row>
    <row r="49" spans="1:15" ht="22.5">
      <c r="A49" s="595"/>
      <c r="B49" s="598"/>
      <c r="C49" s="599"/>
      <c r="D49" s="308"/>
      <c r="E49" s="525">
        <v>41230</v>
      </c>
      <c r="F49" s="456" t="s">
        <v>1467</v>
      </c>
      <c r="G49" s="477" t="s">
        <v>1468</v>
      </c>
      <c r="H49" s="476">
        <f t="shared" si="10"/>
        <v>2178</v>
      </c>
      <c r="I49" s="476">
        <f>VLOOKUP(E49,'DER MG'!$D$5:$I$84,6,0)</f>
        <v>30</v>
      </c>
      <c r="J49" s="476">
        <f t="shared" si="11"/>
        <v>65340</v>
      </c>
      <c r="K49" s="306">
        <v>14.18</v>
      </c>
      <c r="M49" s="306">
        <v>1089</v>
      </c>
      <c r="O49" s="306">
        <v>864</v>
      </c>
    </row>
    <row r="50" spans="1:15">
      <c r="A50" s="595"/>
      <c r="B50" s="598"/>
      <c r="C50" s="599"/>
      <c r="D50" s="308"/>
      <c r="E50" s="525"/>
      <c r="F50" s="456" t="s">
        <v>424</v>
      </c>
      <c r="G50" s="477"/>
      <c r="H50" s="476"/>
      <c r="I50" s="476"/>
      <c r="J50" s="476"/>
      <c r="O50" s="306">
        <v>1089</v>
      </c>
    </row>
    <row r="51" spans="1:15" ht="33.75">
      <c r="A51" s="595"/>
      <c r="B51" s="598"/>
      <c r="C51" s="599"/>
      <c r="D51" s="308"/>
      <c r="E51" s="525">
        <v>42883</v>
      </c>
      <c r="F51" s="456" t="s">
        <v>1469</v>
      </c>
      <c r="G51" s="477" t="s">
        <v>1435</v>
      </c>
      <c r="H51" s="476">
        <f t="shared" ref="H51:H53" si="12">M51*$L$4</f>
        <v>81.44</v>
      </c>
      <c r="I51" s="476">
        <f>VLOOKUP(E51,'DER MG'!$D$5:$I$84,6,0)</f>
        <v>554.65</v>
      </c>
      <c r="J51" s="476">
        <f t="shared" ref="J51:J53" si="13">H51*I51</f>
        <v>45170.695999999996</v>
      </c>
      <c r="K51" s="306">
        <v>255.69</v>
      </c>
      <c r="M51" s="306">
        <v>40.72</v>
      </c>
    </row>
    <row r="52" spans="1:15" ht="33.75">
      <c r="A52" s="595"/>
      <c r="B52" s="598"/>
      <c r="C52" s="599"/>
      <c r="D52" s="308"/>
      <c r="E52" s="525">
        <v>42884</v>
      </c>
      <c r="F52" s="456" t="s">
        <v>1470</v>
      </c>
      <c r="G52" s="477" t="s">
        <v>1435</v>
      </c>
      <c r="H52" s="476">
        <f t="shared" si="12"/>
        <v>432</v>
      </c>
      <c r="I52" s="476">
        <f>VLOOKUP(E52,'DER MG'!$D$5:$I$84,6,0)</f>
        <v>554.65</v>
      </c>
      <c r="J52" s="476">
        <f t="shared" si="13"/>
        <v>239608.8</v>
      </c>
      <c r="K52" s="306">
        <v>255.69</v>
      </c>
      <c r="M52" s="306">
        <v>216</v>
      </c>
      <c r="O52" s="306">
        <v>40.72</v>
      </c>
    </row>
    <row r="53" spans="1:15">
      <c r="A53" s="595"/>
      <c r="B53" s="598"/>
      <c r="C53" s="599"/>
      <c r="D53" s="308"/>
      <c r="E53" s="525" t="s">
        <v>1471</v>
      </c>
      <c r="F53" s="456" t="s">
        <v>1472</v>
      </c>
      <c r="G53" s="440" t="s">
        <v>384</v>
      </c>
      <c r="H53" s="476">
        <f t="shared" si="12"/>
        <v>4</v>
      </c>
      <c r="I53" s="476">
        <f>VLOOKUP(E53,'DER MG'!$D$5:$I$84,6,0)</f>
        <v>26552.13</v>
      </c>
      <c r="J53" s="476">
        <f t="shared" si="13"/>
        <v>106208.52</v>
      </c>
      <c r="M53" s="306">
        <v>2</v>
      </c>
      <c r="O53" s="306">
        <v>216</v>
      </c>
    </row>
    <row r="54" spans="1:15">
      <c r="A54" s="595"/>
      <c r="B54" s="598"/>
      <c r="C54" s="599"/>
      <c r="D54" s="308"/>
      <c r="E54" s="440"/>
      <c r="F54" s="1310"/>
      <c r="G54" s="444"/>
      <c r="H54" s="442"/>
      <c r="I54" s="442"/>
      <c r="J54" s="442"/>
      <c r="O54" s="306">
        <v>10.5</v>
      </c>
    </row>
    <row r="55" spans="1:15">
      <c r="A55" s="595"/>
      <c r="B55" s="598"/>
      <c r="C55" s="599"/>
      <c r="D55" s="308"/>
      <c r="E55" s="1317">
        <v>40354</v>
      </c>
      <c r="F55" s="1318" t="s">
        <v>1473</v>
      </c>
      <c r="G55" s="441"/>
      <c r="H55" s="442"/>
      <c r="I55" s="442"/>
      <c r="J55" s="1314">
        <f>SUBTOTAL(9,J56)</f>
        <v>25339.32</v>
      </c>
    </row>
    <row r="56" spans="1:15" ht="25.5">
      <c r="A56" s="595"/>
      <c r="B56" s="598"/>
      <c r="C56" s="599"/>
      <c r="D56" s="308"/>
      <c r="E56" s="440">
        <v>41402</v>
      </c>
      <c r="F56" s="1310" t="s">
        <v>1474</v>
      </c>
      <c r="G56" s="477" t="s">
        <v>1435</v>
      </c>
      <c r="H56" s="476">
        <f>M56*$L$4</f>
        <v>1062</v>
      </c>
      <c r="I56" s="476">
        <f>VLOOKUP(E56,'DER MG'!$D$5:$I$84,6,0)</f>
        <v>23.86</v>
      </c>
      <c r="J56" s="476">
        <f t="shared" ref="J56" si="14">H56*I56</f>
        <v>25339.32</v>
      </c>
      <c r="K56" s="306">
        <v>6.07</v>
      </c>
      <c r="M56" s="306">
        <v>531</v>
      </c>
    </row>
    <row r="57" spans="1:15">
      <c r="A57" s="595"/>
      <c r="B57" s="598"/>
      <c r="C57" s="599"/>
      <c r="D57" s="308"/>
      <c r="E57" s="440"/>
      <c r="F57" s="443"/>
      <c r="G57" s="444"/>
      <c r="H57" s="442"/>
      <c r="I57" s="442"/>
      <c r="J57" s="442"/>
    </row>
    <row r="58" spans="1:15">
      <c r="A58" s="595"/>
      <c r="B58" s="598"/>
      <c r="C58" s="599"/>
      <c r="D58" s="308"/>
      <c r="E58" s="440"/>
      <c r="F58" s="1318" t="s">
        <v>1475</v>
      </c>
      <c r="G58" s="444"/>
      <c r="H58" s="442"/>
      <c r="I58" s="442"/>
      <c r="J58" s="1314">
        <f>SUBTOTAL(9,J59)</f>
        <v>3500000</v>
      </c>
    </row>
    <row r="59" spans="1:15">
      <c r="A59" s="595"/>
      <c r="B59" s="598"/>
      <c r="C59" s="599"/>
      <c r="D59" s="308"/>
      <c r="E59" s="525"/>
      <c r="F59" s="456" t="s">
        <v>1476</v>
      </c>
      <c r="G59" s="440" t="s">
        <v>1477</v>
      </c>
      <c r="H59" s="476">
        <v>1</v>
      </c>
      <c r="I59" s="483">
        <v>4000000</v>
      </c>
      <c r="J59" s="476">
        <v>3500000</v>
      </c>
      <c r="M59" s="306">
        <v>1</v>
      </c>
    </row>
    <row r="60" spans="1:15">
      <c r="A60" s="595"/>
      <c r="B60" s="598"/>
      <c r="C60" s="599"/>
      <c r="D60" s="308"/>
      <c r="E60" s="440"/>
      <c r="F60" s="443"/>
      <c r="G60" s="444"/>
      <c r="H60" s="442"/>
      <c r="I60" s="442"/>
      <c r="J60" s="442"/>
    </row>
    <row r="61" spans="1:15">
      <c r="A61" s="595"/>
      <c r="B61" s="598"/>
      <c r="C61" s="599"/>
      <c r="D61" s="308"/>
      <c r="E61" s="440"/>
      <c r="F61" s="443" t="s">
        <v>1478</v>
      </c>
      <c r="G61" s="444"/>
      <c r="H61" s="442"/>
      <c r="I61" s="442"/>
      <c r="J61" s="1314" t="e">
        <f>SUBTOTAL(9,J62:J66)</f>
        <v>#N/A</v>
      </c>
    </row>
    <row r="62" spans="1:15" ht="22.5">
      <c r="A62" s="595"/>
      <c r="B62" s="598"/>
      <c r="C62" s="599"/>
      <c r="D62" s="308"/>
      <c r="E62" s="440">
        <v>40272</v>
      </c>
      <c r="F62" s="456" t="s">
        <v>1479</v>
      </c>
      <c r="G62" s="440" t="s">
        <v>416</v>
      </c>
      <c r="H62" s="476">
        <f t="shared" ref="H62:H65" si="15">M62*$L$4</f>
        <v>918</v>
      </c>
      <c r="I62" s="476">
        <f>VLOOKUP(E62,'DER MG'!$D$5:$I$84,6,0)</f>
        <v>1362.29</v>
      </c>
      <c r="J62" s="476">
        <f t="shared" ref="J62:J65" si="16">H62*I62</f>
        <v>1250582.22</v>
      </c>
      <c r="K62" s="306">
        <v>587.05999999999995</v>
      </c>
      <c r="M62" s="306">
        <v>459</v>
      </c>
    </row>
    <row r="63" spans="1:15" ht="22.5">
      <c r="A63" s="595"/>
      <c r="B63" s="598"/>
      <c r="C63" s="599"/>
      <c r="D63" s="308"/>
      <c r="E63" s="440">
        <v>40271</v>
      </c>
      <c r="F63" s="456" t="s">
        <v>1480</v>
      </c>
      <c r="G63" s="440" t="s">
        <v>416</v>
      </c>
      <c r="H63" s="476">
        <f t="shared" si="15"/>
        <v>324</v>
      </c>
      <c r="I63" s="476">
        <f>VLOOKUP(E63,'DER MG'!$D$5:$I$84,6,0)</f>
        <v>947.15</v>
      </c>
      <c r="J63" s="476">
        <f t="shared" si="16"/>
        <v>306876.59999999998</v>
      </c>
      <c r="K63" s="306">
        <v>390.2</v>
      </c>
      <c r="M63" s="306">
        <v>162</v>
      </c>
    </row>
    <row r="64" spans="1:15" ht="22.5">
      <c r="A64" s="595"/>
      <c r="B64" s="598"/>
      <c r="C64" s="599"/>
      <c r="D64" s="308"/>
      <c r="E64" s="440">
        <v>40270</v>
      </c>
      <c r="F64" s="456" t="s">
        <v>1481</v>
      </c>
      <c r="G64" s="440" t="s">
        <v>416</v>
      </c>
      <c r="H64" s="476">
        <f t="shared" si="15"/>
        <v>1440</v>
      </c>
      <c r="I64" s="476">
        <f>VLOOKUP(E64,'DER MG'!$D$5:$I$84,6,0)</f>
        <v>605.20000000000005</v>
      </c>
      <c r="J64" s="476">
        <f t="shared" si="16"/>
        <v>871488.00000000012</v>
      </c>
      <c r="K64" s="306">
        <v>255.74</v>
      </c>
      <c r="M64" s="306">
        <v>720</v>
      </c>
    </row>
    <row r="65" spans="1:13">
      <c r="A65" s="595"/>
      <c r="B65" s="598"/>
      <c r="C65" s="599"/>
      <c r="D65" s="308"/>
      <c r="E65" s="440" t="s">
        <v>1482</v>
      </c>
      <c r="F65" s="456" t="s">
        <v>1483</v>
      </c>
      <c r="G65" s="440" t="s">
        <v>1484</v>
      </c>
      <c r="H65" s="476">
        <f t="shared" si="15"/>
        <v>36</v>
      </c>
      <c r="I65" s="476" t="e">
        <f>VLOOKUP(E65,'DER MG'!$D$5:$I$84,6,0)</f>
        <v>#N/A</v>
      </c>
      <c r="J65" s="476" t="e">
        <f t="shared" si="16"/>
        <v>#N/A</v>
      </c>
      <c r="M65" s="306">
        <v>18</v>
      </c>
    </row>
    <row r="66" spans="1:13">
      <c r="A66" s="595"/>
      <c r="B66" s="598"/>
      <c r="C66" s="599"/>
      <c r="D66" s="308"/>
      <c r="E66" s="440"/>
      <c r="F66" s="443"/>
      <c r="G66" s="444"/>
      <c r="H66" s="442"/>
      <c r="I66" s="442"/>
      <c r="J66" s="442"/>
    </row>
    <row r="67" spans="1:13">
      <c r="A67" s="595"/>
      <c r="B67" s="598"/>
      <c r="C67" s="599"/>
      <c r="D67" s="308"/>
      <c r="E67" s="440"/>
      <c r="F67" s="443" t="s">
        <v>1485</v>
      </c>
      <c r="G67" s="444"/>
      <c r="H67" s="442"/>
      <c r="I67" s="442"/>
      <c r="J67" s="1314">
        <f>SUBTOTAL(9,J68:J68)</f>
        <v>1174572</v>
      </c>
    </row>
    <row r="68" spans="1:13">
      <c r="A68" s="595"/>
      <c r="B68" s="598"/>
      <c r="C68" s="599"/>
      <c r="D68" s="308"/>
      <c r="E68" s="440" t="s">
        <v>1486</v>
      </c>
      <c r="F68" s="456" t="s">
        <v>1487</v>
      </c>
      <c r="G68" s="440" t="s">
        <v>416</v>
      </c>
      <c r="H68" s="476">
        <f>M68*$L$4</f>
        <v>1200</v>
      </c>
      <c r="I68" s="476">
        <f>VLOOKUP(E68,'DER MG'!$D$5:$I$84,6,0)</f>
        <v>978.81</v>
      </c>
      <c r="J68" s="476">
        <f t="shared" ref="J68" si="17">H68*I68</f>
        <v>1174572</v>
      </c>
      <c r="M68" s="306">
        <v>600</v>
      </c>
    </row>
    <row r="69" spans="1:13">
      <c r="A69" s="595"/>
      <c r="B69" s="598"/>
      <c r="C69" s="599"/>
      <c r="D69" s="308"/>
      <c r="E69" s="1319"/>
      <c r="F69" s="1320" t="s">
        <v>1488</v>
      </c>
      <c r="G69" s="1309">
        <v>1</v>
      </c>
      <c r="H69" s="1304" t="s">
        <v>993</v>
      </c>
      <c r="I69" s="1306"/>
      <c r="J69" s="1306" t="e">
        <f>J70/J8</f>
        <v>#N/A</v>
      </c>
    </row>
    <row r="70" spans="1:13">
      <c r="A70" s="595"/>
      <c r="B70" s="598"/>
      <c r="C70" s="599"/>
      <c r="D70" s="308"/>
      <c r="E70" s="1319"/>
      <c r="F70" s="1320" t="s">
        <v>1488</v>
      </c>
      <c r="G70" s="1321" t="e">
        <f>J8</f>
        <v>#REF!</v>
      </c>
      <c r="H70" s="1304" t="s">
        <v>1489</v>
      </c>
      <c r="I70" s="1322"/>
      <c r="J70" s="1306" t="e">
        <f>(J10+J15+J21+J27+J34+J46+J55+J58+J61+J67)*1.15*1.25</f>
        <v>#N/A</v>
      </c>
    </row>
    <row r="71" spans="1:13" hidden="1">
      <c r="A71" s="595"/>
      <c r="B71" s="598"/>
      <c r="C71" s="599"/>
      <c r="D71" s="308"/>
      <c r="E71" s="1323"/>
      <c r="F71" s="1324"/>
      <c r="G71" s="1325"/>
      <c r="H71" s="1326"/>
      <c r="I71" s="1326"/>
      <c r="J71" s="1327"/>
    </row>
    <row r="72" spans="1:13" hidden="1">
      <c r="A72" s="595"/>
      <c r="B72" s="598"/>
      <c r="C72" s="599"/>
      <c r="D72" s="308"/>
      <c r="E72" s="1328"/>
      <c r="F72" s="1329" t="s">
        <v>1427</v>
      </c>
      <c r="G72" s="1330"/>
      <c r="H72" s="1331"/>
      <c r="I72" s="1332" t="s">
        <v>1367</v>
      </c>
      <c r="J72" s="1333">
        <v>0</v>
      </c>
    </row>
    <row r="73" spans="1:13" ht="20.100000000000001" hidden="1" customHeight="1">
      <c r="A73" s="595"/>
      <c r="B73" s="598"/>
      <c r="C73" s="599"/>
      <c r="D73" s="308"/>
      <c r="E73" s="1328"/>
      <c r="F73" s="1329" t="s">
        <v>1490</v>
      </c>
      <c r="G73" s="1330" t="s">
        <v>1430</v>
      </c>
      <c r="H73" s="1331" t="s">
        <v>667</v>
      </c>
      <c r="I73" s="1332" t="s">
        <v>1431</v>
      </c>
      <c r="J73" s="1332" t="s">
        <v>1432</v>
      </c>
    </row>
    <row r="74" spans="1:13" hidden="1">
      <c r="A74" s="595"/>
      <c r="B74" s="598"/>
      <c r="C74" s="599"/>
      <c r="D74" s="308"/>
      <c r="E74" s="440"/>
      <c r="F74" s="1310" t="s">
        <v>1491</v>
      </c>
      <c r="G74" s="1311"/>
      <c r="H74" s="1312"/>
      <c r="I74" s="1313"/>
      <c r="J74" s="1314">
        <f>SUBTOTAL(9,J75:J78)</f>
        <v>0</v>
      </c>
    </row>
    <row r="75" spans="1:13" ht="14.25" hidden="1">
      <c r="A75" s="595"/>
      <c r="B75" s="598"/>
      <c r="C75" s="599"/>
      <c r="D75" s="308"/>
      <c r="E75" s="440"/>
      <c r="F75" s="1310" t="s">
        <v>1492</v>
      </c>
      <c r="G75" s="441" t="s">
        <v>1493</v>
      </c>
      <c r="H75" s="442">
        <v>12631</v>
      </c>
      <c r="I75" s="442"/>
      <c r="J75" s="442">
        <f>H75*I75</f>
        <v>0</v>
      </c>
    </row>
    <row r="76" spans="1:13" ht="14.25" hidden="1">
      <c r="A76" s="595"/>
      <c r="B76" s="598"/>
      <c r="C76" s="599"/>
      <c r="D76" s="308"/>
      <c r="E76" s="440"/>
      <c r="F76" s="443" t="s">
        <v>1494</v>
      </c>
      <c r="G76" s="441" t="s">
        <v>1493</v>
      </c>
      <c r="H76" s="442">
        <v>6315.5</v>
      </c>
      <c r="I76" s="442"/>
      <c r="J76" s="442">
        <f t="shared" ref="J76:J77" si="18">H76*I76</f>
        <v>0</v>
      </c>
    </row>
    <row r="77" spans="1:13" ht="14.25" hidden="1">
      <c r="A77" s="595"/>
      <c r="B77" s="598"/>
      <c r="C77" s="599"/>
      <c r="D77" s="308"/>
      <c r="E77" s="440"/>
      <c r="F77" s="443" t="s">
        <v>1495</v>
      </c>
      <c r="G77" s="441" t="s">
        <v>1493</v>
      </c>
      <c r="H77" s="442">
        <v>6315.5</v>
      </c>
      <c r="I77" s="442"/>
      <c r="J77" s="442">
        <f t="shared" si="18"/>
        <v>0</v>
      </c>
    </row>
    <row r="78" spans="1:13" hidden="1">
      <c r="A78" s="595"/>
      <c r="B78" s="598"/>
      <c r="C78" s="599"/>
      <c r="D78" s="308"/>
      <c r="E78" s="440"/>
      <c r="F78" s="443"/>
      <c r="G78" s="444"/>
      <c r="H78" s="442"/>
      <c r="I78" s="442"/>
      <c r="J78" s="442"/>
    </row>
    <row r="79" spans="1:13" hidden="1">
      <c r="A79" s="595"/>
      <c r="B79" s="598"/>
      <c r="C79" s="599"/>
      <c r="D79" s="308"/>
      <c r="E79" s="440"/>
      <c r="F79" s="443" t="s">
        <v>1496</v>
      </c>
      <c r="G79" s="444"/>
      <c r="H79" s="442"/>
      <c r="I79" s="442"/>
      <c r="J79" s="1314">
        <f>SUBTOTAL(9,J80:J89)</f>
        <v>0</v>
      </c>
    </row>
    <row r="80" spans="1:13" ht="14.25" hidden="1">
      <c r="A80" s="595"/>
      <c r="B80" s="598"/>
      <c r="C80" s="599"/>
      <c r="D80" s="308"/>
      <c r="E80" s="440"/>
      <c r="F80" s="443" t="s">
        <v>1497</v>
      </c>
      <c r="G80" s="444" t="s">
        <v>1498</v>
      </c>
      <c r="H80" s="442">
        <v>100.16</v>
      </c>
      <c r="I80" s="442"/>
      <c r="J80" s="442"/>
    </row>
    <row r="81" spans="1:10" ht="14.25" hidden="1">
      <c r="A81" s="595"/>
      <c r="B81" s="598"/>
      <c r="C81" s="599"/>
      <c r="D81" s="308"/>
      <c r="E81" s="440"/>
      <c r="F81" s="443" t="s">
        <v>1499</v>
      </c>
      <c r="G81" s="444" t="s">
        <v>1498</v>
      </c>
      <c r="H81" s="442">
        <v>51.36</v>
      </c>
      <c r="I81" s="442"/>
      <c r="J81" s="442"/>
    </row>
    <row r="82" spans="1:10" ht="14.25" hidden="1">
      <c r="A82" s="595"/>
      <c r="B82" s="598"/>
      <c r="C82" s="599"/>
      <c r="D82" s="308"/>
      <c r="E82" s="440"/>
      <c r="F82" s="443" t="s">
        <v>1500</v>
      </c>
      <c r="G82" s="444" t="s">
        <v>1498</v>
      </c>
      <c r="H82" s="442">
        <v>1290</v>
      </c>
      <c r="I82" s="442"/>
      <c r="J82" s="442"/>
    </row>
    <row r="83" spans="1:10" ht="14.25" hidden="1">
      <c r="A83" s="595"/>
      <c r="B83" s="598"/>
      <c r="C83" s="599"/>
      <c r="D83" s="308"/>
      <c r="E83" s="440"/>
      <c r="F83" s="443" t="s">
        <v>1501</v>
      </c>
      <c r="G83" s="444" t="s">
        <v>1498</v>
      </c>
      <c r="H83" s="442">
        <v>55.065964799999996</v>
      </c>
      <c r="I83" s="442"/>
      <c r="J83" s="442"/>
    </row>
    <row r="84" spans="1:10" ht="14.25" hidden="1">
      <c r="A84" s="595"/>
      <c r="B84" s="598"/>
      <c r="C84" s="599"/>
      <c r="D84" s="308"/>
      <c r="E84" s="440"/>
      <c r="F84" s="443" t="s">
        <v>1502</v>
      </c>
      <c r="G84" s="444" t="s">
        <v>1498</v>
      </c>
      <c r="H84" s="442">
        <v>0</v>
      </c>
      <c r="I84" s="442"/>
      <c r="J84" s="442"/>
    </row>
    <row r="85" spans="1:10" ht="14.25" hidden="1">
      <c r="A85" s="595"/>
      <c r="B85" s="598"/>
      <c r="C85" s="599"/>
      <c r="D85" s="308"/>
      <c r="E85" s="440"/>
      <c r="F85" s="1310" t="s">
        <v>1503</v>
      </c>
      <c r="G85" s="444" t="s">
        <v>1498</v>
      </c>
      <c r="H85" s="442">
        <f>SUM(H80:H84)</f>
        <v>1496.5859648000001</v>
      </c>
      <c r="I85" s="442"/>
      <c r="J85" s="442">
        <f t="shared" ref="J85:J88" si="19">H85*I85</f>
        <v>0</v>
      </c>
    </row>
    <row r="86" spans="1:10" ht="14.25" hidden="1">
      <c r="A86" s="595"/>
      <c r="B86" s="598"/>
      <c r="C86" s="599"/>
      <c r="D86" s="308"/>
      <c r="E86" s="440"/>
      <c r="F86" s="443" t="s">
        <v>1504</v>
      </c>
      <c r="G86" s="444" t="s">
        <v>1498</v>
      </c>
      <c r="H86" s="442">
        <v>49.4</v>
      </c>
      <c r="I86" s="442"/>
      <c r="J86" s="442">
        <f t="shared" si="19"/>
        <v>0</v>
      </c>
    </row>
    <row r="87" spans="1:10" ht="14.25" hidden="1">
      <c r="A87" s="595"/>
      <c r="B87" s="598"/>
      <c r="C87" s="599"/>
      <c r="D87" s="308"/>
      <c r="E87" s="440"/>
      <c r="F87" s="443" t="s">
        <v>1505</v>
      </c>
      <c r="G87" s="441" t="s">
        <v>1493</v>
      </c>
      <c r="H87" s="442">
        <v>601.09019049999995</v>
      </c>
      <c r="I87" s="442"/>
      <c r="J87" s="442">
        <f t="shared" si="19"/>
        <v>0</v>
      </c>
    </row>
    <row r="88" spans="1:10" hidden="1">
      <c r="A88" s="595"/>
      <c r="B88" s="598"/>
      <c r="C88" s="599"/>
      <c r="D88" s="308"/>
      <c r="E88" s="440"/>
      <c r="F88" s="443" t="s">
        <v>1506</v>
      </c>
      <c r="G88" s="444" t="s">
        <v>1442</v>
      </c>
      <c r="H88" s="442">
        <v>10446.59648</v>
      </c>
      <c r="I88" s="442"/>
      <c r="J88" s="442">
        <f t="shared" si="19"/>
        <v>0</v>
      </c>
    </row>
    <row r="89" spans="1:10" hidden="1">
      <c r="A89" s="595"/>
      <c r="B89" s="598"/>
      <c r="C89" s="599"/>
      <c r="D89" s="308"/>
      <c r="E89" s="440"/>
      <c r="F89" s="443"/>
      <c r="G89" s="444"/>
      <c r="H89" s="442"/>
      <c r="I89" s="442"/>
      <c r="J89" s="442"/>
    </row>
    <row r="90" spans="1:10" hidden="1">
      <c r="A90" s="595"/>
      <c r="B90" s="598"/>
      <c r="C90" s="599"/>
      <c r="D90" s="308"/>
      <c r="E90" s="440"/>
      <c r="F90" s="443" t="s">
        <v>1507</v>
      </c>
      <c r="G90" s="444"/>
      <c r="H90" s="442"/>
      <c r="I90" s="442"/>
      <c r="J90" s="1314">
        <f>SUBTOTAL(9,J91:J97)</f>
        <v>0</v>
      </c>
    </row>
    <row r="91" spans="1:10" ht="14.25" hidden="1">
      <c r="A91" s="595"/>
      <c r="B91" s="598"/>
      <c r="C91" s="599"/>
      <c r="D91" s="308"/>
      <c r="E91" s="440"/>
      <c r="F91" s="443" t="s">
        <v>1508</v>
      </c>
      <c r="G91" s="441" t="s">
        <v>1493</v>
      </c>
      <c r="H91" s="442">
        <v>150</v>
      </c>
      <c r="I91" s="442"/>
      <c r="J91" s="442">
        <f t="shared" ref="J91:J96" si="20">H91*I91</f>
        <v>0</v>
      </c>
    </row>
    <row r="92" spans="1:10" ht="14.25" hidden="1">
      <c r="A92" s="595"/>
      <c r="B92" s="598"/>
      <c r="C92" s="599"/>
      <c r="D92" s="308"/>
      <c r="E92" s="461"/>
      <c r="F92" s="443" t="s">
        <v>1509</v>
      </c>
      <c r="G92" s="441" t="s">
        <v>1493</v>
      </c>
      <c r="H92" s="442">
        <v>800</v>
      </c>
      <c r="I92" s="442"/>
      <c r="J92" s="442">
        <f t="shared" si="20"/>
        <v>0</v>
      </c>
    </row>
    <row r="93" spans="1:10" hidden="1">
      <c r="A93" s="595"/>
      <c r="B93" s="598"/>
      <c r="C93" s="599"/>
      <c r="D93" s="308"/>
      <c r="E93" s="440"/>
      <c r="F93" s="443" t="s">
        <v>1510</v>
      </c>
      <c r="G93" s="441" t="s">
        <v>416</v>
      </c>
      <c r="H93" s="442">
        <v>108</v>
      </c>
      <c r="I93" s="442"/>
      <c r="J93" s="442">
        <f t="shared" si="20"/>
        <v>0</v>
      </c>
    </row>
    <row r="94" spans="1:10" ht="14.25" hidden="1">
      <c r="A94" s="595"/>
      <c r="B94" s="598"/>
      <c r="C94" s="599"/>
      <c r="D94" s="308"/>
      <c r="E94" s="440"/>
      <c r="F94" s="443" t="s">
        <v>1511</v>
      </c>
      <c r="G94" s="441" t="s">
        <v>1493</v>
      </c>
      <c r="H94" s="442">
        <v>43.2</v>
      </c>
      <c r="I94" s="442"/>
      <c r="J94" s="442">
        <f t="shared" si="20"/>
        <v>0</v>
      </c>
    </row>
    <row r="95" spans="1:10" ht="14.25" hidden="1">
      <c r="A95" s="595"/>
      <c r="B95" s="598"/>
      <c r="C95" s="599"/>
      <c r="D95" s="308"/>
      <c r="E95" s="440"/>
      <c r="F95" s="443" t="s">
        <v>1512</v>
      </c>
      <c r="G95" s="444" t="s">
        <v>1498</v>
      </c>
      <c r="H95" s="442">
        <v>15.600000000000001</v>
      </c>
      <c r="I95" s="442"/>
      <c r="J95" s="442">
        <f t="shared" si="20"/>
        <v>0</v>
      </c>
    </row>
    <row r="96" spans="1:10" ht="14.25" hidden="1">
      <c r="A96" s="595"/>
      <c r="B96" s="598"/>
      <c r="C96" s="599"/>
      <c r="D96" s="308"/>
      <c r="E96" s="440"/>
      <c r="F96" s="443" t="s">
        <v>1513</v>
      </c>
      <c r="G96" s="441" t="s">
        <v>1493</v>
      </c>
      <c r="H96" s="442">
        <v>27</v>
      </c>
      <c r="I96" s="442"/>
      <c r="J96" s="442">
        <f t="shared" si="20"/>
        <v>0</v>
      </c>
    </row>
    <row r="97" spans="1:10" hidden="1">
      <c r="A97" s="595"/>
      <c r="B97" s="598"/>
      <c r="C97" s="599"/>
      <c r="D97" s="308"/>
      <c r="E97" s="440"/>
      <c r="F97" s="443"/>
      <c r="G97" s="444"/>
      <c r="H97" s="442"/>
      <c r="I97" s="442"/>
      <c r="J97" s="442"/>
    </row>
    <row r="98" spans="1:10" hidden="1">
      <c r="A98" s="595"/>
      <c r="B98" s="598"/>
      <c r="C98" s="599"/>
      <c r="D98" s="308"/>
      <c r="E98" s="440"/>
      <c r="F98" s="443" t="s">
        <v>1514</v>
      </c>
      <c r="G98" s="444"/>
      <c r="H98" s="442"/>
      <c r="I98" s="442"/>
      <c r="J98" s="1314"/>
    </row>
    <row r="99" spans="1:10" ht="14.25" hidden="1">
      <c r="A99" s="595"/>
      <c r="B99" s="598"/>
      <c r="C99" s="599"/>
      <c r="D99" s="308"/>
      <c r="E99" s="440"/>
      <c r="F99" s="443" t="s">
        <v>1515</v>
      </c>
      <c r="G99" s="441" t="s">
        <v>1493</v>
      </c>
      <c r="H99" s="442">
        <v>900</v>
      </c>
      <c r="I99" s="442"/>
      <c r="J99" s="442">
        <f t="shared" ref="J99" si="21">H99*I99</f>
        <v>0</v>
      </c>
    </row>
    <row r="100" spans="1:10" hidden="1">
      <c r="A100" s="595"/>
      <c r="B100" s="598"/>
      <c r="C100" s="599"/>
      <c r="D100" s="308"/>
      <c r="E100" s="440"/>
      <c r="F100" s="443"/>
      <c r="G100" s="444"/>
      <c r="H100" s="442"/>
      <c r="I100" s="442"/>
      <c r="J100" s="442"/>
    </row>
    <row r="101" spans="1:10" hidden="1">
      <c r="A101" s="595"/>
      <c r="B101" s="598"/>
      <c r="C101" s="599"/>
      <c r="D101" s="308"/>
      <c r="E101" s="440"/>
      <c r="F101" s="443" t="s">
        <v>1516</v>
      </c>
      <c r="G101" s="441"/>
      <c r="H101" s="442"/>
      <c r="I101" s="442"/>
      <c r="J101" s="1314">
        <f>SUBTOTAL(9,J102:J108)</f>
        <v>0</v>
      </c>
    </row>
    <row r="102" spans="1:10" ht="14.25" hidden="1">
      <c r="A102" s="595"/>
      <c r="B102" s="598"/>
      <c r="C102" s="599"/>
      <c r="D102" s="308"/>
      <c r="E102" s="440"/>
      <c r="F102" s="443" t="s">
        <v>1517</v>
      </c>
      <c r="G102" s="441" t="s">
        <v>1493</v>
      </c>
      <c r="H102" s="442">
        <v>16454</v>
      </c>
      <c r="I102" s="442"/>
      <c r="J102" s="442">
        <f t="shared" ref="J102:J107" si="22">H102*I102</f>
        <v>0</v>
      </c>
    </row>
    <row r="103" spans="1:10" ht="14.25" hidden="1">
      <c r="A103" s="595"/>
      <c r="B103" s="598"/>
      <c r="C103" s="599"/>
      <c r="D103" s="308"/>
      <c r="E103" s="440"/>
      <c r="F103" s="443" t="s">
        <v>1518</v>
      </c>
      <c r="G103" s="444" t="s">
        <v>1498</v>
      </c>
      <c r="H103" s="442">
        <v>5121.3899999999994</v>
      </c>
      <c r="I103" s="442"/>
      <c r="J103" s="442">
        <f t="shared" si="22"/>
        <v>0</v>
      </c>
    </row>
    <row r="104" spans="1:10" ht="14.25" hidden="1">
      <c r="A104" s="595"/>
      <c r="B104" s="598"/>
      <c r="C104" s="599"/>
      <c r="D104" s="308"/>
      <c r="E104" s="440"/>
      <c r="F104" s="443" t="s">
        <v>1519</v>
      </c>
      <c r="G104" s="441" t="s">
        <v>1493</v>
      </c>
      <c r="H104" s="442">
        <v>15631.3</v>
      </c>
      <c r="I104" s="442"/>
      <c r="J104" s="442">
        <f t="shared" si="22"/>
        <v>0</v>
      </c>
    </row>
    <row r="105" spans="1:10" ht="14.25" hidden="1">
      <c r="A105" s="595"/>
      <c r="B105" s="598"/>
      <c r="C105" s="599"/>
      <c r="D105" s="308"/>
      <c r="E105" s="440"/>
      <c r="F105" s="443" t="s">
        <v>1520</v>
      </c>
      <c r="G105" s="444" t="s">
        <v>1498</v>
      </c>
      <c r="H105" s="442">
        <v>781.56500000000005</v>
      </c>
      <c r="I105" s="442"/>
      <c r="J105" s="442">
        <f t="shared" si="22"/>
        <v>0</v>
      </c>
    </row>
    <row r="106" spans="1:10" ht="14.25" hidden="1">
      <c r="A106" s="595"/>
      <c r="B106" s="598"/>
      <c r="C106" s="599"/>
      <c r="D106" s="308"/>
      <c r="E106" s="440"/>
      <c r="F106" s="443" t="s">
        <v>1521</v>
      </c>
      <c r="G106" s="441" t="s">
        <v>1493</v>
      </c>
      <c r="H106" s="442">
        <v>31262.6</v>
      </c>
      <c r="I106" s="442"/>
      <c r="J106" s="442">
        <f t="shared" si="22"/>
        <v>0</v>
      </c>
    </row>
    <row r="107" spans="1:10" ht="14.25" hidden="1">
      <c r="A107" s="595"/>
      <c r="B107" s="598"/>
      <c r="C107" s="599"/>
      <c r="D107" s="308"/>
      <c r="E107" s="440"/>
      <c r="F107" s="443" t="s">
        <v>1522</v>
      </c>
      <c r="G107" s="444" t="s">
        <v>1498</v>
      </c>
      <c r="H107" s="442">
        <v>781.56500000000005</v>
      </c>
      <c r="I107" s="442"/>
      <c r="J107" s="442">
        <f t="shared" si="22"/>
        <v>0</v>
      </c>
    </row>
    <row r="108" spans="1:10" hidden="1">
      <c r="A108" s="595"/>
      <c r="B108" s="598"/>
      <c r="C108" s="599"/>
      <c r="D108" s="308"/>
      <c r="E108" s="440"/>
      <c r="F108" s="443"/>
      <c r="G108" s="444"/>
      <c r="H108" s="442"/>
      <c r="I108" s="442"/>
      <c r="J108" s="442"/>
    </row>
    <row r="109" spans="1:10" hidden="1">
      <c r="A109" s="595"/>
      <c r="B109" s="598"/>
      <c r="C109" s="599"/>
      <c r="D109" s="308"/>
      <c r="E109" s="440"/>
      <c r="F109" s="443" t="s">
        <v>1523</v>
      </c>
      <c r="G109" s="444"/>
      <c r="H109" s="442"/>
      <c r="I109" s="442"/>
      <c r="J109" s="1314">
        <f>SUBTOTAL(9,J110:J117)</f>
        <v>0</v>
      </c>
    </row>
    <row r="110" spans="1:10" hidden="1">
      <c r="A110" s="595"/>
      <c r="B110" s="598"/>
      <c r="C110" s="599"/>
      <c r="D110" s="308"/>
      <c r="E110" s="440"/>
      <c r="F110" s="443" t="s">
        <v>1524</v>
      </c>
      <c r="G110" s="441"/>
      <c r="H110" s="442"/>
      <c r="I110" s="442"/>
      <c r="J110" s="442"/>
    </row>
    <row r="111" spans="1:10" hidden="1">
      <c r="A111" s="595"/>
      <c r="B111" s="598"/>
      <c r="C111" s="599"/>
      <c r="D111" s="308"/>
      <c r="E111" s="440"/>
      <c r="F111" s="443" t="s">
        <v>1525</v>
      </c>
      <c r="G111" s="441" t="s">
        <v>339</v>
      </c>
      <c r="H111" s="442">
        <v>207</v>
      </c>
      <c r="I111" s="442"/>
      <c r="J111" s="442">
        <f t="shared" ref="J111:J112" si="23">H111*I111</f>
        <v>0</v>
      </c>
    </row>
    <row r="112" spans="1:10" hidden="1">
      <c r="A112" s="595"/>
      <c r="B112" s="598"/>
      <c r="C112" s="599"/>
      <c r="D112" s="308"/>
      <c r="E112" s="440"/>
      <c r="F112" s="443" t="s">
        <v>1526</v>
      </c>
      <c r="G112" s="441" t="s">
        <v>1468</v>
      </c>
      <c r="H112" s="442">
        <v>275</v>
      </c>
      <c r="I112" s="442"/>
      <c r="J112" s="442">
        <f t="shared" si="23"/>
        <v>0</v>
      </c>
    </row>
    <row r="113" spans="1:10" hidden="1">
      <c r="A113" s="595"/>
      <c r="B113" s="598"/>
      <c r="C113" s="599"/>
      <c r="D113" s="308"/>
      <c r="E113" s="440"/>
      <c r="F113" s="443" t="s">
        <v>1527</v>
      </c>
      <c r="G113" s="441"/>
      <c r="H113" s="442"/>
      <c r="I113" s="442"/>
      <c r="J113" s="442"/>
    </row>
    <row r="114" spans="1:10" hidden="1">
      <c r="A114" s="595"/>
      <c r="B114" s="598"/>
      <c r="C114" s="599"/>
      <c r="D114" s="308"/>
      <c r="E114" s="440"/>
      <c r="F114" s="1310" t="s">
        <v>1528</v>
      </c>
      <c r="G114" s="441" t="s">
        <v>339</v>
      </c>
      <c r="H114" s="442">
        <v>9.0478079999999999</v>
      </c>
      <c r="I114" s="442"/>
      <c r="J114" s="442">
        <f t="shared" ref="J114:J116" si="24">H114*I114</f>
        <v>0</v>
      </c>
    </row>
    <row r="115" spans="1:10" hidden="1">
      <c r="A115" s="595"/>
      <c r="B115" s="598"/>
      <c r="C115" s="599"/>
      <c r="D115" s="308"/>
      <c r="E115" s="440"/>
      <c r="F115" s="1310" t="s">
        <v>1529</v>
      </c>
      <c r="G115" s="441" t="s">
        <v>339</v>
      </c>
      <c r="H115" s="442">
        <v>48</v>
      </c>
      <c r="I115" s="442"/>
      <c r="J115" s="442">
        <f t="shared" si="24"/>
        <v>0</v>
      </c>
    </row>
    <row r="116" spans="1:10" hidden="1">
      <c r="A116" s="595"/>
      <c r="B116" s="598"/>
      <c r="C116" s="599"/>
      <c r="D116" s="308"/>
      <c r="E116" s="440"/>
      <c r="F116" s="1310" t="s">
        <v>1530</v>
      </c>
      <c r="G116" s="444" t="s">
        <v>384</v>
      </c>
      <c r="H116" s="442">
        <v>2</v>
      </c>
      <c r="I116" s="442"/>
      <c r="J116" s="442">
        <f t="shared" si="24"/>
        <v>0</v>
      </c>
    </row>
    <row r="117" spans="1:10" hidden="1">
      <c r="A117" s="595"/>
      <c r="B117" s="598"/>
      <c r="C117" s="599"/>
      <c r="D117" s="308"/>
      <c r="E117" s="440"/>
      <c r="F117" s="1310"/>
      <c r="G117" s="444"/>
      <c r="H117" s="442"/>
      <c r="I117" s="442"/>
      <c r="J117" s="442"/>
    </row>
    <row r="118" spans="1:10" ht="14.25" hidden="1">
      <c r="A118" s="595"/>
      <c r="B118" s="598"/>
      <c r="C118" s="599"/>
      <c r="D118" s="308"/>
      <c r="E118" s="440"/>
      <c r="F118" s="1318" t="s">
        <v>1531</v>
      </c>
      <c r="G118" s="441" t="s">
        <v>1493</v>
      </c>
      <c r="H118" s="442">
        <v>3800</v>
      </c>
      <c r="I118" s="442"/>
      <c r="J118" s="1314">
        <f t="shared" ref="J118" si="25">H118*I118</f>
        <v>0</v>
      </c>
    </row>
    <row r="119" spans="1:10" hidden="1">
      <c r="A119" s="595"/>
      <c r="B119" s="598"/>
      <c r="C119" s="599"/>
      <c r="D119" s="308"/>
      <c r="E119" s="440"/>
      <c r="F119" s="443"/>
      <c r="G119" s="444"/>
      <c r="H119" s="442"/>
      <c r="I119" s="442"/>
      <c r="J119" s="442"/>
    </row>
    <row r="120" spans="1:10" hidden="1">
      <c r="A120" s="595"/>
      <c r="B120" s="598"/>
      <c r="C120" s="599"/>
      <c r="D120" s="308"/>
      <c r="E120" s="440"/>
      <c r="F120" s="1318" t="s">
        <v>1532</v>
      </c>
      <c r="G120" s="444" t="s">
        <v>416</v>
      </c>
      <c r="H120" s="442">
        <v>1500</v>
      </c>
      <c r="I120" s="442"/>
      <c r="J120" s="1314">
        <f t="shared" ref="J120" si="26">H120*I120</f>
        <v>0</v>
      </c>
    </row>
    <row r="121" spans="1:10" hidden="1">
      <c r="A121" s="595"/>
      <c r="B121" s="598"/>
      <c r="C121" s="599"/>
      <c r="D121" s="308"/>
      <c r="E121" s="440"/>
      <c r="F121" s="443"/>
      <c r="G121" s="444"/>
      <c r="H121" s="442"/>
      <c r="I121" s="442"/>
      <c r="J121" s="442"/>
    </row>
    <row r="122" spans="1:10" hidden="1">
      <c r="A122" s="595"/>
      <c r="B122" s="598"/>
      <c r="C122" s="599"/>
      <c r="D122" s="308"/>
      <c r="E122" s="440"/>
      <c r="F122" s="443" t="s">
        <v>1533</v>
      </c>
      <c r="G122" s="444"/>
      <c r="H122" s="442"/>
      <c r="I122" s="442"/>
      <c r="J122" s="1314">
        <f>SUBTOTAL(9,J123:J127)</f>
        <v>0</v>
      </c>
    </row>
    <row r="123" spans="1:10" hidden="1">
      <c r="A123" s="595"/>
      <c r="B123" s="598"/>
      <c r="C123" s="599"/>
      <c r="D123" s="308"/>
      <c r="E123" s="440"/>
      <c r="F123" s="443" t="s">
        <v>1534</v>
      </c>
      <c r="G123" s="444" t="s">
        <v>416</v>
      </c>
      <c r="H123" s="442">
        <v>100</v>
      </c>
      <c r="I123" s="442"/>
      <c r="J123" s="442">
        <f t="shared" ref="J123:J126" si="27">H123*I123</f>
        <v>0</v>
      </c>
    </row>
    <row r="124" spans="1:10" hidden="1">
      <c r="A124" s="595"/>
      <c r="B124" s="598"/>
      <c r="C124" s="599"/>
      <c r="D124" s="308"/>
      <c r="E124" s="440"/>
      <c r="F124" s="443" t="s">
        <v>1535</v>
      </c>
      <c r="G124" s="444" t="s">
        <v>416</v>
      </c>
      <c r="H124" s="442">
        <v>60</v>
      </c>
      <c r="I124" s="442"/>
      <c r="J124" s="442">
        <f t="shared" si="27"/>
        <v>0</v>
      </c>
    </row>
    <row r="125" spans="1:10" hidden="1">
      <c r="A125" s="595"/>
      <c r="B125" s="598"/>
      <c r="C125" s="599"/>
      <c r="D125" s="308"/>
      <c r="E125" s="440"/>
      <c r="F125" s="443" t="s">
        <v>1536</v>
      </c>
      <c r="G125" s="444" t="s">
        <v>416</v>
      </c>
      <c r="H125" s="442">
        <v>100</v>
      </c>
      <c r="I125" s="442"/>
      <c r="J125" s="442">
        <f t="shared" si="27"/>
        <v>0</v>
      </c>
    </row>
    <row r="126" spans="1:10" ht="14.25" hidden="1">
      <c r="A126" s="595"/>
      <c r="B126" s="598"/>
      <c r="C126" s="599"/>
      <c r="D126" s="308"/>
      <c r="E126" s="440"/>
      <c r="F126" s="443" t="s">
        <v>1537</v>
      </c>
      <c r="G126" s="444" t="s">
        <v>1498</v>
      </c>
      <c r="H126" s="442">
        <v>3.84</v>
      </c>
      <c r="I126" s="442"/>
      <c r="J126" s="442">
        <f t="shared" si="27"/>
        <v>0</v>
      </c>
    </row>
    <row r="127" spans="1:10" hidden="1">
      <c r="A127" s="595"/>
      <c r="B127" s="598"/>
      <c r="C127" s="599"/>
      <c r="D127" s="308"/>
      <c r="E127" s="440"/>
      <c r="F127" s="443"/>
      <c r="G127" s="444"/>
      <c r="H127" s="442"/>
      <c r="I127" s="442"/>
      <c r="J127" s="442"/>
    </row>
    <row r="128" spans="1:10" hidden="1">
      <c r="A128" s="595"/>
      <c r="B128" s="598"/>
      <c r="C128" s="599"/>
      <c r="D128" s="308"/>
      <c r="E128" s="440"/>
      <c r="F128" s="443" t="s">
        <v>1538</v>
      </c>
      <c r="G128" s="444"/>
      <c r="H128" s="442"/>
      <c r="I128" s="442"/>
      <c r="J128" s="1314">
        <f>SUBTOTAL(9,J129:J130)</f>
        <v>0</v>
      </c>
    </row>
    <row r="129" spans="1:12" hidden="1">
      <c r="A129" s="595"/>
      <c r="B129" s="598"/>
      <c r="C129" s="599"/>
      <c r="D129" s="308"/>
      <c r="E129" s="440"/>
      <c r="F129" s="443" t="s">
        <v>1539</v>
      </c>
      <c r="G129" s="444" t="s">
        <v>416</v>
      </c>
      <c r="H129" s="442">
        <v>150</v>
      </c>
      <c r="I129" s="442"/>
      <c r="J129" s="442">
        <f t="shared" ref="J129" si="28">H129*I129</f>
        <v>0</v>
      </c>
    </row>
    <row r="130" spans="1:12" hidden="1">
      <c r="A130" s="595"/>
      <c r="B130" s="598"/>
      <c r="C130" s="599"/>
      <c r="D130" s="308"/>
      <c r="E130" s="440"/>
      <c r="F130" s="443"/>
      <c r="G130" s="444"/>
      <c r="H130" s="442"/>
      <c r="I130" s="442"/>
      <c r="J130" s="442"/>
    </row>
    <row r="131" spans="1:12" hidden="1">
      <c r="A131" s="595"/>
      <c r="B131" s="598"/>
      <c r="C131" s="599"/>
      <c r="D131" s="308"/>
      <c r="E131" s="440"/>
      <c r="F131" s="443" t="s">
        <v>1540</v>
      </c>
      <c r="G131" s="444"/>
      <c r="H131" s="442"/>
      <c r="I131" s="442"/>
      <c r="J131" s="1314">
        <f>SUBTOTAL(9,J132:J133)</f>
        <v>0</v>
      </c>
    </row>
    <row r="132" spans="1:12" hidden="1">
      <c r="A132" s="595"/>
      <c r="B132" s="598"/>
      <c r="C132" s="599"/>
      <c r="D132" s="308"/>
      <c r="E132" s="440"/>
      <c r="F132" s="443" t="s">
        <v>1541</v>
      </c>
      <c r="G132" s="444" t="s">
        <v>416</v>
      </c>
      <c r="H132" s="442">
        <v>100</v>
      </c>
      <c r="I132" s="442"/>
      <c r="J132" s="442">
        <f t="shared" ref="J132" si="29">H132*I132</f>
        <v>0</v>
      </c>
    </row>
    <row r="133" spans="1:12" hidden="1">
      <c r="A133" s="595"/>
      <c r="B133" s="598"/>
      <c r="C133" s="599"/>
      <c r="D133" s="308"/>
      <c r="E133" s="440"/>
      <c r="F133" s="443"/>
      <c r="G133" s="444"/>
      <c r="H133" s="442"/>
      <c r="I133" s="442"/>
      <c r="J133" s="442"/>
    </row>
    <row r="134" spans="1:12" hidden="1">
      <c r="A134" s="595"/>
      <c r="B134" s="598"/>
      <c r="C134" s="599"/>
      <c r="D134" s="308"/>
      <c r="E134" s="440"/>
      <c r="F134" s="1334" t="s">
        <v>1542</v>
      </c>
      <c r="G134" s="444"/>
      <c r="H134" s="442"/>
      <c r="I134" s="442"/>
      <c r="J134" s="1314">
        <f>SUBTOTAL(9,J74:J133)</f>
        <v>0</v>
      </c>
    </row>
    <row r="135" spans="1:12" hidden="1">
      <c r="A135" s="595"/>
      <c r="B135" s="598"/>
      <c r="C135" s="599"/>
      <c r="D135" s="308"/>
      <c r="E135" s="440"/>
      <c r="F135" s="1335" t="s">
        <v>1543</v>
      </c>
      <c r="G135" s="1336"/>
      <c r="H135" s="1337"/>
      <c r="I135" s="1337"/>
      <c r="J135" s="1338">
        <f>J134*J72</f>
        <v>0</v>
      </c>
    </row>
    <row r="136" spans="1:12">
      <c r="A136" s="595"/>
      <c r="B136" s="598"/>
      <c r="C136" s="599"/>
      <c r="D136" s="308"/>
    </row>
    <row r="137" spans="1:12" ht="18">
      <c r="A137" s="595"/>
      <c r="B137" s="598"/>
      <c r="C137" s="599"/>
      <c r="D137" s="308"/>
      <c r="E137" s="1339" t="s">
        <v>1544</v>
      </c>
      <c r="F137" s="1340"/>
      <c r="G137" s="1341"/>
      <c r="H137" s="688"/>
      <c r="I137" s="689"/>
      <c r="J137" s="690"/>
    </row>
    <row r="138" spans="1:12" ht="15">
      <c r="A138" s="595"/>
      <c r="B138" s="598"/>
      <c r="C138" s="599"/>
      <c r="D138" s="308"/>
      <c r="E138" s="672" t="s">
        <v>1428</v>
      </c>
      <c r="F138" s="673"/>
      <c r="G138" s="674"/>
      <c r="H138" s="675"/>
      <c r="I138" s="676"/>
      <c r="J138" s="677"/>
    </row>
    <row r="139" spans="1:12">
      <c r="A139" s="595"/>
      <c r="B139" s="598"/>
      <c r="C139" s="599"/>
      <c r="D139" s="308"/>
      <c r="E139" s="672" t="s">
        <v>1545</v>
      </c>
      <c r="F139" s="678"/>
      <c r="G139" s="674"/>
      <c r="H139" s="679"/>
      <c r="I139" s="692">
        <v>1</v>
      </c>
      <c r="J139" s="680" t="s">
        <v>1546</v>
      </c>
    </row>
    <row r="140" spans="1:12">
      <c r="A140" s="595"/>
      <c r="B140" s="598"/>
      <c r="C140" s="599"/>
      <c r="D140" s="308"/>
      <c r="E140" s="672" t="s">
        <v>1547</v>
      </c>
      <c r="F140" s="678"/>
      <c r="G140" s="674"/>
      <c r="H140" s="679"/>
      <c r="I140" s="692">
        <v>1</v>
      </c>
      <c r="J140" s="680" t="s">
        <v>1430</v>
      </c>
    </row>
    <row r="141" spans="1:12">
      <c r="A141" s="595"/>
      <c r="B141" s="598"/>
      <c r="C141" s="599"/>
      <c r="D141" s="308"/>
      <c r="E141" s="681"/>
      <c r="F141" s="682"/>
      <c r="G141" s="671"/>
      <c r="H141" s="683"/>
      <c r="I141" s="683"/>
      <c r="J141" s="684"/>
    </row>
    <row r="142" spans="1:12" ht="22.5">
      <c r="A142" s="595"/>
      <c r="B142" s="598"/>
      <c r="C142" s="599"/>
      <c r="D142" s="308"/>
      <c r="E142" s="1342" t="s">
        <v>1429</v>
      </c>
      <c r="F142" s="1343" t="s">
        <v>1548</v>
      </c>
      <c r="G142" s="1344" t="s">
        <v>1549</v>
      </c>
      <c r="H142" s="1345" t="s">
        <v>1550</v>
      </c>
      <c r="I142" s="1346" t="s">
        <v>1551</v>
      </c>
      <c r="J142" s="1346" t="s">
        <v>1552</v>
      </c>
    </row>
    <row r="143" spans="1:12" ht="15">
      <c r="A143" s="595"/>
      <c r="B143" s="598"/>
      <c r="C143" s="599"/>
      <c r="D143" s="308"/>
      <c r="E143" s="461"/>
      <c r="F143" s="1347" t="s">
        <v>1433</v>
      </c>
      <c r="G143" s="1348"/>
      <c r="H143" s="1349"/>
      <c r="I143" s="1350"/>
      <c r="J143" s="453" t="e">
        <f>SUBTOTAL(9,J144:J147)</f>
        <v>#N/A</v>
      </c>
    </row>
    <row r="144" spans="1:12" ht="25.5" customHeight="1">
      <c r="A144" s="595"/>
      <c r="B144" s="598"/>
      <c r="C144" s="599"/>
      <c r="D144" s="308"/>
      <c r="E144" s="459">
        <v>43333</v>
      </c>
      <c r="F144" s="446" t="s">
        <v>1434</v>
      </c>
      <c r="G144" s="477" t="s">
        <v>1435</v>
      </c>
      <c r="H144" s="478">
        <v>2200</v>
      </c>
      <c r="I144" s="476">
        <f>VLOOKUP(E144,'DER MG'!$D$5:$I$84,6,0)</f>
        <v>0.57999999999999996</v>
      </c>
      <c r="J144" s="476">
        <f t="shared" ref="J144:J146" si="30">H144*I144</f>
        <v>1276</v>
      </c>
      <c r="L144" s="377">
        <v>2200</v>
      </c>
    </row>
    <row r="145" spans="1:12" ht="22.5">
      <c r="A145" s="595"/>
      <c r="B145" s="598"/>
      <c r="C145" s="599"/>
      <c r="D145" s="308"/>
      <c r="E145" s="459">
        <v>40150</v>
      </c>
      <c r="F145" s="446" t="s">
        <v>1436</v>
      </c>
      <c r="G145" s="480" t="s">
        <v>413</v>
      </c>
      <c r="H145" s="478">
        <v>1100</v>
      </c>
      <c r="I145" s="476" t="e">
        <f>VLOOKUP(E145,'DER MG'!$D$5:$I$84,6,0)</f>
        <v>#N/A</v>
      </c>
      <c r="J145" s="476" t="e">
        <f t="shared" si="30"/>
        <v>#N/A</v>
      </c>
      <c r="L145" s="377">
        <v>1100</v>
      </c>
    </row>
    <row r="146" spans="1:12">
      <c r="A146" s="595"/>
      <c r="B146" s="598"/>
      <c r="C146" s="599"/>
      <c r="D146" s="308"/>
      <c r="E146" s="459">
        <v>40249</v>
      </c>
      <c r="F146" s="446" t="s">
        <v>1437</v>
      </c>
      <c r="G146" s="480" t="s">
        <v>413</v>
      </c>
      <c r="H146" s="478">
        <v>880</v>
      </c>
      <c r="I146" s="476">
        <f>VLOOKUP(E146,'DER MG'!$D$5:$I$84,6,0)</f>
        <v>4.92</v>
      </c>
      <c r="J146" s="476">
        <f t="shared" si="30"/>
        <v>4329.6000000000004</v>
      </c>
      <c r="L146" s="377">
        <v>880</v>
      </c>
    </row>
    <row r="147" spans="1:12" ht="15">
      <c r="A147" s="595"/>
      <c r="B147" s="598"/>
      <c r="C147" s="599"/>
      <c r="D147" s="308"/>
      <c r="E147" s="459"/>
      <c r="F147" s="446"/>
      <c r="G147" s="447"/>
      <c r="H147" s="1349"/>
      <c r="I147" s="1351"/>
      <c r="J147" s="1350"/>
    </row>
    <row r="148" spans="1:12" ht="15">
      <c r="A148" s="595"/>
      <c r="B148" s="598"/>
      <c r="C148" s="599"/>
      <c r="D148" s="308"/>
      <c r="E148" s="461"/>
      <c r="F148" s="1352" t="s">
        <v>1444</v>
      </c>
      <c r="G148" s="1353"/>
      <c r="H148" s="1349"/>
      <c r="I148" s="1351"/>
      <c r="J148" s="453">
        <f>SUBTOTAL(9,J149:J153)</f>
        <v>829232.41379999998</v>
      </c>
    </row>
    <row r="149" spans="1:12" ht="14.25">
      <c r="A149" s="595"/>
      <c r="B149" s="598"/>
      <c r="C149" s="599"/>
      <c r="D149" s="308"/>
      <c r="E149" s="461"/>
      <c r="F149" s="1354" t="s">
        <v>466</v>
      </c>
      <c r="G149" s="441" t="s">
        <v>1493</v>
      </c>
      <c r="H149" s="1355">
        <v>600</v>
      </c>
      <c r="I149" s="442">
        <v>1295.53</v>
      </c>
      <c r="J149" s="442">
        <f t="shared" ref="J149:J152" si="31">H149*I149</f>
        <v>777318</v>
      </c>
      <c r="L149" s="377">
        <v>600</v>
      </c>
    </row>
    <row r="150" spans="1:12" ht="22.5">
      <c r="A150" s="595"/>
      <c r="B150" s="598"/>
      <c r="C150" s="599"/>
      <c r="D150" s="308"/>
      <c r="E150" s="461">
        <v>40638</v>
      </c>
      <c r="F150" s="446" t="s">
        <v>1446</v>
      </c>
      <c r="G150" s="477" t="s">
        <v>416</v>
      </c>
      <c r="H150" s="478">
        <v>72</v>
      </c>
      <c r="I150" s="476">
        <f>VLOOKUP(E150,'DER MG'!$D$5:$I$84,6,0)</f>
        <v>73.89</v>
      </c>
      <c r="J150" s="476">
        <f t="shared" si="31"/>
        <v>5320.08</v>
      </c>
      <c r="L150" s="377">
        <v>72</v>
      </c>
    </row>
    <row r="151" spans="1:12" ht="22.5">
      <c r="A151" s="595"/>
      <c r="B151" s="598"/>
      <c r="C151" s="599"/>
      <c r="D151" s="308"/>
      <c r="E151" s="461">
        <v>40654</v>
      </c>
      <c r="F151" s="446" t="s">
        <v>1447</v>
      </c>
      <c r="G151" s="477" t="s">
        <v>416</v>
      </c>
      <c r="H151" s="479">
        <v>2.1599999999999997</v>
      </c>
      <c r="I151" s="476">
        <f>VLOOKUP(E151,'DER MG'!$D$5:$I$84,6,0)</f>
        <v>79.680000000000007</v>
      </c>
      <c r="J151" s="476">
        <f t="shared" si="31"/>
        <v>172.1088</v>
      </c>
      <c r="L151" s="377">
        <v>2.1599999999999997</v>
      </c>
    </row>
    <row r="152" spans="1:12" ht="22.5">
      <c r="A152" s="595"/>
      <c r="B152" s="598"/>
      <c r="C152" s="599"/>
      <c r="D152" s="308"/>
      <c r="E152" s="440">
        <v>42467</v>
      </c>
      <c r="F152" s="446" t="s">
        <v>1448</v>
      </c>
      <c r="G152" s="477" t="s">
        <v>413</v>
      </c>
      <c r="H152" s="478">
        <v>85.5</v>
      </c>
      <c r="I152" s="476">
        <f>VLOOKUP(E152,'DER MG'!$D$5:$I$84,6,0)</f>
        <v>542.95000000000005</v>
      </c>
      <c r="J152" s="476">
        <f t="shared" si="31"/>
        <v>46422.225000000006</v>
      </c>
      <c r="L152" s="377">
        <v>85.5</v>
      </c>
    </row>
    <row r="153" spans="1:12" ht="15">
      <c r="A153" s="595"/>
      <c r="B153" s="598"/>
      <c r="C153" s="599"/>
      <c r="D153" s="308"/>
      <c r="E153" s="461"/>
      <c r="F153" s="446"/>
      <c r="G153" s="1353"/>
      <c r="H153" s="1349"/>
      <c r="I153" s="1351"/>
      <c r="J153" s="1350"/>
    </row>
    <row r="154" spans="1:12" ht="15">
      <c r="A154" s="595"/>
      <c r="B154" s="598"/>
      <c r="C154" s="599"/>
      <c r="D154" s="308"/>
      <c r="E154" s="461"/>
      <c r="F154" s="1352" t="s">
        <v>1454</v>
      </c>
      <c r="G154" s="1353"/>
      <c r="H154" s="1349"/>
      <c r="I154" s="1351"/>
      <c r="J154" s="453" t="e">
        <f>SUBTOTAL(9,J155:J164)</f>
        <v>#N/A</v>
      </c>
    </row>
    <row r="155" spans="1:12">
      <c r="A155" s="595"/>
      <c r="B155" s="598"/>
      <c r="C155" s="599"/>
      <c r="D155" s="308"/>
      <c r="E155" s="440">
        <v>41081</v>
      </c>
      <c r="F155" s="446" t="s">
        <v>1455</v>
      </c>
      <c r="G155" s="447" t="s">
        <v>339</v>
      </c>
      <c r="H155" s="478">
        <v>1023</v>
      </c>
      <c r="I155" s="476">
        <f>VLOOKUP(E155,'DER MG'!$D$5:$I$84,6,0)</f>
        <v>1.45</v>
      </c>
      <c r="J155" s="476">
        <f t="shared" ref="J155:J163" si="32">H155*I155</f>
        <v>1483.35</v>
      </c>
      <c r="L155" s="377">
        <v>1023</v>
      </c>
    </row>
    <row r="156" spans="1:12" ht="33.75">
      <c r="A156" s="595"/>
      <c r="B156" s="598"/>
      <c r="C156" s="599"/>
      <c r="D156" s="308"/>
      <c r="E156" s="459">
        <v>43859</v>
      </c>
      <c r="F156" s="1356" t="s">
        <v>1456</v>
      </c>
      <c r="G156" s="447" t="s">
        <v>413</v>
      </c>
      <c r="H156" s="478">
        <v>255.75</v>
      </c>
      <c r="I156" s="476">
        <f>VLOOKUP(E156,'DER MG'!$D$5:$I$84,6,0)</f>
        <v>255.57</v>
      </c>
      <c r="J156" s="476">
        <f t="shared" si="32"/>
        <v>65362.027499999997</v>
      </c>
      <c r="L156" s="377">
        <v>255.75</v>
      </c>
    </row>
    <row r="157" spans="1:12" ht="22.5">
      <c r="A157" s="595"/>
      <c r="B157" s="598"/>
      <c r="C157" s="599"/>
      <c r="D157" s="308"/>
      <c r="E157" s="440">
        <v>41186</v>
      </c>
      <c r="F157" s="467" t="s">
        <v>1553</v>
      </c>
      <c r="G157" s="477" t="s">
        <v>413</v>
      </c>
      <c r="H157" s="478">
        <f>H155*0.3</f>
        <v>306.89999999999998</v>
      </c>
      <c r="I157" s="476" t="e">
        <f>VLOOKUP(E157,'DER MG'!$D$5:$I$84,6,0)</f>
        <v>#N/A</v>
      </c>
      <c r="J157" s="476" t="e">
        <f t="shared" si="32"/>
        <v>#N/A</v>
      </c>
      <c r="L157" s="377">
        <v>306.89999999999998</v>
      </c>
    </row>
    <row r="158" spans="1:12">
      <c r="A158" s="595"/>
      <c r="B158" s="598"/>
      <c r="C158" s="599"/>
      <c r="D158" s="308"/>
      <c r="E158" s="472">
        <v>41368</v>
      </c>
      <c r="F158" s="473" t="s">
        <v>1459</v>
      </c>
      <c r="G158" s="474" t="s">
        <v>1460</v>
      </c>
      <c r="H158" s="478">
        <v>306.89999999999998</v>
      </c>
      <c r="I158" s="476">
        <f>VLOOKUP(E158,'DER MG'!$D$5:$I$84,6,0)</f>
        <v>1.59</v>
      </c>
      <c r="J158" s="476">
        <f t="shared" ref="J158" si="33">H158*I158</f>
        <v>487.971</v>
      </c>
      <c r="L158" s="377">
        <v>306.89999999999998</v>
      </c>
    </row>
    <row r="159" spans="1:12" ht="22.5">
      <c r="A159" s="595"/>
      <c r="B159" s="598"/>
      <c r="C159" s="599"/>
      <c r="D159" s="308"/>
      <c r="E159" s="459">
        <v>41164</v>
      </c>
      <c r="F159" s="446" t="s">
        <v>1457</v>
      </c>
      <c r="G159" s="447" t="s">
        <v>339</v>
      </c>
      <c r="H159" s="478">
        <v>1023</v>
      </c>
      <c r="I159" s="476">
        <f>VLOOKUP(E159,'DER MG'!$D$5:$I$84,6,0)</f>
        <v>0.5</v>
      </c>
      <c r="J159" s="476">
        <f t="shared" si="32"/>
        <v>511.5</v>
      </c>
      <c r="L159" s="377">
        <v>1023</v>
      </c>
    </row>
    <row r="160" spans="1:12" ht="22.5">
      <c r="A160" s="595"/>
      <c r="B160" s="598"/>
      <c r="C160" s="599"/>
      <c r="D160" s="308"/>
      <c r="E160" s="448">
        <v>41166</v>
      </c>
      <c r="F160" s="446" t="s">
        <v>1461</v>
      </c>
      <c r="G160" s="447" t="s">
        <v>339</v>
      </c>
      <c r="H160" s="478">
        <v>1023</v>
      </c>
      <c r="I160" s="476">
        <f>VLOOKUP(E160,'DER MG'!$D$5:$I$84,6,0)</f>
        <v>0.34</v>
      </c>
      <c r="J160" s="476">
        <f t="shared" si="32"/>
        <v>347.82000000000005</v>
      </c>
      <c r="L160" s="377">
        <v>1023</v>
      </c>
    </row>
    <row r="161" spans="1:12">
      <c r="A161" s="595"/>
      <c r="B161" s="598"/>
      <c r="C161" s="599"/>
      <c r="D161" s="308"/>
      <c r="E161" s="448">
        <v>41170</v>
      </c>
      <c r="F161" s="446" t="s">
        <v>1554</v>
      </c>
      <c r="G161" s="447" t="s">
        <v>413</v>
      </c>
      <c r="H161" s="478">
        <v>1023</v>
      </c>
      <c r="I161" s="476">
        <f>VLOOKUP(E161,'DER MG'!$D$5:$I$84,6,0)</f>
        <v>10.54</v>
      </c>
      <c r="J161" s="476">
        <f t="shared" si="32"/>
        <v>10782.419999999998</v>
      </c>
      <c r="L161" s="377">
        <v>1023</v>
      </c>
    </row>
    <row r="162" spans="1:12" ht="33.75">
      <c r="A162" s="595"/>
      <c r="B162" s="598"/>
      <c r="C162" s="599"/>
      <c r="D162" s="308"/>
      <c r="E162" s="448">
        <v>41093</v>
      </c>
      <c r="F162" s="446" t="s">
        <v>1462</v>
      </c>
      <c r="G162" s="447" t="s">
        <v>413</v>
      </c>
      <c r="H162" s="478">
        <v>8</v>
      </c>
      <c r="I162" s="476">
        <f>VLOOKUP(E162,'DER MG'!$D$5:$I$84,6,0)</f>
        <v>20.48</v>
      </c>
      <c r="J162" s="476">
        <f t="shared" si="32"/>
        <v>163.84</v>
      </c>
      <c r="L162" s="377">
        <v>8</v>
      </c>
    </row>
    <row r="163" spans="1:12" ht="22.5">
      <c r="A163" s="595"/>
      <c r="B163" s="598"/>
      <c r="C163" s="599"/>
      <c r="D163" s="308"/>
      <c r="E163" s="440">
        <v>41633</v>
      </c>
      <c r="F163" s="456" t="s">
        <v>1463</v>
      </c>
      <c r="G163" s="477" t="s">
        <v>413</v>
      </c>
      <c r="H163" s="478">
        <v>8</v>
      </c>
      <c r="I163" s="476">
        <f>VLOOKUP(E163,'DER MG'!$D$5:$I$84,6,0)</f>
        <v>840.19</v>
      </c>
      <c r="J163" s="476">
        <f t="shared" si="32"/>
        <v>6721.52</v>
      </c>
      <c r="L163" s="377">
        <v>8</v>
      </c>
    </row>
    <row r="164" spans="1:12">
      <c r="A164" s="595"/>
      <c r="B164" s="598"/>
      <c r="C164" s="599"/>
      <c r="D164" s="308"/>
      <c r="E164" s="469"/>
      <c r="F164" s="471"/>
      <c r="G164" s="470"/>
      <c r="H164" s="1349"/>
      <c r="I164" s="442"/>
      <c r="J164" s="442"/>
    </row>
    <row r="165" spans="1:12" ht="15">
      <c r="A165" s="595"/>
      <c r="B165" s="598"/>
      <c r="C165" s="599"/>
      <c r="D165" s="308"/>
      <c r="E165" s="452"/>
      <c r="F165" s="1347" t="s">
        <v>1464</v>
      </c>
      <c r="G165" s="1353"/>
      <c r="H165" s="1349"/>
      <c r="I165" s="1351"/>
      <c r="J165" s="453" t="e">
        <f>SUBTOTAL(9,J167:J173)</f>
        <v>#N/A</v>
      </c>
    </row>
    <row r="166" spans="1:12">
      <c r="A166" s="595"/>
      <c r="B166" s="598"/>
      <c r="C166" s="599"/>
      <c r="D166" s="308"/>
      <c r="E166" s="452"/>
      <c r="F166" s="454" t="s">
        <v>317</v>
      </c>
      <c r="G166" s="480"/>
      <c r="H166" s="478"/>
      <c r="I166" s="481"/>
      <c r="J166" s="482"/>
    </row>
    <row r="167" spans="1:12">
      <c r="A167" s="595"/>
      <c r="B167" s="598"/>
      <c r="C167" s="599"/>
      <c r="D167" s="308"/>
      <c r="E167" s="452" t="s">
        <v>1465</v>
      </c>
      <c r="F167" s="454" t="s">
        <v>1466</v>
      </c>
      <c r="G167" s="477" t="s">
        <v>1435</v>
      </c>
      <c r="H167" s="478">
        <v>37.5</v>
      </c>
      <c r="I167" s="481" t="e">
        <f>VLOOKUP(E167,'DER MG'!$D$5:$I$84,6,0)</f>
        <v>#N/A</v>
      </c>
      <c r="J167" s="476" t="e">
        <f t="shared" ref="J167:J168" si="34">H167*I167</f>
        <v>#N/A</v>
      </c>
      <c r="L167" s="377">
        <v>37.5</v>
      </c>
    </row>
    <row r="168" spans="1:12" ht="22.5">
      <c r="A168" s="595"/>
      <c r="B168" s="598"/>
      <c r="C168" s="599"/>
      <c r="D168" s="308"/>
      <c r="E168" s="452">
        <v>41230</v>
      </c>
      <c r="F168" s="454" t="s">
        <v>1467</v>
      </c>
      <c r="G168" s="480" t="s">
        <v>1468</v>
      </c>
      <c r="H168" s="478">
        <v>50</v>
      </c>
      <c r="I168" s="481">
        <f>VLOOKUP(E168,'DER MG'!$D$5:$I$84,6,0)</f>
        <v>30</v>
      </c>
      <c r="J168" s="476">
        <f t="shared" si="34"/>
        <v>1500</v>
      </c>
      <c r="L168" s="377">
        <v>50</v>
      </c>
    </row>
    <row r="169" spans="1:12">
      <c r="A169" s="595"/>
      <c r="B169" s="598"/>
      <c r="C169" s="599"/>
      <c r="D169" s="308"/>
      <c r="E169" s="452"/>
      <c r="F169" s="454" t="s">
        <v>424</v>
      </c>
      <c r="G169" s="480"/>
      <c r="H169" s="478"/>
      <c r="I169" s="481"/>
      <c r="J169" s="476"/>
    </row>
    <row r="170" spans="1:12" ht="33.75">
      <c r="A170" s="595"/>
      <c r="B170" s="598"/>
      <c r="C170" s="599"/>
      <c r="D170" s="308"/>
      <c r="E170" s="440">
        <v>42883</v>
      </c>
      <c r="F170" s="446" t="s">
        <v>1469</v>
      </c>
      <c r="G170" s="477" t="s">
        <v>1435</v>
      </c>
      <c r="H170" s="478">
        <v>18</v>
      </c>
      <c r="I170" s="476">
        <f>VLOOKUP(E170,'DER MG'!$D$5:$I$84,6,0)</f>
        <v>554.65</v>
      </c>
      <c r="J170" s="476">
        <f t="shared" ref="J170:J172" si="35">H170*I170</f>
        <v>9983.6999999999989</v>
      </c>
      <c r="L170" s="377">
        <v>18</v>
      </c>
    </row>
    <row r="171" spans="1:12" ht="33.75">
      <c r="A171" s="595"/>
      <c r="B171" s="598"/>
      <c r="C171" s="599"/>
      <c r="D171" s="308"/>
      <c r="E171" s="440">
        <v>42884</v>
      </c>
      <c r="F171" s="467" t="s">
        <v>1555</v>
      </c>
      <c r="G171" s="477" t="s">
        <v>1435</v>
      </c>
      <c r="H171" s="478">
        <v>18</v>
      </c>
      <c r="I171" s="476">
        <f>VLOOKUP(E171,'DER MG'!$D$5:$I$84,6,0)</f>
        <v>554.65</v>
      </c>
      <c r="J171" s="476">
        <f t="shared" si="35"/>
        <v>9983.6999999999989</v>
      </c>
      <c r="L171" s="377">
        <v>18</v>
      </c>
    </row>
    <row r="172" spans="1:12">
      <c r="A172" s="595"/>
      <c r="B172" s="598"/>
      <c r="C172" s="599"/>
      <c r="D172" s="308"/>
      <c r="E172" s="440" t="s">
        <v>1471</v>
      </c>
      <c r="F172" s="446" t="s">
        <v>1472</v>
      </c>
      <c r="G172" s="447" t="s">
        <v>384</v>
      </c>
      <c r="H172" s="478">
        <v>1</v>
      </c>
      <c r="I172" s="476">
        <f>VLOOKUP(E172,'DER MG'!$D$5:$I$84,6,0)</f>
        <v>26552.13</v>
      </c>
      <c r="J172" s="476">
        <f t="shared" si="35"/>
        <v>26552.13</v>
      </c>
      <c r="L172" s="377">
        <v>1</v>
      </c>
    </row>
    <row r="173" spans="1:12" ht="15">
      <c r="A173" s="595"/>
      <c r="B173" s="598"/>
      <c r="C173" s="599"/>
      <c r="D173" s="308"/>
      <c r="E173" s="461"/>
      <c r="F173" s="1357"/>
      <c r="G173" s="1353"/>
      <c r="H173" s="1349"/>
      <c r="I173" s="1351"/>
      <c r="J173" s="1350"/>
    </row>
    <row r="174" spans="1:12" ht="15">
      <c r="A174" s="595"/>
      <c r="B174" s="598"/>
      <c r="C174" s="599"/>
      <c r="D174" s="308"/>
      <c r="E174" s="461"/>
      <c r="F174" s="1358" t="s">
        <v>1473</v>
      </c>
      <c r="G174" s="1353"/>
      <c r="H174" s="1349"/>
      <c r="I174" s="1351"/>
      <c r="J174" s="453">
        <f>SUBTOTAL(9,J175:J176)</f>
        <v>4881.7560000000003</v>
      </c>
    </row>
    <row r="175" spans="1:12" ht="22.5">
      <c r="A175" s="595"/>
      <c r="B175" s="598"/>
      <c r="C175" s="599"/>
      <c r="D175" s="308"/>
      <c r="E175" s="459">
        <v>41402</v>
      </c>
      <c r="F175" s="446" t="s">
        <v>1474</v>
      </c>
      <c r="G175" s="477" t="s">
        <v>1435</v>
      </c>
      <c r="H175" s="478">
        <v>204.60000000000002</v>
      </c>
      <c r="I175" s="476">
        <f>VLOOKUP(E175,'DER MG'!$D$5:$I$84,6,0)</f>
        <v>23.86</v>
      </c>
      <c r="J175" s="476">
        <f t="shared" ref="J175" si="36">H175*I175</f>
        <v>4881.7560000000003</v>
      </c>
      <c r="L175" s="377">
        <v>204.60000000000002</v>
      </c>
    </row>
    <row r="176" spans="1:12" ht="15">
      <c r="A176" s="595"/>
      <c r="B176" s="598"/>
      <c r="C176" s="599"/>
      <c r="D176" s="308"/>
      <c r="E176" s="461"/>
      <c r="F176" s="1357"/>
      <c r="G176" s="1353"/>
      <c r="H176" s="1349"/>
      <c r="I176" s="1351"/>
      <c r="J176" s="1350"/>
    </row>
    <row r="177" spans="1:12" ht="15">
      <c r="A177" s="595"/>
      <c r="B177" s="598"/>
      <c r="C177" s="599"/>
      <c r="D177" s="308"/>
      <c r="E177" s="461"/>
      <c r="F177" s="1358" t="s">
        <v>1475</v>
      </c>
      <c r="G177" s="1353"/>
      <c r="H177" s="1349"/>
      <c r="I177" s="1351"/>
      <c r="J177" s="453">
        <f>SUBTOTAL(9,J178:J179)</f>
        <v>0</v>
      </c>
    </row>
    <row r="178" spans="1:12">
      <c r="A178" s="595"/>
      <c r="B178" s="598"/>
      <c r="C178" s="599"/>
      <c r="D178" s="308"/>
      <c r="E178" s="448">
        <v>40125</v>
      </c>
      <c r="F178" s="456" t="s">
        <v>1476</v>
      </c>
      <c r="G178" s="440" t="s">
        <v>1477</v>
      </c>
      <c r="H178" s="476">
        <v>0</v>
      </c>
      <c r="I178" s="483">
        <v>400000</v>
      </c>
      <c r="J178" s="476">
        <f t="shared" ref="J178" si="37">H178*I178</f>
        <v>0</v>
      </c>
      <c r="L178" s="377">
        <v>0</v>
      </c>
    </row>
    <row r="179" spans="1:12" ht="15">
      <c r="A179" s="595"/>
      <c r="B179" s="598"/>
      <c r="C179" s="599"/>
      <c r="D179" s="308"/>
      <c r="E179" s="461"/>
      <c r="F179" s="1357"/>
      <c r="G179" s="1353"/>
      <c r="H179" s="1349"/>
      <c r="I179" s="1351"/>
      <c r="J179" s="1350"/>
    </row>
    <row r="180" spans="1:12" ht="15">
      <c r="A180" s="595"/>
      <c r="B180" s="598"/>
      <c r="C180" s="599"/>
      <c r="D180" s="308"/>
      <c r="E180" s="461"/>
      <c r="F180" s="1359" t="s">
        <v>1556</v>
      </c>
      <c r="G180" s="1353"/>
      <c r="H180" s="1349"/>
      <c r="I180" s="1351"/>
      <c r="J180" s="453">
        <f>SUBTOTAL(9,J181:J182)</f>
        <v>195762</v>
      </c>
    </row>
    <row r="181" spans="1:12">
      <c r="A181" s="595"/>
      <c r="B181" s="598"/>
      <c r="C181" s="599"/>
      <c r="D181" s="308"/>
      <c r="E181" s="448" t="s">
        <v>1486</v>
      </c>
      <c r="F181" s="446" t="s">
        <v>1487</v>
      </c>
      <c r="G181" s="480" t="s">
        <v>416</v>
      </c>
      <c r="H181" s="478">
        <v>200</v>
      </c>
      <c r="I181" s="476">
        <f>VLOOKUP(E181,'DER MG'!$D$5:$I$84,6,0)</f>
        <v>978.81</v>
      </c>
      <c r="J181" s="476">
        <f t="shared" ref="J181" si="38">H181*I181</f>
        <v>195762</v>
      </c>
      <c r="L181" s="377">
        <v>200</v>
      </c>
    </row>
    <row r="182" spans="1:12" ht="15">
      <c r="A182" s="595"/>
      <c r="B182" s="598"/>
      <c r="C182" s="599"/>
      <c r="D182" s="308"/>
      <c r="E182" s="459"/>
      <c r="F182" s="446"/>
      <c r="G182" s="1353"/>
      <c r="H182" s="1349"/>
      <c r="I182" s="1351"/>
      <c r="J182" s="1350"/>
    </row>
    <row r="183" spans="1:12" ht="15">
      <c r="A183" s="595"/>
      <c r="B183" s="598"/>
      <c r="C183" s="599"/>
      <c r="D183" s="308"/>
      <c r="E183" s="1360"/>
      <c r="F183" s="1320" t="s">
        <v>1488</v>
      </c>
      <c r="G183" s="1307">
        <v>1</v>
      </c>
      <c r="H183" s="1304" t="s">
        <v>466</v>
      </c>
      <c r="I183" s="1361"/>
      <c r="J183" s="1362" t="e">
        <f>SUBTOTAL(9,J143:J182)*1.25*1.15</f>
        <v>#N/A</v>
      </c>
      <c r="L183" s="377" t="e">
        <f>J183/1200</f>
        <v>#N/A</v>
      </c>
    </row>
    <row r="184" spans="1:12" ht="15">
      <c r="A184" s="595"/>
      <c r="B184" s="598"/>
      <c r="C184" s="599"/>
      <c r="D184" s="308"/>
      <c r="E184" s="1360"/>
      <c r="F184" s="1320" t="s">
        <v>1488</v>
      </c>
      <c r="G184" s="1363">
        <f>I140</f>
        <v>1</v>
      </c>
      <c r="H184" s="1304" t="s">
        <v>466</v>
      </c>
      <c r="I184" s="1361"/>
      <c r="J184" s="1362" t="e">
        <f>SUBTOTAL(9,J144:J183)*1.25*1.15</f>
        <v>#N/A</v>
      </c>
    </row>
    <row r="185" spans="1:12">
      <c r="A185" s="595"/>
      <c r="B185" s="598"/>
      <c r="C185" s="599"/>
      <c r="D185" s="308"/>
    </row>
    <row r="186" spans="1:12" ht="18">
      <c r="A186" s="595"/>
      <c r="B186" s="598"/>
      <c r="C186" s="599"/>
      <c r="D186" s="308"/>
      <c r="E186" s="1364" t="s">
        <v>1557</v>
      </c>
      <c r="F186" s="1365"/>
      <c r="G186" s="1366"/>
      <c r="H186" s="1367"/>
      <c r="I186" s="1368"/>
      <c r="J186" s="1369"/>
    </row>
    <row r="187" spans="1:12" ht="15">
      <c r="A187" s="595"/>
      <c r="B187" s="598"/>
      <c r="C187" s="599"/>
      <c r="D187" s="308"/>
      <c r="E187" s="830" t="s">
        <v>1428</v>
      </c>
      <c r="F187" s="831"/>
      <c r="G187" s="832"/>
      <c r="H187" s="833"/>
      <c r="I187" s="834"/>
      <c r="J187" s="835"/>
    </row>
    <row r="188" spans="1:12">
      <c r="A188" s="595"/>
      <c r="B188" s="598"/>
      <c r="C188" s="599"/>
      <c r="D188" s="308"/>
      <c r="E188" s="830" t="s">
        <v>1558</v>
      </c>
      <c r="F188" s="836"/>
      <c r="G188" s="832"/>
      <c r="H188" s="837"/>
      <c r="I188" s="1370">
        <v>1</v>
      </c>
      <c r="J188" s="838" t="s">
        <v>1430</v>
      </c>
    </row>
    <row r="189" spans="1:12">
      <c r="A189" s="595"/>
      <c r="B189" s="598"/>
      <c r="C189" s="599"/>
      <c r="D189" s="308"/>
      <c r="E189" s="830" t="s">
        <v>1547</v>
      </c>
      <c r="F189" s="836"/>
      <c r="G189" s="832"/>
      <c r="H189" s="837"/>
      <c r="I189" s="1370">
        <v>1</v>
      </c>
      <c r="J189" s="838" t="s">
        <v>1546</v>
      </c>
    </row>
    <row r="190" spans="1:12">
      <c r="A190" s="595"/>
      <c r="B190" s="598"/>
      <c r="C190" s="599"/>
      <c r="D190" s="308"/>
      <c r="E190" s="839"/>
      <c r="F190" s="840"/>
      <c r="G190" s="841"/>
      <c r="H190" s="842"/>
      <c r="I190" s="842"/>
      <c r="J190" s="843"/>
    </row>
    <row r="191" spans="1:12" ht="22.5">
      <c r="A191" s="595"/>
      <c r="B191" s="598"/>
      <c r="C191" s="599"/>
      <c r="D191" s="308"/>
      <c r="E191" s="1342" t="s">
        <v>1429</v>
      </c>
      <c r="F191" s="1343" t="s">
        <v>1548</v>
      </c>
      <c r="G191" s="1344" t="s">
        <v>1549</v>
      </c>
      <c r="H191" s="1345" t="s">
        <v>1550</v>
      </c>
      <c r="I191" s="1346" t="s">
        <v>1551</v>
      </c>
      <c r="J191" s="1346" t="s">
        <v>1552</v>
      </c>
    </row>
    <row r="192" spans="1:12" ht="15">
      <c r="A192" s="595"/>
      <c r="B192" s="598"/>
      <c r="C192" s="599"/>
      <c r="D192" s="308"/>
      <c r="E192" s="461"/>
      <c r="F192" s="1347" t="s">
        <v>1433</v>
      </c>
      <c r="G192" s="1348"/>
      <c r="H192" s="1349"/>
      <c r="I192" s="1350"/>
      <c r="J192" s="453" t="e">
        <f>SUBTOTAL(9,J193:J196)</f>
        <v>#N/A</v>
      </c>
    </row>
    <row r="193" spans="1:10" ht="34.5">
      <c r="A193" s="595"/>
      <c r="B193" s="598"/>
      <c r="C193" s="599"/>
      <c r="D193" s="308"/>
      <c r="E193" s="459">
        <v>43333</v>
      </c>
      <c r="F193" s="446" t="s">
        <v>1434</v>
      </c>
      <c r="G193" s="1353" t="s">
        <v>339</v>
      </c>
      <c r="H193" s="1349">
        <v>2500</v>
      </c>
      <c r="I193" s="442">
        <f>VLOOKUP(E193,'DER MG'!$D$5:$I$84,6,0)</f>
        <v>0.57999999999999996</v>
      </c>
      <c r="J193" s="442">
        <f t="shared" ref="J193:J195" si="39">H193*I193</f>
        <v>1450</v>
      </c>
    </row>
    <row r="194" spans="1:10" ht="23.25">
      <c r="A194" s="595"/>
      <c r="B194" s="598"/>
      <c r="C194" s="599"/>
      <c r="D194" s="308"/>
      <c r="E194" s="459">
        <v>40150</v>
      </c>
      <c r="F194" s="446" t="s">
        <v>1436</v>
      </c>
      <c r="G194" s="1353" t="s">
        <v>392</v>
      </c>
      <c r="H194" s="1349">
        <v>1750</v>
      </c>
      <c r="I194" s="442" t="e">
        <f>VLOOKUP(E194,'DER MG'!$D$5:$I$84,6,0)</f>
        <v>#N/A</v>
      </c>
      <c r="J194" s="442" t="e">
        <f t="shared" si="39"/>
        <v>#N/A</v>
      </c>
    </row>
    <row r="195" spans="1:10">
      <c r="A195" s="595"/>
      <c r="B195" s="598"/>
      <c r="C195" s="599"/>
      <c r="D195" s="308"/>
      <c r="E195" s="459">
        <v>40249</v>
      </c>
      <c r="F195" s="446" t="s">
        <v>1437</v>
      </c>
      <c r="G195" s="447" t="s">
        <v>392</v>
      </c>
      <c r="H195" s="1349">
        <v>1000</v>
      </c>
      <c r="I195" s="442">
        <f>VLOOKUP(E195,'DER MG'!$D$5:$I$84,6,0)</f>
        <v>4.92</v>
      </c>
      <c r="J195" s="442">
        <f t="shared" si="39"/>
        <v>4920</v>
      </c>
    </row>
    <row r="196" spans="1:10" ht="15">
      <c r="A196" s="595"/>
      <c r="B196" s="598"/>
      <c r="C196" s="599"/>
      <c r="D196" s="308"/>
      <c r="E196" s="459"/>
      <c r="F196" s="446"/>
      <c r="G196" s="447"/>
      <c r="H196" s="1349"/>
      <c r="I196" s="1351"/>
      <c r="J196" s="1350"/>
    </row>
    <row r="197" spans="1:10" ht="15">
      <c r="A197" s="595"/>
      <c r="B197" s="598"/>
      <c r="C197" s="599"/>
      <c r="D197" s="308"/>
      <c r="E197" s="461"/>
      <c r="F197" s="1352" t="s">
        <v>1444</v>
      </c>
      <c r="G197" s="1353"/>
      <c r="H197" s="1349"/>
      <c r="I197" s="1351"/>
      <c r="J197" s="453" t="e">
        <f>SUBTOTAL(9,J198:J202)</f>
        <v>#N/A</v>
      </c>
    </row>
    <row r="198" spans="1:10" ht="15">
      <c r="A198" s="595"/>
      <c r="B198" s="598"/>
      <c r="C198" s="599"/>
      <c r="D198" s="308"/>
      <c r="E198" s="461">
        <v>40113</v>
      </c>
      <c r="F198" s="446" t="s">
        <v>1559</v>
      </c>
      <c r="G198" s="1353" t="s">
        <v>339</v>
      </c>
      <c r="H198" s="1349">
        <v>150</v>
      </c>
      <c r="I198" s="442">
        <v>1295.53</v>
      </c>
      <c r="J198" s="442">
        <f t="shared" ref="J198:J201" si="40">H198*I198</f>
        <v>194329.5</v>
      </c>
    </row>
    <row r="199" spans="1:10">
      <c r="A199" s="595"/>
      <c r="B199" s="598"/>
      <c r="C199" s="599"/>
      <c r="D199" s="308"/>
      <c r="E199" s="440" t="s">
        <v>1560</v>
      </c>
      <c r="F199" s="446" t="s">
        <v>1561</v>
      </c>
      <c r="G199" s="447" t="s">
        <v>416</v>
      </c>
      <c r="H199" s="1349">
        <v>54</v>
      </c>
      <c r="I199" s="442" t="e">
        <f>VLOOKUP(E199,'DER MG'!$D$5:$I$84,6,0)</f>
        <v>#N/A</v>
      </c>
      <c r="J199" s="442" t="e">
        <f t="shared" si="40"/>
        <v>#N/A</v>
      </c>
    </row>
    <row r="200" spans="1:10">
      <c r="A200" s="595"/>
      <c r="B200" s="598"/>
      <c r="C200" s="599"/>
      <c r="D200" s="308"/>
      <c r="E200" s="440" t="s">
        <v>1562</v>
      </c>
      <c r="F200" s="446" t="s">
        <v>1563</v>
      </c>
      <c r="G200" s="447" t="s">
        <v>339</v>
      </c>
      <c r="H200" s="1349">
        <v>16.2</v>
      </c>
      <c r="I200" s="442" t="e">
        <f>VLOOKUP(E200,'DER MG'!$D$5:$I$8,6,0)</f>
        <v>#N/A</v>
      </c>
      <c r="J200" s="442" t="e">
        <f t="shared" si="40"/>
        <v>#N/A</v>
      </c>
    </row>
    <row r="201" spans="1:10">
      <c r="A201" s="595"/>
      <c r="B201" s="598"/>
      <c r="C201" s="599"/>
      <c r="D201" s="308"/>
      <c r="E201" s="459" t="s">
        <v>1564</v>
      </c>
      <c r="F201" s="446" t="s">
        <v>1565</v>
      </c>
      <c r="G201" s="447" t="s">
        <v>392</v>
      </c>
      <c r="H201" s="1349">
        <v>5.4</v>
      </c>
      <c r="I201" s="442" t="e">
        <f>VLOOKUP(E201,'DER MG'!$D$5:$I$8,6,0)</f>
        <v>#N/A</v>
      </c>
      <c r="J201" s="442" t="e">
        <f t="shared" si="40"/>
        <v>#N/A</v>
      </c>
    </row>
    <row r="202" spans="1:10" ht="15">
      <c r="A202" s="595"/>
      <c r="B202" s="598"/>
      <c r="C202" s="599"/>
      <c r="D202" s="308"/>
      <c r="E202" s="461"/>
      <c r="F202" s="446"/>
      <c r="G202" s="1353"/>
      <c r="H202" s="1349"/>
      <c r="I202" s="1351"/>
      <c r="J202" s="1350"/>
    </row>
    <row r="203" spans="1:10" ht="15">
      <c r="A203" s="595"/>
      <c r="B203" s="598"/>
      <c r="C203" s="599"/>
      <c r="D203" s="308"/>
      <c r="E203" s="461"/>
      <c r="F203" s="1352" t="s">
        <v>295</v>
      </c>
      <c r="G203" s="1353"/>
      <c r="H203" s="1349"/>
      <c r="I203" s="1351"/>
      <c r="J203" s="453" t="e">
        <f>SUBTOTAL(9,J204:J210)</f>
        <v>#N/A</v>
      </c>
    </row>
    <row r="204" spans="1:10">
      <c r="A204" s="595"/>
      <c r="B204" s="598"/>
      <c r="C204" s="599"/>
      <c r="D204" s="308"/>
      <c r="E204" s="440" t="s">
        <v>1566</v>
      </c>
      <c r="F204" s="446" t="s">
        <v>1567</v>
      </c>
      <c r="G204" s="447" t="s">
        <v>339</v>
      </c>
      <c r="H204" s="1349">
        <v>780</v>
      </c>
      <c r="I204" s="442" t="e">
        <f>VLOOKUP(E204,'DER MG'!$D$5:$I$8,6,0)</f>
        <v>#N/A</v>
      </c>
      <c r="J204" s="442" t="e">
        <f t="shared" ref="J204:J209" si="41">H204*I204</f>
        <v>#N/A</v>
      </c>
    </row>
    <row r="205" spans="1:10">
      <c r="A205" s="595"/>
      <c r="B205" s="598"/>
      <c r="C205" s="599"/>
      <c r="D205" s="308"/>
      <c r="E205" s="459" t="s">
        <v>1568</v>
      </c>
      <c r="F205" s="1356" t="s">
        <v>1569</v>
      </c>
      <c r="G205" s="447" t="s">
        <v>392</v>
      </c>
      <c r="H205" s="1349">
        <v>195</v>
      </c>
      <c r="I205" s="442" t="e">
        <f>VLOOKUP(E205,'DER MG'!$D$5:$I$8,6,0)</f>
        <v>#N/A</v>
      </c>
      <c r="J205" s="442" t="e">
        <f t="shared" si="41"/>
        <v>#N/A</v>
      </c>
    </row>
    <row r="206" spans="1:10">
      <c r="A206" s="595"/>
      <c r="B206" s="598"/>
      <c r="C206" s="599"/>
      <c r="D206" s="308"/>
      <c r="E206" s="461">
        <v>40115</v>
      </c>
      <c r="F206" s="446" t="s">
        <v>1570</v>
      </c>
      <c r="G206" s="447" t="s">
        <v>339</v>
      </c>
      <c r="H206" s="1349">
        <v>780</v>
      </c>
      <c r="I206" s="442" t="e">
        <f>VLOOKUP(E206,'DER MG'!$D$5:$I$8,6,0)</f>
        <v>#N/A</v>
      </c>
      <c r="J206" s="442" t="e">
        <f t="shared" si="41"/>
        <v>#N/A</v>
      </c>
    </row>
    <row r="207" spans="1:10">
      <c r="A207" s="595"/>
      <c r="B207" s="598"/>
      <c r="C207" s="599"/>
      <c r="D207" s="308"/>
      <c r="E207" s="461">
        <v>40116</v>
      </c>
      <c r="F207" s="446" t="s">
        <v>1571</v>
      </c>
      <c r="G207" s="447" t="s">
        <v>339</v>
      </c>
      <c r="H207" s="1349">
        <v>780</v>
      </c>
      <c r="I207" s="442" t="e">
        <f>VLOOKUP(E207,'DER MG'!$D$5:$I$8,6,0)</f>
        <v>#N/A</v>
      </c>
      <c r="J207" s="442" t="e">
        <f t="shared" si="41"/>
        <v>#N/A</v>
      </c>
    </row>
    <row r="208" spans="1:10">
      <c r="A208" s="595"/>
      <c r="B208" s="598"/>
      <c r="C208" s="599"/>
      <c r="D208" s="308"/>
      <c r="E208" s="461">
        <v>40123</v>
      </c>
      <c r="F208" s="446" t="s">
        <v>1572</v>
      </c>
      <c r="G208" s="447" t="s">
        <v>392</v>
      </c>
      <c r="H208" s="1349">
        <v>39</v>
      </c>
      <c r="I208" s="442" t="e">
        <f>VLOOKUP(E208,'DER MG'!$D$5:$I$8,6,0)</f>
        <v>#N/A</v>
      </c>
      <c r="J208" s="442" t="e">
        <f t="shared" si="41"/>
        <v>#N/A</v>
      </c>
    </row>
    <row r="209" spans="1:10">
      <c r="A209" s="595"/>
      <c r="B209" s="598"/>
      <c r="C209" s="599"/>
      <c r="D209" s="308"/>
      <c r="E209" s="459" t="s">
        <v>1573</v>
      </c>
      <c r="F209" s="446" t="s">
        <v>1574</v>
      </c>
      <c r="G209" s="447" t="s">
        <v>392</v>
      </c>
      <c r="H209" s="1349">
        <v>75</v>
      </c>
      <c r="I209" s="442" t="e">
        <f>VLOOKUP(E209,'DER MG'!$D$5:$I$8,6,0)</f>
        <v>#N/A</v>
      </c>
      <c r="J209" s="442" t="e">
        <f t="shared" si="41"/>
        <v>#N/A</v>
      </c>
    </row>
    <row r="210" spans="1:10" ht="15">
      <c r="A210" s="595"/>
      <c r="B210" s="598"/>
      <c r="C210" s="599"/>
      <c r="D210" s="308"/>
      <c r="E210" s="461"/>
      <c r="F210" s="1357"/>
      <c r="G210" s="1353"/>
      <c r="H210" s="1349"/>
      <c r="I210" s="1351"/>
      <c r="J210" s="1350"/>
    </row>
    <row r="211" spans="1:10" ht="15">
      <c r="A211" s="595"/>
      <c r="B211" s="598"/>
      <c r="C211" s="599"/>
      <c r="D211" s="308"/>
      <c r="E211" s="452"/>
      <c r="F211" s="1347" t="s">
        <v>1464</v>
      </c>
      <c r="G211" s="1353"/>
      <c r="H211" s="1349"/>
      <c r="I211" s="1351"/>
      <c r="J211" s="453" t="e">
        <f>SUBTOTAL(9,J212:J215)</f>
        <v>#N/A</v>
      </c>
    </row>
    <row r="212" spans="1:10">
      <c r="A212" s="595"/>
      <c r="B212" s="598"/>
      <c r="C212" s="599"/>
      <c r="D212" s="308"/>
      <c r="E212" s="440">
        <v>40357</v>
      </c>
      <c r="F212" s="446" t="s">
        <v>1575</v>
      </c>
      <c r="G212" s="447" t="s">
        <v>339</v>
      </c>
      <c r="H212" s="1349">
        <v>60.75</v>
      </c>
      <c r="I212" s="442" t="e">
        <f>VLOOKUP(E212,'DER MG'!$D$5:$I$8,6,0)</f>
        <v>#N/A</v>
      </c>
      <c r="J212" s="442" t="e">
        <f t="shared" ref="J212:J214" si="42">H212*I212</f>
        <v>#N/A</v>
      </c>
    </row>
    <row r="213" spans="1:10">
      <c r="A213" s="595"/>
      <c r="B213" s="598"/>
      <c r="C213" s="599"/>
      <c r="D213" s="308"/>
      <c r="E213" s="440">
        <v>40358</v>
      </c>
      <c r="F213" s="443" t="s">
        <v>1576</v>
      </c>
      <c r="G213" s="441" t="s">
        <v>384</v>
      </c>
      <c r="H213" s="1349">
        <v>81</v>
      </c>
      <c r="I213" s="442" t="e">
        <f>VLOOKUP(E213,'DER MG'!$D$5:$I$8,6,0)</f>
        <v>#N/A</v>
      </c>
      <c r="J213" s="442" t="e">
        <f t="shared" si="42"/>
        <v>#N/A</v>
      </c>
    </row>
    <row r="214" spans="1:10">
      <c r="A214" s="595"/>
      <c r="B214" s="598"/>
      <c r="C214" s="599"/>
      <c r="D214" s="308"/>
      <c r="E214" s="440">
        <v>40359</v>
      </c>
      <c r="F214" s="446" t="s">
        <v>1577</v>
      </c>
      <c r="G214" s="447" t="s">
        <v>339</v>
      </c>
      <c r="H214" s="1349">
        <v>14</v>
      </c>
      <c r="I214" s="442" t="e">
        <f>VLOOKUP(E214,'DER MG'!$D$5:$I$8,6,0)</f>
        <v>#N/A</v>
      </c>
      <c r="J214" s="442" t="e">
        <f t="shared" si="42"/>
        <v>#N/A</v>
      </c>
    </row>
    <row r="215" spans="1:10" ht="15">
      <c r="A215" s="595"/>
      <c r="B215" s="598"/>
      <c r="C215" s="599"/>
      <c r="D215" s="308"/>
      <c r="E215" s="461"/>
      <c r="F215" s="1357"/>
      <c r="G215" s="1353"/>
      <c r="H215" s="1349"/>
      <c r="I215" s="1351"/>
      <c r="J215" s="1350"/>
    </row>
    <row r="216" spans="1:10" ht="15">
      <c r="A216" s="595"/>
      <c r="B216" s="598"/>
      <c r="C216" s="599"/>
      <c r="D216" s="308"/>
      <c r="E216" s="461"/>
      <c r="F216" s="1358" t="s">
        <v>1473</v>
      </c>
      <c r="G216" s="1353"/>
      <c r="H216" s="1349"/>
      <c r="I216" s="1351"/>
      <c r="J216" s="453" t="e">
        <f>SUBTOTAL(9,J217:J218)</f>
        <v>#N/A</v>
      </c>
    </row>
    <row r="217" spans="1:10">
      <c r="A217" s="595"/>
      <c r="B217" s="598"/>
      <c r="C217" s="599"/>
      <c r="D217" s="308"/>
      <c r="E217" s="459">
        <v>40354</v>
      </c>
      <c r="F217" s="446" t="s">
        <v>1578</v>
      </c>
      <c r="G217" s="447" t="s">
        <v>339</v>
      </c>
      <c r="H217" s="1349">
        <v>1720</v>
      </c>
      <c r="I217" s="442" t="e">
        <f>VLOOKUP(E217,'DER MG'!$D$5:$I$8,6,0)</f>
        <v>#N/A</v>
      </c>
      <c r="J217" s="442" t="e">
        <f t="shared" ref="J217" si="43">H217*I217</f>
        <v>#N/A</v>
      </c>
    </row>
    <row r="218" spans="1:10" ht="15">
      <c r="A218" s="595"/>
      <c r="B218" s="598"/>
      <c r="C218" s="599"/>
      <c r="D218" s="308"/>
      <c r="E218" s="461"/>
      <c r="F218" s="1357"/>
      <c r="G218" s="1353"/>
      <c r="H218" s="1349"/>
      <c r="I218" s="1351"/>
      <c r="J218" s="1350"/>
    </row>
    <row r="219" spans="1:10" ht="15">
      <c r="A219" s="595"/>
      <c r="B219" s="598"/>
      <c r="C219" s="599"/>
      <c r="D219" s="308"/>
      <c r="E219" s="461"/>
      <c r="F219" s="1358" t="s">
        <v>1475</v>
      </c>
      <c r="G219" s="1353"/>
      <c r="H219" s="1349"/>
      <c r="I219" s="1351"/>
      <c r="J219" s="453" t="e">
        <f>SUBTOTAL(9,J220:J221)</f>
        <v>#N/A</v>
      </c>
    </row>
    <row r="220" spans="1:10" ht="15">
      <c r="A220" s="595"/>
      <c r="B220" s="598"/>
      <c r="C220" s="599"/>
      <c r="D220" s="308"/>
      <c r="E220" s="461">
        <v>40125</v>
      </c>
      <c r="F220" s="1357" t="s">
        <v>1475</v>
      </c>
      <c r="G220" s="1371" t="s">
        <v>1477</v>
      </c>
      <c r="H220" s="1349">
        <v>0.5</v>
      </c>
      <c r="I220" s="442" t="e">
        <f>VLOOKUP(E220,'DER MG'!$D$5:$I$8,6,0)</f>
        <v>#N/A</v>
      </c>
      <c r="J220" s="442" t="e">
        <f t="shared" ref="J220" si="44">H220*I220</f>
        <v>#N/A</v>
      </c>
    </row>
    <row r="221" spans="1:10" ht="15">
      <c r="A221" s="595"/>
      <c r="B221" s="598"/>
      <c r="C221" s="599"/>
      <c r="D221" s="308"/>
      <c r="E221" s="461"/>
      <c r="F221" s="1357"/>
      <c r="G221" s="1353"/>
      <c r="H221" s="1349"/>
      <c r="I221" s="1351"/>
      <c r="J221" s="1350"/>
    </row>
    <row r="222" spans="1:10" ht="15">
      <c r="A222" s="595"/>
      <c r="B222" s="598"/>
      <c r="C222" s="599"/>
      <c r="D222" s="308"/>
      <c r="E222" s="461"/>
      <c r="F222" s="1359" t="s">
        <v>1556</v>
      </c>
      <c r="G222" s="1353"/>
      <c r="H222" s="1349"/>
      <c r="I222" s="1351"/>
      <c r="J222" s="453" t="e">
        <f>SUBTOTAL(9,J223:J224)</f>
        <v>#N/A</v>
      </c>
    </row>
    <row r="223" spans="1:10" ht="15">
      <c r="A223" s="595"/>
      <c r="B223" s="598"/>
      <c r="C223" s="599"/>
      <c r="D223" s="308"/>
      <c r="E223" s="461">
        <v>40121</v>
      </c>
      <c r="F223" s="446" t="s">
        <v>1579</v>
      </c>
      <c r="G223" s="1353" t="s">
        <v>416</v>
      </c>
      <c r="H223" s="1349">
        <v>160</v>
      </c>
      <c r="I223" s="442" t="e">
        <f>VLOOKUP(E223,'DER MG'!$D$5:$I$8,6,0)</f>
        <v>#N/A</v>
      </c>
      <c r="J223" s="442" t="e">
        <f t="shared" ref="J223" si="45">H223*I223</f>
        <v>#N/A</v>
      </c>
    </row>
    <row r="224" spans="1:10" ht="15">
      <c r="A224" s="595"/>
      <c r="B224" s="598"/>
      <c r="C224" s="599"/>
      <c r="D224" s="308"/>
      <c r="E224" s="459"/>
      <c r="F224" s="446"/>
      <c r="G224" s="1353"/>
      <c r="H224" s="1349"/>
      <c r="I224" s="1351"/>
      <c r="J224" s="1350"/>
    </row>
    <row r="225" spans="1:10" ht="15">
      <c r="A225" s="595"/>
      <c r="B225" s="598"/>
      <c r="C225" s="599"/>
      <c r="D225" s="308"/>
      <c r="E225" s="461"/>
      <c r="F225" s="1334" t="s">
        <v>1580</v>
      </c>
      <c r="G225" s="1353"/>
      <c r="H225" s="1349"/>
      <c r="I225" s="1351"/>
      <c r="J225" s="453" t="e">
        <f>SUBTOTAL(9,J191:J224)</f>
        <v>#N/A</v>
      </c>
    </row>
    <row r="226" spans="1:10" ht="15">
      <c r="A226" s="595"/>
      <c r="B226" s="598"/>
      <c r="C226" s="599"/>
      <c r="D226" s="308"/>
      <c r="E226" s="461"/>
      <c r="F226" s="1335" t="s">
        <v>1581</v>
      </c>
      <c r="G226" s="1372"/>
      <c r="H226" s="1373"/>
      <c r="I226" s="1374"/>
      <c r="J226" s="1375" t="e">
        <f>J225*I189</f>
        <v>#N/A</v>
      </c>
    </row>
    <row r="227" spans="1:10" ht="15">
      <c r="A227" s="595"/>
      <c r="B227" s="598"/>
      <c r="C227" s="599"/>
      <c r="D227" s="308"/>
      <c r="E227" s="1376"/>
      <c r="F227" s="1377"/>
      <c r="G227" s="1378"/>
      <c r="H227" s="1379"/>
      <c r="I227" s="1380"/>
      <c r="J227" s="1381"/>
    </row>
    <row r="228" spans="1:10" ht="18">
      <c r="A228" s="595"/>
      <c r="B228" s="598"/>
      <c r="C228" s="599"/>
      <c r="D228" s="308"/>
      <c r="E228" s="685" t="s">
        <v>1582</v>
      </c>
      <c r="F228" s="686"/>
      <c r="G228" s="687"/>
      <c r="H228" s="688"/>
      <c r="I228" s="689"/>
      <c r="J228" s="690"/>
    </row>
    <row r="229" spans="1:10">
      <c r="A229" s="595"/>
      <c r="B229" s="598"/>
      <c r="C229" s="599"/>
      <c r="D229" s="308"/>
      <c r="E229" s="691" t="s">
        <v>1558</v>
      </c>
      <c r="F229" s="678"/>
      <c r="G229" s="674"/>
      <c r="H229" s="679"/>
      <c r="I229" s="692">
        <v>1</v>
      </c>
      <c r="J229" s="680" t="s">
        <v>1546</v>
      </c>
    </row>
    <row r="230" spans="1:10">
      <c r="A230" s="595"/>
      <c r="B230" s="598"/>
      <c r="C230" s="599"/>
      <c r="D230" s="308"/>
      <c r="E230" s="691" t="s">
        <v>1583</v>
      </c>
      <c r="F230" s="678"/>
      <c r="G230" s="674"/>
      <c r="H230" s="679"/>
      <c r="I230" s="692">
        <v>1</v>
      </c>
      <c r="J230" s="680" t="s">
        <v>1546</v>
      </c>
    </row>
    <row r="231" spans="1:10">
      <c r="A231" s="595"/>
      <c r="B231" s="598"/>
      <c r="C231" s="599"/>
      <c r="D231" s="308"/>
      <c r="E231" s="681"/>
      <c r="F231" s="682"/>
      <c r="G231" s="671"/>
      <c r="H231" s="683"/>
      <c r="I231" s="683"/>
      <c r="J231" s="698"/>
    </row>
    <row r="232" spans="1:10" ht="22.5">
      <c r="A232" s="595"/>
      <c r="B232" s="598"/>
      <c r="C232" s="599"/>
      <c r="D232" s="308"/>
      <c r="E232" s="1342" t="s">
        <v>1429</v>
      </c>
      <c r="F232" s="1343" t="s">
        <v>1548</v>
      </c>
      <c r="G232" s="1344" t="s">
        <v>1549</v>
      </c>
      <c r="H232" s="1345" t="s">
        <v>1550</v>
      </c>
      <c r="I232" s="1346" t="s">
        <v>1551</v>
      </c>
      <c r="J232" s="1346" t="s">
        <v>1552</v>
      </c>
    </row>
    <row r="233" spans="1:10">
      <c r="A233" s="595"/>
      <c r="B233" s="598"/>
      <c r="C233" s="599"/>
      <c r="D233" s="308"/>
      <c r="E233" s="461"/>
      <c r="F233" s="1347" t="s">
        <v>1584</v>
      </c>
      <c r="G233" s="477" t="s">
        <v>1435</v>
      </c>
      <c r="H233" s="478">
        <v>150</v>
      </c>
      <c r="I233" s="1382">
        <v>300</v>
      </c>
      <c r="J233" s="1382">
        <f>I233*H233</f>
        <v>45000</v>
      </c>
    </row>
    <row r="234" spans="1:10" ht="15">
      <c r="A234" s="595"/>
      <c r="B234" s="598"/>
      <c r="C234" s="599"/>
      <c r="D234" s="308"/>
      <c r="E234" s="461"/>
      <c r="F234" s="1347"/>
      <c r="G234" s="1383"/>
      <c r="H234" s="1349"/>
      <c r="I234" s="1350"/>
      <c r="J234" s="1350"/>
    </row>
    <row r="235" spans="1:10" ht="15">
      <c r="A235" s="595"/>
      <c r="B235" s="598"/>
      <c r="C235" s="599"/>
      <c r="D235" s="308"/>
      <c r="E235" s="1384"/>
      <c r="F235" s="1320" t="s">
        <v>1488</v>
      </c>
      <c r="G235" s="1385">
        <v>1</v>
      </c>
      <c r="H235" s="1386" t="s">
        <v>1585</v>
      </c>
      <c r="I235" s="1387"/>
      <c r="J235" s="1362">
        <f>SUBTOTAL(9,J233:J234)</f>
        <v>45000</v>
      </c>
    </row>
    <row r="236" spans="1:10" ht="15">
      <c r="A236" s="595"/>
      <c r="B236" s="598"/>
      <c r="C236" s="599"/>
      <c r="D236" s="308"/>
      <c r="E236" s="1384"/>
      <c r="F236" s="1320" t="s">
        <v>1488</v>
      </c>
      <c r="G236" s="1385">
        <v>1</v>
      </c>
      <c r="H236" s="1386" t="s">
        <v>1585</v>
      </c>
      <c r="I236" s="1387"/>
      <c r="J236" s="1362">
        <f>I230*J235</f>
        <v>45000</v>
      </c>
    </row>
    <row r="237" spans="1:10">
      <c r="A237" s="595"/>
      <c r="B237" s="598"/>
      <c r="C237" s="599"/>
      <c r="D237" s="308"/>
    </row>
    <row r="238" spans="1:10" ht="18">
      <c r="A238" s="595"/>
      <c r="B238" s="598"/>
      <c r="C238" s="599"/>
      <c r="D238" s="308"/>
      <c r="E238" s="685" t="s">
        <v>1586</v>
      </c>
      <c r="F238" s="1340"/>
      <c r="G238" s="1341"/>
      <c r="H238" s="688"/>
      <c r="I238" s="689"/>
      <c r="J238" s="690"/>
    </row>
    <row r="239" spans="1:10" ht="15">
      <c r="A239" s="595"/>
      <c r="B239" s="598"/>
      <c r="C239" s="599"/>
      <c r="D239" s="308"/>
      <c r="E239" s="691" t="s">
        <v>1428</v>
      </c>
      <c r="F239" s="673"/>
      <c r="G239" s="674"/>
      <c r="H239" s="675"/>
      <c r="I239" s="676"/>
      <c r="J239" s="677"/>
    </row>
    <row r="240" spans="1:10">
      <c r="A240" s="595"/>
      <c r="B240" s="598"/>
      <c r="C240" s="599"/>
      <c r="D240" s="308"/>
      <c r="E240" s="691" t="s">
        <v>1558</v>
      </c>
      <c r="F240" s="693"/>
      <c r="G240" s="674"/>
      <c r="H240" s="694"/>
      <c r="I240" s="1388">
        <v>1</v>
      </c>
      <c r="J240" s="680" t="s">
        <v>1430</v>
      </c>
    </row>
    <row r="241" spans="1:10">
      <c r="A241" s="595"/>
      <c r="B241" s="598"/>
      <c r="C241" s="599"/>
      <c r="D241" s="308"/>
      <c r="E241" s="691" t="s">
        <v>1547</v>
      </c>
      <c r="F241" s="678"/>
      <c r="G241" s="674"/>
      <c r="H241" s="675"/>
      <c r="I241" s="1388">
        <v>3</v>
      </c>
      <c r="J241" s="680" t="s">
        <v>1546</v>
      </c>
    </row>
    <row r="242" spans="1:10">
      <c r="A242" s="595"/>
      <c r="B242" s="598"/>
      <c r="C242" s="599"/>
      <c r="D242" s="308"/>
      <c r="E242" s="681"/>
      <c r="F242" s="695"/>
      <c r="G242" s="671"/>
      <c r="H242" s="696"/>
      <c r="I242" s="697"/>
      <c r="J242" s="698"/>
    </row>
    <row r="243" spans="1:10" ht="22.5">
      <c r="A243" s="595"/>
      <c r="B243" s="598"/>
      <c r="C243" s="599"/>
      <c r="D243" s="308"/>
      <c r="E243" s="1342" t="s">
        <v>1429</v>
      </c>
      <c r="F243" s="1343" t="s">
        <v>1548</v>
      </c>
      <c r="G243" s="1344" t="s">
        <v>1549</v>
      </c>
      <c r="H243" s="1345" t="s">
        <v>1550</v>
      </c>
      <c r="I243" s="1346" t="s">
        <v>1551</v>
      </c>
      <c r="J243" s="1346" t="s">
        <v>1552</v>
      </c>
    </row>
    <row r="244" spans="1:10" ht="15">
      <c r="A244" s="595"/>
      <c r="B244" s="598"/>
      <c r="C244" s="599"/>
      <c r="D244" s="308"/>
      <c r="E244" s="461"/>
      <c r="F244" s="1347" t="s">
        <v>1433</v>
      </c>
      <c r="G244" s="1389"/>
      <c r="H244" s="460"/>
      <c r="I244" s="1350"/>
      <c r="J244" s="453" t="e">
        <f>SUBTOTAL(9,J245:J248)</f>
        <v>#N/A</v>
      </c>
    </row>
    <row r="245" spans="1:10" ht="33.75">
      <c r="A245" s="595"/>
      <c r="B245" s="598"/>
      <c r="C245" s="599"/>
      <c r="D245" s="308"/>
      <c r="E245" s="459">
        <v>43333</v>
      </c>
      <c r="F245" s="446" t="s">
        <v>1434</v>
      </c>
      <c r="G245" s="477" t="s">
        <v>339</v>
      </c>
      <c r="H245" s="484">
        <v>2100</v>
      </c>
      <c r="I245" s="476">
        <f>VLOOKUP(E245,'DER MG'!$D$5:$I$84,6,0)</f>
        <v>0.57999999999999996</v>
      </c>
      <c r="J245" s="476">
        <f t="shared" ref="J245:J247" si="46">H245*I245</f>
        <v>1218</v>
      </c>
    </row>
    <row r="246" spans="1:10" ht="22.5">
      <c r="A246" s="595"/>
      <c r="B246" s="598"/>
      <c r="C246" s="599"/>
      <c r="D246" s="308"/>
      <c r="E246" s="459">
        <v>40150</v>
      </c>
      <c r="F246" s="446" t="s">
        <v>1436</v>
      </c>
      <c r="G246" s="477" t="s">
        <v>413</v>
      </c>
      <c r="H246" s="485">
        <v>1000</v>
      </c>
      <c r="I246" s="476" t="e">
        <f>VLOOKUP(E246,'DER MG'!$D$5:$I$84,6,0)</f>
        <v>#N/A</v>
      </c>
      <c r="J246" s="476" t="e">
        <f t="shared" si="46"/>
        <v>#N/A</v>
      </c>
    </row>
    <row r="247" spans="1:10">
      <c r="A247" s="595"/>
      <c r="B247" s="598"/>
      <c r="C247" s="599"/>
      <c r="D247" s="308"/>
      <c r="E247" s="459">
        <v>40249</v>
      </c>
      <c r="F247" s="446" t="s">
        <v>1437</v>
      </c>
      <c r="G247" s="477" t="s">
        <v>413</v>
      </c>
      <c r="H247" s="485">
        <v>1600</v>
      </c>
      <c r="I247" s="476">
        <f>VLOOKUP(E247,'DER MG'!$D$5:$I$84,6,0)</f>
        <v>4.92</v>
      </c>
      <c r="J247" s="476">
        <f t="shared" si="46"/>
        <v>7872</v>
      </c>
    </row>
    <row r="248" spans="1:10" ht="15">
      <c r="A248" s="595"/>
      <c r="B248" s="598"/>
      <c r="C248" s="599"/>
      <c r="D248" s="308"/>
      <c r="E248" s="459"/>
      <c r="F248" s="446"/>
      <c r="G248" s="447"/>
      <c r="H248" s="460"/>
      <c r="I248" s="1351"/>
      <c r="J248" s="1350"/>
    </row>
    <row r="249" spans="1:10" ht="15">
      <c r="A249" s="595"/>
      <c r="B249" s="598"/>
      <c r="C249" s="599"/>
      <c r="D249" s="308"/>
      <c r="E249" s="461"/>
      <c r="F249" s="1352" t="s">
        <v>1444</v>
      </c>
      <c r="G249" s="1390"/>
      <c r="H249" s="460"/>
      <c r="I249" s="1351"/>
      <c r="J249" s="453">
        <f>SUBTOTAL(9,J251:J254)</f>
        <v>50342.900000000009</v>
      </c>
    </row>
    <row r="250" spans="1:10">
      <c r="A250" s="595"/>
      <c r="B250" s="598"/>
      <c r="C250" s="599"/>
      <c r="D250" s="308"/>
      <c r="E250" s="461"/>
      <c r="F250" s="446" t="s">
        <v>467</v>
      </c>
      <c r="G250" s="477" t="s">
        <v>1435</v>
      </c>
      <c r="H250" s="476">
        <v>250</v>
      </c>
      <c r="I250" s="1391">
        <v>1295.53</v>
      </c>
      <c r="J250" s="476">
        <f t="shared" ref="J250:J253" si="47">H250*I250</f>
        <v>323882.5</v>
      </c>
    </row>
    <row r="251" spans="1:10" ht="22.5">
      <c r="A251" s="595"/>
      <c r="B251" s="598"/>
      <c r="C251" s="599"/>
      <c r="D251" s="308"/>
      <c r="E251" s="461">
        <v>40638</v>
      </c>
      <c r="F251" s="446" t="s">
        <v>1446</v>
      </c>
      <c r="G251" s="477" t="s">
        <v>416</v>
      </c>
      <c r="H251" s="484">
        <v>260</v>
      </c>
      <c r="I251" s="476">
        <f>VLOOKUP(E251,'DER MG'!$D$5:$I$84,6,0)</f>
        <v>73.89</v>
      </c>
      <c r="J251" s="476">
        <f t="shared" si="47"/>
        <v>19211.400000000001</v>
      </c>
    </row>
    <row r="252" spans="1:10" ht="16.5" customHeight="1">
      <c r="A252" s="595"/>
      <c r="B252" s="598"/>
      <c r="C252" s="599"/>
      <c r="D252" s="308"/>
      <c r="E252" s="459">
        <v>40654</v>
      </c>
      <c r="F252" s="446" t="s">
        <v>1447</v>
      </c>
      <c r="G252" s="477" t="s">
        <v>416</v>
      </c>
      <c r="H252" s="485">
        <v>50</v>
      </c>
      <c r="I252" s="476">
        <f>VLOOKUP(E252,'DER MG'!$D$5:$I$84,6,0)</f>
        <v>79.680000000000007</v>
      </c>
      <c r="J252" s="476">
        <f t="shared" si="47"/>
        <v>3984.0000000000005</v>
      </c>
    </row>
    <row r="253" spans="1:10" ht="22.5">
      <c r="A253" s="595"/>
      <c r="B253" s="598"/>
      <c r="C253" s="599"/>
      <c r="D253" s="308"/>
      <c r="E253" s="459">
        <v>42467</v>
      </c>
      <c r="F253" s="446" t="s">
        <v>1448</v>
      </c>
      <c r="G253" s="477" t="s">
        <v>413</v>
      </c>
      <c r="H253" s="485">
        <v>50</v>
      </c>
      <c r="I253" s="476">
        <f>VLOOKUP(E253,'DER MG'!$D$5:$I$84,6,0)</f>
        <v>542.95000000000005</v>
      </c>
      <c r="J253" s="476">
        <f t="shared" si="47"/>
        <v>27147.500000000004</v>
      </c>
    </row>
    <row r="254" spans="1:10" ht="15">
      <c r="A254" s="595"/>
      <c r="B254" s="598"/>
      <c r="C254" s="599"/>
      <c r="D254" s="308"/>
      <c r="E254" s="461"/>
      <c r="F254" s="446"/>
      <c r="G254" s="1390"/>
      <c r="H254" s="1392"/>
      <c r="I254" s="1351"/>
      <c r="J254" s="1350"/>
    </row>
    <row r="255" spans="1:10" ht="15">
      <c r="A255" s="595"/>
      <c r="B255" s="598"/>
      <c r="C255" s="599"/>
      <c r="D255" s="308"/>
      <c r="E255" s="461"/>
      <c r="F255" s="1352" t="s">
        <v>1454</v>
      </c>
      <c r="G255" s="1390"/>
      <c r="H255" s="1392"/>
      <c r="I255" s="1351"/>
      <c r="J255" s="453" t="e">
        <f>SUBTOTAL(9,J256:J265)</f>
        <v>#N/A</v>
      </c>
    </row>
    <row r="256" spans="1:10">
      <c r="A256" s="595"/>
      <c r="B256" s="598"/>
      <c r="C256" s="599"/>
      <c r="D256" s="308"/>
      <c r="E256" s="440">
        <v>41081</v>
      </c>
      <c r="F256" s="446" t="s">
        <v>1455</v>
      </c>
      <c r="G256" s="447" t="s">
        <v>339</v>
      </c>
      <c r="H256" s="484">
        <v>376.8</v>
      </c>
      <c r="I256" s="476">
        <f>VLOOKUP(E256,'DER MG'!$D$5:$I$84,6,0)</f>
        <v>1.45</v>
      </c>
      <c r="J256" s="476">
        <f t="shared" ref="J256:J264" si="48">H256*I256</f>
        <v>546.36</v>
      </c>
    </row>
    <row r="257" spans="1:10" ht="33.75">
      <c r="A257" s="595"/>
      <c r="B257" s="598"/>
      <c r="C257" s="599"/>
      <c r="D257" s="308"/>
      <c r="E257" s="459">
        <v>43859</v>
      </c>
      <c r="F257" s="1356" t="s">
        <v>1456</v>
      </c>
      <c r="G257" s="447" t="s">
        <v>413</v>
      </c>
      <c r="H257" s="485">
        <v>94.2</v>
      </c>
      <c r="I257" s="476">
        <f>VLOOKUP(E257,'DER MG'!$D$5:$I$84,6,0)</f>
        <v>255.57</v>
      </c>
      <c r="J257" s="476">
        <f t="shared" si="48"/>
        <v>24074.694</v>
      </c>
    </row>
    <row r="258" spans="1:10" ht="22.5">
      <c r="A258" s="595"/>
      <c r="B258" s="598"/>
      <c r="C258" s="599"/>
      <c r="D258" s="308"/>
      <c r="E258" s="459">
        <v>41164</v>
      </c>
      <c r="F258" s="446" t="s">
        <v>1457</v>
      </c>
      <c r="G258" s="447" t="s">
        <v>339</v>
      </c>
      <c r="H258" s="485">
        <v>376.8</v>
      </c>
      <c r="I258" s="476">
        <f>VLOOKUP(E258,'DER MG'!$D$5:$I$84,6,0)</f>
        <v>0.5</v>
      </c>
      <c r="J258" s="476">
        <f t="shared" si="48"/>
        <v>188.4</v>
      </c>
    </row>
    <row r="259" spans="1:10" ht="22.5">
      <c r="A259" s="595"/>
      <c r="B259" s="598"/>
      <c r="C259" s="599"/>
      <c r="D259" s="308"/>
      <c r="E259" s="440">
        <v>41186</v>
      </c>
      <c r="F259" s="467" t="s">
        <v>1553</v>
      </c>
      <c r="G259" s="477" t="s">
        <v>413</v>
      </c>
      <c r="H259" s="485">
        <f>H258*0.3</f>
        <v>113.04</v>
      </c>
      <c r="I259" s="476" t="e">
        <f>VLOOKUP(E259,'DER MG'!$D$5:$I$84,6,0)</f>
        <v>#N/A</v>
      </c>
      <c r="J259" s="476" t="e">
        <f t="shared" si="48"/>
        <v>#N/A</v>
      </c>
    </row>
    <row r="260" spans="1:10">
      <c r="A260" s="595"/>
      <c r="B260" s="598"/>
      <c r="C260" s="599"/>
      <c r="D260" s="308"/>
      <c r="E260" s="472">
        <v>41368</v>
      </c>
      <c r="F260" s="473" t="s">
        <v>1459</v>
      </c>
      <c r="G260" s="474" t="s">
        <v>1460</v>
      </c>
      <c r="H260" s="485">
        <v>113.04</v>
      </c>
      <c r="I260" s="476">
        <f>VLOOKUP(E260,'DER MG'!$D$5:$I$84,6,0)</f>
        <v>1.59</v>
      </c>
      <c r="J260" s="476">
        <f t="shared" ref="J260" si="49">H260*I260</f>
        <v>179.73360000000002</v>
      </c>
    </row>
    <row r="261" spans="1:10" ht="22.5">
      <c r="A261" s="595"/>
      <c r="B261" s="598"/>
      <c r="C261" s="599"/>
      <c r="D261" s="308"/>
      <c r="E261" s="448">
        <v>41166</v>
      </c>
      <c r="F261" s="446" t="s">
        <v>1461</v>
      </c>
      <c r="G261" s="447" t="s">
        <v>339</v>
      </c>
      <c r="H261" s="485">
        <v>376.8</v>
      </c>
      <c r="I261" s="476">
        <f>VLOOKUP(E261,'DER MG'!$D$5:$I$84,6,0)</f>
        <v>0.34</v>
      </c>
      <c r="J261" s="476">
        <f t="shared" si="48"/>
        <v>128.11200000000002</v>
      </c>
    </row>
    <row r="262" spans="1:10">
      <c r="A262" s="595"/>
      <c r="B262" s="598"/>
      <c r="C262" s="599"/>
      <c r="D262" s="308"/>
      <c r="E262" s="448">
        <v>41170</v>
      </c>
      <c r="F262" s="446" t="s">
        <v>1554</v>
      </c>
      <c r="G262" s="447" t="s">
        <v>413</v>
      </c>
      <c r="H262" s="485">
        <v>376.8</v>
      </c>
      <c r="I262" s="476">
        <f>VLOOKUP(E262,'DER MG'!$D$5:$I$84,6,0)</f>
        <v>10.54</v>
      </c>
      <c r="J262" s="476">
        <f t="shared" si="48"/>
        <v>3971.4719999999998</v>
      </c>
    </row>
    <row r="263" spans="1:10" ht="20.25" customHeight="1">
      <c r="A263" s="595"/>
      <c r="B263" s="598"/>
      <c r="C263" s="599"/>
      <c r="D263" s="308"/>
      <c r="E263" s="448">
        <v>41093</v>
      </c>
      <c r="F263" s="446" t="s">
        <v>1462</v>
      </c>
      <c r="G263" s="447" t="s">
        <v>413</v>
      </c>
      <c r="H263" s="485">
        <v>180</v>
      </c>
      <c r="I263" s="476">
        <f>VLOOKUP(E263,'DER MG'!$D$5:$I$84,6,0)</f>
        <v>20.48</v>
      </c>
      <c r="J263" s="476">
        <f t="shared" si="48"/>
        <v>3686.4</v>
      </c>
    </row>
    <row r="264" spans="1:10" ht="22.5">
      <c r="A264" s="595"/>
      <c r="B264" s="598"/>
      <c r="C264" s="599"/>
      <c r="D264" s="308"/>
      <c r="E264" s="440">
        <v>41633</v>
      </c>
      <c r="F264" s="456" t="s">
        <v>1463</v>
      </c>
      <c r="G264" s="477" t="s">
        <v>413</v>
      </c>
      <c r="H264" s="485">
        <v>36</v>
      </c>
      <c r="I264" s="476">
        <f>VLOOKUP(E264,'DER MG'!$D$5:$I$84,6,0)</f>
        <v>840.19</v>
      </c>
      <c r="J264" s="476">
        <f t="shared" si="48"/>
        <v>30246.840000000004</v>
      </c>
    </row>
    <row r="265" spans="1:10" ht="15">
      <c r="A265" s="595"/>
      <c r="B265" s="598"/>
      <c r="C265" s="599"/>
      <c r="D265" s="308"/>
      <c r="E265" s="461"/>
      <c r="F265" s="454"/>
      <c r="G265" s="1390"/>
      <c r="H265" s="1392"/>
      <c r="I265" s="1351"/>
      <c r="J265" s="1350"/>
    </row>
    <row r="266" spans="1:10" ht="15">
      <c r="A266" s="595"/>
      <c r="B266" s="598"/>
      <c r="C266" s="599"/>
      <c r="D266" s="308"/>
      <c r="E266" s="452"/>
      <c r="F266" s="1347" t="s">
        <v>1464</v>
      </c>
      <c r="G266" s="1353"/>
      <c r="H266" s="1392"/>
      <c r="I266" s="1351"/>
      <c r="J266" s="453" t="e">
        <f>SUBTOTAL(9,J267:J274)</f>
        <v>#N/A</v>
      </c>
    </row>
    <row r="267" spans="1:10" ht="15">
      <c r="A267" s="595"/>
      <c r="B267" s="598"/>
      <c r="C267" s="599"/>
      <c r="D267" s="308"/>
      <c r="E267" s="452"/>
      <c r="F267" s="454" t="s">
        <v>317</v>
      </c>
      <c r="G267" s="455"/>
      <c r="H267" s="460"/>
      <c r="I267" s="442"/>
      <c r="J267" s="442"/>
    </row>
    <row r="268" spans="1:10">
      <c r="A268" s="595"/>
      <c r="B268" s="598"/>
      <c r="C268" s="599"/>
      <c r="D268" s="308"/>
      <c r="E268" s="452" t="s">
        <v>1465</v>
      </c>
      <c r="F268" s="454" t="s">
        <v>1466</v>
      </c>
      <c r="G268" s="477" t="s">
        <v>1435</v>
      </c>
      <c r="H268" s="485">
        <v>104</v>
      </c>
      <c r="I268" s="476" t="e">
        <f>VLOOKUP(E268,'DER MG'!$D$5:$I$84,6,0)</f>
        <v>#N/A</v>
      </c>
      <c r="J268" s="476" t="e">
        <f t="shared" ref="J268:J273" si="50">H268*I268</f>
        <v>#N/A</v>
      </c>
    </row>
    <row r="269" spans="1:10" ht="22.5">
      <c r="A269" s="595"/>
      <c r="B269" s="598"/>
      <c r="C269" s="599"/>
      <c r="D269" s="308"/>
      <c r="E269" s="452">
        <v>41230</v>
      </c>
      <c r="F269" s="454" t="s">
        <v>1467</v>
      </c>
      <c r="G269" s="480" t="s">
        <v>1468</v>
      </c>
      <c r="H269" s="485">
        <v>139</v>
      </c>
      <c r="I269" s="476">
        <f>VLOOKUP(E269,'DER MG'!$D$5:$I$84,6,0)</f>
        <v>30</v>
      </c>
      <c r="J269" s="476">
        <f t="shared" si="50"/>
        <v>4170</v>
      </c>
    </row>
    <row r="270" spans="1:10">
      <c r="A270" s="595"/>
      <c r="B270" s="598"/>
      <c r="C270" s="599"/>
      <c r="D270" s="308"/>
      <c r="E270" s="452"/>
      <c r="F270" s="454" t="s">
        <v>424</v>
      </c>
      <c r="G270" s="480"/>
      <c r="H270" s="485"/>
      <c r="I270" s="476"/>
      <c r="J270" s="476"/>
    </row>
    <row r="271" spans="1:10" ht="33.75">
      <c r="A271" s="595"/>
      <c r="B271" s="598"/>
      <c r="C271" s="599"/>
      <c r="D271" s="308"/>
      <c r="E271" s="440">
        <v>42883</v>
      </c>
      <c r="F271" s="446" t="s">
        <v>1469</v>
      </c>
      <c r="G271" s="477" t="s">
        <v>1435</v>
      </c>
      <c r="H271" s="485">
        <v>18</v>
      </c>
      <c r="I271" s="476">
        <f>VLOOKUP(E271,'DER MG'!$D$5:$I$84,6,0)</f>
        <v>554.65</v>
      </c>
      <c r="J271" s="476">
        <f t="shared" si="50"/>
        <v>9983.6999999999989</v>
      </c>
    </row>
    <row r="272" spans="1:10" ht="33.75">
      <c r="A272" s="595"/>
      <c r="B272" s="598"/>
      <c r="C272" s="599"/>
      <c r="D272" s="308"/>
      <c r="E272" s="440">
        <v>42884</v>
      </c>
      <c r="F272" s="467" t="s">
        <v>1555</v>
      </c>
      <c r="G272" s="477" t="s">
        <v>1435</v>
      </c>
      <c r="H272" s="485">
        <v>18</v>
      </c>
      <c r="I272" s="476">
        <f>VLOOKUP(E272,'DER MG'!$D$5:$I$84,6,0)</f>
        <v>554.65</v>
      </c>
      <c r="J272" s="476">
        <f t="shared" si="50"/>
        <v>9983.6999999999989</v>
      </c>
    </row>
    <row r="273" spans="1:10">
      <c r="A273" s="595"/>
      <c r="B273" s="598"/>
      <c r="C273" s="599"/>
      <c r="D273" s="308"/>
      <c r="E273" s="440" t="s">
        <v>1471</v>
      </c>
      <c r="F273" s="446" t="s">
        <v>1472</v>
      </c>
      <c r="G273" s="447" t="s">
        <v>384</v>
      </c>
      <c r="H273" s="485">
        <v>1</v>
      </c>
      <c r="I273" s="476">
        <f>VLOOKUP(E273,'DER MG'!$D$5:$I$84,6,0)</f>
        <v>26552.13</v>
      </c>
      <c r="J273" s="476">
        <f t="shared" si="50"/>
        <v>26552.13</v>
      </c>
    </row>
    <row r="274" spans="1:10">
      <c r="A274" s="595"/>
      <c r="B274" s="598"/>
      <c r="C274" s="599"/>
      <c r="D274" s="308"/>
      <c r="E274" s="461"/>
      <c r="F274" s="446"/>
      <c r="G274" s="477"/>
      <c r="H274" s="485"/>
      <c r="I274" s="476"/>
      <c r="J274" s="476"/>
    </row>
    <row r="275" spans="1:10" ht="15">
      <c r="A275" s="595"/>
      <c r="B275" s="598"/>
      <c r="C275" s="599"/>
      <c r="D275" s="308"/>
      <c r="E275" s="461"/>
      <c r="F275" s="1347" t="s">
        <v>1473</v>
      </c>
      <c r="G275" s="1390"/>
      <c r="H275" s="1392"/>
      <c r="I275" s="1351"/>
      <c r="J275" s="453">
        <f>SUBTOTAL(9,J276:J277)</f>
        <v>33361.052000000003</v>
      </c>
    </row>
    <row r="276" spans="1:10" ht="22.5">
      <c r="A276" s="595"/>
      <c r="B276" s="598"/>
      <c r="C276" s="599"/>
      <c r="D276" s="308"/>
      <c r="E276" s="459">
        <v>41402</v>
      </c>
      <c r="F276" s="446" t="s">
        <v>1474</v>
      </c>
      <c r="G276" s="477" t="s">
        <v>1435</v>
      </c>
      <c r="H276" s="484">
        <v>1398.2</v>
      </c>
      <c r="I276" s="476">
        <f>VLOOKUP(E276,'DER MG'!$D$5:$I$84,6,0)</f>
        <v>23.86</v>
      </c>
      <c r="J276" s="476">
        <f t="shared" ref="J276" si="51">H276*I276</f>
        <v>33361.052000000003</v>
      </c>
    </row>
    <row r="277" spans="1:10" ht="15">
      <c r="A277" s="595"/>
      <c r="B277" s="598"/>
      <c r="C277" s="599"/>
      <c r="D277" s="308"/>
      <c r="E277" s="461"/>
      <c r="F277" s="454"/>
      <c r="G277" s="1390"/>
      <c r="H277" s="1392"/>
      <c r="I277" s="1351"/>
      <c r="J277" s="1350"/>
    </row>
    <row r="278" spans="1:10" ht="15">
      <c r="A278" s="595"/>
      <c r="B278" s="598"/>
      <c r="C278" s="599"/>
      <c r="D278" s="308"/>
      <c r="E278" s="461"/>
      <c r="F278" s="1347" t="s">
        <v>1475</v>
      </c>
      <c r="G278" s="1390"/>
      <c r="H278" s="1392"/>
      <c r="I278" s="1351"/>
      <c r="J278" s="453">
        <f>SUBTOTAL(9,J279:J280)</f>
        <v>120000</v>
      </c>
    </row>
    <row r="279" spans="1:10">
      <c r="A279" s="595"/>
      <c r="B279" s="598"/>
      <c r="C279" s="599"/>
      <c r="D279" s="308"/>
      <c r="E279" s="461"/>
      <c r="F279" s="454" t="s">
        <v>1475</v>
      </c>
      <c r="G279" s="1390" t="s">
        <v>1477</v>
      </c>
      <c r="H279" s="485">
        <v>1</v>
      </c>
      <c r="I279" s="476">
        <v>120000</v>
      </c>
      <c r="J279" s="476">
        <f t="shared" ref="J279" si="52">H279*I279</f>
        <v>120000</v>
      </c>
    </row>
    <row r="280" spans="1:10" ht="15">
      <c r="A280" s="595"/>
      <c r="B280" s="598"/>
      <c r="C280" s="599"/>
      <c r="D280" s="308"/>
      <c r="E280" s="461"/>
      <c r="F280" s="1357"/>
      <c r="G280" s="1353"/>
      <c r="H280" s="1392"/>
      <c r="I280" s="1351"/>
      <c r="J280" s="1350"/>
    </row>
    <row r="281" spans="1:10" ht="15">
      <c r="A281" s="595"/>
      <c r="B281" s="598"/>
      <c r="C281" s="599"/>
      <c r="D281" s="308"/>
      <c r="E281" s="1393"/>
      <c r="F281" s="1320" t="s">
        <v>1488</v>
      </c>
      <c r="G281" s="1394">
        <v>1</v>
      </c>
      <c r="H281" s="1395" t="s">
        <v>467</v>
      </c>
      <c r="I281" s="1387"/>
      <c r="J281" s="1362" t="e">
        <f>SUBTOTAL(9,J244:J280)</f>
        <v>#N/A</v>
      </c>
    </row>
    <row r="282" spans="1:10" ht="16.5" customHeight="1">
      <c r="A282" s="595"/>
      <c r="B282" s="598"/>
      <c r="C282" s="599"/>
      <c r="D282" s="308"/>
      <c r="E282" s="1384"/>
      <c r="F282" s="1320" t="s">
        <v>1488</v>
      </c>
      <c r="G282" s="1385">
        <f>I241</f>
        <v>3</v>
      </c>
      <c r="H282" s="1395" t="s">
        <v>467</v>
      </c>
      <c r="I282" s="1387"/>
      <c r="J282" s="1362" t="e">
        <f>J281*I241*1.25*1.15</f>
        <v>#N/A</v>
      </c>
    </row>
    <row r="283" spans="1:10">
      <c r="A283" s="595"/>
      <c r="B283" s="598"/>
      <c r="C283" s="599"/>
      <c r="D283" s="308"/>
    </row>
    <row r="284" spans="1:10">
      <c r="A284" s="595"/>
      <c r="B284" s="598"/>
      <c r="C284" s="599"/>
      <c r="D284" s="308"/>
    </row>
    <row r="285" spans="1:10" ht="18">
      <c r="A285" s="595"/>
      <c r="B285" s="598"/>
      <c r="C285" s="599"/>
      <c r="D285" s="308"/>
      <c r="E285" s="685" t="s">
        <v>1587</v>
      </c>
      <c r="F285" s="1340"/>
      <c r="G285" s="687"/>
      <c r="H285" s="1396"/>
      <c r="I285" s="689"/>
      <c r="J285" s="690"/>
    </row>
    <row r="286" spans="1:10" ht="18">
      <c r="A286" s="595"/>
      <c r="B286" s="598"/>
      <c r="C286" s="599"/>
      <c r="D286" s="308"/>
      <c r="E286" s="699" t="s">
        <v>1588</v>
      </c>
      <c r="F286" s="673"/>
      <c r="G286" s="700"/>
      <c r="H286" s="701"/>
      <c r="I286" s="676"/>
      <c r="J286" s="677"/>
    </row>
    <row r="287" spans="1:10">
      <c r="A287" s="595"/>
      <c r="B287" s="598"/>
      <c r="C287" s="599"/>
      <c r="D287" s="308"/>
      <c r="E287" s="691" t="s">
        <v>1558</v>
      </c>
      <c r="F287" s="678"/>
      <c r="G287" s="674"/>
      <c r="H287" s="679"/>
      <c r="I287" s="692"/>
      <c r="J287" s="680" t="s">
        <v>1430</v>
      </c>
    </row>
    <row r="288" spans="1:10">
      <c r="A288" s="595"/>
      <c r="B288" s="598"/>
      <c r="C288" s="599"/>
      <c r="D288" s="308"/>
      <c r="E288" s="691" t="s">
        <v>1547</v>
      </c>
      <c r="F288" s="678"/>
      <c r="G288" s="674"/>
      <c r="H288" s="679"/>
      <c r="I288" s="692"/>
      <c r="J288" s="680" t="s">
        <v>1546</v>
      </c>
    </row>
    <row r="289" spans="1:10">
      <c r="A289" s="595"/>
      <c r="B289" s="598"/>
      <c r="C289" s="599"/>
      <c r="D289" s="308"/>
      <c r="E289" s="681"/>
      <c r="F289" s="682"/>
      <c r="G289" s="671"/>
      <c r="H289" s="683"/>
      <c r="I289" s="683"/>
      <c r="J289" s="698"/>
    </row>
    <row r="290" spans="1:10" ht="22.5">
      <c r="A290" s="595"/>
      <c r="B290" s="598"/>
      <c r="C290" s="599"/>
      <c r="D290" s="308"/>
      <c r="E290" s="1342" t="s">
        <v>1429</v>
      </c>
      <c r="F290" s="1397" t="s">
        <v>1548</v>
      </c>
      <c r="G290" s="1344" t="s">
        <v>1549</v>
      </c>
      <c r="H290" s="1345" t="s">
        <v>1550</v>
      </c>
      <c r="I290" s="1346" t="s">
        <v>1551</v>
      </c>
      <c r="J290" s="1346" t="s">
        <v>1552</v>
      </c>
    </row>
    <row r="291" spans="1:10" ht="15">
      <c r="A291" s="595"/>
      <c r="B291" s="598"/>
      <c r="C291" s="599"/>
      <c r="D291" s="308"/>
      <c r="E291" s="1344"/>
      <c r="F291" s="1397" t="s">
        <v>1433</v>
      </c>
      <c r="G291" s="1344"/>
      <c r="H291" s="1345"/>
      <c r="I291" s="1346"/>
      <c r="J291" s="453" t="e">
        <f>SUBTOTAL(9,J292:J295)</f>
        <v>#N/A</v>
      </c>
    </row>
    <row r="292" spans="1:10" ht="33.75">
      <c r="A292" s="595"/>
      <c r="B292" s="598"/>
      <c r="C292" s="599"/>
      <c r="D292" s="308"/>
      <c r="E292" s="459">
        <v>43333</v>
      </c>
      <c r="F292" s="446" t="s">
        <v>1434</v>
      </c>
      <c r="G292" s="477" t="s">
        <v>1435</v>
      </c>
      <c r="H292" s="478">
        <v>4620</v>
      </c>
      <c r="I292" s="476">
        <f>VLOOKUP(E292,'DER MG'!$D$5:$I$84,6,0)</f>
        <v>0.57999999999999996</v>
      </c>
      <c r="J292" s="476">
        <f t="shared" ref="J292:J294" si="53">H292*I292</f>
        <v>2679.6</v>
      </c>
    </row>
    <row r="293" spans="1:10" ht="22.5">
      <c r="A293" s="595"/>
      <c r="B293" s="598"/>
      <c r="C293" s="599"/>
      <c r="D293" s="308"/>
      <c r="E293" s="459">
        <v>40150</v>
      </c>
      <c r="F293" s="446" t="s">
        <v>1436</v>
      </c>
      <c r="G293" s="477" t="s">
        <v>413</v>
      </c>
      <c r="H293" s="478">
        <v>4228.5</v>
      </c>
      <c r="I293" s="476" t="e">
        <f>VLOOKUP(E293,'DER MG'!$D$5:$I$84,6,0)</f>
        <v>#N/A</v>
      </c>
      <c r="J293" s="476" t="e">
        <f t="shared" si="53"/>
        <v>#N/A</v>
      </c>
    </row>
    <row r="294" spans="1:10">
      <c r="A294" s="595"/>
      <c r="B294" s="598"/>
      <c r="C294" s="599"/>
      <c r="D294" s="308"/>
      <c r="E294" s="459">
        <v>40249</v>
      </c>
      <c r="F294" s="446" t="s">
        <v>1437</v>
      </c>
      <c r="G294" s="477" t="s">
        <v>413</v>
      </c>
      <c r="H294" s="478">
        <v>4813.5</v>
      </c>
      <c r="I294" s="476">
        <f>VLOOKUP(E294,'DER MG'!$D$5:$I$84,6,0)</f>
        <v>4.92</v>
      </c>
      <c r="J294" s="476">
        <f t="shared" si="53"/>
        <v>23682.42</v>
      </c>
    </row>
    <row r="295" spans="1:10" ht="15">
      <c r="A295" s="595"/>
      <c r="B295" s="598"/>
      <c r="C295" s="599"/>
      <c r="D295" s="308"/>
      <c r="E295" s="1398"/>
      <c r="F295" s="1399"/>
      <c r="G295" s="1353"/>
      <c r="H295" s="1349"/>
      <c r="I295" s="1351"/>
      <c r="J295" s="1350"/>
    </row>
    <row r="296" spans="1:10" ht="15">
      <c r="A296" s="595"/>
      <c r="B296" s="598"/>
      <c r="C296" s="599"/>
      <c r="D296" s="308"/>
      <c r="E296" s="452"/>
      <c r="F296" s="1347" t="s">
        <v>1589</v>
      </c>
      <c r="G296" s="1353"/>
      <c r="H296" s="1349"/>
      <c r="I296" s="1351"/>
      <c r="J296" s="453">
        <f>SUBTOTAL(9,J297:J298)</f>
        <v>38865.9</v>
      </c>
    </row>
    <row r="297" spans="1:10">
      <c r="A297" s="595"/>
      <c r="B297" s="598"/>
      <c r="C297" s="599"/>
      <c r="D297" s="308"/>
      <c r="E297" s="461">
        <v>40113</v>
      </c>
      <c r="F297" s="446" t="s">
        <v>1590</v>
      </c>
      <c r="G297" s="477" t="s">
        <v>1435</v>
      </c>
      <c r="H297" s="479">
        <v>30</v>
      </c>
      <c r="I297" s="476">
        <v>1295.53</v>
      </c>
      <c r="J297" s="476">
        <f t="shared" ref="J297" si="54">H297*I297</f>
        <v>38865.9</v>
      </c>
    </row>
    <row r="298" spans="1:10" ht="15">
      <c r="A298" s="595"/>
      <c r="B298" s="598"/>
      <c r="C298" s="599"/>
      <c r="D298" s="308"/>
      <c r="E298" s="452"/>
      <c r="F298" s="1357"/>
      <c r="G298" s="1353"/>
      <c r="H298" s="1400"/>
      <c r="I298" s="1351"/>
      <c r="J298" s="1350"/>
    </row>
    <row r="299" spans="1:10" ht="15">
      <c r="A299" s="595"/>
      <c r="B299" s="598"/>
      <c r="C299" s="599"/>
      <c r="D299" s="308"/>
      <c r="E299" s="452"/>
      <c r="F299" s="1347" t="s">
        <v>1454</v>
      </c>
      <c r="G299" s="1353"/>
      <c r="H299" s="1400"/>
      <c r="I299" s="1351"/>
      <c r="J299" s="453" t="e">
        <f>SUBTOTAL(9,J300:J309)</f>
        <v>#N/A</v>
      </c>
    </row>
    <row r="300" spans="1:10">
      <c r="A300" s="595"/>
      <c r="B300" s="598"/>
      <c r="C300" s="599"/>
      <c r="D300" s="308"/>
      <c r="E300" s="440">
        <v>41081</v>
      </c>
      <c r="F300" s="446" t="s">
        <v>1455</v>
      </c>
      <c r="G300" s="447" t="s">
        <v>339</v>
      </c>
      <c r="H300" s="479">
        <v>2800</v>
      </c>
      <c r="I300" s="476">
        <f>VLOOKUP(E300,'DER MG'!$D$5:$I$84,6,0)</f>
        <v>1.45</v>
      </c>
      <c r="J300" s="476">
        <f t="shared" ref="J300:J308" si="55">H300*I300</f>
        <v>4060</v>
      </c>
    </row>
    <row r="301" spans="1:10" ht="33.75">
      <c r="A301" s="595"/>
      <c r="B301" s="598"/>
      <c r="C301" s="599"/>
      <c r="D301" s="308"/>
      <c r="E301" s="459">
        <v>43859</v>
      </c>
      <c r="F301" s="1356" t="s">
        <v>1456</v>
      </c>
      <c r="G301" s="447" t="s">
        <v>413</v>
      </c>
      <c r="H301" s="478">
        <v>980</v>
      </c>
      <c r="I301" s="476">
        <f>VLOOKUP(E301,'DER MG'!$D$5:$I$84,6,0)</f>
        <v>255.57</v>
      </c>
      <c r="J301" s="476">
        <f t="shared" si="55"/>
        <v>250458.6</v>
      </c>
    </row>
    <row r="302" spans="1:10" ht="22.5">
      <c r="A302" s="595"/>
      <c r="B302" s="598"/>
      <c r="C302" s="599"/>
      <c r="D302" s="308"/>
      <c r="E302" s="459">
        <v>41164</v>
      </c>
      <c r="F302" s="446" t="s">
        <v>1457</v>
      </c>
      <c r="G302" s="447" t="s">
        <v>339</v>
      </c>
      <c r="H302" s="478">
        <v>2800</v>
      </c>
      <c r="I302" s="476">
        <f>VLOOKUP(E302,'DER MG'!$D$5:$I$84,6,0)</f>
        <v>0.5</v>
      </c>
      <c r="J302" s="476">
        <f t="shared" si="55"/>
        <v>1400</v>
      </c>
    </row>
    <row r="303" spans="1:10" ht="22.5">
      <c r="A303" s="595"/>
      <c r="B303" s="598"/>
      <c r="C303" s="599"/>
      <c r="D303" s="308"/>
      <c r="E303" s="440">
        <v>41186</v>
      </c>
      <c r="F303" s="467" t="s">
        <v>1553</v>
      </c>
      <c r="G303" s="477" t="s">
        <v>413</v>
      </c>
      <c r="H303" s="478">
        <v>140</v>
      </c>
      <c r="I303" s="476" t="e">
        <f>VLOOKUP(E303,'DER MG'!$D$5:$I$84,6,0)</f>
        <v>#N/A</v>
      </c>
      <c r="J303" s="476" t="e">
        <f t="shared" ref="J303" si="56">H303*I303</f>
        <v>#N/A</v>
      </c>
    </row>
    <row r="304" spans="1:10" ht="22.5">
      <c r="A304" s="595"/>
      <c r="B304" s="598"/>
      <c r="C304" s="599"/>
      <c r="D304" s="308"/>
      <c r="E304" s="440">
        <v>41633</v>
      </c>
      <c r="F304" s="456" t="s">
        <v>1463</v>
      </c>
      <c r="G304" s="477" t="s">
        <v>413</v>
      </c>
      <c r="H304" s="478">
        <v>140</v>
      </c>
      <c r="I304" s="476">
        <f>VLOOKUP(E304,'DER MG'!$D$5:$I$84,6,0)</f>
        <v>840.19</v>
      </c>
      <c r="J304" s="476">
        <f t="shared" ref="J304" si="57">H304*I304</f>
        <v>117626.6</v>
      </c>
    </row>
    <row r="305" spans="1:10" ht="22.5">
      <c r="A305" s="595"/>
      <c r="B305" s="598"/>
      <c r="C305" s="599"/>
      <c r="D305" s="308"/>
      <c r="E305" s="448">
        <v>41166</v>
      </c>
      <c r="F305" s="446" t="s">
        <v>1461</v>
      </c>
      <c r="G305" s="447" t="s">
        <v>339</v>
      </c>
      <c r="H305" s="478">
        <v>2800</v>
      </c>
      <c r="I305" s="476">
        <f>VLOOKUP(E305,'DER MG'!$D$5:$I$84,6,0)</f>
        <v>0.34</v>
      </c>
      <c r="J305" s="476">
        <f t="shared" si="55"/>
        <v>952.00000000000011</v>
      </c>
    </row>
    <row r="306" spans="1:10">
      <c r="A306" s="595"/>
      <c r="B306" s="598"/>
      <c r="C306" s="599"/>
      <c r="D306" s="308"/>
      <c r="E306" s="448">
        <v>41170</v>
      </c>
      <c r="F306" s="446" t="s">
        <v>1554</v>
      </c>
      <c r="G306" s="447" t="s">
        <v>413</v>
      </c>
      <c r="H306" s="478">
        <v>140</v>
      </c>
      <c r="I306" s="476">
        <f>VLOOKUP(E306,'DER MG'!$D$5:$I$84,6,0)</f>
        <v>10.54</v>
      </c>
      <c r="J306" s="476">
        <f t="shared" si="55"/>
        <v>1475.6</v>
      </c>
    </row>
    <row r="307" spans="1:10" ht="33.75">
      <c r="A307" s="595"/>
      <c r="B307" s="598"/>
      <c r="C307" s="599"/>
      <c r="D307" s="308"/>
      <c r="E307" s="448">
        <v>41093</v>
      </c>
      <c r="F307" s="446" t="s">
        <v>1462</v>
      </c>
      <c r="G307" s="447" t="s">
        <v>413</v>
      </c>
      <c r="H307" s="478">
        <v>280</v>
      </c>
      <c r="I307" s="476">
        <f>VLOOKUP(E307,'DER MG'!$D$5:$I$84,6,0)</f>
        <v>20.48</v>
      </c>
      <c r="J307" s="476">
        <f t="shared" si="55"/>
        <v>5734.4000000000005</v>
      </c>
    </row>
    <row r="308" spans="1:10" ht="22.5">
      <c r="A308" s="595"/>
      <c r="B308" s="598"/>
      <c r="C308" s="599"/>
      <c r="D308" s="308"/>
      <c r="E308" s="440">
        <v>41633</v>
      </c>
      <c r="F308" s="456" t="s">
        <v>1463</v>
      </c>
      <c r="G308" s="477" t="s">
        <v>413</v>
      </c>
      <c r="H308" s="478">
        <v>47.6</v>
      </c>
      <c r="I308" s="476">
        <f>VLOOKUP(E308,'DER MG'!$D$5:$I$84,6,0)</f>
        <v>840.19</v>
      </c>
      <c r="J308" s="476">
        <f t="shared" si="55"/>
        <v>39993.044000000002</v>
      </c>
    </row>
    <row r="309" spans="1:10">
      <c r="A309" s="595"/>
      <c r="B309" s="598"/>
      <c r="C309" s="599"/>
      <c r="D309" s="308"/>
      <c r="E309" s="461"/>
      <c r="F309" s="446"/>
      <c r="G309" s="441"/>
      <c r="H309" s="1349"/>
      <c r="I309" s="442"/>
      <c r="J309" s="442"/>
    </row>
    <row r="310" spans="1:10" ht="15">
      <c r="A310" s="595"/>
      <c r="B310" s="598"/>
      <c r="C310" s="599"/>
      <c r="D310" s="308"/>
      <c r="E310" s="452"/>
      <c r="F310" s="1347" t="s">
        <v>1464</v>
      </c>
      <c r="G310" s="1353"/>
      <c r="H310" s="1400"/>
      <c r="I310" s="1351"/>
      <c r="J310" s="453" t="e">
        <f>SUBTOTAL(9,J311:J318)</f>
        <v>#N/A</v>
      </c>
    </row>
    <row r="311" spans="1:10" ht="15">
      <c r="A311" s="595"/>
      <c r="B311" s="598"/>
      <c r="C311" s="599"/>
      <c r="D311" s="308"/>
      <c r="E311" s="452"/>
      <c r="F311" s="454" t="s">
        <v>317</v>
      </c>
      <c r="G311" s="455"/>
      <c r="H311" s="460"/>
      <c r="I311" s="442"/>
      <c r="J311" s="442"/>
    </row>
    <row r="312" spans="1:10">
      <c r="A312" s="595"/>
      <c r="B312" s="598"/>
      <c r="C312" s="599"/>
      <c r="D312" s="308"/>
      <c r="E312" s="452" t="s">
        <v>1465</v>
      </c>
      <c r="F312" s="454" t="s">
        <v>1466</v>
      </c>
      <c r="G312" s="477" t="s">
        <v>1435</v>
      </c>
      <c r="H312" s="485">
        <v>200</v>
      </c>
      <c r="I312" s="476" t="e">
        <f>VLOOKUP(E312,'DER MG'!$D$5:$I$84,6,0)</f>
        <v>#N/A</v>
      </c>
      <c r="J312" s="476" t="e">
        <f t="shared" ref="J312:J317" si="58">H312*I312</f>
        <v>#N/A</v>
      </c>
    </row>
    <row r="313" spans="1:10" ht="22.5">
      <c r="A313" s="595"/>
      <c r="B313" s="598"/>
      <c r="C313" s="599"/>
      <c r="D313" s="308"/>
      <c r="E313" s="452">
        <v>41230</v>
      </c>
      <c r="F313" s="454" t="s">
        <v>1467</v>
      </c>
      <c r="G313" s="480" t="s">
        <v>1468</v>
      </c>
      <c r="H313" s="485">
        <v>156.25</v>
      </c>
      <c r="I313" s="476">
        <f>VLOOKUP(E313,'DER MG'!$D$5:$I$84,6,0)</f>
        <v>30</v>
      </c>
      <c r="J313" s="476">
        <f t="shared" si="58"/>
        <v>4687.5</v>
      </c>
    </row>
    <row r="314" spans="1:10" ht="15">
      <c r="A314" s="595"/>
      <c r="B314" s="598"/>
      <c r="C314" s="599"/>
      <c r="D314" s="308"/>
      <c r="E314" s="452"/>
      <c r="F314" s="454" t="s">
        <v>424</v>
      </c>
      <c r="G314" s="455"/>
      <c r="H314" s="460"/>
      <c r="I314" s="442"/>
      <c r="J314" s="442"/>
    </row>
    <row r="315" spans="1:10" ht="33.75">
      <c r="A315" s="595"/>
      <c r="B315" s="598"/>
      <c r="C315" s="599"/>
      <c r="D315" s="308"/>
      <c r="E315" s="440">
        <v>42883</v>
      </c>
      <c r="F315" s="446" t="s">
        <v>1469</v>
      </c>
      <c r="G315" s="477" t="s">
        <v>1435</v>
      </c>
      <c r="H315" s="485">
        <v>15.89</v>
      </c>
      <c r="I315" s="476">
        <f>VLOOKUP(E315,'DER MG'!$D$5:$I$84,6,0)</f>
        <v>554.65</v>
      </c>
      <c r="J315" s="476">
        <f t="shared" si="58"/>
        <v>8813.3884999999991</v>
      </c>
    </row>
    <row r="316" spans="1:10" ht="33.75">
      <c r="A316" s="595"/>
      <c r="B316" s="598"/>
      <c r="C316" s="599"/>
      <c r="D316" s="308"/>
      <c r="E316" s="440">
        <v>42884</v>
      </c>
      <c r="F316" s="467" t="s">
        <v>1555</v>
      </c>
      <c r="G316" s="477" t="s">
        <v>1435</v>
      </c>
      <c r="H316" s="485">
        <v>15.89</v>
      </c>
      <c r="I316" s="476">
        <f>VLOOKUP(E316,'DER MG'!$D$5:$I$84,6,0)</f>
        <v>554.65</v>
      </c>
      <c r="J316" s="476">
        <f t="shared" si="58"/>
        <v>8813.3884999999991</v>
      </c>
    </row>
    <row r="317" spans="1:10">
      <c r="A317" s="595"/>
      <c r="B317" s="598"/>
      <c r="C317" s="599"/>
      <c r="D317" s="308"/>
      <c r="E317" s="440" t="s">
        <v>1471</v>
      </c>
      <c r="F317" s="446" t="s">
        <v>1472</v>
      </c>
      <c r="G317" s="447" t="s">
        <v>384</v>
      </c>
      <c r="H317" s="485">
        <v>1</v>
      </c>
      <c r="I317" s="476">
        <f>VLOOKUP(E317,'DER MG'!$D$5:$I$84,6,0)</f>
        <v>26552.13</v>
      </c>
      <c r="J317" s="476">
        <f t="shared" si="58"/>
        <v>26552.13</v>
      </c>
    </row>
    <row r="318" spans="1:10">
      <c r="A318" s="595"/>
      <c r="B318" s="598"/>
      <c r="C318" s="599"/>
      <c r="D318" s="308"/>
      <c r="E318" s="459"/>
      <c r="F318" s="446"/>
      <c r="G318" s="441"/>
      <c r="H318" s="1349"/>
      <c r="I318" s="442"/>
      <c r="J318" s="442"/>
    </row>
    <row r="319" spans="1:10" ht="15">
      <c r="A319" s="595"/>
      <c r="B319" s="598"/>
      <c r="C319" s="599"/>
      <c r="D319" s="308"/>
      <c r="E319" s="452"/>
      <c r="F319" s="1347" t="s">
        <v>1473</v>
      </c>
      <c r="G319" s="1353"/>
      <c r="H319" s="1400"/>
      <c r="I319" s="442"/>
      <c r="J319" s="453">
        <f>SUBTOTAL(9,J320:J321)</f>
        <v>33361.052000000003</v>
      </c>
    </row>
    <row r="320" spans="1:10" ht="22.5">
      <c r="A320" s="595"/>
      <c r="B320" s="598"/>
      <c r="C320" s="599"/>
      <c r="D320" s="308"/>
      <c r="E320" s="459">
        <v>41402</v>
      </c>
      <c r="F320" s="446" t="s">
        <v>1474</v>
      </c>
      <c r="G320" s="477" t="s">
        <v>339</v>
      </c>
      <c r="H320" s="479">
        <v>1398.2</v>
      </c>
      <c r="I320" s="476">
        <f>VLOOKUP(E320,'DER MG'!$D$5:$I$84,6,0)</f>
        <v>23.86</v>
      </c>
      <c r="J320" s="476">
        <f t="shared" ref="J320" si="59">H320*I320</f>
        <v>33361.052000000003</v>
      </c>
    </row>
    <row r="321" spans="1:10" ht="15">
      <c r="A321" s="595"/>
      <c r="B321" s="598"/>
      <c r="C321" s="599"/>
      <c r="D321" s="308"/>
      <c r="E321" s="461"/>
      <c r="F321" s="454"/>
      <c r="G321" s="1353"/>
      <c r="H321" s="1400"/>
      <c r="I321" s="442"/>
      <c r="J321" s="1350"/>
    </row>
    <row r="322" spans="1:10" ht="15">
      <c r="A322" s="595"/>
      <c r="B322" s="598"/>
      <c r="C322" s="599"/>
      <c r="D322" s="308"/>
      <c r="E322" s="452"/>
      <c r="F322" s="1347" t="s">
        <v>1475</v>
      </c>
      <c r="G322" s="1390"/>
      <c r="H322" s="1392"/>
      <c r="I322" s="1351"/>
      <c r="J322" s="453"/>
    </row>
    <row r="323" spans="1:10">
      <c r="A323" s="595"/>
      <c r="B323" s="598"/>
      <c r="C323" s="599"/>
      <c r="D323" s="308"/>
      <c r="E323" s="461"/>
      <c r="F323" s="454" t="s">
        <v>1475</v>
      </c>
      <c r="G323" s="1390" t="s">
        <v>1477</v>
      </c>
      <c r="H323" s="485">
        <v>1</v>
      </c>
      <c r="I323" s="476">
        <v>230000</v>
      </c>
      <c r="J323" s="476">
        <f t="shared" ref="J323" si="60">H323*I323</f>
        <v>230000</v>
      </c>
    </row>
    <row r="324" spans="1:10" ht="15">
      <c r="A324" s="595"/>
      <c r="B324" s="598"/>
      <c r="C324" s="599"/>
      <c r="D324" s="308"/>
      <c r="E324" s="452"/>
      <c r="F324" s="454"/>
      <c r="G324" s="1371"/>
      <c r="H324" s="1349"/>
      <c r="I324" s="1351"/>
      <c r="J324" s="1350"/>
    </row>
    <row r="325" spans="1:10" ht="15">
      <c r="A325" s="595"/>
      <c r="B325" s="598"/>
      <c r="C325" s="599"/>
      <c r="D325" s="308"/>
      <c r="E325" s="1393"/>
      <c r="F325" s="1401" t="s">
        <v>1488</v>
      </c>
      <c r="G325" s="1394">
        <v>1</v>
      </c>
      <c r="H325" s="1395" t="s">
        <v>1591</v>
      </c>
      <c r="I325" s="1402"/>
      <c r="J325" s="1403" t="e">
        <f>SUBTOTAL(9,J291:J324)</f>
        <v>#N/A</v>
      </c>
    </row>
    <row r="326" spans="1:10" ht="15">
      <c r="A326" s="595"/>
      <c r="B326" s="598"/>
      <c r="C326" s="599"/>
      <c r="D326" s="308"/>
      <c r="E326" s="1384"/>
      <c r="F326" s="1401" t="s">
        <v>1488</v>
      </c>
      <c r="G326" s="1404">
        <f>I288</f>
        <v>0</v>
      </c>
      <c r="H326" s="1395" t="s">
        <v>1592</v>
      </c>
      <c r="I326" s="1402"/>
      <c r="J326" s="1403" t="e">
        <f>J325*I288*1.25*1.15</f>
        <v>#N/A</v>
      </c>
    </row>
    <row r="327" spans="1:10">
      <c r="A327" s="595"/>
      <c r="B327" s="598"/>
      <c r="C327" s="599"/>
      <c r="D327" s="308"/>
    </row>
    <row r="328" spans="1:10">
      <c r="A328" s="595"/>
      <c r="B328" s="598"/>
      <c r="C328" s="599"/>
      <c r="D328" s="308"/>
    </row>
    <row r="329" spans="1:10" ht="18">
      <c r="A329" s="595"/>
      <c r="B329" s="598"/>
      <c r="C329" s="599"/>
      <c r="D329" s="308"/>
      <c r="E329" s="1364" t="s">
        <v>1587</v>
      </c>
      <c r="F329" s="1365"/>
      <c r="G329" s="1405"/>
      <c r="H329" s="1406"/>
      <c r="I329" s="1368"/>
      <c r="J329" s="1369"/>
    </row>
    <row r="330" spans="1:10" ht="18">
      <c r="A330" s="595"/>
      <c r="B330" s="598"/>
      <c r="C330" s="599"/>
      <c r="D330" s="308"/>
      <c r="E330" s="844" t="s">
        <v>1593</v>
      </c>
      <c r="F330" s="831"/>
      <c r="G330" s="845"/>
      <c r="H330" s="834"/>
      <c r="I330" s="846"/>
      <c r="J330" s="847"/>
    </row>
    <row r="331" spans="1:10">
      <c r="A331" s="595"/>
      <c r="B331" s="598"/>
      <c r="C331" s="599"/>
      <c r="D331" s="308"/>
      <c r="E331" s="830" t="s">
        <v>1558</v>
      </c>
      <c r="F331" s="836"/>
      <c r="G331" s="832"/>
      <c r="H331" s="837"/>
      <c r="I331" s="1370"/>
      <c r="J331" s="838" t="s">
        <v>1430</v>
      </c>
    </row>
    <row r="332" spans="1:10">
      <c r="A332" s="595"/>
      <c r="B332" s="598"/>
      <c r="C332" s="599"/>
      <c r="D332" s="308"/>
      <c r="E332" s="830" t="s">
        <v>1594</v>
      </c>
      <c r="F332" s="836"/>
      <c r="G332" s="832"/>
      <c r="H332" s="837"/>
      <c r="I332" s="1370"/>
      <c r="J332" s="838" t="s">
        <v>1546</v>
      </c>
    </row>
    <row r="333" spans="1:10">
      <c r="A333" s="595"/>
      <c r="B333" s="598"/>
      <c r="C333" s="599"/>
      <c r="D333" s="308"/>
      <c r="E333" s="848"/>
      <c r="F333" s="840"/>
      <c r="G333" s="841"/>
      <c r="H333" s="842"/>
      <c r="I333" s="842"/>
      <c r="J333" s="843"/>
    </row>
    <row r="334" spans="1:10" ht="22.5">
      <c r="A334" s="595"/>
      <c r="B334" s="598"/>
      <c r="C334" s="599"/>
      <c r="D334" s="308"/>
      <c r="E334" s="1342" t="s">
        <v>1429</v>
      </c>
      <c r="F334" s="1343" t="s">
        <v>1548</v>
      </c>
      <c r="G334" s="1344" t="s">
        <v>1549</v>
      </c>
      <c r="H334" s="1345"/>
      <c r="I334" s="1346" t="s">
        <v>1551</v>
      </c>
      <c r="J334" s="1346" t="s">
        <v>1552</v>
      </c>
    </row>
    <row r="335" spans="1:10" ht="9.9499999999999993" customHeight="1">
      <c r="A335" s="595"/>
      <c r="B335" s="598"/>
      <c r="C335" s="599"/>
      <c r="D335" s="308"/>
      <c r="E335" s="461"/>
      <c r="F335" s="1347" t="s">
        <v>1433</v>
      </c>
      <c r="G335" s="1389"/>
      <c r="H335" s="460"/>
      <c r="I335" s="1350"/>
      <c r="J335" s="453" t="e">
        <f>SUBTOTAL(9,J336:J339)</f>
        <v>#N/A</v>
      </c>
    </row>
    <row r="336" spans="1:10">
      <c r="A336" s="595"/>
      <c r="B336" s="598"/>
      <c r="C336" s="599"/>
      <c r="D336" s="308"/>
      <c r="E336" s="459" t="s">
        <v>1595</v>
      </c>
      <c r="F336" s="446" t="s">
        <v>1596</v>
      </c>
      <c r="G336" s="1390" t="s">
        <v>339</v>
      </c>
      <c r="H336" s="460">
        <v>16800</v>
      </c>
      <c r="I336" s="442" t="e">
        <f>VLOOKUP(E336,'DER MG'!$D$5:$I$8,6,0)</f>
        <v>#N/A</v>
      </c>
      <c r="J336" s="442" t="e">
        <f t="shared" ref="J336:J338" si="61">H336*I336</f>
        <v>#N/A</v>
      </c>
    </row>
    <row r="337" spans="1:10">
      <c r="A337" s="595"/>
      <c r="B337" s="598"/>
      <c r="C337" s="599"/>
      <c r="D337" s="308"/>
      <c r="E337" s="459" t="s">
        <v>1597</v>
      </c>
      <c r="F337" s="446" t="s">
        <v>1598</v>
      </c>
      <c r="G337" s="1390" t="s">
        <v>392</v>
      </c>
      <c r="H337" s="460">
        <v>11760</v>
      </c>
      <c r="I337" s="442" t="e">
        <f>VLOOKUP(E337,'DER MG'!$D$5:$I$8,6,0)</f>
        <v>#N/A</v>
      </c>
      <c r="J337" s="442" t="e">
        <f t="shared" si="61"/>
        <v>#N/A</v>
      </c>
    </row>
    <row r="338" spans="1:10">
      <c r="A338" s="595"/>
      <c r="B338" s="598"/>
      <c r="C338" s="599"/>
      <c r="D338" s="308"/>
      <c r="E338" s="459" t="s">
        <v>1599</v>
      </c>
      <c r="F338" s="446" t="s">
        <v>1600</v>
      </c>
      <c r="G338" s="447" t="s">
        <v>392</v>
      </c>
      <c r="H338" s="460">
        <v>9408</v>
      </c>
      <c r="I338" s="442" t="e">
        <f>VLOOKUP(E338,'DER MG'!$D$5:$I$8,6,0)</f>
        <v>#N/A</v>
      </c>
      <c r="J338" s="442" t="e">
        <f t="shared" si="61"/>
        <v>#N/A</v>
      </c>
    </row>
    <row r="339" spans="1:10" ht="15">
      <c r="A339" s="595"/>
      <c r="B339" s="598"/>
      <c r="C339" s="599"/>
      <c r="D339" s="308"/>
      <c r="E339" s="459"/>
      <c r="F339" s="446"/>
      <c r="G339" s="447"/>
      <c r="H339" s="460"/>
      <c r="I339" s="1351"/>
      <c r="J339" s="1350"/>
    </row>
    <row r="340" spans="1:10" ht="15">
      <c r="A340" s="595"/>
      <c r="B340" s="598"/>
      <c r="C340" s="599"/>
      <c r="D340" s="308"/>
      <c r="E340" s="461"/>
      <c r="F340" s="1352" t="s">
        <v>1601</v>
      </c>
      <c r="G340" s="1390"/>
      <c r="H340" s="460"/>
      <c r="I340" s="1351"/>
      <c r="J340" s="453" t="e">
        <f>SUBTOTAL(9,J341:J344)</f>
        <v>#N/A</v>
      </c>
    </row>
    <row r="341" spans="1:10">
      <c r="A341" s="595"/>
      <c r="B341" s="598"/>
      <c r="C341" s="599"/>
      <c r="D341" s="308"/>
      <c r="E341" s="461">
        <v>40113</v>
      </c>
      <c r="F341" s="446" t="s">
        <v>1602</v>
      </c>
      <c r="G341" s="1390" t="s">
        <v>339</v>
      </c>
      <c r="H341" s="460">
        <v>120</v>
      </c>
      <c r="I341" s="442" t="e">
        <f>VLOOKUP(E341,'DER MG'!$D$5:$I$8,6,0)</f>
        <v>#N/A</v>
      </c>
      <c r="J341" s="442" t="e">
        <f t="shared" ref="J341:J343" si="62">H341*I341</f>
        <v>#N/A</v>
      </c>
    </row>
    <row r="342" spans="1:10">
      <c r="A342" s="595"/>
      <c r="B342" s="598"/>
      <c r="C342" s="599"/>
      <c r="D342" s="308"/>
      <c r="E342" s="459" t="s">
        <v>1564</v>
      </c>
      <c r="F342" s="446" t="s">
        <v>1603</v>
      </c>
      <c r="G342" s="447" t="s">
        <v>339</v>
      </c>
      <c r="H342" s="1349">
        <v>800</v>
      </c>
      <c r="I342" s="442" t="e">
        <f>VLOOKUP(E342,'DER MG'!$D$5:$I$8,6,0)</f>
        <v>#N/A</v>
      </c>
      <c r="J342" s="442" t="e">
        <f t="shared" si="62"/>
        <v>#N/A</v>
      </c>
    </row>
    <row r="343" spans="1:10">
      <c r="A343" s="595"/>
      <c r="B343" s="598"/>
      <c r="C343" s="599"/>
      <c r="D343" s="308"/>
      <c r="E343" s="459" t="s">
        <v>1562</v>
      </c>
      <c r="F343" s="446" t="s">
        <v>1563</v>
      </c>
      <c r="G343" s="447" t="s">
        <v>339</v>
      </c>
      <c r="H343" s="460">
        <v>30.799999999999997</v>
      </c>
      <c r="I343" s="442" t="e">
        <f>VLOOKUP(E343,'DER MG'!$D$5:$I$8,6,0)</f>
        <v>#N/A</v>
      </c>
      <c r="J343" s="442" t="e">
        <f t="shared" si="62"/>
        <v>#N/A</v>
      </c>
    </row>
    <row r="344" spans="1:10" ht="15">
      <c r="A344" s="595"/>
      <c r="B344" s="598"/>
      <c r="C344" s="599"/>
      <c r="D344" s="308"/>
      <c r="E344" s="461"/>
      <c r="F344" s="446"/>
      <c r="G344" s="1390"/>
      <c r="H344" s="460"/>
      <c r="I344" s="1351"/>
      <c r="J344" s="1350"/>
    </row>
    <row r="345" spans="1:10" ht="15">
      <c r="A345" s="595"/>
      <c r="B345" s="598"/>
      <c r="C345" s="599"/>
      <c r="D345" s="308"/>
      <c r="E345" s="461"/>
      <c r="F345" s="1352" t="s">
        <v>1604</v>
      </c>
      <c r="G345" s="1390"/>
      <c r="H345" s="460"/>
      <c r="I345" s="1351"/>
      <c r="J345" s="453" t="e">
        <f>SUBTOTAL(9,J346:J349)</f>
        <v>#N/A</v>
      </c>
    </row>
    <row r="346" spans="1:10">
      <c r="A346" s="595"/>
      <c r="B346" s="598"/>
      <c r="C346" s="599"/>
      <c r="D346" s="308"/>
      <c r="E346" s="461" t="s">
        <v>1605</v>
      </c>
      <c r="F346" s="446" t="s">
        <v>1606</v>
      </c>
      <c r="G346" s="447" t="s">
        <v>392</v>
      </c>
      <c r="H346" s="460">
        <v>20</v>
      </c>
      <c r="I346" s="442" t="e">
        <f>VLOOKUP(E346,'DER MG'!$D$5:$I$8,6,0)</f>
        <v>#N/A</v>
      </c>
      <c r="J346" s="442" t="e">
        <f t="shared" ref="J346:J348" si="63">H346*I346</f>
        <v>#N/A</v>
      </c>
    </row>
    <row r="347" spans="1:10">
      <c r="A347" s="595"/>
      <c r="B347" s="598"/>
      <c r="C347" s="599"/>
      <c r="D347" s="308"/>
      <c r="E347" s="461" t="s">
        <v>1607</v>
      </c>
      <c r="F347" s="446" t="s">
        <v>1608</v>
      </c>
      <c r="G347" s="447" t="s">
        <v>339</v>
      </c>
      <c r="H347" s="460">
        <v>101.3</v>
      </c>
      <c r="I347" s="442" t="e">
        <f>VLOOKUP(E347,'DER MG'!$D$5:$I$8,6,0)</f>
        <v>#N/A</v>
      </c>
      <c r="J347" s="442" t="e">
        <f t="shared" si="63"/>
        <v>#N/A</v>
      </c>
    </row>
    <row r="348" spans="1:10">
      <c r="A348" s="595"/>
      <c r="B348" s="598"/>
      <c r="C348" s="599"/>
      <c r="D348" s="308"/>
      <c r="E348" s="461" t="s">
        <v>1609</v>
      </c>
      <c r="F348" s="446" t="s">
        <v>1610</v>
      </c>
      <c r="G348" s="1390" t="s">
        <v>1442</v>
      </c>
      <c r="H348" s="460">
        <v>2000</v>
      </c>
      <c r="I348" s="442" t="e">
        <f>VLOOKUP(E348,'DER MG'!$D$5:$I$8,6,0)</f>
        <v>#N/A</v>
      </c>
      <c r="J348" s="442" t="e">
        <f t="shared" si="63"/>
        <v>#N/A</v>
      </c>
    </row>
    <row r="349" spans="1:10" ht="15">
      <c r="A349" s="595"/>
      <c r="B349" s="598"/>
      <c r="C349" s="599"/>
      <c r="D349" s="308"/>
      <c r="E349" s="461"/>
      <c r="F349" s="446"/>
      <c r="G349" s="1390"/>
      <c r="H349" s="460"/>
      <c r="I349" s="1351"/>
      <c r="J349" s="1350"/>
    </row>
    <row r="350" spans="1:10" ht="15">
      <c r="A350" s="595"/>
      <c r="B350" s="598"/>
      <c r="C350" s="599"/>
      <c r="D350" s="308"/>
      <c r="E350" s="461"/>
      <c r="F350" s="1352" t="s">
        <v>1454</v>
      </c>
      <c r="G350" s="1390"/>
      <c r="H350" s="460"/>
      <c r="I350" s="1351"/>
      <c r="J350" s="453" t="e">
        <f>SUBTOTAL(9,J351:J357)</f>
        <v>#N/A</v>
      </c>
    </row>
    <row r="351" spans="1:10">
      <c r="A351" s="595"/>
      <c r="B351" s="598"/>
      <c r="C351" s="599"/>
      <c r="D351" s="308"/>
      <c r="E351" s="459" t="s">
        <v>1566</v>
      </c>
      <c r="F351" s="446" t="s">
        <v>1567</v>
      </c>
      <c r="G351" s="447" t="s">
        <v>339</v>
      </c>
      <c r="H351" s="460">
        <v>13300</v>
      </c>
      <c r="I351" s="442" t="e">
        <f>VLOOKUP(E351,'DER MG'!$D$5:$I$8,6,0)</f>
        <v>#N/A</v>
      </c>
      <c r="J351" s="442" t="e">
        <f t="shared" ref="J351:J356" si="64">H351*I351</f>
        <v>#N/A</v>
      </c>
    </row>
    <row r="352" spans="1:10">
      <c r="A352" s="595"/>
      <c r="B352" s="598"/>
      <c r="C352" s="599"/>
      <c r="D352" s="308"/>
      <c r="E352" s="459" t="s">
        <v>1568</v>
      </c>
      <c r="F352" s="1356" t="s">
        <v>1569</v>
      </c>
      <c r="G352" s="447" t="s">
        <v>392</v>
      </c>
      <c r="H352" s="460">
        <v>3325</v>
      </c>
      <c r="I352" s="442" t="e">
        <f>VLOOKUP(E352,'DER MG'!$D$5:$I$8,6,0)</f>
        <v>#N/A</v>
      </c>
      <c r="J352" s="442" t="e">
        <f t="shared" si="64"/>
        <v>#N/A</v>
      </c>
    </row>
    <row r="353" spans="1:10">
      <c r="A353" s="595"/>
      <c r="B353" s="598"/>
      <c r="C353" s="599"/>
      <c r="D353" s="308"/>
      <c r="E353" s="461">
        <v>40115</v>
      </c>
      <c r="F353" s="446" t="s">
        <v>1570</v>
      </c>
      <c r="G353" s="447" t="s">
        <v>339</v>
      </c>
      <c r="H353" s="460">
        <v>13300</v>
      </c>
      <c r="I353" s="442" t="e">
        <f>VLOOKUP(E353,'DER MG'!$D$5:$I$8,6,0)</f>
        <v>#N/A</v>
      </c>
      <c r="J353" s="442" t="e">
        <f t="shared" si="64"/>
        <v>#N/A</v>
      </c>
    </row>
    <row r="354" spans="1:10">
      <c r="A354" s="595"/>
      <c r="B354" s="598"/>
      <c r="C354" s="599"/>
      <c r="D354" s="308"/>
      <c r="E354" s="461">
        <v>40117</v>
      </c>
      <c r="F354" s="446" t="s">
        <v>1611</v>
      </c>
      <c r="G354" s="447" t="s">
        <v>392</v>
      </c>
      <c r="H354" s="460">
        <v>665</v>
      </c>
      <c r="I354" s="442" t="e">
        <f>VLOOKUP(E354,'DER MG'!$D$5:$I$8,6,0)</f>
        <v>#N/A</v>
      </c>
      <c r="J354" s="442" t="e">
        <f t="shared" si="64"/>
        <v>#N/A</v>
      </c>
    </row>
    <row r="355" spans="1:10">
      <c r="A355" s="595"/>
      <c r="B355" s="598"/>
      <c r="C355" s="599"/>
      <c r="D355" s="308"/>
      <c r="E355" s="461">
        <v>40116</v>
      </c>
      <c r="F355" s="446" t="s">
        <v>1571</v>
      </c>
      <c r="G355" s="447" t="s">
        <v>339</v>
      </c>
      <c r="H355" s="460">
        <v>26600</v>
      </c>
      <c r="I355" s="442" t="e">
        <f>VLOOKUP(E355,'DER MG'!$D$5:$I$8,6,0)</f>
        <v>#N/A</v>
      </c>
      <c r="J355" s="442" t="e">
        <f t="shared" si="64"/>
        <v>#N/A</v>
      </c>
    </row>
    <row r="356" spans="1:10">
      <c r="A356" s="595"/>
      <c r="B356" s="598"/>
      <c r="C356" s="599"/>
      <c r="D356" s="308"/>
      <c r="E356" s="461">
        <v>40118</v>
      </c>
      <c r="F356" s="446" t="s">
        <v>1612</v>
      </c>
      <c r="G356" s="447" t="s">
        <v>392</v>
      </c>
      <c r="H356" s="460">
        <v>665</v>
      </c>
      <c r="I356" s="442" t="e">
        <f>VLOOKUP(E356,'DER MG'!$D$5:$I$8,6,0)</f>
        <v>#N/A</v>
      </c>
      <c r="J356" s="442" t="e">
        <f t="shared" si="64"/>
        <v>#N/A</v>
      </c>
    </row>
    <row r="357" spans="1:10" ht="15">
      <c r="A357" s="595"/>
      <c r="B357" s="598"/>
      <c r="C357" s="599"/>
      <c r="D357" s="308"/>
      <c r="E357" s="461"/>
      <c r="F357" s="454"/>
      <c r="G357" s="1390"/>
      <c r="H357" s="460"/>
      <c r="I357" s="1351"/>
      <c r="J357" s="1350"/>
    </row>
    <row r="358" spans="1:10" ht="15">
      <c r="A358" s="595"/>
      <c r="B358" s="598"/>
      <c r="C358" s="599"/>
      <c r="D358" s="308"/>
      <c r="E358" s="452"/>
      <c r="F358" s="1347" t="s">
        <v>1464</v>
      </c>
      <c r="G358" s="1390"/>
      <c r="H358" s="460"/>
      <c r="I358" s="1351"/>
      <c r="J358" s="453" t="e">
        <f>SUBTOTAL(9,J359:J362)</f>
        <v>#N/A</v>
      </c>
    </row>
    <row r="359" spans="1:10">
      <c r="A359" s="595"/>
      <c r="B359" s="598"/>
      <c r="C359" s="599"/>
      <c r="D359" s="308"/>
      <c r="E359" s="459">
        <v>40357</v>
      </c>
      <c r="F359" s="446" t="s">
        <v>1575</v>
      </c>
      <c r="G359" s="447" t="s">
        <v>339</v>
      </c>
      <c r="H359" s="460">
        <v>690</v>
      </c>
      <c r="I359" s="442" t="e">
        <f>VLOOKUP(E359,'DER MG'!$D$5:$I$8,6,0)</f>
        <v>#N/A</v>
      </c>
      <c r="J359" s="442" t="e">
        <f t="shared" ref="J359:J361" si="65">H359*I359</f>
        <v>#N/A</v>
      </c>
    </row>
    <row r="360" spans="1:10">
      <c r="A360" s="595"/>
      <c r="B360" s="598"/>
      <c r="C360" s="599"/>
      <c r="D360" s="308"/>
      <c r="E360" s="459">
        <v>40358</v>
      </c>
      <c r="F360" s="446" t="s">
        <v>1613</v>
      </c>
      <c r="G360" s="447" t="s">
        <v>384</v>
      </c>
      <c r="H360" s="460">
        <v>140</v>
      </c>
      <c r="I360" s="442" t="e">
        <f>VLOOKUP(E360,'DER MG'!$D$5:$I$8,6,0)</f>
        <v>#N/A</v>
      </c>
      <c r="J360" s="442" t="e">
        <f t="shared" si="65"/>
        <v>#N/A</v>
      </c>
    </row>
    <row r="361" spans="1:10">
      <c r="A361" s="595"/>
      <c r="B361" s="598"/>
      <c r="C361" s="599"/>
      <c r="D361" s="308"/>
      <c r="E361" s="459">
        <v>40359</v>
      </c>
      <c r="F361" s="446" t="s">
        <v>1577</v>
      </c>
      <c r="G361" s="447" t="s">
        <v>339</v>
      </c>
      <c r="H361" s="460">
        <v>25</v>
      </c>
      <c r="I361" s="442" t="e">
        <f>VLOOKUP(E361,'DER MG'!$D$5:$I$8,6,0)</f>
        <v>#N/A</v>
      </c>
      <c r="J361" s="442" t="e">
        <f t="shared" si="65"/>
        <v>#N/A</v>
      </c>
    </row>
    <row r="362" spans="1:10" ht="15">
      <c r="A362" s="595"/>
      <c r="B362" s="598"/>
      <c r="C362" s="599"/>
      <c r="D362" s="308"/>
      <c r="E362" s="461"/>
      <c r="F362" s="454"/>
      <c r="G362" s="1390"/>
      <c r="H362" s="460"/>
      <c r="I362" s="1351"/>
      <c r="J362" s="1350"/>
    </row>
    <row r="363" spans="1:10" ht="15">
      <c r="A363" s="595"/>
      <c r="B363" s="598"/>
      <c r="C363" s="599"/>
      <c r="D363" s="308"/>
      <c r="E363" s="461"/>
      <c r="F363" s="1347" t="s">
        <v>1473</v>
      </c>
      <c r="G363" s="1390"/>
      <c r="H363" s="460"/>
      <c r="I363" s="1351"/>
      <c r="J363" s="453" t="e">
        <f>SUBTOTAL(9,J364:J365)</f>
        <v>#N/A</v>
      </c>
    </row>
    <row r="364" spans="1:10">
      <c r="A364" s="595"/>
      <c r="B364" s="598"/>
      <c r="C364" s="599"/>
      <c r="D364" s="308"/>
      <c r="E364" s="459">
        <v>40354</v>
      </c>
      <c r="F364" s="446" t="s">
        <v>1578</v>
      </c>
      <c r="G364" s="447" t="s">
        <v>339</v>
      </c>
      <c r="H364" s="460">
        <v>5200</v>
      </c>
      <c r="I364" s="442" t="e">
        <f>VLOOKUP(E364,'DER MG'!$D$5:$I$8,6,0)</f>
        <v>#N/A</v>
      </c>
      <c r="J364" s="442" t="e">
        <f t="shared" ref="J364" si="66">H364*I364</f>
        <v>#N/A</v>
      </c>
    </row>
    <row r="365" spans="1:10" ht="15">
      <c r="A365" s="595"/>
      <c r="B365" s="598"/>
      <c r="C365" s="599"/>
      <c r="D365" s="308"/>
      <c r="E365" s="461"/>
      <c r="F365" s="454"/>
      <c r="G365" s="1390"/>
      <c r="H365" s="460"/>
      <c r="I365" s="1351"/>
      <c r="J365" s="1350"/>
    </row>
    <row r="366" spans="1:10" ht="15">
      <c r="A366" s="595"/>
      <c r="B366" s="598"/>
      <c r="C366" s="599"/>
      <c r="D366" s="308"/>
      <c r="E366" s="461"/>
      <c r="F366" s="1347" t="s">
        <v>1475</v>
      </c>
      <c r="G366" s="1390"/>
      <c r="H366" s="460"/>
      <c r="I366" s="1351"/>
      <c r="J366" s="453" t="e">
        <f>SUBTOTAL(9,J367:J368)</f>
        <v>#N/A</v>
      </c>
    </row>
    <row r="367" spans="1:10">
      <c r="A367" s="595"/>
      <c r="B367" s="598"/>
      <c r="C367" s="599"/>
      <c r="D367" s="308"/>
      <c r="E367" s="461">
        <v>40125</v>
      </c>
      <c r="F367" s="454" t="s">
        <v>1475</v>
      </c>
      <c r="G367" s="1390" t="s">
        <v>1477</v>
      </c>
      <c r="H367" s="460">
        <v>4</v>
      </c>
      <c r="I367" s="442" t="e">
        <f>VLOOKUP(E367,'DER MG'!$D$5:$I$8,6,0)</f>
        <v>#N/A</v>
      </c>
      <c r="J367" s="442" t="e">
        <f t="shared" ref="J367" si="67">H367*I367</f>
        <v>#N/A</v>
      </c>
    </row>
    <row r="368" spans="1:10" ht="15">
      <c r="A368" s="595"/>
      <c r="B368" s="598"/>
      <c r="C368" s="599"/>
      <c r="D368" s="308"/>
      <c r="E368" s="461"/>
      <c r="F368" s="454"/>
      <c r="G368" s="1390"/>
      <c r="H368" s="460"/>
      <c r="I368" s="1351"/>
      <c r="J368" s="1350"/>
    </row>
    <row r="369" spans="1:10" ht="15">
      <c r="A369" s="595"/>
      <c r="B369" s="598"/>
      <c r="C369" s="599"/>
      <c r="D369" s="308"/>
      <c r="E369" s="1407"/>
      <c r="F369" s="1408" t="s">
        <v>1488</v>
      </c>
      <c r="G369" s="1409">
        <v>1</v>
      </c>
      <c r="H369" s="1410" t="s">
        <v>1591</v>
      </c>
      <c r="I369" s="1411"/>
      <c r="J369" s="1412" t="e">
        <f>SUBTOTAL(9,J335:J368)</f>
        <v>#N/A</v>
      </c>
    </row>
    <row r="370" spans="1:10" ht="15">
      <c r="A370" s="595"/>
      <c r="B370" s="598"/>
      <c r="C370" s="599"/>
      <c r="D370" s="308"/>
      <c r="E370" s="1413"/>
      <c r="F370" s="1408" t="s">
        <v>1488</v>
      </c>
      <c r="G370" s="1414">
        <f>I332</f>
        <v>0</v>
      </c>
      <c r="H370" s="1415" t="s">
        <v>1592</v>
      </c>
      <c r="I370" s="1411"/>
      <c r="J370" s="1412" t="e">
        <f>J369*I332</f>
        <v>#N/A</v>
      </c>
    </row>
    <row r="371" spans="1:10">
      <c r="A371" s="595"/>
      <c r="B371" s="598"/>
      <c r="C371" s="599"/>
      <c r="D371" s="308"/>
    </row>
    <row r="372" spans="1:10" ht="18">
      <c r="A372" s="595"/>
      <c r="B372" s="598"/>
      <c r="C372" s="599"/>
      <c r="D372" s="308"/>
      <c r="E372" s="685" t="s">
        <v>1614</v>
      </c>
      <c r="F372" s="1340"/>
      <c r="G372" s="1341"/>
      <c r="H372" s="688"/>
      <c r="I372" s="689"/>
      <c r="J372" s="690"/>
    </row>
    <row r="373" spans="1:10" ht="15">
      <c r="A373" s="595"/>
      <c r="B373" s="598"/>
      <c r="C373" s="599"/>
      <c r="D373" s="308"/>
      <c r="E373" s="691" t="s">
        <v>1428</v>
      </c>
      <c r="F373" s="673"/>
      <c r="G373" s="674"/>
      <c r="H373" s="675"/>
      <c r="I373" s="676"/>
      <c r="J373" s="677"/>
    </row>
    <row r="374" spans="1:10">
      <c r="A374" s="595"/>
      <c r="B374" s="598"/>
      <c r="C374" s="599"/>
      <c r="D374" s="308"/>
      <c r="E374" s="691" t="s">
        <v>1545</v>
      </c>
      <c r="F374" s="678"/>
      <c r="G374" s="674"/>
      <c r="H374" s="679"/>
      <c r="I374" s="692">
        <v>1</v>
      </c>
      <c r="J374" s="680" t="s">
        <v>1430</v>
      </c>
    </row>
    <row r="375" spans="1:10">
      <c r="A375" s="595"/>
      <c r="B375" s="598"/>
      <c r="C375" s="599"/>
      <c r="D375" s="308"/>
      <c r="E375" s="691" t="s">
        <v>1615</v>
      </c>
      <c r="F375" s="693"/>
      <c r="G375" s="674"/>
      <c r="H375" s="702"/>
      <c r="I375" s="702"/>
      <c r="J375" s="703"/>
    </row>
    <row r="376" spans="1:10">
      <c r="A376" s="595"/>
      <c r="B376" s="598"/>
      <c r="C376" s="599"/>
      <c r="D376" s="308"/>
      <c r="E376" s="704"/>
      <c r="F376" s="705"/>
      <c r="G376" s="706"/>
      <c r="H376" s="707"/>
      <c r="I376" s="708"/>
      <c r="J376" s="709"/>
    </row>
    <row r="377" spans="1:10" ht="22.5">
      <c r="A377" s="595"/>
      <c r="B377" s="598"/>
      <c r="C377" s="599"/>
      <c r="D377" s="308"/>
      <c r="E377" s="1342" t="s">
        <v>1429</v>
      </c>
      <c r="F377" s="1343" t="s">
        <v>1548</v>
      </c>
      <c r="G377" s="1344" t="s">
        <v>1549</v>
      </c>
      <c r="H377" s="1345"/>
      <c r="I377" s="1346" t="s">
        <v>1551</v>
      </c>
      <c r="J377" s="1346" t="s">
        <v>1552</v>
      </c>
    </row>
    <row r="378" spans="1:10" ht="15">
      <c r="A378" s="595"/>
      <c r="B378" s="598"/>
      <c r="C378" s="599"/>
      <c r="D378" s="308"/>
      <c r="E378" s="461"/>
      <c r="F378" s="1352" t="s">
        <v>1444</v>
      </c>
      <c r="G378" s="1353"/>
      <c r="H378" s="1349"/>
      <c r="I378" s="1351"/>
      <c r="J378" s="453">
        <f>SUBTOTAL(9,J379:J379)</f>
        <v>1943295</v>
      </c>
    </row>
    <row r="379" spans="1:10" ht="15" customHeight="1">
      <c r="A379" s="595"/>
      <c r="B379" s="598"/>
      <c r="C379" s="599"/>
      <c r="D379" s="308"/>
      <c r="E379" s="461">
        <v>40112</v>
      </c>
      <c r="F379" s="1354" t="s">
        <v>1616</v>
      </c>
      <c r="G379" s="477" t="s">
        <v>1435</v>
      </c>
      <c r="H379" s="1391">
        <v>1500</v>
      </c>
      <c r="I379" s="476">
        <v>1295.53</v>
      </c>
      <c r="J379" s="476">
        <f t="shared" ref="J379" si="68">H379*I379</f>
        <v>1943295</v>
      </c>
    </row>
    <row r="380" spans="1:10" ht="15" customHeight="1">
      <c r="A380" s="595"/>
      <c r="B380" s="598"/>
      <c r="C380" s="599"/>
      <c r="D380" s="308"/>
      <c r="E380" s="459"/>
      <c r="F380" s="446"/>
      <c r="G380" s="1353"/>
      <c r="H380" s="1349"/>
      <c r="I380" s="1351"/>
      <c r="J380" s="1350"/>
    </row>
    <row r="381" spans="1:10" ht="15" customHeight="1">
      <c r="A381" s="595"/>
      <c r="B381" s="598"/>
      <c r="C381" s="599"/>
      <c r="D381" s="308"/>
      <c r="E381" s="1360"/>
      <c r="F381" s="1401" t="s">
        <v>1488</v>
      </c>
      <c r="G381" s="1385">
        <v>1</v>
      </c>
      <c r="H381" s="1388" t="s">
        <v>1616</v>
      </c>
      <c r="I381" s="1402"/>
      <c r="J381" s="1362">
        <f>SUBTOTAL(9,J378:J380)</f>
        <v>1943295</v>
      </c>
    </row>
    <row r="382" spans="1:10" ht="15" customHeight="1">
      <c r="A382" s="595"/>
      <c r="B382" s="598"/>
      <c r="C382" s="599"/>
      <c r="D382" s="308"/>
      <c r="E382" s="1384"/>
      <c r="F382" s="1401" t="s">
        <v>1488</v>
      </c>
      <c r="G382" s="1385">
        <v>1</v>
      </c>
      <c r="H382" s="1386" t="s">
        <v>1616</v>
      </c>
      <c r="I382" s="1402"/>
      <c r="J382" s="1362">
        <f>J381</f>
        <v>1943295</v>
      </c>
    </row>
    <row r="383" spans="1:10" ht="15" hidden="1" customHeight="1">
      <c r="A383" s="595"/>
      <c r="B383" s="598"/>
      <c r="C383" s="599"/>
      <c r="D383" s="308"/>
      <c r="E383" s="450"/>
      <c r="F383" s="1401" t="s">
        <v>1488</v>
      </c>
      <c r="G383" s="251"/>
      <c r="H383" s="1386" t="s">
        <v>1616</v>
      </c>
      <c r="I383" s="433"/>
      <c r="J383" s="434"/>
    </row>
    <row r="384" spans="1:10" ht="15" hidden="1" customHeight="1">
      <c r="A384" s="595"/>
      <c r="B384" s="598"/>
      <c r="C384" s="599"/>
      <c r="D384" s="308"/>
      <c r="E384" s="1416" t="s">
        <v>1617</v>
      </c>
      <c r="F384" s="1401" t="s">
        <v>1488</v>
      </c>
      <c r="G384" s="1417"/>
      <c r="H384" s="1386" t="s">
        <v>1616</v>
      </c>
      <c r="I384" s="1418"/>
      <c r="J384" s="1419"/>
    </row>
    <row r="385" spans="1:10" ht="15" hidden="1" customHeight="1">
      <c r="A385" s="595"/>
      <c r="B385" s="598"/>
      <c r="C385" s="599"/>
      <c r="D385" s="308"/>
      <c r="E385" s="457" t="s">
        <v>1428</v>
      </c>
      <c r="F385" s="1401" t="s">
        <v>1488</v>
      </c>
      <c r="G385" s="310"/>
      <c r="H385" s="1386" t="s">
        <v>1616</v>
      </c>
      <c r="I385" s="435"/>
      <c r="J385" s="436"/>
    </row>
    <row r="386" spans="1:10" ht="15" hidden="1" customHeight="1">
      <c r="A386" s="595"/>
      <c r="B386" s="598"/>
      <c r="C386" s="599"/>
      <c r="D386" s="308"/>
      <c r="E386" s="458" t="s">
        <v>1545</v>
      </c>
      <c r="F386" s="1401" t="s">
        <v>1488</v>
      </c>
      <c r="G386" s="311"/>
      <c r="H386" s="1386" t="s">
        <v>1616</v>
      </c>
      <c r="I386" s="1420">
        <v>1</v>
      </c>
      <c r="J386" s="437" t="s">
        <v>1430</v>
      </c>
    </row>
    <row r="387" spans="1:10" ht="15" hidden="1" customHeight="1">
      <c r="A387" s="595"/>
      <c r="B387" s="598"/>
      <c r="C387" s="599"/>
      <c r="D387" s="308"/>
      <c r="E387" s="458" t="s">
        <v>1547</v>
      </c>
      <c r="F387" s="1401" t="s">
        <v>1488</v>
      </c>
      <c r="G387" s="311"/>
      <c r="H387" s="1386" t="s">
        <v>1616</v>
      </c>
      <c r="I387" s="1420">
        <v>0</v>
      </c>
      <c r="J387" s="437" t="s">
        <v>1546</v>
      </c>
    </row>
    <row r="388" spans="1:10" ht="15" hidden="1" customHeight="1">
      <c r="A388" s="595"/>
      <c r="B388" s="598"/>
      <c r="C388" s="599"/>
      <c r="D388" s="308"/>
      <c r="E388" s="451"/>
      <c r="F388" s="1401" t="s">
        <v>1488</v>
      </c>
      <c r="G388" s="312"/>
      <c r="H388" s="1386" t="s">
        <v>1616</v>
      </c>
      <c r="I388" s="438"/>
      <c r="J388" s="439"/>
    </row>
    <row r="389" spans="1:10" ht="15" hidden="1" customHeight="1">
      <c r="A389" s="595"/>
      <c r="B389" s="598"/>
      <c r="C389" s="599"/>
      <c r="D389" s="308"/>
      <c r="E389" s="1342" t="s">
        <v>1429</v>
      </c>
      <c r="F389" s="1401" t="s">
        <v>1488</v>
      </c>
      <c r="G389" s="1421" t="s">
        <v>1549</v>
      </c>
      <c r="H389" s="1386" t="s">
        <v>1616</v>
      </c>
      <c r="I389" s="1422" t="s">
        <v>1551</v>
      </c>
      <c r="J389" s="1422" t="s">
        <v>1552</v>
      </c>
    </row>
    <row r="390" spans="1:10" ht="15" hidden="1" customHeight="1">
      <c r="A390" s="595"/>
      <c r="B390" s="598"/>
      <c r="C390" s="599"/>
      <c r="D390" s="308"/>
      <c r="E390" s="854"/>
      <c r="F390" s="1401" t="s">
        <v>1488</v>
      </c>
      <c r="G390" s="984"/>
      <c r="H390" s="1386" t="s">
        <v>1616</v>
      </c>
      <c r="I390" s="1423"/>
      <c r="J390" s="453" t="e">
        <f>SUBTOTAL(9,J391:J394)</f>
        <v>#VALUE!</v>
      </c>
    </row>
    <row r="391" spans="1:10" ht="15" hidden="1" customHeight="1">
      <c r="A391" s="595"/>
      <c r="B391" s="598"/>
      <c r="C391" s="599"/>
      <c r="D391" s="308"/>
      <c r="E391" s="459" t="s">
        <v>1595</v>
      </c>
      <c r="F391" s="1401" t="s">
        <v>1488</v>
      </c>
      <c r="G391" s="975" t="s">
        <v>339</v>
      </c>
      <c r="H391" s="1386" t="s">
        <v>1616</v>
      </c>
      <c r="I391" s="442" t="e">
        <f>VLOOKUP(E391,'DER MG'!$D$5:$I$8,6,0)</f>
        <v>#N/A</v>
      </c>
      <c r="J391" s="442" t="e">
        <f t="shared" ref="J391:J393" si="69">H391*I391</f>
        <v>#VALUE!</v>
      </c>
    </row>
    <row r="392" spans="1:10" ht="15" hidden="1" customHeight="1">
      <c r="A392" s="595"/>
      <c r="B392" s="598"/>
      <c r="C392" s="599"/>
      <c r="D392" s="308"/>
      <c r="E392" s="459" t="s">
        <v>1597</v>
      </c>
      <c r="F392" s="1401" t="s">
        <v>1488</v>
      </c>
      <c r="G392" s="975" t="s">
        <v>392</v>
      </c>
      <c r="H392" s="1386" t="s">
        <v>1616</v>
      </c>
      <c r="I392" s="442" t="e">
        <f>VLOOKUP(E392,'DER MG'!$D$5:$I$8,6,0)</f>
        <v>#N/A</v>
      </c>
      <c r="J392" s="442" t="e">
        <f t="shared" si="69"/>
        <v>#VALUE!</v>
      </c>
    </row>
    <row r="393" spans="1:10" ht="15" hidden="1" customHeight="1">
      <c r="A393" s="595"/>
      <c r="B393" s="598"/>
      <c r="C393" s="599"/>
      <c r="D393" s="308"/>
      <c r="E393" s="459" t="s">
        <v>1599</v>
      </c>
      <c r="F393" s="1401" t="s">
        <v>1488</v>
      </c>
      <c r="G393" s="1424" t="s">
        <v>392</v>
      </c>
      <c r="H393" s="1386" t="s">
        <v>1616</v>
      </c>
      <c r="I393" s="442" t="e">
        <f>VLOOKUP(E393,'DER MG'!$D$5:$I$8,6,0)</f>
        <v>#N/A</v>
      </c>
      <c r="J393" s="442" t="e">
        <f t="shared" si="69"/>
        <v>#VALUE!</v>
      </c>
    </row>
    <row r="394" spans="1:10" ht="15" hidden="1" customHeight="1">
      <c r="A394" s="595"/>
      <c r="B394" s="598"/>
      <c r="C394" s="599"/>
      <c r="D394" s="308"/>
      <c r="E394" s="1425"/>
      <c r="F394" s="1401" t="s">
        <v>1488</v>
      </c>
      <c r="G394" s="1424"/>
      <c r="H394" s="1386" t="s">
        <v>1616</v>
      </c>
      <c r="I394" s="1426"/>
      <c r="J394" s="1350"/>
    </row>
    <row r="395" spans="1:10" ht="15" hidden="1" customHeight="1">
      <c r="A395" s="595"/>
      <c r="B395" s="598"/>
      <c r="C395" s="599"/>
      <c r="D395" s="308"/>
      <c r="E395" s="854"/>
      <c r="F395" s="1401" t="s">
        <v>1488</v>
      </c>
      <c r="G395" s="975"/>
      <c r="H395" s="1386" t="s">
        <v>1616</v>
      </c>
      <c r="I395" s="1426"/>
      <c r="J395" s="453" t="e">
        <f>SUBTOTAL(9,J396:J401)</f>
        <v>#VALUE!</v>
      </c>
    </row>
    <row r="396" spans="1:10" ht="15" hidden="1" customHeight="1">
      <c r="A396" s="595"/>
      <c r="B396" s="598"/>
      <c r="C396" s="599"/>
      <c r="D396" s="308"/>
      <c r="E396" s="461">
        <v>40112</v>
      </c>
      <c r="F396" s="1401" t="s">
        <v>1488</v>
      </c>
      <c r="G396" s="975" t="s">
        <v>339</v>
      </c>
      <c r="H396" s="1386" t="s">
        <v>1616</v>
      </c>
      <c r="I396" s="442" t="e">
        <f>VLOOKUP(E396,'DER MG'!$D$5:$I$8,6,0)</f>
        <v>#N/A</v>
      </c>
      <c r="J396" s="442" t="e">
        <f t="shared" ref="J396:J401" si="70">H396*I396</f>
        <v>#VALUE!</v>
      </c>
    </row>
    <row r="397" spans="1:10" ht="15" hidden="1" customHeight="1">
      <c r="A397" s="595"/>
      <c r="B397" s="598"/>
      <c r="C397" s="599"/>
      <c r="D397" s="308"/>
      <c r="E397" s="461">
        <v>40113</v>
      </c>
      <c r="F397" s="1401" t="s">
        <v>1488</v>
      </c>
      <c r="G397" s="975" t="s">
        <v>339</v>
      </c>
      <c r="H397" s="1386" t="s">
        <v>1616</v>
      </c>
      <c r="I397" s="442" t="e">
        <f>VLOOKUP(E397,'DER MG'!$D$5:$I$8,6,0)</f>
        <v>#N/A</v>
      </c>
      <c r="J397" s="442" t="e">
        <f t="shared" si="70"/>
        <v>#VALUE!</v>
      </c>
    </row>
    <row r="398" spans="1:10" ht="15" hidden="1" customHeight="1">
      <c r="A398" s="595"/>
      <c r="B398" s="598"/>
      <c r="C398" s="599"/>
      <c r="D398" s="308"/>
      <c r="E398" s="461" t="s">
        <v>1564</v>
      </c>
      <c r="F398" s="1401" t="s">
        <v>1488</v>
      </c>
      <c r="G398" s="975" t="s">
        <v>339</v>
      </c>
      <c r="H398" s="1386" t="s">
        <v>1616</v>
      </c>
      <c r="I398" s="442" t="e">
        <f>VLOOKUP(E398,'DER MG'!$D$5:$I$8,6,0)</f>
        <v>#N/A</v>
      </c>
      <c r="J398" s="442" t="e">
        <f t="shared" si="70"/>
        <v>#VALUE!</v>
      </c>
    </row>
    <row r="399" spans="1:10" ht="15" hidden="1" customHeight="1">
      <c r="A399" s="595"/>
      <c r="B399" s="598"/>
      <c r="C399" s="599"/>
      <c r="D399" s="308"/>
      <c r="E399" s="440" t="s">
        <v>1560</v>
      </c>
      <c r="F399" s="1401" t="s">
        <v>1488</v>
      </c>
      <c r="G399" s="1424" t="s">
        <v>416</v>
      </c>
      <c r="H399" s="1386" t="s">
        <v>1616</v>
      </c>
      <c r="I399" s="442" t="e">
        <f>VLOOKUP(E399,'DER MG'!$D$5:$I$8,6,0)</f>
        <v>#N/A</v>
      </c>
      <c r="J399" s="442" t="e">
        <f t="shared" si="70"/>
        <v>#VALUE!</v>
      </c>
    </row>
    <row r="400" spans="1:10" ht="15" hidden="1" customHeight="1">
      <c r="A400" s="595"/>
      <c r="B400" s="598"/>
      <c r="C400" s="599"/>
      <c r="D400" s="308"/>
      <c r="E400" s="440" t="s">
        <v>1562</v>
      </c>
      <c r="F400" s="1401" t="s">
        <v>1488</v>
      </c>
      <c r="G400" s="1424" t="s">
        <v>339</v>
      </c>
      <c r="H400" s="1386" t="s">
        <v>1616</v>
      </c>
      <c r="I400" s="442" t="e">
        <f>VLOOKUP(E400,'DER MG'!$D$5:$I$8,6,0)</f>
        <v>#N/A</v>
      </c>
      <c r="J400" s="442" t="e">
        <f t="shared" si="70"/>
        <v>#VALUE!</v>
      </c>
    </row>
    <row r="401" spans="1:10" ht="15" hidden="1" customHeight="1">
      <c r="A401" s="595"/>
      <c r="B401" s="598"/>
      <c r="C401" s="599"/>
      <c r="D401" s="308"/>
      <c r="E401" s="459" t="s">
        <v>1564</v>
      </c>
      <c r="F401" s="1401" t="s">
        <v>1488</v>
      </c>
      <c r="G401" s="1424" t="s">
        <v>392</v>
      </c>
      <c r="H401" s="1386" t="s">
        <v>1616</v>
      </c>
      <c r="I401" s="442" t="e">
        <f>VLOOKUP(E401,'DER MG'!$D$5:$I$8,6,0)</f>
        <v>#N/A</v>
      </c>
      <c r="J401" s="442" t="e">
        <f t="shared" si="70"/>
        <v>#VALUE!</v>
      </c>
    </row>
    <row r="402" spans="1:10" ht="15" hidden="1" customHeight="1">
      <c r="A402" s="595"/>
      <c r="B402" s="598"/>
      <c r="C402" s="599"/>
      <c r="D402" s="308"/>
      <c r="E402" s="854"/>
      <c r="F402" s="1401" t="s">
        <v>1488</v>
      </c>
      <c r="G402" s="975"/>
      <c r="H402" s="1386" t="s">
        <v>1616</v>
      </c>
      <c r="I402" s="1426"/>
      <c r="J402" s="1423"/>
    </row>
    <row r="403" spans="1:10" ht="15" hidden="1" customHeight="1">
      <c r="A403" s="595"/>
      <c r="B403" s="598"/>
      <c r="C403" s="599"/>
      <c r="D403" s="308"/>
      <c r="E403" s="854"/>
      <c r="F403" s="1401" t="s">
        <v>1488</v>
      </c>
      <c r="G403" s="975"/>
      <c r="H403" s="1386" t="s">
        <v>1616</v>
      </c>
      <c r="I403" s="1426"/>
      <c r="J403" s="453" t="e">
        <f>SUBTOTAL(9,J404:J408)</f>
        <v>#VALUE!</v>
      </c>
    </row>
    <row r="404" spans="1:10" ht="15" hidden="1" customHeight="1">
      <c r="A404" s="595"/>
      <c r="B404" s="598"/>
      <c r="C404" s="599"/>
      <c r="D404" s="308"/>
      <c r="E404" s="459" t="s">
        <v>1566</v>
      </c>
      <c r="F404" s="1401" t="s">
        <v>1488</v>
      </c>
      <c r="G404" s="1424" t="s">
        <v>339</v>
      </c>
      <c r="H404" s="1386" t="s">
        <v>1616</v>
      </c>
      <c r="I404" s="442" t="e">
        <f>VLOOKUP(E404,'DER MG'!$D$5:$I$8,6,0)</f>
        <v>#N/A</v>
      </c>
      <c r="J404" s="442" t="e">
        <f t="shared" ref="J404:J408" si="71">H404*I404</f>
        <v>#VALUE!</v>
      </c>
    </row>
    <row r="405" spans="1:10" ht="15" hidden="1" customHeight="1">
      <c r="A405" s="595"/>
      <c r="B405" s="598"/>
      <c r="C405" s="599"/>
      <c r="D405" s="308"/>
      <c r="E405" s="459" t="s">
        <v>1568</v>
      </c>
      <c r="F405" s="1401" t="s">
        <v>1488</v>
      </c>
      <c r="G405" s="1424" t="s">
        <v>392</v>
      </c>
      <c r="H405" s="1386" t="s">
        <v>1616</v>
      </c>
      <c r="I405" s="442" t="e">
        <f>VLOOKUP(E405,'DER MG'!$D$5:$I$8,6,0)</f>
        <v>#N/A</v>
      </c>
      <c r="J405" s="442" t="e">
        <f t="shared" si="71"/>
        <v>#VALUE!</v>
      </c>
    </row>
    <row r="406" spans="1:10" ht="15" hidden="1" customHeight="1">
      <c r="A406" s="595"/>
      <c r="B406" s="598"/>
      <c r="C406" s="599"/>
      <c r="D406" s="308"/>
      <c r="E406" s="461">
        <v>40115</v>
      </c>
      <c r="F406" s="1401" t="s">
        <v>1488</v>
      </c>
      <c r="G406" s="1424" t="s">
        <v>339</v>
      </c>
      <c r="H406" s="1386" t="s">
        <v>1616</v>
      </c>
      <c r="I406" s="442" t="e">
        <f>VLOOKUP(E406,'DER MG'!$D$5:$I$8,6,0)</f>
        <v>#N/A</v>
      </c>
      <c r="J406" s="442" t="e">
        <f t="shared" si="71"/>
        <v>#VALUE!</v>
      </c>
    </row>
    <row r="407" spans="1:10" ht="15" hidden="1" customHeight="1">
      <c r="A407" s="595"/>
      <c r="B407" s="598"/>
      <c r="C407" s="599"/>
      <c r="D407" s="308"/>
      <c r="E407" s="461">
        <v>40116</v>
      </c>
      <c r="F407" s="1401" t="s">
        <v>1488</v>
      </c>
      <c r="G407" s="1424" t="s">
        <v>339</v>
      </c>
      <c r="H407" s="1386" t="s">
        <v>1616</v>
      </c>
      <c r="I407" s="442" t="e">
        <f>VLOOKUP(E407,'DER MG'!$D$5:$I$8,6,0)</f>
        <v>#N/A</v>
      </c>
      <c r="J407" s="442" t="e">
        <f t="shared" si="71"/>
        <v>#VALUE!</v>
      </c>
    </row>
    <row r="408" spans="1:10" ht="15" hidden="1" customHeight="1">
      <c r="A408" s="595"/>
      <c r="B408" s="598"/>
      <c r="C408" s="599"/>
      <c r="D408" s="308"/>
      <c r="E408" s="461">
        <v>40123</v>
      </c>
      <c r="F408" s="1401" t="s">
        <v>1488</v>
      </c>
      <c r="G408" s="1424" t="s">
        <v>392</v>
      </c>
      <c r="H408" s="1386" t="s">
        <v>1616</v>
      </c>
      <c r="I408" s="442" t="e">
        <f>VLOOKUP(E408,'DER MG'!$D$5:$I$8,6,0)</f>
        <v>#N/A</v>
      </c>
      <c r="J408" s="442" t="e">
        <f t="shared" si="71"/>
        <v>#VALUE!</v>
      </c>
    </row>
    <row r="409" spans="1:10" ht="15" hidden="1" customHeight="1">
      <c r="A409" s="595"/>
      <c r="B409" s="598"/>
      <c r="C409" s="599"/>
      <c r="D409" s="308"/>
      <c r="E409" s="854"/>
      <c r="F409" s="1401" t="s">
        <v>1488</v>
      </c>
      <c r="G409" s="975"/>
      <c r="H409" s="1386" t="s">
        <v>1616</v>
      </c>
      <c r="I409" s="1426"/>
      <c r="J409" s="1423"/>
    </row>
    <row r="410" spans="1:10" ht="15" hidden="1" customHeight="1">
      <c r="A410" s="595"/>
      <c r="B410" s="598"/>
      <c r="C410" s="599"/>
      <c r="D410" s="308"/>
      <c r="E410" s="852"/>
      <c r="F410" s="1401" t="s">
        <v>1488</v>
      </c>
      <c r="G410" s="975"/>
      <c r="H410" s="1386" t="s">
        <v>1616</v>
      </c>
      <c r="I410" s="1426"/>
      <c r="J410" s="453" t="e">
        <f>SUBTOTAL(9,J411:J412)</f>
        <v>#VALUE!</v>
      </c>
    </row>
    <row r="411" spans="1:10" ht="15" hidden="1" customHeight="1">
      <c r="A411" s="595"/>
      <c r="B411" s="598"/>
      <c r="C411" s="599"/>
      <c r="D411" s="308"/>
      <c r="E411" s="459">
        <v>40357</v>
      </c>
      <c r="F411" s="1401" t="s">
        <v>1488</v>
      </c>
      <c r="G411" s="1424" t="s">
        <v>339</v>
      </c>
      <c r="H411" s="1386" t="s">
        <v>1616</v>
      </c>
      <c r="I411" s="442" t="e">
        <f>VLOOKUP(E411,'DER MG'!$D$5:$I$8,6,0)</f>
        <v>#N/A</v>
      </c>
      <c r="J411" s="442" t="e">
        <f t="shared" ref="J411" si="72">H411*I411</f>
        <v>#VALUE!</v>
      </c>
    </row>
    <row r="412" spans="1:10" ht="15" hidden="1" customHeight="1">
      <c r="A412" s="595"/>
      <c r="B412" s="598"/>
      <c r="C412" s="599"/>
      <c r="D412" s="308"/>
      <c r="E412" s="459">
        <v>40359</v>
      </c>
      <c r="F412" s="1401" t="s">
        <v>1488</v>
      </c>
      <c r="G412" s="1424" t="s">
        <v>339</v>
      </c>
      <c r="H412" s="1386" t="s">
        <v>1616</v>
      </c>
      <c r="I412" s="442" t="e">
        <f>VLOOKUP(E412,'DER MG'!$D$5:$I$8,6,0)</f>
        <v>#N/A</v>
      </c>
      <c r="J412" s="1423"/>
    </row>
    <row r="413" spans="1:10" ht="15" hidden="1" customHeight="1">
      <c r="A413" s="595"/>
      <c r="B413" s="598"/>
      <c r="C413" s="599"/>
      <c r="D413" s="308"/>
      <c r="E413" s="854"/>
      <c r="F413" s="1401" t="s">
        <v>1488</v>
      </c>
      <c r="G413" s="975"/>
      <c r="H413" s="1386" t="s">
        <v>1616</v>
      </c>
      <c r="I413" s="1426"/>
      <c r="J413" s="1423"/>
    </row>
    <row r="414" spans="1:10" ht="15" hidden="1" customHeight="1">
      <c r="A414" s="595"/>
      <c r="B414" s="598"/>
      <c r="C414" s="599"/>
      <c r="D414" s="308"/>
      <c r="E414" s="854"/>
      <c r="F414" s="1401" t="s">
        <v>1488</v>
      </c>
      <c r="G414" s="975"/>
      <c r="H414" s="1386" t="s">
        <v>1616</v>
      </c>
      <c r="I414" s="1426"/>
      <c r="J414" s="453" t="e">
        <f>SUBTOTAL(9,J415:J416)</f>
        <v>#VALUE!</v>
      </c>
    </row>
    <row r="415" spans="1:10" ht="15" hidden="1" customHeight="1">
      <c r="A415" s="595"/>
      <c r="B415" s="598"/>
      <c r="C415" s="599"/>
      <c r="D415" s="308"/>
      <c r="E415" s="459">
        <v>40354</v>
      </c>
      <c r="F415" s="1401" t="s">
        <v>1488</v>
      </c>
      <c r="G415" s="1424" t="s">
        <v>339</v>
      </c>
      <c r="H415" s="1386" t="s">
        <v>1616</v>
      </c>
      <c r="I415" s="442" t="e">
        <f>VLOOKUP(E415,'DER MG'!$D$5:$I$8,6,0)</f>
        <v>#N/A</v>
      </c>
      <c r="J415" s="442" t="e">
        <f t="shared" ref="J415" si="73">H415*I415</f>
        <v>#VALUE!</v>
      </c>
    </row>
    <row r="416" spans="1:10" ht="15" hidden="1" customHeight="1">
      <c r="A416" s="595"/>
      <c r="B416" s="598"/>
      <c r="C416" s="599"/>
      <c r="D416" s="308"/>
      <c r="E416" s="854"/>
      <c r="F416" s="1401" t="s">
        <v>1488</v>
      </c>
      <c r="G416" s="975"/>
      <c r="H416" s="1386" t="s">
        <v>1616</v>
      </c>
      <c r="I416" s="1426"/>
      <c r="J416" s="1423"/>
    </row>
    <row r="417" spans="1:10" ht="15" hidden="1" customHeight="1">
      <c r="A417" s="595"/>
      <c r="B417" s="598"/>
      <c r="C417" s="599"/>
      <c r="D417" s="308"/>
      <c r="E417" s="854"/>
      <c r="F417" s="1401" t="s">
        <v>1488</v>
      </c>
      <c r="G417" s="975"/>
      <c r="H417" s="1386" t="s">
        <v>1616</v>
      </c>
      <c r="I417" s="1426"/>
      <c r="J417" s="453" t="e">
        <f>SUBTOTAL(9,J418:J419)</f>
        <v>#VALUE!</v>
      </c>
    </row>
    <row r="418" spans="1:10" ht="15" hidden="1" customHeight="1">
      <c r="A418" s="595"/>
      <c r="B418" s="598"/>
      <c r="C418" s="599"/>
      <c r="D418" s="308"/>
      <c r="E418" s="461">
        <v>40125</v>
      </c>
      <c r="F418" s="1401" t="s">
        <v>1488</v>
      </c>
      <c r="G418" s="971" t="s">
        <v>1477</v>
      </c>
      <c r="H418" s="1386" t="s">
        <v>1616</v>
      </c>
      <c r="I418" s="442" t="e">
        <f>VLOOKUP(E418,'DER MG'!$D$5:$I$8,6,0)</f>
        <v>#N/A</v>
      </c>
      <c r="J418" s="442" t="e">
        <f t="shared" ref="J418" si="74">H418*I418</f>
        <v>#VALUE!</v>
      </c>
    </row>
    <row r="419" spans="1:10" ht="15" hidden="1" customHeight="1">
      <c r="A419" s="595"/>
      <c r="B419" s="598"/>
      <c r="C419" s="599"/>
      <c r="D419" s="308"/>
      <c r="E419" s="854"/>
      <c r="F419" s="1401" t="s">
        <v>1488</v>
      </c>
      <c r="G419" s="975"/>
      <c r="H419" s="1386" t="s">
        <v>1616</v>
      </c>
      <c r="I419" s="1426"/>
      <c r="J419" s="1423"/>
    </row>
    <row r="420" spans="1:10" ht="15" hidden="1" customHeight="1">
      <c r="A420" s="595"/>
      <c r="B420" s="598"/>
      <c r="C420" s="599"/>
      <c r="D420" s="308"/>
      <c r="E420" s="854"/>
      <c r="F420" s="1401" t="s">
        <v>1488</v>
      </c>
      <c r="G420" s="975"/>
      <c r="H420" s="1386" t="s">
        <v>1616</v>
      </c>
      <c r="I420" s="1426"/>
      <c r="J420" s="453" t="e">
        <f>SUBTOTAL(9,J421:J422)</f>
        <v>#VALUE!</v>
      </c>
    </row>
    <row r="421" spans="1:10" ht="15" hidden="1" customHeight="1">
      <c r="A421" s="595"/>
      <c r="B421" s="598"/>
      <c r="C421" s="599"/>
      <c r="D421" s="308"/>
      <c r="E421" s="461">
        <v>40121</v>
      </c>
      <c r="F421" s="1401" t="s">
        <v>1488</v>
      </c>
      <c r="G421" s="975" t="s">
        <v>416</v>
      </c>
      <c r="H421" s="1386" t="s">
        <v>1616</v>
      </c>
      <c r="I421" s="442" t="e">
        <f>VLOOKUP(E421,'DER MG'!$D$5:$I$8,6,0)</f>
        <v>#N/A</v>
      </c>
      <c r="J421" s="442" t="e">
        <f t="shared" ref="J421" si="75">H421*I421</f>
        <v>#VALUE!</v>
      </c>
    </row>
    <row r="422" spans="1:10" ht="15" hidden="1" customHeight="1">
      <c r="A422" s="595"/>
      <c r="B422" s="598"/>
      <c r="C422" s="599"/>
      <c r="D422" s="308"/>
      <c r="E422" s="1425"/>
      <c r="F422" s="1401" t="s">
        <v>1488</v>
      </c>
      <c r="G422" s="975"/>
      <c r="H422" s="1386" t="s">
        <v>1616</v>
      </c>
      <c r="I422" s="1426"/>
      <c r="J422" s="1423"/>
    </row>
    <row r="423" spans="1:10" ht="15" hidden="1" customHeight="1">
      <c r="A423" s="595"/>
      <c r="B423" s="598"/>
      <c r="C423" s="599"/>
      <c r="D423" s="308"/>
      <c r="E423" s="854"/>
      <c r="F423" s="1401" t="s">
        <v>1488</v>
      </c>
      <c r="G423" s="975"/>
      <c r="H423" s="1386" t="s">
        <v>1616</v>
      </c>
      <c r="I423" s="1426"/>
      <c r="J423" s="1423"/>
    </row>
    <row r="424" spans="1:10" ht="15" hidden="1" customHeight="1">
      <c r="A424" s="595"/>
      <c r="B424" s="598"/>
      <c r="C424" s="599"/>
      <c r="D424" s="308"/>
      <c r="E424" s="459"/>
      <c r="F424" s="1401" t="s">
        <v>1488</v>
      </c>
      <c r="G424" s="1371"/>
      <c r="H424" s="1386" t="s">
        <v>1616</v>
      </c>
      <c r="I424" s="1351"/>
      <c r="J424" s="453" t="e">
        <f>SUBTOTAL(9,J390:J423)</f>
        <v>#VALUE!</v>
      </c>
    </row>
    <row r="425" spans="1:10" ht="15" customHeight="1">
      <c r="A425" s="595"/>
      <c r="B425" s="598"/>
      <c r="C425" s="599"/>
      <c r="D425" s="308"/>
      <c r="E425" s="1413"/>
      <c r="F425" s="1401" t="s">
        <v>1488</v>
      </c>
      <c r="G425" s="1427">
        <v>0</v>
      </c>
      <c r="H425" s="1386" t="s">
        <v>1616</v>
      </c>
      <c r="I425" s="1428"/>
      <c r="J425" s="1412">
        <f>J382*0</f>
        <v>0</v>
      </c>
    </row>
    <row r="426" spans="1:10" ht="15" customHeight="1">
      <c r="A426" s="595"/>
      <c r="B426" s="598"/>
      <c r="C426" s="599"/>
      <c r="D426" s="308"/>
    </row>
    <row r="427" spans="1:10" ht="15" customHeight="1">
      <c r="A427" s="595"/>
      <c r="B427" s="598"/>
      <c r="C427" s="599"/>
      <c r="D427" s="308"/>
      <c r="E427" s="1429"/>
      <c r="F427" s="1430" t="s">
        <v>1618</v>
      </c>
      <c r="G427" s="1431"/>
      <c r="H427" s="1432"/>
      <c r="I427" s="1433"/>
      <c r="J427" s="1362" t="e">
        <f>J70+J184+J236+J282+J326+J382</f>
        <v>#N/A</v>
      </c>
    </row>
    <row r="428" spans="1:10" ht="15" customHeight="1">
      <c r="A428" s="595"/>
      <c r="B428" s="598"/>
      <c r="C428" s="599"/>
      <c r="D428" s="308"/>
    </row>
    <row r="429" spans="1:10" ht="15" customHeight="1">
      <c r="A429" s="595"/>
      <c r="B429" s="598"/>
      <c r="C429" s="599"/>
      <c r="D429" s="308"/>
    </row>
    <row r="430" spans="1:10" ht="15" customHeight="1">
      <c r="A430" s="595"/>
      <c r="B430" s="598"/>
      <c r="C430" s="599"/>
      <c r="D430" s="308"/>
    </row>
    <row r="431" spans="1:10" ht="15" customHeight="1">
      <c r="A431" s="595"/>
      <c r="B431" s="598"/>
      <c r="C431" s="599"/>
      <c r="D431" s="308"/>
    </row>
    <row r="432" spans="1:10" ht="15" customHeight="1">
      <c r="A432" s="595"/>
      <c r="B432" s="598"/>
      <c r="C432" s="599"/>
      <c r="D432" s="308"/>
    </row>
    <row r="433" spans="1:4" ht="15" customHeight="1">
      <c r="A433" s="595"/>
      <c r="B433" s="598"/>
      <c r="C433" s="599"/>
      <c r="D433" s="308"/>
    </row>
    <row r="434" spans="1:4" ht="15" customHeight="1">
      <c r="A434" s="595"/>
      <c r="B434" s="598"/>
      <c r="C434" s="599"/>
      <c r="D434" s="308"/>
    </row>
    <row r="435" spans="1:4" ht="15" customHeight="1">
      <c r="A435" s="595"/>
      <c r="B435" s="598"/>
      <c r="C435" s="599"/>
      <c r="D435" s="308"/>
    </row>
    <row r="436" spans="1:4" ht="15" customHeight="1">
      <c r="A436" s="595"/>
      <c r="B436" s="598"/>
      <c r="C436" s="599"/>
      <c r="D436" s="308"/>
    </row>
    <row r="437" spans="1:4" ht="15" customHeight="1">
      <c r="A437" s="595"/>
      <c r="B437" s="598"/>
      <c r="C437" s="599"/>
      <c r="D437" s="308"/>
    </row>
    <row r="438" spans="1:4" ht="15" customHeight="1">
      <c r="A438" s="595"/>
      <c r="B438" s="598"/>
      <c r="C438" s="599"/>
      <c r="D438" s="308"/>
    </row>
    <row r="439" spans="1:4" ht="15" customHeight="1">
      <c r="A439" s="595"/>
      <c r="B439" s="598"/>
      <c r="C439" s="599"/>
      <c r="D439" s="308"/>
    </row>
    <row r="440" spans="1:4" ht="15" customHeight="1">
      <c r="A440" s="595"/>
      <c r="B440" s="598"/>
      <c r="C440" s="599"/>
      <c r="D440" s="308"/>
    </row>
    <row r="441" spans="1:4" ht="15" customHeight="1">
      <c r="A441" s="595"/>
      <c r="B441" s="598"/>
      <c r="C441" s="599"/>
      <c r="D441" s="308"/>
    </row>
    <row r="442" spans="1:4" ht="15" customHeight="1">
      <c r="A442" s="595"/>
      <c r="B442" s="598"/>
      <c r="C442" s="599"/>
      <c r="D442" s="308"/>
    </row>
    <row r="443" spans="1:4" ht="15" customHeight="1">
      <c r="A443" s="595"/>
      <c r="B443" s="598"/>
      <c r="C443" s="599"/>
      <c r="D443" s="308"/>
    </row>
    <row r="444" spans="1:4" ht="15" customHeight="1">
      <c r="A444" s="595"/>
      <c r="B444" s="598"/>
      <c r="C444" s="599"/>
      <c r="D444" s="308"/>
    </row>
    <row r="445" spans="1:4" ht="15" customHeight="1">
      <c r="A445" s="595"/>
      <c r="B445" s="598"/>
      <c r="C445" s="599"/>
      <c r="D445" s="308"/>
    </row>
    <row r="446" spans="1:4" ht="15" customHeight="1">
      <c r="A446" s="595"/>
      <c r="B446" s="598"/>
      <c r="C446" s="599"/>
      <c r="D446" s="308"/>
    </row>
    <row r="447" spans="1:4" ht="15" customHeight="1">
      <c r="A447" s="595"/>
      <c r="B447" s="598"/>
      <c r="C447" s="599"/>
      <c r="D447" s="308"/>
    </row>
    <row r="448" spans="1:4" ht="15" customHeight="1">
      <c r="A448" s="595"/>
      <c r="B448" s="598"/>
      <c r="C448" s="599"/>
      <c r="D448" s="308"/>
    </row>
    <row r="449" spans="1:4" ht="15" customHeight="1">
      <c r="A449" s="595"/>
      <c r="B449" s="598"/>
      <c r="C449" s="599"/>
      <c r="D449" s="308"/>
    </row>
    <row r="450" spans="1:4" ht="15" customHeight="1">
      <c r="A450" s="595"/>
      <c r="B450" s="598"/>
      <c r="C450" s="599"/>
      <c r="D450" s="308"/>
    </row>
    <row r="451" spans="1:4" ht="15" customHeight="1">
      <c r="A451" s="595"/>
      <c r="B451" s="598"/>
      <c r="C451" s="599"/>
      <c r="D451" s="308"/>
    </row>
    <row r="452" spans="1:4" ht="15" customHeight="1">
      <c r="A452" s="595"/>
      <c r="B452" s="598"/>
      <c r="C452" s="599"/>
      <c r="D452" s="308"/>
    </row>
    <row r="453" spans="1:4" ht="15" customHeight="1">
      <c r="A453" s="595"/>
      <c r="B453" s="598"/>
      <c r="C453" s="599"/>
      <c r="D453" s="308"/>
    </row>
    <row r="454" spans="1:4" ht="15" customHeight="1">
      <c r="A454" s="595"/>
      <c r="B454" s="598"/>
      <c r="C454" s="599"/>
      <c r="D454" s="308"/>
    </row>
    <row r="455" spans="1:4" ht="15" customHeight="1">
      <c r="A455" s="595"/>
      <c r="B455" s="598"/>
      <c r="C455" s="599"/>
      <c r="D455" s="308"/>
    </row>
    <row r="456" spans="1:4" ht="15" customHeight="1">
      <c r="A456" s="595"/>
      <c r="B456" s="598"/>
      <c r="C456" s="599"/>
      <c r="D456" s="308"/>
    </row>
    <row r="457" spans="1:4" ht="15" customHeight="1">
      <c r="A457" s="595"/>
      <c r="B457" s="598"/>
      <c r="C457" s="599"/>
      <c r="D457" s="308"/>
    </row>
    <row r="458" spans="1:4" ht="15" customHeight="1">
      <c r="A458" s="595"/>
      <c r="B458" s="598"/>
      <c r="C458" s="599"/>
      <c r="D458" s="308"/>
    </row>
    <row r="459" spans="1:4" ht="15" customHeight="1">
      <c r="A459" s="595"/>
      <c r="B459" s="598"/>
      <c r="C459" s="599"/>
      <c r="D459" s="308"/>
    </row>
    <row r="460" spans="1:4" ht="15" customHeight="1">
      <c r="A460" s="595"/>
      <c r="B460" s="598"/>
      <c r="C460" s="599"/>
      <c r="D460" s="308"/>
    </row>
    <row r="461" spans="1:4" ht="15" customHeight="1">
      <c r="A461" s="595"/>
      <c r="B461" s="598"/>
      <c r="C461" s="599"/>
      <c r="D461" s="308"/>
    </row>
    <row r="462" spans="1:4" ht="15" customHeight="1">
      <c r="A462" s="595"/>
      <c r="B462" s="598"/>
      <c r="C462" s="599"/>
      <c r="D462" s="308"/>
    </row>
    <row r="463" spans="1:4" ht="15" customHeight="1">
      <c r="A463" s="595"/>
      <c r="B463" s="598"/>
      <c r="C463" s="599"/>
      <c r="D463" s="308"/>
    </row>
    <row r="464" spans="1:4" ht="15" customHeight="1">
      <c r="A464" s="595"/>
      <c r="B464" s="598"/>
      <c r="C464" s="599"/>
      <c r="D464" s="308"/>
    </row>
    <row r="465" spans="1:4" ht="15" customHeight="1">
      <c r="A465" s="595"/>
      <c r="B465" s="598"/>
      <c r="C465" s="599"/>
      <c r="D465" s="308"/>
    </row>
    <row r="466" spans="1:4" ht="15" customHeight="1">
      <c r="A466" s="595"/>
      <c r="B466" s="598"/>
      <c r="C466" s="243"/>
      <c r="D466" s="308"/>
    </row>
    <row r="467" spans="1:4" ht="15" customHeight="1">
      <c r="A467" s="595"/>
      <c r="B467" s="598"/>
      <c r="C467" s="243"/>
      <c r="D467" s="308"/>
    </row>
    <row r="468" spans="1:4" ht="15" customHeight="1">
      <c r="A468" s="595"/>
      <c r="B468" s="598"/>
      <c r="C468" s="243"/>
      <c r="D468" s="308"/>
    </row>
    <row r="469" spans="1:4" ht="15" customHeight="1">
      <c r="A469" s="595"/>
      <c r="B469" s="598"/>
      <c r="C469" s="243"/>
      <c r="D469" s="308"/>
    </row>
    <row r="470" spans="1:4" ht="15" customHeight="1">
      <c r="A470" s="595"/>
      <c r="B470" s="598"/>
      <c r="C470" s="243"/>
      <c r="D470" s="308"/>
    </row>
    <row r="471" spans="1:4" ht="15" customHeight="1">
      <c r="A471" s="595"/>
      <c r="B471" s="598"/>
      <c r="C471" s="243"/>
      <c r="D471" s="308"/>
    </row>
    <row r="472" spans="1:4" ht="15" customHeight="1">
      <c r="A472" s="595"/>
      <c r="B472" s="598"/>
      <c r="C472" s="243"/>
      <c r="D472" s="308"/>
    </row>
    <row r="473" spans="1:4" ht="15" customHeight="1">
      <c r="A473" s="595"/>
      <c r="B473" s="598"/>
      <c r="C473" s="243"/>
      <c r="D473" s="308"/>
    </row>
    <row r="474" spans="1:4" ht="15" customHeight="1">
      <c r="A474" s="595"/>
      <c r="B474" s="598"/>
      <c r="C474" s="243"/>
      <c r="D474" s="308"/>
    </row>
    <row r="475" spans="1:4" ht="15" customHeight="1">
      <c r="A475" s="595"/>
      <c r="B475" s="598"/>
      <c r="C475" s="243"/>
      <c r="D475" s="308"/>
    </row>
    <row r="476" spans="1:4" ht="15" customHeight="1">
      <c r="A476" s="595"/>
      <c r="B476" s="242"/>
      <c r="C476" s="243"/>
      <c r="D476" s="308"/>
    </row>
    <row r="477" spans="1:4">
      <c r="A477" s="595"/>
      <c r="B477" s="242"/>
      <c r="C477" s="243"/>
      <c r="D477" s="308"/>
    </row>
    <row r="478" spans="1:4">
      <c r="D478" s="309"/>
    </row>
  </sheetData>
  <mergeCells count="2">
    <mergeCell ref="E5:J5"/>
    <mergeCell ref="E6:J6"/>
  </mergeCells>
  <conditionalFormatting sqref="E4:E6 F7:F1048576">
    <cfRule type="expression" dxfId="10" priority="34">
      <formula>$G4=""</formula>
    </cfRule>
  </conditionalFormatting>
  <conditionalFormatting sqref="E137">
    <cfRule type="expression" dxfId="9" priority="57">
      <formula>$G137=""</formula>
    </cfRule>
  </conditionalFormatting>
  <conditionalFormatting sqref="E186">
    <cfRule type="expression" dxfId="8" priority="56">
      <formula>$G186=""</formula>
    </cfRule>
  </conditionalFormatting>
  <conditionalFormatting sqref="E228">
    <cfRule type="expression" dxfId="7" priority="55">
      <formula>$G228=""</formula>
    </cfRule>
  </conditionalFormatting>
  <conditionalFormatting sqref="E238">
    <cfRule type="expression" dxfId="6" priority="52">
      <formula>$G238=""</formula>
    </cfRule>
  </conditionalFormatting>
  <conditionalFormatting sqref="E285:E286">
    <cfRule type="expression" dxfId="5" priority="50">
      <formula>$G285=""</formula>
    </cfRule>
  </conditionalFormatting>
  <conditionalFormatting sqref="E329:E330">
    <cfRule type="expression" dxfId="4" priority="48">
      <formula>$G329=""</formula>
    </cfRule>
  </conditionalFormatting>
  <conditionalFormatting sqref="E372">
    <cfRule type="expression" dxfId="3" priority="35">
      <formula>$G372=""</formula>
    </cfRule>
  </conditionalFormatting>
  <conditionalFormatting sqref="E4:F4">
    <cfRule type="expression" dxfId="2" priority="67">
      <formula>$G4=""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ignoredErrors>
    <ignoredError sqref="E147:E148 E192 E233:E237 E238:E242 E244 E291 E335:E358 E390:E410 E383:E388 E229:E231 E60:E61 E136:E141 E218:E227 E277:E278 E321 E365:E371 E416:E457 E54 E173:E174 E215:E216 E275 E319 E362:E363 E414 E373:E376 E143 E14:E15 E20:E21 E33:E34 E26:E27 E45:E47 E66:E67 E69:E71 E165 E153:E154 E176:E180 E265:E266 E248:E249 E254:E255 E310 E185:E190 E280:E289 E324:E333 E295:E299 E196:E211 E182:E183" numberStoredAsText="1"/>
  </ignoredError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Plan18">
    <tabColor indexed="13"/>
  </sheetPr>
  <dimension ref="A1:ES195"/>
  <sheetViews>
    <sheetView showGridLines="0" showZeros="0" topLeftCell="A26" zoomScale="90" zoomScaleNormal="90" zoomScaleSheetLayoutView="100" workbookViewId="0">
      <pane xSplit="5" topLeftCell="F1" activePane="topRight" state="frozen"/>
      <selection activeCell="D4" sqref="D4:G36"/>
      <selection pane="topRight" activeCell="D4" sqref="D4:G36"/>
    </sheetView>
  </sheetViews>
  <sheetFormatPr defaultColWidth="9.140625" defaultRowHeight="12.75"/>
  <cols>
    <col min="1" max="1" width="3" style="710" customWidth="1"/>
    <col min="2" max="3" width="3" style="1" customWidth="1"/>
    <col min="4" max="4" width="3.85546875" style="29" customWidth="1"/>
    <col min="5" max="5" width="63" style="1" customWidth="1"/>
    <col min="6" max="6" width="9.5703125" style="21" customWidth="1"/>
    <col min="7" max="7" width="11.42578125" style="45" customWidth="1"/>
    <col min="8" max="8" width="9" style="1" customWidth="1"/>
    <col min="9" max="9" width="8.140625" style="48" customWidth="1"/>
    <col min="10" max="10" width="7.5703125" style="48" customWidth="1"/>
    <col min="11" max="11" width="1" style="1" customWidth="1"/>
    <col min="12" max="12" width="3.85546875" style="1" customWidth="1"/>
    <col min="13" max="41" width="3.5703125" style="1" customWidth="1"/>
    <col min="42" max="42" width="1" style="1" customWidth="1"/>
    <col min="43" max="43" width="10.140625" style="3" customWidth="1"/>
    <col min="44" max="73" width="8.7109375" style="1" customWidth="1"/>
    <col min="74" max="74" width="1" style="1" customWidth="1"/>
    <col min="75" max="75" width="10.140625" style="3" customWidth="1"/>
    <col min="76" max="76" width="9.42578125" style="1" customWidth="1"/>
    <col min="77" max="87" width="8.7109375" style="1" customWidth="1"/>
    <col min="88" max="88" width="7.5703125" style="1" customWidth="1"/>
    <col min="89" max="105" width="8.7109375" style="1" customWidth="1"/>
    <col min="106" max="127" width="9.140625" style="1" customWidth="1"/>
    <col min="128" max="16384" width="9.140625" style="1"/>
  </cols>
  <sheetData>
    <row r="1" spans="1:149" s="595" customFormat="1" ht="15" customHeight="1">
      <c r="B1" s="596"/>
      <c r="E1" s="596"/>
    </row>
    <row r="2" spans="1:149" s="241" customFormat="1" ht="10.5" customHeight="1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598"/>
      <c r="AI2" s="598"/>
      <c r="AJ2" s="598"/>
      <c r="AK2" s="598"/>
      <c r="AL2" s="598"/>
      <c r="AM2" s="598"/>
      <c r="AN2" s="598"/>
      <c r="AO2" s="598"/>
      <c r="AP2" s="598"/>
      <c r="AQ2" s="598"/>
      <c r="AR2" s="598"/>
      <c r="AS2" s="598"/>
      <c r="AT2" s="598"/>
      <c r="AU2" s="598"/>
      <c r="AV2" s="598"/>
      <c r="AW2" s="598"/>
      <c r="AX2" s="598"/>
      <c r="AY2" s="598"/>
      <c r="AZ2" s="598"/>
      <c r="BA2" s="598"/>
      <c r="BB2" s="598"/>
      <c r="BC2" s="598"/>
      <c r="BD2" s="598"/>
      <c r="BE2" s="598"/>
      <c r="BF2" s="598"/>
      <c r="BG2" s="598"/>
      <c r="BH2" s="598"/>
      <c r="BI2" s="598"/>
      <c r="BJ2" s="598"/>
      <c r="BK2" s="598"/>
      <c r="BL2" s="598"/>
      <c r="BM2" s="598"/>
      <c r="BN2" s="598"/>
      <c r="BO2" s="598"/>
      <c r="BP2" s="598"/>
      <c r="BQ2" s="598"/>
      <c r="BR2" s="598"/>
      <c r="BS2" s="598"/>
      <c r="BT2" s="598"/>
      <c r="BU2" s="598"/>
      <c r="BV2" s="598"/>
      <c r="BW2" s="598"/>
      <c r="BX2" s="598"/>
      <c r="BY2" s="598"/>
      <c r="BZ2" s="598"/>
      <c r="CA2" s="598"/>
      <c r="CB2" s="598"/>
      <c r="CC2" s="598"/>
      <c r="CD2" s="598"/>
      <c r="CE2" s="598"/>
      <c r="CF2" s="598"/>
      <c r="CG2" s="598"/>
      <c r="CH2" s="598"/>
      <c r="CI2" s="598"/>
      <c r="CJ2" s="598"/>
      <c r="CK2" s="598"/>
      <c r="CL2" s="598"/>
      <c r="CM2" s="598"/>
      <c r="CN2" s="598"/>
      <c r="CO2" s="598"/>
      <c r="CP2" s="598"/>
      <c r="CQ2" s="598"/>
      <c r="CR2" s="598"/>
      <c r="CS2" s="598"/>
      <c r="CT2" s="598"/>
      <c r="CU2" s="598"/>
      <c r="CV2" s="598"/>
      <c r="CW2" s="598"/>
      <c r="CX2" s="598"/>
      <c r="CY2" s="598"/>
      <c r="CZ2" s="598"/>
      <c r="DA2" s="598"/>
      <c r="DB2" s="598"/>
      <c r="DC2" s="598"/>
      <c r="DD2" s="598"/>
      <c r="DE2" s="598"/>
      <c r="DF2" s="598"/>
      <c r="DG2" s="598"/>
      <c r="DH2" s="598"/>
      <c r="DI2" s="598"/>
      <c r="DJ2" s="598"/>
      <c r="DK2" s="598"/>
      <c r="DL2" s="598"/>
      <c r="DM2" s="598"/>
      <c r="DN2" s="598"/>
      <c r="DO2" s="598"/>
      <c r="DP2" s="598"/>
      <c r="DQ2" s="598"/>
      <c r="DR2" s="598"/>
      <c r="DS2" s="598"/>
      <c r="DT2" s="598"/>
      <c r="DU2" s="598"/>
      <c r="DV2" s="598"/>
      <c r="DW2" s="598"/>
      <c r="DX2" s="598"/>
      <c r="DY2" s="598"/>
      <c r="DZ2" s="598"/>
      <c r="EA2" s="598"/>
      <c r="EB2" s="598"/>
      <c r="EC2" s="598"/>
      <c r="ED2" s="598"/>
      <c r="EE2" s="598"/>
      <c r="EF2" s="598"/>
      <c r="EG2" s="598"/>
      <c r="EH2" s="598"/>
      <c r="EI2" s="598"/>
      <c r="EJ2" s="598"/>
      <c r="EK2" s="598"/>
      <c r="EL2" s="598"/>
      <c r="EM2" s="598"/>
      <c r="EN2" s="598"/>
      <c r="EO2" s="598"/>
      <c r="EP2" s="598"/>
      <c r="EQ2" s="598"/>
      <c r="ER2" s="598"/>
      <c r="ES2" s="598"/>
    </row>
    <row r="3" spans="1:149" s="241" customFormat="1" ht="10.5" customHeight="1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599"/>
      <c r="AI3" s="599"/>
      <c r="AJ3" s="599"/>
      <c r="AK3" s="599"/>
      <c r="AL3" s="599"/>
      <c r="AM3" s="599"/>
      <c r="AN3" s="599"/>
      <c r="AO3" s="599"/>
      <c r="AP3" s="599"/>
      <c r="AQ3" s="599"/>
      <c r="AR3" s="599"/>
      <c r="AS3" s="599"/>
      <c r="AT3" s="599"/>
      <c r="AU3" s="599"/>
      <c r="AV3" s="599"/>
      <c r="AW3" s="599"/>
      <c r="AX3" s="599"/>
      <c r="AY3" s="599"/>
      <c r="AZ3" s="599"/>
      <c r="BA3" s="599"/>
      <c r="BB3" s="599"/>
      <c r="BC3" s="599"/>
      <c r="BD3" s="599"/>
      <c r="BE3" s="599"/>
      <c r="BF3" s="599"/>
      <c r="BG3" s="599"/>
      <c r="BH3" s="599"/>
      <c r="BI3" s="599"/>
      <c r="BJ3" s="599"/>
      <c r="BK3" s="599"/>
      <c r="BL3" s="599"/>
      <c r="BM3" s="599"/>
      <c r="BN3" s="599"/>
      <c r="BO3" s="599"/>
      <c r="BP3" s="599"/>
      <c r="BQ3" s="599"/>
      <c r="BR3" s="599"/>
      <c r="BS3" s="599"/>
      <c r="BT3" s="599"/>
      <c r="BU3" s="599"/>
      <c r="BV3" s="599"/>
      <c r="BW3" s="599"/>
      <c r="BX3" s="599"/>
      <c r="BY3" s="599"/>
      <c r="BZ3" s="599"/>
      <c r="CA3" s="599"/>
      <c r="CB3" s="599"/>
      <c r="CC3" s="599"/>
      <c r="CD3" s="599"/>
      <c r="CE3" s="599"/>
      <c r="CF3" s="599"/>
      <c r="CG3" s="599"/>
      <c r="CH3" s="599"/>
      <c r="CI3" s="599"/>
      <c r="CJ3" s="599"/>
      <c r="CK3" s="599"/>
      <c r="CL3" s="599"/>
      <c r="CM3" s="599"/>
      <c r="CN3" s="599"/>
      <c r="CO3" s="599"/>
      <c r="CP3" s="599"/>
      <c r="CQ3" s="599"/>
      <c r="CR3" s="599"/>
      <c r="CS3" s="599"/>
      <c r="CT3" s="599"/>
      <c r="CU3" s="599"/>
      <c r="CV3" s="599"/>
      <c r="CW3" s="599"/>
      <c r="CX3" s="599"/>
      <c r="CY3" s="599"/>
      <c r="CZ3" s="599"/>
      <c r="DA3" s="599"/>
      <c r="DB3" s="599"/>
      <c r="DC3" s="599"/>
      <c r="DD3" s="599"/>
      <c r="DE3" s="599"/>
      <c r="DF3" s="599"/>
      <c r="DG3" s="599"/>
      <c r="DH3" s="599"/>
      <c r="DI3" s="599"/>
      <c r="DJ3" s="599"/>
      <c r="DK3" s="599"/>
      <c r="DL3" s="599"/>
      <c r="DM3" s="599"/>
      <c r="DN3" s="599"/>
      <c r="DO3" s="599"/>
      <c r="DP3" s="599"/>
      <c r="DQ3" s="599"/>
      <c r="DR3" s="599"/>
      <c r="DS3" s="599"/>
      <c r="DT3" s="599"/>
      <c r="DU3" s="599"/>
      <c r="DV3" s="599"/>
      <c r="DW3" s="599"/>
      <c r="DX3" s="599"/>
      <c r="DY3" s="599"/>
      <c r="DZ3" s="599"/>
      <c r="EA3" s="600"/>
      <c r="EB3" s="600"/>
      <c r="EC3" s="600"/>
      <c r="ED3" s="600"/>
      <c r="EE3" s="600"/>
      <c r="EF3" s="600"/>
      <c r="EG3" s="600"/>
      <c r="EH3" s="600"/>
      <c r="EI3" s="600"/>
      <c r="EJ3" s="600"/>
      <c r="EK3" s="600"/>
      <c r="EL3" s="600"/>
      <c r="EM3" s="600"/>
      <c r="EN3" s="600"/>
      <c r="EO3" s="600"/>
      <c r="EP3" s="600"/>
      <c r="EQ3" s="600"/>
      <c r="ER3" s="600"/>
      <c r="ES3" s="600"/>
    </row>
    <row r="4" spans="1:149" s="39" customFormat="1" ht="15.75">
      <c r="A4" s="595"/>
      <c r="B4" s="598"/>
      <c r="C4" s="599"/>
      <c r="D4" s="32"/>
      <c r="E4" s="33"/>
      <c r="F4" s="34"/>
      <c r="G4" s="43"/>
      <c r="H4" s="35"/>
      <c r="I4" s="46"/>
      <c r="J4" s="46"/>
      <c r="K4" s="36"/>
      <c r="L4" s="35" t="s">
        <v>2</v>
      </c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7"/>
      <c r="AI4" s="37"/>
      <c r="AJ4" s="37"/>
      <c r="AK4" s="37"/>
      <c r="AL4" s="37"/>
      <c r="AM4" s="37"/>
      <c r="AN4" s="37"/>
      <c r="AO4" s="37"/>
      <c r="AP4" s="38"/>
      <c r="AQ4" s="35" t="s">
        <v>1</v>
      </c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7"/>
      <c r="BO4" s="37"/>
      <c r="BP4" s="37"/>
      <c r="BQ4" s="37"/>
      <c r="BR4" s="37"/>
      <c r="BS4" s="37"/>
      <c r="BT4" s="37"/>
      <c r="BU4" s="37"/>
      <c r="BV4" s="38"/>
      <c r="BW4" s="35" t="s">
        <v>1</v>
      </c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7"/>
      <c r="CU4" s="37"/>
      <c r="CV4" s="37"/>
      <c r="CW4" s="37"/>
      <c r="CX4" s="37"/>
      <c r="CY4" s="37"/>
      <c r="CZ4" s="37"/>
      <c r="DA4" s="37"/>
    </row>
    <row r="5" spans="1:149" ht="18" customHeight="1">
      <c r="A5" s="595"/>
      <c r="B5" s="598"/>
      <c r="C5" s="599"/>
      <c r="E5" s="1950" t="s">
        <v>281</v>
      </c>
      <c r="F5" s="1956" t="s">
        <v>1619</v>
      </c>
      <c r="G5" s="1958" t="s">
        <v>1620</v>
      </c>
      <c r="H5" s="1952" t="s">
        <v>1621</v>
      </c>
      <c r="I5" s="1954" t="s">
        <v>1622</v>
      </c>
      <c r="J5" s="1954" t="s">
        <v>1623</v>
      </c>
      <c r="K5" s="711"/>
      <c r="L5" s="1434" t="s">
        <v>1624</v>
      </c>
      <c r="M5" s="1434"/>
      <c r="N5" s="1434"/>
      <c r="O5" s="1434"/>
      <c r="P5" s="1434"/>
      <c r="Q5" s="1434"/>
      <c r="R5" s="1434"/>
      <c r="S5" s="1434"/>
      <c r="T5" s="1434"/>
      <c r="U5" s="1434"/>
      <c r="V5" s="1434"/>
      <c r="W5" s="1434"/>
      <c r="X5" s="1434"/>
      <c r="Y5" s="1434"/>
      <c r="Z5" s="1434"/>
      <c r="AA5" s="1434"/>
      <c r="AB5" s="1434"/>
      <c r="AC5" s="1434"/>
      <c r="AD5" s="1434"/>
      <c r="AE5" s="1434"/>
      <c r="AF5" s="1434"/>
      <c r="AG5" s="1434"/>
      <c r="AH5" s="1434"/>
      <c r="AI5" s="1434"/>
      <c r="AJ5" s="1434"/>
      <c r="AK5" s="1434"/>
      <c r="AL5" s="1434"/>
      <c r="AM5" s="1434"/>
      <c r="AN5" s="1434"/>
      <c r="AO5" s="1434"/>
      <c r="AP5" s="712"/>
      <c r="AQ5" s="1946" t="s">
        <v>1625</v>
      </c>
      <c r="AR5" s="1434" t="s">
        <v>1626</v>
      </c>
      <c r="AS5" s="1435"/>
      <c r="AT5" s="1435"/>
      <c r="AU5" s="1435"/>
      <c r="AV5" s="1435"/>
      <c r="AW5" s="1435"/>
      <c r="AX5" s="1435"/>
      <c r="AY5" s="1435"/>
      <c r="AZ5" s="1435"/>
      <c r="BA5" s="1435"/>
      <c r="BB5" s="1435"/>
      <c r="BC5" s="1435"/>
      <c r="BD5" s="1435"/>
      <c r="BE5" s="1435"/>
      <c r="BF5" s="1435"/>
      <c r="BG5" s="1435"/>
      <c r="BH5" s="1435"/>
      <c r="BI5" s="1435"/>
      <c r="BJ5" s="1435"/>
      <c r="BK5" s="1435"/>
      <c r="BL5" s="1435"/>
      <c r="BM5" s="1435"/>
      <c r="BN5" s="1435"/>
      <c r="BO5" s="1435"/>
      <c r="BP5" s="1435"/>
      <c r="BQ5" s="1435"/>
      <c r="BR5" s="1435"/>
      <c r="BS5" s="1435"/>
      <c r="BT5" s="1435"/>
      <c r="BU5" s="1435"/>
      <c r="BV5" s="712"/>
      <c r="BW5" s="1946" t="s">
        <v>1625</v>
      </c>
      <c r="BX5" s="1434" t="s">
        <v>1627</v>
      </c>
      <c r="BY5" s="1435"/>
      <c r="BZ5" s="1435"/>
      <c r="CA5" s="1435"/>
      <c r="CB5" s="1435"/>
      <c r="CC5" s="1435"/>
      <c r="CD5" s="1435"/>
      <c r="CE5" s="1435"/>
      <c r="CF5" s="1435"/>
      <c r="CG5" s="1435"/>
      <c r="CH5" s="1435"/>
      <c r="CI5" s="1435"/>
      <c r="CJ5" s="1435"/>
      <c r="CK5" s="1435"/>
      <c r="CL5" s="1435"/>
      <c r="CM5" s="1435"/>
      <c r="CN5" s="1435"/>
      <c r="CO5" s="1435"/>
      <c r="CP5" s="1435"/>
      <c r="CQ5" s="1435"/>
      <c r="CR5" s="1435"/>
      <c r="CS5" s="1435"/>
      <c r="CT5" s="1435"/>
      <c r="CU5" s="1435"/>
      <c r="CV5" s="1435"/>
      <c r="CW5" s="1435"/>
      <c r="CX5" s="1435"/>
      <c r="CY5" s="1435"/>
      <c r="CZ5" s="1435"/>
      <c r="DA5" s="1435"/>
      <c r="DB5" s="713"/>
      <c r="DC5" s="1946" t="s">
        <v>1625</v>
      </c>
      <c r="DD5" s="1434" t="s">
        <v>1628</v>
      </c>
      <c r="DE5" s="1435"/>
      <c r="DF5" s="1435"/>
      <c r="DG5" s="1435"/>
      <c r="DH5" s="1435"/>
      <c r="DI5" s="1435"/>
      <c r="DJ5" s="1435"/>
      <c r="DK5" s="1435"/>
      <c r="DL5" s="1435"/>
      <c r="DM5" s="1435"/>
      <c r="DN5" s="1435"/>
      <c r="DO5" s="1435"/>
      <c r="DP5" s="1435"/>
      <c r="DQ5" s="1435"/>
      <c r="DR5" s="1435"/>
      <c r="DS5" s="1435"/>
      <c r="DT5" s="1435"/>
      <c r="DU5" s="1435"/>
      <c r="DV5" s="1435"/>
      <c r="DW5" s="1435"/>
      <c r="DX5" s="1435"/>
      <c r="DY5" s="1435"/>
      <c r="DZ5" s="1435"/>
      <c r="EA5" s="1435"/>
      <c r="EB5" s="1435"/>
      <c r="EC5" s="1435"/>
      <c r="ED5" s="1435"/>
      <c r="EE5" s="1435"/>
      <c r="EF5" s="1435"/>
      <c r="EG5" s="1435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</row>
    <row r="6" spans="1:149" ht="18" customHeight="1">
      <c r="A6" s="595"/>
      <c r="B6" s="598"/>
      <c r="C6" s="599"/>
      <c r="D6" s="61" t="s">
        <v>3</v>
      </c>
      <c r="E6" s="1951"/>
      <c r="F6" s="1957"/>
      <c r="G6" s="1959"/>
      <c r="H6" s="1953"/>
      <c r="I6" s="1955"/>
      <c r="J6" s="1955"/>
      <c r="K6" s="711"/>
      <c r="L6" s="1436">
        <v>1</v>
      </c>
      <c r="M6" s="1436">
        <v>2</v>
      </c>
      <c r="N6" s="1436">
        <v>3</v>
      </c>
      <c r="O6" s="1436">
        <v>4</v>
      </c>
      <c r="P6" s="1436">
        <v>5</v>
      </c>
      <c r="Q6" s="1436">
        <v>6</v>
      </c>
      <c r="R6" s="1436">
        <v>7</v>
      </c>
      <c r="S6" s="1436">
        <v>8</v>
      </c>
      <c r="T6" s="1436">
        <v>9</v>
      </c>
      <c r="U6" s="1436">
        <v>10</v>
      </c>
      <c r="V6" s="1436">
        <v>11</v>
      </c>
      <c r="W6" s="1436">
        <v>12</v>
      </c>
      <c r="X6" s="1436">
        <v>13</v>
      </c>
      <c r="Y6" s="1436">
        <v>14</v>
      </c>
      <c r="Z6" s="1436">
        <v>15</v>
      </c>
      <c r="AA6" s="1436">
        <v>16</v>
      </c>
      <c r="AB6" s="1436">
        <v>17</v>
      </c>
      <c r="AC6" s="1436">
        <v>18</v>
      </c>
      <c r="AD6" s="1436">
        <v>19</v>
      </c>
      <c r="AE6" s="1436">
        <v>20</v>
      </c>
      <c r="AF6" s="1436">
        <v>21</v>
      </c>
      <c r="AG6" s="1436">
        <v>22</v>
      </c>
      <c r="AH6" s="1436">
        <v>23</v>
      </c>
      <c r="AI6" s="1436">
        <v>24</v>
      </c>
      <c r="AJ6" s="1436">
        <v>25</v>
      </c>
      <c r="AK6" s="1436">
        <v>26</v>
      </c>
      <c r="AL6" s="1436">
        <v>27</v>
      </c>
      <c r="AM6" s="1436">
        <v>28</v>
      </c>
      <c r="AN6" s="1436">
        <v>29</v>
      </c>
      <c r="AO6" s="1436">
        <v>30</v>
      </c>
      <c r="AP6" s="718"/>
      <c r="AQ6" s="1947"/>
      <c r="AR6" s="1436">
        <v>1</v>
      </c>
      <c r="AS6" s="1436">
        <v>2</v>
      </c>
      <c r="AT6" s="1436">
        <v>3</v>
      </c>
      <c r="AU6" s="1436">
        <v>4</v>
      </c>
      <c r="AV6" s="1436">
        <v>5</v>
      </c>
      <c r="AW6" s="1436">
        <v>6</v>
      </c>
      <c r="AX6" s="1436">
        <v>7</v>
      </c>
      <c r="AY6" s="1436">
        <v>8</v>
      </c>
      <c r="AZ6" s="1436">
        <v>9</v>
      </c>
      <c r="BA6" s="1436">
        <v>10</v>
      </c>
      <c r="BB6" s="1436">
        <v>11</v>
      </c>
      <c r="BC6" s="1436">
        <v>12</v>
      </c>
      <c r="BD6" s="1436">
        <v>13</v>
      </c>
      <c r="BE6" s="1436">
        <v>14</v>
      </c>
      <c r="BF6" s="1436">
        <v>15</v>
      </c>
      <c r="BG6" s="1436">
        <v>16</v>
      </c>
      <c r="BH6" s="1436">
        <v>17</v>
      </c>
      <c r="BI6" s="1436">
        <v>18</v>
      </c>
      <c r="BJ6" s="1436">
        <v>19</v>
      </c>
      <c r="BK6" s="1436">
        <v>20</v>
      </c>
      <c r="BL6" s="1436">
        <v>21</v>
      </c>
      <c r="BM6" s="1436">
        <v>22</v>
      </c>
      <c r="BN6" s="1436">
        <v>23</v>
      </c>
      <c r="BO6" s="1436">
        <v>24</v>
      </c>
      <c r="BP6" s="1436">
        <v>25</v>
      </c>
      <c r="BQ6" s="1436">
        <v>26</v>
      </c>
      <c r="BR6" s="1436">
        <v>27</v>
      </c>
      <c r="BS6" s="1436">
        <v>28</v>
      </c>
      <c r="BT6" s="1436">
        <v>29</v>
      </c>
      <c r="BU6" s="1436">
        <v>30</v>
      </c>
      <c r="BV6" s="718"/>
      <c r="BW6" s="1947"/>
      <c r="BX6" s="1436">
        <v>1</v>
      </c>
      <c r="BY6" s="1436">
        <v>2</v>
      </c>
      <c r="BZ6" s="1436">
        <v>3</v>
      </c>
      <c r="CA6" s="1436">
        <v>4</v>
      </c>
      <c r="CB6" s="1436">
        <v>5</v>
      </c>
      <c r="CC6" s="1436">
        <v>6</v>
      </c>
      <c r="CD6" s="1436">
        <v>7</v>
      </c>
      <c r="CE6" s="1436">
        <v>8</v>
      </c>
      <c r="CF6" s="1436">
        <v>9</v>
      </c>
      <c r="CG6" s="1436">
        <v>10</v>
      </c>
      <c r="CH6" s="1436">
        <v>11</v>
      </c>
      <c r="CI6" s="1436">
        <v>12</v>
      </c>
      <c r="CJ6" s="1436">
        <v>13</v>
      </c>
      <c r="CK6" s="1436">
        <v>14</v>
      </c>
      <c r="CL6" s="1436">
        <v>15</v>
      </c>
      <c r="CM6" s="1436">
        <v>16</v>
      </c>
      <c r="CN6" s="1436">
        <v>17</v>
      </c>
      <c r="CO6" s="1436">
        <v>18</v>
      </c>
      <c r="CP6" s="1436">
        <v>19</v>
      </c>
      <c r="CQ6" s="1436">
        <v>20</v>
      </c>
      <c r="CR6" s="1436">
        <v>21</v>
      </c>
      <c r="CS6" s="1436">
        <v>22</v>
      </c>
      <c r="CT6" s="1436">
        <v>23</v>
      </c>
      <c r="CU6" s="1436">
        <v>24</v>
      </c>
      <c r="CV6" s="1436">
        <v>25</v>
      </c>
      <c r="CW6" s="1436">
        <v>26</v>
      </c>
      <c r="CX6" s="1436">
        <v>27</v>
      </c>
      <c r="CY6" s="1436">
        <v>28</v>
      </c>
      <c r="CZ6" s="1436">
        <v>29</v>
      </c>
      <c r="DA6" s="1436">
        <v>30</v>
      </c>
      <c r="DB6" s="713"/>
      <c r="DC6" s="1947"/>
      <c r="DD6" s="1436">
        <v>1</v>
      </c>
      <c r="DE6" s="1436">
        <v>2</v>
      </c>
      <c r="DF6" s="1436">
        <v>3</v>
      </c>
      <c r="DG6" s="1436">
        <v>4</v>
      </c>
      <c r="DH6" s="1436">
        <v>5</v>
      </c>
      <c r="DI6" s="1436">
        <v>6</v>
      </c>
      <c r="DJ6" s="1436">
        <v>7</v>
      </c>
      <c r="DK6" s="1436">
        <v>8</v>
      </c>
      <c r="DL6" s="1436">
        <v>9</v>
      </c>
      <c r="DM6" s="1436">
        <v>10</v>
      </c>
      <c r="DN6" s="1436">
        <v>11</v>
      </c>
      <c r="DO6" s="1436">
        <v>12</v>
      </c>
      <c r="DP6" s="1436">
        <v>13</v>
      </c>
      <c r="DQ6" s="1436">
        <v>14</v>
      </c>
      <c r="DR6" s="1436">
        <v>15</v>
      </c>
      <c r="DS6" s="1436">
        <v>16</v>
      </c>
      <c r="DT6" s="1436">
        <v>17</v>
      </c>
      <c r="DU6" s="1436">
        <v>18</v>
      </c>
      <c r="DV6" s="1436">
        <v>19</v>
      </c>
      <c r="DW6" s="1436">
        <v>20</v>
      </c>
      <c r="DX6" s="1436">
        <v>21</v>
      </c>
      <c r="DY6" s="1436">
        <v>22</v>
      </c>
      <c r="DZ6" s="1436">
        <v>23</v>
      </c>
      <c r="EA6" s="1436">
        <v>24</v>
      </c>
      <c r="EB6" s="1436">
        <v>25</v>
      </c>
      <c r="EC6" s="1436">
        <v>26</v>
      </c>
      <c r="ED6" s="1436">
        <v>27</v>
      </c>
      <c r="EE6" s="1436">
        <v>28</v>
      </c>
      <c r="EF6" s="1436">
        <v>29</v>
      </c>
      <c r="EG6" s="1436">
        <v>30</v>
      </c>
      <c r="EH6" s="41"/>
      <c r="EI6" s="41"/>
      <c r="EJ6" s="41"/>
      <c r="EK6" s="41"/>
      <c r="EL6" s="41"/>
      <c r="EM6" s="41"/>
      <c r="EN6" s="41"/>
      <c r="EO6" s="41"/>
      <c r="EP6" s="41"/>
      <c r="EQ6" s="41"/>
      <c r="ER6" s="41"/>
      <c r="ES6" s="41"/>
    </row>
    <row r="7" spans="1:149" s="408" customFormat="1" ht="12.75" customHeight="1">
      <c r="A7" s="595"/>
      <c r="B7" s="598"/>
      <c r="C7" s="599"/>
      <c r="D7" s="407">
        <v>2</v>
      </c>
      <c r="E7" s="1437" t="s">
        <v>1629</v>
      </c>
      <c r="F7" s="714"/>
      <c r="G7" s="715"/>
      <c r="H7" s="716"/>
      <c r="I7" s="717"/>
      <c r="J7" s="717"/>
      <c r="K7" s="711"/>
      <c r="L7" s="1436"/>
      <c r="M7" s="1436"/>
      <c r="N7" s="1436"/>
      <c r="O7" s="1436"/>
      <c r="P7" s="1436"/>
      <c r="Q7" s="1436"/>
      <c r="R7" s="1436"/>
      <c r="S7" s="1436"/>
      <c r="T7" s="1436"/>
      <c r="U7" s="1436"/>
      <c r="V7" s="1436"/>
      <c r="W7" s="1436"/>
      <c r="X7" s="1436"/>
      <c r="Y7" s="1436"/>
      <c r="Z7" s="1436"/>
      <c r="AA7" s="1436"/>
      <c r="AB7" s="1436"/>
      <c r="AC7" s="1436"/>
      <c r="AD7" s="1436"/>
      <c r="AE7" s="1436"/>
      <c r="AF7" s="1436"/>
      <c r="AG7" s="1436"/>
      <c r="AH7" s="1436"/>
      <c r="AI7" s="1436"/>
      <c r="AJ7" s="1436"/>
      <c r="AK7" s="1436"/>
      <c r="AL7" s="1436"/>
      <c r="AM7" s="1436"/>
      <c r="AN7" s="1436"/>
      <c r="AO7" s="1436"/>
      <c r="AP7" s="718"/>
      <c r="AQ7" s="1438">
        <f>SUM(AR7:BU7)</f>
        <v>154.85134124999999</v>
      </c>
      <c r="AR7" s="719">
        <f t="shared" ref="AR7:BU7" si="0">SUBTOTAL(9,AR8:AR10)</f>
        <v>5.1617113749999994</v>
      </c>
      <c r="AS7" s="719">
        <f t="shared" si="0"/>
        <v>5.1617113749999994</v>
      </c>
      <c r="AT7" s="719">
        <f t="shared" si="0"/>
        <v>5.1617113749999994</v>
      </c>
      <c r="AU7" s="719">
        <f t="shared" si="0"/>
        <v>5.1617113749999994</v>
      </c>
      <c r="AV7" s="719">
        <f t="shared" si="0"/>
        <v>5.1617113749999994</v>
      </c>
      <c r="AW7" s="719">
        <f t="shared" si="0"/>
        <v>5.1617113749999994</v>
      </c>
      <c r="AX7" s="719">
        <f t="shared" si="0"/>
        <v>5.1617113749999994</v>
      </c>
      <c r="AY7" s="719">
        <f t="shared" si="0"/>
        <v>5.1617113749999994</v>
      </c>
      <c r="AZ7" s="719">
        <f t="shared" si="0"/>
        <v>5.1617113749999994</v>
      </c>
      <c r="BA7" s="719">
        <f t="shared" si="0"/>
        <v>5.1617113749999994</v>
      </c>
      <c r="BB7" s="719">
        <f t="shared" si="0"/>
        <v>5.1617113749999994</v>
      </c>
      <c r="BC7" s="719">
        <f t="shared" si="0"/>
        <v>5.1617113749999994</v>
      </c>
      <c r="BD7" s="719">
        <f t="shared" si="0"/>
        <v>5.1617113749999994</v>
      </c>
      <c r="BE7" s="719">
        <f t="shared" si="0"/>
        <v>5.1617113749999994</v>
      </c>
      <c r="BF7" s="719">
        <f t="shared" si="0"/>
        <v>5.1617113749999994</v>
      </c>
      <c r="BG7" s="719">
        <f t="shared" si="0"/>
        <v>5.1617113749999994</v>
      </c>
      <c r="BH7" s="719">
        <f t="shared" si="0"/>
        <v>5.1617113749999994</v>
      </c>
      <c r="BI7" s="719">
        <f t="shared" si="0"/>
        <v>5.1617113749999994</v>
      </c>
      <c r="BJ7" s="719">
        <f t="shared" si="0"/>
        <v>5.1617113749999994</v>
      </c>
      <c r="BK7" s="719">
        <f t="shared" si="0"/>
        <v>5.1617113749999994</v>
      </c>
      <c r="BL7" s="719">
        <f t="shared" si="0"/>
        <v>5.1617113749999994</v>
      </c>
      <c r="BM7" s="719">
        <f t="shared" si="0"/>
        <v>5.1617113749999994</v>
      </c>
      <c r="BN7" s="719">
        <f t="shared" si="0"/>
        <v>5.1617113749999994</v>
      </c>
      <c r="BO7" s="719">
        <f t="shared" si="0"/>
        <v>5.1617113749999994</v>
      </c>
      <c r="BP7" s="719">
        <f t="shared" si="0"/>
        <v>5.1617113749999994</v>
      </c>
      <c r="BQ7" s="719">
        <f t="shared" si="0"/>
        <v>5.1617113749999994</v>
      </c>
      <c r="BR7" s="719">
        <f t="shared" si="0"/>
        <v>5.1617113749999994</v>
      </c>
      <c r="BS7" s="719">
        <f t="shared" si="0"/>
        <v>5.1617113749999994</v>
      </c>
      <c r="BT7" s="719">
        <f t="shared" si="0"/>
        <v>5.1617113749999994</v>
      </c>
      <c r="BU7" s="719">
        <f t="shared" si="0"/>
        <v>5.1617113749999994</v>
      </c>
      <c r="BV7" s="720"/>
      <c r="BW7" s="719">
        <f t="shared" ref="BW7" si="1">SUBTOTAL(9,BW8:BW10)</f>
        <v>0</v>
      </c>
      <c r="BX7" s="719">
        <f t="shared" ref="BX7" si="2">SUBTOTAL(9,BX8:BX10)</f>
        <v>0</v>
      </c>
      <c r="BY7" s="719">
        <f t="shared" ref="BY7" si="3">SUBTOTAL(9,BY8:BY10)</f>
        <v>0</v>
      </c>
      <c r="BZ7" s="719">
        <f t="shared" ref="BZ7" si="4">SUBTOTAL(9,BZ8:BZ10)</f>
        <v>0</v>
      </c>
      <c r="CA7" s="719">
        <f t="shared" ref="CA7" si="5">SUBTOTAL(9,CA8:CA10)</f>
        <v>0</v>
      </c>
      <c r="CB7" s="719">
        <f t="shared" ref="CB7" si="6">SUBTOTAL(9,CB8:CB10)</f>
        <v>0</v>
      </c>
      <c r="CC7" s="719">
        <f t="shared" ref="CC7" si="7">SUBTOTAL(9,CC8:CC10)</f>
        <v>0</v>
      </c>
      <c r="CD7" s="719">
        <f t="shared" ref="CD7" si="8">SUBTOTAL(9,CD8:CD10)</f>
        <v>0</v>
      </c>
      <c r="CE7" s="719">
        <f t="shared" ref="CE7" si="9">SUBTOTAL(9,CE8:CE10)</f>
        <v>0</v>
      </c>
      <c r="CF7" s="719">
        <f t="shared" ref="CF7" si="10">SUBTOTAL(9,CF8:CF10)</f>
        <v>0</v>
      </c>
      <c r="CG7" s="719">
        <f t="shared" ref="CG7" si="11">SUBTOTAL(9,CG8:CG10)</f>
        <v>0</v>
      </c>
      <c r="CH7" s="719">
        <f t="shared" ref="CH7" si="12">SUBTOTAL(9,CH8:CH10)</f>
        <v>0</v>
      </c>
      <c r="CI7" s="719">
        <f t="shared" ref="CI7" si="13">SUBTOTAL(9,CI8:CI10)</f>
        <v>0</v>
      </c>
      <c r="CJ7" s="719">
        <f t="shared" ref="CJ7" si="14">SUBTOTAL(9,CJ8:CJ10)</f>
        <v>0</v>
      </c>
      <c r="CK7" s="719">
        <f t="shared" ref="CK7" si="15">SUBTOTAL(9,CK8:CK10)</f>
        <v>0</v>
      </c>
      <c r="CL7" s="719">
        <f t="shared" ref="CL7" si="16">SUBTOTAL(9,CL8:CL10)</f>
        <v>0</v>
      </c>
      <c r="CM7" s="719">
        <f t="shared" ref="CM7" si="17">SUBTOTAL(9,CM8:CM10)</f>
        <v>0</v>
      </c>
      <c r="CN7" s="719">
        <f t="shared" ref="CN7" si="18">SUBTOTAL(9,CN8:CN10)</f>
        <v>0</v>
      </c>
      <c r="CO7" s="719">
        <f t="shared" ref="CO7" si="19">SUBTOTAL(9,CO8:CO10)</f>
        <v>0</v>
      </c>
      <c r="CP7" s="719">
        <f t="shared" ref="CP7" si="20">SUBTOTAL(9,CP8:CP10)</f>
        <v>0</v>
      </c>
      <c r="CQ7" s="719">
        <f t="shared" ref="CQ7" si="21">SUBTOTAL(9,CQ8:CQ10)</f>
        <v>0</v>
      </c>
      <c r="CR7" s="719">
        <f t="shared" ref="CR7" si="22">SUBTOTAL(9,CR8:CR10)</f>
        <v>0</v>
      </c>
      <c r="CS7" s="719">
        <f t="shared" ref="CS7" si="23">SUBTOTAL(9,CS8:CS10)</f>
        <v>0</v>
      </c>
      <c r="CT7" s="719">
        <f t="shared" ref="CT7" si="24">SUBTOTAL(9,CT8:CT10)</f>
        <v>0</v>
      </c>
      <c r="CU7" s="719">
        <f t="shared" ref="CU7" si="25">SUBTOTAL(9,CU8:CU10)</f>
        <v>0</v>
      </c>
      <c r="CV7" s="719"/>
      <c r="CW7" s="719"/>
      <c r="CX7" s="719"/>
      <c r="CY7" s="719"/>
      <c r="CZ7" s="719"/>
      <c r="DA7" s="719">
        <f t="shared" ref="DA7" si="26">SUBTOTAL(9,DA8:DA10)</f>
        <v>0</v>
      </c>
      <c r="DB7" s="713"/>
      <c r="DC7" s="719">
        <f>AQ7+BW7</f>
        <v>154.85134124999999</v>
      </c>
      <c r="DD7" s="719">
        <f t="shared" ref="DD7:EG7" si="27">AR7+BX7</f>
        <v>5.1617113749999994</v>
      </c>
      <c r="DE7" s="719">
        <f t="shared" si="27"/>
        <v>5.1617113749999994</v>
      </c>
      <c r="DF7" s="719">
        <f t="shared" si="27"/>
        <v>5.1617113749999994</v>
      </c>
      <c r="DG7" s="719">
        <f t="shared" si="27"/>
        <v>5.1617113749999994</v>
      </c>
      <c r="DH7" s="719">
        <f t="shared" si="27"/>
        <v>5.1617113749999994</v>
      </c>
      <c r="DI7" s="719">
        <f t="shared" si="27"/>
        <v>5.1617113749999994</v>
      </c>
      <c r="DJ7" s="719">
        <f t="shared" si="27"/>
        <v>5.1617113749999994</v>
      </c>
      <c r="DK7" s="719">
        <f t="shared" si="27"/>
        <v>5.1617113749999994</v>
      </c>
      <c r="DL7" s="719">
        <f t="shared" si="27"/>
        <v>5.1617113749999994</v>
      </c>
      <c r="DM7" s="719">
        <f t="shared" si="27"/>
        <v>5.1617113749999994</v>
      </c>
      <c r="DN7" s="719">
        <f t="shared" si="27"/>
        <v>5.1617113749999994</v>
      </c>
      <c r="DO7" s="719">
        <f t="shared" si="27"/>
        <v>5.1617113749999994</v>
      </c>
      <c r="DP7" s="719">
        <f t="shared" si="27"/>
        <v>5.1617113749999994</v>
      </c>
      <c r="DQ7" s="719">
        <f t="shared" si="27"/>
        <v>5.1617113749999994</v>
      </c>
      <c r="DR7" s="719">
        <f t="shared" si="27"/>
        <v>5.1617113749999994</v>
      </c>
      <c r="DS7" s="719">
        <f t="shared" si="27"/>
        <v>5.1617113749999994</v>
      </c>
      <c r="DT7" s="719">
        <f t="shared" si="27"/>
        <v>5.1617113749999994</v>
      </c>
      <c r="DU7" s="719">
        <f t="shared" si="27"/>
        <v>5.1617113749999994</v>
      </c>
      <c r="DV7" s="719">
        <f t="shared" si="27"/>
        <v>5.1617113749999994</v>
      </c>
      <c r="DW7" s="719">
        <f t="shared" si="27"/>
        <v>5.1617113749999994</v>
      </c>
      <c r="DX7" s="719">
        <f t="shared" si="27"/>
        <v>5.1617113749999994</v>
      </c>
      <c r="DY7" s="719">
        <f t="shared" si="27"/>
        <v>5.1617113749999994</v>
      </c>
      <c r="DZ7" s="719">
        <f t="shared" si="27"/>
        <v>5.1617113749999994</v>
      </c>
      <c r="EA7" s="719">
        <f t="shared" si="27"/>
        <v>5.1617113749999994</v>
      </c>
      <c r="EB7" s="719">
        <f t="shared" si="27"/>
        <v>5.1617113749999994</v>
      </c>
      <c r="EC7" s="719">
        <f t="shared" si="27"/>
        <v>5.1617113749999994</v>
      </c>
      <c r="ED7" s="719">
        <f t="shared" si="27"/>
        <v>5.1617113749999994</v>
      </c>
      <c r="EE7" s="719">
        <f t="shared" si="27"/>
        <v>5.1617113749999994</v>
      </c>
      <c r="EF7" s="719">
        <f t="shared" si="27"/>
        <v>5.1617113749999994</v>
      </c>
      <c r="EG7" s="719">
        <f t="shared" si="27"/>
        <v>5.1617113749999994</v>
      </c>
      <c r="EH7" s="1439"/>
      <c r="EI7" s="1439"/>
      <c r="EJ7" s="1439"/>
      <c r="EK7" s="1439"/>
      <c r="EL7" s="1439"/>
      <c r="EM7" s="1439"/>
      <c r="EN7" s="1439"/>
      <c r="EO7" s="1439"/>
      <c r="EP7" s="1439"/>
      <c r="EQ7" s="1439"/>
      <c r="ER7" s="1439"/>
      <c r="ES7" s="1439"/>
    </row>
    <row r="8" spans="1:149" ht="12.75" customHeight="1">
      <c r="A8" s="595"/>
      <c r="B8" s="598"/>
      <c r="C8" s="599"/>
      <c r="E8" s="1440" t="s">
        <v>1630</v>
      </c>
      <c r="F8" s="53"/>
      <c r="G8" s="54"/>
      <c r="H8" s="55"/>
      <c r="I8" s="56"/>
      <c r="J8" s="56"/>
      <c r="K8" s="30"/>
      <c r="L8" s="1441">
        <v>1</v>
      </c>
      <c r="M8" s="1441">
        <v>1</v>
      </c>
      <c r="N8" s="1441">
        <v>1</v>
      </c>
      <c r="O8" s="1441">
        <v>1</v>
      </c>
      <c r="P8" s="1441">
        <v>1</v>
      </c>
      <c r="Q8" s="1441">
        <v>1</v>
      </c>
      <c r="R8" s="1441">
        <v>1</v>
      </c>
      <c r="S8" s="1441">
        <v>1</v>
      </c>
      <c r="T8" s="1441">
        <v>1</v>
      </c>
      <c r="U8" s="1441">
        <v>1</v>
      </c>
      <c r="V8" s="1441">
        <v>1</v>
      </c>
      <c r="W8" s="1441">
        <v>1</v>
      </c>
      <c r="X8" s="1441">
        <v>1</v>
      </c>
      <c r="Y8" s="1441">
        <v>1</v>
      </c>
      <c r="Z8" s="1441">
        <v>1</v>
      </c>
      <c r="AA8" s="1441">
        <v>1</v>
      </c>
      <c r="AB8" s="1441">
        <v>1</v>
      </c>
      <c r="AC8" s="1441">
        <v>1</v>
      </c>
      <c r="AD8" s="1441">
        <v>1</v>
      </c>
      <c r="AE8" s="1441">
        <v>1</v>
      </c>
      <c r="AF8" s="1441">
        <v>1</v>
      </c>
      <c r="AG8" s="1441">
        <v>1</v>
      </c>
      <c r="AH8" s="1441">
        <v>1</v>
      </c>
      <c r="AI8" s="1441">
        <v>1</v>
      </c>
      <c r="AJ8" s="1441">
        <v>1</v>
      </c>
      <c r="AK8" s="1441">
        <v>1</v>
      </c>
      <c r="AL8" s="1441">
        <v>1</v>
      </c>
      <c r="AM8" s="1441">
        <v>1</v>
      </c>
      <c r="AN8" s="1441">
        <v>1</v>
      </c>
      <c r="AO8" s="1441">
        <v>1</v>
      </c>
      <c r="AP8" s="31"/>
      <c r="AQ8" s="871">
        <f>SUM(AR8:BU8)</f>
        <v>154.85134124999999</v>
      </c>
      <c r="AR8" s="871">
        <f t="shared" ref="AR8" si="28">VLOOKUP($E8,Par,6,0)*L8/1000</f>
        <v>5.1617113749999994</v>
      </c>
      <c r="AS8" s="871">
        <f t="shared" ref="AS8" si="29">VLOOKUP($E8,Par,6,0)*M8/1000</f>
        <v>5.1617113749999994</v>
      </c>
      <c r="AT8" s="871">
        <f t="shared" ref="AT8" si="30">VLOOKUP($E8,Par,6,0)*N8/1000</f>
        <v>5.1617113749999994</v>
      </c>
      <c r="AU8" s="871">
        <f t="shared" ref="AU8" si="31">VLOOKUP($E8,Par,6,0)*O8/1000</f>
        <v>5.1617113749999994</v>
      </c>
      <c r="AV8" s="871">
        <f t="shared" ref="AV8" si="32">VLOOKUP($E8,Par,6,0)*P8/1000</f>
        <v>5.1617113749999994</v>
      </c>
      <c r="AW8" s="871">
        <f t="shared" ref="AW8" si="33">VLOOKUP($E8,Par,6,0)*Q8/1000</f>
        <v>5.1617113749999994</v>
      </c>
      <c r="AX8" s="871">
        <f t="shared" ref="AX8" si="34">VLOOKUP($E8,Par,6,0)*R8/1000</f>
        <v>5.1617113749999994</v>
      </c>
      <c r="AY8" s="871">
        <f t="shared" ref="AY8" si="35">VLOOKUP($E8,Par,6,0)*S8/1000</f>
        <v>5.1617113749999994</v>
      </c>
      <c r="AZ8" s="871">
        <f t="shared" ref="AZ8" si="36">VLOOKUP($E8,Par,6,0)*T8/1000</f>
        <v>5.1617113749999994</v>
      </c>
      <c r="BA8" s="871">
        <f t="shared" ref="BA8" si="37">VLOOKUP($E8,Par,6,0)*U8/1000</f>
        <v>5.1617113749999994</v>
      </c>
      <c r="BB8" s="871">
        <f t="shared" ref="BB8" si="38">VLOOKUP($E8,Par,6,0)*V8/1000</f>
        <v>5.1617113749999994</v>
      </c>
      <c r="BC8" s="871">
        <f t="shared" ref="BC8" si="39">VLOOKUP($E8,Par,6,0)*W8/1000</f>
        <v>5.1617113749999994</v>
      </c>
      <c r="BD8" s="871">
        <f t="shared" ref="BD8" si="40">VLOOKUP($E8,Par,6,0)*X8/1000</f>
        <v>5.1617113749999994</v>
      </c>
      <c r="BE8" s="871">
        <f t="shared" ref="BE8" si="41">VLOOKUP($E8,Par,6,0)*Y8/1000</f>
        <v>5.1617113749999994</v>
      </c>
      <c r="BF8" s="871">
        <f t="shared" ref="BF8" si="42">VLOOKUP($E8,Par,6,0)*Z8/1000</f>
        <v>5.1617113749999994</v>
      </c>
      <c r="BG8" s="871">
        <f t="shared" ref="BG8" si="43">VLOOKUP($E8,Par,6,0)*AA8/1000</f>
        <v>5.1617113749999994</v>
      </c>
      <c r="BH8" s="871">
        <f t="shared" ref="BH8" si="44">VLOOKUP($E8,Par,6,0)*AB8/1000</f>
        <v>5.1617113749999994</v>
      </c>
      <c r="BI8" s="871">
        <f t="shared" ref="BI8" si="45">VLOOKUP($E8,Par,6,0)*AC8/1000</f>
        <v>5.1617113749999994</v>
      </c>
      <c r="BJ8" s="871">
        <f t="shared" ref="BJ8" si="46">VLOOKUP($E8,Par,6,0)*AD8/1000</f>
        <v>5.1617113749999994</v>
      </c>
      <c r="BK8" s="871">
        <f t="shared" ref="BK8" si="47">VLOOKUP($E8,Par,6,0)*AE8/1000</f>
        <v>5.1617113749999994</v>
      </c>
      <c r="BL8" s="871">
        <f t="shared" ref="BL8" si="48">VLOOKUP($E8,Par,6,0)*AF8/1000</f>
        <v>5.1617113749999994</v>
      </c>
      <c r="BM8" s="871">
        <f t="shared" ref="BM8" si="49">VLOOKUP($E8,Par,6,0)*AG8/1000</f>
        <v>5.1617113749999994</v>
      </c>
      <c r="BN8" s="871">
        <f t="shared" ref="BN8" si="50">VLOOKUP($E8,Par,6,0)*AH8/1000</f>
        <v>5.1617113749999994</v>
      </c>
      <c r="BO8" s="871">
        <f t="shared" ref="BO8" si="51">VLOOKUP($E8,Par,6,0)*AI8/1000</f>
        <v>5.1617113749999994</v>
      </c>
      <c r="BP8" s="871">
        <f t="shared" ref="BP8" si="52">VLOOKUP($E8,Par,6,0)*AJ8/1000</f>
        <v>5.1617113749999994</v>
      </c>
      <c r="BQ8" s="871">
        <f t="shared" ref="BQ8" si="53">VLOOKUP($E8,Par,6,0)*AK8/1000</f>
        <v>5.1617113749999994</v>
      </c>
      <c r="BR8" s="871">
        <f t="shared" ref="BR8" si="54">VLOOKUP($E8,Par,6,0)*AL8/1000</f>
        <v>5.1617113749999994</v>
      </c>
      <c r="BS8" s="871">
        <f t="shared" ref="BS8" si="55">VLOOKUP($E8,Par,6,0)*AM8/1000</f>
        <v>5.1617113749999994</v>
      </c>
      <c r="BT8" s="871">
        <f t="shared" ref="BT8" si="56">VLOOKUP($E8,Par,6,0)*AN8/1000</f>
        <v>5.1617113749999994</v>
      </c>
      <c r="BU8" s="871">
        <f t="shared" ref="BU8" si="57">VLOOKUP($E8,Par,6,0)*AO8/1000</f>
        <v>5.1617113749999994</v>
      </c>
      <c r="BV8" s="58"/>
      <c r="BW8" s="57"/>
      <c r="BX8" s="1442"/>
      <c r="BY8" s="1442"/>
      <c r="BZ8" s="1442"/>
      <c r="CA8" s="1442"/>
      <c r="CB8" s="1442"/>
      <c r="CC8" s="1442"/>
      <c r="CD8" s="1442"/>
      <c r="CE8" s="1442"/>
      <c r="CF8" s="1442"/>
      <c r="CG8" s="1442"/>
      <c r="CH8" s="1442"/>
      <c r="CI8" s="1442"/>
      <c r="CJ8" s="1442"/>
      <c r="CK8" s="1442"/>
      <c r="CL8" s="1442"/>
      <c r="CM8" s="1442"/>
      <c r="CN8" s="1442"/>
      <c r="CO8" s="1442"/>
      <c r="CP8" s="1442"/>
      <c r="CQ8" s="1442"/>
      <c r="CR8" s="1442"/>
      <c r="CS8" s="1442"/>
      <c r="CT8" s="1442"/>
      <c r="CU8" s="1442"/>
      <c r="CV8" s="1442"/>
      <c r="CW8" s="1442"/>
      <c r="CX8" s="1442"/>
      <c r="CY8" s="1442"/>
      <c r="CZ8" s="1442"/>
      <c r="DA8" s="1442"/>
      <c r="DB8" s="41"/>
      <c r="DC8" s="57">
        <f t="shared" ref="DC8:DC71" si="58">AQ8+BW8</f>
        <v>154.85134124999999</v>
      </c>
      <c r="DD8" s="1442">
        <f t="shared" ref="DD8:DD71" si="59">AR8+BX8</f>
        <v>5.1617113749999994</v>
      </c>
      <c r="DE8" s="1442">
        <f t="shared" ref="DE8:DE71" si="60">AS8+BY8</f>
        <v>5.1617113749999994</v>
      </c>
      <c r="DF8" s="1442">
        <f t="shared" ref="DF8:DF71" si="61">AT8+BZ8</f>
        <v>5.1617113749999994</v>
      </c>
      <c r="DG8" s="1442">
        <f t="shared" ref="DG8:DG71" si="62">AU8+CA8</f>
        <v>5.1617113749999994</v>
      </c>
      <c r="DH8" s="1442">
        <f t="shared" ref="DH8:DH71" si="63">AV8+CB8</f>
        <v>5.1617113749999994</v>
      </c>
      <c r="DI8" s="1442">
        <f t="shared" ref="DI8:DI71" si="64">AW8+CC8</f>
        <v>5.1617113749999994</v>
      </c>
      <c r="DJ8" s="1442">
        <f t="shared" ref="DJ8:DJ71" si="65">AX8+CD8</f>
        <v>5.1617113749999994</v>
      </c>
      <c r="DK8" s="1442">
        <f t="shared" ref="DK8:DK71" si="66">AY8+CE8</f>
        <v>5.1617113749999994</v>
      </c>
      <c r="DL8" s="1442">
        <f t="shared" ref="DL8:DL71" si="67">AZ8+CF8</f>
        <v>5.1617113749999994</v>
      </c>
      <c r="DM8" s="1442">
        <f t="shared" ref="DM8:DM71" si="68">BA8+CG8</f>
        <v>5.1617113749999994</v>
      </c>
      <c r="DN8" s="1442">
        <f t="shared" ref="DN8:DN71" si="69">BB8+CH8</f>
        <v>5.1617113749999994</v>
      </c>
      <c r="DO8" s="1442">
        <f t="shared" ref="DO8:DO71" si="70">BC8+CI8</f>
        <v>5.1617113749999994</v>
      </c>
      <c r="DP8" s="1442">
        <f t="shared" ref="DP8:DP71" si="71">BD8+CJ8</f>
        <v>5.1617113749999994</v>
      </c>
      <c r="DQ8" s="1442">
        <f t="shared" ref="DQ8:DQ71" si="72">BE8+CK8</f>
        <v>5.1617113749999994</v>
      </c>
      <c r="DR8" s="1442">
        <f t="shared" ref="DR8:DR71" si="73">BF8+CL8</f>
        <v>5.1617113749999994</v>
      </c>
      <c r="DS8" s="1442">
        <f t="shared" ref="DS8:DS71" si="74">BG8+CM8</f>
        <v>5.1617113749999994</v>
      </c>
      <c r="DT8" s="1442">
        <f t="shared" ref="DT8:DT71" si="75">BH8+CN8</f>
        <v>5.1617113749999994</v>
      </c>
      <c r="DU8" s="1442">
        <f t="shared" ref="DU8:DU71" si="76">BI8+CO8</f>
        <v>5.1617113749999994</v>
      </c>
      <c r="DV8" s="1442">
        <f t="shared" ref="DV8:DV71" si="77">BJ8+CP8</f>
        <v>5.1617113749999994</v>
      </c>
      <c r="DW8" s="1442">
        <f t="shared" ref="DW8:DW71" si="78">BK8+CQ8</f>
        <v>5.1617113749999994</v>
      </c>
      <c r="DX8" s="1442">
        <f t="shared" ref="DX8:DX71" si="79">BL8+CR8</f>
        <v>5.1617113749999994</v>
      </c>
      <c r="DY8" s="1442">
        <f t="shared" ref="DY8:DY71" si="80">BM8+CS8</f>
        <v>5.1617113749999994</v>
      </c>
      <c r="DZ8" s="1442">
        <f t="shared" ref="DZ8:DZ71" si="81">BN8+CT8</f>
        <v>5.1617113749999994</v>
      </c>
      <c r="EA8" s="1442">
        <f t="shared" ref="EA8:EA71" si="82">BO8+CU8</f>
        <v>5.1617113749999994</v>
      </c>
      <c r="EB8" s="1442">
        <f t="shared" ref="EB8:EB71" si="83">BP8+CV8</f>
        <v>5.1617113749999994</v>
      </c>
      <c r="EC8" s="1442">
        <f t="shared" ref="EC8:EC71" si="84">BQ8+CW8</f>
        <v>5.1617113749999994</v>
      </c>
      <c r="ED8" s="1442">
        <f t="shared" ref="ED8:ED71" si="85">BR8+CX8</f>
        <v>5.1617113749999994</v>
      </c>
      <c r="EE8" s="1442">
        <f t="shared" ref="EE8:EE71" si="86">BS8+CY8</f>
        <v>5.1617113749999994</v>
      </c>
      <c r="EF8" s="1442">
        <f t="shared" ref="EF8:EF71" si="87">BT8+CZ8</f>
        <v>5.1617113749999994</v>
      </c>
      <c r="EG8" s="1442">
        <f t="shared" ref="EG8:EG71" si="88">BU8+DA8</f>
        <v>5.1617113749999994</v>
      </c>
      <c r="EH8" s="41"/>
      <c r="EI8" s="41"/>
      <c r="EJ8" s="41"/>
      <c r="EK8" s="41"/>
      <c r="EL8" s="41"/>
      <c r="EM8" s="41"/>
      <c r="EN8" s="41"/>
      <c r="EO8" s="41"/>
      <c r="EP8" s="41"/>
      <c r="EQ8" s="41"/>
      <c r="ER8" s="41"/>
      <c r="ES8" s="41"/>
    </row>
    <row r="9" spans="1:149" ht="12.75" customHeight="1">
      <c r="A9" s="595"/>
      <c r="B9" s="598"/>
      <c r="C9" s="599"/>
      <c r="E9" s="1443"/>
      <c r="F9" s="53"/>
      <c r="G9" s="54"/>
      <c r="H9" s="55"/>
      <c r="I9" s="56"/>
      <c r="J9" s="56"/>
      <c r="K9" s="30"/>
      <c r="L9" s="1441"/>
      <c r="M9" s="1441"/>
      <c r="N9" s="1441"/>
      <c r="O9" s="1441"/>
      <c r="P9" s="1441"/>
      <c r="Q9" s="1441"/>
      <c r="R9" s="1441"/>
      <c r="S9" s="1441"/>
      <c r="T9" s="1441"/>
      <c r="U9" s="1441"/>
      <c r="V9" s="1441"/>
      <c r="W9" s="1441"/>
      <c r="X9" s="1441"/>
      <c r="Y9" s="1441"/>
      <c r="Z9" s="1441"/>
      <c r="AA9" s="1441"/>
      <c r="AB9" s="1441"/>
      <c r="AC9" s="1441"/>
      <c r="AD9" s="1441"/>
      <c r="AE9" s="1441"/>
      <c r="AF9" s="1441"/>
      <c r="AG9" s="1441"/>
      <c r="AH9" s="1441"/>
      <c r="AI9" s="1441"/>
      <c r="AJ9" s="1441"/>
      <c r="AK9" s="1441"/>
      <c r="AL9" s="1441"/>
      <c r="AM9" s="1441"/>
      <c r="AN9" s="1441"/>
      <c r="AO9" s="1441"/>
      <c r="AP9" s="31"/>
      <c r="AQ9" s="871"/>
      <c r="AR9" s="871"/>
      <c r="AS9" s="871"/>
      <c r="AT9" s="871"/>
      <c r="AU9" s="871"/>
      <c r="AV9" s="871"/>
      <c r="AW9" s="871"/>
      <c r="AX9" s="871"/>
      <c r="AY9" s="871"/>
      <c r="AZ9" s="871"/>
      <c r="BA9" s="871"/>
      <c r="BB9" s="871"/>
      <c r="BC9" s="871"/>
      <c r="BD9" s="871"/>
      <c r="BE9" s="871"/>
      <c r="BF9" s="871"/>
      <c r="BG9" s="871"/>
      <c r="BH9" s="871"/>
      <c r="BI9" s="871"/>
      <c r="BJ9" s="871"/>
      <c r="BK9" s="871"/>
      <c r="BL9" s="871"/>
      <c r="BM9" s="871"/>
      <c r="BN9" s="871"/>
      <c r="BO9" s="871"/>
      <c r="BP9" s="871"/>
      <c r="BQ9" s="871"/>
      <c r="BR9" s="871"/>
      <c r="BS9" s="871"/>
      <c r="BT9" s="871"/>
      <c r="BU9" s="871"/>
      <c r="BV9" s="58"/>
      <c r="BW9" s="57"/>
      <c r="BX9" s="1442"/>
      <c r="BY9" s="1442"/>
      <c r="BZ9" s="1442"/>
      <c r="CA9" s="1442"/>
      <c r="CB9" s="1442"/>
      <c r="CC9" s="1442"/>
      <c r="CD9" s="1442"/>
      <c r="CE9" s="1442"/>
      <c r="CF9" s="1442"/>
      <c r="CG9" s="1442"/>
      <c r="CH9" s="1442"/>
      <c r="CI9" s="1442"/>
      <c r="CJ9" s="1442"/>
      <c r="CK9" s="1442"/>
      <c r="CL9" s="1442"/>
      <c r="CM9" s="1442"/>
      <c r="CN9" s="1442"/>
      <c r="CO9" s="1442"/>
      <c r="CP9" s="1442"/>
      <c r="CQ9" s="1442"/>
      <c r="CR9" s="1442"/>
      <c r="CS9" s="1442"/>
      <c r="CT9" s="1442"/>
      <c r="CU9" s="1442"/>
      <c r="CV9" s="1442"/>
      <c r="CW9" s="1442"/>
      <c r="CX9" s="1442"/>
      <c r="CY9" s="1442"/>
      <c r="CZ9" s="1442"/>
      <c r="DA9" s="1442"/>
      <c r="DB9" s="41"/>
      <c r="DC9" s="57">
        <f t="shared" si="58"/>
        <v>0</v>
      </c>
      <c r="DD9" s="1442">
        <f t="shared" si="59"/>
        <v>0</v>
      </c>
      <c r="DE9" s="1442">
        <f t="shared" si="60"/>
        <v>0</v>
      </c>
      <c r="DF9" s="1442">
        <f t="shared" si="61"/>
        <v>0</v>
      </c>
      <c r="DG9" s="1442">
        <f t="shared" si="62"/>
        <v>0</v>
      </c>
      <c r="DH9" s="1442">
        <f t="shared" si="63"/>
        <v>0</v>
      </c>
      <c r="DI9" s="1442">
        <f t="shared" si="64"/>
        <v>0</v>
      </c>
      <c r="DJ9" s="1442">
        <f t="shared" si="65"/>
        <v>0</v>
      </c>
      <c r="DK9" s="1442">
        <f t="shared" si="66"/>
        <v>0</v>
      </c>
      <c r="DL9" s="1442">
        <f t="shared" si="67"/>
        <v>0</v>
      </c>
      <c r="DM9" s="1442">
        <f t="shared" si="68"/>
        <v>0</v>
      </c>
      <c r="DN9" s="1442">
        <f t="shared" si="69"/>
        <v>0</v>
      </c>
      <c r="DO9" s="1442">
        <f t="shared" si="70"/>
        <v>0</v>
      </c>
      <c r="DP9" s="1442">
        <f t="shared" si="71"/>
        <v>0</v>
      </c>
      <c r="DQ9" s="1442">
        <f t="shared" si="72"/>
        <v>0</v>
      </c>
      <c r="DR9" s="1442">
        <f t="shared" si="73"/>
        <v>0</v>
      </c>
      <c r="DS9" s="1442">
        <f t="shared" si="74"/>
        <v>0</v>
      </c>
      <c r="DT9" s="1442">
        <f t="shared" si="75"/>
        <v>0</v>
      </c>
      <c r="DU9" s="1442">
        <f t="shared" si="76"/>
        <v>0</v>
      </c>
      <c r="DV9" s="1442">
        <f t="shared" si="77"/>
        <v>0</v>
      </c>
      <c r="DW9" s="1442">
        <f t="shared" si="78"/>
        <v>0</v>
      </c>
      <c r="DX9" s="1442">
        <f t="shared" si="79"/>
        <v>0</v>
      </c>
      <c r="DY9" s="1442">
        <f t="shared" si="80"/>
        <v>0</v>
      </c>
      <c r="DZ9" s="1442">
        <f t="shared" si="81"/>
        <v>0</v>
      </c>
      <c r="EA9" s="1442">
        <f t="shared" si="82"/>
        <v>0</v>
      </c>
      <c r="EB9" s="1442">
        <f t="shared" si="83"/>
        <v>0</v>
      </c>
      <c r="EC9" s="1442">
        <f t="shared" si="84"/>
        <v>0</v>
      </c>
      <c r="ED9" s="1442">
        <f t="shared" si="85"/>
        <v>0</v>
      </c>
      <c r="EE9" s="1442">
        <f t="shared" si="86"/>
        <v>0</v>
      </c>
      <c r="EF9" s="1442">
        <f t="shared" si="87"/>
        <v>0</v>
      </c>
      <c r="EG9" s="1442">
        <f t="shared" si="88"/>
        <v>0</v>
      </c>
      <c r="EH9" s="41"/>
      <c r="EI9" s="41"/>
      <c r="EJ9" s="41"/>
      <c r="EK9" s="41"/>
      <c r="EL9" s="41"/>
      <c r="EM9" s="41"/>
      <c r="EN9" s="41"/>
      <c r="EO9" s="41"/>
      <c r="EP9" s="41"/>
      <c r="EQ9" s="41"/>
      <c r="ER9" s="41"/>
      <c r="ES9" s="41"/>
    </row>
    <row r="10" spans="1:149" ht="12.75" customHeight="1">
      <c r="A10" s="595"/>
      <c r="B10" s="598"/>
      <c r="C10" s="599"/>
      <c r="E10" s="1444"/>
      <c r="F10" s="53"/>
      <c r="G10" s="54"/>
      <c r="H10" s="55"/>
      <c r="I10" s="56"/>
      <c r="J10" s="56"/>
      <c r="K10" s="30"/>
      <c r="L10" s="1445"/>
      <c r="M10" s="1445"/>
      <c r="N10" s="1445"/>
      <c r="O10" s="1445"/>
      <c r="P10" s="1445"/>
      <c r="Q10" s="1445"/>
      <c r="R10" s="1445"/>
      <c r="S10" s="1445"/>
      <c r="T10" s="1445"/>
      <c r="U10" s="1445"/>
      <c r="V10" s="1445"/>
      <c r="W10" s="1445"/>
      <c r="X10" s="1445"/>
      <c r="Y10" s="1445"/>
      <c r="Z10" s="1445"/>
      <c r="AA10" s="1445"/>
      <c r="AB10" s="1445"/>
      <c r="AC10" s="1445"/>
      <c r="AD10" s="1445"/>
      <c r="AE10" s="1445"/>
      <c r="AF10" s="1445"/>
      <c r="AG10" s="1445"/>
      <c r="AH10" s="1445"/>
      <c r="AI10" s="1445"/>
      <c r="AJ10" s="1445"/>
      <c r="AK10" s="1445"/>
      <c r="AL10" s="1445"/>
      <c r="AM10" s="1445"/>
      <c r="AN10" s="1445"/>
      <c r="AO10" s="1445"/>
      <c r="AP10" s="31"/>
      <c r="AQ10" s="57"/>
      <c r="AR10" s="1442"/>
      <c r="AS10" s="1442"/>
      <c r="AT10" s="1442"/>
      <c r="AU10" s="1442"/>
      <c r="AV10" s="1442"/>
      <c r="AW10" s="1442"/>
      <c r="AX10" s="1442"/>
      <c r="AY10" s="1442"/>
      <c r="AZ10" s="1442"/>
      <c r="BA10" s="1442"/>
      <c r="BB10" s="1442"/>
      <c r="BC10" s="1442"/>
      <c r="BD10" s="1442"/>
      <c r="BE10" s="1442"/>
      <c r="BF10" s="1442"/>
      <c r="BG10" s="1442"/>
      <c r="BH10" s="1442"/>
      <c r="BI10" s="1442"/>
      <c r="BJ10" s="1442"/>
      <c r="BK10" s="1442"/>
      <c r="BL10" s="1442"/>
      <c r="BM10" s="1442"/>
      <c r="BN10" s="1442"/>
      <c r="BO10" s="1442"/>
      <c r="BP10" s="1442"/>
      <c r="BQ10" s="1442"/>
      <c r="BR10" s="1442"/>
      <c r="BS10" s="1442"/>
      <c r="BT10" s="1442"/>
      <c r="BU10" s="1442"/>
      <c r="BV10" s="58"/>
      <c r="BW10" s="57"/>
      <c r="BX10" s="1442"/>
      <c r="BY10" s="1442"/>
      <c r="BZ10" s="1442"/>
      <c r="CA10" s="1442"/>
      <c r="CB10" s="1442"/>
      <c r="CC10" s="1442"/>
      <c r="CD10" s="1442"/>
      <c r="CE10" s="1442"/>
      <c r="CF10" s="1442"/>
      <c r="CG10" s="1442"/>
      <c r="CH10" s="1442"/>
      <c r="CI10" s="1442"/>
      <c r="CJ10" s="1442"/>
      <c r="CK10" s="1442"/>
      <c r="CL10" s="1442"/>
      <c r="CM10" s="1442"/>
      <c r="CN10" s="1442"/>
      <c r="CO10" s="1442"/>
      <c r="CP10" s="1442"/>
      <c r="CQ10" s="1442"/>
      <c r="CR10" s="1442"/>
      <c r="CS10" s="1442"/>
      <c r="CT10" s="1442"/>
      <c r="CU10" s="1442"/>
      <c r="CV10" s="1442"/>
      <c r="CW10" s="1442"/>
      <c r="CX10" s="1442"/>
      <c r="CY10" s="1442"/>
      <c r="CZ10" s="1442"/>
      <c r="DA10" s="1442"/>
      <c r="DB10" s="41"/>
      <c r="DC10" s="57">
        <f t="shared" si="58"/>
        <v>0</v>
      </c>
      <c r="DD10" s="1442">
        <f t="shared" si="59"/>
        <v>0</v>
      </c>
      <c r="DE10" s="1442">
        <f t="shared" si="60"/>
        <v>0</v>
      </c>
      <c r="DF10" s="1442">
        <f t="shared" si="61"/>
        <v>0</v>
      </c>
      <c r="DG10" s="1442">
        <f t="shared" si="62"/>
        <v>0</v>
      </c>
      <c r="DH10" s="1442">
        <f t="shared" si="63"/>
        <v>0</v>
      </c>
      <c r="DI10" s="1442">
        <f t="shared" si="64"/>
        <v>0</v>
      </c>
      <c r="DJ10" s="1442">
        <f t="shared" si="65"/>
        <v>0</v>
      </c>
      <c r="DK10" s="1442">
        <f t="shared" si="66"/>
        <v>0</v>
      </c>
      <c r="DL10" s="1442">
        <f t="shared" si="67"/>
        <v>0</v>
      </c>
      <c r="DM10" s="1442">
        <f t="shared" si="68"/>
        <v>0</v>
      </c>
      <c r="DN10" s="1442">
        <f t="shared" si="69"/>
        <v>0</v>
      </c>
      <c r="DO10" s="1442">
        <f t="shared" si="70"/>
        <v>0</v>
      </c>
      <c r="DP10" s="1442">
        <f t="shared" si="71"/>
        <v>0</v>
      </c>
      <c r="DQ10" s="1442">
        <f t="shared" si="72"/>
        <v>0</v>
      </c>
      <c r="DR10" s="1442">
        <f t="shared" si="73"/>
        <v>0</v>
      </c>
      <c r="DS10" s="1442">
        <f t="shared" si="74"/>
        <v>0</v>
      </c>
      <c r="DT10" s="1442">
        <f t="shared" si="75"/>
        <v>0</v>
      </c>
      <c r="DU10" s="1442">
        <f t="shared" si="76"/>
        <v>0</v>
      </c>
      <c r="DV10" s="1442">
        <f t="shared" si="77"/>
        <v>0</v>
      </c>
      <c r="DW10" s="1442">
        <f t="shared" si="78"/>
        <v>0</v>
      </c>
      <c r="DX10" s="1442">
        <f t="shared" si="79"/>
        <v>0</v>
      </c>
      <c r="DY10" s="1442">
        <f t="shared" si="80"/>
        <v>0</v>
      </c>
      <c r="DZ10" s="1442">
        <f t="shared" si="81"/>
        <v>0</v>
      </c>
      <c r="EA10" s="1442">
        <f t="shared" si="82"/>
        <v>0</v>
      </c>
      <c r="EB10" s="1442">
        <f t="shared" si="83"/>
        <v>0</v>
      </c>
      <c r="EC10" s="1442">
        <f t="shared" si="84"/>
        <v>0</v>
      </c>
      <c r="ED10" s="1442">
        <f t="shared" si="85"/>
        <v>0</v>
      </c>
      <c r="EE10" s="1442">
        <f t="shared" si="86"/>
        <v>0</v>
      </c>
      <c r="EF10" s="1442">
        <f t="shared" si="87"/>
        <v>0</v>
      </c>
      <c r="EG10" s="1442">
        <f t="shared" si="88"/>
        <v>0</v>
      </c>
      <c r="EH10" s="41"/>
      <c r="EI10" s="41"/>
      <c r="EJ10" s="41"/>
      <c r="EK10" s="41"/>
      <c r="EL10" s="41"/>
      <c r="EM10" s="41"/>
      <c r="EN10" s="41"/>
      <c r="EO10" s="41"/>
      <c r="EP10" s="41"/>
      <c r="EQ10" s="41"/>
      <c r="ER10" s="41"/>
      <c r="ES10" s="41"/>
    </row>
    <row r="11" spans="1:149" s="408" customFormat="1">
      <c r="A11" s="595"/>
      <c r="B11" s="598"/>
      <c r="C11" s="599"/>
      <c r="D11" s="407">
        <v>2</v>
      </c>
      <c r="E11" s="1437" t="s">
        <v>466</v>
      </c>
      <c r="F11" s="1446"/>
      <c r="G11" s="1447"/>
      <c r="H11" s="1448"/>
      <c r="I11" s="1449"/>
      <c r="J11" s="1449"/>
      <c r="K11" s="711"/>
      <c r="L11" s="1436"/>
      <c r="M11" s="1436"/>
      <c r="N11" s="1436"/>
      <c r="O11" s="1436"/>
      <c r="P11" s="1436"/>
      <c r="Q11" s="1436"/>
      <c r="R11" s="1436"/>
      <c r="S11" s="1436"/>
      <c r="T11" s="1436"/>
      <c r="U11" s="1436"/>
      <c r="V11" s="1436"/>
      <c r="W11" s="1436"/>
      <c r="X11" s="1436"/>
      <c r="Y11" s="1436"/>
      <c r="Z11" s="1436"/>
      <c r="AA11" s="1436"/>
      <c r="AB11" s="1436"/>
      <c r="AC11" s="1436"/>
      <c r="AD11" s="1436"/>
      <c r="AE11" s="1436"/>
      <c r="AF11" s="1436"/>
      <c r="AG11" s="1436"/>
      <c r="AH11" s="1436"/>
      <c r="AI11" s="1436"/>
      <c r="AJ11" s="1436"/>
      <c r="AK11" s="1436"/>
      <c r="AL11" s="1436"/>
      <c r="AM11" s="1436"/>
      <c r="AN11" s="1436"/>
      <c r="AO11" s="1436"/>
      <c r="AP11" s="718"/>
      <c r="AQ11" s="719">
        <f>SUBTOTAL(9,AQ12:AQ19)</f>
        <v>1509.7990414015958</v>
      </c>
      <c r="AR11" s="719">
        <f t="shared" ref="AR11:BO11" si="89">SUBTOTAL(9,AR12:AR19)</f>
        <v>50.326634713386497</v>
      </c>
      <c r="AS11" s="719">
        <f t="shared" si="89"/>
        <v>50.326634713386497</v>
      </c>
      <c r="AT11" s="719">
        <f t="shared" si="89"/>
        <v>50.326634713386497</v>
      </c>
      <c r="AU11" s="719">
        <f t="shared" si="89"/>
        <v>50.326634713386497</v>
      </c>
      <c r="AV11" s="719">
        <f t="shared" si="89"/>
        <v>50.326634713386497</v>
      </c>
      <c r="AW11" s="719">
        <f t="shared" si="89"/>
        <v>50.326634713386497</v>
      </c>
      <c r="AX11" s="719">
        <f t="shared" si="89"/>
        <v>50.326634713386497</v>
      </c>
      <c r="AY11" s="719">
        <f t="shared" si="89"/>
        <v>50.326634713386497</v>
      </c>
      <c r="AZ11" s="719">
        <f t="shared" si="89"/>
        <v>50.326634713386497</v>
      </c>
      <c r="BA11" s="719">
        <f t="shared" si="89"/>
        <v>50.326634713386497</v>
      </c>
      <c r="BB11" s="719">
        <f t="shared" si="89"/>
        <v>50.326634713386497</v>
      </c>
      <c r="BC11" s="719">
        <f t="shared" si="89"/>
        <v>50.326634713386497</v>
      </c>
      <c r="BD11" s="719">
        <f t="shared" si="89"/>
        <v>50.326634713386497</v>
      </c>
      <c r="BE11" s="719">
        <f t="shared" si="89"/>
        <v>50.326634713386497</v>
      </c>
      <c r="BF11" s="719">
        <f t="shared" si="89"/>
        <v>50.326634713386497</v>
      </c>
      <c r="BG11" s="719">
        <f t="shared" si="89"/>
        <v>50.326634713386497</v>
      </c>
      <c r="BH11" s="719">
        <f t="shared" si="89"/>
        <v>50.326634713386497</v>
      </c>
      <c r="BI11" s="719">
        <f t="shared" si="89"/>
        <v>50.326634713386497</v>
      </c>
      <c r="BJ11" s="719">
        <f t="shared" si="89"/>
        <v>50.326634713386497</v>
      </c>
      <c r="BK11" s="719">
        <f t="shared" si="89"/>
        <v>50.326634713386497</v>
      </c>
      <c r="BL11" s="719">
        <f t="shared" si="89"/>
        <v>50.326634713386497</v>
      </c>
      <c r="BM11" s="719">
        <f t="shared" si="89"/>
        <v>50.326634713386497</v>
      </c>
      <c r="BN11" s="719">
        <f t="shared" si="89"/>
        <v>50.326634713386497</v>
      </c>
      <c r="BO11" s="719">
        <f t="shared" si="89"/>
        <v>50.326634713386497</v>
      </c>
      <c r="BP11" s="719">
        <f t="shared" ref="BP11:BU11" si="90">SUBTOTAL(9,BP12:BP19)</f>
        <v>50.326634713386497</v>
      </c>
      <c r="BQ11" s="719">
        <f t="shared" si="90"/>
        <v>50.326634713386497</v>
      </c>
      <c r="BR11" s="719">
        <f t="shared" si="90"/>
        <v>50.326634713386497</v>
      </c>
      <c r="BS11" s="719">
        <f t="shared" si="90"/>
        <v>50.326634713386497</v>
      </c>
      <c r="BT11" s="719">
        <f t="shared" si="90"/>
        <v>50.326634713386497</v>
      </c>
      <c r="BU11" s="719">
        <f t="shared" si="90"/>
        <v>50.326634713386497</v>
      </c>
      <c r="BV11" s="720"/>
      <c r="BW11" s="719">
        <f t="shared" ref="BW11" si="91">SUBTOTAL(9,BW12:BW19)</f>
        <v>0</v>
      </c>
      <c r="BX11" s="719">
        <f t="shared" ref="BX11" si="92">SUBTOTAL(9,BX12:BX19)</f>
        <v>0</v>
      </c>
      <c r="BY11" s="719">
        <f t="shared" ref="BY11" si="93">SUBTOTAL(9,BY12:BY19)</f>
        <v>0</v>
      </c>
      <c r="BZ11" s="719">
        <f t="shared" ref="BZ11" si="94">SUBTOTAL(9,BZ12:BZ19)</f>
        <v>0</v>
      </c>
      <c r="CA11" s="719">
        <f t="shared" ref="CA11" si="95">SUBTOTAL(9,CA12:CA19)</f>
        <v>0</v>
      </c>
      <c r="CB11" s="719">
        <f t="shared" ref="CB11" si="96">SUBTOTAL(9,CB12:CB19)</f>
        <v>0</v>
      </c>
      <c r="CC11" s="719">
        <f t="shared" ref="CC11" si="97">SUBTOTAL(9,CC12:CC19)</f>
        <v>0</v>
      </c>
      <c r="CD11" s="719">
        <f t="shared" ref="CD11" si="98">SUBTOTAL(9,CD12:CD19)</f>
        <v>0</v>
      </c>
      <c r="CE11" s="719">
        <f t="shared" ref="CE11" si="99">SUBTOTAL(9,CE12:CE19)</f>
        <v>0</v>
      </c>
      <c r="CF11" s="719">
        <f t="shared" ref="CF11" si="100">SUBTOTAL(9,CF12:CF19)</f>
        <v>0</v>
      </c>
      <c r="CG11" s="719">
        <f t="shared" ref="CG11" si="101">SUBTOTAL(9,CG12:CG19)</f>
        <v>0</v>
      </c>
      <c r="CH11" s="719">
        <f t="shared" ref="CH11" si="102">SUBTOTAL(9,CH12:CH19)</f>
        <v>0</v>
      </c>
      <c r="CI11" s="719">
        <f t="shared" ref="CI11" si="103">SUBTOTAL(9,CI12:CI19)</f>
        <v>0</v>
      </c>
      <c r="CJ11" s="719">
        <f t="shared" ref="CJ11" si="104">SUBTOTAL(9,CJ12:CJ19)</f>
        <v>0</v>
      </c>
      <c r="CK11" s="719">
        <f t="shared" ref="CK11" si="105">SUBTOTAL(9,CK12:CK19)</f>
        <v>0</v>
      </c>
      <c r="CL11" s="719">
        <f t="shared" ref="CL11" si="106">SUBTOTAL(9,CL12:CL19)</f>
        <v>0</v>
      </c>
      <c r="CM11" s="719">
        <f t="shared" ref="CM11" si="107">SUBTOTAL(9,CM12:CM19)</f>
        <v>0</v>
      </c>
      <c r="CN11" s="719">
        <f t="shared" ref="CN11" si="108">SUBTOTAL(9,CN12:CN19)</f>
        <v>0</v>
      </c>
      <c r="CO11" s="719">
        <f t="shared" ref="CO11" si="109">SUBTOTAL(9,CO12:CO19)</f>
        <v>0</v>
      </c>
      <c r="CP11" s="719">
        <f t="shared" ref="CP11" si="110">SUBTOTAL(9,CP12:CP19)</f>
        <v>0</v>
      </c>
      <c r="CQ11" s="719">
        <f t="shared" ref="CQ11" si="111">SUBTOTAL(9,CQ12:CQ19)</f>
        <v>0</v>
      </c>
      <c r="CR11" s="719">
        <f t="shared" ref="CR11" si="112">SUBTOTAL(9,CR12:CR19)</f>
        <v>0</v>
      </c>
      <c r="CS11" s="719">
        <f t="shared" ref="CS11" si="113">SUBTOTAL(9,CS12:CS19)</f>
        <v>0</v>
      </c>
      <c r="CT11" s="719">
        <f t="shared" ref="CT11" si="114">SUBTOTAL(9,CT12:CT19)</f>
        <v>0</v>
      </c>
      <c r="CU11" s="719">
        <f t="shared" ref="CU11" si="115">SUBTOTAL(9,CU12:CU19)</f>
        <v>0</v>
      </c>
      <c r="CV11" s="719"/>
      <c r="CW11" s="719"/>
      <c r="CX11" s="719"/>
      <c r="CY11" s="719"/>
      <c r="CZ11" s="719"/>
      <c r="DA11" s="719">
        <f t="shared" ref="DA11" si="116">SUBTOTAL(9,DA12:DA19)</f>
        <v>0</v>
      </c>
      <c r="DB11" s="713"/>
      <c r="DC11" s="719">
        <f t="shared" si="58"/>
        <v>1509.7990414015958</v>
      </c>
      <c r="DD11" s="719">
        <f t="shared" si="59"/>
        <v>50.326634713386497</v>
      </c>
      <c r="DE11" s="719">
        <f t="shared" si="60"/>
        <v>50.326634713386497</v>
      </c>
      <c r="DF11" s="719">
        <f t="shared" si="61"/>
        <v>50.326634713386497</v>
      </c>
      <c r="DG11" s="719">
        <f t="shared" si="62"/>
        <v>50.326634713386497</v>
      </c>
      <c r="DH11" s="719">
        <f t="shared" si="63"/>
        <v>50.326634713386497</v>
      </c>
      <c r="DI11" s="719">
        <f t="shared" si="64"/>
        <v>50.326634713386497</v>
      </c>
      <c r="DJ11" s="719">
        <f t="shared" si="65"/>
        <v>50.326634713386497</v>
      </c>
      <c r="DK11" s="719">
        <f t="shared" si="66"/>
        <v>50.326634713386497</v>
      </c>
      <c r="DL11" s="719">
        <f t="shared" si="67"/>
        <v>50.326634713386497</v>
      </c>
      <c r="DM11" s="719">
        <f t="shared" si="68"/>
        <v>50.326634713386497</v>
      </c>
      <c r="DN11" s="719">
        <f t="shared" si="69"/>
        <v>50.326634713386497</v>
      </c>
      <c r="DO11" s="719">
        <f t="shared" si="70"/>
        <v>50.326634713386497</v>
      </c>
      <c r="DP11" s="719">
        <f t="shared" si="71"/>
        <v>50.326634713386497</v>
      </c>
      <c r="DQ11" s="719">
        <f t="shared" si="72"/>
        <v>50.326634713386497</v>
      </c>
      <c r="DR11" s="719">
        <f t="shared" si="73"/>
        <v>50.326634713386497</v>
      </c>
      <c r="DS11" s="719">
        <f t="shared" si="74"/>
        <v>50.326634713386497</v>
      </c>
      <c r="DT11" s="719">
        <f t="shared" si="75"/>
        <v>50.326634713386497</v>
      </c>
      <c r="DU11" s="719">
        <f t="shared" si="76"/>
        <v>50.326634713386497</v>
      </c>
      <c r="DV11" s="719">
        <f t="shared" si="77"/>
        <v>50.326634713386497</v>
      </c>
      <c r="DW11" s="719">
        <f t="shared" si="78"/>
        <v>50.326634713386497</v>
      </c>
      <c r="DX11" s="719">
        <f t="shared" si="79"/>
        <v>50.326634713386497</v>
      </c>
      <c r="DY11" s="719">
        <f t="shared" si="80"/>
        <v>50.326634713386497</v>
      </c>
      <c r="DZ11" s="719">
        <f t="shared" si="81"/>
        <v>50.326634713386497</v>
      </c>
      <c r="EA11" s="719">
        <f t="shared" si="82"/>
        <v>50.326634713386497</v>
      </c>
      <c r="EB11" s="719">
        <f t="shared" si="83"/>
        <v>50.326634713386497</v>
      </c>
      <c r="EC11" s="719">
        <f t="shared" si="84"/>
        <v>50.326634713386497</v>
      </c>
      <c r="ED11" s="719">
        <f t="shared" si="85"/>
        <v>50.326634713386497</v>
      </c>
      <c r="EE11" s="719">
        <f t="shared" si="86"/>
        <v>50.326634713386497</v>
      </c>
      <c r="EF11" s="719">
        <f t="shared" si="87"/>
        <v>50.326634713386497</v>
      </c>
      <c r="EG11" s="719">
        <f t="shared" si="88"/>
        <v>50.326634713386497</v>
      </c>
      <c r="EH11" s="1439"/>
      <c r="EI11" s="1439"/>
      <c r="EJ11" s="1439"/>
      <c r="EK11" s="1439"/>
      <c r="EL11" s="1439"/>
      <c r="EM11" s="1439"/>
      <c r="EN11" s="1439"/>
      <c r="EO11" s="1439"/>
      <c r="EP11" s="1439"/>
      <c r="EQ11" s="1439"/>
      <c r="ER11" s="1439"/>
      <c r="ES11" s="1439"/>
    </row>
    <row r="12" spans="1:149" ht="12.75" customHeight="1">
      <c r="A12" s="595"/>
      <c r="B12" s="598"/>
      <c r="C12" s="599"/>
      <c r="E12" s="1450"/>
      <c r="F12" s="867"/>
      <c r="G12" s="868"/>
      <c r="H12" s="867"/>
      <c r="I12" s="869"/>
      <c r="J12" s="869"/>
      <c r="K12" s="76"/>
      <c r="L12" s="1451"/>
      <c r="M12" s="1451"/>
      <c r="N12" s="1451"/>
      <c r="O12" s="1451"/>
      <c r="P12" s="1451"/>
      <c r="Q12" s="1451"/>
      <c r="R12" s="1451"/>
      <c r="S12" s="1451"/>
      <c r="T12" s="1451"/>
      <c r="U12" s="1451"/>
      <c r="V12" s="1451"/>
      <c r="W12" s="1451"/>
      <c r="X12" s="1451"/>
      <c r="Y12" s="1451"/>
      <c r="Z12" s="1451"/>
      <c r="AA12" s="1451"/>
      <c r="AB12" s="1451"/>
      <c r="AC12" s="1451"/>
      <c r="AD12" s="1451"/>
      <c r="AE12" s="1451"/>
      <c r="AF12" s="1451"/>
      <c r="AG12" s="1451"/>
      <c r="AH12" s="1451"/>
      <c r="AI12" s="1451"/>
      <c r="AJ12" s="1451"/>
      <c r="AK12" s="1451"/>
      <c r="AL12" s="1451"/>
      <c r="AM12" s="1451"/>
      <c r="AN12" s="1451"/>
      <c r="AO12" s="1451"/>
      <c r="AP12" s="1452"/>
      <c r="AQ12" s="871"/>
      <c r="AR12" s="871"/>
      <c r="AS12" s="871"/>
      <c r="AT12" s="871"/>
      <c r="AU12" s="871"/>
      <c r="AV12" s="871"/>
      <c r="AW12" s="871"/>
      <c r="AX12" s="871"/>
      <c r="AY12" s="871"/>
      <c r="AZ12" s="871"/>
      <c r="BA12" s="871"/>
      <c r="BB12" s="871"/>
      <c r="BC12" s="871"/>
      <c r="BD12" s="871"/>
      <c r="BE12" s="871"/>
      <c r="BF12" s="871"/>
      <c r="BG12" s="871"/>
      <c r="BH12" s="871"/>
      <c r="BI12" s="871"/>
      <c r="BJ12" s="871"/>
      <c r="BK12" s="871"/>
      <c r="BL12" s="871"/>
      <c r="BM12" s="871"/>
      <c r="BN12" s="871"/>
      <c r="BO12" s="871"/>
      <c r="BP12" s="871"/>
      <c r="BQ12" s="871"/>
      <c r="BR12" s="871"/>
      <c r="BS12" s="871"/>
      <c r="BT12" s="871"/>
      <c r="BU12" s="871"/>
      <c r="BV12" s="1453"/>
      <c r="BW12" s="871">
        <f>SUM(BX12:DA12)</f>
        <v>0</v>
      </c>
      <c r="BX12" s="871"/>
      <c r="BY12" s="871"/>
      <c r="BZ12" s="871"/>
      <c r="CA12" s="871"/>
      <c r="CB12" s="871"/>
      <c r="CC12" s="871"/>
      <c r="CD12" s="871"/>
      <c r="CE12" s="871"/>
      <c r="CF12" s="871"/>
      <c r="CG12" s="871"/>
      <c r="CH12" s="871"/>
      <c r="CI12" s="871"/>
      <c r="CJ12" s="871"/>
      <c r="CK12" s="871"/>
      <c r="CL12" s="871"/>
      <c r="CM12" s="871"/>
      <c r="CN12" s="871"/>
      <c r="CO12" s="871"/>
      <c r="CP12" s="871"/>
      <c r="CQ12" s="871"/>
      <c r="CR12" s="871"/>
      <c r="CS12" s="871"/>
      <c r="CT12" s="871"/>
      <c r="CU12" s="871"/>
      <c r="CV12" s="871"/>
      <c r="CW12" s="871"/>
      <c r="CX12" s="871"/>
      <c r="CY12" s="871"/>
      <c r="CZ12" s="871"/>
      <c r="DA12" s="871"/>
      <c r="DB12" s="41"/>
      <c r="DC12" s="871">
        <f t="shared" si="58"/>
        <v>0</v>
      </c>
      <c r="DD12" s="871">
        <f t="shared" si="59"/>
        <v>0</v>
      </c>
      <c r="DE12" s="871">
        <f t="shared" si="60"/>
        <v>0</v>
      </c>
      <c r="DF12" s="871">
        <f t="shared" si="61"/>
        <v>0</v>
      </c>
      <c r="DG12" s="871">
        <f t="shared" si="62"/>
        <v>0</v>
      </c>
      <c r="DH12" s="871">
        <f t="shared" si="63"/>
        <v>0</v>
      </c>
      <c r="DI12" s="871">
        <f t="shared" si="64"/>
        <v>0</v>
      </c>
      <c r="DJ12" s="871">
        <f t="shared" si="65"/>
        <v>0</v>
      </c>
      <c r="DK12" s="871">
        <f t="shared" si="66"/>
        <v>0</v>
      </c>
      <c r="DL12" s="871">
        <f t="shared" si="67"/>
        <v>0</v>
      </c>
      <c r="DM12" s="871">
        <f t="shared" si="68"/>
        <v>0</v>
      </c>
      <c r="DN12" s="871">
        <f t="shared" si="69"/>
        <v>0</v>
      </c>
      <c r="DO12" s="871">
        <f t="shared" si="70"/>
        <v>0</v>
      </c>
      <c r="DP12" s="871">
        <f t="shared" si="71"/>
        <v>0</v>
      </c>
      <c r="DQ12" s="871">
        <f t="shared" si="72"/>
        <v>0</v>
      </c>
      <c r="DR12" s="871">
        <f t="shared" si="73"/>
        <v>0</v>
      </c>
      <c r="DS12" s="871">
        <f t="shared" si="74"/>
        <v>0</v>
      </c>
      <c r="DT12" s="871">
        <f t="shared" si="75"/>
        <v>0</v>
      </c>
      <c r="DU12" s="871">
        <f t="shared" si="76"/>
        <v>0</v>
      </c>
      <c r="DV12" s="871">
        <f t="shared" si="77"/>
        <v>0</v>
      </c>
      <c r="DW12" s="871">
        <f t="shared" si="78"/>
        <v>0</v>
      </c>
      <c r="DX12" s="871">
        <f t="shared" si="79"/>
        <v>0</v>
      </c>
      <c r="DY12" s="871">
        <f t="shared" si="80"/>
        <v>0</v>
      </c>
      <c r="DZ12" s="871">
        <f t="shared" si="81"/>
        <v>0</v>
      </c>
      <c r="EA12" s="871">
        <f t="shared" si="82"/>
        <v>0</v>
      </c>
      <c r="EB12" s="871">
        <f t="shared" si="83"/>
        <v>0</v>
      </c>
      <c r="EC12" s="871">
        <f t="shared" si="84"/>
        <v>0</v>
      </c>
      <c r="ED12" s="871">
        <f t="shared" si="85"/>
        <v>0</v>
      </c>
      <c r="EE12" s="871">
        <f t="shared" si="86"/>
        <v>0</v>
      </c>
      <c r="EF12" s="871">
        <f t="shared" si="87"/>
        <v>0</v>
      </c>
      <c r="EG12" s="871">
        <f t="shared" si="88"/>
        <v>0</v>
      </c>
      <c r="EH12" s="41"/>
      <c r="EI12" s="41"/>
      <c r="EJ12" s="41"/>
      <c r="EK12" s="41"/>
      <c r="EL12" s="41"/>
      <c r="EM12" s="41"/>
      <c r="EN12" s="41"/>
      <c r="EO12" s="41"/>
      <c r="EP12" s="41"/>
      <c r="EQ12" s="41"/>
      <c r="ER12" s="41"/>
      <c r="ES12" s="41"/>
    </row>
    <row r="13" spans="1:149" ht="12.75" customHeight="1">
      <c r="A13" s="595"/>
      <c r="B13" s="598"/>
      <c r="C13" s="599"/>
      <c r="E13" s="1450"/>
      <c r="F13" s="867"/>
      <c r="G13" s="868"/>
      <c r="H13" s="867"/>
      <c r="I13" s="869"/>
      <c r="J13" s="869"/>
      <c r="K13" s="76"/>
      <c r="L13" s="1454">
        <v>0</v>
      </c>
      <c r="M13" s="1454">
        <v>0</v>
      </c>
      <c r="N13" s="1454">
        <v>0</v>
      </c>
      <c r="O13" s="1454">
        <v>0</v>
      </c>
      <c r="P13" s="1454">
        <v>0</v>
      </c>
      <c r="Q13" s="1454">
        <v>0</v>
      </c>
      <c r="R13" s="1454">
        <v>0</v>
      </c>
      <c r="S13" s="1454">
        <v>0</v>
      </c>
      <c r="T13" s="1454">
        <v>0</v>
      </c>
      <c r="U13" s="1454">
        <v>0</v>
      </c>
      <c r="V13" s="1454">
        <v>0</v>
      </c>
      <c r="W13" s="1454">
        <v>0</v>
      </c>
      <c r="X13" s="1454">
        <v>0</v>
      </c>
      <c r="Y13" s="1454">
        <v>0</v>
      </c>
      <c r="Z13" s="1454">
        <v>0</v>
      </c>
      <c r="AA13" s="1454">
        <v>0</v>
      </c>
      <c r="AB13" s="1454">
        <v>0</v>
      </c>
      <c r="AC13" s="1454">
        <v>0</v>
      </c>
      <c r="AD13" s="1454">
        <v>0</v>
      </c>
      <c r="AE13" s="1454">
        <v>0</v>
      </c>
      <c r="AF13" s="1454">
        <v>0</v>
      </c>
      <c r="AG13" s="1454">
        <v>0</v>
      </c>
      <c r="AH13" s="1454">
        <v>0</v>
      </c>
      <c r="AI13" s="1454">
        <v>0</v>
      </c>
      <c r="AJ13" s="1454">
        <v>0</v>
      </c>
      <c r="AK13" s="1454">
        <v>0</v>
      </c>
      <c r="AL13" s="1454">
        <v>0</v>
      </c>
      <c r="AM13" s="1454">
        <v>0</v>
      </c>
      <c r="AN13" s="1454">
        <v>0</v>
      </c>
      <c r="AO13" s="1454">
        <v>0</v>
      </c>
      <c r="AP13" s="1452"/>
      <c r="AQ13" s="871"/>
      <c r="AR13" s="871"/>
      <c r="AS13" s="871"/>
      <c r="AT13" s="871"/>
      <c r="AU13" s="871"/>
      <c r="AV13" s="871"/>
      <c r="AW13" s="871"/>
      <c r="AX13" s="871"/>
      <c r="AY13" s="871"/>
      <c r="AZ13" s="871"/>
      <c r="BA13" s="871"/>
      <c r="BB13" s="871"/>
      <c r="BC13" s="871"/>
      <c r="BD13" s="871"/>
      <c r="BE13" s="871"/>
      <c r="BF13" s="871"/>
      <c r="BG13" s="871"/>
      <c r="BH13" s="871"/>
      <c r="BI13" s="871"/>
      <c r="BJ13" s="871"/>
      <c r="BK13" s="871"/>
      <c r="BL13" s="871"/>
      <c r="BM13" s="871"/>
      <c r="BN13" s="871"/>
      <c r="BO13" s="871"/>
      <c r="BP13" s="871"/>
      <c r="BQ13" s="871"/>
      <c r="BR13" s="871"/>
      <c r="BS13" s="871"/>
      <c r="BT13" s="871"/>
      <c r="BU13" s="871"/>
      <c r="BV13" s="1453"/>
      <c r="BW13" s="871">
        <f t="shared" ref="BW13:BW112" si="117">SUM(BX13:DA13)</f>
        <v>0</v>
      </c>
      <c r="BX13" s="871"/>
      <c r="BY13" s="871"/>
      <c r="BZ13" s="871"/>
      <c r="CA13" s="871"/>
      <c r="CB13" s="871"/>
      <c r="CC13" s="871"/>
      <c r="CD13" s="871"/>
      <c r="CE13" s="871"/>
      <c r="CF13" s="871"/>
      <c r="CG13" s="871"/>
      <c r="CH13" s="871"/>
      <c r="CI13" s="871"/>
      <c r="CJ13" s="871"/>
      <c r="CK13" s="871"/>
      <c r="CL13" s="871"/>
      <c r="CM13" s="871"/>
      <c r="CN13" s="871"/>
      <c r="CO13" s="871"/>
      <c r="CP13" s="871"/>
      <c r="CQ13" s="871"/>
      <c r="CR13" s="871"/>
      <c r="CS13" s="871"/>
      <c r="CT13" s="871"/>
      <c r="CU13" s="871"/>
      <c r="CV13" s="871"/>
      <c r="CW13" s="871"/>
      <c r="CX13" s="871"/>
      <c r="CY13" s="871"/>
      <c r="CZ13" s="871"/>
      <c r="DA13" s="871"/>
      <c r="DB13" s="41"/>
      <c r="DC13" s="871">
        <f t="shared" si="58"/>
        <v>0</v>
      </c>
      <c r="DD13" s="871">
        <f t="shared" si="59"/>
        <v>0</v>
      </c>
      <c r="DE13" s="871">
        <f t="shared" si="60"/>
        <v>0</v>
      </c>
      <c r="DF13" s="871">
        <f t="shared" si="61"/>
        <v>0</v>
      </c>
      <c r="DG13" s="871">
        <f t="shared" si="62"/>
        <v>0</v>
      </c>
      <c r="DH13" s="871">
        <f t="shared" si="63"/>
        <v>0</v>
      </c>
      <c r="DI13" s="871">
        <f t="shared" si="64"/>
        <v>0</v>
      </c>
      <c r="DJ13" s="871">
        <f t="shared" si="65"/>
        <v>0</v>
      </c>
      <c r="DK13" s="871">
        <f t="shared" si="66"/>
        <v>0</v>
      </c>
      <c r="DL13" s="871">
        <f t="shared" si="67"/>
        <v>0</v>
      </c>
      <c r="DM13" s="871">
        <f t="shared" si="68"/>
        <v>0</v>
      </c>
      <c r="DN13" s="871">
        <f t="shared" si="69"/>
        <v>0</v>
      </c>
      <c r="DO13" s="871">
        <f t="shared" si="70"/>
        <v>0</v>
      </c>
      <c r="DP13" s="871">
        <f t="shared" si="71"/>
        <v>0</v>
      </c>
      <c r="DQ13" s="871">
        <f t="shared" si="72"/>
        <v>0</v>
      </c>
      <c r="DR13" s="871">
        <f t="shared" si="73"/>
        <v>0</v>
      </c>
      <c r="DS13" s="871">
        <f t="shared" si="74"/>
        <v>0</v>
      </c>
      <c r="DT13" s="871">
        <f t="shared" si="75"/>
        <v>0</v>
      </c>
      <c r="DU13" s="871">
        <f t="shared" si="76"/>
        <v>0</v>
      </c>
      <c r="DV13" s="871">
        <f t="shared" si="77"/>
        <v>0</v>
      </c>
      <c r="DW13" s="871">
        <f t="shared" si="78"/>
        <v>0</v>
      </c>
      <c r="DX13" s="871">
        <f t="shared" si="79"/>
        <v>0</v>
      </c>
      <c r="DY13" s="871">
        <f t="shared" si="80"/>
        <v>0</v>
      </c>
      <c r="DZ13" s="871">
        <f t="shared" si="81"/>
        <v>0</v>
      </c>
      <c r="EA13" s="871">
        <f t="shared" si="82"/>
        <v>0</v>
      </c>
      <c r="EB13" s="871">
        <f t="shared" si="83"/>
        <v>0</v>
      </c>
      <c r="EC13" s="871">
        <f t="shared" si="84"/>
        <v>0</v>
      </c>
      <c r="ED13" s="871">
        <f t="shared" si="85"/>
        <v>0</v>
      </c>
      <c r="EE13" s="871">
        <f t="shared" si="86"/>
        <v>0</v>
      </c>
      <c r="EF13" s="871">
        <f t="shared" si="87"/>
        <v>0</v>
      </c>
      <c r="EG13" s="871">
        <f t="shared" si="88"/>
        <v>0</v>
      </c>
      <c r="EH13" s="41"/>
      <c r="EI13" s="41"/>
      <c r="EJ13" s="41"/>
      <c r="EK13" s="41"/>
      <c r="EL13" s="41"/>
      <c r="EM13" s="41"/>
      <c r="EN13" s="41"/>
      <c r="EO13" s="41"/>
      <c r="EP13" s="41"/>
      <c r="EQ13" s="41"/>
      <c r="ER13" s="41"/>
      <c r="ES13" s="41"/>
    </row>
    <row r="14" spans="1:149">
      <c r="A14" s="595"/>
      <c r="B14" s="598"/>
      <c r="C14" s="599"/>
      <c r="E14" s="1440" t="s">
        <v>1631</v>
      </c>
      <c r="F14" s="867"/>
      <c r="G14" s="868"/>
      <c r="H14" s="867"/>
      <c r="I14" s="869"/>
      <c r="J14" s="869"/>
      <c r="K14" s="76"/>
      <c r="L14" s="1455">
        <v>2</v>
      </c>
      <c r="M14" s="1455">
        <v>2</v>
      </c>
      <c r="N14" s="1455">
        <v>2</v>
      </c>
      <c r="O14" s="1455">
        <v>2</v>
      </c>
      <c r="P14" s="1455">
        <v>2</v>
      </c>
      <c r="Q14" s="1455">
        <v>2</v>
      </c>
      <c r="R14" s="1455">
        <v>2</v>
      </c>
      <c r="S14" s="1455">
        <v>2</v>
      </c>
      <c r="T14" s="1455">
        <v>2</v>
      </c>
      <c r="U14" s="1455">
        <v>2</v>
      </c>
      <c r="V14" s="1455">
        <v>2</v>
      </c>
      <c r="W14" s="1455">
        <v>2</v>
      </c>
      <c r="X14" s="1455">
        <v>2</v>
      </c>
      <c r="Y14" s="1455">
        <v>2</v>
      </c>
      <c r="Z14" s="1455">
        <v>2</v>
      </c>
      <c r="AA14" s="1455">
        <v>2</v>
      </c>
      <c r="AB14" s="1455">
        <v>2</v>
      </c>
      <c r="AC14" s="1455">
        <v>2</v>
      </c>
      <c r="AD14" s="1455">
        <v>2</v>
      </c>
      <c r="AE14" s="1455">
        <v>2</v>
      </c>
      <c r="AF14" s="1455">
        <v>2</v>
      </c>
      <c r="AG14" s="1455">
        <v>2</v>
      </c>
      <c r="AH14" s="1455">
        <v>2</v>
      </c>
      <c r="AI14" s="1455">
        <v>2</v>
      </c>
      <c r="AJ14" s="1455">
        <v>2</v>
      </c>
      <c r="AK14" s="1455">
        <v>2</v>
      </c>
      <c r="AL14" s="1455">
        <v>2</v>
      </c>
      <c r="AM14" s="1455">
        <v>2</v>
      </c>
      <c r="AN14" s="1455">
        <v>2</v>
      </c>
      <c r="AO14" s="1455">
        <v>2</v>
      </c>
      <c r="AP14" s="77"/>
      <c r="AQ14" s="871">
        <f t="shared" ref="AQ14:AQ112" si="118">SUM(AR14:BU14)</f>
        <v>32.861575864499997</v>
      </c>
      <c r="AR14" s="871">
        <f t="shared" ref="AR14:BA18" si="119">VLOOKUP($E14,Par,6,0)*L14/1000</f>
        <v>1.0953858621500001</v>
      </c>
      <c r="AS14" s="871">
        <f t="shared" si="119"/>
        <v>1.0953858621500001</v>
      </c>
      <c r="AT14" s="871">
        <f t="shared" si="119"/>
        <v>1.0953858621500001</v>
      </c>
      <c r="AU14" s="871">
        <f t="shared" si="119"/>
        <v>1.0953858621500001</v>
      </c>
      <c r="AV14" s="871">
        <f t="shared" si="119"/>
        <v>1.0953858621500001</v>
      </c>
      <c r="AW14" s="871">
        <f t="shared" si="119"/>
        <v>1.0953858621500001</v>
      </c>
      <c r="AX14" s="871">
        <f t="shared" si="119"/>
        <v>1.0953858621500001</v>
      </c>
      <c r="AY14" s="871">
        <f t="shared" si="119"/>
        <v>1.0953858621500001</v>
      </c>
      <c r="AZ14" s="871">
        <f t="shared" si="119"/>
        <v>1.0953858621500001</v>
      </c>
      <c r="BA14" s="871">
        <f t="shared" si="119"/>
        <v>1.0953858621500001</v>
      </c>
      <c r="BB14" s="871">
        <f t="shared" ref="BB14:BK18" si="120">VLOOKUP($E14,Par,6,0)*V14/1000</f>
        <v>1.0953858621500001</v>
      </c>
      <c r="BC14" s="871">
        <f t="shared" si="120"/>
        <v>1.0953858621500001</v>
      </c>
      <c r="BD14" s="871">
        <f t="shared" si="120"/>
        <v>1.0953858621500001</v>
      </c>
      <c r="BE14" s="871">
        <f t="shared" si="120"/>
        <v>1.0953858621500001</v>
      </c>
      <c r="BF14" s="871">
        <f t="shared" si="120"/>
        <v>1.0953858621500001</v>
      </c>
      <c r="BG14" s="871">
        <f t="shared" si="120"/>
        <v>1.0953858621500001</v>
      </c>
      <c r="BH14" s="871">
        <f t="shared" si="120"/>
        <v>1.0953858621500001</v>
      </c>
      <c r="BI14" s="871">
        <f t="shared" si="120"/>
        <v>1.0953858621500001</v>
      </c>
      <c r="BJ14" s="871">
        <f t="shared" si="120"/>
        <v>1.0953858621500001</v>
      </c>
      <c r="BK14" s="871">
        <f t="shared" si="120"/>
        <v>1.0953858621500001</v>
      </c>
      <c r="BL14" s="871">
        <f t="shared" ref="BL14:BU18" si="121">VLOOKUP($E14,Par,6,0)*AF14/1000</f>
        <v>1.0953858621500001</v>
      </c>
      <c r="BM14" s="871">
        <f t="shared" si="121"/>
        <v>1.0953858621500001</v>
      </c>
      <c r="BN14" s="871">
        <f t="shared" si="121"/>
        <v>1.0953858621500001</v>
      </c>
      <c r="BO14" s="871">
        <f t="shared" si="121"/>
        <v>1.0953858621500001</v>
      </c>
      <c r="BP14" s="871">
        <f t="shared" si="121"/>
        <v>1.0953858621500001</v>
      </c>
      <c r="BQ14" s="871">
        <f t="shared" si="121"/>
        <v>1.0953858621500001</v>
      </c>
      <c r="BR14" s="871">
        <f t="shared" si="121"/>
        <v>1.0953858621500001</v>
      </c>
      <c r="BS14" s="871">
        <f t="shared" si="121"/>
        <v>1.0953858621500001</v>
      </c>
      <c r="BT14" s="871">
        <f t="shared" si="121"/>
        <v>1.0953858621500001</v>
      </c>
      <c r="BU14" s="871">
        <f t="shared" si="121"/>
        <v>1.0953858621500001</v>
      </c>
      <c r="BV14" s="1453"/>
      <c r="BW14" s="871">
        <f t="shared" si="117"/>
        <v>0</v>
      </c>
      <c r="BX14" s="871"/>
      <c r="BY14" s="871"/>
      <c r="BZ14" s="871"/>
      <c r="CA14" s="871"/>
      <c r="CB14" s="871"/>
      <c r="CC14" s="871"/>
      <c r="CD14" s="871"/>
      <c r="CE14" s="871"/>
      <c r="CF14" s="871"/>
      <c r="CG14" s="871"/>
      <c r="CH14" s="871"/>
      <c r="CI14" s="871"/>
      <c r="CJ14" s="871"/>
      <c r="CK14" s="871"/>
      <c r="CL14" s="871"/>
      <c r="CM14" s="871"/>
      <c r="CN14" s="871"/>
      <c r="CO14" s="871"/>
      <c r="CP14" s="871"/>
      <c r="CQ14" s="871"/>
      <c r="CR14" s="871"/>
      <c r="CS14" s="871"/>
      <c r="CT14" s="871"/>
      <c r="CU14" s="871"/>
      <c r="CV14" s="871"/>
      <c r="CW14" s="871"/>
      <c r="CX14" s="871"/>
      <c r="CY14" s="871"/>
      <c r="CZ14" s="871"/>
      <c r="DA14" s="871"/>
      <c r="DB14" s="41"/>
      <c r="DC14" s="871">
        <f t="shared" si="58"/>
        <v>32.861575864499997</v>
      </c>
      <c r="DD14" s="871">
        <f t="shared" si="59"/>
        <v>1.0953858621500001</v>
      </c>
      <c r="DE14" s="871">
        <f t="shared" si="60"/>
        <v>1.0953858621500001</v>
      </c>
      <c r="DF14" s="871">
        <f t="shared" si="61"/>
        <v>1.0953858621500001</v>
      </c>
      <c r="DG14" s="871">
        <f t="shared" si="62"/>
        <v>1.0953858621500001</v>
      </c>
      <c r="DH14" s="871">
        <f t="shared" si="63"/>
        <v>1.0953858621500001</v>
      </c>
      <c r="DI14" s="871">
        <f t="shared" si="64"/>
        <v>1.0953858621500001</v>
      </c>
      <c r="DJ14" s="871">
        <f t="shared" si="65"/>
        <v>1.0953858621500001</v>
      </c>
      <c r="DK14" s="871">
        <f t="shared" si="66"/>
        <v>1.0953858621500001</v>
      </c>
      <c r="DL14" s="871">
        <f t="shared" si="67"/>
        <v>1.0953858621500001</v>
      </c>
      <c r="DM14" s="871">
        <f t="shared" si="68"/>
        <v>1.0953858621500001</v>
      </c>
      <c r="DN14" s="871">
        <f t="shared" si="69"/>
        <v>1.0953858621500001</v>
      </c>
      <c r="DO14" s="871">
        <f t="shared" si="70"/>
        <v>1.0953858621500001</v>
      </c>
      <c r="DP14" s="871">
        <f t="shared" si="71"/>
        <v>1.0953858621500001</v>
      </c>
      <c r="DQ14" s="871">
        <f t="shared" si="72"/>
        <v>1.0953858621500001</v>
      </c>
      <c r="DR14" s="871">
        <f t="shared" si="73"/>
        <v>1.0953858621500001</v>
      </c>
      <c r="DS14" s="871">
        <f t="shared" si="74"/>
        <v>1.0953858621500001</v>
      </c>
      <c r="DT14" s="871">
        <f t="shared" si="75"/>
        <v>1.0953858621500001</v>
      </c>
      <c r="DU14" s="871">
        <f t="shared" si="76"/>
        <v>1.0953858621500001</v>
      </c>
      <c r="DV14" s="871">
        <f t="shared" si="77"/>
        <v>1.0953858621500001</v>
      </c>
      <c r="DW14" s="871">
        <f t="shared" si="78"/>
        <v>1.0953858621500001</v>
      </c>
      <c r="DX14" s="871">
        <f t="shared" si="79"/>
        <v>1.0953858621500001</v>
      </c>
      <c r="DY14" s="871">
        <f t="shared" si="80"/>
        <v>1.0953858621500001</v>
      </c>
      <c r="DZ14" s="871">
        <f t="shared" si="81"/>
        <v>1.0953858621500001</v>
      </c>
      <c r="EA14" s="871">
        <f t="shared" si="82"/>
        <v>1.0953858621500001</v>
      </c>
      <c r="EB14" s="871">
        <f t="shared" si="83"/>
        <v>1.0953858621500001</v>
      </c>
      <c r="EC14" s="871">
        <f t="shared" si="84"/>
        <v>1.0953858621500001</v>
      </c>
      <c r="ED14" s="871">
        <f t="shared" si="85"/>
        <v>1.0953858621500001</v>
      </c>
      <c r="EE14" s="871">
        <f t="shared" si="86"/>
        <v>1.0953858621500001</v>
      </c>
      <c r="EF14" s="871">
        <f t="shared" si="87"/>
        <v>1.0953858621500001</v>
      </c>
      <c r="EG14" s="871">
        <f t="shared" si="88"/>
        <v>1.0953858621500001</v>
      </c>
      <c r="EH14" s="41"/>
      <c r="EI14" s="41"/>
      <c r="EJ14" s="41"/>
      <c r="EK14" s="41"/>
      <c r="EL14" s="41"/>
      <c r="EM14" s="41"/>
      <c r="EN14" s="41"/>
      <c r="EO14" s="41"/>
      <c r="EP14" s="41"/>
      <c r="EQ14" s="41"/>
      <c r="ER14" s="41"/>
      <c r="ES14" s="41"/>
    </row>
    <row r="15" spans="1:149">
      <c r="A15" s="595"/>
      <c r="B15" s="598"/>
      <c r="C15" s="599"/>
      <c r="E15" s="1440"/>
      <c r="F15" s="867"/>
      <c r="G15" s="868"/>
      <c r="H15" s="867"/>
      <c r="I15" s="869"/>
      <c r="J15" s="869"/>
      <c r="K15" s="76"/>
      <c r="L15" s="1455">
        <v>1</v>
      </c>
      <c r="M15" s="1455">
        <v>1</v>
      </c>
      <c r="N15" s="1455">
        <v>1</v>
      </c>
      <c r="O15" s="1455">
        <v>1</v>
      </c>
      <c r="P15" s="1455">
        <v>1</v>
      </c>
      <c r="Q15" s="1455">
        <v>1</v>
      </c>
      <c r="R15" s="1455">
        <v>1</v>
      </c>
      <c r="S15" s="1455">
        <v>1</v>
      </c>
      <c r="T15" s="1455">
        <v>1</v>
      </c>
      <c r="U15" s="1455">
        <v>1</v>
      </c>
      <c r="V15" s="1455">
        <v>1</v>
      </c>
      <c r="W15" s="1455">
        <v>1</v>
      </c>
      <c r="X15" s="1455">
        <v>1</v>
      </c>
      <c r="Y15" s="1455">
        <v>1</v>
      </c>
      <c r="Z15" s="1455">
        <v>1</v>
      </c>
      <c r="AA15" s="1455">
        <v>1</v>
      </c>
      <c r="AB15" s="1455">
        <v>1</v>
      </c>
      <c r="AC15" s="1455">
        <v>1</v>
      </c>
      <c r="AD15" s="1455">
        <v>1</v>
      </c>
      <c r="AE15" s="1455">
        <v>1</v>
      </c>
      <c r="AF15" s="1455">
        <v>1</v>
      </c>
      <c r="AG15" s="1455">
        <v>1</v>
      </c>
      <c r="AH15" s="1455">
        <v>1</v>
      </c>
      <c r="AI15" s="1455">
        <v>1</v>
      </c>
      <c r="AJ15" s="1455">
        <v>1</v>
      </c>
      <c r="AK15" s="1455">
        <v>1</v>
      </c>
      <c r="AL15" s="1455">
        <v>1</v>
      </c>
      <c r="AM15" s="1455">
        <v>1</v>
      </c>
      <c r="AN15" s="1455">
        <v>1</v>
      </c>
      <c r="AO15" s="1455">
        <v>1</v>
      </c>
      <c r="AP15" s="77"/>
      <c r="AQ15" s="871"/>
      <c r="AR15" s="871"/>
      <c r="AS15" s="871"/>
      <c r="AT15" s="871"/>
      <c r="AU15" s="871"/>
      <c r="AV15" s="871"/>
      <c r="AW15" s="871"/>
      <c r="AX15" s="871"/>
      <c r="AY15" s="871"/>
      <c r="AZ15" s="871"/>
      <c r="BA15" s="871"/>
      <c r="BB15" s="871"/>
      <c r="BC15" s="871"/>
      <c r="BD15" s="871"/>
      <c r="BE15" s="871"/>
      <c r="BF15" s="871"/>
      <c r="BG15" s="871"/>
      <c r="BH15" s="871"/>
      <c r="BI15" s="871"/>
      <c r="BJ15" s="871"/>
      <c r="BK15" s="871"/>
      <c r="BL15" s="871"/>
      <c r="BM15" s="871"/>
      <c r="BN15" s="871"/>
      <c r="BO15" s="871"/>
      <c r="BP15" s="871"/>
      <c r="BQ15" s="871"/>
      <c r="BR15" s="871"/>
      <c r="BS15" s="871"/>
      <c r="BT15" s="871"/>
      <c r="BU15" s="871"/>
      <c r="BV15" s="1453"/>
      <c r="BW15" s="871">
        <f t="shared" si="117"/>
        <v>0</v>
      </c>
      <c r="BX15" s="871"/>
      <c r="BY15" s="871"/>
      <c r="BZ15" s="871"/>
      <c r="CA15" s="871"/>
      <c r="CB15" s="871"/>
      <c r="CC15" s="871"/>
      <c r="CD15" s="871"/>
      <c r="CE15" s="871"/>
      <c r="CF15" s="871"/>
      <c r="CG15" s="871"/>
      <c r="CH15" s="871"/>
      <c r="CI15" s="871"/>
      <c r="CJ15" s="871"/>
      <c r="CK15" s="871"/>
      <c r="CL15" s="871"/>
      <c r="CM15" s="871"/>
      <c r="CN15" s="871"/>
      <c r="CO15" s="871"/>
      <c r="CP15" s="871"/>
      <c r="CQ15" s="871"/>
      <c r="CR15" s="871"/>
      <c r="CS15" s="871"/>
      <c r="CT15" s="871"/>
      <c r="CU15" s="871"/>
      <c r="CV15" s="871"/>
      <c r="CW15" s="871"/>
      <c r="CX15" s="871"/>
      <c r="CY15" s="871"/>
      <c r="CZ15" s="871"/>
      <c r="DA15" s="871"/>
      <c r="DB15" s="41"/>
      <c r="DC15" s="871">
        <f t="shared" si="58"/>
        <v>0</v>
      </c>
      <c r="DD15" s="871">
        <f t="shared" si="59"/>
        <v>0</v>
      </c>
      <c r="DE15" s="871">
        <f t="shared" si="60"/>
        <v>0</v>
      </c>
      <c r="DF15" s="871">
        <f t="shared" si="61"/>
        <v>0</v>
      </c>
      <c r="DG15" s="871">
        <f t="shared" si="62"/>
        <v>0</v>
      </c>
      <c r="DH15" s="871">
        <f t="shared" si="63"/>
        <v>0</v>
      </c>
      <c r="DI15" s="871">
        <f t="shared" si="64"/>
        <v>0</v>
      </c>
      <c r="DJ15" s="871">
        <f t="shared" si="65"/>
        <v>0</v>
      </c>
      <c r="DK15" s="871">
        <f t="shared" si="66"/>
        <v>0</v>
      </c>
      <c r="DL15" s="871">
        <f t="shared" si="67"/>
        <v>0</v>
      </c>
      <c r="DM15" s="871">
        <f t="shared" si="68"/>
        <v>0</v>
      </c>
      <c r="DN15" s="871">
        <f t="shared" si="69"/>
        <v>0</v>
      </c>
      <c r="DO15" s="871">
        <f t="shared" si="70"/>
        <v>0</v>
      </c>
      <c r="DP15" s="871">
        <f t="shared" si="71"/>
        <v>0</v>
      </c>
      <c r="DQ15" s="871">
        <f t="shared" si="72"/>
        <v>0</v>
      </c>
      <c r="DR15" s="871">
        <f t="shared" si="73"/>
        <v>0</v>
      </c>
      <c r="DS15" s="871">
        <f t="shared" si="74"/>
        <v>0</v>
      </c>
      <c r="DT15" s="871">
        <f t="shared" si="75"/>
        <v>0</v>
      </c>
      <c r="DU15" s="871">
        <f t="shared" si="76"/>
        <v>0</v>
      </c>
      <c r="DV15" s="871">
        <f t="shared" si="77"/>
        <v>0</v>
      </c>
      <c r="DW15" s="871">
        <f t="shared" si="78"/>
        <v>0</v>
      </c>
      <c r="DX15" s="871">
        <f t="shared" si="79"/>
        <v>0</v>
      </c>
      <c r="DY15" s="871">
        <f t="shared" si="80"/>
        <v>0</v>
      </c>
      <c r="DZ15" s="871">
        <f t="shared" si="81"/>
        <v>0</v>
      </c>
      <c r="EA15" s="871">
        <f t="shared" si="82"/>
        <v>0</v>
      </c>
      <c r="EB15" s="871">
        <f t="shared" si="83"/>
        <v>0</v>
      </c>
      <c r="EC15" s="871">
        <f t="shared" si="84"/>
        <v>0</v>
      </c>
      <c r="ED15" s="871">
        <f t="shared" si="85"/>
        <v>0</v>
      </c>
      <c r="EE15" s="871">
        <f t="shared" si="86"/>
        <v>0</v>
      </c>
      <c r="EF15" s="871">
        <f t="shared" si="87"/>
        <v>0</v>
      </c>
      <c r="EG15" s="871">
        <f t="shared" si="88"/>
        <v>0</v>
      </c>
      <c r="EH15" s="41"/>
      <c r="EI15" s="41"/>
      <c r="EJ15" s="41"/>
      <c r="EK15" s="41"/>
      <c r="EL15" s="41"/>
      <c r="EM15" s="41"/>
      <c r="EN15" s="41"/>
      <c r="EO15" s="41"/>
      <c r="EP15" s="41"/>
      <c r="EQ15" s="41"/>
      <c r="ER15" s="41"/>
      <c r="ES15" s="41"/>
    </row>
    <row r="16" spans="1:149" ht="12.75" customHeight="1">
      <c r="A16" s="595"/>
      <c r="B16" s="598"/>
      <c r="C16" s="599"/>
      <c r="E16" s="1440" t="s">
        <v>1632</v>
      </c>
      <c r="F16" s="867"/>
      <c r="G16" s="868"/>
      <c r="H16" s="867"/>
      <c r="I16" s="869"/>
      <c r="J16" s="869"/>
      <c r="K16" s="76"/>
      <c r="L16" s="1455">
        <v>1</v>
      </c>
      <c r="M16" s="1455">
        <v>1</v>
      </c>
      <c r="N16" s="1455">
        <v>1</v>
      </c>
      <c r="O16" s="1455">
        <v>1</v>
      </c>
      <c r="P16" s="1455">
        <v>1</v>
      </c>
      <c r="Q16" s="1455">
        <v>1</v>
      </c>
      <c r="R16" s="1455">
        <v>1</v>
      </c>
      <c r="S16" s="1455">
        <v>1</v>
      </c>
      <c r="T16" s="1455">
        <v>1</v>
      </c>
      <c r="U16" s="1455">
        <v>1</v>
      </c>
      <c r="V16" s="1455">
        <v>1</v>
      </c>
      <c r="W16" s="1455">
        <v>1</v>
      </c>
      <c r="X16" s="1455">
        <v>1</v>
      </c>
      <c r="Y16" s="1455">
        <v>1</v>
      </c>
      <c r="Z16" s="1455">
        <v>1</v>
      </c>
      <c r="AA16" s="1455">
        <v>1</v>
      </c>
      <c r="AB16" s="1455">
        <v>1</v>
      </c>
      <c r="AC16" s="1455">
        <v>1</v>
      </c>
      <c r="AD16" s="1455">
        <v>1</v>
      </c>
      <c r="AE16" s="1455">
        <v>1</v>
      </c>
      <c r="AF16" s="1455">
        <v>1</v>
      </c>
      <c r="AG16" s="1455">
        <v>1</v>
      </c>
      <c r="AH16" s="1455">
        <v>1</v>
      </c>
      <c r="AI16" s="1455">
        <v>1</v>
      </c>
      <c r="AJ16" s="1455">
        <v>1</v>
      </c>
      <c r="AK16" s="1455">
        <v>1</v>
      </c>
      <c r="AL16" s="1455">
        <v>1</v>
      </c>
      <c r="AM16" s="1455">
        <v>1</v>
      </c>
      <c r="AN16" s="1455">
        <v>1</v>
      </c>
      <c r="AO16" s="1455">
        <v>1</v>
      </c>
      <c r="AP16" s="77"/>
      <c r="AQ16" s="871">
        <f t="shared" si="118"/>
        <v>500.19104475</v>
      </c>
      <c r="AR16" s="871">
        <f t="shared" si="119"/>
        <v>16.673034824999998</v>
      </c>
      <c r="AS16" s="871">
        <f t="shared" si="119"/>
        <v>16.673034824999998</v>
      </c>
      <c r="AT16" s="871">
        <f t="shared" si="119"/>
        <v>16.673034824999998</v>
      </c>
      <c r="AU16" s="871">
        <f t="shared" si="119"/>
        <v>16.673034824999998</v>
      </c>
      <c r="AV16" s="871">
        <f t="shared" si="119"/>
        <v>16.673034824999998</v>
      </c>
      <c r="AW16" s="871">
        <f t="shared" si="119"/>
        <v>16.673034824999998</v>
      </c>
      <c r="AX16" s="871">
        <f t="shared" si="119"/>
        <v>16.673034824999998</v>
      </c>
      <c r="AY16" s="871">
        <f t="shared" si="119"/>
        <v>16.673034824999998</v>
      </c>
      <c r="AZ16" s="871">
        <f t="shared" si="119"/>
        <v>16.673034824999998</v>
      </c>
      <c r="BA16" s="871">
        <f t="shared" si="119"/>
        <v>16.673034824999998</v>
      </c>
      <c r="BB16" s="871">
        <f t="shared" si="120"/>
        <v>16.673034824999998</v>
      </c>
      <c r="BC16" s="871">
        <f t="shared" si="120"/>
        <v>16.673034824999998</v>
      </c>
      <c r="BD16" s="871">
        <f t="shared" si="120"/>
        <v>16.673034824999998</v>
      </c>
      <c r="BE16" s="871">
        <f t="shared" si="120"/>
        <v>16.673034824999998</v>
      </c>
      <c r="BF16" s="871">
        <f t="shared" si="120"/>
        <v>16.673034824999998</v>
      </c>
      <c r="BG16" s="871">
        <f t="shared" si="120"/>
        <v>16.673034824999998</v>
      </c>
      <c r="BH16" s="871">
        <f t="shared" si="120"/>
        <v>16.673034824999998</v>
      </c>
      <c r="BI16" s="871">
        <f t="shared" si="120"/>
        <v>16.673034824999998</v>
      </c>
      <c r="BJ16" s="871">
        <f t="shared" si="120"/>
        <v>16.673034824999998</v>
      </c>
      <c r="BK16" s="871">
        <f t="shared" si="120"/>
        <v>16.673034824999998</v>
      </c>
      <c r="BL16" s="871">
        <f t="shared" si="121"/>
        <v>16.673034824999998</v>
      </c>
      <c r="BM16" s="871">
        <f t="shared" si="121"/>
        <v>16.673034824999998</v>
      </c>
      <c r="BN16" s="871">
        <f t="shared" si="121"/>
        <v>16.673034824999998</v>
      </c>
      <c r="BO16" s="871">
        <f t="shared" si="121"/>
        <v>16.673034824999998</v>
      </c>
      <c r="BP16" s="871">
        <f t="shared" si="121"/>
        <v>16.673034824999998</v>
      </c>
      <c r="BQ16" s="871">
        <f t="shared" si="121"/>
        <v>16.673034824999998</v>
      </c>
      <c r="BR16" s="871">
        <f t="shared" si="121"/>
        <v>16.673034824999998</v>
      </c>
      <c r="BS16" s="871">
        <f t="shared" si="121"/>
        <v>16.673034824999998</v>
      </c>
      <c r="BT16" s="871">
        <f t="shared" si="121"/>
        <v>16.673034824999998</v>
      </c>
      <c r="BU16" s="871">
        <f t="shared" si="121"/>
        <v>16.673034824999998</v>
      </c>
      <c r="BV16" s="1453"/>
      <c r="BW16" s="871">
        <f t="shared" si="117"/>
        <v>0</v>
      </c>
      <c r="BX16" s="871"/>
      <c r="BY16" s="871"/>
      <c r="BZ16" s="871"/>
      <c r="CA16" s="871"/>
      <c r="CB16" s="871"/>
      <c r="CC16" s="871"/>
      <c r="CD16" s="871"/>
      <c r="CE16" s="871"/>
      <c r="CF16" s="871"/>
      <c r="CG16" s="871"/>
      <c r="CH16" s="871"/>
      <c r="CI16" s="871"/>
      <c r="CJ16" s="871"/>
      <c r="CK16" s="871"/>
      <c r="CL16" s="871"/>
      <c r="CM16" s="871"/>
      <c r="CN16" s="871"/>
      <c r="CO16" s="871"/>
      <c r="CP16" s="871"/>
      <c r="CQ16" s="871"/>
      <c r="CR16" s="871"/>
      <c r="CS16" s="871"/>
      <c r="CT16" s="871"/>
      <c r="CU16" s="871"/>
      <c r="CV16" s="871"/>
      <c r="CW16" s="871"/>
      <c r="CX16" s="871"/>
      <c r="CY16" s="871"/>
      <c r="CZ16" s="871"/>
      <c r="DA16" s="871"/>
      <c r="DB16" s="41"/>
      <c r="DC16" s="871">
        <f t="shared" si="58"/>
        <v>500.19104475</v>
      </c>
      <c r="DD16" s="871">
        <f t="shared" si="59"/>
        <v>16.673034824999998</v>
      </c>
      <c r="DE16" s="871">
        <f t="shared" si="60"/>
        <v>16.673034824999998</v>
      </c>
      <c r="DF16" s="871">
        <f t="shared" si="61"/>
        <v>16.673034824999998</v>
      </c>
      <c r="DG16" s="871">
        <f t="shared" si="62"/>
        <v>16.673034824999998</v>
      </c>
      <c r="DH16" s="871">
        <f t="shared" si="63"/>
        <v>16.673034824999998</v>
      </c>
      <c r="DI16" s="871">
        <f t="shared" si="64"/>
        <v>16.673034824999998</v>
      </c>
      <c r="DJ16" s="871">
        <f t="shared" si="65"/>
        <v>16.673034824999998</v>
      </c>
      <c r="DK16" s="871">
        <f t="shared" si="66"/>
        <v>16.673034824999998</v>
      </c>
      <c r="DL16" s="871">
        <f t="shared" si="67"/>
        <v>16.673034824999998</v>
      </c>
      <c r="DM16" s="871">
        <f t="shared" si="68"/>
        <v>16.673034824999998</v>
      </c>
      <c r="DN16" s="871">
        <f t="shared" si="69"/>
        <v>16.673034824999998</v>
      </c>
      <c r="DO16" s="871">
        <f t="shared" si="70"/>
        <v>16.673034824999998</v>
      </c>
      <c r="DP16" s="871">
        <f t="shared" si="71"/>
        <v>16.673034824999998</v>
      </c>
      <c r="DQ16" s="871">
        <f t="shared" si="72"/>
        <v>16.673034824999998</v>
      </c>
      <c r="DR16" s="871">
        <f t="shared" si="73"/>
        <v>16.673034824999998</v>
      </c>
      <c r="DS16" s="871">
        <f t="shared" si="74"/>
        <v>16.673034824999998</v>
      </c>
      <c r="DT16" s="871">
        <f t="shared" si="75"/>
        <v>16.673034824999998</v>
      </c>
      <c r="DU16" s="871">
        <f t="shared" si="76"/>
        <v>16.673034824999998</v>
      </c>
      <c r="DV16" s="871">
        <f t="shared" si="77"/>
        <v>16.673034824999998</v>
      </c>
      <c r="DW16" s="871">
        <f t="shared" si="78"/>
        <v>16.673034824999998</v>
      </c>
      <c r="DX16" s="871">
        <f t="shared" si="79"/>
        <v>16.673034824999998</v>
      </c>
      <c r="DY16" s="871">
        <f t="shared" si="80"/>
        <v>16.673034824999998</v>
      </c>
      <c r="DZ16" s="871">
        <f t="shared" si="81"/>
        <v>16.673034824999998</v>
      </c>
      <c r="EA16" s="871">
        <f t="shared" si="82"/>
        <v>16.673034824999998</v>
      </c>
      <c r="EB16" s="871">
        <f t="shared" si="83"/>
        <v>16.673034824999998</v>
      </c>
      <c r="EC16" s="871">
        <f t="shared" si="84"/>
        <v>16.673034824999998</v>
      </c>
      <c r="ED16" s="871">
        <f t="shared" si="85"/>
        <v>16.673034824999998</v>
      </c>
      <c r="EE16" s="871">
        <f t="shared" si="86"/>
        <v>16.673034824999998</v>
      </c>
      <c r="EF16" s="871">
        <f t="shared" si="87"/>
        <v>16.673034824999998</v>
      </c>
      <c r="EG16" s="871">
        <f t="shared" si="88"/>
        <v>16.673034824999998</v>
      </c>
      <c r="EH16" s="41"/>
      <c r="EI16" s="41"/>
      <c r="EJ16" s="41"/>
      <c r="EK16" s="41"/>
      <c r="EL16" s="41"/>
      <c r="EM16" s="41"/>
      <c r="EN16" s="41"/>
      <c r="EO16" s="41"/>
      <c r="EP16" s="41"/>
      <c r="EQ16" s="41"/>
      <c r="ER16" s="41"/>
      <c r="ES16" s="41"/>
    </row>
    <row r="17" spans="1:137" ht="12.75" customHeight="1">
      <c r="A17" s="595"/>
      <c r="B17" s="598"/>
      <c r="C17" s="599"/>
      <c r="E17" s="1440" t="s">
        <v>1633</v>
      </c>
      <c r="F17" s="867"/>
      <c r="G17" s="868"/>
      <c r="H17" s="867"/>
      <c r="I17" s="869"/>
      <c r="J17" s="869"/>
      <c r="K17" s="76"/>
      <c r="L17" s="1455">
        <v>1</v>
      </c>
      <c r="M17" s="1455">
        <v>1</v>
      </c>
      <c r="N17" s="1455">
        <v>1</v>
      </c>
      <c r="O17" s="1455">
        <v>1</v>
      </c>
      <c r="P17" s="1455">
        <v>1</v>
      </c>
      <c r="Q17" s="1455">
        <v>1</v>
      </c>
      <c r="R17" s="1455">
        <v>1</v>
      </c>
      <c r="S17" s="1455">
        <v>1</v>
      </c>
      <c r="T17" s="1455">
        <v>1</v>
      </c>
      <c r="U17" s="1455">
        <v>1</v>
      </c>
      <c r="V17" s="1455">
        <v>1</v>
      </c>
      <c r="W17" s="1455">
        <v>1</v>
      </c>
      <c r="X17" s="1455">
        <v>1</v>
      </c>
      <c r="Y17" s="1455">
        <v>1</v>
      </c>
      <c r="Z17" s="1455">
        <v>1</v>
      </c>
      <c r="AA17" s="1455">
        <v>1</v>
      </c>
      <c r="AB17" s="1455">
        <v>1</v>
      </c>
      <c r="AC17" s="1455">
        <v>1</v>
      </c>
      <c r="AD17" s="1455">
        <v>1</v>
      </c>
      <c r="AE17" s="1455">
        <v>1</v>
      </c>
      <c r="AF17" s="1455">
        <v>1</v>
      </c>
      <c r="AG17" s="1455">
        <v>1</v>
      </c>
      <c r="AH17" s="1455">
        <v>1</v>
      </c>
      <c r="AI17" s="1455">
        <v>1</v>
      </c>
      <c r="AJ17" s="1455">
        <v>1</v>
      </c>
      <c r="AK17" s="1455">
        <v>1</v>
      </c>
      <c r="AL17" s="1455">
        <v>1</v>
      </c>
      <c r="AM17" s="1455">
        <v>1</v>
      </c>
      <c r="AN17" s="1455">
        <v>1</v>
      </c>
      <c r="AO17" s="1455">
        <v>1</v>
      </c>
      <c r="AP17" s="77"/>
      <c r="AQ17" s="871">
        <f t="shared" si="118"/>
        <v>930.92739378709575</v>
      </c>
      <c r="AR17" s="871">
        <f t="shared" si="119"/>
        <v>31.030913126236499</v>
      </c>
      <c r="AS17" s="871">
        <f t="shared" si="119"/>
        <v>31.030913126236499</v>
      </c>
      <c r="AT17" s="871">
        <f t="shared" si="119"/>
        <v>31.030913126236499</v>
      </c>
      <c r="AU17" s="871">
        <f t="shared" si="119"/>
        <v>31.030913126236499</v>
      </c>
      <c r="AV17" s="871">
        <f t="shared" si="119"/>
        <v>31.030913126236499</v>
      </c>
      <c r="AW17" s="871">
        <f t="shared" si="119"/>
        <v>31.030913126236499</v>
      </c>
      <c r="AX17" s="871">
        <f t="shared" si="119"/>
        <v>31.030913126236499</v>
      </c>
      <c r="AY17" s="871">
        <f t="shared" si="119"/>
        <v>31.030913126236499</v>
      </c>
      <c r="AZ17" s="871">
        <f t="shared" si="119"/>
        <v>31.030913126236499</v>
      </c>
      <c r="BA17" s="871">
        <f t="shared" si="119"/>
        <v>31.030913126236499</v>
      </c>
      <c r="BB17" s="871">
        <f t="shared" si="120"/>
        <v>31.030913126236499</v>
      </c>
      <c r="BC17" s="871">
        <f t="shared" si="120"/>
        <v>31.030913126236499</v>
      </c>
      <c r="BD17" s="871">
        <f t="shared" si="120"/>
        <v>31.030913126236499</v>
      </c>
      <c r="BE17" s="871">
        <f t="shared" si="120"/>
        <v>31.030913126236499</v>
      </c>
      <c r="BF17" s="871">
        <f t="shared" si="120"/>
        <v>31.030913126236499</v>
      </c>
      <c r="BG17" s="871">
        <f t="shared" si="120"/>
        <v>31.030913126236499</v>
      </c>
      <c r="BH17" s="871">
        <f t="shared" si="120"/>
        <v>31.030913126236499</v>
      </c>
      <c r="BI17" s="871">
        <f t="shared" si="120"/>
        <v>31.030913126236499</v>
      </c>
      <c r="BJ17" s="871">
        <f t="shared" si="120"/>
        <v>31.030913126236499</v>
      </c>
      <c r="BK17" s="871">
        <f t="shared" si="120"/>
        <v>31.030913126236499</v>
      </c>
      <c r="BL17" s="871">
        <f t="shared" si="121"/>
        <v>31.030913126236499</v>
      </c>
      <c r="BM17" s="871">
        <f t="shared" si="121"/>
        <v>31.030913126236499</v>
      </c>
      <c r="BN17" s="871">
        <f t="shared" si="121"/>
        <v>31.030913126236499</v>
      </c>
      <c r="BO17" s="871">
        <f t="shared" si="121"/>
        <v>31.030913126236499</v>
      </c>
      <c r="BP17" s="871">
        <f t="shared" si="121"/>
        <v>31.030913126236499</v>
      </c>
      <c r="BQ17" s="871">
        <f t="shared" si="121"/>
        <v>31.030913126236499</v>
      </c>
      <c r="BR17" s="871">
        <f t="shared" si="121"/>
        <v>31.030913126236499</v>
      </c>
      <c r="BS17" s="871">
        <f t="shared" si="121"/>
        <v>31.030913126236499</v>
      </c>
      <c r="BT17" s="871">
        <f t="shared" si="121"/>
        <v>31.030913126236499</v>
      </c>
      <c r="BU17" s="871">
        <f t="shared" si="121"/>
        <v>31.030913126236499</v>
      </c>
      <c r="BV17" s="1453"/>
      <c r="BW17" s="871">
        <f t="shared" si="117"/>
        <v>0</v>
      </c>
      <c r="BX17" s="871"/>
      <c r="BY17" s="871"/>
      <c r="BZ17" s="871"/>
      <c r="CA17" s="871"/>
      <c r="CB17" s="871"/>
      <c r="CC17" s="871"/>
      <c r="CD17" s="871"/>
      <c r="CE17" s="871"/>
      <c r="CF17" s="871"/>
      <c r="CG17" s="871"/>
      <c r="CH17" s="871"/>
      <c r="CI17" s="871"/>
      <c r="CJ17" s="871"/>
      <c r="CK17" s="871"/>
      <c r="CL17" s="871"/>
      <c r="CM17" s="871"/>
      <c r="CN17" s="871"/>
      <c r="CO17" s="871"/>
      <c r="CP17" s="871"/>
      <c r="CQ17" s="871"/>
      <c r="CR17" s="871"/>
      <c r="CS17" s="871"/>
      <c r="CT17" s="871"/>
      <c r="CU17" s="871"/>
      <c r="CV17" s="871"/>
      <c r="CW17" s="871"/>
      <c r="CX17" s="871"/>
      <c r="CY17" s="871"/>
      <c r="CZ17" s="871"/>
      <c r="DA17" s="871"/>
      <c r="DB17" s="41"/>
      <c r="DC17" s="871">
        <f t="shared" si="58"/>
        <v>930.92739378709575</v>
      </c>
      <c r="DD17" s="871">
        <f t="shared" si="59"/>
        <v>31.030913126236499</v>
      </c>
      <c r="DE17" s="871">
        <f t="shared" si="60"/>
        <v>31.030913126236499</v>
      </c>
      <c r="DF17" s="871">
        <f t="shared" si="61"/>
        <v>31.030913126236499</v>
      </c>
      <c r="DG17" s="871">
        <f t="shared" si="62"/>
        <v>31.030913126236499</v>
      </c>
      <c r="DH17" s="871">
        <f t="shared" si="63"/>
        <v>31.030913126236499</v>
      </c>
      <c r="DI17" s="871">
        <f t="shared" si="64"/>
        <v>31.030913126236499</v>
      </c>
      <c r="DJ17" s="871">
        <f t="shared" si="65"/>
        <v>31.030913126236499</v>
      </c>
      <c r="DK17" s="871">
        <f t="shared" si="66"/>
        <v>31.030913126236499</v>
      </c>
      <c r="DL17" s="871">
        <f t="shared" si="67"/>
        <v>31.030913126236499</v>
      </c>
      <c r="DM17" s="871">
        <f t="shared" si="68"/>
        <v>31.030913126236499</v>
      </c>
      <c r="DN17" s="871">
        <f t="shared" si="69"/>
        <v>31.030913126236499</v>
      </c>
      <c r="DO17" s="871">
        <f t="shared" si="70"/>
        <v>31.030913126236499</v>
      </c>
      <c r="DP17" s="871">
        <f t="shared" si="71"/>
        <v>31.030913126236499</v>
      </c>
      <c r="DQ17" s="871">
        <f t="shared" si="72"/>
        <v>31.030913126236499</v>
      </c>
      <c r="DR17" s="871">
        <f t="shared" si="73"/>
        <v>31.030913126236499</v>
      </c>
      <c r="DS17" s="871">
        <f t="shared" si="74"/>
        <v>31.030913126236499</v>
      </c>
      <c r="DT17" s="871">
        <f t="shared" si="75"/>
        <v>31.030913126236499</v>
      </c>
      <c r="DU17" s="871">
        <f t="shared" si="76"/>
        <v>31.030913126236499</v>
      </c>
      <c r="DV17" s="871">
        <f t="shared" si="77"/>
        <v>31.030913126236499</v>
      </c>
      <c r="DW17" s="871">
        <f t="shared" si="78"/>
        <v>31.030913126236499</v>
      </c>
      <c r="DX17" s="871">
        <f t="shared" si="79"/>
        <v>31.030913126236499</v>
      </c>
      <c r="DY17" s="871">
        <f t="shared" si="80"/>
        <v>31.030913126236499</v>
      </c>
      <c r="DZ17" s="871">
        <f t="shared" si="81"/>
        <v>31.030913126236499</v>
      </c>
      <c r="EA17" s="871">
        <f t="shared" si="82"/>
        <v>31.030913126236499</v>
      </c>
      <c r="EB17" s="871">
        <f t="shared" si="83"/>
        <v>31.030913126236499</v>
      </c>
      <c r="EC17" s="871">
        <f t="shared" si="84"/>
        <v>31.030913126236499</v>
      </c>
      <c r="ED17" s="871">
        <f t="shared" si="85"/>
        <v>31.030913126236499</v>
      </c>
      <c r="EE17" s="871">
        <f t="shared" si="86"/>
        <v>31.030913126236499</v>
      </c>
      <c r="EF17" s="871">
        <f t="shared" si="87"/>
        <v>31.030913126236499</v>
      </c>
      <c r="EG17" s="871">
        <f t="shared" si="88"/>
        <v>31.030913126236499</v>
      </c>
    </row>
    <row r="18" spans="1:137">
      <c r="A18" s="595"/>
      <c r="B18" s="598"/>
      <c r="C18" s="599"/>
      <c r="E18" s="1456" t="s">
        <v>1634</v>
      </c>
      <c r="F18" s="867"/>
      <c r="G18" s="868"/>
      <c r="H18" s="867"/>
      <c r="I18" s="869"/>
      <c r="J18" s="869"/>
      <c r="K18" s="76"/>
      <c r="L18" s="1455">
        <v>1</v>
      </c>
      <c r="M18" s="1455">
        <v>1</v>
      </c>
      <c r="N18" s="1455">
        <v>1</v>
      </c>
      <c r="O18" s="1455">
        <v>1</v>
      </c>
      <c r="P18" s="1455">
        <v>1</v>
      </c>
      <c r="Q18" s="1455">
        <v>1</v>
      </c>
      <c r="R18" s="1455">
        <v>1</v>
      </c>
      <c r="S18" s="1455">
        <v>1</v>
      </c>
      <c r="T18" s="1455">
        <v>1</v>
      </c>
      <c r="U18" s="1455">
        <v>1</v>
      </c>
      <c r="V18" s="1455">
        <v>1</v>
      </c>
      <c r="W18" s="1455">
        <v>1</v>
      </c>
      <c r="X18" s="1455">
        <v>1</v>
      </c>
      <c r="Y18" s="1455">
        <v>1</v>
      </c>
      <c r="Z18" s="1455">
        <v>1</v>
      </c>
      <c r="AA18" s="1455">
        <v>1</v>
      </c>
      <c r="AB18" s="1455">
        <v>1</v>
      </c>
      <c r="AC18" s="1455">
        <v>1</v>
      </c>
      <c r="AD18" s="1455">
        <v>1</v>
      </c>
      <c r="AE18" s="1455">
        <v>1</v>
      </c>
      <c r="AF18" s="1455">
        <v>1</v>
      </c>
      <c r="AG18" s="1455">
        <v>1</v>
      </c>
      <c r="AH18" s="1455">
        <v>1</v>
      </c>
      <c r="AI18" s="1455">
        <v>1</v>
      </c>
      <c r="AJ18" s="1455">
        <v>1</v>
      </c>
      <c r="AK18" s="1455">
        <v>1</v>
      </c>
      <c r="AL18" s="1455">
        <v>1</v>
      </c>
      <c r="AM18" s="1455">
        <v>1</v>
      </c>
      <c r="AN18" s="1455">
        <v>1</v>
      </c>
      <c r="AO18" s="1455">
        <v>1</v>
      </c>
      <c r="AP18" s="80"/>
      <c r="AQ18" s="871">
        <f t="shared" si="118"/>
        <v>45.819026999999998</v>
      </c>
      <c r="AR18" s="871">
        <f t="shared" si="119"/>
        <v>1.5273009</v>
      </c>
      <c r="AS18" s="871">
        <f t="shared" si="119"/>
        <v>1.5273009</v>
      </c>
      <c r="AT18" s="871">
        <f t="shared" si="119"/>
        <v>1.5273009</v>
      </c>
      <c r="AU18" s="871">
        <f t="shared" si="119"/>
        <v>1.5273009</v>
      </c>
      <c r="AV18" s="871">
        <f t="shared" si="119"/>
        <v>1.5273009</v>
      </c>
      <c r="AW18" s="871">
        <f t="shared" si="119"/>
        <v>1.5273009</v>
      </c>
      <c r="AX18" s="871">
        <f t="shared" si="119"/>
        <v>1.5273009</v>
      </c>
      <c r="AY18" s="871">
        <f t="shared" si="119"/>
        <v>1.5273009</v>
      </c>
      <c r="AZ18" s="871">
        <f t="shared" si="119"/>
        <v>1.5273009</v>
      </c>
      <c r="BA18" s="871">
        <f t="shared" si="119"/>
        <v>1.5273009</v>
      </c>
      <c r="BB18" s="871">
        <f t="shared" si="120"/>
        <v>1.5273009</v>
      </c>
      <c r="BC18" s="871">
        <f t="shared" si="120"/>
        <v>1.5273009</v>
      </c>
      <c r="BD18" s="871">
        <f t="shared" si="120"/>
        <v>1.5273009</v>
      </c>
      <c r="BE18" s="871">
        <f t="shared" si="120"/>
        <v>1.5273009</v>
      </c>
      <c r="BF18" s="871">
        <f t="shared" si="120"/>
        <v>1.5273009</v>
      </c>
      <c r="BG18" s="871">
        <f t="shared" si="120"/>
        <v>1.5273009</v>
      </c>
      <c r="BH18" s="871">
        <f t="shared" si="120"/>
        <v>1.5273009</v>
      </c>
      <c r="BI18" s="871">
        <f t="shared" si="120"/>
        <v>1.5273009</v>
      </c>
      <c r="BJ18" s="871">
        <f t="shared" si="120"/>
        <v>1.5273009</v>
      </c>
      <c r="BK18" s="871">
        <f t="shared" si="120"/>
        <v>1.5273009</v>
      </c>
      <c r="BL18" s="871">
        <f t="shared" si="121"/>
        <v>1.5273009</v>
      </c>
      <c r="BM18" s="871">
        <f t="shared" si="121"/>
        <v>1.5273009</v>
      </c>
      <c r="BN18" s="871">
        <f t="shared" si="121"/>
        <v>1.5273009</v>
      </c>
      <c r="BO18" s="871">
        <f t="shared" si="121"/>
        <v>1.5273009</v>
      </c>
      <c r="BP18" s="871">
        <f t="shared" si="121"/>
        <v>1.5273009</v>
      </c>
      <c r="BQ18" s="871">
        <f t="shared" si="121"/>
        <v>1.5273009</v>
      </c>
      <c r="BR18" s="871">
        <f t="shared" si="121"/>
        <v>1.5273009</v>
      </c>
      <c r="BS18" s="871">
        <f t="shared" si="121"/>
        <v>1.5273009</v>
      </c>
      <c r="BT18" s="871">
        <f t="shared" si="121"/>
        <v>1.5273009</v>
      </c>
      <c r="BU18" s="871">
        <f t="shared" si="121"/>
        <v>1.5273009</v>
      </c>
      <c r="BV18" s="1457"/>
      <c r="BW18" s="871">
        <f t="shared" si="117"/>
        <v>0</v>
      </c>
      <c r="BX18" s="871"/>
      <c r="BY18" s="871"/>
      <c r="BZ18" s="871"/>
      <c r="CA18" s="871"/>
      <c r="CB18" s="871"/>
      <c r="CC18" s="871"/>
      <c r="CD18" s="871"/>
      <c r="CE18" s="871"/>
      <c r="CF18" s="871"/>
      <c r="CG18" s="871"/>
      <c r="CH18" s="871"/>
      <c r="CI18" s="871"/>
      <c r="CJ18" s="871"/>
      <c r="CK18" s="871"/>
      <c r="CL18" s="871"/>
      <c r="CM18" s="871"/>
      <c r="CN18" s="871"/>
      <c r="CO18" s="871"/>
      <c r="CP18" s="871"/>
      <c r="CQ18" s="871"/>
      <c r="CR18" s="871"/>
      <c r="CS18" s="871"/>
      <c r="CT18" s="871"/>
      <c r="CU18" s="871"/>
      <c r="CV18" s="871"/>
      <c r="CW18" s="871"/>
      <c r="CX18" s="871"/>
      <c r="CY18" s="871"/>
      <c r="CZ18" s="871"/>
      <c r="DA18" s="871"/>
      <c r="DB18" s="41"/>
      <c r="DC18" s="871">
        <f t="shared" si="58"/>
        <v>45.819026999999998</v>
      </c>
      <c r="DD18" s="871">
        <f t="shared" si="59"/>
        <v>1.5273009</v>
      </c>
      <c r="DE18" s="871">
        <f t="shared" si="60"/>
        <v>1.5273009</v>
      </c>
      <c r="DF18" s="871">
        <f t="shared" si="61"/>
        <v>1.5273009</v>
      </c>
      <c r="DG18" s="871">
        <f t="shared" si="62"/>
        <v>1.5273009</v>
      </c>
      <c r="DH18" s="871">
        <f t="shared" si="63"/>
        <v>1.5273009</v>
      </c>
      <c r="DI18" s="871">
        <f t="shared" si="64"/>
        <v>1.5273009</v>
      </c>
      <c r="DJ18" s="871">
        <f t="shared" si="65"/>
        <v>1.5273009</v>
      </c>
      <c r="DK18" s="871">
        <f t="shared" si="66"/>
        <v>1.5273009</v>
      </c>
      <c r="DL18" s="871">
        <f t="shared" si="67"/>
        <v>1.5273009</v>
      </c>
      <c r="DM18" s="871">
        <f t="shared" si="68"/>
        <v>1.5273009</v>
      </c>
      <c r="DN18" s="871">
        <f t="shared" si="69"/>
        <v>1.5273009</v>
      </c>
      <c r="DO18" s="871">
        <f t="shared" si="70"/>
        <v>1.5273009</v>
      </c>
      <c r="DP18" s="871">
        <f t="shared" si="71"/>
        <v>1.5273009</v>
      </c>
      <c r="DQ18" s="871">
        <f t="shared" si="72"/>
        <v>1.5273009</v>
      </c>
      <c r="DR18" s="871">
        <f t="shared" si="73"/>
        <v>1.5273009</v>
      </c>
      <c r="DS18" s="871">
        <f t="shared" si="74"/>
        <v>1.5273009</v>
      </c>
      <c r="DT18" s="871">
        <f t="shared" si="75"/>
        <v>1.5273009</v>
      </c>
      <c r="DU18" s="871">
        <f t="shared" si="76"/>
        <v>1.5273009</v>
      </c>
      <c r="DV18" s="871">
        <f t="shared" si="77"/>
        <v>1.5273009</v>
      </c>
      <c r="DW18" s="871">
        <f t="shared" si="78"/>
        <v>1.5273009</v>
      </c>
      <c r="DX18" s="871">
        <f t="shared" si="79"/>
        <v>1.5273009</v>
      </c>
      <c r="DY18" s="871">
        <f t="shared" si="80"/>
        <v>1.5273009</v>
      </c>
      <c r="DZ18" s="871">
        <f t="shared" si="81"/>
        <v>1.5273009</v>
      </c>
      <c r="EA18" s="871">
        <f t="shared" si="82"/>
        <v>1.5273009</v>
      </c>
      <c r="EB18" s="871">
        <f t="shared" si="83"/>
        <v>1.5273009</v>
      </c>
      <c r="EC18" s="871">
        <f t="shared" si="84"/>
        <v>1.5273009</v>
      </c>
      <c r="ED18" s="871">
        <f t="shared" si="85"/>
        <v>1.5273009</v>
      </c>
      <c r="EE18" s="871">
        <f t="shared" si="86"/>
        <v>1.5273009</v>
      </c>
      <c r="EF18" s="871">
        <f t="shared" si="87"/>
        <v>1.5273009</v>
      </c>
      <c r="EG18" s="871">
        <f t="shared" si="88"/>
        <v>1.5273009</v>
      </c>
    </row>
    <row r="19" spans="1:137">
      <c r="A19" s="595"/>
      <c r="B19" s="598"/>
      <c r="C19" s="599"/>
      <c r="E19" s="1458"/>
      <c r="F19" s="867"/>
      <c r="G19" s="868"/>
      <c r="H19" s="867"/>
      <c r="I19" s="869"/>
      <c r="J19" s="869"/>
      <c r="K19" s="76"/>
      <c r="L19" s="1459"/>
      <c r="M19" s="1459"/>
      <c r="N19" s="1459"/>
      <c r="O19" s="1459"/>
      <c r="P19" s="1459"/>
      <c r="Q19" s="1459"/>
      <c r="R19" s="1459"/>
      <c r="S19" s="1459"/>
      <c r="T19" s="1459"/>
      <c r="U19" s="1459"/>
      <c r="V19" s="1459"/>
      <c r="W19" s="1459"/>
      <c r="X19" s="1459"/>
      <c r="Y19" s="1459"/>
      <c r="Z19" s="1459"/>
      <c r="AA19" s="1459"/>
      <c r="AB19" s="1459"/>
      <c r="AC19" s="1459"/>
      <c r="AD19" s="1459"/>
      <c r="AE19" s="1459"/>
      <c r="AF19" s="1459"/>
      <c r="AG19" s="1459"/>
      <c r="AH19" s="1459"/>
      <c r="AI19" s="1459"/>
      <c r="AJ19" s="1459"/>
      <c r="AK19" s="1459"/>
      <c r="AL19" s="1459"/>
      <c r="AM19" s="1459"/>
      <c r="AN19" s="1459"/>
      <c r="AO19" s="1459"/>
      <c r="AP19" s="1460"/>
      <c r="AQ19" s="871">
        <f t="shared" si="118"/>
        <v>0</v>
      </c>
      <c r="AR19" s="871"/>
      <c r="AS19" s="1461"/>
      <c r="AT19" s="1461"/>
      <c r="AU19" s="1461"/>
      <c r="AV19" s="1461"/>
      <c r="AW19" s="1461"/>
      <c r="AX19" s="1461"/>
      <c r="AY19" s="1461"/>
      <c r="AZ19" s="1461"/>
      <c r="BA19" s="1461"/>
      <c r="BB19" s="1461"/>
      <c r="BC19" s="1461"/>
      <c r="BD19" s="1461"/>
      <c r="BE19" s="1461"/>
      <c r="BF19" s="1461"/>
      <c r="BG19" s="1461"/>
      <c r="BH19" s="1461"/>
      <c r="BI19" s="1461"/>
      <c r="BJ19" s="1461"/>
      <c r="BK19" s="1461"/>
      <c r="BL19" s="1461"/>
      <c r="BM19" s="1461"/>
      <c r="BN19" s="1461"/>
      <c r="BO19" s="1461"/>
      <c r="BP19" s="1461"/>
      <c r="BQ19" s="1461"/>
      <c r="BR19" s="1461"/>
      <c r="BS19" s="1461"/>
      <c r="BT19" s="1461"/>
      <c r="BU19" s="1461"/>
      <c r="BV19" s="1462"/>
      <c r="BW19" s="871">
        <f t="shared" si="117"/>
        <v>0</v>
      </c>
      <c r="BX19" s="1461"/>
      <c r="BY19" s="1461"/>
      <c r="BZ19" s="1461"/>
      <c r="CA19" s="1461"/>
      <c r="CB19" s="1461"/>
      <c r="CC19" s="1461"/>
      <c r="CD19" s="1461"/>
      <c r="CE19" s="1461"/>
      <c r="CF19" s="1461"/>
      <c r="CG19" s="1461"/>
      <c r="CH19" s="1461"/>
      <c r="CI19" s="1461"/>
      <c r="CJ19" s="1461"/>
      <c r="CK19" s="1461"/>
      <c r="CL19" s="1461"/>
      <c r="CM19" s="1461"/>
      <c r="CN19" s="1461"/>
      <c r="CO19" s="1461"/>
      <c r="CP19" s="1461"/>
      <c r="CQ19" s="1461"/>
      <c r="CR19" s="1461"/>
      <c r="CS19" s="1461"/>
      <c r="CT19" s="1461"/>
      <c r="CU19" s="1461"/>
      <c r="CV19" s="1461"/>
      <c r="CW19" s="1461"/>
      <c r="CX19" s="1461"/>
      <c r="CY19" s="1461"/>
      <c r="CZ19" s="1461"/>
      <c r="DA19" s="1461"/>
      <c r="DB19" s="41"/>
      <c r="DC19" s="871">
        <f t="shared" si="58"/>
        <v>0</v>
      </c>
      <c r="DD19" s="1461">
        <f t="shared" si="59"/>
        <v>0</v>
      </c>
      <c r="DE19" s="1461">
        <f t="shared" si="60"/>
        <v>0</v>
      </c>
      <c r="DF19" s="1461">
        <f t="shared" si="61"/>
        <v>0</v>
      </c>
      <c r="DG19" s="1461">
        <f t="shared" si="62"/>
        <v>0</v>
      </c>
      <c r="DH19" s="1461">
        <f t="shared" si="63"/>
        <v>0</v>
      </c>
      <c r="DI19" s="1461">
        <f t="shared" si="64"/>
        <v>0</v>
      </c>
      <c r="DJ19" s="1461">
        <f t="shared" si="65"/>
        <v>0</v>
      </c>
      <c r="DK19" s="1461">
        <f t="shared" si="66"/>
        <v>0</v>
      </c>
      <c r="DL19" s="1461">
        <f t="shared" si="67"/>
        <v>0</v>
      </c>
      <c r="DM19" s="1461">
        <f t="shared" si="68"/>
        <v>0</v>
      </c>
      <c r="DN19" s="1461">
        <f t="shared" si="69"/>
        <v>0</v>
      </c>
      <c r="DO19" s="1461">
        <f t="shared" si="70"/>
        <v>0</v>
      </c>
      <c r="DP19" s="1461">
        <f t="shared" si="71"/>
        <v>0</v>
      </c>
      <c r="DQ19" s="1461">
        <f t="shared" si="72"/>
        <v>0</v>
      </c>
      <c r="DR19" s="1461">
        <f t="shared" si="73"/>
        <v>0</v>
      </c>
      <c r="DS19" s="1461">
        <f t="shared" si="74"/>
        <v>0</v>
      </c>
      <c r="DT19" s="1461">
        <f t="shared" si="75"/>
        <v>0</v>
      </c>
      <c r="DU19" s="1461">
        <f t="shared" si="76"/>
        <v>0</v>
      </c>
      <c r="DV19" s="1461">
        <f t="shared" si="77"/>
        <v>0</v>
      </c>
      <c r="DW19" s="1461">
        <f t="shared" si="78"/>
        <v>0</v>
      </c>
      <c r="DX19" s="1461">
        <f t="shared" si="79"/>
        <v>0</v>
      </c>
      <c r="DY19" s="1461">
        <f t="shared" si="80"/>
        <v>0</v>
      </c>
      <c r="DZ19" s="1461">
        <f t="shared" si="81"/>
        <v>0</v>
      </c>
      <c r="EA19" s="1461">
        <f t="shared" si="82"/>
        <v>0</v>
      </c>
      <c r="EB19" s="1461">
        <f t="shared" si="83"/>
        <v>0</v>
      </c>
      <c r="EC19" s="1461">
        <f t="shared" si="84"/>
        <v>0</v>
      </c>
      <c r="ED19" s="1461">
        <f t="shared" si="85"/>
        <v>0</v>
      </c>
      <c r="EE19" s="1461">
        <f t="shared" si="86"/>
        <v>0</v>
      </c>
      <c r="EF19" s="1461">
        <f t="shared" si="87"/>
        <v>0</v>
      </c>
      <c r="EG19" s="1461">
        <f t="shared" si="88"/>
        <v>0</v>
      </c>
    </row>
    <row r="20" spans="1:137" s="408" customFormat="1">
      <c r="A20" s="595"/>
      <c r="B20" s="598"/>
      <c r="C20" s="599"/>
      <c r="D20" s="407">
        <v>2</v>
      </c>
      <c r="E20" s="1437" t="s">
        <v>1616</v>
      </c>
      <c r="F20" s="1463"/>
      <c r="G20" s="1464"/>
      <c r="H20" s="1463"/>
      <c r="I20" s="1465"/>
      <c r="J20" s="1465"/>
      <c r="K20" s="721"/>
      <c r="L20" s="1466"/>
      <c r="M20" s="1466"/>
      <c r="N20" s="1466"/>
      <c r="O20" s="1466"/>
      <c r="P20" s="1466"/>
      <c r="Q20" s="1466"/>
      <c r="R20" s="1466"/>
      <c r="S20" s="1466"/>
      <c r="T20" s="1466"/>
      <c r="U20" s="1466"/>
      <c r="V20" s="1466"/>
      <c r="W20" s="1466"/>
      <c r="X20" s="1466"/>
      <c r="Y20" s="1466"/>
      <c r="Z20" s="1466"/>
      <c r="AA20" s="1466"/>
      <c r="AB20" s="1466"/>
      <c r="AC20" s="1466"/>
      <c r="AD20" s="1466"/>
      <c r="AE20" s="1466"/>
      <c r="AF20" s="1466"/>
      <c r="AG20" s="1466"/>
      <c r="AH20" s="1466"/>
      <c r="AI20" s="1466"/>
      <c r="AJ20" s="1466"/>
      <c r="AK20" s="1466"/>
      <c r="AL20" s="1466"/>
      <c r="AM20" s="1466"/>
      <c r="AN20" s="1466"/>
      <c r="AO20" s="1466"/>
      <c r="AP20" s="722"/>
      <c r="AQ20" s="1438">
        <f t="shared" si="118"/>
        <v>24.818639624999999</v>
      </c>
      <c r="AR20" s="719">
        <f t="shared" ref="AR20:AS20" si="122">SUBTOTAL(9,AR21:AR23)</f>
        <v>0.82728798749999999</v>
      </c>
      <c r="AS20" s="719">
        <f t="shared" si="122"/>
        <v>0.82728798749999999</v>
      </c>
      <c r="AT20" s="719">
        <f t="shared" ref="AT20" si="123">SUBTOTAL(9,AT21:AT23)</f>
        <v>0.82728798749999999</v>
      </c>
      <c r="AU20" s="719">
        <f t="shared" ref="AU20" si="124">SUBTOTAL(9,AU21:AU23)</f>
        <v>0.82728798749999999</v>
      </c>
      <c r="AV20" s="719">
        <f t="shared" ref="AV20" si="125">SUBTOTAL(9,AV21:AV23)</f>
        <v>0.82728798749999999</v>
      </c>
      <c r="AW20" s="719">
        <f t="shared" ref="AW20" si="126">SUBTOTAL(9,AW21:AW23)</f>
        <v>0.82728798749999999</v>
      </c>
      <c r="AX20" s="719">
        <f t="shared" ref="AX20" si="127">SUBTOTAL(9,AX21:AX23)</f>
        <v>0.82728798749999999</v>
      </c>
      <c r="AY20" s="719">
        <f t="shared" ref="AY20" si="128">SUBTOTAL(9,AY21:AY23)</f>
        <v>0.82728798749999999</v>
      </c>
      <c r="AZ20" s="719">
        <f t="shared" ref="AZ20" si="129">SUBTOTAL(9,AZ21:AZ23)</f>
        <v>0.82728798749999999</v>
      </c>
      <c r="BA20" s="719">
        <f t="shared" ref="BA20" si="130">SUBTOTAL(9,BA21:BA23)</f>
        <v>0.82728798749999999</v>
      </c>
      <c r="BB20" s="719">
        <f t="shared" ref="BB20" si="131">SUBTOTAL(9,BB21:BB23)</f>
        <v>0.82728798749999999</v>
      </c>
      <c r="BC20" s="719">
        <f t="shared" ref="BC20" si="132">SUBTOTAL(9,BC21:BC23)</f>
        <v>0.82728798749999999</v>
      </c>
      <c r="BD20" s="719">
        <f t="shared" ref="BD20" si="133">SUBTOTAL(9,BD21:BD23)</f>
        <v>0.82728798749999999</v>
      </c>
      <c r="BE20" s="719">
        <f t="shared" ref="BE20" si="134">SUBTOTAL(9,BE21:BE23)</f>
        <v>0.82728798749999999</v>
      </c>
      <c r="BF20" s="719">
        <f t="shared" ref="BF20" si="135">SUBTOTAL(9,BF21:BF23)</f>
        <v>0.82728798749999999</v>
      </c>
      <c r="BG20" s="719">
        <f t="shared" ref="BG20" si="136">SUBTOTAL(9,BG21:BG23)</f>
        <v>0.82728798749999999</v>
      </c>
      <c r="BH20" s="719">
        <f t="shared" ref="BH20" si="137">SUBTOTAL(9,BH21:BH23)</f>
        <v>0.82728798749999999</v>
      </c>
      <c r="BI20" s="719">
        <f t="shared" ref="BI20" si="138">SUBTOTAL(9,BI21:BI23)</f>
        <v>0.82728798749999999</v>
      </c>
      <c r="BJ20" s="719">
        <f t="shared" ref="BJ20" si="139">SUBTOTAL(9,BJ21:BJ23)</f>
        <v>0.82728798749999999</v>
      </c>
      <c r="BK20" s="719">
        <f t="shared" ref="BK20" si="140">SUBTOTAL(9,BK21:BK23)</f>
        <v>0.82728798749999999</v>
      </c>
      <c r="BL20" s="719">
        <f t="shared" ref="BL20" si="141">SUBTOTAL(9,BL21:BL23)</f>
        <v>0.82728798749999999</v>
      </c>
      <c r="BM20" s="719">
        <f t="shared" ref="BM20" si="142">SUBTOTAL(9,BM21:BM23)</f>
        <v>0.82728798749999999</v>
      </c>
      <c r="BN20" s="719">
        <f t="shared" ref="BN20" si="143">SUBTOTAL(9,BN21:BN23)</f>
        <v>0.82728798749999999</v>
      </c>
      <c r="BO20" s="719">
        <f t="shared" ref="BO20:BU20" si="144">SUBTOTAL(9,BO21:BO23)</f>
        <v>0.82728798749999999</v>
      </c>
      <c r="BP20" s="719">
        <f t="shared" si="144"/>
        <v>0.82728798749999999</v>
      </c>
      <c r="BQ20" s="719">
        <f t="shared" si="144"/>
        <v>0.82728798749999999</v>
      </c>
      <c r="BR20" s="719">
        <f t="shared" si="144"/>
        <v>0.82728798749999999</v>
      </c>
      <c r="BS20" s="719">
        <f t="shared" si="144"/>
        <v>0.82728798749999999</v>
      </c>
      <c r="BT20" s="719">
        <f t="shared" si="144"/>
        <v>0.82728798749999999</v>
      </c>
      <c r="BU20" s="719">
        <f t="shared" si="144"/>
        <v>0.82728798749999999</v>
      </c>
      <c r="BV20" s="720"/>
      <c r="BW20" s="719">
        <f t="shared" ref="BW20" si="145">SUBTOTAL(9,BW21:BW23)</f>
        <v>0</v>
      </c>
      <c r="BX20" s="719">
        <f t="shared" ref="BX20" si="146">SUBTOTAL(9,BX21:BX23)</f>
        <v>0</v>
      </c>
      <c r="BY20" s="719">
        <f t="shared" ref="BY20" si="147">SUBTOTAL(9,BY21:BY23)</f>
        <v>0</v>
      </c>
      <c r="BZ20" s="719">
        <f t="shared" ref="BZ20" si="148">SUBTOTAL(9,BZ21:BZ23)</f>
        <v>0</v>
      </c>
      <c r="CA20" s="719">
        <f t="shared" ref="CA20" si="149">SUBTOTAL(9,CA21:CA23)</f>
        <v>0</v>
      </c>
      <c r="CB20" s="719">
        <f t="shared" ref="CB20" si="150">SUBTOTAL(9,CB21:CB23)</f>
        <v>0</v>
      </c>
      <c r="CC20" s="719">
        <f t="shared" ref="CC20" si="151">SUBTOTAL(9,CC21:CC23)</f>
        <v>0</v>
      </c>
      <c r="CD20" s="719">
        <f t="shared" ref="CD20" si="152">SUBTOTAL(9,CD21:CD23)</f>
        <v>0</v>
      </c>
      <c r="CE20" s="719">
        <f t="shared" ref="CE20" si="153">SUBTOTAL(9,CE21:CE23)</f>
        <v>0</v>
      </c>
      <c r="CF20" s="719">
        <f t="shared" ref="CF20" si="154">SUBTOTAL(9,CF21:CF23)</f>
        <v>0</v>
      </c>
      <c r="CG20" s="719">
        <f t="shared" ref="CG20" si="155">SUBTOTAL(9,CG21:CG23)</f>
        <v>0</v>
      </c>
      <c r="CH20" s="719">
        <f t="shared" ref="CH20" si="156">SUBTOTAL(9,CH21:CH23)</f>
        <v>0</v>
      </c>
      <c r="CI20" s="719">
        <f t="shared" ref="CI20" si="157">SUBTOTAL(9,CI21:CI23)</f>
        <v>0</v>
      </c>
      <c r="CJ20" s="719">
        <f t="shared" ref="CJ20" si="158">SUBTOTAL(9,CJ21:CJ23)</f>
        <v>0</v>
      </c>
      <c r="CK20" s="719">
        <f t="shared" ref="CK20" si="159">SUBTOTAL(9,CK21:CK23)</f>
        <v>0</v>
      </c>
      <c r="CL20" s="719">
        <f t="shared" ref="CL20" si="160">SUBTOTAL(9,CL21:CL23)</f>
        <v>0</v>
      </c>
      <c r="CM20" s="719">
        <f t="shared" ref="CM20" si="161">SUBTOTAL(9,CM21:CM23)</f>
        <v>0</v>
      </c>
      <c r="CN20" s="719">
        <f t="shared" ref="CN20" si="162">SUBTOTAL(9,CN21:CN23)</f>
        <v>0</v>
      </c>
      <c r="CO20" s="719">
        <f t="shared" ref="CO20" si="163">SUBTOTAL(9,CO21:CO23)</f>
        <v>0</v>
      </c>
      <c r="CP20" s="719">
        <f t="shared" ref="CP20" si="164">SUBTOTAL(9,CP21:CP23)</f>
        <v>0</v>
      </c>
      <c r="CQ20" s="719">
        <f t="shared" ref="CQ20" si="165">SUBTOTAL(9,CQ21:CQ23)</f>
        <v>0</v>
      </c>
      <c r="CR20" s="719">
        <f t="shared" ref="CR20" si="166">SUBTOTAL(9,CR21:CR23)</f>
        <v>0</v>
      </c>
      <c r="CS20" s="719">
        <f t="shared" ref="CS20" si="167">SUBTOTAL(9,CS21:CS23)</f>
        <v>0</v>
      </c>
      <c r="CT20" s="719">
        <f t="shared" ref="CT20" si="168">SUBTOTAL(9,CT21:CT23)</f>
        <v>0</v>
      </c>
      <c r="CU20" s="719">
        <f t="shared" ref="CU20" si="169">SUBTOTAL(9,CU21:CU23)</f>
        <v>0</v>
      </c>
      <c r="CV20" s="719"/>
      <c r="CW20" s="719"/>
      <c r="CX20" s="719"/>
      <c r="CY20" s="719"/>
      <c r="CZ20" s="719"/>
      <c r="DA20" s="719">
        <f t="shared" ref="DA20" si="170">SUBTOTAL(9,DA21:DA23)</f>
        <v>0</v>
      </c>
      <c r="DB20" s="713"/>
      <c r="DC20" s="719">
        <f t="shared" si="58"/>
        <v>24.818639624999999</v>
      </c>
      <c r="DD20" s="719">
        <f t="shared" si="59"/>
        <v>0.82728798749999999</v>
      </c>
      <c r="DE20" s="719">
        <f t="shared" si="60"/>
        <v>0.82728798749999999</v>
      </c>
      <c r="DF20" s="719">
        <f t="shared" si="61"/>
        <v>0.82728798749999999</v>
      </c>
      <c r="DG20" s="719">
        <f t="shared" si="62"/>
        <v>0.82728798749999999</v>
      </c>
      <c r="DH20" s="719">
        <f t="shared" si="63"/>
        <v>0.82728798749999999</v>
      </c>
      <c r="DI20" s="719">
        <f t="shared" si="64"/>
        <v>0.82728798749999999</v>
      </c>
      <c r="DJ20" s="719">
        <f t="shared" si="65"/>
        <v>0.82728798749999999</v>
      </c>
      <c r="DK20" s="719">
        <f t="shared" si="66"/>
        <v>0.82728798749999999</v>
      </c>
      <c r="DL20" s="719">
        <f t="shared" si="67"/>
        <v>0.82728798749999999</v>
      </c>
      <c r="DM20" s="719">
        <f t="shared" si="68"/>
        <v>0.82728798749999999</v>
      </c>
      <c r="DN20" s="719">
        <f t="shared" si="69"/>
        <v>0.82728798749999999</v>
      </c>
      <c r="DO20" s="719">
        <f t="shared" si="70"/>
        <v>0.82728798749999999</v>
      </c>
      <c r="DP20" s="719">
        <f t="shared" si="71"/>
        <v>0.82728798749999999</v>
      </c>
      <c r="DQ20" s="719">
        <f t="shared" si="72"/>
        <v>0.82728798749999999</v>
      </c>
      <c r="DR20" s="719">
        <f t="shared" si="73"/>
        <v>0.82728798749999999</v>
      </c>
      <c r="DS20" s="719">
        <f t="shared" si="74"/>
        <v>0.82728798749999999</v>
      </c>
      <c r="DT20" s="719">
        <f t="shared" si="75"/>
        <v>0.82728798749999999</v>
      </c>
      <c r="DU20" s="719">
        <f t="shared" si="76"/>
        <v>0.82728798749999999</v>
      </c>
      <c r="DV20" s="719">
        <f t="shared" si="77"/>
        <v>0.82728798749999999</v>
      </c>
      <c r="DW20" s="719">
        <f t="shared" si="78"/>
        <v>0.82728798749999999</v>
      </c>
      <c r="DX20" s="719">
        <f t="shared" si="79"/>
        <v>0.82728798749999999</v>
      </c>
      <c r="DY20" s="719">
        <f t="shared" si="80"/>
        <v>0.82728798749999999</v>
      </c>
      <c r="DZ20" s="719">
        <f t="shared" si="81"/>
        <v>0.82728798749999999</v>
      </c>
      <c r="EA20" s="719">
        <f t="shared" si="82"/>
        <v>0.82728798749999999</v>
      </c>
      <c r="EB20" s="719">
        <f t="shared" si="83"/>
        <v>0.82728798749999999</v>
      </c>
      <c r="EC20" s="719">
        <f t="shared" si="84"/>
        <v>0.82728798749999999</v>
      </c>
      <c r="ED20" s="719">
        <f t="shared" si="85"/>
        <v>0.82728798749999999</v>
      </c>
      <c r="EE20" s="719">
        <f t="shared" si="86"/>
        <v>0.82728798749999999</v>
      </c>
      <c r="EF20" s="719">
        <f t="shared" si="87"/>
        <v>0.82728798749999999</v>
      </c>
      <c r="EG20" s="719">
        <f t="shared" si="88"/>
        <v>0.82728798749999999</v>
      </c>
    </row>
    <row r="21" spans="1:137">
      <c r="A21" s="595"/>
      <c r="B21" s="598"/>
      <c r="C21" s="599"/>
      <c r="E21" s="1456" t="s">
        <v>1635</v>
      </c>
      <c r="F21" s="867"/>
      <c r="G21" s="868"/>
      <c r="H21" s="867"/>
      <c r="I21" s="869"/>
      <c r="J21" s="869"/>
      <c r="K21" s="76"/>
      <c r="L21" s="1467">
        <v>1</v>
      </c>
      <c r="M21" s="1467">
        <v>1</v>
      </c>
      <c r="N21" s="1467">
        <v>1</v>
      </c>
      <c r="O21" s="1467">
        <v>1</v>
      </c>
      <c r="P21" s="1467">
        <v>1</v>
      </c>
      <c r="Q21" s="1467">
        <v>1</v>
      </c>
      <c r="R21" s="1467">
        <v>1</v>
      </c>
      <c r="S21" s="1467">
        <v>1</v>
      </c>
      <c r="T21" s="1467">
        <v>1</v>
      </c>
      <c r="U21" s="1467">
        <v>1</v>
      </c>
      <c r="V21" s="1467">
        <v>1</v>
      </c>
      <c r="W21" s="1467">
        <v>1</v>
      </c>
      <c r="X21" s="1467">
        <v>1</v>
      </c>
      <c r="Y21" s="1467">
        <v>1</v>
      </c>
      <c r="Z21" s="1467">
        <v>1</v>
      </c>
      <c r="AA21" s="1467">
        <v>1</v>
      </c>
      <c r="AB21" s="1467">
        <v>1</v>
      </c>
      <c r="AC21" s="1467">
        <v>1</v>
      </c>
      <c r="AD21" s="1467">
        <v>1</v>
      </c>
      <c r="AE21" s="1467">
        <v>1</v>
      </c>
      <c r="AF21" s="1467">
        <v>1</v>
      </c>
      <c r="AG21" s="1467">
        <v>1</v>
      </c>
      <c r="AH21" s="1467">
        <v>1</v>
      </c>
      <c r="AI21" s="1467">
        <v>1</v>
      </c>
      <c r="AJ21" s="1467">
        <v>1</v>
      </c>
      <c r="AK21" s="1467">
        <v>1</v>
      </c>
      <c r="AL21" s="1467">
        <v>1</v>
      </c>
      <c r="AM21" s="1467">
        <v>1</v>
      </c>
      <c r="AN21" s="1467">
        <v>1</v>
      </c>
      <c r="AO21" s="1467">
        <v>1</v>
      </c>
      <c r="AP21" s="1467">
        <v>12</v>
      </c>
      <c r="AQ21" s="871">
        <f t="shared" si="118"/>
        <v>24.818639624999999</v>
      </c>
      <c r="AR21" s="871">
        <f>AR25/2</f>
        <v>0.82728798749999999</v>
      </c>
      <c r="AS21" s="871">
        <f t="shared" ref="AS21:BU21" si="171">AS25/2</f>
        <v>0.82728798749999999</v>
      </c>
      <c r="AT21" s="871">
        <f t="shared" si="171"/>
        <v>0.82728798749999999</v>
      </c>
      <c r="AU21" s="871">
        <f t="shared" si="171"/>
        <v>0.82728798749999999</v>
      </c>
      <c r="AV21" s="871">
        <f t="shared" si="171"/>
        <v>0.82728798749999999</v>
      </c>
      <c r="AW21" s="871">
        <f t="shared" si="171"/>
        <v>0.82728798749999999</v>
      </c>
      <c r="AX21" s="871">
        <f t="shared" si="171"/>
        <v>0.82728798749999999</v>
      </c>
      <c r="AY21" s="871">
        <f t="shared" si="171"/>
        <v>0.82728798749999999</v>
      </c>
      <c r="AZ21" s="871">
        <f t="shared" si="171"/>
        <v>0.82728798749999999</v>
      </c>
      <c r="BA21" s="871">
        <f t="shared" si="171"/>
        <v>0.82728798749999999</v>
      </c>
      <c r="BB21" s="871">
        <f t="shared" si="171"/>
        <v>0.82728798749999999</v>
      </c>
      <c r="BC21" s="871">
        <f t="shared" si="171"/>
        <v>0.82728798749999999</v>
      </c>
      <c r="BD21" s="871">
        <f t="shared" si="171"/>
        <v>0.82728798749999999</v>
      </c>
      <c r="BE21" s="871">
        <f t="shared" si="171"/>
        <v>0.82728798749999999</v>
      </c>
      <c r="BF21" s="871">
        <f t="shared" si="171"/>
        <v>0.82728798749999999</v>
      </c>
      <c r="BG21" s="871">
        <f t="shared" si="171"/>
        <v>0.82728798749999999</v>
      </c>
      <c r="BH21" s="871">
        <f t="shared" si="171"/>
        <v>0.82728798749999999</v>
      </c>
      <c r="BI21" s="871">
        <f t="shared" si="171"/>
        <v>0.82728798749999999</v>
      </c>
      <c r="BJ21" s="871">
        <f t="shared" si="171"/>
        <v>0.82728798749999999</v>
      </c>
      <c r="BK21" s="871">
        <f t="shared" si="171"/>
        <v>0.82728798749999999</v>
      </c>
      <c r="BL21" s="871">
        <f t="shared" si="171"/>
        <v>0.82728798749999999</v>
      </c>
      <c r="BM21" s="871">
        <f t="shared" si="171"/>
        <v>0.82728798749999999</v>
      </c>
      <c r="BN21" s="871">
        <f t="shared" si="171"/>
        <v>0.82728798749999999</v>
      </c>
      <c r="BO21" s="871">
        <f t="shared" si="171"/>
        <v>0.82728798749999999</v>
      </c>
      <c r="BP21" s="871">
        <f t="shared" si="171"/>
        <v>0.82728798749999999</v>
      </c>
      <c r="BQ21" s="871">
        <f t="shared" si="171"/>
        <v>0.82728798749999999</v>
      </c>
      <c r="BR21" s="871">
        <f t="shared" si="171"/>
        <v>0.82728798749999999</v>
      </c>
      <c r="BS21" s="871">
        <f t="shared" si="171"/>
        <v>0.82728798749999999</v>
      </c>
      <c r="BT21" s="871">
        <f t="shared" si="171"/>
        <v>0.82728798749999999</v>
      </c>
      <c r="BU21" s="871">
        <f t="shared" si="171"/>
        <v>0.82728798749999999</v>
      </c>
      <c r="BV21" s="1462"/>
      <c r="BW21" s="871"/>
      <c r="BX21" s="1461"/>
      <c r="BY21" s="1461"/>
      <c r="BZ21" s="1461"/>
      <c r="CA21" s="1461"/>
      <c r="CB21" s="1461"/>
      <c r="CC21" s="1461"/>
      <c r="CD21" s="1461"/>
      <c r="CE21" s="1461"/>
      <c r="CF21" s="1461"/>
      <c r="CG21" s="1461"/>
      <c r="CH21" s="1461"/>
      <c r="CI21" s="1461"/>
      <c r="CJ21" s="1461"/>
      <c r="CK21" s="1461"/>
      <c r="CL21" s="1461"/>
      <c r="CM21" s="1461"/>
      <c r="CN21" s="1461"/>
      <c r="CO21" s="1461"/>
      <c r="CP21" s="1461"/>
      <c r="CQ21" s="1461"/>
      <c r="CR21" s="1461"/>
      <c r="CS21" s="1461"/>
      <c r="CT21" s="1461"/>
      <c r="CU21" s="1461"/>
      <c r="CV21" s="1461"/>
      <c r="CW21" s="1461"/>
      <c r="CX21" s="1461"/>
      <c r="CY21" s="1461"/>
      <c r="CZ21" s="1461"/>
      <c r="DA21" s="1461"/>
      <c r="DB21" s="41"/>
      <c r="DC21" s="871">
        <f t="shared" si="58"/>
        <v>24.818639624999999</v>
      </c>
      <c r="DD21" s="1461">
        <f t="shared" si="59"/>
        <v>0.82728798749999999</v>
      </c>
      <c r="DE21" s="1461">
        <f t="shared" si="60"/>
        <v>0.82728798749999999</v>
      </c>
      <c r="DF21" s="1461">
        <f t="shared" si="61"/>
        <v>0.82728798749999999</v>
      </c>
      <c r="DG21" s="1461">
        <f t="shared" si="62"/>
        <v>0.82728798749999999</v>
      </c>
      <c r="DH21" s="1461">
        <f t="shared" si="63"/>
        <v>0.82728798749999999</v>
      </c>
      <c r="DI21" s="1461">
        <f t="shared" si="64"/>
        <v>0.82728798749999999</v>
      </c>
      <c r="DJ21" s="1461">
        <f t="shared" si="65"/>
        <v>0.82728798749999999</v>
      </c>
      <c r="DK21" s="1461">
        <f t="shared" si="66"/>
        <v>0.82728798749999999</v>
      </c>
      <c r="DL21" s="1461">
        <f t="shared" si="67"/>
        <v>0.82728798749999999</v>
      </c>
      <c r="DM21" s="1461">
        <f t="shared" si="68"/>
        <v>0.82728798749999999</v>
      </c>
      <c r="DN21" s="1461">
        <f t="shared" si="69"/>
        <v>0.82728798749999999</v>
      </c>
      <c r="DO21" s="1461">
        <f t="shared" si="70"/>
        <v>0.82728798749999999</v>
      </c>
      <c r="DP21" s="1461">
        <f t="shared" si="71"/>
        <v>0.82728798749999999</v>
      </c>
      <c r="DQ21" s="1461">
        <f t="shared" si="72"/>
        <v>0.82728798749999999</v>
      </c>
      <c r="DR21" s="1461">
        <f t="shared" si="73"/>
        <v>0.82728798749999999</v>
      </c>
      <c r="DS21" s="1461">
        <f t="shared" si="74"/>
        <v>0.82728798749999999</v>
      </c>
      <c r="DT21" s="1461">
        <f t="shared" si="75"/>
        <v>0.82728798749999999</v>
      </c>
      <c r="DU21" s="1461">
        <f t="shared" si="76"/>
        <v>0.82728798749999999</v>
      </c>
      <c r="DV21" s="1461">
        <f t="shared" si="77"/>
        <v>0.82728798749999999</v>
      </c>
      <c r="DW21" s="1461">
        <f t="shared" si="78"/>
        <v>0.82728798749999999</v>
      </c>
      <c r="DX21" s="1461">
        <f t="shared" si="79"/>
        <v>0.82728798749999999</v>
      </c>
      <c r="DY21" s="1461">
        <f t="shared" si="80"/>
        <v>0.82728798749999999</v>
      </c>
      <c r="DZ21" s="1461">
        <f t="shared" si="81"/>
        <v>0.82728798749999999</v>
      </c>
      <c r="EA21" s="1461">
        <f t="shared" si="82"/>
        <v>0.82728798749999999</v>
      </c>
      <c r="EB21" s="1461">
        <f t="shared" si="83"/>
        <v>0.82728798749999999</v>
      </c>
      <c r="EC21" s="1461">
        <f t="shared" si="84"/>
        <v>0.82728798749999999</v>
      </c>
      <c r="ED21" s="1461">
        <f t="shared" si="85"/>
        <v>0.82728798749999999</v>
      </c>
      <c r="EE21" s="1461">
        <f t="shared" si="86"/>
        <v>0.82728798749999999</v>
      </c>
      <c r="EF21" s="1461">
        <f t="shared" si="87"/>
        <v>0.82728798749999999</v>
      </c>
      <c r="EG21" s="1461">
        <f t="shared" si="88"/>
        <v>0.82728798749999999</v>
      </c>
    </row>
    <row r="22" spans="1:137">
      <c r="A22" s="595"/>
      <c r="B22" s="598"/>
      <c r="C22" s="599"/>
      <c r="E22" s="1468"/>
      <c r="F22" s="867"/>
      <c r="G22" s="868"/>
      <c r="H22" s="867"/>
      <c r="I22" s="869"/>
      <c r="J22" s="869"/>
      <c r="K22" s="76"/>
      <c r="L22" s="1459"/>
      <c r="M22" s="1459"/>
      <c r="N22" s="1459"/>
      <c r="O22" s="1459"/>
      <c r="P22" s="1459"/>
      <c r="Q22" s="1459"/>
      <c r="R22" s="1459"/>
      <c r="S22" s="1459"/>
      <c r="T22" s="1459"/>
      <c r="U22" s="1459"/>
      <c r="V22" s="1459"/>
      <c r="W22" s="1459"/>
      <c r="X22" s="1459"/>
      <c r="Y22" s="1459"/>
      <c r="Z22" s="1459"/>
      <c r="AA22" s="1459"/>
      <c r="AB22" s="1459"/>
      <c r="AC22" s="1459"/>
      <c r="AD22" s="1459"/>
      <c r="AE22" s="1459"/>
      <c r="AF22" s="1459"/>
      <c r="AG22" s="1459"/>
      <c r="AH22" s="1459"/>
      <c r="AI22" s="1459"/>
      <c r="AJ22" s="1459"/>
      <c r="AK22" s="1459"/>
      <c r="AL22" s="1459"/>
      <c r="AM22" s="1459"/>
      <c r="AN22" s="1459"/>
      <c r="AO22" s="1459"/>
      <c r="AP22" s="1460"/>
      <c r="AQ22" s="871"/>
      <c r="AR22" s="1469"/>
      <c r="AS22" s="1461"/>
      <c r="AT22" s="1461"/>
      <c r="AU22" s="1461"/>
      <c r="AV22" s="1461"/>
      <c r="AW22" s="1461"/>
      <c r="AX22" s="1461"/>
      <c r="AY22" s="1461"/>
      <c r="AZ22" s="1461"/>
      <c r="BA22" s="1461"/>
      <c r="BB22" s="1461"/>
      <c r="BC22" s="1461"/>
      <c r="BD22" s="1461"/>
      <c r="BE22" s="1461"/>
      <c r="BF22" s="1461"/>
      <c r="BG22" s="1461"/>
      <c r="BH22" s="1461"/>
      <c r="BI22" s="1461"/>
      <c r="BJ22" s="1461"/>
      <c r="BK22" s="1461"/>
      <c r="BL22" s="1461"/>
      <c r="BM22" s="1461"/>
      <c r="BN22" s="1461"/>
      <c r="BO22" s="1461"/>
      <c r="BP22" s="1461"/>
      <c r="BQ22" s="1461"/>
      <c r="BR22" s="1461"/>
      <c r="BS22" s="1461"/>
      <c r="BT22" s="1461"/>
      <c r="BU22" s="1461"/>
      <c r="BV22" s="1462"/>
      <c r="BW22" s="871"/>
      <c r="BX22" s="1461"/>
      <c r="BY22" s="1461"/>
      <c r="BZ22" s="1461"/>
      <c r="CA22" s="1461"/>
      <c r="CB22" s="1461"/>
      <c r="CC22" s="1461"/>
      <c r="CD22" s="1461"/>
      <c r="CE22" s="1461"/>
      <c r="CF22" s="1461"/>
      <c r="CG22" s="1461"/>
      <c r="CH22" s="1461"/>
      <c r="CI22" s="1461"/>
      <c r="CJ22" s="1461"/>
      <c r="CK22" s="1461"/>
      <c r="CL22" s="1461"/>
      <c r="CM22" s="1461"/>
      <c r="CN22" s="1461"/>
      <c r="CO22" s="1461"/>
      <c r="CP22" s="1461"/>
      <c r="CQ22" s="1461"/>
      <c r="CR22" s="1461"/>
      <c r="CS22" s="1461"/>
      <c r="CT22" s="1461"/>
      <c r="CU22" s="1461"/>
      <c r="CV22" s="1461"/>
      <c r="CW22" s="1461"/>
      <c r="CX22" s="1461"/>
      <c r="CY22" s="1461"/>
      <c r="CZ22" s="1461"/>
      <c r="DA22" s="1461"/>
      <c r="DB22" s="41"/>
      <c r="DC22" s="871">
        <f t="shared" si="58"/>
        <v>0</v>
      </c>
      <c r="DD22" s="1461">
        <f t="shared" si="59"/>
        <v>0</v>
      </c>
      <c r="DE22" s="1461">
        <f t="shared" si="60"/>
        <v>0</v>
      </c>
      <c r="DF22" s="1461">
        <f t="shared" si="61"/>
        <v>0</v>
      </c>
      <c r="DG22" s="1461">
        <f t="shared" si="62"/>
        <v>0</v>
      </c>
      <c r="DH22" s="1461">
        <f t="shared" si="63"/>
        <v>0</v>
      </c>
      <c r="DI22" s="1461">
        <f t="shared" si="64"/>
        <v>0</v>
      </c>
      <c r="DJ22" s="1461">
        <f t="shared" si="65"/>
        <v>0</v>
      </c>
      <c r="DK22" s="1461">
        <f t="shared" si="66"/>
        <v>0</v>
      </c>
      <c r="DL22" s="1461">
        <f t="shared" si="67"/>
        <v>0</v>
      </c>
      <c r="DM22" s="1461">
        <f t="shared" si="68"/>
        <v>0</v>
      </c>
      <c r="DN22" s="1461">
        <f t="shared" si="69"/>
        <v>0</v>
      </c>
      <c r="DO22" s="1461">
        <f t="shared" si="70"/>
        <v>0</v>
      </c>
      <c r="DP22" s="1461">
        <f t="shared" si="71"/>
        <v>0</v>
      </c>
      <c r="DQ22" s="1461">
        <f t="shared" si="72"/>
        <v>0</v>
      </c>
      <c r="DR22" s="1461">
        <f t="shared" si="73"/>
        <v>0</v>
      </c>
      <c r="DS22" s="1461">
        <f t="shared" si="74"/>
        <v>0</v>
      </c>
      <c r="DT22" s="1461">
        <f t="shared" si="75"/>
        <v>0</v>
      </c>
      <c r="DU22" s="1461">
        <f t="shared" si="76"/>
        <v>0</v>
      </c>
      <c r="DV22" s="1461">
        <f t="shared" si="77"/>
        <v>0</v>
      </c>
      <c r="DW22" s="1461">
        <f t="shared" si="78"/>
        <v>0</v>
      </c>
      <c r="DX22" s="1461">
        <f t="shared" si="79"/>
        <v>0</v>
      </c>
      <c r="DY22" s="1461">
        <f t="shared" si="80"/>
        <v>0</v>
      </c>
      <c r="DZ22" s="1461">
        <f t="shared" si="81"/>
        <v>0</v>
      </c>
      <c r="EA22" s="1461">
        <f t="shared" si="82"/>
        <v>0</v>
      </c>
      <c r="EB22" s="1461">
        <f t="shared" si="83"/>
        <v>0</v>
      </c>
      <c r="EC22" s="1461">
        <f t="shared" si="84"/>
        <v>0</v>
      </c>
      <c r="ED22" s="1461">
        <f t="shared" si="85"/>
        <v>0</v>
      </c>
      <c r="EE22" s="1461">
        <f t="shared" si="86"/>
        <v>0</v>
      </c>
      <c r="EF22" s="1461">
        <f t="shared" si="87"/>
        <v>0</v>
      </c>
      <c r="EG22" s="1461">
        <f t="shared" si="88"/>
        <v>0</v>
      </c>
    </row>
    <row r="23" spans="1:137">
      <c r="A23" s="595"/>
      <c r="B23" s="598"/>
      <c r="C23" s="599"/>
      <c r="E23" s="1468"/>
      <c r="F23" s="867"/>
      <c r="G23" s="868"/>
      <c r="H23" s="867"/>
      <c r="I23" s="869"/>
      <c r="J23" s="869"/>
      <c r="K23" s="76"/>
      <c r="L23" s="1459"/>
      <c r="M23" s="1459"/>
      <c r="N23" s="1459"/>
      <c r="O23" s="1459"/>
      <c r="P23" s="1459"/>
      <c r="Q23" s="1459"/>
      <c r="R23" s="1459"/>
      <c r="S23" s="1459"/>
      <c r="T23" s="1459"/>
      <c r="U23" s="1459"/>
      <c r="V23" s="1459"/>
      <c r="W23" s="1459"/>
      <c r="X23" s="1459"/>
      <c r="Y23" s="1459"/>
      <c r="Z23" s="1459"/>
      <c r="AA23" s="1459"/>
      <c r="AB23" s="1459"/>
      <c r="AC23" s="1459"/>
      <c r="AD23" s="1459"/>
      <c r="AE23" s="1459"/>
      <c r="AF23" s="1459"/>
      <c r="AG23" s="1459"/>
      <c r="AH23" s="1459"/>
      <c r="AI23" s="1459"/>
      <c r="AJ23" s="1459"/>
      <c r="AK23" s="1459"/>
      <c r="AL23" s="1459"/>
      <c r="AM23" s="1459"/>
      <c r="AN23" s="1459"/>
      <c r="AO23" s="1459"/>
      <c r="AP23" s="1460"/>
      <c r="AQ23" s="871"/>
      <c r="AR23" s="1461"/>
      <c r="AS23" s="1461"/>
      <c r="AT23" s="1461"/>
      <c r="AU23" s="1461"/>
      <c r="AV23" s="1461"/>
      <c r="AW23" s="1461"/>
      <c r="AX23" s="1461"/>
      <c r="AY23" s="1461"/>
      <c r="AZ23" s="1461"/>
      <c r="BA23" s="1461"/>
      <c r="BB23" s="1461"/>
      <c r="BC23" s="1461"/>
      <c r="BD23" s="1461"/>
      <c r="BE23" s="1461"/>
      <c r="BF23" s="1461"/>
      <c r="BG23" s="1461"/>
      <c r="BH23" s="1461"/>
      <c r="BI23" s="1461"/>
      <c r="BJ23" s="1461"/>
      <c r="BK23" s="1461"/>
      <c r="BL23" s="1461"/>
      <c r="BM23" s="1461"/>
      <c r="BN23" s="1461"/>
      <c r="BO23" s="1461"/>
      <c r="BP23" s="1461"/>
      <c r="BQ23" s="1461"/>
      <c r="BR23" s="1461"/>
      <c r="BS23" s="1461"/>
      <c r="BT23" s="1461"/>
      <c r="BU23" s="1461"/>
      <c r="BV23" s="1462"/>
      <c r="BW23" s="871"/>
      <c r="BX23" s="1461"/>
      <c r="BY23" s="1461"/>
      <c r="BZ23" s="1461"/>
      <c r="CA23" s="1461"/>
      <c r="CB23" s="1461"/>
      <c r="CC23" s="1461"/>
      <c r="CD23" s="1461"/>
      <c r="CE23" s="1461"/>
      <c r="CF23" s="1461"/>
      <c r="CG23" s="1461"/>
      <c r="CH23" s="1461"/>
      <c r="CI23" s="1461"/>
      <c r="CJ23" s="1461"/>
      <c r="CK23" s="1461"/>
      <c r="CL23" s="1461"/>
      <c r="CM23" s="1461"/>
      <c r="CN23" s="1461"/>
      <c r="CO23" s="1461"/>
      <c r="CP23" s="1461"/>
      <c r="CQ23" s="1461"/>
      <c r="CR23" s="1461"/>
      <c r="CS23" s="1461"/>
      <c r="CT23" s="1461"/>
      <c r="CU23" s="1461"/>
      <c r="CV23" s="1461"/>
      <c r="CW23" s="1461"/>
      <c r="CX23" s="1461"/>
      <c r="CY23" s="1461"/>
      <c r="CZ23" s="1461"/>
      <c r="DA23" s="1461"/>
      <c r="DB23" s="41"/>
      <c r="DC23" s="871">
        <f t="shared" si="58"/>
        <v>0</v>
      </c>
      <c r="DD23" s="1461">
        <f t="shared" si="59"/>
        <v>0</v>
      </c>
      <c r="DE23" s="1461">
        <f t="shared" si="60"/>
        <v>0</v>
      </c>
      <c r="DF23" s="1461">
        <f t="shared" si="61"/>
        <v>0</v>
      </c>
      <c r="DG23" s="1461">
        <f t="shared" si="62"/>
        <v>0</v>
      </c>
      <c r="DH23" s="1461">
        <f t="shared" si="63"/>
        <v>0</v>
      </c>
      <c r="DI23" s="1461">
        <f t="shared" si="64"/>
        <v>0</v>
      </c>
      <c r="DJ23" s="1461">
        <f t="shared" si="65"/>
        <v>0</v>
      </c>
      <c r="DK23" s="1461">
        <f t="shared" si="66"/>
        <v>0</v>
      </c>
      <c r="DL23" s="1461">
        <f t="shared" si="67"/>
        <v>0</v>
      </c>
      <c r="DM23" s="1461">
        <f t="shared" si="68"/>
        <v>0</v>
      </c>
      <c r="DN23" s="1461">
        <f t="shared" si="69"/>
        <v>0</v>
      </c>
      <c r="DO23" s="1461">
        <f t="shared" si="70"/>
        <v>0</v>
      </c>
      <c r="DP23" s="1461">
        <f t="shared" si="71"/>
        <v>0</v>
      </c>
      <c r="DQ23" s="1461">
        <f t="shared" si="72"/>
        <v>0</v>
      </c>
      <c r="DR23" s="1461">
        <f t="shared" si="73"/>
        <v>0</v>
      </c>
      <c r="DS23" s="1461">
        <f t="shared" si="74"/>
        <v>0</v>
      </c>
      <c r="DT23" s="1461">
        <f t="shared" si="75"/>
        <v>0</v>
      </c>
      <c r="DU23" s="1461">
        <f t="shared" si="76"/>
        <v>0</v>
      </c>
      <c r="DV23" s="1461">
        <f t="shared" si="77"/>
        <v>0</v>
      </c>
      <c r="DW23" s="1461">
        <f t="shared" si="78"/>
        <v>0</v>
      </c>
      <c r="DX23" s="1461">
        <f t="shared" si="79"/>
        <v>0</v>
      </c>
      <c r="DY23" s="1461">
        <f t="shared" si="80"/>
        <v>0</v>
      </c>
      <c r="DZ23" s="1461">
        <f t="shared" si="81"/>
        <v>0</v>
      </c>
      <c r="EA23" s="1461">
        <f t="shared" si="82"/>
        <v>0</v>
      </c>
      <c r="EB23" s="1461">
        <f t="shared" si="83"/>
        <v>0</v>
      </c>
      <c r="EC23" s="1461">
        <f t="shared" si="84"/>
        <v>0</v>
      </c>
      <c r="ED23" s="1461">
        <f t="shared" si="85"/>
        <v>0</v>
      </c>
      <c r="EE23" s="1461">
        <f t="shared" si="86"/>
        <v>0</v>
      </c>
      <c r="EF23" s="1461">
        <f t="shared" si="87"/>
        <v>0</v>
      </c>
      <c r="EG23" s="1461">
        <f t="shared" si="88"/>
        <v>0</v>
      </c>
    </row>
    <row r="24" spans="1:137" s="408" customFormat="1">
      <c r="A24" s="595"/>
      <c r="B24" s="598"/>
      <c r="C24" s="599"/>
      <c r="D24" s="407">
        <v>5</v>
      </c>
      <c r="E24" s="1437" t="s">
        <v>1636</v>
      </c>
      <c r="F24" s="1463"/>
      <c r="G24" s="1464"/>
      <c r="H24" s="1463"/>
      <c r="I24" s="1465"/>
      <c r="J24" s="1465"/>
      <c r="K24" s="721"/>
      <c r="L24" s="1466"/>
      <c r="M24" s="1466"/>
      <c r="N24" s="1466"/>
      <c r="O24" s="1466"/>
      <c r="P24" s="1466"/>
      <c r="Q24" s="1466"/>
      <c r="R24" s="1466"/>
      <c r="S24" s="1466"/>
      <c r="T24" s="1466"/>
      <c r="U24" s="1466"/>
      <c r="V24" s="1466"/>
      <c r="W24" s="1466"/>
      <c r="X24" s="1466"/>
      <c r="Y24" s="1466"/>
      <c r="Z24" s="1466"/>
      <c r="AA24" s="1466"/>
      <c r="AB24" s="1466"/>
      <c r="AC24" s="1466"/>
      <c r="AD24" s="1466"/>
      <c r="AE24" s="1466"/>
      <c r="AF24" s="1466"/>
      <c r="AG24" s="1466"/>
      <c r="AH24" s="1466"/>
      <c r="AI24" s="1466"/>
      <c r="AJ24" s="1466"/>
      <c r="AK24" s="1466"/>
      <c r="AL24" s="1466"/>
      <c r="AM24" s="1466"/>
      <c r="AN24" s="1466"/>
      <c r="AO24" s="1466"/>
      <c r="AP24" s="722"/>
      <c r="AQ24" s="719">
        <f>SUBTOTAL(9,AQ25)</f>
        <v>49.637279249999999</v>
      </c>
      <c r="AR24" s="719">
        <f t="shared" ref="AR24:BU24" si="172">SUBTOTAL(9,AR25)</f>
        <v>1.654575975</v>
      </c>
      <c r="AS24" s="719">
        <f t="shared" si="172"/>
        <v>1.654575975</v>
      </c>
      <c r="AT24" s="719">
        <f t="shared" si="172"/>
        <v>1.654575975</v>
      </c>
      <c r="AU24" s="719">
        <f t="shared" si="172"/>
        <v>1.654575975</v>
      </c>
      <c r="AV24" s="719">
        <f t="shared" si="172"/>
        <v>1.654575975</v>
      </c>
      <c r="AW24" s="719">
        <f t="shared" si="172"/>
        <v>1.654575975</v>
      </c>
      <c r="AX24" s="719">
        <f t="shared" si="172"/>
        <v>1.654575975</v>
      </c>
      <c r="AY24" s="719">
        <f t="shared" si="172"/>
        <v>1.654575975</v>
      </c>
      <c r="AZ24" s="719">
        <f t="shared" si="172"/>
        <v>1.654575975</v>
      </c>
      <c r="BA24" s="719">
        <f t="shared" si="172"/>
        <v>1.654575975</v>
      </c>
      <c r="BB24" s="719">
        <f t="shared" si="172"/>
        <v>1.654575975</v>
      </c>
      <c r="BC24" s="719">
        <f t="shared" si="172"/>
        <v>1.654575975</v>
      </c>
      <c r="BD24" s="719">
        <f t="shared" si="172"/>
        <v>1.654575975</v>
      </c>
      <c r="BE24" s="719">
        <f t="shared" si="172"/>
        <v>1.654575975</v>
      </c>
      <c r="BF24" s="719">
        <f t="shared" si="172"/>
        <v>1.654575975</v>
      </c>
      <c r="BG24" s="719">
        <f t="shared" si="172"/>
        <v>1.654575975</v>
      </c>
      <c r="BH24" s="719">
        <f t="shared" si="172"/>
        <v>1.654575975</v>
      </c>
      <c r="BI24" s="719">
        <f t="shared" si="172"/>
        <v>1.654575975</v>
      </c>
      <c r="BJ24" s="719">
        <f t="shared" si="172"/>
        <v>1.654575975</v>
      </c>
      <c r="BK24" s="719">
        <f t="shared" si="172"/>
        <v>1.654575975</v>
      </c>
      <c r="BL24" s="719">
        <f t="shared" si="172"/>
        <v>1.654575975</v>
      </c>
      <c r="BM24" s="719">
        <f t="shared" si="172"/>
        <v>1.654575975</v>
      </c>
      <c r="BN24" s="719">
        <f t="shared" si="172"/>
        <v>1.654575975</v>
      </c>
      <c r="BO24" s="719">
        <f t="shared" si="172"/>
        <v>1.654575975</v>
      </c>
      <c r="BP24" s="719">
        <f t="shared" si="172"/>
        <v>1.654575975</v>
      </c>
      <c r="BQ24" s="719">
        <f t="shared" si="172"/>
        <v>1.654575975</v>
      </c>
      <c r="BR24" s="719">
        <f t="shared" si="172"/>
        <v>1.654575975</v>
      </c>
      <c r="BS24" s="719">
        <f t="shared" si="172"/>
        <v>1.654575975</v>
      </c>
      <c r="BT24" s="719">
        <f t="shared" si="172"/>
        <v>1.654575975</v>
      </c>
      <c r="BU24" s="719">
        <f t="shared" si="172"/>
        <v>1.654575975</v>
      </c>
      <c r="BV24" s="720"/>
      <c r="BW24" s="719">
        <f t="shared" ref="BW24:BW26" ca="1" si="173">SUBTOTAL(9,BW25:BW27)</f>
        <v>0</v>
      </c>
      <c r="BX24" s="719">
        <f t="shared" ref="BX24:BX26" ca="1" si="174">SUBTOTAL(9,BX25:BX27)</f>
        <v>0</v>
      </c>
      <c r="BY24" s="719">
        <f t="shared" ref="BY24:BY26" ca="1" si="175">SUBTOTAL(9,BY25:BY27)</f>
        <v>0</v>
      </c>
      <c r="BZ24" s="719">
        <f t="shared" ref="BZ24:BZ26" ca="1" si="176">SUBTOTAL(9,BZ25:BZ27)</f>
        <v>0</v>
      </c>
      <c r="CA24" s="719">
        <f t="shared" ref="CA24:CA26" ca="1" si="177">SUBTOTAL(9,CA25:CA27)</f>
        <v>0</v>
      </c>
      <c r="CB24" s="719">
        <f t="shared" ref="CB24:CB26" ca="1" si="178">SUBTOTAL(9,CB25:CB27)</f>
        <v>0</v>
      </c>
      <c r="CC24" s="719">
        <f t="shared" ref="CC24:CC26" ca="1" si="179">SUBTOTAL(9,CC25:CC27)</f>
        <v>0</v>
      </c>
      <c r="CD24" s="719">
        <f t="shared" ref="CD24:CD26" ca="1" si="180">SUBTOTAL(9,CD25:CD27)</f>
        <v>0</v>
      </c>
      <c r="CE24" s="719">
        <f t="shared" ref="CE24:CE26" ca="1" si="181">SUBTOTAL(9,CE25:CE27)</f>
        <v>0</v>
      </c>
      <c r="CF24" s="719">
        <f t="shared" ref="CF24:CF26" ca="1" si="182">SUBTOTAL(9,CF25:CF27)</f>
        <v>0</v>
      </c>
      <c r="CG24" s="719">
        <f t="shared" ref="CG24:CG26" ca="1" si="183">SUBTOTAL(9,CG25:CG27)</f>
        <v>0</v>
      </c>
      <c r="CH24" s="719">
        <f t="shared" ref="CH24:CH26" ca="1" si="184">SUBTOTAL(9,CH25:CH27)</f>
        <v>0</v>
      </c>
      <c r="CI24" s="719">
        <f t="shared" ref="CI24:CI26" ca="1" si="185">SUBTOTAL(9,CI25:CI27)</f>
        <v>0</v>
      </c>
      <c r="CJ24" s="719">
        <f t="shared" ref="CJ24:CJ26" ca="1" si="186">SUBTOTAL(9,CJ25:CJ27)</f>
        <v>0</v>
      </c>
      <c r="CK24" s="719">
        <f t="shared" ref="CK24:CK26" ca="1" si="187">SUBTOTAL(9,CK25:CK27)</f>
        <v>0</v>
      </c>
      <c r="CL24" s="719">
        <f t="shared" ref="CL24:CL26" ca="1" si="188">SUBTOTAL(9,CL25:CL27)</f>
        <v>0</v>
      </c>
      <c r="CM24" s="719">
        <f t="shared" ref="CM24:CM26" ca="1" si="189">SUBTOTAL(9,CM25:CM27)</f>
        <v>0</v>
      </c>
      <c r="CN24" s="719">
        <f t="shared" ref="CN24:CN26" ca="1" si="190">SUBTOTAL(9,CN25:CN27)</f>
        <v>0</v>
      </c>
      <c r="CO24" s="719">
        <f t="shared" ref="CO24:CO26" ca="1" si="191">SUBTOTAL(9,CO25:CO27)</f>
        <v>0</v>
      </c>
      <c r="CP24" s="719">
        <f t="shared" ref="CP24:CP26" ca="1" si="192">SUBTOTAL(9,CP25:CP27)</f>
        <v>0</v>
      </c>
      <c r="CQ24" s="719">
        <f t="shared" ref="CQ24:CQ26" ca="1" si="193">SUBTOTAL(9,CQ25:CQ27)</f>
        <v>0</v>
      </c>
      <c r="CR24" s="719">
        <f t="shared" ref="CR24:CR26" ca="1" si="194">SUBTOTAL(9,CR25:CR27)</f>
        <v>0</v>
      </c>
      <c r="CS24" s="719">
        <f t="shared" ref="CS24:CS26" ca="1" si="195">SUBTOTAL(9,CS25:CS27)</f>
        <v>0</v>
      </c>
      <c r="CT24" s="719">
        <f t="shared" ref="CT24:CT26" ca="1" si="196">SUBTOTAL(9,CT25:CT27)</f>
        <v>0</v>
      </c>
      <c r="CU24" s="719">
        <f t="shared" ref="CU24:DA26" ca="1" si="197">SUBTOTAL(9,CU25:CU27)</f>
        <v>0</v>
      </c>
      <c r="CV24" s="719">
        <f t="shared" ca="1" si="197"/>
        <v>0</v>
      </c>
      <c r="CW24" s="719">
        <f t="shared" ca="1" si="197"/>
        <v>0</v>
      </c>
      <c r="CX24" s="719">
        <f t="shared" ca="1" si="197"/>
        <v>0</v>
      </c>
      <c r="CY24" s="719">
        <f t="shared" ca="1" si="197"/>
        <v>0</v>
      </c>
      <c r="CZ24" s="719">
        <f t="shared" ca="1" si="197"/>
        <v>0</v>
      </c>
      <c r="DA24" s="719">
        <f t="shared" ca="1" si="197"/>
        <v>0</v>
      </c>
      <c r="DB24" s="713"/>
      <c r="DC24" s="719">
        <f t="shared" ca="1" si="58"/>
        <v>49.637279249999999</v>
      </c>
      <c r="DD24" s="719">
        <f t="shared" ca="1" si="59"/>
        <v>1.654575975</v>
      </c>
      <c r="DE24" s="719">
        <f t="shared" ca="1" si="60"/>
        <v>1.654575975</v>
      </c>
      <c r="DF24" s="719">
        <f t="shared" ca="1" si="61"/>
        <v>1.654575975</v>
      </c>
      <c r="DG24" s="719">
        <f t="shared" ca="1" si="62"/>
        <v>1.654575975</v>
      </c>
      <c r="DH24" s="719">
        <f t="shared" ca="1" si="63"/>
        <v>1.654575975</v>
      </c>
      <c r="DI24" s="719">
        <f t="shared" ca="1" si="64"/>
        <v>1.654575975</v>
      </c>
      <c r="DJ24" s="719">
        <f t="shared" ca="1" si="65"/>
        <v>1.654575975</v>
      </c>
      <c r="DK24" s="719">
        <f t="shared" ca="1" si="66"/>
        <v>1.654575975</v>
      </c>
      <c r="DL24" s="719">
        <f t="shared" ca="1" si="67"/>
        <v>1.654575975</v>
      </c>
      <c r="DM24" s="719">
        <f t="shared" ca="1" si="68"/>
        <v>1.654575975</v>
      </c>
      <c r="DN24" s="719">
        <f t="shared" ca="1" si="69"/>
        <v>1.654575975</v>
      </c>
      <c r="DO24" s="719">
        <f t="shared" ca="1" si="70"/>
        <v>1.654575975</v>
      </c>
      <c r="DP24" s="719">
        <f t="shared" ca="1" si="71"/>
        <v>1.654575975</v>
      </c>
      <c r="DQ24" s="719">
        <f t="shared" ca="1" si="72"/>
        <v>1.654575975</v>
      </c>
      <c r="DR24" s="719">
        <f t="shared" ca="1" si="73"/>
        <v>1.654575975</v>
      </c>
      <c r="DS24" s="719">
        <f t="shared" ca="1" si="74"/>
        <v>1.654575975</v>
      </c>
      <c r="DT24" s="719">
        <f t="shared" ca="1" si="75"/>
        <v>1.654575975</v>
      </c>
      <c r="DU24" s="719">
        <f t="shared" ca="1" si="76"/>
        <v>1.654575975</v>
      </c>
      <c r="DV24" s="719">
        <f t="shared" ca="1" si="77"/>
        <v>1.654575975</v>
      </c>
      <c r="DW24" s="719">
        <f t="shared" ca="1" si="78"/>
        <v>1.654575975</v>
      </c>
      <c r="DX24" s="719">
        <f t="shared" ca="1" si="79"/>
        <v>1.654575975</v>
      </c>
      <c r="DY24" s="719">
        <f t="shared" ca="1" si="80"/>
        <v>1.654575975</v>
      </c>
      <c r="DZ24" s="719">
        <f t="shared" ca="1" si="81"/>
        <v>1.654575975</v>
      </c>
      <c r="EA24" s="719">
        <f t="shared" ca="1" si="82"/>
        <v>1.654575975</v>
      </c>
      <c r="EB24" s="719">
        <f t="shared" ca="1" si="83"/>
        <v>1.654575975</v>
      </c>
      <c r="EC24" s="719">
        <f t="shared" ca="1" si="84"/>
        <v>1.654575975</v>
      </c>
      <c r="ED24" s="719">
        <f t="shared" ca="1" si="85"/>
        <v>1.654575975</v>
      </c>
      <c r="EE24" s="719">
        <f t="shared" ca="1" si="86"/>
        <v>1.654575975</v>
      </c>
      <c r="EF24" s="719">
        <f t="shared" ca="1" si="87"/>
        <v>1.654575975</v>
      </c>
      <c r="EG24" s="719">
        <f t="shared" ca="1" si="88"/>
        <v>1.654575975</v>
      </c>
    </row>
    <row r="25" spans="1:137">
      <c r="A25" s="595"/>
      <c r="B25" s="598"/>
      <c r="C25" s="599"/>
      <c r="E25" s="866" t="s">
        <v>1637</v>
      </c>
      <c r="F25" s="867"/>
      <c r="G25" s="868"/>
      <c r="H25" s="867"/>
      <c r="I25" s="869"/>
      <c r="J25" s="869"/>
      <c r="K25" s="76"/>
      <c r="L25" s="1455">
        <v>5</v>
      </c>
      <c r="M25" s="1455">
        <f>L25</f>
        <v>5</v>
      </c>
      <c r="N25" s="1455">
        <f t="shared" ref="N25:AO25" si="198">M25</f>
        <v>5</v>
      </c>
      <c r="O25" s="1455">
        <f t="shared" si="198"/>
        <v>5</v>
      </c>
      <c r="P25" s="1455">
        <f t="shared" si="198"/>
        <v>5</v>
      </c>
      <c r="Q25" s="1455">
        <f t="shared" si="198"/>
        <v>5</v>
      </c>
      <c r="R25" s="1455">
        <f t="shared" si="198"/>
        <v>5</v>
      </c>
      <c r="S25" s="1455">
        <f t="shared" si="198"/>
        <v>5</v>
      </c>
      <c r="T25" s="1455">
        <f t="shared" si="198"/>
        <v>5</v>
      </c>
      <c r="U25" s="1455">
        <f t="shared" si="198"/>
        <v>5</v>
      </c>
      <c r="V25" s="1455">
        <f t="shared" si="198"/>
        <v>5</v>
      </c>
      <c r="W25" s="1455">
        <f t="shared" si="198"/>
        <v>5</v>
      </c>
      <c r="X25" s="1455">
        <f t="shared" si="198"/>
        <v>5</v>
      </c>
      <c r="Y25" s="1455">
        <f t="shared" si="198"/>
        <v>5</v>
      </c>
      <c r="Z25" s="1455">
        <f t="shared" si="198"/>
        <v>5</v>
      </c>
      <c r="AA25" s="1455">
        <f t="shared" si="198"/>
        <v>5</v>
      </c>
      <c r="AB25" s="1455">
        <f t="shared" si="198"/>
        <v>5</v>
      </c>
      <c r="AC25" s="1455">
        <f t="shared" si="198"/>
        <v>5</v>
      </c>
      <c r="AD25" s="1455">
        <f t="shared" si="198"/>
        <v>5</v>
      </c>
      <c r="AE25" s="1455">
        <f t="shared" si="198"/>
        <v>5</v>
      </c>
      <c r="AF25" s="1455">
        <f t="shared" si="198"/>
        <v>5</v>
      </c>
      <c r="AG25" s="1455">
        <f t="shared" si="198"/>
        <v>5</v>
      </c>
      <c r="AH25" s="1455">
        <f t="shared" si="198"/>
        <v>5</v>
      </c>
      <c r="AI25" s="1455">
        <f t="shared" si="198"/>
        <v>5</v>
      </c>
      <c r="AJ25" s="1455">
        <f t="shared" si="198"/>
        <v>5</v>
      </c>
      <c r="AK25" s="1455">
        <f t="shared" si="198"/>
        <v>5</v>
      </c>
      <c r="AL25" s="1455">
        <f t="shared" si="198"/>
        <v>5</v>
      </c>
      <c r="AM25" s="1455">
        <f t="shared" si="198"/>
        <v>5</v>
      </c>
      <c r="AN25" s="1455">
        <f t="shared" si="198"/>
        <v>5</v>
      </c>
      <c r="AO25" s="1455">
        <f t="shared" si="198"/>
        <v>5</v>
      </c>
      <c r="AP25" s="1452"/>
      <c r="AQ25" s="871">
        <f>SUM(AR25:BU25)</f>
        <v>49.637279249999999</v>
      </c>
      <c r="AR25" s="871">
        <f t="shared" ref="AR25:BU25" si="199">VLOOKUP($E25,Par,6,0)*L25/1000</f>
        <v>1.654575975</v>
      </c>
      <c r="AS25" s="871">
        <f t="shared" si="199"/>
        <v>1.654575975</v>
      </c>
      <c r="AT25" s="871">
        <f t="shared" si="199"/>
        <v>1.654575975</v>
      </c>
      <c r="AU25" s="871">
        <f t="shared" si="199"/>
        <v>1.654575975</v>
      </c>
      <c r="AV25" s="871">
        <f t="shared" si="199"/>
        <v>1.654575975</v>
      </c>
      <c r="AW25" s="871">
        <f t="shared" si="199"/>
        <v>1.654575975</v>
      </c>
      <c r="AX25" s="871">
        <f t="shared" si="199"/>
        <v>1.654575975</v>
      </c>
      <c r="AY25" s="871">
        <f t="shared" si="199"/>
        <v>1.654575975</v>
      </c>
      <c r="AZ25" s="871">
        <f t="shared" si="199"/>
        <v>1.654575975</v>
      </c>
      <c r="BA25" s="871">
        <f t="shared" si="199"/>
        <v>1.654575975</v>
      </c>
      <c r="BB25" s="871">
        <f t="shared" si="199"/>
        <v>1.654575975</v>
      </c>
      <c r="BC25" s="871">
        <f t="shared" si="199"/>
        <v>1.654575975</v>
      </c>
      <c r="BD25" s="871">
        <f t="shared" si="199"/>
        <v>1.654575975</v>
      </c>
      <c r="BE25" s="871">
        <f t="shared" si="199"/>
        <v>1.654575975</v>
      </c>
      <c r="BF25" s="871">
        <f t="shared" si="199"/>
        <v>1.654575975</v>
      </c>
      <c r="BG25" s="871">
        <f t="shared" si="199"/>
        <v>1.654575975</v>
      </c>
      <c r="BH25" s="871">
        <f t="shared" si="199"/>
        <v>1.654575975</v>
      </c>
      <c r="BI25" s="871">
        <f t="shared" si="199"/>
        <v>1.654575975</v>
      </c>
      <c r="BJ25" s="871">
        <f t="shared" si="199"/>
        <v>1.654575975</v>
      </c>
      <c r="BK25" s="871">
        <f t="shared" si="199"/>
        <v>1.654575975</v>
      </c>
      <c r="BL25" s="871">
        <f t="shared" si="199"/>
        <v>1.654575975</v>
      </c>
      <c r="BM25" s="871">
        <f t="shared" si="199"/>
        <v>1.654575975</v>
      </c>
      <c r="BN25" s="871">
        <f t="shared" si="199"/>
        <v>1.654575975</v>
      </c>
      <c r="BO25" s="871">
        <f t="shared" si="199"/>
        <v>1.654575975</v>
      </c>
      <c r="BP25" s="871">
        <f t="shared" si="199"/>
        <v>1.654575975</v>
      </c>
      <c r="BQ25" s="871">
        <f t="shared" si="199"/>
        <v>1.654575975</v>
      </c>
      <c r="BR25" s="871">
        <f t="shared" si="199"/>
        <v>1.654575975</v>
      </c>
      <c r="BS25" s="871">
        <f t="shared" si="199"/>
        <v>1.654575975</v>
      </c>
      <c r="BT25" s="871">
        <f t="shared" si="199"/>
        <v>1.654575975</v>
      </c>
      <c r="BU25" s="871">
        <f t="shared" si="199"/>
        <v>1.654575975</v>
      </c>
      <c r="BV25" s="1453"/>
      <c r="BW25" s="871">
        <f>SUM(BX25:DA25)</f>
        <v>0</v>
      </c>
      <c r="BX25" s="871"/>
      <c r="BY25" s="871"/>
      <c r="BZ25" s="871"/>
      <c r="CA25" s="871"/>
      <c r="CB25" s="871"/>
      <c r="CC25" s="871"/>
      <c r="CD25" s="871"/>
      <c r="CE25" s="871"/>
      <c r="CF25" s="871"/>
      <c r="CG25" s="871"/>
      <c r="CH25" s="871"/>
      <c r="CI25" s="871"/>
      <c r="CJ25" s="871"/>
      <c r="CK25" s="871"/>
      <c r="CL25" s="871"/>
      <c r="CM25" s="871"/>
      <c r="CN25" s="871"/>
      <c r="CO25" s="871"/>
      <c r="CP25" s="871"/>
      <c r="CQ25" s="871"/>
      <c r="CR25" s="871"/>
      <c r="CS25" s="871"/>
      <c r="CT25" s="871"/>
      <c r="CU25" s="871"/>
      <c r="CV25" s="871"/>
      <c r="CW25" s="871"/>
      <c r="CX25" s="871"/>
      <c r="CY25" s="871"/>
      <c r="CZ25" s="871"/>
      <c r="DA25" s="871"/>
      <c r="DB25" s="41"/>
      <c r="DC25" s="871">
        <f t="shared" si="58"/>
        <v>49.637279249999999</v>
      </c>
      <c r="DD25" s="871">
        <f t="shared" si="59"/>
        <v>1.654575975</v>
      </c>
      <c r="DE25" s="871">
        <f t="shared" si="60"/>
        <v>1.654575975</v>
      </c>
      <c r="DF25" s="871">
        <f t="shared" si="61"/>
        <v>1.654575975</v>
      </c>
      <c r="DG25" s="871">
        <f t="shared" si="62"/>
        <v>1.654575975</v>
      </c>
      <c r="DH25" s="871">
        <f t="shared" si="63"/>
        <v>1.654575975</v>
      </c>
      <c r="DI25" s="871">
        <f t="shared" si="64"/>
        <v>1.654575975</v>
      </c>
      <c r="DJ25" s="871">
        <f t="shared" si="65"/>
        <v>1.654575975</v>
      </c>
      <c r="DK25" s="871">
        <f t="shared" si="66"/>
        <v>1.654575975</v>
      </c>
      <c r="DL25" s="871">
        <f t="shared" si="67"/>
        <v>1.654575975</v>
      </c>
      <c r="DM25" s="871">
        <f t="shared" si="68"/>
        <v>1.654575975</v>
      </c>
      <c r="DN25" s="871">
        <f t="shared" si="69"/>
        <v>1.654575975</v>
      </c>
      <c r="DO25" s="871">
        <f t="shared" si="70"/>
        <v>1.654575975</v>
      </c>
      <c r="DP25" s="871">
        <f t="shared" si="71"/>
        <v>1.654575975</v>
      </c>
      <c r="DQ25" s="871">
        <f t="shared" si="72"/>
        <v>1.654575975</v>
      </c>
      <c r="DR25" s="871">
        <f t="shared" si="73"/>
        <v>1.654575975</v>
      </c>
      <c r="DS25" s="871">
        <f t="shared" si="74"/>
        <v>1.654575975</v>
      </c>
      <c r="DT25" s="871">
        <f t="shared" si="75"/>
        <v>1.654575975</v>
      </c>
      <c r="DU25" s="871">
        <f t="shared" si="76"/>
        <v>1.654575975</v>
      </c>
      <c r="DV25" s="871">
        <f t="shared" si="77"/>
        <v>1.654575975</v>
      </c>
      <c r="DW25" s="871">
        <f t="shared" si="78"/>
        <v>1.654575975</v>
      </c>
      <c r="DX25" s="871">
        <f t="shared" si="79"/>
        <v>1.654575975</v>
      </c>
      <c r="DY25" s="871">
        <f t="shared" si="80"/>
        <v>1.654575975</v>
      </c>
      <c r="DZ25" s="871">
        <f t="shared" si="81"/>
        <v>1.654575975</v>
      </c>
      <c r="EA25" s="871">
        <f t="shared" si="82"/>
        <v>1.654575975</v>
      </c>
      <c r="EB25" s="871">
        <f t="shared" si="83"/>
        <v>1.654575975</v>
      </c>
      <c r="EC25" s="871">
        <f t="shared" si="84"/>
        <v>1.654575975</v>
      </c>
      <c r="ED25" s="871">
        <f t="shared" si="85"/>
        <v>1.654575975</v>
      </c>
      <c r="EE25" s="871">
        <f t="shared" si="86"/>
        <v>1.654575975</v>
      </c>
      <c r="EF25" s="871">
        <f t="shared" si="87"/>
        <v>1.654575975</v>
      </c>
      <c r="EG25" s="871">
        <f t="shared" si="88"/>
        <v>1.654575975</v>
      </c>
    </row>
    <row r="26" spans="1:137">
      <c r="A26" s="595"/>
      <c r="B26" s="598"/>
      <c r="C26" s="599"/>
      <c r="D26" s="29">
        <v>14</v>
      </c>
      <c r="E26" s="1470"/>
      <c r="F26" s="1471"/>
      <c r="G26" s="1472"/>
      <c r="H26" s="1471"/>
      <c r="I26" s="1473"/>
      <c r="J26" s="1473"/>
      <c r="K26" s="76"/>
      <c r="L26" s="1459"/>
      <c r="M26" s="1459"/>
      <c r="N26" s="1459"/>
      <c r="O26" s="1459"/>
      <c r="P26" s="1459"/>
      <c r="Q26" s="1459"/>
      <c r="R26" s="1459"/>
      <c r="S26" s="1459"/>
      <c r="T26" s="1459"/>
      <c r="U26" s="1459"/>
      <c r="V26" s="1459"/>
      <c r="W26" s="1459"/>
      <c r="X26" s="1459"/>
      <c r="Y26" s="1459"/>
      <c r="Z26" s="1459"/>
      <c r="AA26" s="1459"/>
      <c r="AB26" s="1459"/>
      <c r="AC26" s="1459"/>
      <c r="AD26" s="1459"/>
      <c r="AE26" s="1459"/>
      <c r="AF26" s="1459"/>
      <c r="AG26" s="1459"/>
      <c r="AH26" s="1459"/>
      <c r="AI26" s="1459"/>
      <c r="AJ26" s="1459"/>
      <c r="AK26" s="1459"/>
      <c r="AL26" s="1459"/>
      <c r="AM26" s="1459"/>
      <c r="AN26" s="1459"/>
      <c r="AO26" s="1459"/>
      <c r="AP26" s="1460"/>
      <c r="AQ26" s="1474">
        <f>SUBTOTAL(9,AQ27)</f>
        <v>0</v>
      </c>
      <c r="AR26" s="1474">
        <f t="shared" ref="AR26:BU26" si="200">SUBTOTAL(9,AR27)</f>
        <v>0</v>
      </c>
      <c r="AS26" s="1474">
        <f t="shared" si="200"/>
        <v>0</v>
      </c>
      <c r="AT26" s="1474">
        <f t="shared" si="200"/>
        <v>0</v>
      </c>
      <c r="AU26" s="1474">
        <f t="shared" si="200"/>
        <v>0</v>
      </c>
      <c r="AV26" s="1474">
        <f t="shared" si="200"/>
        <v>0</v>
      </c>
      <c r="AW26" s="1474">
        <f t="shared" si="200"/>
        <v>0</v>
      </c>
      <c r="AX26" s="1474">
        <f t="shared" si="200"/>
        <v>0</v>
      </c>
      <c r="AY26" s="1474">
        <f t="shared" si="200"/>
        <v>0</v>
      </c>
      <c r="AZ26" s="1474">
        <f t="shared" si="200"/>
        <v>0</v>
      </c>
      <c r="BA26" s="1474">
        <f t="shared" si="200"/>
        <v>0</v>
      </c>
      <c r="BB26" s="1474">
        <f t="shared" si="200"/>
        <v>0</v>
      </c>
      <c r="BC26" s="1474">
        <f t="shared" si="200"/>
        <v>0</v>
      </c>
      <c r="BD26" s="1474">
        <f t="shared" si="200"/>
        <v>0</v>
      </c>
      <c r="BE26" s="1474">
        <f t="shared" si="200"/>
        <v>0</v>
      </c>
      <c r="BF26" s="1474">
        <f t="shared" si="200"/>
        <v>0</v>
      </c>
      <c r="BG26" s="1474">
        <f t="shared" si="200"/>
        <v>0</v>
      </c>
      <c r="BH26" s="1474">
        <f t="shared" si="200"/>
        <v>0</v>
      </c>
      <c r="BI26" s="1474">
        <f t="shared" si="200"/>
        <v>0</v>
      </c>
      <c r="BJ26" s="1474">
        <f t="shared" si="200"/>
        <v>0</v>
      </c>
      <c r="BK26" s="1474">
        <f t="shared" si="200"/>
        <v>0</v>
      </c>
      <c r="BL26" s="1474">
        <f t="shared" si="200"/>
        <v>0</v>
      </c>
      <c r="BM26" s="1474">
        <f t="shared" si="200"/>
        <v>0</v>
      </c>
      <c r="BN26" s="1474">
        <f t="shared" si="200"/>
        <v>0</v>
      </c>
      <c r="BO26" s="1474">
        <f t="shared" si="200"/>
        <v>0</v>
      </c>
      <c r="BP26" s="1474">
        <f t="shared" si="200"/>
        <v>0</v>
      </c>
      <c r="BQ26" s="1474">
        <f t="shared" si="200"/>
        <v>0</v>
      </c>
      <c r="BR26" s="1474">
        <f t="shared" si="200"/>
        <v>0</v>
      </c>
      <c r="BS26" s="1474">
        <f t="shared" si="200"/>
        <v>0</v>
      </c>
      <c r="BT26" s="1474">
        <f t="shared" si="200"/>
        <v>0</v>
      </c>
      <c r="BU26" s="1474">
        <f t="shared" si="200"/>
        <v>0</v>
      </c>
      <c r="BV26" s="1462"/>
      <c r="BW26" s="871">
        <f t="shared" ca="1" si="173"/>
        <v>0</v>
      </c>
      <c r="BX26" s="1461">
        <f t="shared" ca="1" si="174"/>
        <v>0</v>
      </c>
      <c r="BY26" s="1461">
        <f t="shared" ca="1" si="175"/>
        <v>0</v>
      </c>
      <c r="BZ26" s="1461">
        <f t="shared" ca="1" si="176"/>
        <v>0</v>
      </c>
      <c r="CA26" s="1461">
        <f t="shared" ca="1" si="177"/>
        <v>0</v>
      </c>
      <c r="CB26" s="1461">
        <f t="shared" ca="1" si="178"/>
        <v>0</v>
      </c>
      <c r="CC26" s="1461">
        <f t="shared" ca="1" si="179"/>
        <v>0</v>
      </c>
      <c r="CD26" s="1461">
        <f t="shared" ca="1" si="180"/>
        <v>0</v>
      </c>
      <c r="CE26" s="1461">
        <f t="shared" ca="1" si="181"/>
        <v>0</v>
      </c>
      <c r="CF26" s="1461">
        <f t="shared" ca="1" si="182"/>
        <v>0</v>
      </c>
      <c r="CG26" s="1461">
        <f t="shared" ca="1" si="183"/>
        <v>0</v>
      </c>
      <c r="CH26" s="1461">
        <f t="shared" ca="1" si="184"/>
        <v>0</v>
      </c>
      <c r="CI26" s="1461">
        <f t="shared" ca="1" si="185"/>
        <v>0</v>
      </c>
      <c r="CJ26" s="1461">
        <f t="shared" ca="1" si="186"/>
        <v>0</v>
      </c>
      <c r="CK26" s="1461">
        <f t="shared" ca="1" si="187"/>
        <v>0</v>
      </c>
      <c r="CL26" s="1461">
        <f t="shared" ca="1" si="188"/>
        <v>0</v>
      </c>
      <c r="CM26" s="1461">
        <f t="shared" ca="1" si="189"/>
        <v>0</v>
      </c>
      <c r="CN26" s="1461">
        <f t="shared" ca="1" si="190"/>
        <v>0</v>
      </c>
      <c r="CO26" s="1461">
        <f t="shared" ca="1" si="191"/>
        <v>0</v>
      </c>
      <c r="CP26" s="1461">
        <f t="shared" ca="1" si="192"/>
        <v>0</v>
      </c>
      <c r="CQ26" s="1461">
        <f t="shared" ca="1" si="193"/>
        <v>0</v>
      </c>
      <c r="CR26" s="1461">
        <f t="shared" ca="1" si="194"/>
        <v>0</v>
      </c>
      <c r="CS26" s="1461">
        <f t="shared" ca="1" si="195"/>
        <v>0</v>
      </c>
      <c r="CT26" s="1461">
        <f t="shared" ca="1" si="196"/>
        <v>0</v>
      </c>
      <c r="CU26" s="1461">
        <f t="shared" ca="1" si="197"/>
        <v>0</v>
      </c>
      <c r="CV26" s="1461">
        <f t="shared" ca="1" si="197"/>
        <v>0</v>
      </c>
      <c r="CW26" s="1461">
        <f t="shared" ca="1" si="197"/>
        <v>0</v>
      </c>
      <c r="CX26" s="1461">
        <f t="shared" ca="1" si="197"/>
        <v>0</v>
      </c>
      <c r="CY26" s="1461">
        <f t="shared" ca="1" si="197"/>
        <v>0</v>
      </c>
      <c r="CZ26" s="1461">
        <f t="shared" ca="1" si="197"/>
        <v>0</v>
      </c>
      <c r="DA26" s="1461">
        <f t="shared" ca="1" si="197"/>
        <v>0</v>
      </c>
      <c r="DB26" s="41"/>
      <c r="DC26" s="871">
        <f t="shared" ca="1" si="58"/>
        <v>0</v>
      </c>
      <c r="DD26" s="1461">
        <f t="shared" ca="1" si="59"/>
        <v>0</v>
      </c>
      <c r="DE26" s="1461">
        <f t="shared" ca="1" si="60"/>
        <v>0</v>
      </c>
      <c r="DF26" s="1461">
        <f t="shared" ca="1" si="61"/>
        <v>0</v>
      </c>
      <c r="DG26" s="1461">
        <f t="shared" ca="1" si="62"/>
        <v>0</v>
      </c>
      <c r="DH26" s="1461">
        <f t="shared" ca="1" si="63"/>
        <v>0</v>
      </c>
      <c r="DI26" s="1461">
        <f t="shared" ca="1" si="64"/>
        <v>0</v>
      </c>
      <c r="DJ26" s="1461">
        <f t="shared" ca="1" si="65"/>
        <v>0</v>
      </c>
      <c r="DK26" s="1461">
        <f t="shared" ca="1" si="66"/>
        <v>0</v>
      </c>
      <c r="DL26" s="1461">
        <f t="shared" ca="1" si="67"/>
        <v>0</v>
      </c>
      <c r="DM26" s="1461">
        <f t="shared" ca="1" si="68"/>
        <v>0</v>
      </c>
      <c r="DN26" s="1461">
        <f t="shared" ca="1" si="69"/>
        <v>0</v>
      </c>
      <c r="DO26" s="1461">
        <f t="shared" ca="1" si="70"/>
        <v>0</v>
      </c>
      <c r="DP26" s="1461">
        <f t="shared" ca="1" si="71"/>
        <v>0</v>
      </c>
      <c r="DQ26" s="1461">
        <f t="shared" ca="1" si="72"/>
        <v>0</v>
      </c>
      <c r="DR26" s="1461">
        <f t="shared" ca="1" si="73"/>
        <v>0</v>
      </c>
      <c r="DS26" s="1461">
        <f t="shared" ca="1" si="74"/>
        <v>0</v>
      </c>
      <c r="DT26" s="1461">
        <f t="shared" ca="1" si="75"/>
        <v>0</v>
      </c>
      <c r="DU26" s="1461">
        <f t="shared" ca="1" si="76"/>
        <v>0</v>
      </c>
      <c r="DV26" s="1461">
        <f t="shared" ca="1" si="77"/>
        <v>0</v>
      </c>
      <c r="DW26" s="1461">
        <f t="shared" ca="1" si="78"/>
        <v>0</v>
      </c>
      <c r="DX26" s="1461">
        <f t="shared" ca="1" si="79"/>
        <v>0</v>
      </c>
      <c r="DY26" s="1461">
        <f t="shared" ca="1" si="80"/>
        <v>0</v>
      </c>
      <c r="DZ26" s="1461">
        <f t="shared" ca="1" si="81"/>
        <v>0</v>
      </c>
      <c r="EA26" s="1461">
        <f t="shared" ca="1" si="82"/>
        <v>0</v>
      </c>
      <c r="EB26" s="1461">
        <f t="shared" ca="1" si="83"/>
        <v>0</v>
      </c>
      <c r="EC26" s="1461">
        <f t="shared" ca="1" si="84"/>
        <v>0</v>
      </c>
      <c r="ED26" s="1461">
        <f t="shared" ca="1" si="85"/>
        <v>0</v>
      </c>
      <c r="EE26" s="1461">
        <f t="shared" ca="1" si="86"/>
        <v>0</v>
      </c>
      <c r="EF26" s="1461">
        <f t="shared" ca="1" si="87"/>
        <v>0</v>
      </c>
      <c r="EG26" s="1461">
        <f t="shared" ca="1" si="88"/>
        <v>0</v>
      </c>
    </row>
    <row r="27" spans="1:137">
      <c r="A27" s="595"/>
      <c r="B27" s="598"/>
      <c r="C27" s="599"/>
      <c r="E27" s="1475"/>
      <c r="F27" s="867"/>
      <c r="G27" s="868"/>
      <c r="H27" s="867"/>
      <c r="I27" s="869"/>
      <c r="J27" s="869"/>
      <c r="K27" s="76"/>
      <c r="L27" s="1467"/>
      <c r="M27" s="1467"/>
      <c r="N27" s="1467"/>
      <c r="O27" s="1467"/>
      <c r="P27" s="1467"/>
      <c r="Q27" s="1467"/>
      <c r="R27" s="1467"/>
      <c r="S27" s="1467"/>
      <c r="T27" s="1467"/>
      <c r="U27" s="1467"/>
      <c r="V27" s="1467"/>
      <c r="W27" s="1467"/>
      <c r="X27" s="1467"/>
      <c r="Y27" s="1467"/>
      <c r="Z27" s="1467"/>
      <c r="AA27" s="1467"/>
      <c r="AB27" s="1467"/>
      <c r="AC27" s="1467"/>
      <c r="AD27" s="1467"/>
      <c r="AE27" s="1467"/>
      <c r="AF27" s="1467"/>
      <c r="AG27" s="1467"/>
      <c r="AH27" s="1467"/>
      <c r="AI27" s="1467"/>
      <c r="AJ27" s="1467"/>
      <c r="AK27" s="1467"/>
      <c r="AL27" s="1467"/>
      <c r="AM27" s="1467"/>
      <c r="AN27" s="1467"/>
      <c r="AO27" s="1467"/>
      <c r="AP27" s="1460"/>
      <c r="AQ27" s="871"/>
      <c r="AR27" s="1469"/>
      <c r="AS27" s="1469"/>
      <c r="AT27" s="1469"/>
      <c r="AU27" s="1469"/>
      <c r="AV27" s="1469"/>
      <c r="AW27" s="1469"/>
      <c r="AX27" s="1469"/>
      <c r="AY27" s="1469"/>
      <c r="AZ27" s="1469"/>
      <c r="BA27" s="1469"/>
      <c r="BB27" s="1469"/>
      <c r="BC27" s="1469"/>
      <c r="BD27" s="1469"/>
      <c r="BE27" s="1469"/>
      <c r="BF27" s="1469"/>
      <c r="BG27" s="1469"/>
      <c r="BH27" s="1469"/>
      <c r="BI27" s="1469"/>
      <c r="BJ27" s="1469"/>
      <c r="BK27" s="1469"/>
      <c r="BL27" s="1469"/>
      <c r="BM27" s="1469"/>
      <c r="BN27" s="1469"/>
      <c r="BO27" s="1469"/>
      <c r="BP27" s="1469"/>
      <c r="BQ27" s="1469"/>
      <c r="BR27" s="1469"/>
      <c r="BS27" s="1469"/>
      <c r="BT27" s="1469"/>
      <c r="BU27" s="1469"/>
      <c r="BV27" s="1462"/>
      <c r="BW27" s="871"/>
      <c r="BX27" s="1461"/>
      <c r="BY27" s="1461"/>
      <c r="BZ27" s="1461"/>
      <c r="CA27" s="1461"/>
      <c r="CB27" s="1461"/>
      <c r="CC27" s="1461"/>
      <c r="CD27" s="1461"/>
      <c r="CE27" s="1461"/>
      <c r="CF27" s="1461"/>
      <c r="CG27" s="1461"/>
      <c r="CH27" s="1461"/>
      <c r="CI27" s="1461"/>
      <c r="CJ27" s="1461"/>
      <c r="CK27" s="1461"/>
      <c r="CL27" s="1461"/>
      <c r="CM27" s="1461"/>
      <c r="CN27" s="1461"/>
      <c r="CO27" s="1461"/>
      <c r="CP27" s="1461"/>
      <c r="CQ27" s="1461"/>
      <c r="CR27" s="1461"/>
      <c r="CS27" s="1461"/>
      <c r="CT27" s="1461"/>
      <c r="CU27" s="1461"/>
      <c r="CV27" s="1461"/>
      <c r="CW27" s="1461"/>
      <c r="CX27" s="1461"/>
      <c r="CY27" s="1461"/>
      <c r="CZ27" s="1461"/>
      <c r="DA27" s="1461"/>
      <c r="DB27" s="41"/>
      <c r="DC27" s="871">
        <f t="shared" si="58"/>
        <v>0</v>
      </c>
      <c r="DD27" s="1461">
        <f t="shared" si="59"/>
        <v>0</v>
      </c>
      <c r="DE27" s="1461">
        <f t="shared" si="60"/>
        <v>0</v>
      </c>
      <c r="DF27" s="1461">
        <f t="shared" si="61"/>
        <v>0</v>
      </c>
      <c r="DG27" s="1461">
        <f t="shared" si="62"/>
        <v>0</v>
      </c>
      <c r="DH27" s="1461">
        <f t="shared" si="63"/>
        <v>0</v>
      </c>
      <c r="DI27" s="1461">
        <f t="shared" si="64"/>
        <v>0</v>
      </c>
      <c r="DJ27" s="1461">
        <f t="shared" si="65"/>
        <v>0</v>
      </c>
      <c r="DK27" s="1461">
        <f t="shared" si="66"/>
        <v>0</v>
      </c>
      <c r="DL27" s="1461">
        <f t="shared" si="67"/>
        <v>0</v>
      </c>
      <c r="DM27" s="1461">
        <f t="shared" si="68"/>
        <v>0</v>
      </c>
      <c r="DN27" s="1461">
        <f t="shared" si="69"/>
        <v>0</v>
      </c>
      <c r="DO27" s="1461">
        <f t="shared" si="70"/>
        <v>0</v>
      </c>
      <c r="DP27" s="1461">
        <f t="shared" si="71"/>
        <v>0</v>
      </c>
      <c r="DQ27" s="1461">
        <f t="shared" si="72"/>
        <v>0</v>
      </c>
      <c r="DR27" s="1461">
        <f t="shared" si="73"/>
        <v>0</v>
      </c>
      <c r="DS27" s="1461">
        <f t="shared" si="74"/>
        <v>0</v>
      </c>
      <c r="DT27" s="1461">
        <f t="shared" si="75"/>
        <v>0</v>
      </c>
      <c r="DU27" s="1461">
        <f t="shared" si="76"/>
        <v>0</v>
      </c>
      <c r="DV27" s="1461">
        <f t="shared" si="77"/>
        <v>0</v>
      </c>
      <c r="DW27" s="1461">
        <f t="shared" si="78"/>
        <v>0</v>
      </c>
      <c r="DX27" s="1461">
        <f t="shared" si="79"/>
        <v>0</v>
      </c>
      <c r="DY27" s="1461">
        <f t="shared" si="80"/>
        <v>0</v>
      </c>
      <c r="DZ27" s="1461">
        <f t="shared" si="81"/>
        <v>0</v>
      </c>
      <c r="EA27" s="1461">
        <f t="shared" si="82"/>
        <v>0</v>
      </c>
      <c r="EB27" s="1461">
        <f t="shared" si="83"/>
        <v>0</v>
      </c>
      <c r="EC27" s="1461">
        <f t="shared" si="84"/>
        <v>0</v>
      </c>
      <c r="ED27" s="1461">
        <f t="shared" si="85"/>
        <v>0</v>
      </c>
      <c r="EE27" s="1461">
        <f t="shared" si="86"/>
        <v>0</v>
      </c>
      <c r="EF27" s="1461">
        <f t="shared" si="87"/>
        <v>0</v>
      </c>
      <c r="EG27" s="1461">
        <f t="shared" si="88"/>
        <v>0</v>
      </c>
    </row>
    <row r="28" spans="1:137" s="408" customFormat="1">
      <c r="A28" s="595"/>
      <c r="B28" s="598"/>
      <c r="C28" s="599"/>
      <c r="D28" s="407">
        <v>1</v>
      </c>
      <c r="E28" s="1437" t="s">
        <v>1638</v>
      </c>
      <c r="F28" s="1476"/>
      <c r="G28" s="1447"/>
      <c r="H28" s="1448"/>
      <c r="I28" s="1449"/>
      <c r="J28" s="1449"/>
      <c r="K28" s="723"/>
      <c r="L28" s="1448"/>
      <c r="M28" s="1448"/>
      <c r="N28" s="1448"/>
      <c r="O28" s="1448"/>
      <c r="P28" s="1448"/>
      <c r="Q28" s="1448"/>
      <c r="R28" s="1448"/>
      <c r="S28" s="1448"/>
      <c r="T28" s="1448"/>
      <c r="U28" s="1448"/>
      <c r="V28" s="1448"/>
      <c r="W28" s="1448"/>
      <c r="X28" s="1448"/>
      <c r="Y28" s="1448"/>
      <c r="Z28" s="1448"/>
      <c r="AA28" s="1448"/>
      <c r="AB28" s="1448"/>
      <c r="AC28" s="1448"/>
      <c r="AD28" s="1448"/>
      <c r="AE28" s="1448"/>
      <c r="AF28" s="1448"/>
      <c r="AG28" s="1448"/>
      <c r="AH28" s="1477"/>
      <c r="AI28" s="1477"/>
      <c r="AJ28" s="1477"/>
      <c r="AK28" s="1477"/>
      <c r="AL28" s="1477"/>
      <c r="AM28" s="1477"/>
      <c r="AN28" s="1477"/>
      <c r="AO28" s="1477"/>
      <c r="AP28" s="724"/>
      <c r="AQ28" s="1438">
        <f ca="1">SUBTOTAL(9,AQ29:AQ39)</f>
        <v>0</v>
      </c>
      <c r="AR28" s="1438">
        <f t="shared" ref="AR28:BO28" ca="1" si="201">SUBTOTAL(9,AR29:AR39)</f>
        <v>0</v>
      </c>
      <c r="AS28" s="1438">
        <f t="shared" ca="1" si="201"/>
        <v>0</v>
      </c>
      <c r="AT28" s="1438">
        <f t="shared" ca="1" si="201"/>
        <v>0</v>
      </c>
      <c r="AU28" s="1438">
        <f t="shared" ca="1" si="201"/>
        <v>0</v>
      </c>
      <c r="AV28" s="1438">
        <f t="shared" ca="1" si="201"/>
        <v>0</v>
      </c>
      <c r="AW28" s="1438">
        <f t="shared" ca="1" si="201"/>
        <v>0</v>
      </c>
      <c r="AX28" s="1438">
        <f t="shared" ca="1" si="201"/>
        <v>0</v>
      </c>
      <c r="AY28" s="1438">
        <f t="shared" ca="1" si="201"/>
        <v>0</v>
      </c>
      <c r="AZ28" s="1438">
        <f t="shared" ca="1" si="201"/>
        <v>0</v>
      </c>
      <c r="BA28" s="1438">
        <f t="shared" ca="1" si="201"/>
        <v>0</v>
      </c>
      <c r="BB28" s="1438">
        <f t="shared" ca="1" si="201"/>
        <v>0</v>
      </c>
      <c r="BC28" s="1438">
        <f t="shared" ca="1" si="201"/>
        <v>0</v>
      </c>
      <c r="BD28" s="1438">
        <f t="shared" ca="1" si="201"/>
        <v>0</v>
      </c>
      <c r="BE28" s="1438">
        <f t="shared" ca="1" si="201"/>
        <v>0</v>
      </c>
      <c r="BF28" s="1438">
        <f t="shared" ca="1" si="201"/>
        <v>0</v>
      </c>
      <c r="BG28" s="1438">
        <f t="shared" ca="1" si="201"/>
        <v>0</v>
      </c>
      <c r="BH28" s="1438">
        <f t="shared" ca="1" si="201"/>
        <v>0</v>
      </c>
      <c r="BI28" s="1438">
        <f t="shared" ca="1" si="201"/>
        <v>0</v>
      </c>
      <c r="BJ28" s="1438">
        <f t="shared" ca="1" si="201"/>
        <v>0</v>
      </c>
      <c r="BK28" s="1438">
        <f t="shared" ca="1" si="201"/>
        <v>0</v>
      </c>
      <c r="BL28" s="1438">
        <f t="shared" ca="1" si="201"/>
        <v>0</v>
      </c>
      <c r="BM28" s="1438">
        <f t="shared" ca="1" si="201"/>
        <v>0</v>
      </c>
      <c r="BN28" s="1438">
        <f t="shared" ca="1" si="201"/>
        <v>0</v>
      </c>
      <c r="BO28" s="1438">
        <f t="shared" ca="1" si="201"/>
        <v>0</v>
      </c>
      <c r="BP28" s="1438">
        <f t="shared" ref="BP28:BU28" ca="1" si="202">SUBTOTAL(9,BP29:BP39)</f>
        <v>0</v>
      </c>
      <c r="BQ28" s="1438">
        <f t="shared" ca="1" si="202"/>
        <v>0</v>
      </c>
      <c r="BR28" s="1438">
        <f t="shared" ca="1" si="202"/>
        <v>0</v>
      </c>
      <c r="BS28" s="1438">
        <f t="shared" ca="1" si="202"/>
        <v>0</v>
      </c>
      <c r="BT28" s="1438">
        <f t="shared" ca="1" si="202"/>
        <v>0</v>
      </c>
      <c r="BU28" s="1438">
        <f t="shared" ca="1" si="202"/>
        <v>0</v>
      </c>
      <c r="BV28" s="725"/>
      <c r="BW28" s="1438">
        <f t="shared" ref="BW28" ca="1" si="203">SUBTOTAL(9,BW29:BW39)</f>
        <v>1443</v>
      </c>
      <c r="BX28" s="1438">
        <f t="shared" ref="BX28" ca="1" si="204">SUBTOTAL(9,BX29:BX39)</f>
        <v>48.1</v>
      </c>
      <c r="BY28" s="1438">
        <f t="shared" ref="BY28" ca="1" si="205">SUBTOTAL(9,BY29:BY39)</f>
        <v>48.1</v>
      </c>
      <c r="BZ28" s="1438">
        <f t="shared" ref="BZ28" ca="1" si="206">SUBTOTAL(9,BZ29:BZ39)</f>
        <v>48.1</v>
      </c>
      <c r="CA28" s="1438">
        <f t="shared" ref="CA28" ca="1" si="207">SUBTOTAL(9,CA29:CA39)</f>
        <v>48.1</v>
      </c>
      <c r="CB28" s="1438">
        <f t="shared" ref="CB28" ca="1" si="208">SUBTOTAL(9,CB29:CB39)</f>
        <v>48.1</v>
      </c>
      <c r="CC28" s="1438">
        <f t="shared" ref="CC28" ca="1" si="209">SUBTOTAL(9,CC29:CC39)</f>
        <v>48.1</v>
      </c>
      <c r="CD28" s="1438">
        <f t="shared" ref="CD28" ca="1" si="210">SUBTOTAL(9,CD29:CD39)</f>
        <v>48.1</v>
      </c>
      <c r="CE28" s="1438">
        <f t="shared" ref="CE28" ca="1" si="211">SUBTOTAL(9,CE29:CE39)</f>
        <v>48.1</v>
      </c>
      <c r="CF28" s="1438">
        <f t="shared" ref="CF28" ca="1" si="212">SUBTOTAL(9,CF29:CF39)</f>
        <v>48.1</v>
      </c>
      <c r="CG28" s="1438">
        <f t="shared" ref="CG28" ca="1" si="213">SUBTOTAL(9,CG29:CG39)</f>
        <v>48.1</v>
      </c>
      <c r="CH28" s="1438">
        <f t="shared" ref="CH28" ca="1" si="214">SUBTOTAL(9,CH29:CH39)</f>
        <v>48.1</v>
      </c>
      <c r="CI28" s="1438">
        <f t="shared" ref="CI28" ca="1" si="215">SUBTOTAL(9,CI29:CI39)</f>
        <v>48.1</v>
      </c>
      <c r="CJ28" s="1438">
        <f t="shared" ref="CJ28" ca="1" si="216">SUBTOTAL(9,CJ29:CJ39)</f>
        <v>48.1</v>
      </c>
      <c r="CK28" s="1438">
        <f t="shared" ref="CK28" ca="1" si="217">SUBTOTAL(9,CK29:CK39)</f>
        <v>48.1</v>
      </c>
      <c r="CL28" s="1438">
        <f t="shared" ref="CL28" ca="1" si="218">SUBTOTAL(9,CL29:CL39)</f>
        <v>48.1</v>
      </c>
      <c r="CM28" s="1438">
        <f t="shared" ref="CM28" ca="1" si="219">SUBTOTAL(9,CM29:CM39)</f>
        <v>48.1</v>
      </c>
      <c r="CN28" s="1438">
        <f t="shared" ref="CN28" ca="1" si="220">SUBTOTAL(9,CN29:CN39)</f>
        <v>48.1</v>
      </c>
      <c r="CO28" s="1438">
        <f t="shared" ref="CO28" ca="1" si="221">SUBTOTAL(9,CO29:CO39)</f>
        <v>48.1</v>
      </c>
      <c r="CP28" s="1438">
        <f t="shared" ref="CP28" ca="1" si="222">SUBTOTAL(9,CP29:CP39)</f>
        <v>48.1</v>
      </c>
      <c r="CQ28" s="1438">
        <f t="shared" ref="CQ28" ca="1" si="223">SUBTOTAL(9,CQ29:CQ39)</f>
        <v>48.1</v>
      </c>
      <c r="CR28" s="1438">
        <f t="shared" ref="CR28" ca="1" si="224">SUBTOTAL(9,CR29:CR39)</f>
        <v>48.1</v>
      </c>
      <c r="CS28" s="1438">
        <f t="shared" ref="CS28" ca="1" si="225">SUBTOTAL(9,CS29:CS39)</f>
        <v>48.1</v>
      </c>
      <c r="CT28" s="1438">
        <f t="shared" ref="CT28" ca="1" si="226">SUBTOTAL(9,CT29:CT39)</f>
        <v>48.1</v>
      </c>
      <c r="CU28" s="1438">
        <f t="shared" ref="CU28:DA28" ca="1" si="227">SUBTOTAL(9,CU29:CU39)</f>
        <v>48.1</v>
      </c>
      <c r="CV28" s="1438">
        <f t="shared" ca="1" si="227"/>
        <v>48.1</v>
      </c>
      <c r="CW28" s="1438">
        <f t="shared" ca="1" si="227"/>
        <v>48.1</v>
      </c>
      <c r="CX28" s="1438">
        <f t="shared" ca="1" si="227"/>
        <v>48.1</v>
      </c>
      <c r="CY28" s="1438">
        <f t="shared" ca="1" si="227"/>
        <v>48.1</v>
      </c>
      <c r="CZ28" s="1438">
        <f t="shared" ca="1" si="227"/>
        <v>48.1</v>
      </c>
      <c r="DA28" s="1438">
        <f t="shared" ca="1" si="227"/>
        <v>48.1</v>
      </c>
      <c r="DB28" s="713"/>
      <c r="DC28" s="1438">
        <f t="shared" ca="1" si="58"/>
        <v>1443</v>
      </c>
      <c r="DD28" s="1438">
        <f t="shared" ca="1" si="59"/>
        <v>48.1</v>
      </c>
      <c r="DE28" s="1438">
        <f t="shared" ca="1" si="60"/>
        <v>48.1</v>
      </c>
      <c r="DF28" s="1438">
        <f t="shared" ca="1" si="61"/>
        <v>48.1</v>
      </c>
      <c r="DG28" s="1438">
        <f t="shared" ca="1" si="62"/>
        <v>48.1</v>
      </c>
      <c r="DH28" s="1438">
        <f t="shared" ca="1" si="63"/>
        <v>48.1</v>
      </c>
      <c r="DI28" s="1438">
        <f t="shared" ca="1" si="64"/>
        <v>48.1</v>
      </c>
      <c r="DJ28" s="1438">
        <f t="shared" ca="1" si="65"/>
        <v>48.1</v>
      </c>
      <c r="DK28" s="1438">
        <f t="shared" ca="1" si="66"/>
        <v>48.1</v>
      </c>
      <c r="DL28" s="1438">
        <f t="shared" ca="1" si="67"/>
        <v>48.1</v>
      </c>
      <c r="DM28" s="1438">
        <f t="shared" ca="1" si="68"/>
        <v>48.1</v>
      </c>
      <c r="DN28" s="1438">
        <f t="shared" ca="1" si="69"/>
        <v>48.1</v>
      </c>
      <c r="DO28" s="1438">
        <f t="shared" ca="1" si="70"/>
        <v>48.1</v>
      </c>
      <c r="DP28" s="1438">
        <f t="shared" ca="1" si="71"/>
        <v>48.1</v>
      </c>
      <c r="DQ28" s="1438">
        <f t="shared" ca="1" si="72"/>
        <v>48.1</v>
      </c>
      <c r="DR28" s="1438">
        <f t="shared" ca="1" si="73"/>
        <v>48.1</v>
      </c>
      <c r="DS28" s="1438">
        <f t="shared" ca="1" si="74"/>
        <v>48.1</v>
      </c>
      <c r="DT28" s="1438">
        <f t="shared" ca="1" si="75"/>
        <v>48.1</v>
      </c>
      <c r="DU28" s="1438">
        <f t="shared" ca="1" si="76"/>
        <v>48.1</v>
      </c>
      <c r="DV28" s="1438">
        <f t="shared" ca="1" si="77"/>
        <v>48.1</v>
      </c>
      <c r="DW28" s="1438">
        <f t="shared" ca="1" si="78"/>
        <v>48.1</v>
      </c>
      <c r="DX28" s="1438">
        <f t="shared" ca="1" si="79"/>
        <v>48.1</v>
      </c>
      <c r="DY28" s="1438">
        <f t="shared" ca="1" si="80"/>
        <v>48.1</v>
      </c>
      <c r="DZ28" s="1438">
        <f t="shared" ca="1" si="81"/>
        <v>48.1</v>
      </c>
      <c r="EA28" s="1438">
        <f t="shared" ca="1" si="82"/>
        <v>48.1</v>
      </c>
      <c r="EB28" s="1438">
        <f t="shared" ca="1" si="83"/>
        <v>48.1</v>
      </c>
      <c r="EC28" s="1438">
        <f t="shared" ca="1" si="84"/>
        <v>48.1</v>
      </c>
      <c r="ED28" s="1438">
        <f t="shared" ca="1" si="85"/>
        <v>48.1</v>
      </c>
      <c r="EE28" s="1438">
        <f t="shared" ca="1" si="86"/>
        <v>48.1</v>
      </c>
      <c r="EF28" s="1438">
        <f t="shared" ca="1" si="87"/>
        <v>48.1</v>
      </c>
      <c r="EG28" s="1438">
        <f t="shared" ca="1" si="88"/>
        <v>48.1</v>
      </c>
    </row>
    <row r="29" spans="1:137" ht="12.75" customHeight="1">
      <c r="A29" s="595"/>
      <c r="B29" s="598"/>
      <c r="C29" s="599"/>
      <c r="E29" s="1478">
        <f>'Crono Pessoal'!G189</f>
        <v>0</v>
      </c>
      <c r="F29" s="867"/>
      <c r="G29" s="868"/>
      <c r="H29" s="867"/>
      <c r="I29" s="869"/>
      <c r="J29" s="869"/>
      <c r="K29" s="76"/>
      <c r="L29" s="1454">
        <f ca="1">'Crono Pessoal'!H189</f>
        <v>0</v>
      </c>
      <c r="M29" s="1454"/>
      <c r="N29" s="1454"/>
      <c r="O29" s="1454"/>
      <c r="P29" s="1454"/>
      <c r="Q29" s="1454"/>
      <c r="R29" s="1454"/>
      <c r="S29" s="1454"/>
      <c r="T29" s="1454"/>
      <c r="U29" s="1454"/>
      <c r="V29" s="1454"/>
      <c r="W29" s="1454"/>
      <c r="X29" s="1454"/>
      <c r="Y29" s="1454"/>
      <c r="Z29" s="1454"/>
      <c r="AA29" s="1454"/>
      <c r="AB29" s="1454"/>
      <c r="AC29" s="1454"/>
      <c r="AD29" s="1454"/>
      <c r="AE29" s="1454"/>
      <c r="AF29" s="1454"/>
      <c r="AG29" s="1454"/>
      <c r="AH29" s="1454"/>
      <c r="AI29" s="1454"/>
      <c r="AJ29" s="1454"/>
      <c r="AK29" s="1454"/>
      <c r="AL29" s="1454"/>
      <c r="AM29" s="1454"/>
      <c r="AN29" s="1454"/>
      <c r="AO29" s="1454"/>
      <c r="AP29" s="1452"/>
      <c r="AQ29" s="871"/>
      <c r="AR29" s="871"/>
      <c r="AS29" s="871"/>
      <c r="AT29" s="871"/>
      <c r="AU29" s="871"/>
      <c r="AV29" s="871"/>
      <c r="AW29" s="871"/>
      <c r="AX29" s="871"/>
      <c r="AY29" s="871"/>
      <c r="AZ29" s="871"/>
      <c r="BA29" s="871"/>
      <c r="BB29" s="871"/>
      <c r="BC29" s="871"/>
      <c r="BD29" s="871"/>
      <c r="BE29" s="871"/>
      <c r="BF29" s="871"/>
      <c r="BG29" s="871"/>
      <c r="BH29" s="871"/>
      <c r="BI29" s="871"/>
      <c r="BJ29" s="871"/>
      <c r="BK29" s="871"/>
      <c r="BL29" s="871"/>
      <c r="BM29" s="871"/>
      <c r="BN29" s="871"/>
      <c r="BO29" s="871"/>
      <c r="BP29" s="871"/>
      <c r="BQ29" s="871"/>
      <c r="BR29" s="871"/>
      <c r="BS29" s="871"/>
      <c r="BT29" s="871"/>
      <c r="BU29" s="871"/>
      <c r="BV29" s="1453"/>
      <c r="BW29" s="871"/>
      <c r="BX29" s="871"/>
      <c r="BY29" s="871"/>
      <c r="BZ29" s="871"/>
      <c r="CA29" s="871"/>
      <c r="CB29" s="871"/>
      <c r="CC29" s="871"/>
      <c r="CD29" s="871"/>
      <c r="CE29" s="871"/>
      <c r="CF29" s="871"/>
      <c r="CG29" s="871"/>
      <c r="CH29" s="871"/>
      <c r="CI29" s="871"/>
      <c r="CJ29" s="871"/>
      <c r="CK29" s="871"/>
      <c r="CL29" s="871"/>
      <c r="CM29" s="871"/>
      <c r="CN29" s="871"/>
      <c r="CO29" s="871"/>
      <c r="CP29" s="871"/>
      <c r="CQ29" s="871"/>
      <c r="CR29" s="871"/>
      <c r="CS29" s="871"/>
      <c r="CT29" s="871"/>
      <c r="CU29" s="871"/>
      <c r="CV29" s="871"/>
      <c r="CW29" s="871"/>
      <c r="CX29" s="871"/>
      <c r="CY29" s="871"/>
      <c r="CZ29" s="871"/>
      <c r="DA29" s="871"/>
      <c r="DB29" s="41"/>
      <c r="DC29" s="871">
        <f t="shared" si="58"/>
        <v>0</v>
      </c>
      <c r="DD29" s="871">
        <f t="shared" si="59"/>
        <v>0</v>
      </c>
      <c r="DE29" s="871">
        <f t="shared" si="60"/>
        <v>0</v>
      </c>
      <c r="DF29" s="871">
        <f t="shared" si="61"/>
        <v>0</v>
      </c>
      <c r="DG29" s="871">
        <f t="shared" si="62"/>
        <v>0</v>
      </c>
      <c r="DH29" s="871">
        <f t="shared" si="63"/>
        <v>0</v>
      </c>
      <c r="DI29" s="871">
        <f t="shared" si="64"/>
        <v>0</v>
      </c>
      <c r="DJ29" s="871">
        <f t="shared" si="65"/>
        <v>0</v>
      </c>
      <c r="DK29" s="871">
        <f t="shared" si="66"/>
        <v>0</v>
      </c>
      <c r="DL29" s="871">
        <f t="shared" si="67"/>
        <v>0</v>
      </c>
      <c r="DM29" s="871">
        <f t="shared" si="68"/>
        <v>0</v>
      </c>
      <c r="DN29" s="871">
        <f t="shared" si="69"/>
        <v>0</v>
      </c>
      <c r="DO29" s="871">
        <f t="shared" si="70"/>
        <v>0</v>
      </c>
      <c r="DP29" s="871">
        <f t="shared" si="71"/>
        <v>0</v>
      </c>
      <c r="DQ29" s="871">
        <f t="shared" si="72"/>
        <v>0</v>
      </c>
      <c r="DR29" s="871">
        <f t="shared" si="73"/>
        <v>0</v>
      </c>
      <c r="DS29" s="871">
        <f t="shared" si="74"/>
        <v>0</v>
      </c>
      <c r="DT29" s="871">
        <f t="shared" si="75"/>
        <v>0</v>
      </c>
      <c r="DU29" s="871">
        <f t="shared" si="76"/>
        <v>0</v>
      </c>
      <c r="DV29" s="871">
        <f t="shared" si="77"/>
        <v>0</v>
      </c>
      <c r="DW29" s="871">
        <f t="shared" si="78"/>
        <v>0</v>
      </c>
      <c r="DX29" s="871">
        <f t="shared" si="79"/>
        <v>0</v>
      </c>
      <c r="DY29" s="871">
        <f t="shared" si="80"/>
        <v>0</v>
      </c>
      <c r="DZ29" s="871">
        <f t="shared" si="81"/>
        <v>0</v>
      </c>
      <c r="EA29" s="871">
        <f t="shared" si="82"/>
        <v>0</v>
      </c>
      <c r="EB29" s="871">
        <f t="shared" si="83"/>
        <v>0</v>
      </c>
      <c r="EC29" s="871">
        <f t="shared" si="84"/>
        <v>0</v>
      </c>
      <c r="ED29" s="871">
        <f t="shared" si="85"/>
        <v>0</v>
      </c>
      <c r="EE29" s="871">
        <f t="shared" si="86"/>
        <v>0</v>
      </c>
      <c r="EF29" s="871">
        <f t="shared" si="87"/>
        <v>0</v>
      </c>
      <c r="EG29" s="871">
        <f t="shared" si="88"/>
        <v>0</v>
      </c>
    </row>
    <row r="30" spans="1:137" ht="12.75" customHeight="1">
      <c r="A30" s="595"/>
      <c r="B30" s="598"/>
      <c r="C30" s="599"/>
      <c r="E30" s="1440" t="s">
        <v>1639</v>
      </c>
      <c r="F30" s="867" t="s">
        <v>1640</v>
      </c>
      <c r="G30" s="868">
        <v>10</v>
      </c>
      <c r="H30" s="867">
        <v>3000</v>
      </c>
      <c r="I30" s="869">
        <v>0.04</v>
      </c>
      <c r="J30" s="869">
        <v>0.03</v>
      </c>
      <c r="K30" s="76"/>
      <c r="L30" s="1454">
        <f ca="1">'Crono Pessoal'!H190</f>
        <v>3</v>
      </c>
      <c r="M30" s="1454">
        <f t="shared" ref="M30:AI30" ca="1" si="228">L30</f>
        <v>3</v>
      </c>
      <c r="N30" s="1454">
        <f t="shared" ca="1" si="228"/>
        <v>3</v>
      </c>
      <c r="O30" s="1454">
        <f t="shared" ca="1" si="228"/>
        <v>3</v>
      </c>
      <c r="P30" s="1454">
        <f t="shared" ca="1" si="228"/>
        <v>3</v>
      </c>
      <c r="Q30" s="1454">
        <f t="shared" ca="1" si="228"/>
        <v>3</v>
      </c>
      <c r="R30" s="1454">
        <f t="shared" ca="1" si="228"/>
        <v>3</v>
      </c>
      <c r="S30" s="1454">
        <f t="shared" ca="1" si="228"/>
        <v>3</v>
      </c>
      <c r="T30" s="1454">
        <f t="shared" ca="1" si="228"/>
        <v>3</v>
      </c>
      <c r="U30" s="1454">
        <f t="shared" ca="1" si="228"/>
        <v>3</v>
      </c>
      <c r="V30" s="1454">
        <f t="shared" ca="1" si="228"/>
        <v>3</v>
      </c>
      <c r="W30" s="1454">
        <f t="shared" ca="1" si="228"/>
        <v>3</v>
      </c>
      <c r="X30" s="1454">
        <f t="shared" ca="1" si="228"/>
        <v>3</v>
      </c>
      <c r="Y30" s="1454">
        <f t="shared" ca="1" si="228"/>
        <v>3</v>
      </c>
      <c r="Z30" s="1454">
        <f t="shared" ca="1" si="228"/>
        <v>3</v>
      </c>
      <c r="AA30" s="1454">
        <f t="shared" ca="1" si="228"/>
        <v>3</v>
      </c>
      <c r="AB30" s="1454">
        <f t="shared" ca="1" si="228"/>
        <v>3</v>
      </c>
      <c r="AC30" s="1454">
        <f t="shared" ca="1" si="228"/>
        <v>3</v>
      </c>
      <c r="AD30" s="1454">
        <f t="shared" ca="1" si="228"/>
        <v>3</v>
      </c>
      <c r="AE30" s="1454">
        <f t="shared" ca="1" si="228"/>
        <v>3</v>
      </c>
      <c r="AF30" s="1454">
        <f t="shared" ca="1" si="228"/>
        <v>3</v>
      </c>
      <c r="AG30" s="1454">
        <f t="shared" ca="1" si="228"/>
        <v>3</v>
      </c>
      <c r="AH30" s="1454">
        <f t="shared" ca="1" si="228"/>
        <v>3</v>
      </c>
      <c r="AI30" s="1454">
        <f t="shared" ca="1" si="228"/>
        <v>3</v>
      </c>
      <c r="AJ30" s="1454">
        <f t="shared" ref="AJ30:AJ31" ca="1" si="229">AI30</f>
        <v>3</v>
      </c>
      <c r="AK30" s="1454">
        <f t="shared" ref="AK30:AK31" ca="1" si="230">AJ30</f>
        <v>3</v>
      </c>
      <c r="AL30" s="1454">
        <f t="shared" ref="AL30:AL31" ca="1" si="231">AK30</f>
        <v>3</v>
      </c>
      <c r="AM30" s="1454">
        <f t="shared" ref="AM30:AM31" ca="1" si="232">AL30</f>
        <v>3</v>
      </c>
      <c r="AN30" s="1454">
        <f t="shared" ref="AN30:AN31" ca="1" si="233">AM30</f>
        <v>3</v>
      </c>
      <c r="AO30" s="1454">
        <f t="shared" ref="AO30:AO31" ca="1" si="234">AN30</f>
        <v>3</v>
      </c>
      <c r="AP30" s="1452"/>
      <c r="AQ30" s="871">
        <f t="shared" ca="1" si="118"/>
        <v>0</v>
      </c>
      <c r="AR30" s="871">
        <f t="shared" ref="AR30:AR38" ca="1" si="235">VLOOKUP($E30,Par,6,0)*L30/1000</f>
        <v>0</v>
      </c>
      <c r="AS30" s="871">
        <f t="shared" ref="AS30:AS38" ca="1" si="236">VLOOKUP($E30,Par,6,0)*M30/1000</f>
        <v>0</v>
      </c>
      <c r="AT30" s="871">
        <f t="shared" ref="AT30:AT38" ca="1" si="237">VLOOKUP($E30,Par,6,0)*N30/1000</f>
        <v>0</v>
      </c>
      <c r="AU30" s="871">
        <f t="shared" ref="AU30:AU38" ca="1" si="238">VLOOKUP($E30,Par,6,0)*O30/1000</f>
        <v>0</v>
      </c>
      <c r="AV30" s="871">
        <f t="shared" ref="AV30:AV38" ca="1" si="239">VLOOKUP($E30,Par,6,0)*P30/1000</f>
        <v>0</v>
      </c>
      <c r="AW30" s="871">
        <f t="shared" ref="AW30:AW38" ca="1" si="240">VLOOKUP($E30,Par,6,0)*Q30/1000</f>
        <v>0</v>
      </c>
      <c r="AX30" s="871">
        <f t="shared" ref="AX30:AX38" ca="1" si="241">VLOOKUP($E30,Par,6,0)*R30/1000</f>
        <v>0</v>
      </c>
      <c r="AY30" s="871">
        <f t="shared" ref="AY30:AY38" ca="1" si="242">VLOOKUP($E30,Par,6,0)*S30/1000</f>
        <v>0</v>
      </c>
      <c r="AZ30" s="871">
        <f t="shared" ref="AZ30:AZ38" ca="1" si="243">VLOOKUP($E30,Par,6,0)*T30/1000</f>
        <v>0</v>
      </c>
      <c r="BA30" s="871">
        <f t="shared" ref="BA30:BA38" ca="1" si="244">VLOOKUP($E30,Par,6,0)*U30/1000</f>
        <v>0</v>
      </c>
      <c r="BB30" s="871">
        <f t="shared" ref="BB30:BB38" ca="1" si="245">VLOOKUP($E30,Par,6,0)*V30/1000</f>
        <v>0</v>
      </c>
      <c r="BC30" s="871">
        <f t="shared" ref="BC30:BC38" ca="1" si="246">VLOOKUP($E30,Par,6,0)*W30/1000</f>
        <v>0</v>
      </c>
      <c r="BD30" s="871">
        <f t="shared" ref="BD30:BD38" ca="1" si="247">VLOOKUP($E30,Par,6,0)*X30/1000</f>
        <v>0</v>
      </c>
      <c r="BE30" s="871">
        <f t="shared" ref="BE30:BE38" ca="1" si="248">VLOOKUP($E30,Par,6,0)*Y30/1000</f>
        <v>0</v>
      </c>
      <c r="BF30" s="871">
        <f t="shared" ref="BF30:BF38" ca="1" si="249">VLOOKUP($E30,Par,6,0)*Z30/1000</f>
        <v>0</v>
      </c>
      <c r="BG30" s="871">
        <f t="shared" ref="BG30:BG38" ca="1" si="250">VLOOKUP($E30,Par,6,0)*AA30/1000</f>
        <v>0</v>
      </c>
      <c r="BH30" s="871">
        <f t="shared" ref="BH30:BH38" ca="1" si="251">VLOOKUP($E30,Par,6,0)*AB30/1000</f>
        <v>0</v>
      </c>
      <c r="BI30" s="871">
        <f t="shared" ref="BI30:BI38" ca="1" si="252">VLOOKUP($E30,Par,6,0)*AC30/1000</f>
        <v>0</v>
      </c>
      <c r="BJ30" s="871">
        <f t="shared" ref="BJ30:BJ38" ca="1" si="253">VLOOKUP($E30,Par,6,0)*AD30/1000</f>
        <v>0</v>
      </c>
      <c r="BK30" s="871">
        <f t="shared" ref="BK30:BK38" ca="1" si="254">VLOOKUP($E30,Par,6,0)*AE30/1000</f>
        <v>0</v>
      </c>
      <c r="BL30" s="871">
        <f t="shared" ref="BL30:BL38" ca="1" si="255">VLOOKUP($E30,Par,6,0)*AF30/1000</f>
        <v>0</v>
      </c>
      <c r="BM30" s="871">
        <f t="shared" ref="BM30:BM38" ca="1" si="256">VLOOKUP($E30,Par,6,0)*AG30/1000</f>
        <v>0</v>
      </c>
      <c r="BN30" s="871">
        <f t="shared" ref="BN30:BN38" ca="1" si="257">VLOOKUP($E30,Par,6,0)*AH30/1000</f>
        <v>0</v>
      </c>
      <c r="BO30" s="871">
        <f t="shared" ref="BO30:BO38" ca="1" si="258">VLOOKUP($E30,Par,6,0)*AI30/1000</f>
        <v>0</v>
      </c>
      <c r="BP30" s="871">
        <f t="shared" ref="BP30:BP38" ca="1" si="259">VLOOKUP($E30,Par,6,0)*AJ30/1000</f>
        <v>0</v>
      </c>
      <c r="BQ30" s="871">
        <f t="shared" ref="BQ30:BQ38" ca="1" si="260">VLOOKUP($E30,Par,6,0)*AK30/1000</f>
        <v>0</v>
      </c>
      <c r="BR30" s="871">
        <f t="shared" ref="BR30:BR38" ca="1" si="261">VLOOKUP($E30,Par,6,0)*AL30/1000</f>
        <v>0</v>
      </c>
      <c r="BS30" s="871">
        <f t="shared" ref="BS30:BS38" ca="1" si="262">VLOOKUP($E30,Par,6,0)*AM30/1000</f>
        <v>0</v>
      </c>
      <c r="BT30" s="871">
        <f t="shared" ref="BT30:BT38" ca="1" si="263">VLOOKUP($E30,Par,6,0)*AN30/1000</f>
        <v>0</v>
      </c>
      <c r="BU30" s="871">
        <f t="shared" ref="BU30:BU38" ca="1" si="264">VLOOKUP($E30,Par,6,0)*AO30/1000</f>
        <v>0</v>
      </c>
      <c r="BV30" s="1453"/>
      <c r="BW30" s="871">
        <f t="shared" ca="1" si="117"/>
        <v>175.49999999999991</v>
      </c>
      <c r="BX30" s="871">
        <f t="shared" ref="BX30:BX31" ca="1" si="265">($H30/$G30*INDIRECT($F30)+($I30+$J30)*VLOOKUP($E30,Par,2,0))*L30/1000</f>
        <v>5.85</v>
      </c>
      <c r="BY30" s="871">
        <f t="shared" ref="BY30:CH31" ca="1" si="266">($H30/$G30*INDIRECT($F30)+($I30+$J30)*VLOOKUP($E30,Par,2,0))*M30/1000</f>
        <v>5.85</v>
      </c>
      <c r="BZ30" s="871">
        <f t="shared" ca="1" si="266"/>
        <v>5.85</v>
      </c>
      <c r="CA30" s="871">
        <f t="shared" ca="1" si="266"/>
        <v>5.85</v>
      </c>
      <c r="CB30" s="871">
        <f t="shared" ca="1" si="266"/>
        <v>5.85</v>
      </c>
      <c r="CC30" s="871">
        <f t="shared" ca="1" si="266"/>
        <v>5.85</v>
      </c>
      <c r="CD30" s="871">
        <f t="shared" ca="1" si="266"/>
        <v>5.85</v>
      </c>
      <c r="CE30" s="871">
        <f t="shared" ca="1" si="266"/>
        <v>5.85</v>
      </c>
      <c r="CF30" s="871">
        <f t="shared" ca="1" si="266"/>
        <v>5.85</v>
      </c>
      <c r="CG30" s="871">
        <f t="shared" ca="1" si="266"/>
        <v>5.85</v>
      </c>
      <c r="CH30" s="871">
        <f t="shared" ca="1" si="266"/>
        <v>5.85</v>
      </c>
      <c r="CI30" s="871">
        <f t="shared" ref="CI30:CR31" ca="1" si="267">($H30/$G30*INDIRECT($F30)+($I30+$J30)*VLOOKUP($E30,Par,2,0))*W30/1000</f>
        <v>5.85</v>
      </c>
      <c r="CJ30" s="871">
        <f t="shared" ca="1" si="267"/>
        <v>5.85</v>
      </c>
      <c r="CK30" s="871">
        <f t="shared" ca="1" si="267"/>
        <v>5.85</v>
      </c>
      <c r="CL30" s="871">
        <f t="shared" ca="1" si="267"/>
        <v>5.85</v>
      </c>
      <c r="CM30" s="871">
        <f t="shared" ca="1" si="267"/>
        <v>5.85</v>
      </c>
      <c r="CN30" s="871">
        <f t="shared" ca="1" si="267"/>
        <v>5.85</v>
      </c>
      <c r="CO30" s="871">
        <f t="shared" ca="1" si="267"/>
        <v>5.85</v>
      </c>
      <c r="CP30" s="871">
        <f t="shared" ca="1" si="267"/>
        <v>5.85</v>
      </c>
      <c r="CQ30" s="871">
        <f t="shared" ca="1" si="267"/>
        <v>5.85</v>
      </c>
      <c r="CR30" s="871">
        <f t="shared" ca="1" si="267"/>
        <v>5.85</v>
      </c>
      <c r="CS30" s="871">
        <f t="shared" ref="CS30:DA31" ca="1" si="268">($H30/$G30*INDIRECT($F30)+($I30+$J30)*VLOOKUP($E30,Par,2,0))*AG30/1000</f>
        <v>5.85</v>
      </c>
      <c r="CT30" s="871">
        <f t="shared" ca="1" si="268"/>
        <v>5.85</v>
      </c>
      <c r="CU30" s="871">
        <f t="shared" ca="1" si="268"/>
        <v>5.85</v>
      </c>
      <c r="CV30" s="871">
        <f t="shared" ca="1" si="268"/>
        <v>5.85</v>
      </c>
      <c r="CW30" s="871">
        <f t="shared" ca="1" si="268"/>
        <v>5.85</v>
      </c>
      <c r="CX30" s="871">
        <f t="shared" ca="1" si="268"/>
        <v>5.85</v>
      </c>
      <c r="CY30" s="871">
        <f t="shared" ca="1" si="268"/>
        <v>5.85</v>
      </c>
      <c r="CZ30" s="871">
        <f t="shared" ca="1" si="268"/>
        <v>5.85</v>
      </c>
      <c r="DA30" s="871">
        <f t="shared" ca="1" si="268"/>
        <v>5.85</v>
      </c>
      <c r="DB30" s="41"/>
      <c r="DC30" s="871">
        <f t="shared" ca="1" si="58"/>
        <v>175.49999999999991</v>
      </c>
      <c r="DD30" s="871">
        <f t="shared" ca="1" si="59"/>
        <v>5.85</v>
      </c>
      <c r="DE30" s="871">
        <f t="shared" ca="1" si="60"/>
        <v>5.85</v>
      </c>
      <c r="DF30" s="871">
        <f t="shared" ca="1" si="61"/>
        <v>5.85</v>
      </c>
      <c r="DG30" s="871">
        <f t="shared" ca="1" si="62"/>
        <v>5.85</v>
      </c>
      <c r="DH30" s="871">
        <f t="shared" ca="1" si="63"/>
        <v>5.85</v>
      </c>
      <c r="DI30" s="871">
        <f t="shared" ca="1" si="64"/>
        <v>5.85</v>
      </c>
      <c r="DJ30" s="871">
        <f t="shared" ca="1" si="65"/>
        <v>5.85</v>
      </c>
      <c r="DK30" s="871">
        <f t="shared" ca="1" si="66"/>
        <v>5.85</v>
      </c>
      <c r="DL30" s="871">
        <f t="shared" ca="1" si="67"/>
        <v>5.85</v>
      </c>
      <c r="DM30" s="871">
        <f t="shared" ca="1" si="68"/>
        <v>5.85</v>
      </c>
      <c r="DN30" s="871">
        <f t="shared" ca="1" si="69"/>
        <v>5.85</v>
      </c>
      <c r="DO30" s="871">
        <f t="shared" ca="1" si="70"/>
        <v>5.85</v>
      </c>
      <c r="DP30" s="871">
        <f t="shared" ca="1" si="71"/>
        <v>5.85</v>
      </c>
      <c r="DQ30" s="871">
        <f t="shared" ca="1" si="72"/>
        <v>5.85</v>
      </c>
      <c r="DR30" s="871">
        <f t="shared" ca="1" si="73"/>
        <v>5.85</v>
      </c>
      <c r="DS30" s="871">
        <f t="shared" ca="1" si="74"/>
        <v>5.85</v>
      </c>
      <c r="DT30" s="871">
        <f t="shared" ca="1" si="75"/>
        <v>5.85</v>
      </c>
      <c r="DU30" s="871">
        <f t="shared" ca="1" si="76"/>
        <v>5.85</v>
      </c>
      <c r="DV30" s="871">
        <f t="shared" ca="1" si="77"/>
        <v>5.85</v>
      </c>
      <c r="DW30" s="871">
        <f t="shared" ca="1" si="78"/>
        <v>5.85</v>
      </c>
      <c r="DX30" s="871">
        <f t="shared" ca="1" si="79"/>
        <v>5.85</v>
      </c>
      <c r="DY30" s="871">
        <f t="shared" ca="1" si="80"/>
        <v>5.85</v>
      </c>
      <c r="DZ30" s="871">
        <f t="shared" ca="1" si="81"/>
        <v>5.85</v>
      </c>
      <c r="EA30" s="871">
        <f t="shared" ca="1" si="82"/>
        <v>5.85</v>
      </c>
      <c r="EB30" s="871">
        <f t="shared" ca="1" si="83"/>
        <v>5.85</v>
      </c>
      <c r="EC30" s="871">
        <f t="shared" ca="1" si="84"/>
        <v>5.85</v>
      </c>
      <c r="ED30" s="871">
        <f t="shared" ca="1" si="85"/>
        <v>5.85</v>
      </c>
      <c r="EE30" s="871">
        <f t="shared" ca="1" si="86"/>
        <v>5.85</v>
      </c>
      <c r="EF30" s="871">
        <f t="shared" ca="1" si="87"/>
        <v>5.85</v>
      </c>
      <c r="EG30" s="871">
        <f t="shared" ca="1" si="88"/>
        <v>5.85</v>
      </c>
    </row>
    <row r="31" spans="1:137" ht="12.75" customHeight="1">
      <c r="A31" s="595"/>
      <c r="B31" s="598"/>
      <c r="C31" s="599"/>
      <c r="E31" s="1440" t="s">
        <v>1641</v>
      </c>
      <c r="F31" s="867" t="s">
        <v>1640</v>
      </c>
      <c r="G31" s="868">
        <v>12</v>
      </c>
      <c r="H31" s="867">
        <v>3000</v>
      </c>
      <c r="I31" s="869">
        <v>0.04</v>
      </c>
      <c r="J31" s="869">
        <v>0.03</v>
      </c>
      <c r="K31" s="76"/>
      <c r="L31" s="1454">
        <f ca="1">'Crono Pessoal'!H191</f>
        <v>26</v>
      </c>
      <c r="M31" s="1454">
        <f t="shared" ref="M31:AI31" ca="1" si="269">L31</f>
        <v>26</v>
      </c>
      <c r="N31" s="1454">
        <f t="shared" ca="1" si="269"/>
        <v>26</v>
      </c>
      <c r="O31" s="1454">
        <f t="shared" ca="1" si="269"/>
        <v>26</v>
      </c>
      <c r="P31" s="1454">
        <f t="shared" ca="1" si="269"/>
        <v>26</v>
      </c>
      <c r="Q31" s="1454">
        <f t="shared" ca="1" si="269"/>
        <v>26</v>
      </c>
      <c r="R31" s="1454">
        <f t="shared" ca="1" si="269"/>
        <v>26</v>
      </c>
      <c r="S31" s="1454">
        <f t="shared" ca="1" si="269"/>
        <v>26</v>
      </c>
      <c r="T31" s="1454">
        <f t="shared" ca="1" si="269"/>
        <v>26</v>
      </c>
      <c r="U31" s="1454">
        <f t="shared" ca="1" si="269"/>
        <v>26</v>
      </c>
      <c r="V31" s="1454">
        <f t="shared" ca="1" si="269"/>
        <v>26</v>
      </c>
      <c r="W31" s="1454">
        <f t="shared" ca="1" si="269"/>
        <v>26</v>
      </c>
      <c r="X31" s="1454">
        <f t="shared" ca="1" si="269"/>
        <v>26</v>
      </c>
      <c r="Y31" s="1454">
        <f t="shared" ca="1" si="269"/>
        <v>26</v>
      </c>
      <c r="Z31" s="1454">
        <f t="shared" ca="1" si="269"/>
        <v>26</v>
      </c>
      <c r="AA31" s="1454">
        <f t="shared" ca="1" si="269"/>
        <v>26</v>
      </c>
      <c r="AB31" s="1454">
        <f t="shared" ca="1" si="269"/>
        <v>26</v>
      </c>
      <c r="AC31" s="1454">
        <f t="shared" ca="1" si="269"/>
        <v>26</v>
      </c>
      <c r="AD31" s="1454">
        <f t="shared" ca="1" si="269"/>
        <v>26</v>
      </c>
      <c r="AE31" s="1454">
        <f t="shared" ca="1" si="269"/>
        <v>26</v>
      </c>
      <c r="AF31" s="1454">
        <f t="shared" ca="1" si="269"/>
        <v>26</v>
      </c>
      <c r="AG31" s="1454">
        <f t="shared" ca="1" si="269"/>
        <v>26</v>
      </c>
      <c r="AH31" s="1454">
        <f t="shared" ca="1" si="269"/>
        <v>26</v>
      </c>
      <c r="AI31" s="1454">
        <f t="shared" ca="1" si="269"/>
        <v>26</v>
      </c>
      <c r="AJ31" s="1454">
        <f t="shared" ca="1" si="229"/>
        <v>26</v>
      </c>
      <c r="AK31" s="1454">
        <f t="shared" ca="1" si="230"/>
        <v>26</v>
      </c>
      <c r="AL31" s="1454">
        <f t="shared" ca="1" si="231"/>
        <v>26</v>
      </c>
      <c r="AM31" s="1454">
        <f t="shared" ca="1" si="232"/>
        <v>26</v>
      </c>
      <c r="AN31" s="1454">
        <f t="shared" ca="1" si="233"/>
        <v>26</v>
      </c>
      <c r="AO31" s="1454">
        <f t="shared" ca="1" si="234"/>
        <v>26</v>
      </c>
      <c r="AP31" s="1452"/>
      <c r="AQ31" s="871">
        <f t="shared" ca="1" si="118"/>
        <v>0</v>
      </c>
      <c r="AR31" s="871">
        <f t="shared" ca="1" si="235"/>
        <v>0</v>
      </c>
      <c r="AS31" s="871">
        <f t="shared" ca="1" si="236"/>
        <v>0</v>
      </c>
      <c r="AT31" s="871">
        <f t="shared" ca="1" si="237"/>
        <v>0</v>
      </c>
      <c r="AU31" s="871">
        <f t="shared" ca="1" si="238"/>
        <v>0</v>
      </c>
      <c r="AV31" s="871">
        <f t="shared" ca="1" si="239"/>
        <v>0</v>
      </c>
      <c r="AW31" s="871">
        <f t="shared" ca="1" si="240"/>
        <v>0</v>
      </c>
      <c r="AX31" s="871">
        <f t="shared" ca="1" si="241"/>
        <v>0</v>
      </c>
      <c r="AY31" s="871">
        <f t="shared" ca="1" si="242"/>
        <v>0</v>
      </c>
      <c r="AZ31" s="871">
        <f t="shared" ca="1" si="243"/>
        <v>0</v>
      </c>
      <c r="BA31" s="871">
        <f t="shared" ca="1" si="244"/>
        <v>0</v>
      </c>
      <c r="BB31" s="871">
        <f t="shared" ca="1" si="245"/>
        <v>0</v>
      </c>
      <c r="BC31" s="871">
        <f t="shared" ca="1" si="246"/>
        <v>0</v>
      </c>
      <c r="BD31" s="871">
        <f t="shared" ca="1" si="247"/>
        <v>0</v>
      </c>
      <c r="BE31" s="871">
        <f t="shared" ca="1" si="248"/>
        <v>0</v>
      </c>
      <c r="BF31" s="871">
        <f t="shared" ca="1" si="249"/>
        <v>0</v>
      </c>
      <c r="BG31" s="871">
        <f t="shared" ca="1" si="250"/>
        <v>0</v>
      </c>
      <c r="BH31" s="871">
        <f t="shared" ca="1" si="251"/>
        <v>0</v>
      </c>
      <c r="BI31" s="871">
        <f t="shared" ca="1" si="252"/>
        <v>0</v>
      </c>
      <c r="BJ31" s="871">
        <f t="shared" ca="1" si="253"/>
        <v>0</v>
      </c>
      <c r="BK31" s="871">
        <f t="shared" ca="1" si="254"/>
        <v>0</v>
      </c>
      <c r="BL31" s="871">
        <f t="shared" ca="1" si="255"/>
        <v>0</v>
      </c>
      <c r="BM31" s="871">
        <f t="shared" ca="1" si="256"/>
        <v>0</v>
      </c>
      <c r="BN31" s="871">
        <f t="shared" ca="1" si="257"/>
        <v>0</v>
      </c>
      <c r="BO31" s="871">
        <f t="shared" ca="1" si="258"/>
        <v>0</v>
      </c>
      <c r="BP31" s="871">
        <f t="shared" ca="1" si="259"/>
        <v>0</v>
      </c>
      <c r="BQ31" s="871">
        <f t="shared" ca="1" si="260"/>
        <v>0</v>
      </c>
      <c r="BR31" s="871">
        <f t="shared" ca="1" si="261"/>
        <v>0</v>
      </c>
      <c r="BS31" s="871">
        <f t="shared" ca="1" si="262"/>
        <v>0</v>
      </c>
      <c r="BT31" s="871">
        <f t="shared" ca="1" si="263"/>
        <v>0</v>
      </c>
      <c r="BU31" s="871">
        <f t="shared" ca="1" si="264"/>
        <v>0</v>
      </c>
      <c r="BV31" s="1453"/>
      <c r="BW31" s="871">
        <f t="shared" ca="1" si="117"/>
        <v>1267.5</v>
      </c>
      <c r="BX31" s="871">
        <f t="shared" ca="1" si="265"/>
        <v>42.25</v>
      </c>
      <c r="BY31" s="871">
        <f t="shared" ca="1" si="266"/>
        <v>42.25</v>
      </c>
      <c r="BZ31" s="871">
        <f t="shared" ca="1" si="266"/>
        <v>42.25</v>
      </c>
      <c r="CA31" s="871">
        <f t="shared" ca="1" si="266"/>
        <v>42.25</v>
      </c>
      <c r="CB31" s="871">
        <f t="shared" ca="1" si="266"/>
        <v>42.25</v>
      </c>
      <c r="CC31" s="871">
        <f t="shared" ca="1" si="266"/>
        <v>42.25</v>
      </c>
      <c r="CD31" s="871">
        <f t="shared" ca="1" si="266"/>
        <v>42.25</v>
      </c>
      <c r="CE31" s="871">
        <f t="shared" ca="1" si="266"/>
        <v>42.25</v>
      </c>
      <c r="CF31" s="871">
        <f t="shared" ca="1" si="266"/>
        <v>42.25</v>
      </c>
      <c r="CG31" s="871">
        <f t="shared" ca="1" si="266"/>
        <v>42.25</v>
      </c>
      <c r="CH31" s="871">
        <f t="shared" ca="1" si="266"/>
        <v>42.25</v>
      </c>
      <c r="CI31" s="871">
        <f t="shared" ca="1" si="267"/>
        <v>42.25</v>
      </c>
      <c r="CJ31" s="871">
        <f t="shared" ca="1" si="267"/>
        <v>42.25</v>
      </c>
      <c r="CK31" s="871">
        <f t="shared" ca="1" si="267"/>
        <v>42.25</v>
      </c>
      <c r="CL31" s="871">
        <f t="shared" ca="1" si="267"/>
        <v>42.25</v>
      </c>
      <c r="CM31" s="871">
        <f t="shared" ca="1" si="267"/>
        <v>42.25</v>
      </c>
      <c r="CN31" s="871">
        <f t="shared" ca="1" si="267"/>
        <v>42.25</v>
      </c>
      <c r="CO31" s="871">
        <f t="shared" ca="1" si="267"/>
        <v>42.25</v>
      </c>
      <c r="CP31" s="871">
        <f t="shared" ca="1" si="267"/>
        <v>42.25</v>
      </c>
      <c r="CQ31" s="871">
        <f t="shared" ca="1" si="267"/>
        <v>42.25</v>
      </c>
      <c r="CR31" s="871">
        <f t="shared" ca="1" si="267"/>
        <v>42.25</v>
      </c>
      <c r="CS31" s="871">
        <f t="shared" ca="1" si="268"/>
        <v>42.25</v>
      </c>
      <c r="CT31" s="871">
        <f t="shared" ca="1" si="268"/>
        <v>42.25</v>
      </c>
      <c r="CU31" s="871">
        <f t="shared" ca="1" si="268"/>
        <v>42.25</v>
      </c>
      <c r="CV31" s="871">
        <f t="shared" ca="1" si="268"/>
        <v>42.25</v>
      </c>
      <c r="CW31" s="871">
        <f t="shared" ca="1" si="268"/>
        <v>42.25</v>
      </c>
      <c r="CX31" s="871">
        <f t="shared" ca="1" si="268"/>
        <v>42.25</v>
      </c>
      <c r="CY31" s="871">
        <f t="shared" ca="1" si="268"/>
        <v>42.25</v>
      </c>
      <c r="CZ31" s="871">
        <f t="shared" ca="1" si="268"/>
        <v>42.25</v>
      </c>
      <c r="DA31" s="871">
        <f t="shared" ca="1" si="268"/>
        <v>42.25</v>
      </c>
      <c r="DB31" s="41"/>
      <c r="DC31" s="871">
        <f t="shared" ca="1" si="58"/>
        <v>1267.5</v>
      </c>
      <c r="DD31" s="871">
        <f t="shared" ca="1" si="59"/>
        <v>42.25</v>
      </c>
      <c r="DE31" s="871">
        <f t="shared" ca="1" si="60"/>
        <v>42.25</v>
      </c>
      <c r="DF31" s="871">
        <f t="shared" ca="1" si="61"/>
        <v>42.25</v>
      </c>
      <c r="DG31" s="871">
        <f t="shared" ca="1" si="62"/>
        <v>42.25</v>
      </c>
      <c r="DH31" s="871">
        <f t="shared" ca="1" si="63"/>
        <v>42.25</v>
      </c>
      <c r="DI31" s="871">
        <f t="shared" ca="1" si="64"/>
        <v>42.25</v>
      </c>
      <c r="DJ31" s="871">
        <f t="shared" ca="1" si="65"/>
        <v>42.25</v>
      </c>
      <c r="DK31" s="871">
        <f t="shared" ca="1" si="66"/>
        <v>42.25</v>
      </c>
      <c r="DL31" s="871">
        <f t="shared" ca="1" si="67"/>
        <v>42.25</v>
      </c>
      <c r="DM31" s="871">
        <f t="shared" ca="1" si="68"/>
        <v>42.25</v>
      </c>
      <c r="DN31" s="871">
        <f t="shared" ca="1" si="69"/>
        <v>42.25</v>
      </c>
      <c r="DO31" s="871">
        <f t="shared" ca="1" si="70"/>
        <v>42.25</v>
      </c>
      <c r="DP31" s="871">
        <f t="shared" ca="1" si="71"/>
        <v>42.25</v>
      </c>
      <c r="DQ31" s="871">
        <f t="shared" ca="1" si="72"/>
        <v>42.25</v>
      </c>
      <c r="DR31" s="871">
        <f t="shared" ca="1" si="73"/>
        <v>42.25</v>
      </c>
      <c r="DS31" s="871">
        <f t="shared" ca="1" si="74"/>
        <v>42.25</v>
      </c>
      <c r="DT31" s="871">
        <f t="shared" ca="1" si="75"/>
        <v>42.25</v>
      </c>
      <c r="DU31" s="871">
        <f t="shared" ca="1" si="76"/>
        <v>42.25</v>
      </c>
      <c r="DV31" s="871">
        <f t="shared" ca="1" si="77"/>
        <v>42.25</v>
      </c>
      <c r="DW31" s="871">
        <f t="shared" ca="1" si="78"/>
        <v>42.25</v>
      </c>
      <c r="DX31" s="871">
        <f t="shared" ca="1" si="79"/>
        <v>42.25</v>
      </c>
      <c r="DY31" s="871">
        <f t="shared" ca="1" si="80"/>
        <v>42.25</v>
      </c>
      <c r="DZ31" s="871">
        <f t="shared" ca="1" si="81"/>
        <v>42.25</v>
      </c>
      <c r="EA31" s="871">
        <f t="shared" ca="1" si="82"/>
        <v>42.25</v>
      </c>
      <c r="EB31" s="871">
        <f t="shared" ca="1" si="83"/>
        <v>42.25</v>
      </c>
      <c r="EC31" s="871">
        <f t="shared" ca="1" si="84"/>
        <v>42.25</v>
      </c>
      <c r="ED31" s="871">
        <f t="shared" ca="1" si="85"/>
        <v>42.25</v>
      </c>
      <c r="EE31" s="871">
        <f t="shared" ca="1" si="86"/>
        <v>42.25</v>
      </c>
      <c r="EF31" s="871">
        <f t="shared" ca="1" si="87"/>
        <v>42.25</v>
      </c>
      <c r="EG31" s="871">
        <f t="shared" ca="1" si="88"/>
        <v>42.25</v>
      </c>
    </row>
    <row r="32" spans="1:137">
      <c r="A32" s="595"/>
      <c r="B32" s="598"/>
      <c r="C32" s="599"/>
      <c r="E32" s="1440"/>
      <c r="F32" s="867"/>
      <c r="G32" s="868"/>
      <c r="H32" s="867"/>
      <c r="I32" s="869"/>
      <c r="J32" s="869"/>
      <c r="K32" s="76"/>
      <c r="L32" s="1479"/>
      <c r="M32" s="1454"/>
      <c r="N32" s="1454"/>
      <c r="O32" s="1454"/>
      <c r="P32" s="1454"/>
      <c r="Q32" s="1454"/>
      <c r="R32" s="1454"/>
      <c r="S32" s="1454"/>
      <c r="T32" s="1454"/>
      <c r="U32" s="1454"/>
      <c r="V32" s="1454"/>
      <c r="W32" s="1454"/>
      <c r="X32" s="1454"/>
      <c r="Y32" s="1454"/>
      <c r="Z32" s="1454"/>
      <c r="AA32" s="1454"/>
      <c r="AB32" s="1454"/>
      <c r="AC32" s="1454"/>
      <c r="AD32" s="1454"/>
      <c r="AE32" s="1454"/>
      <c r="AF32" s="1454"/>
      <c r="AG32" s="1454"/>
      <c r="AH32" s="1454"/>
      <c r="AI32" s="1454"/>
      <c r="AJ32" s="1454"/>
      <c r="AK32" s="1454"/>
      <c r="AL32" s="1454"/>
      <c r="AM32" s="1454"/>
      <c r="AN32" s="1454"/>
      <c r="AO32" s="1454"/>
      <c r="AP32" s="77"/>
      <c r="AQ32" s="871"/>
      <c r="AR32" s="871"/>
      <c r="AS32" s="871"/>
      <c r="AT32" s="871"/>
      <c r="AU32" s="871"/>
      <c r="AV32" s="871"/>
      <c r="AW32" s="871"/>
      <c r="AX32" s="871"/>
      <c r="AY32" s="871"/>
      <c r="AZ32" s="871"/>
      <c r="BA32" s="871"/>
      <c r="BB32" s="871"/>
      <c r="BC32" s="871"/>
      <c r="BD32" s="871"/>
      <c r="BE32" s="871"/>
      <c r="BF32" s="871"/>
      <c r="BG32" s="871"/>
      <c r="BH32" s="871"/>
      <c r="BI32" s="871"/>
      <c r="BJ32" s="871"/>
      <c r="BK32" s="871"/>
      <c r="BL32" s="871"/>
      <c r="BM32" s="871"/>
      <c r="BN32" s="871"/>
      <c r="BO32" s="871"/>
      <c r="BP32" s="871"/>
      <c r="BQ32" s="871"/>
      <c r="BR32" s="871"/>
      <c r="BS32" s="871"/>
      <c r="BT32" s="871"/>
      <c r="BU32" s="871"/>
      <c r="BV32" s="1453"/>
      <c r="BW32" s="871"/>
      <c r="BX32" s="871"/>
      <c r="BY32" s="871"/>
      <c r="BZ32" s="871"/>
      <c r="CA32" s="871"/>
      <c r="CB32" s="871"/>
      <c r="CC32" s="871"/>
      <c r="CD32" s="871"/>
      <c r="CE32" s="871"/>
      <c r="CF32" s="871"/>
      <c r="CG32" s="871"/>
      <c r="CH32" s="871"/>
      <c r="CI32" s="871"/>
      <c r="CJ32" s="871"/>
      <c r="CK32" s="871"/>
      <c r="CL32" s="871"/>
      <c r="CM32" s="871"/>
      <c r="CN32" s="871"/>
      <c r="CO32" s="871"/>
      <c r="CP32" s="871"/>
      <c r="CQ32" s="871"/>
      <c r="CR32" s="871"/>
      <c r="CS32" s="871"/>
      <c r="CT32" s="871"/>
      <c r="CU32" s="871"/>
      <c r="CV32" s="871"/>
      <c r="CW32" s="871"/>
      <c r="CX32" s="871"/>
      <c r="CY32" s="871"/>
      <c r="CZ32" s="871"/>
      <c r="DA32" s="871"/>
      <c r="DB32" s="41"/>
      <c r="DC32" s="871">
        <f t="shared" si="58"/>
        <v>0</v>
      </c>
      <c r="DD32" s="871">
        <f t="shared" si="59"/>
        <v>0</v>
      </c>
      <c r="DE32" s="871">
        <f t="shared" si="60"/>
        <v>0</v>
      </c>
      <c r="DF32" s="871">
        <f t="shared" si="61"/>
        <v>0</v>
      </c>
      <c r="DG32" s="871">
        <f t="shared" si="62"/>
        <v>0</v>
      </c>
      <c r="DH32" s="871">
        <f t="shared" si="63"/>
        <v>0</v>
      </c>
      <c r="DI32" s="871">
        <f t="shared" si="64"/>
        <v>0</v>
      </c>
      <c r="DJ32" s="871">
        <f t="shared" si="65"/>
        <v>0</v>
      </c>
      <c r="DK32" s="871">
        <f t="shared" si="66"/>
        <v>0</v>
      </c>
      <c r="DL32" s="871">
        <f t="shared" si="67"/>
        <v>0</v>
      </c>
      <c r="DM32" s="871">
        <f t="shared" si="68"/>
        <v>0</v>
      </c>
      <c r="DN32" s="871">
        <f t="shared" si="69"/>
        <v>0</v>
      </c>
      <c r="DO32" s="871">
        <f t="shared" si="70"/>
        <v>0</v>
      </c>
      <c r="DP32" s="871">
        <f t="shared" si="71"/>
        <v>0</v>
      </c>
      <c r="DQ32" s="871">
        <f t="shared" si="72"/>
        <v>0</v>
      </c>
      <c r="DR32" s="871">
        <f t="shared" si="73"/>
        <v>0</v>
      </c>
      <c r="DS32" s="871">
        <f t="shared" si="74"/>
        <v>0</v>
      </c>
      <c r="DT32" s="871">
        <f t="shared" si="75"/>
        <v>0</v>
      </c>
      <c r="DU32" s="871">
        <f t="shared" si="76"/>
        <v>0</v>
      </c>
      <c r="DV32" s="871">
        <f t="shared" si="77"/>
        <v>0</v>
      </c>
      <c r="DW32" s="871">
        <f t="shared" si="78"/>
        <v>0</v>
      </c>
      <c r="DX32" s="871">
        <f t="shared" si="79"/>
        <v>0</v>
      </c>
      <c r="DY32" s="871">
        <f t="shared" si="80"/>
        <v>0</v>
      </c>
      <c r="DZ32" s="871">
        <f t="shared" si="81"/>
        <v>0</v>
      </c>
      <c r="EA32" s="871">
        <f t="shared" si="82"/>
        <v>0</v>
      </c>
      <c r="EB32" s="871">
        <f t="shared" si="83"/>
        <v>0</v>
      </c>
      <c r="EC32" s="871">
        <f t="shared" si="84"/>
        <v>0</v>
      </c>
      <c r="ED32" s="871">
        <f t="shared" si="85"/>
        <v>0</v>
      </c>
      <c r="EE32" s="871">
        <f t="shared" si="86"/>
        <v>0</v>
      </c>
      <c r="EF32" s="871">
        <f t="shared" si="87"/>
        <v>0</v>
      </c>
      <c r="EG32" s="871">
        <f t="shared" si="88"/>
        <v>0</v>
      </c>
    </row>
    <row r="33" spans="1:137" ht="12.75" customHeight="1">
      <c r="A33" s="595"/>
      <c r="B33" s="598"/>
      <c r="C33" s="599"/>
      <c r="E33" s="1440"/>
      <c r="F33" s="867"/>
      <c r="G33" s="868"/>
      <c r="H33" s="867"/>
      <c r="I33" s="869"/>
      <c r="J33" s="869"/>
      <c r="K33" s="76"/>
      <c r="L33" s="1454"/>
      <c r="M33" s="1454"/>
      <c r="N33" s="1454"/>
      <c r="O33" s="1454"/>
      <c r="P33" s="1454"/>
      <c r="Q33" s="1454"/>
      <c r="R33" s="1454"/>
      <c r="S33" s="1454"/>
      <c r="T33" s="1454"/>
      <c r="U33" s="1454"/>
      <c r="V33" s="1454"/>
      <c r="W33" s="1454"/>
      <c r="X33" s="1454"/>
      <c r="Y33" s="1454"/>
      <c r="Z33" s="1454"/>
      <c r="AA33" s="1454"/>
      <c r="AB33" s="1454"/>
      <c r="AC33" s="1454"/>
      <c r="AD33" s="1454"/>
      <c r="AE33" s="1454"/>
      <c r="AF33" s="1454"/>
      <c r="AG33" s="1454"/>
      <c r="AH33" s="1454"/>
      <c r="AI33" s="1454"/>
      <c r="AJ33" s="1454"/>
      <c r="AK33" s="1454"/>
      <c r="AL33" s="1454"/>
      <c r="AM33" s="1454"/>
      <c r="AN33" s="1454"/>
      <c r="AO33" s="1454"/>
      <c r="AP33" s="1452"/>
      <c r="AQ33" s="871"/>
      <c r="AR33" s="871"/>
      <c r="AS33" s="871"/>
      <c r="AT33" s="871"/>
      <c r="AU33" s="871"/>
      <c r="AV33" s="871"/>
      <c r="AW33" s="871"/>
      <c r="AX33" s="871"/>
      <c r="AY33" s="871"/>
      <c r="AZ33" s="871"/>
      <c r="BA33" s="871"/>
      <c r="BB33" s="871"/>
      <c r="BC33" s="871"/>
      <c r="BD33" s="871"/>
      <c r="BE33" s="871"/>
      <c r="BF33" s="871"/>
      <c r="BG33" s="871"/>
      <c r="BH33" s="871"/>
      <c r="BI33" s="871"/>
      <c r="BJ33" s="871"/>
      <c r="BK33" s="871"/>
      <c r="BL33" s="871"/>
      <c r="BM33" s="871"/>
      <c r="BN33" s="871"/>
      <c r="BO33" s="871"/>
      <c r="BP33" s="871"/>
      <c r="BQ33" s="871"/>
      <c r="BR33" s="871"/>
      <c r="BS33" s="871"/>
      <c r="BT33" s="871"/>
      <c r="BU33" s="871"/>
      <c r="BV33" s="1453"/>
      <c r="BW33" s="871"/>
      <c r="BX33" s="871"/>
      <c r="BY33" s="871"/>
      <c r="BZ33" s="871"/>
      <c r="CA33" s="871"/>
      <c r="CB33" s="871"/>
      <c r="CC33" s="871"/>
      <c r="CD33" s="871"/>
      <c r="CE33" s="871"/>
      <c r="CF33" s="871"/>
      <c r="CG33" s="871"/>
      <c r="CH33" s="871"/>
      <c r="CI33" s="871"/>
      <c r="CJ33" s="871"/>
      <c r="CK33" s="871"/>
      <c r="CL33" s="871"/>
      <c r="CM33" s="871"/>
      <c r="CN33" s="871"/>
      <c r="CO33" s="871"/>
      <c r="CP33" s="871"/>
      <c r="CQ33" s="871"/>
      <c r="CR33" s="871"/>
      <c r="CS33" s="871"/>
      <c r="CT33" s="871"/>
      <c r="CU33" s="871"/>
      <c r="CV33" s="871"/>
      <c r="CW33" s="871"/>
      <c r="CX33" s="871"/>
      <c r="CY33" s="871"/>
      <c r="CZ33" s="871"/>
      <c r="DA33" s="871"/>
      <c r="DB33" s="41"/>
      <c r="DC33" s="871">
        <f t="shared" si="58"/>
        <v>0</v>
      </c>
      <c r="DD33" s="871">
        <f t="shared" si="59"/>
        <v>0</v>
      </c>
      <c r="DE33" s="871">
        <f t="shared" si="60"/>
        <v>0</v>
      </c>
      <c r="DF33" s="871">
        <f t="shared" si="61"/>
        <v>0</v>
      </c>
      <c r="DG33" s="871">
        <f t="shared" si="62"/>
        <v>0</v>
      </c>
      <c r="DH33" s="871">
        <f t="shared" si="63"/>
        <v>0</v>
      </c>
      <c r="DI33" s="871">
        <f t="shared" si="64"/>
        <v>0</v>
      </c>
      <c r="DJ33" s="871">
        <f t="shared" si="65"/>
        <v>0</v>
      </c>
      <c r="DK33" s="871">
        <f t="shared" si="66"/>
        <v>0</v>
      </c>
      <c r="DL33" s="871">
        <f t="shared" si="67"/>
        <v>0</v>
      </c>
      <c r="DM33" s="871">
        <f t="shared" si="68"/>
        <v>0</v>
      </c>
      <c r="DN33" s="871">
        <f t="shared" si="69"/>
        <v>0</v>
      </c>
      <c r="DO33" s="871">
        <f t="shared" si="70"/>
        <v>0</v>
      </c>
      <c r="DP33" s="871">
        <f t="shared" si="71"/>
        <v>0</v>
      </c>
      <c r="DQ33" s="871">
        <f t="shared" si="72"/>
        <v>0</v>
      </c>
      <c r="DR33" s="871">
        <f t="shared" si="73"/>
        <v>0</v>
      </c>
      <c r="DS33" s="871">
        <f t="shared" si="74"/>
        <v>0</v>
      </c>
      <c r="DT33" s="871">
        <f t="shared" si="75"/>
        <v>0</v>
      </c>
      <c r="DU33" s="871">
        <f t="shared" si="76"/>
        <v>0</v>
      </c>
      <c r="DV33" s="871">
        <f t="shared" si="77"/>
        <v>0</v>
      </c>
      <c r="DW33" s="871">
        <f t="shared" si="78"/>
        <v>0</v>
      </c>
      <c r="DX33" s="871">
        <f t="shared" si="79"/>
        <v>0</v>
      </c>
      <c r="DY33" s="871">
        <f t="shared" si="80"/>
        <v>0</v>
      </c>
      <c r="DZ33" s="871">
        <f t="shared" si="81"/>
        <v>0</v>
      </c>
      <c r="EA33" s="871">
        <f t="shared" si="82"/>
        <v>0</v>
      </c>
      <c r="EB33" s="871">
        <f t="shared" si="83"/>
        <v>0</v>
      </c>
      <c r="EC33" s="871">
        <f t="shared" si="84"/>
        <v>0</v>
      </c>
      <c r="ED33" s="871">
        <f t="shared" si="85"/>
        <v>0</v>
      </c>
      <c r="EE33" s="871">
        <f t="shared" si="86"/>
        <v>0</v>
      </c>
      <c r="EF33" s="871">
        <f t="shared" si="87"/>
        <v>0</v>
      </c>
      <c r="EG33" s="871">
        <f t="shared" si="88"/>
        <v>0</v>
      </c>
    </row>
    <row r="34" spans="1:137">
      <c r="A34" s="595"/>
      <c r="B34" s="598"/>
      <c r="C34" s="599"/>
      <c r="E34" s="1440"/>
      <c r="F34" s="867"/>
      <c r="G34" s="868"/>
      <c r="H34" s="867"/>
      <c r="I34" s="869"/>
      <c r="J34" s="869"/>
      <c r="K34" s="76"/>
      <c r="L34" s="1479"/>
      <c r="M34" s="1454"/>
      <c r="N34" s="1454"/>
      <c r="O34" s="1454"/>
      <c r="P34" s="1454"/>
      <c r="Q34" s="1454"/>
      <c r="R34" s="1454"/>
      <c r="S34" s="1454"/>
      <c r="T34" s="1454"/>
      <c r="U34" s="1454"/>
      <c r="V34" s="1454"/>
      <c r="W34" s="1454"/>
      <c r="X34" s="1454"/>
      <c r="Y34" s="1454"/>
      <c r="Z34" s="1454"/>
      <c r="AA34" s="1454"/>
      <c r="AB34" s="1454"/>
      <c r="AC34" s="1454"/>
      <c r="AD34" s="1454"/>
      <c r="AE34" s="1454"/>
      <c r="AF34" s="1454"/>
      <c r="AG34" s="1454"/>
      <c r="AH34" s="1454"/>
      <c r="AI34" s="1454"/>
      <c r="AJ34" s="1454"/>
      <c r="AK34" s="1454"/>
      <c r="AL34" s="1454"/>
      <c r="AM34" s="1454"/>
      <c r="AN34" s="1454"/>
      <c r="AO34" s="1454"/>
      <c r="AP34" s="77"/>
      <c r="AQ34" s="871"/>
      <c r="AR34" s="871"/>
      <c r="AS34" s="871"/>
      <c r="AT34" s="871"/>
      <c r="AU34" s="871"/>
      <c r="AV34" s="871"/>
      <c r="AW34" s="871"/>
      <c r="AX34" s="871"/>
      <c r="AY34" s="871"/>
      <c r="AZ34" s="871"/>
      <c r="BA34" s="871"/>
      <c r="BB34" s="871"/>
      <c r="BC34" s="871"/>
      <c r="BD34" s="871"/>
      <c r="BE34" s="871"/>
      <c r="BF34" s="871"/>
      <c r="BG34" s="871"/>
      <c r="BH34" s="871"/>
      <c r="BI34" s="871"/>
      <c r="BJ34" s="871"/>
      <c r="BK34" s="871"/>
      <c r="BL34" s="871"/>
      <c r="BM34" s="871"/>
      <c r="BN34" s="871"/>
      <c r="BO34" s="871"/>
      <c r="BP34" s="871"/>
      <c r="BQ34" s="871"/>
      <c r="BR34" s="871"/>
      <c r="BS34" s="871"/>
      <c r="BT34" s="871"/>
      <c r="BU34" s="871"/>
      <c r="BV34" s="1453"/>
      <c r="BW34" s="871"/>
      <c r="BX34" s="871"/>
      <c r="BY34" s="871"/>
      <c r="BZ34" s="871"/>
      <c r="CA34" s="871"/>
      <c r="CB34" s="871"/>
      <c r="CC34" s="871"/>
      <c r="CD34" s="871"/>
      <c r="CE34" s="871"/>
      <c r="CF34" s="871"/>
      <c r="CG34" s="871"/>
      <c r="CH34" s="871"/>
      <c r="CI34" s="871"/>
      <c r="CJ34" s="871"/>
      <c r="CK34" s="871"/>
      <c r="CL34" s="871"/>
      <c r="CM34" s="871"/>
      <c r="CN34" s="871"/>
      <c r="CO34" s="871"/>
      <c r="CP34" s="871"/>
      <c r="CQ34" s="871"/>
      <c r="CR34" s="871"/>
      <c r="CS34" s="871"/>
      <c r="CT34" s="871"/>
      <c r="CU34" s="871"/>
      <c r="CV34" s="871"/>
      <c r="CW34" s="871"/>
      <c r="CX34" s="871"/>
      <c r="CY34" s="871"/>
      <c r="CZ34" s="871"/>
      <c r="DA34" s="871"/>
      <c r="DB34" s="41"/>
      <c r="DC34" s="871">
        <f t="shared" si="58"/>
        <v>0</v>
      </c>
      <c r="DD34" s="871">
        <f t="shared" si="59"/>
        <v>0</v>
      </c>
      <c r="DE34" s="871">
        <f t="shared" si="60"/>
        <v>0</v>
      </c>
      <c r="DF34" s="871">
        <f t="shared" si="61"/>
        <v>0</v>
      </c>
      <c r="DG34" s="871">
        <f t="shared" si="62"/>
        <v>0</v>
      </c>
      <c r="DH34" s="871">
        <f t="shared" si="63"/>
        <v>0</v>
      </c>
      <c r="DI34" s="871">
        <f t="shared" si="64"/>
        <v>0</v>
      </c>
      <c r="DJ34" s="871">
        <f t="shared" si="65"/>
        <v>0</v>
      </c>
      <c r="DK34" s="871">
        <f t="shared" si="66"/>
        <v>0</v>
      </c>
      <c r="DL34" s="871">
        <f t="shared" si="67"/>
        <v>0</v>
      </c>
      <c r="DM34" s="871">
        <f t="shared" si="68"/>
        <v>0</v>
      </c>
      <c r="DN34" s="871">
        <f t="shared" si="69"/>
        <v>0</v>
      </c>
      <c r="DO34" s="871">
        <f t="shared" si="70"/>
        <v>0</v>
      </c>
      <c r="DP34" s="871">
        <f t="shared" si="71"/>
        <v>0</v>
      </c>
      <c r="DQ34" s="871">
        <f t="shared" si="72"/>
        <v>0</v>
      </c>
      <c r="DR34" s="871">
        <f t="shared" si="73"/>
        <v>0</v>
      </c>
      <c r="DS34" s="871">
        <f t="shared" si="74"/>
        <v>0</v>
      </c>
      <c r="DT34" s="871">
        <f t="shared" si="75"/>
        <v>0</v>
      </c>
      <c r="DU34" s="871">
        <f t="shared" si="76"/>
        <v>0</v>
      </c>
      <c r="DV34" s="871">
        <f t="shared" si="77"/>
        <v>0</v>
      </c>
      <c r="DW34" s="871">
        <f t="shared" si="78"/>
        <v>0</v>
      </c>
      <c r="DX34" s="871">
        <f t="shared" si="79"/>
        <v>0</v>
      </c>
      <c r="DY34" s="871">
        <f t="shared" si="80"/>
        <v>0</v>
      </c>
      <c r="DZ34" s="871">
        <f t="shared" si="81"/>
        <v>0</v>
      </c>
      <c r="EA34" s="871">
        <f t="shared" si="82"/>
        <v>0</v>
      </c>
      <c r="EB34" s="871">
        <f t="shared" si="83"/>
        <v>0</v>
      </c>
      <c r="EC34" s="871">
        <f t="shared" si="84"/>
        <v>0</v>
      </c>
      <c r="ED34" s="871">
        <f t="shared" si="85"/>
        <v>0</v>
      </c>
      <c r="EE34" s="871">
        <f t="shared" si="86"/>
        <v>0</v>
      </c>
      <c r="EF34" s="871">
        <f t="shared" si="87"/>
        <v>0</v>
      </c>
      <c r="EG34" s="871">
        <f t="shared" si="88"/>
        <v>0</v>
      </c>
    </row>
    <row r="35" spans="1:137">
      <c r="A35" s="595"/>
      <c r="B35" s="598"/>
      <c r="C35" s="599"/>
      <c r="E35" s="1440">
        <f>'Crono Pessoal'!G195</f>
        <v>0</v>
      </c>
      <c r="F35" s="867"/>
      <c r="G35" s="868"/>
      <c r="H35" s="867"/>
      <c r="I35" s="869"/>
      <c r="J35" s="869"/>
      <c r="K35" s="76"/>
      <c r="L35" s="1479"/>
      <c r="M35" s="1454"/>
      <c r="N35" s="1454"/>
      <c r="O35" s="1454"/>
      <c r="P35" s="1454"/>
      <c r="Q35" s="1454"/>
      <c r="R35" s="1454"/>
      <c r="S35" s="1454"/>
      <c r="T35" s="1454"/>
      <c r="U35" s="1454"/>
      <c r="V35" s="1454"/>
      <c r="W35" s="1454"/>
      <c r="X35" s="1454"/>
      <c r="Y35" s="1454"/>
      <c r="Z35" s="1454"/>
      <c r="AA35" s="1454"/>
      <c r="AB35" s="1454"/>
      <c r="AC35" s="1454"/>
      <c r="AD35" s="1454"/>
      <c r="AE35" s="1454"/>
      <c r="AF35" s="1454"/>
      <c r="AG35" s="1454"/>
      <c r="AH35" s="1454"/>
      <c r="AI35" s="1454"/>
      <c r="AJ35" s="1454"/>
      <c r="AK35" s="1454"/>
      <c r="AL35" s="1454"/>
      <c r="AM35" s="1454"/>
      <c r="AN35" s="1454"/>
      <c r="AO35" s="1454"/>
      <c r="AP35" s="77"/>
      <c r="AQ35" s="871"/>
      <c r="AR35" s="871"/>
      <c r="AS35" s="871"/>
      <c r="AT35" s="871"/>
      <c r="AU35" s="871"/>
      <c r="AV35" s="871"/>
      <c r="AW35" s="871"/>
      <c r="AX35" s="871"/>
      <c r="AY35" s="871"/>
      <c r="AZ35" s="871"/>
      <c r="BA35" s="871"/>
      <c r="BB35" s="871"/>
      <c r="BC35" s="871"/>
      <c r="BD35" s="871"/>
      <c r="BE35" s="871"/>
      <c r="BF35" s="871"/>
      <c r="BG35" s="871"/>
      <c r="BH35" s="871"/>
      <c r="BI35" s="871"/>
      <c r="BJ35" s="871"/>
      <c r="BK35" s="871"/>
      <c r="BL35" s="871"/>
      <c r="BM35" s="871"/>
      <c r="BN35" s="871"/>
      <c r="BO35" s="871"/>
      <c r="BP35" s="871"/>
      <c r="BQ35" s="871"/>
      <c r="BR35" s="871"/>
      <c r="BS35" s="871"/>
      <c r="BT35" s="871"/>
      <c r="BU35" s="871"/>
      <c r="BV35" s="1453"/>
      <c r="BW35" s="871"/>
      <c r="BX35" s="871"/>
      <c r="BY35" s="871"/>
      <c r="BZ35" s="871"/>
      <c r="CA35" s="871"/>
      <c r="CB35" s="871"/>
      <c r="CC35" s="871"/>
      <c r="CD35" s="871"/>
      <c r="CE35" s="871"/>
      <c r="CF35" s="871"/>
      <c r="CG35" s="871"/>
      <c r="CH35" s="871"/>
      <c r="CI35" s="871"/>
      <c r="CJ35" s="871"/>
      <c r="CK35" s="871"/>
      <c r="CL35" s="871"/>
      <c r="CM35" s="871"/>
      <c r="CN35" s="871"/>
      <c r="CO35" s="871"/>
      <c r="CP35" s="871"/>
      <c r="CQ35" s="871"/>
      <c r="CR35" s="871"/>
      <c r="CS35" s="871"/>
      <c r="CT35" s="871"/>
      <c r="CU35" s="871"/>
      <c r="CV35" s="871"/>
      <c r="CW35" s="871"/>
      <c r="CX35" s="871"/>
      <c r="CY35" s="871"/>
      <c r="CZ35" s="871"/>
      <c r="DA35" s="871"/>
      <c r="DB35" s="41"/>
      <c r="DC35" s="871">
        <f t="shared" si="58"/>
        <v>0</v>
      </c>
      <c r="DD35" s="871">
        <f t="shared" si="59"/>
        <v>0</v>
      </c>
      <c r="DE35" s="871">
        <f t="shared" si="60"/>
        <v>0</v>
      </c>
      <c r="DF35" s="871">
        <f t="shared" si="61"/>
        <v>0</v>
      </c>
      <c r="DG35" s="871">
        <f t="shared" si="62"/>
        <v>0</v>
      </c>
      <c r="DH35" s="871">
        <f t="shared" si="63"/>
        <v>0</v>
      </c>
      <c r="DI35" s="871">
        <f t="shared" si="64"/>
        <v>0</v>
      </c>
      <c r="DJ35" s="871">
        <f t="shared" si="65"/>
        <v>0</v>
      </c>
      <c r="DK35" s="871">
        <f t="shared" si="66"/>
        <v>0</v>
      </c>
      <c r="DL35" s="871">
        <f t="shared" si="67"/>
        <v>0</v>
      </c>
      <c r="DM35" s="871">
        <f t="shared" si="68"/>
        <v>0</v>
      </c>
      <c r="DN35" s="871">
        <f t="shared" si="69"/>
        <v>0</v>
      </c>
      <c r="DO35" s="871">
        <f t="shared" si="70"/>
        <v>0</v>
      </c>
      <c r="DP35" s="871">
        <f t="shared" si="71"/>
        <v>0</v>
      </c>
      <c r="DQ35" s="871">
        <f t="shared" si="72"/>
        <v>0</v>
      </c>
      <c r="DR35" s="871">
        <f t="shared" si="73"/>
        <v>0</v>
      </c>
      <c r="DS35" s="871">
        <f t="shared" si="74"/>
        <v>0</v>
      </c>
      <c r="DT35" s="871">
        <f t="shared" si="75"/>
        <v>0</v>
      </c>
      <c r="DU35" s="871">
        <f t="shared" si="76"/>
        <v>0</v>
      </c>
      <c r="DV35" s="871">
        <f t="shared" si="77"/>
        <v>0</v>
      </c>
      <c r="DW35" s="871">
        <f t="shared" si="78"/>
        <v>0</v>
      </c>
      <c r="DX35" s="871">
        <f t="shared" si="79"/>
        <v>0</v>
      </c>
      <c r="DY35" s="871">
        <f t="shared" si="80"/>
        <v>0</v>
      </c>
      <c r="DZ35" s="871">
        <f t="shared" si="81"/>
        <v>0</v>
      </c>
      <c r="EA35" s="871">
        <f t="shared" si="82"/>
        <v>0</v>
      </c>
      <c r="EB35" s="871">
        <f t="shared" si="83"/>
        <v>0</v>
      </c>
      <c r="EC35" s="871">
        <f t="shared" si="84"/>
        <v>0</v>
      </c>
      <c r="ED35" s="871">
        <f t="shared" si="85"/>
        <v>0</v>
      </c>
      <c r="EE35" s="871">
        <f t="shared" si="86"/>
        <v>0</v>
      </c>
      <c r="EF35" s="871">
        <f t="shared" si="87"/>
        <v>0</v>
      </c>
      <c r="EG35" s="871">
        <f t="shared" si="88"/>
        <v>0</v>
      </c>
    </row>
    <row r="36" spans="1:137">
      <c r="A36" s="595"/>
      <c r="B36" s="598"/>
      <c r="C36" s="599"/>
      <c r="E36" s="1440">
        <f>'Crono Pessoal'!G196</f>
        <v>0</v>
      </c>
      <c r="F36" s="867"/>
      <c r="G36" s="868"/>
      <c r="H36" s="867"/>
      <c r="I36" s="869"/>
      <c r="J36" s="869"/>
      <c r="K36" s="76"/>
      <c r="L36" s="1479"/>
      <c r="M36" s="1454"/>
      <c r="N36" s="1454"/>
      <c r="O36" s="1454"/>
      <c r="P36" s="1454"/>
      <c r="Q36" s="1454"/>
      <c r="R36" s="1454"/>
      <c r="S36" s="1454"/>
      <c r="T36" s="1454"/>
      <c r="U36" s="1454"/>
      <c r="V36" s="1454"/>
      <c r="W36" s="1454"/>
      <c r="X36" s="1454"/>
      <c r="Y36" s="1454"/>
      <c r="Z36" s="1454"/>
      <c r="AA36" s="1454"/>
      <c r="AB36" s="1454"/>
      <c r="AC36" s="1454"/>
      <c r="AD36" s="1454"/>
      <c r="AE36" s="1454"/>
      <c r="AF36" s="1454"/>
      <c r="AG36" s="1454"/>
      <c r="AH36" s="1454"/>
      <c r="AI36" s="1454"/>
      <c r="AJ36" s="1454"/>
      <c r="AK36" s="1454"/>
      <c r="AL36" s="1454"/>
      <c r="AM36" s="1454"/>
      <c r="AN36" s="1454"/>
      <c r="AO36" s="1454"/>
      <c r="AP36" s="77"/>
      <c r="AQ36" s="871"/>
      <c r="AR36" s="871"/>
      <c r="AS36" s="871"/>
      <c r="AT36" s="871"/>
      <c r="AU36" s="871"/>
      <c r="AV36" s="871"/>
      <c r="AW36" s="871"/>
      <c r="AX36" s="871"/>
      <c r="AY36" s="871"/>
      <c r="AZ36" s="871"/>
      <c r="BA36" s="871"/>
      <c r="BB36" s="871"/>
      <c r="BC36" s="871"/>
      <c r="BD36" s="871"/>
      <c r="BE36" s="871"/>
      <c r="BF36" s="871"/>
      <c r="BG36" s="871"/>
      <c r="BH36" s="871"/>
      <c r="BI36" s="871"/>
      <c r="BJ36" s="871"/>
      <c r="BK36" s="871"/>
      <c r="BL36" s="871"/>
      <c r="BM36" s="871"/>
      <c r="BN36" s="871"/>
      <c r="BO36" s="871"/>
      <c r="BP36" s="871"/>
      <c r="BQ36" s="871"/>
      <c r="BR36" s="871"/>
      <c r="BS36" s="871"/>
      <c r="BT36" s="871"/>
      <c r="BU36" s="871"/>
      <c r="BV36" s="1453"/>
      <c r="BW36" s="871"/>
      <c r="BX36" s="871"/>
      <c r="BY36" s="871"/>
      <c r="BZ36" s="871"/>
      <c r="CA36" s="871"/>
      <c r="CB36" s="871"/>
      <c r="CC36" s="871"/>
      <c r="CD36" s="871"/>
      <c r="CE36" s="871"/>
      <c r="CF36" s="871"/>
      <c r="CG36" s="871"/>
      <c r="CH36" s="871"/>
      <c r="CI36" s="871"/>
      <c r="CJ36" s="871"/>
      <c r="CK36" s="871"/>
      <c r="CL36" s="871"/>
      <c r="CM36" s="871"/>
      <c r="CN36" s="871"/>
      <c r="CO36" s="871"/>
      <c r="CP36" s="871"/>
      <c r="CQ36" s="871"/>
      <c r="CR36" s="871"/>
      <c r="CS36" s="871"/>
      <c r="CT36" s="871"/>
      <c r="CU36" s="871"/>
      <c r="CV36" s="871"/>
      <c r="CW36" s="871"/>
      <c r="CX36" s="871"/>
      <c r="CY36" s="871"/>
      <c r="CZ36" s="871"/>
      <c r="DA36" s="871"/>
      <c r="DB36" s="41"/>
      <c r="DC36" s="871">
        <f t="shared" si="58"/>
        <v>0</v>
      </c>
      <c r="DD36" s="871">
        <f t="shared" si="59"/>
        <v>0</v>
      </c>
      <c r="DE36" s="871">
        <f t="shared" si="60"/>
        <v>0</v>
      </c>
      <c r="DF36" s="871">
        <f t="shared" si="61"/>
        <v>0</v>
      </c>
      <c r="DG36" s="871">
        <f t="shared" si="62"/>
        <v>0</v>
      </c>
      <c r="DH36" s="871">
        <f t="shared" si="63"/>
        <v>0</v>
      </c>
      <c r="DI36" s="871">
        <f t="shared" si="64"/>
        <v>0</v>
      </c>
      <c r="DJ36" s="871">
        <f t="shared" si="65"/>
        <v>0</v>
      </c>
      <c r="DK36" s="871">
        <f t="shared" si="66"/>
        <v>0</v>
      </c>
      <c r="DL36" s="871">
        <f t="shared" si="67"/>
        <v>0</v>
      </c>
      <c r="DM36" s="871">
        <f t="shared" si="68"/>
        <v>0</v>
      </c>
      <c r="DN36" s="871">
        <f t="shared" si="69"/>
        <v>0</v>
      </c>
      <c r="DO36" s="871">
        <f t="shared" si="70"/>
        <v>0</v>
      </c>
      <c r="DP36" s="871">
        <f t="shared" si="71"/>
        <v>0</v>
      </c>
      <c r="DQ36" s="871">
        <f t="shared" si="72"/>
        <v>0</v>
      </c>
      <c r="DR36" s="871">
        <f t="shared" si="73"/>
        <v>0</v>
      </c>
      <c r="DS36" s="871">
        <f t="shared" si="74"/>
        <v>0</v>
      </c>
      <c r="DT36" s="871">
        <f t="shared" si="75"/>
        <v>0</v>
      </c>
      <c r="DU36" s="871">
        <f t="shared" si="76"/>
        <v>0</v>
      </c>
      <c r="DV36" s="871">
        <f t="shared" si="77"/>
        <v>0</v>
      </c>
      <c r="DW36" s="871">
        <f t="shared" si="78"/>
        <v>0</v>
      </c>
      <c r="DX36" s="871">
        <f t="shared" si="79"/>
        <v>0</v>
      </c>
      <c r="DY36" s="871">
        <f t="shared" si="80"/>
        <v>0</v>
      </c>
      <c r="DZ36" s="871">
        <f t="shared" si="81"/>
        <v>0</v>
      </c>
      <c r="EA36" s="871">
        <f t="shared" si="82"/>
        <v>0</v>
      </c>
      <c r="EB36" s="871">
        <f t="shared" si="83"/>
        <v>0</v>
      </c>
      <c r="EC36" s="871">
        <f t="shared" si="84"/>
        <v>0</v>
      </c>
      <c r="ED36" s="871">
        <f t="shared" si="85"/>
        <v>0</v>
      </c>
      <c r="EE36" s="871">
        <f t="shared" si="86"/>
        <v>0</v>
      </c>
      <c r="EF36" s="871">
        <f t="shared" si="87"/>
        <v>0</v>
      </c>
      <c r="EG36" s="871">
        <f t="shared" si="88"/>
        <v>0</v>
      </c>
    </row>
    <row r="37" spans="1:137" ht="12.75" customHeight="1">
      <c r="A37" s="595"/>
      <c r="B37" s="598"/>
      <c r="C37" s="599"/>
      <c r="E37" s="1440" t="s">
        <v>1642</v>
      </c>
      <c r="F37" s="867"/>
      <c r="G37" s="868"/>
      <c r="H37" s="867"/>
      <c r="I37" s="869"/>
      <c r="J37" s="869"/>
      <c r="K37" s="76"/>
      <c r="L37" s="1479">
        <f ca="1">'Crono Pessoal'!AN190</f>
        <v>35</v>
      </c>
      <c r="M37" s="1479">
        <f ca="1">$L$37</f>
        <v>35</v>
      </c>
      <c r="N37" s="1479">
        <f t="shared" ref="N37:AO37" ca="1" si="270">$L$37</f>
        <v>35</v>
      </c>
      <c r="O37" s="1479">
        <f t="shared" ca="1" si="270"/>
        <v>35</v>
      </c>
      <c r="P37" s="1479">
        <f t="shared" ca="1" si="270"/>
        <v>35</v>
      </c>
      <c r="Q37" s="1479">
        <f t="shared" ca="1" si="270"/>
        <v>35</v>
      </c>
      <c r="R37" s="1479">
        <f t="shared" ca="1" si="270"/>
        <v>35</v>
      </c>
      <c r="S37" s="1479">
        <f t="shared" ca="1" si="270"/>
        <v>35</v>
      </c>
      <c r="T37" s="1479">
        <f t="shared" ca="1" si="270"/>
        <v>35</v>
      </c>
      <c r="U37" s="1479">
        <f t="shared" ca="1" si="270"/>
        <v>35</v>
      </c>
      <c r="V37" s="1479">
        <f t="shared" ca="1" si="270"/>
        <v>35</v>
      </c>
      <c r="W37" s="1479">
        <f t="shared" ca="1" si="270"/>
        <v>35</v>
      </c>
      <c r="X37" s="1479">
        <f t="shared" ca="1" si="270"/>
        <v>35</v>
      </c>
      <c r="Y37" s="1479">
        <f t="shared" ca="1" si="270"/>
        <v>35</v>
      </c>
      <c r="Z37" s="1479">
        <f t="shared" ca="1" si="270"/>
        <v>35</v>
      </c>
      <c r="AA37" s="1479">
        <f t="shared" ca="1" si="270"/>
        <v>35</v>
      </c>
      <c r="AB37" s="1479">
        <f t="shared" ca="1" si="270"/>
        <v>35</v>
      </c>
      <c r="AC37" s="1479">
        <f t="shared" ca="1" si="270"/>
        <v>35</v>
      </c>
      <c r="AD37" s="1479">
        <f t="shared" ca="1" si="270"/>
        <v>35</v>
      </c>
      <c r="AE37" s="1479">
        <f t="shared" ca="1" si="270"/>
        <v>35</v>
      </c>
      <c r="AF37" s="1479">
        <f t="shared" ca="1" si="270"/>
        <v>35</v>
      </c>
      <c r="AG37" s="1479">
        <f t="shared" ca="1" si="270"/>
        <v>35</v>
      </c>
      <c r="AH37" s="1479">
        <f t="shared" ca="1" si="270"/>
        <v>35</v>
      </c>
      <c r="AI37" s="1479">
        <f t="shared" ca="1" si="270"/>
        <v>35</v>
      </c>
      <c r="AJ37" s="1479">
        <f t="shared" ca="1" si="270"/>
        <v>35</v>
      </c>
      <c r="AK37" s="1479">
        <f t="shared" ca="1" si="270"/>
        <v>35</v>
      </c>
      <c r="AL37" s="1479">
        <f t="shared" ca="1" si="270"/>
        <v>35</v>
      </c>
      <c r="AM37" s="1479">
        <f t="shared" ca="1" si="270"/>
        <v>35</v>
      </c>
      <c r="AN37" s="1479">
        <f t="shared" ca="1" si="270"/>
        <v>35</v>
      </c>
      <c r="AO37" s="1479">
        <f t="shared" ca="1" si="270"/>
        <v>35</v>
      </c>
      <c r="AP37" s="77"/>
      <c r="AQ37" s="871">
        <f t="shared" ca="1" si="118"/>
        <v>0</v>
      </c>
      <c r="AR37" s="871">
        <f t="shared" ca="1" si="235"/>
        <v>0</v>
      </c>
      <c r="AS37" s="871">
        <f t="shared" ca="1" si="236"/>
        <v>0</v>
      </c>
      <c r="AT37" s="871">
        <f t="shared" ca="1" si="237"/>
        <v>0</v>
      </c>
      <c r="AU37" s="871">
        <f t="shared" ca="1" si="238"/>
        <v>0</v>
      </c>
      <c r="AV37" s="871">
        <f t="shared" ca="1" si="239"/>
        <v>0</v>
      </c>
      <c r="AW37" s="871">
        <f t="shared" ca="1" si="240"/>
        <v>0</v>
      </c>
      <c r="AX37" s="871">
        <f t="shared" ca="1" si="241"/>
        <v>0</v>
      </c>
      <c r="AY37" s="871">
        <f t="shared" ca="1" si="242"/>
        <v>0</v>
      </c>
      <c r="AZ37" s="871">
        <f t="shared" ca="1" si="243"/>
        <v>0</v>
      </c>
      <c r="BA37" s="871">
        <f t="shared" ca="1" si="244"/>
        <v>0</v>
      </c>
      <c r="BB37" s="871">
        <f t="shared" ca="1" si="245"/>
        <v>0</v>
      </c>
      <c r="BC37" s="871">
        <f t="shared" ca="1" si="246"/>
        <v>0</v>
      </c>
      <c r="BD37" s="871">
        <f t="shared" ca="1" si="247"/>
        <v>0</v>
      </c>
      <c r="BE37" s="871">
        <f t="shared" ca="1" si="248"/>
        <v>0</v>
      </c>
      <c r="BF37" s="871">
        <f t="shared" ca="1" si="249"/>
        <v>0</v>
      </c>
      <c r="BG37" s="871">
        <f t="shared" ca="1" si="250"/>
        <v>0</v>
      </c>
      <c r="BH37" s="871">
        <f t="shared" ca="1" si="251"/>
        <v>0</v>
      </c>
      <c r="BI37" s="871">
        <f t="shared" ca="1" si="252"/>
        <v>0</v>
      </c>
      <c r="BJ37" s="871">
        <f t="shared" ca="1" si="253"/>
        <v>0</v>
      </c>
      <c r="BK37" s="871">
        <f t="shared" ca="1" si="254"/>
        <v>0</v>
      </c>
      <c r="BL37" s="871">
        <f t="shared" ca="1" si="255"/>
        <v>0</v>
      </c>
      <c r="BM37" s="871">
        <f t="shared" ca="1" si="256"/>
        <v>0</v>
      </c>
      <c r="BN37" s="871">
        <f t="shared" ca="1" si="257"/>
        <v>0</v>
      </c>
      <c r="BO37" s="871">
        <f t="shared" ca="1" si="258"/>
        <v>0</v>
      </c>
      <c r="BP37" s="871">
        <f t="shared" ca="1" si="259"/>
        <v>0</v>
      </c>
      <c r="BQ37" s="871">
        <f t="shared" ca="1" si="260"/>
        <v>0</v>
      </c>
      <c r="BR37" s="871">
        <f t="shared" ca="1" si="261"/>
        <v>0</v>
      </c>
      <c r="BS37" s="871">
        <f t="shared" ca="1" si="262"/>
        <v>0</v>
      </c>
      <c r="BT37" s="871">
        <f t="shared" ca="1" si="263"/>
        <v>0</v>
      </c>
      <c r="BU37" s="871">
        <f t="shared" ca="1" si="264"/>
        <v>0</v>
      </c>
      <c r="BV37" s="1453"/>
      <c r="BW37" s="871">
        <f t="shared" si="117"/>
        <v>0</v>
      </c>
      <c r="BX37" s="871"/>
      <c r="BY37" s="871"/>
      <c r="BZ37" s="871"/>
      <c r="CA37" s="871"/>
      <c r="CB37" s="871"/>
      <c r="CC37" s="871"/>
      <c r="CD37" s="871"/>
      <c r="CE37" s="871"/>
      <c r="CF37" s="871"/>
      <c r="CG37" s="871"/>
      <c r="CH37" s="871"/>
      <c r="CI37" s="871"/>
      <c r="CJ37" s="871"/>
      <c r="CK37" s="871"/>
      <c r="CL37" s="871"/>
      <c r="CM37" s="871"/>
      <c r="CN37" s="871"/>
      <c r="CO37" s="871"/>
      <c r="CP37" s="871"/>
      <c r="CQ37" s="871"/>
      <c r="CR37" s="871"/>
      <c r="CS37" s="871"/>
      <c r="CT37" s="871"/>
      <c r="CU37" s="871"/>
      <c r="CV37" s="871"/>
      <c r="CW37" s="871"/>
      <c r="CX37" s="871"/>
      <c r="CY37" s="871"/>
      <c r="CZ37" s="871"/>
      <c r="DA37" s="871"/>
      <c r="DB37" s="41"/>
      <c r="DC37" s="871">
        <f t="shared" ca="1" si="58"/>
        <v>0</v>
      </c>
      <c r="DD37" s="871">
        <f t="shared" ca="1" si="59"/>
        <v>0</v>
      </c>
      <c r="DE37" s="871">
        <f t="shared" ca="1" si="60"/>
        <v>0</v>
      </c>
      <c r="DF37" s="871">
        <f t="shared" ca="1" si="61"/>
        <v>0</v>
      </c>
      <c r="DG37" s="871">
        <f t="shared" ca="1" si="62"/>
        <v>0</v>
      </c>
      <c r="DH37" s="871">
        <f t="shared" ca="1" si="63"/>
        <v>0</v>
      </c>
      <c r="DI37" s="871">
        <f t="shared" ca="1" si="64"/>
        <v>0</v>
      </c>
      <c r="DJ37" s="871">
        <f t="shared" ca="1" si="65"/>
        <v>0</v>
      </c>
      <c r="DK37" s="871">
        <f t="shared" ca="1" si="66"/>
        <v>0</v>
      </c>
      <c r="DL37" s="871">
        <f t="shared" ca="1" si="67"/>
        <v>0</v>
      </c>
      <c r="DM37" s="871">
        <f t="shared" ca="1" si="68"/>
        <v>0</v>
      </c>
      <c r="DN37" s="871">
        <f t="shared" ca="1" si="69"/>
        <v>0</v>
      </c>
      <c r="DO37" s="871">
        <f t="shared" ca="1" si="70"/>
        <v>0</v>
      </c>
      <c r="DP37" s="871">
        <f t="shared" ca="1" si="71"/>
        <v>0</v>
      </c>
      <c r="DQ37" s="871">
        <f t="shared" ca="1" si="72"/>
        <v>0</v>
      </c>
      <c r="DR37" s="871">
        <f t="shared" ca="1" si="73"/>
        <v>0</v>
      </c>
      <c r="DS37" s="871">
        <f t="shared" ca="1" si="74"/>
        <v>0</v>
      </c>
      <c r="DT37" s="871">
        <f t="shared" ca="1" si="75"/>
        <v>0</v>
      </c>
      <c r="DU37" s="871">
        <f t="shared" ca="1" si="76"/>
        <v>0</v>
      </c>
      <c r="DV37" s="871">
        <f t="shared" ca="1" si="77"/>
        <v>0</v>
      </c>
      <c r="DW37" s="871">
        <f t="shared" ca="1" si="78"/>
        <v>0</v>
      </c>
      <c r="DX37" s="871">
        <f t="shared" ca="1" si="79"/>
        <v>0</v>
      </c>
      <c r="DY37" s="871">
        <f t="shared" ca="1" si="80"/>
        <v>0</v>
      </c>
      <c r="DZ37" s="871">
        <f t="shared" ca="1" si="81"/>
        <v>0</v>
      </c>
      <c r="EA37" s="871">
        <f t="shared" ca="1" si="82"/>
        <v>0</v>
      </c>
      <c r="EB37" s="871">
        <f t="shared" ca="1" si="83"/>
        <v>0</v>
      </c>
      <c r="EC37" s="871">
        <f t="shared" ca="1" si="84"/>
        <v>0</v>
      </c>
      <c r="ED37" s="871">
        <f t="shared" ca="1" si="85"/>
        <v>0</v>
      </c>
      <c r="EE37" s="871">
        <f t="shared" ca="1" si="86"/>
        <v>0</v>
      </c>
      <c r="EF37" s="871">
        <f t="shared" ca="1" si="87"/>
        <v>0</v>
      </c>
      <c r="EG37" s="871">
        <f t="shared" ca="1" si="88"/>
        <v>0</v>
      </c>
    </row>
    <row r="38" spans="1:137" ht="12.75" customHeight="1">
      <c r="A38" s="595"/>
      <c r="B38" s="598"/>
      <c r="C38" s="599"/>
      <c r="E38" s="1440" t="s">
        <v>1643</v>
      </c>
      <c r="F38" s="867"/>
      <c r="G38" s="868"/>
      <c r="H38" s="867"/>
      <c r="I38" s="869"/>
      <c r="J38" s="869"/>
      <c r="K38" s="76"/>
      <c r="L38" s="1479">
        <f ca="1">'Crono Pessoal'!AN191</f>
        <v>28</v>
      </c>
      <c r="M38" s="1479">
        <f ca="1">$L$38</f>
        <v>28</v>
      </c>
      <c r="N38" s="1479">
        <f t="shared" ref="N38:AO38" ca="1" si="271">$L$38</f>
        <v>28</v>
      </c>
      <c r="O38" s="1479">
        <f t="shared" ca="1" si="271"/>
        <v>28</v>
      </c>
      <c r="P38" s="1479">
        <f t="shared" ca="1" si="271"/>
        <v>28</v>
      </c>
      <c r="Q38" s="1479">
        <f t="shared" ca="1" si="271"/>
        <v>28</v>
      </c>
      <c r="R38" s="1479">
        <f t="shared" ca="1" si="271"/>
        <v>28</v>
      </c>
      <c r="S38" s="1479">
        <f t="shared" ca="1" si="271"/>
        <v>28</v>
      </c>
      <c r="T38" s="1479">
        <f t="shared" ca="1" si="271"/>
        <v>28</v>
      </c>
      <c r="U38" s="1479">
        <f t="shared" ca="1" si="271"/>
        <v>28</v>
      </c>
      <c r="V38" s="1479">
        <f t="shared" ca="1" si="271"/>
        <v>28</v>
      </c>
      <c r="W38" s="1479">
        <f t="shared" ca="1" si="271"/>
        <v>28</v>
      </c>
      <c r="X38" s="1479">
        <f t="shared" ca="1" si="271"/>
        <v>28</v>
      </c>
      <c r="Y38" s="1479">
        <f t="shared" ca="1" si="271"/>
        <v>28</v>
      </c>
      <c r="Z38" s="1479">
        <f t="shared" ca="1" si="271"/>
        <v>28</v>
      </c>
      <c r="AA38" s="1479">
        <f t="shared" ca="1" si="271"/>
        <v>28</v>
      </c>
      <c r="AB38" s="1479">
        <f t="shared" ca="1" si="271"/>
        <v>28</v>
      </c>
      <c r="AC38" s="1479">
        <f t="shared" ca="1" si="271"/>
        <v>28</v>
      </c>
      <c r="AD38" s="1479">
        <f t="shared" ca="1" si="271"/>
        <v>28</v>
      </c>
      <c r="AE38" s="1479">
        <f t="shared" ca="1" si="271"/>
        <v>28</v>
      </c>
      <c r="AF38" s="1479">
        <f t="shared" ca="1" si="271"/>
        <v>28</v>
      </c>
      <c r="AG38" s="1479">
        <f t="shared" ca="1" si="271"/>
        <v>28</v>
      </c>
      <c r="AH38" s="1479">
        <f t="shared" ca="1" si="271"/>
        <v>28</v>
      </c>
      <c r="AI38" s="1479">
        <f t="shared" ca="1" si="271"/>
        <v>28</v>
      </c>
      <c r="AJ38" s="1479">
        <f t="shared" ca="1" si="271"/>
        <v>28</v>
      </c>
      <c r="AK38" s="1479">
        <f t="shared" ca="1" si="271"/>
        <v>28</v>
      </c>
      <c r="AL38" s="1479">
        <f t="shared" ca="1" si="271"/>
        <v>28</v>
      </c>
      <c r="AM38" s="1479">
        <f t="shared" ca="1" si="271"/>
        <v>28</v>
      </c>
      <c r="AN38" s="1479">
        <f t="shared" ca="1" si="271"/>
        <v>28</v>
      </c>
      <c r="AO38" s="1479">
        <f t="shared" ca="1" si="271"/>
        <v>28</v>
      </c>
      <c r="AP38" s="77"/>
      <c r="AQ38" s="871">
        <f t="shared" ca="1" si="118"/>
        <v>0</v>
      </c>
      <c r="AR38" s="871">
        <f t="shared" ca="1" si="235"/>
        <v>0</v>
      </c>
      <c r="AS38" s="871">
        <f t="shared" ca="1" si="236"/>
        <v>0</v>
      </c>
      <c r="AT38" s="871">
        <f t="shared" ca="1" si="237"/>
        <v>0</v>
      </c>
      <c r="AU38" s="871">
        <f t="shared" ca="1" si="238"/>
        <v>0</v>
      </c>
      <c r="AV38" s="871">
        <f t="shared" ca="1" si="239"/>
        <v>0</v>
      </c>
      <c r="AW38" s="871">
        <f t="shared" ca="1" si="240"/>
        <v>0</v>
      </c>
      <c r="AX38" s="871">
        <f t="shared" ca="1" si="241"/>
        <v>0</v>
      </c>
      <c r="AY38" s="871">
        <f t="shared" ca="1" si="242"/>
        <v>0</v>
      </c>
      <c r="AZ38" s="871">
        <f t="shared" ca="1" si="243"/>
        <v>0</v>
      </c>
      <c r="BA38" s="871">
        <f t="shared" ca="1" si="244"/>
        <v>0</v>
      </c>
      <c r="BB38" s="871">
        <f t="shared" ca="1" si="245"/>
        <v>0</v>
      </c>
      <c r="BC38" s="871">
        <f t="shared" ca="1" si="246"/>
        <v>0</v>
      </c>
      <c r="BD38" s="871">
        <f t="shared" ca="1" si="247"/>
        <v>0</v>
      </c>
      <c r="BE38" s="871">
        <f t="shared" ca="1" si="248"/>
        <v>0</v>
      </c>
      <c r="BF38" s="871">
        <f t="shared" ca="1" si="249"/>
        <v>0</v>
      </c>
      <c r="BG38" s="871">
        <f t="shared" ca="1" si="250"/>
        <v>0</v>
      </c>
      <c r="BH38" s="871">
        <f t="shared" ca="1" si="251"/>
        <v>0</v>
      </c>
      <c r="BI38" s="871">
        <f t="shared" ca="1" si="252"/>
        <v>0</v>
      </c>
      <c r="BJ38" s="871">
        <f t="shared" ca="1" si="253"/>
        <v>0</v>
      </c>
      <c r="BK38" s="871">
        <f t="shared" ca="1" si="254"/>
        <v>0</v>
      </c>
      <c r="BL38" s="871">
        <f t="shared" ca="1" si="255"/>
        <v>0</v>
      </c>
      <c r="BM38" s="871">
        <f t="shared" ca="1" si="256"/>
        <v>0</v>
      </c>
      <c r="BN38" s="871">
        <f t="shared" ca="1" si="257"/>
        <v>0</v>
      </c>
      <c r="BO38" s="871">
        <f t="shared" ca="1" si="258"/>
        <v>0</v>
      </c>
      <c r="BP38" s="871">
        <f t="shared" ca="1" si="259"/>
        <v>0</v>
      </c>
      <c r="BQ38" s="871">
        <f t="shared" ca="1" si="260"/>
        <v>0</v>
      </c>
      <c r="BR38" s="871">
        <f t="shared" ca="1" si="261"/>
        <v>0</v>
      </c>
      <c r="BS38" s="871">
        <f t="shared" ca="1" si="262"/>
        <v>0</v>
      </c>
      <c r="BT38" s="871">
        <f t="shared" ca="1" si="263"/>
        <v>0</v>
      </c>
      <c r="BU38" s="871">
        <f t="shared" ca="1" si="264"/>
        <v>0</v>
      </c>
      <c r="BV38" s="1453"/>
      <c r="BW38" s="871">
        <f t="shared" si="117"/>
        <v>0</v>
      </c>
      <c r="BX38" s="871"/>
      <c r="BY38" s="871"/>
      <c r="BZ38" s="871"/>
      <c r="CA38" s="871"/>
      <c r="CB38" s="871"/>
      <c r="CC38" s="871"/>
      <c r="CD38" s="871"/>
      <c r="CE38" s="871"/>
      <c r="CF38" s="871"/>
      <c r="CG38" s="871"/>
      <c r="CH38" s="871"/>
      <c r="CI38" s="871"/>
      <c r="CJ38" s="871"/>
      <c r="CK38" s="871"/>
      <c r="CL38" s="871"/>
      <c r="CM38" s="871"/>
      <c r="CN38" s="871"/>
      <c r="CO38" s="871"/>
      <c r="CP38" s="871"/>
      <c r="CQ38" s="871"/>
      <c r="CR38" s="871"/>
      <c r="CS38" s="871"/>
      <c r="CT38" s="871"/>
      <c r="CU38" s="871"/>
      <c r="CV38" s="871"/>
      <c r="CW38" s="871"/>
      <c r="CX38" s="871"/>
      <c r="CY38" s="871"/>
      <c r="CZ38" s="871"/>
      <c r="DA38" s="871"/>
      <c r="DB38" s="41"/>
      <c r="DC38" s="871">
        <f t="shared" ca="1" si="58"/>
        <v>0</v>
      </c>
      <c r="DD38" s="871">
        <f t="shared" ca="1" si="59"/>
        <v>0</v>
      </c>
      <c r="DE38" s="871">
        <f t="shared" ca="1" si="60"/>
        <v>0</v>
      </c>
      <c r="DF38" s="871">
        <f t="shared" ca="1" si="61"/>
        <v>0</v>
      </c>
      <c r="DG38" s="871">
        <f t="shared" ca="1" si="62"/>
        <v>0</v>
      </c>
      <c r="DH38" s="871">
        <f t="shared" ca="1" si="63"/>
        <v>0</v>
      </c>
      <c r="DI38" s="871">
        <f t="shared" ca="1" si="64"/>
        <v>0</v>
      </c>
      <c r="DJ38" s="871">
        <f t="shared" ca="1" si="65"/>
        <v>0</v>
      </c>
      <c r="DK38" s="871">
        <f t="shared" ca="1" si="66"/>
        <v>0</v>
      </c>
      <c r="DL38" s="871">
        <f t="shared" ca="1" si="67"/>
        <v>0</v>
      </c>
      <c r="DM38" s="871">
        <f t="shared" ca="1" si="68"/>
        <v>0</v>
      </c>
      <c r="DN38" s="871">
        <f t="shared" ca="1" si="69"/>
        <v>0</v>
      </c>
      <c r="DO38" s="871">
        <f t="shared" ca="1" si="70"/>
        <v>0</v>
      </c>
      <c r="DP38" s="871">
        <f t="shared" ca="1" si="71"/>
        <v>0</v>
      </c>
      <c r="DQ38" s="871">
        <f t="shared" ca="1" si="72"/>
        <v>0</v>
      </c>
      <c r="DR38" s="871">
        <f t="shared" ca="1" si="73"/>
        <v>0</v>
      </c>
      <c r="DS38" s="871">
        <f t="shared" ca="1" si="74"/>
        <v>0</v>
      </c>
      <c r="DT38" s="871">
        <f t="shared" ca="1" si="75"/>
        <v>0</v>
      </c>
      <c r="DU38" s="871">
        <f t="shared" ca="1" si="76"/>
        <v>0</v>
      </c>
      <c r="DV38" s="871">
        <f t="shared" ca="1" si="77"/>
        <v>0</v>
      </c>
      <c r="DW38" s="871">
        <f t="shared" ca="1" si="78"/>
        <v>0</v>
      </c>
      <c r="DX38" s="871">
        <f t="shared" ca="1" si="79"/>
        <v>0</v>
      </c>
      <c r="DY38" s="871">
        <f t="shared" ca="1" si="80"/>
        <v>0</v>
      </c>
      <c r="DZ38" s="871">
        <f t="shared" ca="1" si="81"/>
        <v>0</v>
      </c>
      <c r="EA38" s="871">
        <f t="shared" ca="1" si="82"/>
        <v>0</v>
      </c>
      <c r="EB38" s="871">
        <f t="shared" ca="1" si="83"/>
        <v>0</v>
      </c>
      <c r="EC38" s="871">
        <f t="shared" ca="1" si="84"/>
        <v>0</v>
      </c>
      <c r="ED38" s="871">
        <f t="shared" ca="1" si="85"/>
        <v>0</v>
      </c>
      <c r="EE38" s="871">
        <f t="shared" ca="1" si="86"/>
        <v>0</v>
      </c>
      <c r="EF38" s="871">
        <f t="shared" ca="1" si="87"/>
        <v>0</v>
      </c>
      <c r="EG38" s="871">
        <f t="shared" ca="1" si="88"/>
        <v>0</v>
      </c>
    </row>
    <row r="39" spans="1:137">
      <c r="A39" s="595"/>
      <c r="B39" s="598"/>
      <c r="C39" s="599"/>
      <c r="E39" s="1458"/>
      <c r="F39" s="1480"/>
      <c r="G39" s="1481"/>
      <c r="H39" s="1482"/>
      <c r="I39" s="1483"/>
      <c r="J39" s="1483"/>
      <c r="K39" s="23"/>
      <c r="L39" s="1484"/>
      <c r="M39" s="1484"/>
      <c r="N39" s="1484"/>
      <c r="O39" s="1484"/>
      <c r="P39" s="1484"/>
      <c r="Q39" s="1484"/>
      <c r="R39" s="1484"/>
      <c r="S39" s="1484"/>
      <c r="T39" s="1484"/>
      <c r="U39" s="1484"/>
      <c r="V39" s="1484"/>
      <c r="W39" s="1484"/>
      <c r="X39" s="1484"/>
      <c r="Y39" s="1484"/>
      <c r="Z39" s="1484"/>
      <c r="AA39" s="1484"/>
      <c r="AB39" s="1484"/>
      <c r="AC39" s="1484"/>
      <c r="AD39" s="1484"/>
      <c r="AE39" s="1484"/>
      <c r="AF39" s="1484"/>
      <c r="AG39" s="1484"/>
      <c r="AH39" s="1484"/>
      <c r="AI39" s="1484"/>
      <c r="AJ39" s="1484"/>
      <c r="AK39" s="1484"/>
      <c r="AL39" s="1484"/>
      <c r="AM39" s="1484"/>
      <c r="AN39" s="1484"/>
      <c r="AO39" s="1484"/>
      <c r="AP39" s="26"/>
      <c r="AQ39" s="871">
        <f t="shared" si="118"/>
        <v>0</v>
      </c>
      <c r="AR39" s="1485"/>
      <c r="AS39" s="1485"/>
      <c r="AT39" s="1485"/>
      <c r="AU39" s="1485"/>
      <c r="AV39" s="1485"/>
      <c r="AW39" s="1485"/>
      <c r="AX39" s="1485"/>
      <c r="AY39" s="1485"/>
      <c r="AZ39" s="1485"/>
      <c r="BA39" s="1485"/>
      <c r="BB39" s="1485"/>
      <c r="BC39" s="1485"/>
      <c r="BD39" s="1485"/>
      <c r="BE39" s="1485"/>
      <c r="BF39" s="1485"/>
      <c r="BG39" s="1485"/>
      <c r="BH39" s="1485"/>
      <c r="BI39" s="1485"/>
      <c r="BJ39" s="1485"/>
      <c r="BK39" s="1485"/>
      <c r="BL39" s="1485"/>
      <c r="BM39" s="1485"/>
      <c r="BN39" s="1485"/>
      <c r="BO39" s="1485"/>
      <c r="BP39" s="1485"/>
      <c r="BQ39" s="1485"/>
      <c r="BR39" s="1485"/>
      <c r="BS39" s="1485"/>
      <c r="BT39" s="1485"/>
      <c r="BU39" s="1485"/>
      <c r="BV39" s="59"/>
      <c r="BW39" s="871">
        <f t="shared" si="117"/>
        <v>0</v>
      </c>
      <c r="BX39" s="1485"/>
      <c r="BY39" s="1485"/>
      <c r="BZ39" s="1485"/>
      <c r="CA39" s="1485"/>
      <c r="CB39" s="1485"/>
      <c r="CC39" s="1485"/>
      <c r="CD39" s="1485"/>
      <c r="CE39" s="1485"/>
      <c r="CF39" s="1485"/>
      <c r="CG39" s="1485"/>
      <c r="CH39" s="1485"/>
      <c r="CI39" s="1485"/>
      <c r="CJ39" s="1485"/>
      <c r="CK39" s="1485"/>
      <c r="CL39" s="1485"/>
      <c r="CM39" s="1485"/>
      <c r="CN39" s="1485"/>
      <c r="CO39" s="1485"/>
      <c r="CP39" s="1485"/>
      <c r="CQ39" s="1485"/>
      <c r="CR39" s="1485"/>
      <c r="CS39" s="1485"/>
      <c r="CT39" s="1485"/>
      <c r="CU39" s="1485"/>
      <c r="CV39" s="1485"/>
      <c r="CW39" s="1485"/>
      <c r="CX39" s="1485"/>
      <c r="CY39" s="1485"/>
      <c r="CZ39" s="1485"/>
      <c r="DA39" s="1485"/>
      <c r="DB39" s="41"/>
      <c r="DC39" s="871">
        <f t="shared" si="58"/>
        <v>0</v>
      </c>
      <c r="DD39" s="1485">
        <f t="shared" si="59"/>
        <v>0</v>
      </c>
      <c r="DE39" s="1485">
        <f t="shared" si="60"/>
        <v>0</v>
      </c>
      <c r="DF39" s="1485">
        <f t="shared" si="61"/>
        <v>0</v>
      </c>
      <c r="DG39" s="1485">
        <f t="shared" si="62"/>
        <v>0</v>
      </c>
      <c r="DH39" s="1485">
        <f t="shared" si="63"/>
        <v>0</v>
      </c>
      <c r="DI39" s="1485">
        <f t="shared" si="64"/>
        <v>0</v>
      </c>
      <c r="DJ39" s="1485">
        <f t="shared" si="65"/>
        <v>0</v>
      </c>
      <c r="DK39" s="1485">
        <f t="shared" si="66"/>
        <v>0</v>
      </c>
      <c r="DL39" s="1485">
        <f t="shared" si="67"/>
        <v>0</v>
      </c>
      <c r="DM39" s="1485">
        <f t="shared" si="68"/>
        <v>0</v>
      </c>
      <c r="DN39" s="1485">
        <f t="shared" si="69"/>
        <v>0</v>
      </c>
      <c r="DO39" s="1485">
        <f t="shared" si="70"/>
        <v>0</v>
      </c>
      <c r="DP39" s="1485">
        <f t="shared" si="71"/>
        <v>0</v>
      </c>
      <c r="DQ39" s="1485">
        <f t="shared" si="72"/>
        <v>0</v>
      </c>
      <c r="DR39" s="1485">
        <f t="shared" si="73"/>
        <v>0</v>
      </c>
      <c r="DS39" s="1485">
        <f t="shared" si="74"/>
        <v>0</v>
      </c>
      <c r="DT39" s="1485">
        <f t="shared" si="75"/>
        <v>0</v>
      </c>
      <c r="DU39" s="1485">
        <f t="shared" si="76"/>
        <v>0</v>
      </c>
      <c r="DV39" s="1485">
        <f t="shared" si="77"/>
        <v>0</v>
      </c>
      <c r="DW39" s="1485">
        <f t="shared" si="78"/>
        <v>0</v>
      </c>
      <c r="DX39" s="1485">
        <f t="shared" si="79"/>
        <v>0</v>
      </c>
      <c r="DY39" s="1485">
        <f t="shared" si="80"/>
        <v>0</v>
      </c>
      <c r="DZ39" s="1485">
        <f t="shared" si="81"/>
        <v>0</v>
      </c>
      <c r="EA39" s="1485">
        <f t="shared" si="82"/>
        <v>0</v>
      </c>
      <c r="EB39" s="1485">
        <f t="shared" si="83"/>
        <v>0</v>
      </c>
      <c r="EC39" s="1485">
        <f t="shared" si="84"/>
        <v>0</v>
      </c>
      <c r="ED39" s="1485">
        <f t="shared" si="85"/>
        <v>0</v>
      </c>
      <c r="EE39" s="1485">
        <f t="shared" si="86"/>
        <v>0</v>
      </c>
      <c r="EF39" s="1485">
        <f t="shared" si="87"/>
        <v>0</v>
      </c>
      <c r="EG39" s="1485">
        <f t="shared" si="88"/>
        <v>0</v>
      </c>
    </row>
    <row r="40" spans="1:137" s="408" customFormat="1">
      <c r="A40" s="595"/>
      <c r="B40" s="598"/>
      <c r="C40" s="599"/>
      <c r="D40" s="407"/>
      <c r="E40" s="1437" t="s">
        <v>1644</v>
      </c>
      <c r="F40" s="1476"/>
      <c r="G40" s="1447"/>
      <c r="H40" s="1448"/>
      <c r="I40" s="1449"/>
      <c r="J40" s="1449"/>
      <c r="K40" s="723"/>
      <c r="L40" s="1448"/>
      <c r="M40" s="1448"/>
      <c r="N40" s="1448"/>
      <c r="O40" s="1448"/>
      <c r="P40" s="1448"/>
      <c r="Q40" s="1448"/>
      <c r="R40" s="1448"/>
      <c r="S40" s="1448"/>
      <c r="T40" s="1448"/>
      <c r="U40" s="1448"/>
      <c r="V40" s="1448"/>
      <c r="W40" s="1448"/>
      <c r="X40" s="1448"/>
      <c r="Y40" s="1448"/>
      <c r="Z40" s="1448"/>
      <c r="AA40" s="1448"/>
      <c r="AB40" s="1448"/>
      <c r="AC40" s="1448"/>
      <c r="AD40" s="1448"/>
      <c r="AE40" s="1448"/>
      <c r="AF40" s="1448"/>
      <c r="AG40" s="1448"/>
      <c r="AH40" s="1477"/>
      <c r="AI40" s="1477"/>
      <c r="AJ40" s="1477"/>
      <c r="AK40" s="1477"/>
      <c r="AL40" s="1477"/>
      <c r="AM40" s="1477"/>
      <c r="AN40" s="1477"/>
      <c r="AO40" s="1477"/>
      <c r="AP40" s="724"/>
      <c r="AQ40" s="1438">
        <f t="shared" si="118"/>
        <v>0</v>
      </c>
      <c r="AR40" s="1486"/>
      <c r="AS40" s="1486"/>
      <c r="AT40" s="1486"/>
      <c r="AU40" s="1486"/>
      <c r="AV40" s="1486"/>
      <c r="AW40" s="1486"/>
      <c r="AX40" s="1486"/>
      <c r="AY40" s="1486"/>
      <c r="AZ40" s="1486"/>
      <c r="BA40" s="1486"/>
      <c r="BB40" s="1486"/>
      <c r="BC40" s="1486"/>
      <c r="BD40" s="1486"/>
      <c r="BE40" s="1486"/>
      <c r="BF40" s="1486"/>
      <c r="BG40" s="1486"/>
      <c r="BH40" s="1486"/>
      <c r="BI40" s="1486"/>
      <c r="BJ40" s="1486"/>
      <c r="BK40" s="1486"/>
      <c r="BL40" s="1486"/>
      <c r="BM40" s="1486"/>
      <c r="BN40" s="1487"/>
      <c r="BO40" s="1487"/>
      <c r="BP40" s="1487"/>
      <c r="BQ40" s="1487"/>
      <c r="BR40" s="1487"/>
      <c r="BS40" s="1487"/>
      <c r="BT40" s="1487"/>
      <c r="BU40" s="1487"/>
      <c r="BV40" s="725"/>
      <c r="BW40" s="1488">
        <f t="shared" si="117"/>
        <v>0</v>
      </c>
      <c r="BX40" s="1486"/>
      <c r="BY40" s="1486"/>
      <c r="BZ40" s="1486"/>
      <c r="CA40" s="1486"/>
      <c r="CB40" s="1486"/>
      <c r="CC40" s="1486"/>
      <c r="CD40" s="1486"/>
      <c r="CE40" s="1486"/>
      <c r="CF40" s="1486"/>
      <c r="CG40" s="1486"/>
      <c r="CH40" s="1486"/>
      <c r="CI40" s="1486"/>
      <c r="CJ40" s="1486"/>
      <c r="CK40" s="1486"/>
      <c r="CL40" s="1486"/>
      <c r="CM40" s="1486"/>
      <c r="CN40" s="1486"/>
      <c r="CO40" s="1486"/>
      <c r="CP40" s="1486"/>
      <c r="CQ40" s="1486"/>
      <c r="CR40" s="1486"/>
      <c r="CS40" s="1486"/>
      <c r="CT40" s="1487"/>
      <c r="CU40" s="1487"/>
      <c r="CV40" s="1487"/>
      <c r="CW40" s="1487"/>
      <c r="CX40" s="1487"/>
      <c r="CY40" s="1487"/>
      <c r="CZ40" s="1487"/>
      <c r="DA40" s="1487"/>
      <c r="DB40" s="713"/>
      <c r="DC40" s="1488">
        <f t="shared" si="58"/>
        <v>0</v>
      </c>
      <c r="DD40" s="1486">
        <f t="shared" si="59"/>
        <v>0</v>
      </c>
      <c r="DE40" s="1486">
        <f t="shared" si="60"/>
        <v>0</v>
      </c>
      <c r="DF40" s="1486">
        <f t="shared" si="61"/>
        <v>0</v>
      </c>
      <c r="DG40" s="1486">
        <f t="shared" si="62"/>
        <v>0</v>
      </c>
      <c r="DH40" s="1486">
        <f t="shared" si="63"/>
        <v>0</v>
      </c>
      <c r="DI40" s="1486">
        <f t="shared" si="64"/>
        <v>0</v>
      </c>
      <c r="DJ40" s="1486">
        <f t="shared" si="65"/>
        <v>0</v>
      </c>
      <c r="DK40" s="1486">
        <f t="shared" si="66"/>
        <v>0</v>
      </c>
      <c r="DL40" s="1486">
        <f t="shared" si="67"/>
        <v>0</v>
      </c>
      <c r="DM40" s="1486">
        <f t="shared" si="68"/>
        <v>0</v>
      </c>
      <c r="DN40" s="1486">
        <f t="shared" si="69"/>
        <v>0</v>
      </c>
      <c r="DO40" s="1486">
        <f t="shared" si="70"/>
        <v>0</v>
      </c>
      <c r="DP40" s="1486">
        <f t="shared" si="71"/>
        <v>0</v>
      </c>
      <c r="DQ40" s="1486">
        <f t="shared" si="72"/>
        <v>0</v>
      </c>
      <c r="DR40" s="1486">
        <f t="shared" si="73"/>
        <v>0</v>
      </c>
      <c r="DS40" s="1486">
        <f t="shared" si="74"/>
        <v>0</v>
      </c>
      <c r="DT40" s="1486">
        <f t="shared" si="75"/>
        <v>0</v>
      </c>
      <c r="DU40" s="1486">
        <f t="shared" si="76"/>
        <v>0</v>
      </c>
      <c r="DV40" s="1486">
        <f t="shared" si="77"/>
        <v>0</v>
      </c>
      <c r="DW40" s="1486">
        <f t="shared" si="78"/>
        <v>0</v>
      </c>
      <c r="DX40" s="1486">
        <f t="shared" si="79"/>
        <v>0</v>
      </c>
      <c r="DY40" s="1486">
        <f t="shared" si="80"/>
        <v>0</v>
      </c>
      <c r="DZ40" s="1487">
        <f t="shared" si="81"/>
        <v>0</v>
      </c>
      <c r="EA40" s="1487">
        <f t="shared" si="82"/>
        <v>0</v>
      </c>
      <c r="EB40" s="1487">
        <f t="shared" si="83"/>
        <v>0</v>
      </c>
      <c r="EC40" s="1487">
        <f t="shared" si="84"/>
        <v>0</v>
      </c>
      <c r="ED40" s="1487">
        <f t="shared" si="85"/>
        <v>0</v>
      </c>
      <c r="EE40" s="1487">
        <f t="shared" si="86"/>
        <v>0</v>
      </c>
      <c r="EF40" s="1487">
        <f t="shared" si="87"/>
        <v>0</v>
      </c>
      <c r="EG40" s="1487">
        <f t="shared" si="88"/>
        <v>0</v>
      </c>
    </row>
    <row r="41" spans="1:137">
      <c r="A41" s="595"/>
      <c r="B41" s="598"/>
      <c r="C41" s="599"/>
      <c r="D41" s="29">
        <v>2</v>
      </c>
      <c r="E41" s="1489" t="s">
        <v>1645</v>
      </c>
      <c r="F41" s="1490"/>
      <c r="G41" s="1491"/>
      <c r="H41" s="1492"/>
      <c r="I41" s="1493"/>
      <c r="J41" s="1493"/>
      <c r="K41" s="22"/>
      <c r="L41" s="1492"/>
      <c r="M41" s="1492"/>
      <c r="N41" s="1492"/>
      <c r="O41" s="1492"/>
      <c r="P41" s="1492"/>
      <c r="Q41" s="1492"/>
      <c r="R41" s="1492"/>
      <c r="S41" s="1492"/>
      <c r="T41" s="1492"/>
      <c r="U41" s="1492"/>
      <c r="V41" s="1492"/>
      <c r="W41" s="1492"/>
      <c r="X41" s="1492"/>
      <c r="Y41" s="1492"/>
      <c r="Z41" s="1492"/>
      <c r="AA41" s="1492"/>
      <c r="AB41" s="1492"/>
      <c r="AC41" s="1492"/>
      <c r="AD41" s="1492"/>
      <c r="AE41" s="1492"/>
      <c r="AF41" s="1492"/>
      <c r="AG41" s="1492"/>
      <c r="AH41" s="1494"/>
      <c r="AI41" s="1494"/>
      <c r="AJ41" s="1494"/>
      <c r="AK41" s="1494"/>
      <c r="AL41" s="1494"/>
      <c r="AM41" s="1494"/>
      <c r="AN41" s="1494"/>
      <c r="AO41" s="1494"/>
      <c r="AP41" s="1495"/>
      <c r="AQ41" s="1496">
        <f>SUBTOTAL(9,AQ42)</f>
        <v>154.80921206884096</v>
      </c>
      <c r="AR41" s="1496">
        <f t="shared" ref="AR41:BU41" si="272">SUBTOTAL(9,AR42)</f>
        <v>0</v>
      </c>
      <c r="AS41" s="1496">
        <f t="shared" si="272"/>
        <v>5.3382486920290013</v>
      </c>
      <c r="AT41" s="1496">
        <f t="shared" si="272"/>
        <v>5.3382486920290013</v>
      </c>
      <c r="AU41" s="1496">
        <f t="shared" si="272"/>
        <v>5.3382486920290013</v>
      </c>
      <c r="AV41" s="1496">
        <f t="shared" si="272"/>
        <v>5.3382486920290013</v>
      </c>
      <c r="AW41" s="1496">
        <f t="shared" si="272"/>
        <v>5.3382486920290013</v>
      </c>
      <c r="AX41" s="1496">
        <f t="shared" si="272"/>
        <v>5.3382486920290013</v>
      </c>
      <c r="AY41" s="1496">
        <f t="shared" si="272"/>
        <v>5.3382486920290013</v>
      </c>
      <c r="AZ41" s="1496">
        <f t="shared" si="272"/>
        <v>5.3382486920290013</v>
      </c>
      <c r="BA41" s="1496">
        <f t="shared" si="272"/>
        <v>5.3382486920290013</v>
      </c>
      <c r="BB41" s="1496">
        <f t="shared" si="272"/>
        <v>5.3382486920290013</v>
      </c>
      <c r="BC41" s="1496">
        <f t="shared" si="272"/>
        <v>5.3382486920290013</v>
      </c>
      <c r="BD41" s="1496">
        <f t="shared" si="272"/>
        <v>5.3382486920290013</v>
      </c>
      <c r="BE41" s="1496">
        <f t="shared" si="272"/>
        <v>5.3382486920290013</v>
      </c>
      <c r="BF41" s="1496">
        <f t="shared" si="272"/>
        <v>5.3382486920290013</v>
      </c>
      <c r="BG41" s="1496">
        <f t="shared" si="272"/>
        <v>5.3382486920290013</v>
      </c>
      <c r="BH41" s="1496">
        <f t="shared" si="272"/>
        <v>5.3382486920290013</v>
      </c>
      <c r="BI41" s="1496">
        <f t="shared" si="272"/>
        <v>5.3382486920290013</v>
      </c>
      <c r="BJ41" s="1496">
        <f t="shared" si="272"/>
        <v>5.3382486920290013</v>
      </c>
      <c r="BK41" s="1496">
        <f t="shared" si="272"/>
        <v>5.3382486920290013</v>
      </c>
      <c r="BL41" s="1496">
        <f t="shared" si="272"/>
        <v>5.3382486920290013</v>
      </c>
      <c r="BM41" s="1496">
        <f t="shared" si="272"/>
        <v>5.3382486920290013</v>
      </c>
      <c r="BN41" s="1496">
        <f t="shared" si="272"/>
        <v>5.3382486920290013</v>
      </c>
      <c r="BO41" s="1496">
        <f t="shared" si="272"/>
        <v>5.3382486920290013</v>
      </c>
      <c r="BP41" s="1496">
        <f t="shared" si="272"/>
        <v>5.3382486920290013</v>
      </c>
      <c r="BQ41" s="1496">
        <f t="shared" si="272"/>
        <v>5.3382486920290013</v>
      </c>
      <c r="BR41" s="1496">
        <f t="shared" si="272"/>
        <v>5.3382486920290013</v>
      </c>
      <c r="BS41" s="1496">
        <f t="shared" si="272"/>
        <v>5.3382486920290013</v>
      </c>
      <c r="BT41" s="1496">
        <f t="shared" si="272"/>
        <v>5.3382486920290013</v>
      </c>
      <c r="BU41" s="1496">
        <f t="shared" si="272"/>
        <v>5.3382486920290013</v>
      </c>
      <c r="BV41" s="1497"/>
      <c r="BW41" s="1496">
        <f t="shared" ref="BW41" si="273">SUBTOTAL(9,BW42)</f>
        <v>0</v>
      </c>
      <c r="BX41" s="1496">
        <f t="shared" ref="BX41" si="274">SUBTOTAL(9,BX42)</f>
        <v>0</v>
      </c>
      <c r="BY41" s="1496">
        <f t="shared" ref="BY41" si="275">SUBTOTAL(9,BY42)</f>
        <v>0</v>
      </c>
      <c r="BZ41" s="1496">
        <f t="shared" ref="BZ41" si="276">SUBTOTAL(9,BZ42)</f>
        <v>0</v>
      </c>
      <c r="CA41" s="1496">
        <f t="shared" ref="CA41" si="277">SUBTOTAL(9,CA42)</f>
        <v>0</v>
      </c>
      <c r="CB41" s="1496">
        <f t="shared" ref="CB41" si="278">SUBTOTAL(9,CB42)</f>
        <v>0</v>
      </c>
      <c r="CC41" s="1496">
        <f t="shared" ref="CC41" si="279">SUBTOTAL(9,CC42)</f>
        <v>0</v>
      </c>
      <c r="CD41" s="1496">
        <f t="shared" ref="CD41" si="280">SUBTOTAL(9,CD42)</f>
        <v>0</v>
      </c>
      <c r="CE41" s="1496">
        <f t="shared" ref="CE41" si="281">SUBTOTAL(9,CE42)</f>
        <v>0</v>
      </c>
      <c r="CF41" s="1496">
        <f t="shared" ref="CF41" si="282">SUBTOTAL(9,CF42)</f>
        <v>0</v>
      </c>
      <c r="CG41" s="1496">
        <f t="shared" ref="CG41" si="283">SUBTOTAL(9,CG42)</f>
        <v>0</v>
      </c>
      <c r="CH41" s="1496">
        <f t="shared" ref="CH41" si="284">SUBTOTAL(9,CH42)</f>
        <v>0</v>
      </c>
      <c r="CI41" s="1496">
        <f t="shared" ref="CI41" si="285">SUBTOTAL(9,CI42)</f>
        <v>0</v>
      </c>
      <c r="CJ41" s="1496">
        <f t="shared" ref="CJ41" si="286">SUBTOTAL(9,CJ42)</f>
        <v>0</v>
      </c>
      <c r="CK41" s="1496">
        <f t="shared" ref="CK41" si="287">SUBTOTAL(9,CK42)</f>
        <v>0</v>
      </c>
      <c r="CL41" s="1496">
        <f t="shared" ref="CL41" si="288">SUBTOTAL(9,CL42)</f>
        <v>0</v>
      </c>
      <c r="CM41" s="1496">
        <f t="shared" ref="CM41" si="289">SUBTOTAL(9,CM42)</f>
        <v>0</v>
      </c>
      <c r="CN41" s="1496">
        <f t="shared" ref="CN41" si="290">SUBTOTAL(9,CN42)</f>
        <v>0</v>
      </c>
      <c r="CO41" s="1496">
        <f t="shared" ref="CO41" si="291">SUBTOTAL(9,CO42)</f>
        <v>0</v>
      </c>
      <c r="CP41" s="1496">
        <f t="shared" ref="CP41" si="292">SUBTOTAL(9,CP42)</f>
        <v>0</v>
      </c>
      <c r="CQ41" s="1496">
        <f t="shared" ref="CQ41" si="293">SUBTOTAL(9,CQ42)</f>
        <v>0</v>
      </c>
      <c r="CR41" s="1496">
        <f t="shared" ref="CR41" si="294">SUBTOTAL(9,CR42)</f>
        <v>0</v>
      </c>
      <c r="CS41" s="1496">
        <f t="shared" ref="CS41" si="295">SUBTOTAL(9,CS42)</f>
        <v>0</v>
      </c>
      <c r="CT41" s="1496">
        <f t="shared" ref="CT41" si="296">SUBTOTAL(9,CT42)</f>
        <v>0</v>
      </c>
      <c r="CU41" s="1496">
        <f t="shared" ref="CU41:DA41" si="297">SUBTOTAL(9,CU42)</f>
        <v>0</v>
      </c>
      <c r="CV41" s="1496">
        <f t="shared" si="297"/>
        <v>0</v>
      </c>
      <c r="CW41" s="1496">
        <f t="shared" si="297"/>
        <v>0</v>
      </c>
      <c r="CX41" s="1496">
        <f t="shared" si="297"/>
        <v>0</v>
      </c>
      <c r="CY41" s="1496">
        <f t="shared" si="297"/>
        <v>0</v>
      </c>
      <c r="CZ41" s="1496">
        <f t="shared" si="297"/>
        <v>0</v>
      </c>
      <c r="DA41" s="1496">
        <f t="shared" si="297"/>
        <v>0</v>
      </c>
      <c r="DB41" s="41"/>
      <c r="DC41" s="1496">
        <f t="shared" si="58"/>
        <v>154.80921206884096</v>
      </c>
      <c r="DD41" s="1496">
        <f t="shared" si="59"/>
        <v>0</v>
      </c>
      <c r="DE41" s="1496">
        <f t="shared" si="60"/>
        <v>5.3382486920290013</v>
      </c>
      <c r="DF41" s="1496">
        <f t="shared" si="61"/>
        <v>5.3382486920290013</v>
      </c>
      <c r="DG41" s="1496">
        <f t="shared" si="62"/>
        <v>5.3382486920290013</v>
      </c>
      <c r="DH41" s="1496">
        <f t="shared" si="63"/>
        <v>5.3382486920290013</v>
      </c>
      <c r="DI41" s="1496">
        <f t="shared" si="64"/>
        <v>5.3382486920290013</v>
      </c>
      <c r="DJ41" s="1496">
        <f t="shared" si="65"/>
        <v>5.3382486920290013</v>
      </c>
      <c r="DK41" s="1496">
        <f t="shared" si="66"/>
        <v>5.3382486920290013</v>
      </c>
      <c r="DL41" s="1496">
        <f t="shared" si="67"/>
        <v>5.3382486920290013</v>
      </c>
      <c r="DM41" s="1496">
        <f t="shared" si="68"/>
        <v>5.3382486920290013</v>
      </c>
      <c r="DN41" s="1496">
        <f t="shared" si="69"/>
        <v>5.3382486920290013</v>
      </c>
      <c r="DO41" s="1496">
        <f t="shared" si="70"/>
        <v>5.3382486920290013</v>
      </c>
      <c r="DP41" s="1496">
        <f t="shared" si="71"/>
        <v>5.3382486920290013</v>
      </c>
      <c r="DQ41" s="1496">
        <f t="shared" si="72"/>
        <v>5.3382486920290013</v>
      </c>
      <c r="DR41" s="1496">
        <f t="shared" si="73"/>
        <v>5.3382486920290013</v>
      </c>
      <c r="DS41" s="1496">
        <f t="shared" si="74"/>
        <v>5.3382486920290013</v>
      </c>
      <c r="DT41" s="1496">
        <f t="shared" si="75"/>
        <v>5.3382486920290013</v>
      </c>
      <c r="DU41" s="1496">
        <f t="shared" si="76"/>
        <v>5.3382486920290013</v>
      </c>
      <c r="DV41" s="1496">
        <f t="shared" si="77"/>
        <v>5.3382486920290013</v>
      </c>
      <c r="DW41" s="1496">
        <f t="shared" si="78"/>
        <v>5.3382486920290013</v>
      </c>
      <c r="DX41" s="1496">
        <f t="shared" si="79"/>
        <v>5.3382486920290013</v>
      </c>
      <c r="DY41" s="1496">
        <f t="shared" si="80"/>
        <v>5.3382486920290013</v>
      </c>
      <c r="DZ41" s="1496">
        <f t="shared" si="81"/>
        <v>5.3382486920290013</v>
      </c>
      <c r="EA41" s="1496">
        <f t="shared" si="82"/>
        <v>5.3382486920290013</v>
      </c>
      <c r="EB41" s="1496">
        <f t="shared" si="83"/>
        <v>5.3382486920290013</v>
      </c>
      <c r="EC41" s="1496">
        <f t="shared" si="84"/>
        <v>5.3382486920290013</v>
      </c>
      <c r="ED41" s="1496">
        <f t="shared" si="85"/>
        <v>5.3382486920290013</v>
      </c>
      <c r="EE41" s="1496">
        <f t="shared" si="86"/>
        <v>5.3382486920290013</v>
      </c>
      <c r="EF41" s="1496">
        <f t="shared" si="87"/>
        <v>5.3382486920290013</v>
      </c>
      <c r="EG41" s="1496">
        <f t="shared" si="88"/>
        <v>5.3382486920290013</v>
      </c>
    </row>
    <row r="42" spans="1:137" ht="12.75" customHeight="1">
      <c r="A42" s="595"/>
      <c r="B42" s="598"/>
      <c r="C42" s="599"/>
      <c r="E42" s="1498" t="s">
        <v>1646</v>
      </c>
      <c r="F42" s="867"/>
      <c r="G42" s="868"/>
      <c r="H42" s="867"/>
      <c r="I42" s="869"/>
      <c r="J42" s="869"/>
      <c r="K42" s="76"/>
      <c r="L42" s="1455"/>
      <c r="M42" s="1455">
        <v>10</v>
      </c>
      <c r="N42" s="1455">
        <v>10</v>
      </c>
      <c r="O42" s="1455">
        <v>10</v>
      </c>
      <c r="P42" s="1455">
        <v>10</v>
      </c>
      <c r="Q42" s="1455">
        <v>10</v>
      </c>
      <c r="R42" s="1455">
        <v>10</v>
      </c>
      <c r="S42" s="1455">
        <v>10</v>
      </c>
      <c r="T42" s="1455">
        <v>10</v>
      </c>
      <c r="U42" s="1455">
        <v>10</v>
      </c>
      <c r="V42" s="1455">
        <v>10</v>
      </c>
      <c r="W42" s="1455">
        <v>10</v>
      </c>
      <c r="X42" s="1455">
        <v>10</v>
      </c>
      <c r="Y42" s="1455">
        <v>10</v>
      </c>
      <c r="Z42" s="1455">
        <v>10</v>
      </c>
      <c r="AA42" s="1455">
        <v>10</v>
      </c>
      <c r="AB42" s="1455">
        <v>10</v>
      </c>
      <c r="AC42" s="1455">
        <v>10</v>
      </c>
      <c r="AD42" s="1455">
        <v>10</v>
      </c>
      <c r="AE42" s="1455">
        <v>10</v>
      </c>
      <c r="AF42" s="1455">
        <v>10</v>
      </c>
      <c r="AG42" s="1455">
        <v>10</v>
      </c>
      <c r="AH42" s="1455">
        <v>10</v>
      </c>
      <c r="AI42" s="1455">
        <v>10</v>
      </c>
      <c r="AJ42" s="1455">
        <v>10</v>
      </c>
      <c r="AK42" s="1455">
        <v>10</v>
      </c>
      <c r="AL42" s="1455">
        <v>10</v>
      </c>
      <c r="AM42" s="1455">
        <v>10</v>
      </c>
      <c r="AN42" s="1455">
        <v>10</v>
      </c>
      <c r="AO42" s="1455">
        <v>10</v>
      </c>
      <c r="AP42" s="1452"/>
      <c r="AQ42" s="871">
        <f t="shared" si="118"/>
        <v>154.80921206884096</v>
      </c>
      <c r="AR42" s="871">
        <f t="shared" ref="AR42:AR59" si="298">VLOOKUP($E42,Par,6,0)*L42/1000</f>
        <v>0</v>
      </c>
      <c r="AS42" s="871">
        <f t="shared" ref="AS42:AS59" si="299">VLOOKUP($E42,Par,6,0)*M42/1000</f>
        <v>5.3382486920290013</v>
      </c>
      <c r="AT42" s="871">
        <f t="shared" ref="AT42:AT59" si="300">VLOOKUP($E42,Par,6,0)*N42/1000</f>
        <v>5.3382486920290013</v>
      </c>
      <c r="AU42" s="871">
        <f t="shared" ref="AU42:AU59" si="301">VLOOKUP($E42,Par,6,0)*O42/1000</f>
        <v>5.3382486920290013</v>
      </c>
      <c r="AV42" s="871">
        <f t="shared" ref="AV42:AV59" si="302">VLOOKUP($E42,Par,6,0)*P42/1000</f>
        <v>5.3382486920290013</v>
      </c>
      <c r="AW42" s="871">
        <f t="shared" ref="AW42:AW59" si="303">VLOOKUP($E42,Par,6,0)*Q42/1000</f>
        <v>5.3382486920290013</v>
      </c>
      <c r="AX42" s="871">
        <f t="shared" ref="AX42:AX59" si="304">VLOOKUP($E42,Par,6,0)*R42/1000</f>
        <v>5.3382486920290013</v>
      </c>
      <c r="AY42" s="871">
        <f t="shared" ref="AY42:AY59" si="305">VLOOKUP($E42,Par,6,0)*S42/1000</f>
        <v>5.3382486920290013</v>
      </c>
      <c r="AZ42" s="871">
        <f t="shared" ref="AZ42:AZ59" si="306">VLOOKUP($E42,Par,6,0)*T42/1000</f>
        <v>5.3382486920290013</v>
      </c>
      <c r="BA42" s="871">
        <f t="shared" ref="BA42:BA59" si="307">VLOOKUP($E42,Par,6,0)*U42/1000</f>
        <v>5.3382486920290013</v>
      </c>
      <c r="BB42" s="871">
        <f t="shared" ref="BB42:BB59" si="308">VLOOKUP($E42,Par,6,0)*V42/1000</f>
        <v>5.3382486920290013</v>
      </c>
      <c r="BC42" s="871">
        <f t="shared" ref="BC42:BC59" si="309">VLOOKUP($E42,Par,6,0)*W42/1000</f>
        <v>5.3382486920290013</v>
      </c>
      <c r="BD42" s="871">
        <f t="shared" ref="BD42:BD59" si="310">VLOOKUP($E42,Par,6,0)*X42/1000</f>
        <v>5.3382486920290013</v>
      </c>
      <c r="BE42" s="871">
        <f t="shared" ref="BE42:BE59" si="311">VLOOKUP($E42,Par,6,0)*Y42/1000</f>
        <v>5.3382486920290013</v>
      </c>
      <c r="BF42" s="871">
        <f t="shared" ref="BF42:BF59" si="312">VLOOKUP($E42,Par,6,0)*Z42/1000</f>
        <v>5.3382486920290013</v>
      </c>
      <c r="BG42" s="871">
        <f t="shared" ref="BG42:BG59" si="313">VLOOKUP($E42,Par,6,0)*AA42/1000</f>
        <v>5.3382486920290013</v>
      </c>
      <c r="BH42" s="871">
        <f t="shared" ref="BH42:BH59" si="314">VLOOKUP($E42,Par,6,0)*AB42/1000</f>
        <v>5.3382486920290013</v>
      </c>
      <c r="BI42" s="871">
        <f t="shared" ref="BI42:BI59" si="315">VLOOKUP($E42,Par,6,0)*AC42/1000</f>
        <v>5.3382486920290013</v>
      </c>
      <c r="BJ42" s="871">
        <f t="shared" ref="BJ42:BJ59" si="316">VLOOKUP($E42,Par,6,0)*AD42/1000</f>
        <v>5.3382486920290013</v>
      </c>
      <c r="BK42" s="871">
        <f t="shared" ref="BK42:BK59" si="317">VLOOKUP($E42,Par,6,0)*AE42/1000</f>
        <v>5.3382486920290013</v>
      </c>
      <c r="BL42" s="871">
        <f t="shared" ref="BL42:BL59" si="318">VLOOKUP($E42,Par,6,0)*AF42/1000</f>
        <v>5.3382486920290013</v>
      </c>
      <c r="BM42" s="871">
        <f t="shared" ref="BM42:BM59" si="319">VLOOKUP($E42,Par,6,0)*AG42/1000</f>
        <v>5.3382486920290013</v>
      </c>
      <c r="BN42" s="871">
        <f t="shared" ref="BN42:BN59" si="320">VLOOKUP($E42,Par,6,0)*AH42/1000</f>
        <v>5.3382486920290013</v>
      </c>
      <c r="BO42" s="871">
        <f t="shared" ref="BO42:BO59" si="321">VLOOKUP($E42,Par,6,0)*AI42/1000</f>
        <v>5.3382486920290013</v>
      </c>
      <c r="BP42" s="871">
        <f t="shared" ref="BP42" si="322">VLOOKUP($E42,Par,6,0)*AJ42/1000</f>
        <v>5.3382486920290013</v>
      </c>
      <c r="BQ42" s="871">
        <f t="shared" ref="BQ42" si="323">VLOOKUP($E42,Par,6,0)*AK42/1000</f>
        <v>5.3382486920290013</v>
      </c>
      <c r="BR42" s="871">
        <f t="shared" ref="BR42" si="324">VLOOKUP($E42,Par,6,0)*AL42/1000</f>
        <v>5.3382486920290013</v>
      </c>
      <c r="BS42" s="871">
        <f t="shared" ref="BS42" si="325">VLOOKUP($E42,Par,6,0)*AM42/1000</f>
        <v>5.3382486920290013</v>
      </c>
      <c r="BT42" s="871">
        <f t="shared" ref="BT42" si="326">VLOOKUP($E42,Par,6,0)*AN42/1000</f>
        <v>5.3382486920290013</v>
      </c>
      <c r="BU42" s="871">
        <f t="shared" ref="BU42" si="327">VLOOKUP($E42,Par,6,0)*AO42/1000</f>
        <v>5.3382486920290013</v>
      </c>
      <c r="BV42" s="1453"/>
      <c r="BW42" s="871">
        <f t="shared" si="117"/>
        <v>0</v>
      </c>
      <c r="BX42" s="871"/>
      <c r="BY42" s="871"/>
      <c r="BZ42" s="871"/>
      <c r="CA42" s="871"/>
      <c r="CB42" s="871"/>
      <c r="CC42" s="871"/>
      <c r="CD42" s="871"/>
      <c r="CE42" s="871"/>
      <c r="CF42" s="871"/>
      <c r="CG42" s="871"/>
      <c r="CH42" s="871"/>
      <c r="CI42" s="871"/>
      <c r="CJ42" s="871"/>
      <c r="CK42" s="871"/>
      <c r="CL42" s="871"/>
      <c r="CM42" s="871"/>
      <c r="CN42" s="871"/>
      <c r="CO42" s="871"/>
      <c r="CP42" s="871"/>
      <c r="CQ42" s="871"/>
      <c r="CR42" s="871"/>
      <c r="CS42" s="871"/>
      <c r="CT42" s="871"/>
      <c r="CU42" s="871"/>
      <c r="CV42" s="871"/>
      <c r="CW42" s="871"/>
      <c r="CX42" s="871"/>
      <c r="CY42" s="871"/>
      <c r="CZ42" s="871"/>
      <c r="DA42" s="871"/>
      <c r="DB42" s="41"/>
      <c r="DC42" s="871">
        <f t="shared" si="58"/>
        <v>154.80921206884096</v>
      </c>
      <c r="DD42" s="871">
        <f t="shared" si="59"/>
        <v>0</v>
      </c>
      <c r="DE42" s="871">
        <f t="shared" si="60"/>
        <v>5.3382486920290013</v>
      </c>
      <c r="DF42" s="871">
        <f t="shared" si="61"/>
        <v>5.3382486920290013</v>
      </c>
      <c r="DG42" s="871">
        <f t="shared" si="62"/>
        <v>5.3382486920290013</v>
      </c>
      <c r="DH42" s="871">
        <f t="shared" si="63"/>
        <v>5.3382486920290013</v>
      </c>
      <c r="DI42" s="871">
        <f t="shared" si="64"/>
        <v>5.3382486920290013</v>
      </c>
      <c r="DJ42" s="871">
        <f t="shared" si="65"/>
        <v>5.3382486920290013</v>
      </c>
      <c r="DK42" s="871">
        <f t="shared" si="66"/>
        <v>5.3382486920290013</v>
      </c>
      <c r="DL42" s="871">
        <f t="shared" si="67"/>
        <v>5.3382486920290013</v>
      </c>
      <c r="DM42" s="871">
        <f t="shared" si="68"/>
        <v>5.3382486920290013</v>
      </c>
      <c r="DN42" s="871">
        <f t="shared" si="69"/>
        <v>5.3382486920290013</v>
      </c>
      <c r="DO42" s="871">
        <f t="shared" si="70"/>
        <v>5.3382486920290013</v>
      </c>
      <c r="DP42" s="871">
        <f t="shared" si="71"/>
        <v>5.3382486920290013</v>
      </c>
      <c r="DQ42" s="871">
        <f t="shared" si="72"/>
        <v>5.3382486920290013</v>
      </c>
      <c r="DR42" s="871">
        <f t="shared" si="73"/>
        <v>5.3382486920290013</v>
      </c>
      <c r="DS42" s="871">
        <f t="shared" si="74"/>
        <v>5.3382486920290013</v>
      </c>
      <c r="DT42" s="871">
        <f t="shared" si="75"/>
        <v>5.3382486920290013</v>
      </c>
      <c r="DU42" s="871">
        <f t="shared" si="76"/>
        <v>5.3382486920290013</v>
      </c>
      <c r="DV42" s="871">
        <f t="shared" si="77"/>
        <v>5.3382486920290013</v>
      </c>
      <c r="DW42" s="871">
        <f t="shared" si="78"/>
        <v>5.3382486920290013</v>
      </c>
      <c r="DX42" s="871">
        <f t="shared" si="79"/>
        <v>5.3382486920290013</v>
      </c>
      <c r="DY42" s="871">
        <f t="shared" si="80"/>
        <v>5.3382486920290013</v>
      </c>
      <c r="DZ42" s="871">
        <f t="shared" si="81"/>
        <v>5.3382486920290013</v>
      </c>
      <c r="EA42" s="871">
        <f t="shared" si="82"/>
        <v>5.3382486920290013</v>
      </c>
      <c r="EB42" s="871">
        <f t="shared" si="83"/>
        <v>5.3382486920290013</v>
      </c>
      <c r="EC42" s="871">
        <f t="shared" si="84"/>
        <v>5.3382486920290013</v>
      </c>
      <c r="ED42" s="871">
        <f t="shared" si="85"/>
        <v>5.3382486920290013</v>
      </c>
      <c r="EE42" s="871">
        <f t="shared" si="86"/>
        <v>5.3382486920290013</v>
      </c>
      <c r="EF42" s="871">
        <f t="shared" si="87"/>
        <v>5.3382486920290013</v>
      </c>
      <c r="EG42" s="871">
        <f t="shared" si="88"/>
        <v>5.3382486920290013</v>
      </c>
    </row>
    <row r="43" spans="1:137" ht="12.75" customHeight="1">
      <c r="A43" s="595"/>
      <c r="B43" s="598"/>
      <c r="C43" s="599"/>
      <c r="D43" s="29">
        <v>2</v>
      </c>
      <c r="E43" s="1489" t="s">
        <v>1647</v>
      </c>
      <c r="F43" s="867"/>
      <c r="G43" s="868"/>
      <c r="H43" s="867"/>
      <c r="I43" s="869"/>
      <c r="J43" s="869"/>
      <c r="K43" s="76"/>
      <c r="L43" s="1454"/>
      <c r="M43" s="1454"/>
      <c r="N43" s="1479"/>
      <c r="O43" s="1454"/>
      <c r="P43" s="1454"/>
      <c r="Q43" s="1454"/>
      <c r="R43" s="1454"/>
      <c r="S43" s="1454"/>
      <c r="T43" s="1454"/>
      <c r="U43" s="1454"/>
      <c r="V43" s="1454"/>
      <c r="W43" s="1454"/>
      <c r="X43" s="1454"/>
      <c r="Y43" s="1454"/>
      <c r="Z43" s="1454"/>
      <c r="AA43" s="1454"/>
      <c r="AB43" s="1454"/>
      <c r="AC43" s="1454"/>
      <c r="AD43" s="1454"/>
      <c r="AE43" s="1454"/>
      <c r="AF43" s="1454"/>
      <c r="AG43" s="1454"/>
      <c r="AH43" s="1454"/>
      <c r="AI43" s="1454"/>
      <c r="AJ43" s="1454"/>
      <c r="AK43" s="1454"/>
      <c r="AL43" s="1454"/>
      <c r="AM43" s="1454"/>
      <c r="AN43" s="1454"/>
      <c r="AO43" s="1454"/>
      <c r="AP43" s="1452"/>
      <c r="AQ43" s="1496">
        <f>SUBTOTAL(9,AQ44)</f>
        <v>0</v>
      </c>
      <c r="AR43" s="1496">
        <f t="shared" ref="AR43" si="328">SUBTOTAL(9,AR44)</f>
        <v>0</v>
      </c>
      <c r="AS43" s="1496">
        <f t="shared" ref="AS43" si="329">SUBTOTAL(9,AS44)</f>
        <v>0</v>
      </c>
      <c r="AT43" s="1496">
        <f t="shared" ref="AT43" si="330">SUBTOTAL(9,AT44)</f>
        <v>0</v>
      </c>
      <c r="AU43" s="1496">
        <f t="shared" ref="AU43" si="331">SUBTOTAL(9,AU44)</f>
        <v>0</v>
      </c>
      <c r="AV43" s="1496">
        <f t="shared" ref="AV43" si="332">SUBTOTAL(9,AV44)</f>
        <v>0</v>
      </c>
      <c r="AW43" s="1496">
        <f t="shared" ref="AW43" si="333">SUBTOTAL(9,AW44)</f>
        <v>0</v>
      </c>
      <c r="AX43" s="1496">
        <f t="shared" ref="AX43" si="334">SUBTOTAL(9,AX44)</f>
        <v>0</v>
      </c>
      <c r="AY43" s="1496">
        <f t="shared" ref="AY43" si="335">SUBTOTAL(9,AY44)</f>
        <v>0</v>
      </c>
      <c r="AZ43" s="1496">
        <f t="shared" ref="AZ43" si="336">SUBTOTAL(9,AZ44)</f>
        <v>0</v>
      </c>
      <c r="BA43" s="1496">
        <f t="shared" ref="BA43" si="337">SUBTOTAL(9,BA44)</f>
        <v>0</v>
      </c>
      <c r="BB43" s="1496">
        <f t="shared" ref="BB43" si="338">SUBTOTAL(9,BB44)</f>
        <v>0</v>
      </c>
      <c r="BC43" s="1496">
        <f t="shared" ref="BC43" si="339">SUBTOTAL(9,BC44)</f>
        <v>0</v>
      </c>
      <c r="BD43" s="1496">
        <f t="shared" ref="BD43" si="340">SUBTOTAL(9,BD44)</f>
        <v>0</v>
      </c>
      <c r="BE43" s="1496">
        <f t="shared" ref="BE43" si="341">SUBTOTAL(9,BE44)</f>
        <v>0</v>
      </c>
      <c r="BF43" s="1496">
        <f t="shared" ref="BF43" si="342">SUBTOTAL(9,BF44)</f>
        <v>0</v>
      </c>
      <c r="BG43" s="1496">
        <f t="shared" ref="BG43" si="343">SUBTOTAL(9,BG44)</f>
        <v>0</v>
      </c>
      <c r="BH43" s="1496">
        <f t="shared" ref="BH43" si="344">SUBTOTAL(9,BH44)</f>
        <v>0</v>
      </c>
      <c r="BI43" s="1496">
        <f t="shared" ref="BI43" si="345">SUBTOTAL(9,BI44)</f>
        <v>0</v>
      </c>
      <c r="BJ43" s="1496">
        <f t="shared" ref="BJ43" si="346">SUBTOTAL(9,BJ44)</f>
        <v>0</v>
      </c>
      <c r="BK43" s="1496">
        <f t="shared" ref="BK43" si="347">SUBTOTAL(9,BK44)</f>
        <v>0</v>
      </c>
      <c r="BL43" s="1496">
        <f t="shared" ref="BL43" si="348">SUBTOTAL(9,BL44)</f>
        <v>0</v>
      </c>
      <c r="BM43" s="1496">
        <f t="shared" ref="BM43" si="349">SUBTOTAL(9,BM44)</f>
        <v>0</v>
      </c>
      <c r="BN43" s="1496">
        <f t="shared" ref="BN43" si="350">SUBTOTAL(9,BN44)</f>
        <v>0</v>
      </c>
      <c r="BO43" s="1496">
        <f t="shared" ref="BO43:BU43" si="351">SUBTOTAL(9,BO44)</f>
        <v>0</v>
      </c>
      <c r="BP43" s="1496">
        <f t="shared" si="351"/>
        <v>0</v>
      </c>
      <c r="BQ43" s="1496">
        <f t="shared" si="351"/>
        <v>0</v>
      </c>
      <c r="BR43" s="1496">
        <f t="shared" si="351"/>
        <v>0</v>
      </c>
      <c r="BS43" s="1496">
        <f t="shared" si="351"/>
        <v>0</v>
      </c>
      <c r="BT43" s="1496">
        <f t="shared" si="351"/>
        <v>0</v>
      </c>
      <c r="BU43" s="1496">
        <f t="shared" si="351"/>
        <v>0</v>
      </c>
      <c r="BV43" s="1497"/>
      <c r="BW43" s="1496">
        <f t="shared" ref="BW43" si="352">SUBTOTAL(9,BW44)</f>
        <v>0</v>
      </c>
      <c r="BX43" s="1496">
        <f t="shared" ref="BX43" si="353">SUBTOTAL(9,BX44)</f>
        <v>0</v>
      </c>
      <c r="BY43" s="1496">
        <f t="shared" ref="BY43" si="354">SUBTOTAL(9,BY44)</f>
        <v>0</v>
      </c>
      <c r="BZ43" s="1496">
        <f t="shared" ref="BZ43" si="355">SUBTOTAL(9,BZ44)</f>
        <v>0</v>
      </c>
      <c r="CA43" s="1496">
        <f t="shared" ref="CA43" si="356">SUBTOTAL(9,CA44)</f>
        <v>0</v>
      </c>
      <c r="CB43" s="1496">
        <f t="shared" ref="CB43" si="357">SUBTOTAL(9,CB44)</f>
        <v>0</v>
      </c>
      <c r="CC43" s="1496">
        <f t="shared" ref="CC43" si="358">SUBTOTAL(9,CC44)</f>
        <v>0</v>
      </c>
      <c r="CD43" s="1496">
        <f t="shared" ref="CD43" si="359">SUBTOTAL(9,CD44)</f>
        <v>0</v>
      </c>
      <c r="CE43" s="1496">
        <f t="shared" ref="CE43" si="360">SUBTOTAL(9,CE44)</f>
        <v>0</v>
      </c>
      <c r="CF43" s="1496">
        <f t="shared" ref="CF43" si="361">SUBTOTAL(9,CF44)</f>
        <v>0</v>
      </c>
      <c r="CG43" s="1496">
        <f t="shared" ref="CG43" si="362">SUBTOTAL(9,CG44)</f>
        <v>0</v>
      </c>
      <c r="CH43" s="1496">
        <f t="shared" ref="CH43" si="363">SUBTOTAL(9,CH44)</f>
        <v>0</v>
      </c>
      <c r="CI43" s="1496">
        <f t="shared" ref="CI43" si="364">SUBTOTAL(9,CI44)</f>
        <v>0</v>
      </c>
      <c r="CJ43" s="1496">
        <f t="shared" ref="CJ43" si="365">SUBTOTAL(9,CJ44)</f>
        <v>0</v>
      </c>
      <c r="CK43" s="1496">
        <f t="shared" ref="CK43" si="366">SUBTOTAL(9,CK44)</f>
        <v>0</v>
      </c>
      <c r="CL43" s="1496">
        <f t="shared" ref="CL43" si="367">SUBTOTAL(9,CL44)</f>
        <v>0</v>
      </c>
      <c r="CM43" s="1496">
        <f t="shared" ref="CM43" si="368">SUBTOTAL(9,CM44)</f>
        <v>0</v>
      </c>
      <c r="CN43" s="1496">
        <f t="shared" ref="CN43" si="369">SUBTOTAL(9,CN44)</f>
        <v>0</v>
      </c>
      <c r="CO43" s="1496">
        <f t="shared" ref="CO43" si="370">SUBTOTAL(9,CO44)</f>
        <v>0</v>
      </c>
      <c r="CP43" s="1496">
        <f t="shared" ref="CP43" si="371">SUBTOTAL(9,CP44)</f>
        <v>0</v>
      </c>
      <c r="CQ43" s="1496">
        <f t="shared" ref="CQ43" si="372">SUBTOTAL(9,CQ44)</f>
        <v>0</v>
      </c>
      <c r="CR43" s="1496">
        <f t="shared" ref="CR43" si="373">SUBTOTAL(9,CR44)</f>
        <v>0</v>
      </c>
      <c r="CS43" s="1496">
        <f t="shared" ref="CS43" si="374">SUBTOTAL(9,CS44)</f>
        <v>0</v>
      </c>
      <c r="CT43" s="1496">
        <f t="shared" ref="CT43" si="375">SUBTOTAL(9,CT44)</f>
        <v>0</v>
      </c>
      <c r="CU43" s="1496">
        <f t="shared" ref="CU43:DA43" si="376">SUBTOTAL(9,CU44)</f>
        <v>0</v>
      </c>
      <c r="CV43" s="1496">
        <f t="shared" si="376"/>
        <v>0</v>
      </c>
      <c r="CW43" s="1496">
        <f t="shared" si="376"/>
        <v>0</v>
      </c>
      <c r="CX43" s="1496">
        <f t="shared" si="376"/>
        <v>0</v>
      </c>
      <c r="CY43" s="1496">
        <f t="shared" si="376"/>
        <v>0</v>
      </c>
      <c r="CZ43" s="1496">
        <f t="shared" si="376"/>
        <v>0</v>
      </c>
      <c r="DA43" s="1496">
        <f t="shared" si="376"/>
        <v>0</v>
      </c>
      <c r="DB43" s="41"/>
      <c r="DC43" s="1496">
        <f t="shared" si="58"/>
        <v>0</v>
      </c>
      <c r="DD43" s="1496">
        <f t="shared" si="59"/>
        <v>0</v>
      </c>
      <c r="DE43" s="1496">
        <f t="shared" si="60"/>
        <v>0</v>
      </c>
      <c r="DF43" s="1496">
        <f t="shared" si="61"/>
        <v>0</v>
      </c>
      <c r="DG43" s="1496">
        <f t="shared" si="62"/>
        <v>0</v>
      </c>
      <c r="DH43" s="1496">
        <f t="shared" si="63"/>
        <v>0</v>
      </c>
      <c r="DI43" s="1496">
        <f t="shared" si="64"/>
        <v>0</v>
      </c>
      <c r="DJ43" s="1496">
        <f t="shared" si="65"/>
        <v>0</v>
      </c>
      <c r="DK43" s="1496">
        <f t="shared" si="66"/>
        <v>0</v>
      </c>
      <c r="DL43" s="1496">
        <f t="shared" si="67"/>
        <v>0</v>
      </c>
      <c r="DM43" s="1496">
        <f t="shared" si="68"/>
        <v>0</v>
      </c>
      <c r="DN43" s="1496">
        <f t="shared" si="69"/>
        <v>0</v>
      </c>
      <c r="DO43" s="1496">
        <f t="shared" si="70"/>
        <v>0</v>
      </c>
      <c r="DP43" s="1496">
        <f t="shared" si="71"/>
        <v>0</v>
      </c>
      <c r="DQ43" s="1496">
        <f t="shared" si="72"/>
        <v>0</v>
      </c>
      <c r="DR43" s="1496">
        <f t="shared" si="73"/>
        <v>0</v>
      </c>
      <c r="DS43" s="1496">
        <f t="shared" si="74"/>
        <v>0</v>
      </c>
      <c r="DT43" s="1496">
        <f t="shared" si="75"/>
        <v>0</v>
      </c>
      <c r="DU43" s="1496">
        <f t="shared" si="76"/>
        <v>0</v>
      </c>
      <c r="DV43" s="1496">
        <f t="shared" si="77"/>
        <v>0</v>
      </c>
      <c r="DW43" s="1496">
        <f t="shared" si="78"/>
        <v>0</v>
      </c>
      <c r="DX43" s="1496">
        <f t="shared" si="79"/>
        <v>0</v>
      </c>
      <c r="DY43" s="1496">
        <f t="shared" si="80"/>
        <v>0</v>
      </c>
      <c r="DZ43" s="1496">
        <f t="shared" si="81"/>
        <v>0</v>
      </c>
      <c r="EA43" s="1496">
        <f t="shared" si="82"/>
        <v>0</v>
      </c>
      <c r="EB43" s="1496">
        <f t="shared" si="83"/>
        <v>0</v>
      </c>
      <c r="EC43" s="1496">
        <f t="shared" si="84"/>
        <v>0</v>
      </c>
      <c r="ED43" s="1496">
        <f t="shared" si="85"/>
        <v>0</v>
      </c>
      <c r="EE43" s="1496">
        <f t="shared" si="86"/>
        <v>0</v>
      </c>
      <c r="EF43" s="1496">
        <f t="shared" si="87"/>
        <v>0</v>
      </c>
      <c r="EG43" s="1496">
        <f t="shared" si="88"/>
        <v>0</v>
      </c>
    </row>
    <row r="44" spans="1:137" ht="12.75" customHeight="1">
      <c r="A44" s="595"/>
      <c r="B44" s="598"/>
      <c r="C44" s="599"/>
      <c r="E44" s="1499" t="s">
        <v>1648</v>
      </c>
      <c r="F44" s="867"/>
      <c r="G44" s="868"/>
      <c r="H44" s="867"/>
      <c r="I44" s="869"/>
      <c r="J44" s="869"/>
      <c r="K44" s="76"/>
      <c r="L44" s="1451">
        <v>5</v>
      </c>
      <c r="M44" s="1451">
        <v>5</v>
      </c>
      <c r="N44" s="1451">
        <v>5</v>
      </c>
      <c r="O44" s="1451">
        <v>5</v>
      </c>
      <c r="P44" s="1451">
        <v>5</v>
      </c>
      <c r="Q44" s="1451">
        <v>5</v>
      </c>
      <c r="R44" s="1455">
        <v>5</v>
      </c>
      <c r="S44" s="1455">
        <v>5</v>
      </c>
      <c r="T44" s="1455">
        <v>5</v>
      </c>
      <c r="U44" s="1455">
        <v>5</v>
      </c>
      <c r="V44" s="1451">
        <v>5</v>
      </c>
      <c r="W44" s="1451">
        <v>5</v>
      </c>
      <c r="X44" s="1451">
        <v>5</v>
      </c>
      <c r="Y44" s="1451">
        <v>5</v>
      </c>
      <c r="Z44" s="1451">
        <v>5</v>
      </c>
      <c r="AA44" s="1451">
        <v>5</v>
      </c>
      <c r="AB44" s="1451">
        <v>5</v>
      </c>
      <c r="AC44" s="1451">
        <v>5</v>
      </c>
      <c r="AD44" s="1451">
        <v>5</v>
      </c>
      <c r="AE44" s="1451">
        <v>5</v>
      </c>
      <c r="AF44" s="1451">
        <v>5</v>
      </c>
      <c r="AG44" s="1451">
        <v>5</v>
      </c>
      <c r="AH44" s="1451">
        <v>5</v>
      </c>
      <c r="AI44" s="1451">
        <v>5</v>
      </c>
      <c r="AJ44" s="1451">
        <v>5</v>
      </c>
      <c r="AK44" s="1451">
        <v>5</v>
      </c>
      <c r="AL44" s="1451">
        <v>5</v>
      </c>
      <c r="AM44" s="1451">
        <v>5</v>
      </c>
      <c r="AN44" s="1451">
        <v>5</v>
      </c>
      <c r="AO44" s="1451">
        <v>5</v>
      </c>
      <c r="AP44" s="1452"/>
      <c r="AQ44" s="871"/>
      <c r="AR44" s="871"/>
      <c r="AS44" s="871"/>
      <c r="AT44" s="871"/>
      <c r="AU44" s="871"/>
      <c r="AV44" s="871"/>
      <c r="AW44" s="871"/>
      <c r="AX44" s="871"/>
      <c r="AY44" s="871"/>
      <c r="AZ44" s="871"/>
      <c r="BA44" s="871"/>
      <c r="BB44" s="871"/>
      <c r="BC44" s="871"/>
      <c r="BD44" s="871"/>
      <c r="BE44" s="871"/>
      <c r="BF44" s="871"/>
      <c r="BG44" s="871"/>
      <c r="BH44" s="871"/>
      <c r="BI44" s="871"/>
      <c r="BJ44" s="871"/>
      <c r="BK44" s="871"/>
      <c r="BL44" s="871"/>
      <c r="BM44" s="871"/>
      <c r="BN44" s="871"/>
      <c r="BO44" s="871"/>
      <c r="BP44" s="871"/>
      <c r="BQ44" s="871"/>
      <c r="BR44" s="871"/>
      <c r="BS44" s="871"/>
      <c r="BT44" s="871"/>
      <c r="BU44" s="871"/>
      <c r="BV44" s="1453"/>
      <c r="BW44" s="871">
        <f t="shared" si="117"/>
        <v>0</v>
      </c>
      <c r="BX44" s="871"/>
      <c r="BY44" s="871"/>
      <c r="BZ44" s="871"/>
      <c r="CA44" s="871"/>
      <c r="CB44" s="871"/>
      <c r="CC44" s="871"/>
      <c r="CD44" s="871"/>
      <c r="CE44" s="871"/>
      <c r="CF44" s="871"/>
      <c r="CG44" s="871"/>
      <c r="CH44" s="871"/>
      <c r="CI44" s="871"/>
      <c r="CJ44" s="871"/>
      <c r="CK44" s="871"/>
      <c r="CL44" s="871"/>
      <c r="CM44" s="871"/>
      <c r="CN44" s="871"/>
      <c r="CO44" s="871"/>
      <c r="CP44" s="871"/>
      <c r="CQ44" s="871"/>
      <c r="CR44" s="871"/>
      <c r="CS44" s="871"/>
      <c r="CT44" s="871"/>
      <c r="CU44" s="871"/>
      <c r="CV44" s="871"/>
      <c r="CW44" s="871"/>
      <c r="CX44" s="871"/>
      <c r="CY44" s="871"/>
      <c r="CZ44" s="871"/>
      <c r="DA44" s="871"/>
      <c r="DB44" s="41"/>
      <c r="DC44" s="871">
        <f t="shared" si="58"/>
        <v>0</v>
      </c>
      <c r="DD44" s="871">
        <f t="shared" si="59"/>
        <v>0</v>
      </c>
      <c r="DE44" s="871">
        <f t="shared" si="60"/>
        <v>0</v>
      </c>
      <c r="DF44" s="871">
        <f t="shared" si="61"/>
        <v>0</v>
      </c>
      <c r="DG44" s="871">
        <f t="shared" si="62"/>
        <v>0</v>
      </c>
      <c r="DH44" s="871">
        <f t="shared" si="63"/>
        <v>0</v>
      </c>
      <c r="DI44" s="871">
        <f t="shared" si="64"/>
        <v>0</v>
      </c>
      <c r="DJ44" s="871">
        <f t="shared" si="65"/>
        <v>0</v>
      </c>
      <c r="DK44" s="871">
        <f t="shared" si="66"/>
        <v>0</v>
      </c>
      <c r="DL44" s="871">
        <f t="shared" si="67"/>
        <v>0</v>
      </c>
      <c r="DM44" s="871">
        <f t="shared" si="68"/>
        <v>0</v>
      </c>
      <c r="DN44" s="871">
        <f t="shared" si="69"/>
        <v>0</v>
      </c>
      <c r="DO44" s="871">
        <f t="shared" si="70"/>
        <v>0</v>
      </c>
      <c r="DP44" s="871">
        <f t="shared" si="71"/>
        <v>0</v>
      </c>
      <c r="DQ44" s="871">
        <f t="shared" si="72"/>
        <v>0</v>
      </c>
      <c r="DR44" s="871">
        <f t="shared" si="73"/>
        <v>0</v>
      </c>
      <c r="DS44" s="871">
        <f t="shared" si="74"/>
        <v>0</v>
      </c>
      <c r="DT44" s="871">
        <f t="shared" si="75"/>
        <v>0</v>
      </c>
      <c r="DU44" s="871">
        <f t="shared" si="76"/>
        <v>0</v>
      </c>
      <c r="DV44" s="871">
        <f t="shared" si="77"/>
        <v>0</v>
      </c>
      <c r="DW44" s="871">
        <f t="shared" si="78"/>
        <v>0</v>
      </c>
      <c r="DX44" s="871">
        <f t="shared" si="79"/>
        <v>0</v>
      </c>
      <c r="DY44" s="871">
        <f t="shared" si="80"/>
        <v>0</v>
      </c>
      <c r="DZ44" s="871">
        <f t="shared" si="81"/>
        <v>0</v>
      </c>
      <c r="EA44" s="871">
        <f t="shared" si="82"/>
        <v>0</v>
      </c>
      <c r="EB44" s="871">
        <f t="shared" si="83"/>
        <v>0</v>
      </c>
      <c r="EC44" s="871">
        <f t="shared" si="84"/>
        <v>0</v>
      </c>
      <c r="ED44" s="871">
        <f t="shared" si="85"/>
        <v>0</v>
      </c>
      <c r="EE44" s="871">
        <f t="shared" si="86"/>
        <v>0</v>
      </c>
      <c r="EF44" s="871">
        <f t="shared" si="87"/>
        <v>0</v>
      </c>
      <c r="EG44" s="871">
        <f t="shared" si="88"/>
        <v>0</v>
      </c>
    </row>
    <row r="45" spans="1:137" ht="12.75" customHeight="1">
      <c r="A45" s="595"/>
      <c r="B45" s="598"/>
      <c r="C45" s="599"/>
      <c r="D45" s="29">
        <v>2</v>
      </c>
      <c r="E45" s="1489" t="s">
        <v>1649</v>
      </c>
      <c r="F45" s="867"/>
      <c r="G45" s="868"/>
      <c r="H45" s="867"/>
      <c r="I45" s="869"/>
      <c r="J45" s="869"/>
      <c r="K45" s="76"/>
      <c r="L45" s="1454"/>
      <c r="M45" s="1454"/>
      <c r="N45" s="1454"/>
      <c r="O45" s="1454"/>
      <c r="P45" s="1454"/>
      <c r="Q45" s="1454"/>
      <c r="R45" s="1454"/>
      <c r="S45" s="1454"/>
      <c r="T45" s="1454"/>
      <c r="U45" s="1454"/>
      <c r="V45" s="1454"/>
      <c r="W45" s="1454"/>
      <c r="X45" s="1454"/>
      <c r="Y45" s="1454"/>
      <c r="Z45" s="1454"/>
      <c r="AA45" s="1454"/>
      <c r="AB45" s="1454"/>
      <c r="AC45" s="1454"/>
      <c r="AD45" s="1454"/>
      <c r="AE45" s="1454"/>
      <c r="AF45" s="1454"/>
      <c r="AG45" s="1454"/>
      <c r="AH45" s="1454"/>
      <c r="AI45" s="1454"/>
      <c r="AJ45" s="1454"/>
      <c r="AK45" s="1454"/>
      <c r="AL45" s="1454"/>
      <c r="AM45" s="1454"/>
      <c r="AN45" s="1454"/>
      <c r="AO45" s="1454"/>
      <c r="AP45" s="1452"/>
      <c r="AQ45" s="1496">
        <f t="shared" ref="AQ45:BT45" si="377">SUBTOTAL(9,AQ46:AQ48)</f>
        <v>291.67204687500015</v>
      </c>
      <c r="AR45" s="1496">
        <f t="shared" si="377"/>
        <v>9.7224015625000018</v>
      </c>
      <c r="AS45" s="1496">
        <f t="shared" si="377"/>
        <v>9.7224015625000018</v>
      </c>
      <c r="AT45" s="1496">
        <f t="shared" si="377"/>
        <v>9.7224015625000018</v>
      </c>
      <c r="AU45" s="1496">
        <f t="shared" si="377"/>
        <v>9.7224015625000018</v>
      </c>
      <c r="AV45" s="1496">
        <f t="shared" si="377"/>
        <v>9.7224015625000018</v>
      </c>
      <c r="AW45" s="1496">
        <f t="shared" si="377"/>
        <v>9.7224015625000018</v>
      </c>
      <c r="AX45" s="1496">
        <f t="shared" si="377"/>
        <v>9.7224015625000018</v>
      </c>
      <c r="AY45" s="1496">
        <f t="shared" si="377"/>
        <v>9.7224015625000018</v>
      </c>
      <c r="AZ45" s="1496">
        <f t="shared" si="377"/>
        <v>9.7224015625000018</v>
      </c>
      <c r="BA45" s="1496">
        <f t="shared" si="377"/>
        <v>9.7224015625000018</v>
      </c>
      <c r="BB45" s="1496">
        <f t="shared" si="377"/>
        <v>9.7224015625000018</v>
      </c>
      <c r="BC45" s="1496">
        <f t="shared" si="377"/>
        <v>9.7224015625000018</v>
      </c>
      <c r="BD45" s="1496">
        <f t="shared" si="377"/>
        <v>9.7224015625000018</v>
      </c>
      <c r="BE45" s="1496">
        <f t="shared" si="377"/>
        <v>9.7224015625000018</v>
      </c>
      <c r="BF45" s="1496">
        <f t="shared" si="377"/>
        <v>9.7224015625000018</v>
      </c>
      <c r="BG45" s="1496">
        <f t="shared" si="377"/>
        <v>9.7224015625000018</v>
      </c>
      <c r="BH45" s="1496">
        <f t="shared" si="377"/>
        <v>9.7224015625000018</v>
      </c>
      <c r="BI45" s="1496">
        <f t="shared" si="377"/>
        <v>9.7224015625000018</v>
      </c>
      <c r="BJ45" s="1496">
        <f t="shared" si="377"/>
        <v>9.7224015625000018</v>
      </c>
      <c r="BK45" s="1496">
        <f t="shared" si="377"/>
        <v>9.7224015625000018</v>
      </c>
      <c r="BL45" s="1496">
        <f t="shared" si="377"/>
        <v>9.7224015625000018</v>
      </c>
      <c r="BM45" s="1496">
        <f t="shared" si="377"/>
        <v>9.7224015625000018</v>
      </c>
      <c r="BN45" s="1496">
        <f t="shared" si="377"/>
        <v>9.7224015625000018</v>
      </c>
      <c r="BO45" s="1496">
        <f t="shared" si="377"/>
        <v>9.7224015625000018</v>
      </c>
      <c r="BP45" s="1496">
        <f t="shared" si="377"/>
        <v>9.7224015625000018</v>
      </c>
      <c r="BQ45" s="1496">
        <f t="shared" si="377"/>
        <v>9.7224015625000018</v>
      </c>
      <c r="BR45" s="1496">
        <f t="shared" si="377"/>
        <v>9.7224015625000018</v>
      </c>
      <c r="BS45" s="1496">
        <f t="shared" si="377"/>
        <v>9.7224015625000018</v>
      </c>
      <c r="BT45" s="1496">
        <f t="shared" si="377"/>
        <v>9.7224015625000018</v>
      </c>
      <c r="BU45" s="1496"/>
      <c r="BV45" s="1453"/>
      <c r="BW45" s="1496">
        <f t="shared" ref="BW45" ca="1" si="378">SUBTOTAL(9,BW46:BW47)</f>
        <v>243.75</v>
      </c>
      <c r="BX45" s="1496">
        <f t="shared" ref="BX45" ca="1" si="379">SUBTOTAL(9,BX46:BX47)</f>
        <v>8.125</v>
      </c>
      <c r="BY45" s="1496">
        <f t="shared" ref="BY45" ca="1" si="380">SUBTOTAL(9,BY46:BY47)</f>
        <v>8.125</v>
      </c>
      <c r="BZ45" s="1496">
        <f t="shared" ref="BZ45" ca="1" si="381">SUBTOTAL(9,BZ46:BZ47)</f>
        <v>8.125</v>
      </c>
      <c r="CA45" s="1496">
        <f t="shared" ref="CA45" ca="1" si="382">SUBTOTAL(9,CA46:CA47)</f>
        <v>8.125</v>
      </c>
      <c r="CB45" s="1496">
        <f t="shared" ref="CB45" ca="1" si="383">SUBTOTAL(9,CB46:CB47)</f>
        <v>8.125</v>
      </c>
      <c r="CC45" s="1496">
        <f t="shared" ref="CC45" ca="1" si="384">SUBTOTAL(9,CC46:CC47)</f>
        <v>8.125</v>
      </c>
      <c r="CD45" s="1496">
        <f t="shared" ref="CD45" ca="1" si="385">SUBTOTAL(9,CD46:CD47)</f>
        <v>8.125</v>
      </c>
      <c r="CE45" s="1496">
        <f t="shared" ref="CE45" ca="1" si="386">SUBTOTAL(9,CE46:CE47)</f>
        <v>8.125</v>
      </c>
      <c r="CF45" s="1496">
        <f t="shared" ref="CF45" ca="1" si="387">SUBTOTAL(9,CF46:CF47)</f>
        <v>8.125</v>
      </c>
      <c r="CG45" s="1496">
        <f t="shared" ref="CG45" ca="1" si="388">SUBTOTAL(9,CG46:CG47)</f>
        <v>8.125</v>
      </c>
      <c r="CH45" s="1496">
        <f t="shared" ref="CH45" ca="1" si="389">SUBTOTAL(9,CH46:CH47)</f>
        <v>8.125</v>
      </c>
      <c r="CI45" s="1496">
        <f t="shared" ref="CI45" ca="1" si="390">SUBTOTAL(9,CI46:CI47)</f>
        <v>8.125</v>
      </c>
      <c r="CJ45" s="1496">
        <f t="shared" ref="CJ45" ca="1" si="391">SUBTOTAL(9,CJ46:CJ47)</f>
        <v>8.125</v>
      </c>
      <c r="CK45" s="1496">
        <f t="shared" ref="CK45" ca="1" si="392">SUBTOTAL(9,CK46:CK47)</f>
        <v>8.125</v>
      </c>
      <c r="CL45" s="1496">
        <f t="shared" ref="CL45" ca="1" si="393">SUBTOTAL(9,CL46:CL47)</f>
        <v>8.125</v>
      </c>
      <c r="CM45" s="1496">
        <f t="shared" ref="CM45" ca="1" si="394">SUBTOTAL(9,CM46:CM47)</f>
        <v>8.125</v>
      </c>
      <c r="CN45" s="1496">
        <f t="shared" ref="CN45" ca="1" si="395">SUBTOTAL(9,CN46:CN47)</f>
        <v>8.125</v>
      </c>
      <c r="CO45" s="1496">
        <f t="shared" ref="CO45" ca="1" si="396">SUBTOTAL(9,CO46:CO47)</f>
        <v>8.125</v>
      </c>
      <c r="CP45" s="1496">
        <f t="shared" ref="CP45" ca="1" si="397">SUBTOTAL(9,CP46:CP47)</f>
        <v>8.125</v>
      </c>
      <c r="CQ45" s="1496">
        <f t="shared" ref="CQ45" ca="1" si="398">SUBTOTAL(9,CQ46:CQ47)</f>
        <v>8.125</v>
      </c>
      <c r="CR45" s="1496">
        <f t="shared" ref="CR45" ca="1" si="399">SUBTOTAL(9,CR46:CR47)</f>
        <v>8.125</v>
      </c>
      <c r="CS45" s="1496">
        <f t="shared" ref="CS45" ca="1" si="400">SUBTOTAL(9,CS46:CS47)</f>
        <v>8.125</v>
      </c>
      <c r="CT45" s="1496">
        <f t="shared" ref="CT45" ca="1" si="401">SUBTOTAL(9,CT46:CT47)</f>
        <v>8.125</v>
      </c>
      <c r="CU45" s="1496">
        <f t="shared" ref="CU45:DA45" ca="1" si="402">SUBTOTAL(9,CU46:CU47)</f>
        <v>8.125</v>
      </c>
      <c r="CV45" s="1496">
        <f t="shared" ca="1" si="402"/>
        <v>8.125</v>
      </c>
      <c r="CW45" s="1496">
        <f t="shared" ca="1" si="402"/>
        <v>8.125</v>
      </c>
      <c r="CX45" s="1496">
        <f t="shared" ca="1" si="402"/>
        <v>8.125</v>
      </c>
      <c r="CY45" s="1496">
        <f t="shared" ca="1" si="402"/>
        <v>8.125</v>
      </c>
      <c r="CZ45" s="1496">
        <f t="shared" ca="1" si="402"/>
        <v>8.125</v>
      </c>
      <c r="DA45" s="1496">
        <f t="shared" ca="1" si="402"/>
        <v>8.125</v>
      </c>
      <c r="DB45" s="41"/>
      <c r="DC45" s="1496">
        <f t="shared" ca="1" si="58"/>
        <v>535.42204687500021</v>
      </c>
      <c r="DD45" s="1496">
        <f t="shared" ca="1" si="59"/>
        <v>17.847401562500004</v>
      </c>
      <c r="DE45" s="1496">
        <f t="shared" ca="1" si="60"/>
        <v>17.847401562500004</v>
      </c>
      <c r="DF45" s="1496">
        <f t="shared" ca="1" si="61"/>
        <v>17.847401562500004</v>
      </c>
      <c r="DG45" s="1496">
        <f t="shared" ca="1" si="62"/>
        <v>17.847401562500004</v>
      </c>
      <c r="DH45" s="1496">
        <f t="shared" ca="1" si="63"/>
        <v>17.847401562500004</v>
      </c>
      <c r="DI45" s="1496">
        <f t="shared" ca="1" si="64"/>
        <v>17.847401562500004</v>
      </c>
      <c r="DJ45" s="1496">
        <f t="shared" ca="1" si="65"/>
        <v>17.847401562500004</v>
      </c>
      <c r="DK45" s="1496">
        <f t="shared" ca="1" si="66"/>
        <v>17.847401562500004</v>
      </c>
      <c r="DL45" s="1496">
        <f t="shared" ca="1" si="67"/>
        <v>17.847401562500004</v>
      </c>
      <c r="DM45" s="1496">
        <f t="shared" ca="1" si="68"/>
        <v>17.847401562500004</v>
      </c>
      <c r="DN45" s="1496">
        <f t="shared" ca="1" si="69"/>
        <v>17.847401562500004</v>
      </c>
      <c r="DO45" s="1496">
        <f t="shared" ca="1" si="70"/>
        <v>17.847401562500004</v>
      </c>
      <c r="DP45" s="1496">
        <f t="shared" ca="1" si="71"/>
        <v>17.847401562500004</v>
      </c>
      <c r="DQ45" s="1496">
        <f t="shared" ca="1" si="72"/>
        <v>17.847401562500004</v>
      </c>
      <c r="DR45" s="1496">
        <f t="shared" ca="1" si="73"/>
        <v>17.847401562500004</v>
      </c>
      <c r="DS45" s="1496">
        <f t="shared" ca="1" si="74"/>
        <v>17.847401562500004</v>
      </c>
      <c r="DT45" s="1496">
        <f t="shared" ca="1" si="75"/>
        <v>17.847401562500004</v>
      </c>
      <c r="DU45" s="1496">
        <f t="shared" ca="1" si="76"/>
        <v>17.847401562500004</v>
      </c>
      <c r="DV45" s="1496">
        <f t="shared" ca="1" si="77"/>
        <v>17.847401562500004</v>
      </c>
      <c r="DW45" s="1496">
        <f t="shared" ca="1" si="78"/>
        <v>17.847401562500004</v>
      </c>
      <c r="DX45" s="1496">
        <f t="shared" ca="1" si="79"/>
        <v>17.847401562500004</v>
      </c>
      <c r="DY45" s="1496">
        <f t="shared" ca="1" si="80"/>
        <v>17.847401562500004</v>
      </c>
      <c r="DZ45" s="1496">
        <f t="shared" ca="1" si="81"/>
        <v>17.847401562500004</v>
      </c>
      <c r="EA45" s="1496">
        <f t="shared" ca="1" si="82"/>
        <v>17.847401562500004</v>
      </c>
      <c r="EB45" s="1496">
        <f t="shared" ca="1" si="83"/>
        <v>17.847401562500004</v>
      </c>
      <c r="EC45" s="1496">
        <f t="shared" ca="1" si="84"/>
        <v>17.847401562500004</v>
      </c>
      <c r="ED45" s="1496">
        <f t="shared" ca="1" si="85"/>
        <v>17.847401562500004</v>
      </c>
      <c r="EE45" s="1496">
        <f t="shared" ca="1" si="86"/>
        <v>17.847401562500004</v>
      </c>
      <c r="EF45" s="1496">
        <f t="shared" ca="1" si="87"/>
        <v>17.847401562500004</v>
      </c>
      <c r="EG45" s="1496">
        <f t="shared" ca="1" si="88"/>
        <v>8.125</v>
      </c>
    </row>
    <row r="46" spans="1:137" ht="12.75" customHeight="1">
      <c r="A46" s="595"/>
      <c r="B46" s="598"/>
      <c r="C46" s="599"/>
      <c r="E46" s="1500" t="s">
        <v>1650</v>
      </c>
      <c r="F46" s="867"/>
      <c r="G46" s="868"/>
      <c r="H46" s="867"/>
      <c r="I46" s="869"/>
      <c r="J46" s="869"/>
      <c r="K46" s="76"/>
      <c r="L46" s="1455">
        <v>5</v>
      </c>
      <c r="M46" s="1455">
        <v>5</v>
      </c>
      <c r="N46" s="1455">
        <v>5</v>
      </c>
      <c r="O46" s="1455">
        <v>5</v>
      </c>
      <c r="P46" s="1455">
        <v>5</v>
      </c>
      <c r="Q46" s="1455">
        <v>5</v>
      </c>
      <c r="R46" s="1455">
        <v>5</v>
      </c>
      <c r="S46" s="1455">
        <v>5</v>
      </c>
      <c r="T46" s="1455">
        <v>5</v>
      </c>
      <c r="U46" s="1455">
        <v>5</v>
      </c>
      <c r="V46" s="1455">
        <v>5</v>
      </c>
      <c r="W46" s="1455">
        <v>5</v>
      </c>
      <c r="X46" s="1455">
        <v>5</v>
      </c>
      <c r="Y46" s="1455">
        <v>5</v>
      </c>
      <c r="Z46" s="1455">
        <v>5</v>
      </c>
      <c r="AA46" s="1455">
        <v>5</v>
      </c>
      <c r="AB46" s="1455">
        <v>5</v>
      </c>
      <c r="AC46" s="1455">
        <v>5</v>
      </c>
      <c r="AD46" s="1455">
        <v>5</v>
      </c>
      <c r="AE46" s="1455">
        <v>5</v>
      </c>
      <c r="AF46" s="1455">
        <v>5</v>
      </c>
      <c r="AG46" s="1455">
        <v>5</v>
      </c>
      <c r="AH46" s="1455">
        <v>5</v>
      </c>
      <c r="AI46" s="1455">
        <v>5</v>
      </c>
      <c r="AJ46" s="1455">
        <v>5</v>
      </c>
      <c r="AK46" s="1455">
        <v>5</v>
      </c>
      <c r="AL46" s="1455">
        <v>5</v>
      </c>
      <c r="AM46" s="1455">
        <v>5</v>
      </c>
      <c r="AN46" s="1455">
        <v>5</v>
      </c>
      <c r="AO46" s="1455">
        <v>5</v>
      </c>
      <c r="AP46" s="1452"/>
      <c r="AQ46" s="871">
        <f t="shared" si="118"/>
        <v>291.67204687500015</v>
      </c>
      <c r="AR46" s="871">
        <f t="shared" si="298"/>
        <v>9.7224015625000018</v>
      </c>
      <c r="AS46" s="871">
        <f t="shared" si="299"/>
        <v>9.7224015625000018</v>
      </c>
      <c r="AT46" s="871">
        <f t="shared" si="300"/>
        <v>9.7224015625000018</v>
      </c>
      <c r="AU46" s="871">
        <f t="shared" si="301"/>
        <v>9.7224015625000018</v>
      </c>
      <c r="AV46" s="871">
        <f t="shared" si="302"/>
        <v>9.7224015625000018</v>
      </c>
      <c r="AW46" s="871">
        <f t="shared" si="303"/>
        <v>9.7224015625000018</v>
      </c>
      <c r="AX46" s="871">
        <f t="shared" si="304"/>
        <v>9.7224015625000018</v>
      </c>
      <c r="AY46" s="871">
        <f t="shared" si="305"/>
        <v>9.7224015625000018</v>
      </c>
      <c r="AZ46" s="871">
        <f t="shared" si="306"/>
        <v>9.7224015625000018</v>
      </c>
      <c r="BA46" s="871">
        <f t="shared" si="307"/>
        <v>9.7224015625000018</v>
      </c>
      <c r="BB46" s="871">
        <f t="shared" si="308"/>
        <v>9.7224015625000018</v>
      </c>
      <c r="BC46" s="871">
        <f t="shared" si="309"/>
        <v>9.7224015625000018</v>
      </c>
      <c r="BD46" s="871">
        <f t="shared" si="310"/>
        <v>9.7224015625000018</v>
      </c>
      <c r="BE46" s="871">
        <f t="shared" si="311"/>
        <v>9.7224015625000018</v>
      </c>
      <c r="BF46" s="871">
        <f t="shared" si="312"/>
        <v>9.7224015625000018</v>
      </c>
      <c r="BG46" s="871">
        <f t="shared" si="313"/>
        <v>9.7224015625000018</v>
      </c>
      <c r="BH46" s="871">
        <f t="shared" si="314"/>
        <v>9.7224015625000018</v>
      </c>
      <c r="BI46" s="871">
        <f t="shared" si="315"/>
        <v>9.7224015625000018</v>
      </c>
      <c r="BJ46" s="871">
        <f t="shared" si="316"/>
        <v>9.7224015625000018</v>
      </c>
      <c r="BK46" s="871">
        <f t="shared" si="317"/>
        <v>9.7224015625000018</v>
      </c>
      <c r="BL46" s="871">
        <f t="shared" si="318"/>
        <v>9.7224015625000018</v>
      </c>
      <c r="BM46" s="871">
        <f t="shared" si="319"/>
        <v>9.7224015625000018</v>
      </c>
      <c r="BN46" s="871">
        <f t="shared" si="320"/>
        <v>9.7224015625000018</v>
      </c>
      <c r="BO46" s="871">
        <f t="shared" si="321"/>
        <v>9.7224015625000018</v>
      </c>
      <c r="BP46" s="871">
        <f t="shared" ref="BP46:BP47" si="403">VLOOKUP($E46,Par,6,0)*AJ46/1000</f>
        <v>9.7224015625000018</v>
      </c>
      <c r="BQ46" s="871">
        <f t="shared" ref="BQ46:BQ47" si="404">VLOOKUP($E46,Par,6,0)*AK46/1000</f>
        <v>9.7224015625000018</v>
      </c>
      <c r="BR46" s="871">
        <f t="shared" ref="BR46:BR47" si="405">VLOOKUP($E46,Par,6,0)*AL46/1000</f>
        <v>9.7224015625000018</v>
      </c>
      <c r="BS46" s="871">
        <f t="shared" ref="BS46:BS47" si="406">VLOOKUP($E46,Par,6,0)*AM46/1000</f>
        <v>9.7224015625000018</v>
      </c>
      <c r="BT46" s="871">
        <f t="shared" ref="BT46:BT47" si="407">VLOOKUP($E46,Par,6,0)*AN46/1000</f>
        <v>9.7224015625000018</v>
      </c>
      <c r="BU46" s="871">
        <f t="shared" ref="BU46:BU47" si="408">VLOOKUP($E46,Par,6,0)*AO46/1000</f>
        <v>9.7224015625000018</v>
      </c>
      <c r="BV46" s="1453"/>
      <c r="BW46" s="871">
        <f t="shared" si="117"/>
        <v>0</v>
      </c>
      <c r="BX46" s="871"/>
      <c r="BY46" s="871"/>
      <c r="BZ46" s="871"/>
      <c r="CA46" s="871"/>
      <c r="CB46" s="871"/>
      <c r="CC46" s="871"/>
      <c r="CD46" s="871"/>
      <c r="CE46" s="871"/>
      <c r="CF46" s="871"/>
      <c r="CG46" s="871"/>
      <c r="CH46" s="871"/>
      <c r="CI46" s="871"/>
      <c r="CJ46" s="871"/>
      <c r="CK46" s="871"/>
      <c r="CL46" s="871"/>
      <c r="CM46" s="871"/>
      <c r="CN46" s="871"/>
      <c r="CO46" s="871"/>
      <c r="CP46" s="871"/>
      <c r="CQ46" s="871"/>
      <c r="CR46" s="871"/>
      <c r="CS46" s="871"/>
      <c r="CT46" s="871"/>
      <c r="CU46" s="871"/>
      <c r="CV46" s="871"/>
      <c r="CW46" s="871"/>
      <c r="CX46" s="871"/>
      <c r="CY46" s="871"/>
      <c r="CZ46" s="871"/>
      <c r="DA46" s="871"/>
      <c r="DB46" s="41"/>
      <c r="DC46" s="871">
        <f t="shared" si="58"/>
        <v>291.67204687500015</v>
      </c>
      <c r="DD46" s="871">
        <f t="shared" si="59"/>
        <v>9.7224015625000018</v>
      </c>
      <c r="DE46" s="871">
        <f t="shared" si="60"/>
        <v>9.7224015625000018</v>
      </c>
      <c r="DF46" s="871">
        <f t="shared" si="61"/>
        <v>9.7224015625000018</v>
      </c>
      <c r="DG46" s="871">
        <f t="shared" si="62"/>
        <v>9.7224015625000018</v>
      </c>
      <c r="DH46" s="871">
        <f t="shared" si="63"/>
        <v>9.7224015625000018</v>
      </c>
      <c r="DI46" s="871">
        <f t="shared" si="64"/>
        <v>9.7224015625000018</v>
      </c>
      <c r="DJ46" s="871">
        <f t="shared" si="65"/>
        <v>9.7224015625000018</v>
      </c>
      <c r="DK46" s="871">
        <f t="shared" si="66"/>
        <v>9.7224015625000018</v>
      </c>
      <c r="DL46" s="871">
        <f t="shared" si="67"/>
        <v>9.7224015625000018</v>
      </c>
      <c r="DM46" s="871">
        <f t="shared" si="68"/>
        <v>9.7224015625000018</v>
      </c>
      <c r="DN46" s="871">
        <f t="shared" si="69"/>
        <v>9.7224015625000018</v>
      </c>
      <c r="DO46" s="871">
        <f t="shared" si="70"/>
        <v>9.7224015625000018</v>
      </c>
      <c r="DP46" s="871">
        <f t="shared" si="71"/>
        <v>9.7224015625000018</v>
      </c>
      <c r="DQ46" s="871">
        <f t="shared" si="72"/>
        <v>9.7224015625000018</v>
      </c>
      <c r="DR46" s="871">
        <f t="shared" si="73"/>
        <v>9.7224015625000018</v>
      </c>
      <c r="DS46" s="871">
        <f t="shared" si="74"/>
        <v>9.7224015625000018</v>
      </c>
      <c r="DT46" s="871">
        <f t="shared" si="75"/>
        <v>9.7224015625000018</v>
      </c>
      <c r="DU46" s="871">
        <f t="shared" si="76"/>
        <v>9.7224015625000018</v>
      </c>
      <c r="DV46" s="871">
        <f t="shared" si="77"/>
        <v>9.7224015625000018</v>
      </c>
      <c r="DW46" s="871">
        <f t="shared" si="78"/>
        <v>9.7224015625000018</v>
      </c>
      <c r="DX46" s="871">
        <f t="shared" si="79"/>
        <v>9.7224015625000018</v>
      </c>
      <c r="DY46" s="871">
        <f t="shared" si="80"/>
        <v>9.7224015625000018</v>
      </c>
      <c r="DZ46" s="871">
        <f t="shared" si="81"/>
        <v>9.7224015625000018</v>
      </c>
      <c r="EA46" s="871">
        <f t="shared" si="82"/>
        <v>9.7224015625000018</v>
      </c>
      <c r="EB46" s="871">
        <f t="shared" si="83"/>
        <v>9.7224015625000018</v>
      </c>
      <c r="EC46" s="871">
        <f t="shared" si="84"/>
        <v>9.7224015625000018</v>
      </c>
      <c r="ED46" s="871">
        <f t="shared" si="85"/>
        <v>9.7224015625000018</v>
      </c>
      <c r="EE46" s="871">
        <f t="shared" si="86"/>
        <v>9.7224015625000018</v>
      </c>
      <c r="EF46" s="871">
        <f t="shared" si="87"/>
        <v>9.7224015625000018</v>
      </c>
      <c r="EG46" s="871">
        <f t="shared" si="88"/>
        <v>9.7224015625000018</v>
      </c>
    </row>
    <row r="47" spans="1:137">
      <c r="A47" s="595"/>
      <c r="B47" s="598"/>
      <c r="C47" s="599"/>
      <c r="E47" s="1500" t="s">
        <v>1651</v>
      </c>
      <c r="F47" s="867" t="s">
        <v>1640</v>
      </c>
      <c r="G47" s="868">
        <v>8</v>
      </c>
      <c r="H47" s="867">
        <v>2000</v>
      </c>
      <c r="I47" s="869">
        <v>0.04</v>
      </c>
      <c r="J47" s="869">
        <v>0.03</v>
      </c>
      <c r="K47" s="76"/>
      <c r="L47" s="1455">
        <v>5</v>
      </c>
      <c r="M47" s="1455">
        <v>5</v>
      </c>
      <c r="N47" s="1455">
        <v>5</v>
      </c>
      <c r="O47" s="1455">
        <v>5</v>
      </c>
      <c r="P47" s="1455">
        <v>5</v>
      </c>
      <c r="Q47" s="1455">
        <v>5</v>
      </c>
      <c r="R47" s="1455">
        <v>5</v>
      </c>
      <c r="S47" s="1455">
        <v>5</v>
      </c>
      <c r="T47" s="1455">
        <v>5</v>
      </c>
      <c r="U47" s="1455">
        <v>5</v>
      </c>
      <c r="V47" s="1455">
        <v>5</v>
      </c>
      <c r="W47" s="1455">
        <v>5</v>
      </c>
      <c r="X47" s="1455">
        <v>5</v>
      </c>
      <c r="Y47" s="1455">
        <v>5</v>
      </c>
      <c r="Z47" s="1455">
        <v>5</v>
      </c>
      <c r="AA47" s="1455">
        <v>5</v>
      </c>
      <c r="AB47" s="1455">
        <v>5</v>
      </c>
      <c r="AC47" s="1455">
        <v>5</v>
      </c>
      <c r="AD47" s="1455">
        <v>5</v>
      </c>
      <c r="AE47" s="1455">
        <v>5</v>
      </c>
      <c r="AF47" s="1455">
        <v>5</v>
      </c>
      <c r="AG47" s="1455">
        <v>5</v>
      </c>
      <c r="AH47" s="1455">
        <v>5</v>
      </c>
      <c r="AI47" s="1455">
        <v>5</v>
      </c>
      <c r="AJ47" s="1455">
        <v>5</v>
      </c>
      <c r="AK47" s="1455">
        <v>5</v>
      </c>
      <c r="AL47" s="1455">
        <v>5</v>
      </c>
      <c r="AM47" s="1455">
        <v>5</v>
      </c>
      <c r="AN47" s="1455">
        <v>5</v>
      </c>
      <c r="AO47" s="1455">
        <v>5</v>
      </c>
      <c r="AP47" s="77"/>
      <c r="AQ47" s="871">
        <f>SUM(AR47:BU47)</f>
        <v>0</v>
      </c>
      <c r="AR47" s="871">
        <f t="shared" ref="AR47:BO47" si="409">VLOOKUP($E47,Par,6,0)*L47/1000</f>
        <v>0</v>
      </c>
      <c r="AS47" s="871">
        <f t="shared" si="409"/>
        <v>0</v>
      </c>
      <c r="AT47" s="871">
        <f t="shared" si="409"/>
        <v>0</v>
      </c>
      <c r="AU47" s="871">
        <f t="shared" si="409"/>
        <v>0</v>
      </c>
      <c r="AV47" s="871">
        <f t="shared" si="409"/>
        <v>0</v>
      </c>
      <c r="AW47" s="871">
        <f t="shared" si="409"/>
        <v>0</v>
      </c>
      <c r="AX47" s="871">
        <f t="shared" si="409"/>
        <v>0</v>
      </c>
      <c r="AY47" s="871">
        <f t="shared" si="409"/>
        <v>0</v>
      </c>
      <c r="AZ47" s="871">
        <f t="shared" si="409"/>
        <v>0</v>
      </c>
      <c r="BA47" s="871">
        <f t="shared" si="409"/>
        <v>0</v>
      </c>
      <c r="BB47" s="871">
        <f t="shared" si="409"/>
        <v>0</v>
      </c>
      <c r="BC47" s="871">
        <f t="shared" si="409"/>
        <v>0</v>
      </c>
      <c r="BD47" s="871">
        <f t="shared" si="409"/>
        <v>0</v>
      </c>
      <c r="BE47" s="871">
        <f t="shared" si="409"/>
        <v>0</v>
      </c>
      <c r="BF47" s="871">
        <f t="shared" si="409"/>
        <v>0</v>
      </c>
      <c r="BG47" s="871">
        <f t="shared" si="409"/>
        <v>0</v>
      </c>
      <c r="BH47" s="871">
        <f t="shared" si="409"/>
        <v>0</v>
      </c>
      <c r="BI47" s="871">
        <f t="shared" si="409"/>
        <v>0</v>
      </c>
      <c r="BJ47" s="871">
        <f t="shared" si="409"/>
        <v>0</v>
      </c>
      <c r="BK47" s="871">
        <f t="shared" si="409"/>
        <v>0</v>
      </c>
      <c r="BL47" s="871">
        <f t="shared" si="409"/>
        <v>0</v>
      </c>
      <c r="BM47" s="871">
        <f t="shared" si="409"/>
        <v>0</v>
      </c>
      <c r="BN47" s="871">
        <f t="shared" si="409"/>
        <v>0</v>
      </c>
      <c r="BO47" s="871">
        <f t="shared" si="409"/>
        <v>0</v>
      </c>
      <c r="BP47" s="871">
        <f t="shared" si="403"/>
        <v>0</v>
      </c>
      <c r="BQ47" s="871">
        <f t="shared" si="404"/>
        <v>0</v>
      </c>
      <c r="BR47" s="871">
        <f t="shared" si="405"/>
        <v>0</v>
      </c>
      <c r="BS47" s="871">
        <f t="shared" si="406"/>
        <v>0</v>
      </c>
      <c r="BT47" s="871">
        <f t="shared" si="407"/>
        <v>0</v>
      </c>
      <c r="BU47" s="871">
        <f t="shared" si="408"/>
        <v>0</v>
      </c>
      <c r="BV47" s="1453"/>
      <c r="BW47" s="871">
        <f ca="1">SUM(BX47:DA47)</f>
        <v>243.75</v>
      </c>
      <c r="BX47" s="871">
        <f t="shared" ref="BX47:DA47" ca="1" si="410">($H47/$G47*INDIRECT($F47)+($I47+$J47)*VLOOKUP($E47,Par,2,0))*L47/1000</f>
        <v>8.125</v>
      </c>
      <c r="BY47" s="871">
        <f t="shared" ca="1" si="410"/>
        <v>8.125</v>
      </c>
      <c r="BZ47" s="871">
        <f t="shared" ca="1" si="410"/>
        <v>8.125</v>
      </c>
      <c r="CA47" s="871">
        <f t="shared" ca="1" si="410"/>
        <v>8.125</v>
      </c>
      <c r="CB47" s="871">
        <f t="shared" ca="1" si="410"/>
        <v>8.125</v>
      </c>
      <c r="CC47" s="871">
        <f t="shared" ca="1" si="410"/>
        <v>8.125</v>
      </c>
      <c r="CD47" s="871">
        <f t="shared" ca="1" si="410"/>
        <v>8.125</v>
      </c>
      <c r="CE47" s="871">
        <f t="shared" ca="1" si="410"/>
        <v>8.125</v>
      </c>
      <c r="CF47" s="871">
        <f t="shared" ca="1" si="410"/>
        <v>8.125</v>
      </c>
      <c r="CG47" s="871">
        <f t="shared" ca="1" si="410"/>
        <v>8.125</v>
      </c>
      <c r="CH47" s="871">
        <f t="shared" ca="1" si="410"/>
        <v>8.125</v>
      </c>
      <c r="CI47" s="871">
        <f t="shared" ca="1" si="410"/>
        <v>8.125</v>
      </c>
      <c r="CJ47" s="871">
        <f t="shared" ca="1" si="410"/>
        <v>8.125</v>
      </c>
      <c r="CK47" s="871">
        <f t="shared" ca="1" si="410"/>
        <v>8.125</v>
      </c>
      <c r="CL47" s="871">
        <f t="shared" ca="1" si="410"/>
        <v>8.125</v>
      </c>
      <c r="CM47" s="871">
        <f t="shared" ca="1" si="410"/>
        <v>8.125</v>
      </c>
      <c r="CN47" s="871">
        <f t="shared" ca="1" si="410"/>
        <v>8.125</v>
      </c>
      <c r="CO47" s="871">
        <f t="shared" ca="1" si="410"/>
        <v>8.125</v>
      </c>
      <c r="CP47" s="871">
        <f t="shared" ca="1" si="410"/>
        <v>8.125</v>
      </c>
      <c r="CQ47" s="871">
        <f t="shared" ca="1" si="410"/>
        <v>8.125</v>
      </c>
      <c r="CR47" s="871">
        <f t="shared" ca="1" si="410"/>
        <v>8.125</v>
      </c>
      <c r="CS47" s="871">
        <f t="shared" ca="1" si="410"/>
        <v>8.125</v>
      </c>
      <c r="CT47" s="871">
        <f t="shared" ca="1" si="410"/>
        <v>8.125</v>
      </c>
      <c r="CU47" s="871">
        <f t="shared" ca="1" si="410"/>
        <v>8.125</v>
      </c>
      <c r="CV47" s="871">
        <f t="shared" ca="1" si="410"/>
        <v>8.125</v>
      </c>
      <c r="CW47" s="871">
        <f t="shared" ca="1" si="410"/>
        <v>8.125</v>
      </c>
      <c r="CX47" s="871">
        <f t="shared" ca="1" si="410"/>
        <v>8.125</v>
      </c>
      <c r="CY47" s="871">
        <f t="shared" ca="1" si="410"/>
        <v>8.125</v>
      </c>
      <c r="CZ47" s="871">
        <f t="shared" ca="1" si="410"/>
        <v>8.125</v>
      </c>
      <c r="DA47" s="871">
        <f t="shared" ca="1" si="410"/>
        <v>8.125</v>
      </c>
      <c r="DB47" s="41"/>
      <c r="DC47" s="871">
        <f t="shared" ca="1" si="58"/>
        <v>243.75</v>
      </c>
      <c r="DD47" s="871">
        <f t="shared" ca="1" si="59"/>
        <v>8.125</v>
      </c>
      <c r="DE47" s="871">
        <f t="shared" ca="1" si="60"/>
        <v>8.125</v>
      </c>
      <c r="DF47" s="871">
        <f t="shared" ca="1" si="61"/>
        <v>8.125</v>
      </c>
      <c r="DG47" s="871">
        <f t="shared" ca="1" si="62"/>
        <v>8.125</v>
      </c>
      <c r="DH47" s="871">
        <f t="shared" ca="1" si="63"/>
        <v>8.125</v>
      </c>
      <c r="DI47" s="871">
        <f t="shared" ca="1" si="64"/>
        <v>8.125</v>
      </c>
      <c r="DJ47" s="871">
        <f t="shared" ca="1" si="65"/>
        <v>8.125</v>
      </c>
      <c r="DK47" s="871">
        <f t="shared" ca="1" si="66"/>
        <v>8.125</v>
      </c>
      <c r="DL47" s="871">
        <f t="shared" ca="1" si="67"/>
        <v>8.125</v>
      </c>
      <c r="DM47" s="871">
        <f t="shared" ca="1" si="68"/>
        <v>8.125</v>
      </c>
      <c r="DN47" s="871">
        <f t="shared" ca="1" si="69"/>
        <v>8.125</v>
      </c>
      <c r="DO47" s="871">
        <f t="shared" ca="1" si="70"/>
        <v>8.125</v>
      </c>
      <c r="DP47" s="871">
        <f t="shared" ca="1" si="71"/>
        <v>8.125</v>
      </c>
      <c r="DQ47" s="871">
        <f t="shared" ca="1" si="72"/>
        <v>8.125</v>
      </c>
      <c r="DR47" s="871">
        <f t="shared" ca="1" si="73"/>
        <v>8.125</v>
      </c>
      <c r="DS47" s="871">
        <f t="shared" ca="1" si="74"/>
        <v>8.125</v>
      </c>
      <c r="DT47" s="871">
        <f t="shared" ca="1" si="75"/>
        <v>8.125</v>
      </c>
      <c r="DU47" s="871">
        <f t="shared" ca="1" si="76"/>
        <v>8.125</v>
      </c>
      <c r="DV47" s="871">
        <f t="shared" ca="1" si="77"/>
        <v>8.125</v>
      </c>
      <c r="DW47" s="871">
        <f t="shared" ca="1" si="78"/>
        <v>8.125</v>
      </c>
      <c r="DX47" s="871">
        <f t="shared" ca="1" si="79"/>
        <v>8.125</v>
      </c>
      <c r="DY47" s="871">
        <f t="shared" ca="1" si="80"/>
        <v>8.125</v>
      </c>
      <c r="DZ47" s="871">
        <f t="shared" ca="1" si="81"/>
        <v>8.125</v>
      </c>
      <c r="EA47" s="871">
        <f t="shared" ca="1" si="82"/>
        <v>8.125</v>
      </c>
      <c r="EB47" s="871">
        <f t="shared" ca="1" si="83"/>
        <v>8.125</v>
      </c>
      <c r="EC47" s="871">
        <f t="shared" ca="1" si="84"/>
        <v>8.125</v>
      </c>
      <c r="ED47" s="871">
        <f t="shared" ca="1" si="85"/>
        <v>8.125</v>
      </c>
      <c r="EE47" s="871">
        <f t="shared" ca="1" si="86"/>
        <v>8.125</v>
      </c>
      <c r="EF47" s="871">
        <f t="shared" ca="1" si="87"/>
        <v>8.125</v>
      </c>
      <c r="EG47" s="871">
        <f t="shared" ca="1" si="88"/>
        <v>8.125</v>
      </c>
    </row>
    <row r="48" spans="1:137" ht="12.75" customHeight="1">
      <c r="A48" s="595"/>
      <c r="B48" s="598"/>
      <c r="C48" s="599"/>
      <c r="D48" s="29">
        <v>2</v>
      </c>
      <c r="E48" s="1489" t="s">
        <v>1652</v>
      </c>
      <c r="F48" s="867"/>
      <c r="G48" s="868"/>
      <c r="H48" s="867"/>
      <c r="I48" s="869"/>
      <c r="J48" s="869"/>
      <c r="K48" s="76"/>
      <c r="L48" s="1479"/>
      <c r="M48" s="1479"/>
      <c r="N48" s="1479"/>
      <c r="O48" s="1479"/>
      <c r="P48" s="1479"/>
      <c r="Q48" s="1479"/>
      <c r="R48" s="1479"/>
      <c r="S48" s="1479"/>
      <c r="T48" s="1479"/>
      <c r="U48" s="1479"/>
      <c r="V48" s="1479"/>
      <c r="W48" s="1479"/>
      <c r="X48" s="1479"/>
      <c r="Y48" s="1479"/>
      <c r="Z48" s="1479"/>
      <c r="AA48" s="1479"/>
      <c r="AB48" s="1479"/>
      <c r="AC48" s="1479"/>
      <c r="AD48" s="1479"/>
      <c r="AE48" s="1479"/>
      <c r="AF48" s="1479"/>
      <c r="AG48" s="1479"/>
      <c r="AH48" s="1479"/>
      <c r="AI48" s="1479"/>
      <c r="AJ48" s="1479"/>
      <c r="AK48" s="1479"/>
      <c r="AL48" s="1479"/>
      <c r="AM48" s="1479"/>
      <c r="AN48" s="1479"/>
      <c r="AO48" s="1479"/>
      <c r="AP48" s="77"/>
      <c r="AQ48" s="1496">
        <f>SUBTOTAL(9,AQ49)</f>
        <v>0</v>
      </c>
      <c r="AR48" s="1496">
        <f t="shared" ref="AR48" si="411">SUBTOTAL(9,AR49)</f>
        <v>0</v>
      </c>
      <c r="AS48" s="1496">
        <f t="shared" ref="AS48" si="412">SUBTOTAL(9,AS49)</f>
        <v>0</v>
      </c>
      <c r="AT48" s="1496">
        <f t="shared" ref="AT48" si="413">SUBTOTAL(9,AT49)</f>
        <v>0</v>
      </c>
      <c r="AU48" s="1496">
        <f t="shared" ref="AU48" si="414">SUBTOTAL(9,AU49)</f>
        <v>0</v>
      </c>
      <c r="AV48" s="1496">
        <f t="shared" ref="AV48" si="415">SUBTOTAL(9,AV49)</f>
        <v>0</v>
      </c>
      <c r="AW48" s="1496">
        <f t="shared" ref="AW48" si="416">SUBTOTAL(9,AW49)</f>
        <v>0</v>
      </c>
      <c r="AX48" s="1496">
        <f t="shared" ref="AX48" si="417">SUBTOTAL(9,AX49)</f>
        <v>0</v>
      </c>
      <c r="AY48" s="1496">
        <f t="shared" ref="AY48" si="418">SUBTOTAL(9,AY49)</f>
        <v>0</v>
      </c>
      <c r="AZ48" s="1496">
        <f t="shared" ref="AZ48" si="419">SUBTOTAL(9,AZ49)</f>
        <v>0</v>
      </c>
      <c r="BA48" s="1496">
        <f t="shared" ref="BA48" si="420">SUBTOTAL(9,BA49)</f>
        <v>0</v>
      </c>
      <c r="BB48" s="1496">
        <f t="shared" ref="BB48" si="421">SUBTOTAL(9,BB49)</f>
        <v>0</v>
      </c>
      <c r="BC48" s="1496">
        <f t="shared" ref="BC48" si="422">SUBTOTAL(9,BC49)</f>
        <v>0</v>
      </c>
      <c r="BD48" s="1496">
        <f t="shared" ref="BD48" si="423">SUBTOTAL(9,BD49)</f>
        <v>0</v>
      </c>
      <c r="BE48" s="1496">
        <f t="shared" ref="BE48" si="424">SUBTOTAL(9,BE49)</f>
        <v>0</v>
      </c>
      <c r="BF48" s="1496">
        <f t="shared" ref="BF48" si="425">SUBTOTAL(9,BF49)</f>
        <v>0</v>
      </c>
      <c r="BG48" s="1496">
        <f t="shared" ref="BG48" si="426">SUBTOTAL(9,BG49)</f>
        <v>0</v>
      </c>
      <c r="BH48" s="1496">
        <f t="shared" ref="BH48" si="427">SUBTOTAL(9,BH49)</f>
        <v>0</v>
      </c>
      <c r="BI48" s="1496">
        <f t="shared" ref="BI48" si="428">SUBTOTAL(9,BI49)</f>
        <v>0</v>
      </c>
      <c r="BJ48" s="1496">
        <f t="shared" ref="BJ48" si="429">SUBTOTAL(9,BJ49)</f>
        <v>0</v>
      </c>
      <c r="BK48" s="1496">
        <f t="shared" ref="BK48" si="430">SUBTOTAL(9,BK49)</f>
        <v>0</v>
      </c>
      <c r="BL48" s="1496">
        <f t="shared" ref="BL48" si="431">SUBTOTAL(9,BL49)</f>
        <v>0</v>
      </c>
      <c r="BM48" s="1496">
        <f t="shared" ref="BM48" si="432">SUBTOTAL(9,BM49)</f>
        <v>0</v>
      </c>
      <c r="BN48" s="1496">
        <f t="shared" ref="BN48" si="433">SUBTOTAL(9,BN49)</f>
        <v>0</v>
      </c>
      <c r="BO48" s="1496">
        <f t="shared" ref="BO48:BU48" si="434">SUBTOTAL(9,BO49)</f>
        <v>0</v>
      </c>
      <c r="BP48" s="1496">
        <f t="shared" si="434"/>
        <v>0</v>
      </c>
      <c r="BQ48" s="1496">
        <f t="shared" si="434"/>
        <v>0</v>
      </c>
      <c r="BR48" s="1496">
        <f t="shared" si="434"/>
        <v>0</v>
      </c>
      <c r="BS48" s="1496">
        <f t="shared" si="434"/>
        <v>0</v>
      </c>
      <c r="BT48" s="1496">
        <f t="shared" si="434"/>
        <v>0</v>
      </c>
      <c r="BU48" s="1496">
        <f t="shared" si="434"/>
        <v>0</v>
      </c>
      <c r="BV48" s="1497"/>
      <c r="BW48" s="1496">
        <f t="shared" ref="BW48" si="435">SUBTOTAL(9,BW49)</f>
        <v>0</v>
      </c>
      <c r="BX48" s="1496">
        <f t="shared" ref="BX48" si="436">SUBTOTAL(9,BX49)</f>
        <v>0</v>
      </c>
      <c r="BY48" s="1496">
        <f t="shared" ref="BY48" si="437">SUBTOTAL(9,BY49)</f>
        <v>0</v>
      </c>
      <c r="BZ48" s="1496">
        <f t="shared" ref="BZ48" si="438">SUBTOTAL(9,BZ49)</f>
        <v>0</v>
      </c>
      <c r="CA48" s="1496">
        <f t="shared" ref="CA48" si="439">SUBTOTAL(9,CA49)</f>
        <v>0</v>
      </c>
      <c r="CB48" s="1496">
        <f t="shared" ref="CB48" si="440">SUBTOTAL(9,CB49)</f>
        <v>0</v>
      </c>
      <c r="CC48" s="1496">
        <f t="shared" ref="CC48" si="441">SUBTOTAL(9,CC49)</f>
        <v>0</v>
      </c>
      <c r="CD48" s="1496">
        <f t="shared" ref="CD48" si="442">SUBTOTAL(9,CD49)</f>
        <v>0</v>
      </c>
      <c r="CE48" s="1496">
        <f t="shared" ref="CE48" si="443">SUBTOTAL(9,CE49)</f>
        <v>0</v>
      </c>
      <c r="CF48" s="1496">
        <f t="shared" ref="CF48" si="444">SUBTOTAL(9,CF49)</f>
        <v>0</v>
      </c>
      <c r="CG48" s="1496">
        <f t="shared" ref="CG48" si="445">SUBTOTAL(9,CG49)</f>
        <v>0</v>
      </c>
      <c r="CH48" s="1496">
        <f t="shared" ref="CH48" si="446">SUBTOTAL(9,CH49)</f>
        <v>0</v>
      </c>
      <c r="CI48" s="1496">
        <f t="shared" ref="CI48" si="447">SUBTOTAL(9,CI49)</f>
        <v>0</v>
      </c>
      <c r="CJ48" s="1496">
        <f t="shared" ref="CJ48" si="448">SUBTOTAL(9,CJ49)</f>
        <v>0</v>
      </c>
      <c r="CK48" s="1496">
        <f t="shared" ref="CK48" si="449">SUBTOTAL(9,CK49)</f>
        <v>0</v>
      </c>
      <c r="CL48" s="1496">
        <f t="shared" ref="CL48" si="450">SUBTOTAL(9,CL49)</f>
        <v>0</v>
      </c>
      <c r="CM48" s="1496">
        <f t="shared" ref="CM48" si="451">SUBTOTAL(9,CM49)</f>
        <v>0</v>
      </c>
      <c r="CN48" s="1496">
        <f t="shared" ref="CN48" si="452">SUBTOTAL(9,CN49)</f>
        <v>0</v>
      </c>
      <c r="CO48" s="1496">
        <f t="shared" ref="CO48" si="453">SUBTOTAL(9,CO49)</f>
        <v>0</v>
      </c>
      <c r="CP48" s="1496">
        <f t="shared" ref="CP48" si="454">SUBTOTAL(9,CP49)</f>
        <v>0</v>
      </c>
      <c r="CQ48" s="1496">
        <f t="shared" ref="CQ48" si="455">SUBTOTAL(9,CQ49)</f>
        <v>0</v>
      </c>
      <c r="CR48" s="1496">
        <f t="shared" ref="CR48" si="456">SUBTOTAL(9,CR49)</f>
        <v>0</v>
      </c>
      <c r="CS48" s="1496">
        <f t="shared" ref="CS48" si="457">SUBTOTAL(9,CS49)</f>
        <v>0</v>
      </c>
      <c r="CT48" s="1496">
        <f t="shared" ref="CT48" si="458">SUBTOTAL(9,CT49)</f>
        <v>0</v>
      </c>
      <c r="CU48" s="1496">
        <f t="shared" ref="CU48:DA48" si="459">SUBTOTAL(9,CU49)</f>
        <v>0</v>
      </c>
      <c r="CV48" s="1496">
        <f t="shared" si="459"/>
        <v>0</v>
      </c>
      <c r="CW48" s="1496">
        <f t="shared" si="459"/>
        <v>0</v>
      </c>
      <c r="CX48" s="1496">
        <f t="shared" si="459"/>
        <v>0</v>
      </c>
      <c r="CY48" s="1496">
        <f t="shared" si="459"/>
        <v>0</v>
      </c>
      <c r="CZ48" s="1496">
        <f t="shared" si="459"/>
        <v>0</v>
      </c>
      <c r="DA48" s="1496">
        <f t="shared" si="459"/>
        <v>0</v>
      </c>
      <c r="DB48" s="41"/>
      <c r="DC48" s="1496">
        <f t="shared" si="58"/>
        <v>0</v>
      </c>
      <c r="DD48" s="1496">
        <f t="shared" si="59"/>
        <v>0</v>
      </c>
      <c r="DE48" s="1496">
        <f t="shared" si="60"/>
        <v>0</v>
      </c>
      <c r="DF48" s="1496">
        <f t="shared" si="61"/>
        <v>0</v>
      </c>
      <c r="DG48" s="1496">
        <f t="shared" si="62"/>
        <v>0</v>
      </c>
      <c r="DH48" s="1496">
        <f t="shared" si="63"/>
        <v>0</v>
      </c>
      <c r="DI48" s="1496">
        <f t="shared" si="64"/>
        <v>0</v>
      </c>
      <c r="DJ48" s="1496">
        <f t="shared" si="65"/>
        <v>0</v>
      </c>
      <c r="DK48" s="1496">
        <f t="shared" si="66"/>
        <v>0</v>
      </c>
      <c r="DL48" s="1496">
        <f t="shared" si="67"/>
        <v>0</v>
      </c>
      <c r="DM48" s="1496">
        <f t="shared" si="68"/>
        <v>0</v>
      </c>
      <c r="DN48" s="1496">
        <f t="shared" si="69"/>
        <v>0</v>
      </c>
      <c r="DO48" s="1496">
        <f t="shared" si="70"/>
        <v>0</v>
      </c>
      <c r="DP48" s="1496">
        <f t="shared" si="71"/>
        <v>0</v>
      </c>
      <c r="DQ48" s="1496">
        <f t="shared" si="72"/>
        <v>0</v>
      </c>
      <c r="DR48" s="1496">
        <f t="shared" si="73"/>
        <v>0</v>
      </c>
      <c r="DS48" s="1496">
        <f t="shared" si="74"/>
        <v>0</v>
      </c>
      <c r="DT48" s="1496">
        <f t="shared" si="75"/>
        <v>0</v>
      </c>
      <c r="DU48" s="1496">
        <f t="shared" si="76"/>
        <v>0</v>
      </c>
      <c r="DV48" s="1496">
        <f t="shared" si="77"/>
        <v>0</v>
      </c>
      <c r="DW48" s="1496">
        <f t="shared" si="78"/>
        <v>0</v>
      </c>
      <c r="DX48" s="1496">
        <f t="shared" si="79"/>
        <v>0</v>
      </c>
      <c r="DY48" s="1496">
        <f t="shared" si="80"/>
        <v>0</v>
      </c>
      <c r="DZ48" s="1496">
        <f t="shared" si="81"/>
        <v>0</v>
      </c>
      <c r="EA48" s="1496">
        <f t="shared" si="82"/>
        <v>0</v>
      </c>
      <c r="EB48" s="1496">
        <f t="shared" si="83"/>
        <v>0</v>
      </c>
      <c r="EC48" s="1496">
        <f t="shared" si="84"/>
        <v>0</v>
      </c>
      <c r="ED48" s="1496">
        <f t="shared" si="85"/>
        <v>0</v>
      </c>
      <c r="EE48" s="1496">
        <f t="shared" si="86"/>
        <v>0</v>
      </c>
      <c r="EF48" s="1496">
        <f t="shared" si="87"/>
        <v>0</v>
      </c>
      <c r="EG48" s="1496">
        <f t="shared" si="88"/>
        <v>0</v>
      </c>
    </row>
    <row r="49" spans="1:137">
      <c r="A49" s="595"/>
      <c r="B49" s="598"/>
      <c r="C49" s="599"/>
      <c r="E49" s="1499" t="s">
        <v>1653</v>
      </c>
      <c r="F49" s="867"/>
      <c r="G49" s="868"/>
      <c r="H49" s="867"/>
      <c r="I49" s="869"/>
      <c r="J49" s="869"/>
      <c r="K49" s="76"/>
      <c r="L49" s="1455">
        <v>0</v>
      </c>
      <c r="M49" s="1455">
        <v>0</v>
      </c>
      <c r="N49" s="1455">
        <v>0</v>
      </c>
      <c r="O49" s="1455">
        <v>0</v>
      </c>
      <c r="P49" s="1455">
        <v>0</v>
      </c>
      <c r="Q49" s="1455">
        <v>0</v>
      </c>
      <c r="R49" s="1455">
        <v>0</v>
      </c>
      <c r="S49" s="1455">
        <v>0</v>
      </c>
      <c r="T49" s="1455">
        <v>0</v>
      </c>
      <c r="U49" s="1455">
        <v>0</v>
      </c>
      <c r="V49" s="1455">
        <v>0</v>
      </c>
      <c r="W49" s="1455">
        <v>0</v>
      </c>
      <c r="X49" s="1455">
        <v>0</v>
      </c>
      <c r="Y49" s="1455">
        <v>0</v>
      </c>
      <c r="Z49" s="1455">
        <v>0</v>
      </c>
      <c r="AA49" s="1455">
        <v>0</v>
      </c>
      <c r="AB49" s="1455">
        <v>0</v>
      </c>
      <c r="AC49" s="1455">
        <v>0</v>
      </c>
      <c r="AD49" s="1455">
        <v>0</v>
      </c>
      <c r="AE49" s="1455">
        <v>0</v>
      </c>
      <c r="AF49" s="1455">
        <v>0</v>
      </c>
      <c r="AG49" s="1455">
        <v>0</v>
      </c>
      <c r="AH49" s="1455">
        <v>0</v>
      </c>
      <c r="AI49" s="1455">
        <v>0</v>
      </c>
      <c r="AJ49" s="1455">
        <v>0</v>
      </c>
      <c r="AK49" s="1455">
        <v>0</v>
      </c>
      <c r="AL49" s="1455">
        <v>0</v>
      </c>
      <c r="AM49" s="1455">
        <v>0</v>
      </c>
      <c r="AN49" s="1455">
        <v>0</v>
      </c>
      <c r="AO49" s="1455">
        <v>0</v>
      </c>
      <c r="AP49" s="77"/>
      <c r="AQ49" s="871">
        <f t="shared" si="118"/>
        <v>0</v>
      </c>
      <c r="AR49" s="871">
        <f t="shared" si="298"/>
        <v>0</v>
      </c>
      <c r="AS49" s="871">
        <f t="shared" si="299"/>
        <v>0</v>
      </c>
      <c r="AT49" s="871">
        <f t="shared" si="300"/>
        <v>0</v>
      </c>
      <c r="AU49" s="871">
        <f t="shared" si="301"/>
        <v>0</v>
      </c>
      <c r="AV49" s="871">
        <f t="shared" si="302"/>
        <v>0</v>
      </c>
      <c r="AW49" s="871">
        <f t="shared" si="303"/>
        <v>0</v>
      </c>
      <c r="AX49" s="871">
        <f t="shared" si="304"/>
        <v>0</v>
      </c>
      <c r="AY49" s="871">
        <f t="shared" si="305"/>
        <v>0</v>
      </c>
      <c r="AZ49" s="871">
        <f t="shared" si="306"/>
        <v>0</v>
      </c>
      <c r="BA49" s="871">
        <f t="shared" si="307"/>
        <v>0</v>
      </c>
      <c r="BB49" s="871">
        <f t="shared" si="308"/>
        <v>0</v>
      </c>
      <c r="BC49" s="871">
        <f t="shared" si="309"/>
        <v>0</v>
      </c>
      <c r="BD49" s="871">
        <f t="shared" si="310"/>
        <v>0</v>
      </c>
      <c r="BE49" s="871">
        <f t="shared" si="311"/>
        <v>0</v>
      </c>
      <c r="BF49" s="871">
        <f t="shared" si="312"/>
        <v>0</v>
      </c>
      <c r="BG49" s="871">
        <f t="shared" si="313"/>
        <v>0</v>
      </c>
      <c r="BH49" s="871">
        <f t="shared" si="314"/>
        <v>0</v>
      </c>
      <c r="BI49" s="871">
        <f t="shared" si="315"/>
        <v>0</v>
      </c>
      <c r="BJ49" s="871">
        <f t="shared" si="316"/>
        <v>0</v>
      </c>
      <c r="BK49" s="871">
        <f t="shared" si="317"/>
        <v>0</v>
      </c>
      <c r="BL49" s="871">
        <f t="shared" si="318"/>
        <v>0</v>
      </c>
      <c r="BM49" s="871">
        <f t="shared" si="319"/>
        <v>0</v>
      </c>
      <c r="BN49" s="871">
        <f t="shared" si="320"/>
        <v>0</v>
      </c>
      <c r="BO49" s="871">
        <f t="shared" si="321"/>
        <v>0</v>
      </c>
      <c r="BP49" s="871">
        <f t="shared" ref="BP49" si="460">VLOOKUP($E49,Par,6,0)*AJ49/1000</f>
        <v>0</v>
      </c>
      <c r="BQ49" s="871">
        <f t="shared" ref="BQ49" si="461">VLOOKUP($E49,Par,6,0)*AK49/1000</f>
        <v>0</v>
      </c>
      <c r="BR49" s="871">
        <f t="shared" ref="BR49" si="462">VLOOKUP($E49,Par,6,0)*AL49/1000</f>
        <v>0</v>
      </c>
      <c r="BS49" s="871">
        <f t="shared" ref="BS49" si="463">VLOOKUP($E49,Par,6,0)*AM49/1000</f>
        <v>0</v>
      </c>
      <c r="BT49" s="871">
        <f t="shared" ref="BT49" si="464">VLOOKUP($E49,Par,6,0)*AN49/1000</f>
        <v>0</v>
      </c>
      <c r="BU49" s="871">
        <f t="shared" ref="BU49" si="465">VLOOKUP($E49,Par,6,0)*AO49/1000</f>
        <v>0</v>
      </c>
      <c r="BV49" s="1453"/>
      <c r="BW49" s="871">
        <f t="shared" si="117"/>
        <v>0</v>
      </c>
      <c r="BX49" s="871"/>
      <c r="BY49" s="871"/>
      <c r="BZ49" s="871"/>
      <c r="CA49" s="871"/>
      <c r="CB49" s="871"/>
      <c r="CC49" s="871"/>
      <c r="CD49" s="871"/>
      <c r="CE49" s="871"/>
      <c r="CF49" s="871"/>
      <c r="CG49" s="871"/>
      <c r="CH49" s="871"/>
      <c r="CI49" s="871"/>
      <c r="CJ49" s="871"/>
      <c r="CK49" s="871"/>
      <c r="CL49" s="871"/>
      <c r="CM49" s="871"/>
      <c r="CN49" s="871"/>
      <c r="CO49" s="871"/>
      <c r="CP49" s="871"/>
      <c r="CQ49" s="871"/>
      <c r="CR49" s="871"/>
      <c r="CS49" s="871"/>
      <c r="CT49" s="871"/>
      <c r="CU49" s="871"/>
      <c r="CV49" s="871"/>
      <c r="CW49" s="871"/>
      <c r="CX49" s="871"/>
      <c r="CY49" s="871"/>
      <c r="CZ49" s="871"/>
      <c r="DA49" s="871"/>
      <c r="DB49" s="41"/>
      <c r="DC49" s="871">
        <f t="shared" si="58"/>
        <v>0</v>
      </c>
      <c r="DD49" s="871">
        <f t="shared" si="59"/>
        <v>0</v>
      </c>
      <c r="DE49" s="871">
        <f t="shared" si="60"/>
        <v>0</v>
      </c>
      <c r="DF49" s="871">
        <f t="shared" si="61"/>
        <v>0</v>
      </c>
      <c r="DG49" s="871">
        <f t="shared" si="62"/>
        <v>0</v>
      </c>
      <c r="DH49" s="871">
        <f t="shared" si="63"/>
        <v>0</v>
      </c>
      <c r="DI49" s="871">
        <f t="shared" si="64"/>
        <v>0</v>
      </c>
      <c r="DJ49" s="871">
        <f t="shared" si="65"/>
        <v>0</v>
      </c>
      <c r="DK49" s="871">
        <f t="shared" si="66"/>
        <v>0</v>
      </c>
      <c r="DL49" s="871">
        <f t="shared" si="67"/>
        <v>0</v>
      </c>
      <c r="DM49" s="871">
        <f t="shared" si="68"/>
        <v>0</v>
      </c>
      <c r="DN49" s="871">
        <f t="shared" si="69"/>
        <v>0</v>
      </c>
      <c r="DO49" s="871">
        <f t="shared" si="70"/>
        <v>0</v>
      </c>
      <c r="DP49" s="871">
        <f t="shared" si="71"/>
        <v>0</v>
      </c>
      <c r="DQ49" s="871">
        <f t="shared" si="72"/>
        <v>0</v>
      </c>
      <c r="DR49" s="871">
        <f t="shared" si="73"/>
        <v>0</v>
      </c>
      <c r="DS49" s="871">
        <f t="shared" si="74"/>
        <v>0</v>
      </c>
      <c r="DT49" s="871">
        <f t="shared" si="75"/>
        <v>0</v>
      </c>
      <c r="DU49" s="871">
        <f t="shared" si="76"/>
        <v>0</v>
      </c>
      <c r="DV49" s="871">
        <f t="shared" si="77"/>
        <v>0</v>
      </c>
      <c r="DW49" s="871">
        <f t="shared" si="78"/>
        <v>0</v>
      </c>
      <c r="DX49" s="871">
        <f t="shared" si="79"/>
        <v>0</v>
      </c>
      <c r="DY49" s="871">
        <f t="shared" si="80"/>
        <v>0</v>
      </c>
      <c r="DZ49" s="871">
        <f t="shared" si="81"/>
        <v>0</v>
      </c>
      <c r="EA49" s="871">
        <f t="shared" si="82"/>
        <v>0</v>
      </c>
      <c r="EB49" s="871">
        <f t="shared" si="83"/>
        <v>0</v>
      </c>
      <c r="EC49" s="871">
        <f t="shared" si="84"/>
        <v>0</v>
      </c>
      <c r="ED49" s="871">
        <f t="shared" si="85"/>
        <v>0</v>
      </c>
      <c r="EE49" s="871">
        <f t="shared" si="86"/>
        <v>0</v>
      </c>
      <c r="EF49" s="871">
        <f t="shared" si="87"/>
        <v>0</v>
      </c>
      <c r="EG49" s="871">
        <f t="shared" si="88"/>
        <v>0</v>
      </c>
    </row>
    <row r="50" spans="1:137">
      <c r="A50" s="595"/>
      <c r="B50" s="598"/>
      <c r="C50" s="599"/>
      <c r="E50" s="1501" t="s">
        <v>1654</v>
      </c>
      <c r="F50" s="867"/>
      <c r="G50" s="868"/>
      <c r="H50" s="867"/>
      <c r="I50" s="869"/>
      <c r="J50" s="869"/>
      <c r="K50" s="76"/>
      <c r="L50" s="1455">
        <v>0</v>
      </c>
      <c r="M50" s="1455">
        <v>0</v>
      </c>
      <c r="N50" s="1455">
        <v>0</v>
      </c>
      <c r="O50" s="1455">
        <v>0</v>
      </c>
      <c r="P50" s="1455">
        <v>0</v>
      </c>
      <c r="Q50" s="1455">
        <v>0</v>
      </c>
      <c r="R50" s="1455">
        <v>0</v>
      </c>
      <c r="S50" s="1455">
        <v>0</v>
      </c>
      <c r="T50" s="1455">
        <v>0</v>
      </c>
      <c r="U50" s="1455">
        <v>0</v>
      </c>
      <c r="V50" s="1455">
        <v>0</v>
      </c>
      <c r="W50" s="1455">
        <v>0</v>
      </c>
      <c r="X50" s="1455">
        <v>0</v>
      </c>
      <c r="Y50" s="1455">
        <v>0</v>
      </c>
      <c r="Z50" s="1455">
        <v>0</v>
      </c>
      <c r="AA50" s="1455">
        <v>0</v>
      </c>
      <c r="AB50" s="1455">
        <v>0</v>
      </c>
      <c r="AC50" s="1455">
        <v>0</v>
      </c>
      <c r="AD50" s="1455">
        <v>0</v>
      </c>
      <c r="AE50" s="1455">
        <v>0</v>
      </c>
      <c r="AF50" s="1455">
        <v>0</v>
      </c>
      <c r="AG50" s="1455">
        <v>0</v>
      </c>
      <c r="AH50" s="1455">
        <v>0</v>
      </c>
      <c r="AI50" s="1455">
        <v>0</v>
      </c>
      <c r="AJ50" s="1455">
        <v>0</v>
      </c>
      <c r="AK50" s="1455">
        <v>0</v>
      </c>
      <c r="AL50" s="1455">
        <v>0</v>
      </c>
      <c r="AM50" s="1455">
        <v>0</v>
      </c>
      <c r="AN50" s="1455">
        <v>0</v>
      </c>
      <c r="AO50" s="1455">
        <v>0</v>
      </c>
      <c r="AP50" s="77"/>
      <c r="AQ50" s="871">
        <f t="shared" ref="AQ50" si="466">SUM(AR50:BU50)</f>
        <v>0</v>
      </c>
      <c r="AR50" s="871">
        <f t="shared" ref="AR50" si="467">VLOOKUP($E50,Par,6,0)*L50/1000</f>
        <v>0</v>
      </c>
      <c r="AS50" s="871">
        <f t="shared" ref="AS50" si="468">VLOOKUP($E50,Par,6,0)*M50/1000</f>
        <v>0</v>
      </c>
      <c r="AT50" s="871">
        <f t="shared" ref="AT50" si="469">VLOOKUP($E50,Par,6,0)*N50/1000</f>
        <v>0</v>
      </c>
      <c r="AU50" s="871">
        <f t="shared" ref="AU50" si="470">VLOOKUP($E50,Par,6,0)*O50/1000</f>
        <v>0</v>
      </c>
      <c r="AV50" s="871">
        <f t="shared" ref="AV50" si="471">VLOOKUP($E50,Par,6,0)*P50/1000</f>
        <v>0</v>
      </c>
      <c r="AW50" s="871">
        <f t="shared" ref="AW50" si="472">VLOOKUP($E50,Par,6,0)*Q50/1000</f>
        <v>0</v>
      </c>
      <c r="AX50" s="871">
        <f t="shared" ref="AX50" si="473">VLOOKUP($E50,Par,6,0)*R50/1000</f>
        <v>0</v>
      </c>
      <c r="AY50" s="871">
        <f t="shared" ref="AY50" si="474">VLOOKUP($E50,Par,6,0)*S50/1000</f>
        <v>0</v>
      </c>
      <c r="AZ50" s="871">
        <f t="shared" ref="AZ50" si="475">VLOOKUP($E50,Par,6,0)*T50/1000</f>
        <v>0</v>
      </c>
      <c r="BA50" s="871">
        <f t="shared" ref="BA50" si="476">VLOOKUP($E50,Par,6,0)*U50/1000</f>
        <v>0</v>
      </c>
      <c r="BB50" s="871">
        <f t="shared" ref="BB50" si="477">VLOOKUP($E50,Par,6,0)*V50/1000</f>
        <v>0</v>
      </c>
      <c r="BC50" s="871">
        <f t="shared" ref="BC50" si="478">VLOOKUP($E50,Par,6,0)*W50/1000</f>
        <v>0</v>
      </c>
      <c r="BD50" s="871">
        <f t="shared" ref="BD50" si="479">VLOOKUP($E50,Par,6,0)*X50/1000</f>
        <v>0</v>
      </c>
      <c r="BE50" s="871">
        <f t="shared" ref="BE50" si="480">VLOOKUP($E50,Par,6,0)*Y50/1000</f>
        <v>0</v>
      </c>
      <c r="BF50" s="871">
        <f t="shared" ref="BF50" si="481">VLOOKUP($E50,Par,6,0)*Z50/1000</f>
        <v>0</v>
      </c>
      <c r="BG50" s="871">
        <f t="shared" ref="BG50" si="482">VLOOKUP($E50,Par,6,0)*AA50/1000</f>
        <v>0</v>
      </c>
      <c r="BH50" s="871">
        <f t="shared" ref="BH50" si="483">VLOOKUP($E50,Par,6,0)*AB50/1000</f>
        <v>0</v>
      </c>
      <c r="BI50" s="871">
        <f t="shared" ref="BI50" si="484">VLOOKUP($E50,Par,6,0)*AC50/1000</f>
        <v>0</v>
      </c>
      <c r="BJ50" s="871">
        <f t="shared" ref="BJ50" si="485">VLOOKUP($E50,Par,6,0)*AD50/1000</f>
        <v>0</v>
      </c>
      <c r="BK50" s="871">
        <f t="shared" ref="BK50" si="486">VLOOKUP($E50,Par,6,0)*AE50/1000</f>
        <v>0</v>
      </c>
      <c r="BL50" s="871">
        <f t="shared" ref="BL50" si="487">VLOOKUP($E50,Par,6,0)*AF50/1000</f>
        <v>0</v>
      </c>
      <c r="BM50" s="871">
        <f t="shared" ref="BM50" si="488">VLOOKUP($E50,Par,6,0)*AG50/1000</f>
        <v>0</v>
      </c>
      <c r="BN50" s="871">
        <f t="shared" ref="BN50" si="489">VLOOKUP($E50,Par,6,0)*AH50/1000</f>
        <v>0</v>
      </c>
      <c r="BO50" s="871">
        <f t="shared" ref="BO50" si="490">VLOOKUP($E50,Par,6,0)*AI50/1000</f>
        <v>0</v>
      </c>
      <c r="BP50" s="871">
        <f t="shared" ref="BP50" si="491">VLOOKUP($E50,Par,6,0)*AJ50/1000</f>
        <v>0</v>
      </c>
      <c r="BQ50" s="871">
        <f t="shared" ref="BQ50" si="492">VLOOKUP($E50,Par,6,0)*AK50/1000</f>
        <v>0</v>
      </c>
      <c r="BR50" s="871">
        <f t="shared" ref="BR50" si="493">VLOOKUP($E50,Par,6,0)*AL50/1000</f>
        <v>0</v>
      </c>
      <c r="BS50" s="871">
        <f t="shared" ref="BS50" si="494">VLOOKUP($E50,Par,6,0)*AM50/1000</f>
        <v>0</v>
      </c>
      <c r="BT50" s="871">
        <f t="shared" ref="BT50" si="495">VLOOKUP($E50,Par,6,0)*AN50/1000</f>
        <v>0</v>
      </c>
      <c r="BU50" s="871">
        <f t="shared" ref="BU50" si="496">VLOOKUP($E50,Par,6,0)*AO50/1000</f>
        <v>0</v>
      </c>
      <c r="BV50" s="1453"/>
      <c r="BW50" s="871"/>
      <c r="BX50" s="871"/>
      <c r="BY50" s="871"/>
      <c r="BZ50" s="871"/>
      <c r="CA50" s="871"/>
      <c r="CB50" s="871"/>
      <c r="CC50" s="871"/>
      <c r="CD50" s="871"/>
      <c r="CE50" s="871"/>
      <c r="CF50" s="871"/>
      <c r="CG50" s="871"/>
      <c r="CH50" s="871"/>
      <c r="CI50" s="871"/>
      <c r="CJ50" s="871"/>
      <c r="CK50" s="871"/>
      <c r="CL50" s="871"/>
      <c r="CM50" s="871"/>
      <c r="CN50" s="871"/>
      <c r="CO50" s="871"/>
      <c r="CP50" s="871"/>
      <c r="CQ50" s="871"/>
      <c r="CR50" s="871"/>
      <c r="CS50" s="871"/>
      <c r="CT50" s="871"/>
      <c r="CU50" s="871"/>
      <c r="CV50" s="871"/>
      <c r="CW50" s="871"/>
      <c r="CX50" s="871"/>
      <c r="CY50" s="871"/>
      <c r="CZ50" s="871"/>
      <c r="DA50" s="871"/>
      <c r="DB50" s="41"/>
      <c r="DC50" s="871">
        <f t="shared" si="58"/>
        <v>0</v>
      </c>
      <c r="DD50" s="871">
        <f t="shared" si="59"/>
        <v>0</v>
      </c>
      <c r="DE50" s="871">
        <f t="shared" si="60"/>
        <v>0</v>
      </c>
      <c r="DF50" s="871">
        <f t="shared" si="61"/>
        <v>0</v>
      </c>
      <c r="DG50" s="871">
        <f t="shared" si="62"/>
        <v>0</v>
      </c>
      <c r="DH50" s="871">
        <f t="shared" si="63"/>
        <v>0</v>
      </c>
      <c r="DI50" s="871">
        <f t="shared" si="64"/>
        <v>0</v>
      </c>
      <c r="DJ50" s="871">
        <f t="shared" si="65"/>
        <v>0</v>
      </c>
      <c r="DK50" s="871">
        <f t="shared" si="66"/>
        <v>0</v>
      </c>
      <c r="DL50" s="871">
        <f t="shared" si="67"/>
        <v>0</v>
      </c>
      <c r="DM50" s="871">
        <f t="shared" si="68"/>
        <v>0</v>
      </c>
      <c r="DN50" s="871">
        <f t="shared" si="69"/>
        <v>0</v>
      </c>
      <c r="DO50" s="871">
        <f t="shared" si="70"/>
        <v>0</v>
      </c>
      <c r="DP50" s="871">
        <f t="shared" si="71"/>
        <v>0</v>
      </c>
      <c r="DQ50" s="871">
        <f t="shared" si="72"/>
        <v>0</v>
      </c>
      <c r="DR50" s="871">
        <f t="shared" si="73"/>
        <v>0</v>
      </c>
      <c r="DS50" s="871">
        <f t="shared" si="74"/>
        <v>0</v>
      </c>
      <c r="DT50" s="871">
        <f t="shared" si="75"/>
        <v>0</v>
      </c>
      <c r="DU50" s="871">
        <f t="shared" si="76"/>
        <v>0</v>
      </c>
      <c r="DV50" s="871">
        <f t="shared" si="77"/>
        <v>0</v>
      </c>
      <c r="DW50" s="871">
        <f t="shared" si="78"/>
        <v>0</v>
      </c>
      <c r="DX50" s="871">
        <f t="shared" si="79"/>
        <v>0</v>
      </c>
      <c r="DY50" s="871">
        <f t="shared" si="80"/>
        <v>0</v>
      </c>
      <c r="DZ50" s="871">
        <f t="shared" si="81"/>
        <v>0</v>
      </c>
      <c r="EA50" s="871">
        <f t="shared" si="82"/>
        <v>0</v>
      </c>
      <c r="EB50" s="871">
        <f t="shared" si="83"/>
        <v>0</v>
      </c>
      <c r="EC50" s="871">
        <f t="shared" si="84"/>
        <v>0</v>
      </c>
      <c r="ED50" s="871">
        <f t="shared" si="85"/>
        <v>0</v>
      </c>
      <c r="EE50" s="871">
        <f t="shared" si="86"/>
        <v>0</v>
      </c>
      <c r="EF50" s="871">
        <f t="shared" si="87"/>
        <v>0</v>
      </c>
      <c r="EG50" s="871">
        <f t="shared" si="88"/>
        <v>0</v>
      </c>
    </row>
    <row r="51" spans="1:137">
      <c r="A51" s="595"/>
      <c r="B51" s="598"/>
      <c r="C51" s="599"/>
      <c r="D51" s="29">
        <v>3</v>
      </c>
      <c r="E51" s="1489" t="s">
        <v>1655</v>
      </c>
      <c r="F51" s="867"/>
      <c r="G51" s="868"/>
      <c r="H51" s="867"/>
      <c r="I51" s="869"/>
      <c r="J51" s="869"/>
      <c r="K51" s="76"/>
      <c r="L51" s="1479"/>
      <c r="M51" s="1479"/>
      <c r="N51" s="1479"/>
      <c r="O51" s="1479"/>
      <c r="P51" s="1479"/>
      <c r="Q51" s="1479"/>
      <c r="R51" s="1479"/>
      <c r="S51" s="1479"/>
      <c r="T51" s="1479"/>
      <c r="U51" s="1479"/>
      <c r="V51" s="1479"/>
      <c r="W51" s="1479"/>
      <c r="X51" s="1479"/>
      <c r="Y51" s="1479"/>
      <c r="Z51" s="1479"/>
      <c r="AA51" s="1479"/>
      <c r="AB51" s="1479"/>
      <c r="AC51" s="1479"/>
      <c r="AD51" s="1479"/>
      <c r="AE51" s="1479"/>
      <c r="AF51" s="1479"/>
      <c r="AG51" s="1479"/>
      <c r="AH51" s="1479"/>
      <c r="AI51" s="1479"/>
      <c r="AJ51" s="1479"/>
      <c r="AK51" s="1479"/>
      <c r="AL51" s="1479"/>
      <c r="AM51" s="1479"/>
      <c r="AN51" s="1479"/>
      <c r="AO51" s="1479"/>
      <c r="AP51" s="77"/>
      <c r="AQ51" s="1496">
        <f>SUBTOTAL(9,AQ52)</f>
        <v>0</v>
      </c>
      <c r="AR51" s="1496">
        <f t="shared" ref="AR51" si="497">SUBTOTAL(9,AR52)</f>
        <v>0</v>
      </c>
      <c r="AS51" s="1496">
        <f t="shared" ref="AS51" si="498">SUBTOTAL(9,AS52)</f>
        <v>0</v>
      </c>
      <c r="AT51" s="1496">
        <f t="shared" ref="AT51" si="499">SUBTOTAL(9,AT52)</f>
        <v>0</v>
      </c>
      <c r="AU51" s="1496">
        <f t="shared" ref="AU51" si="500">SUBTOTAL(9,AU52)</f>
        <v>0</v>
      </c>
      <c r="AV51" s="1496">
        <f t="shared" ref="AV51" si="501">SUBTOTAL(9,AV52)</f>
        <v>0</v>
      </c>
      <c r="AW51" s="1496">
        <f t="shared" ref="AW51" si="502">SUBTOTAL(9,AW52)</f>
        <v>0</v>
      </c>
      <c r="AX51" s="1496">
        <f t="shared" ref="AX51" si="503">SUBTOTAL(9,AX52)</f>
        <v>0</v>
      </c>
      <c r="AY51" s="1496">
        <f t="shared" ref="AY51" si="504">SUBTOTAL(9,AY52)</f>
        <v>0</v>
      </c>
      <c r="AZ51" s="1496">
        <f t="shared" ref="AZ51" si="505">SUBTOTAL(9,AZ52)</f>
        <v>0</v>
      </c>
      <c r="BA51" s="1496">
        <f t="shared" ref="BA51" si="506">SUBTOTAL(9,BA52)</f>
        <v>0</v>
      </c>
      <c r="BB51" s="1496">
        <f t="shared" ref="BB51" si="507">SUBTOTAL(9,BB52)</f>
        <v>0</v>
      </c>
      <c r="BC51" s="1496">
        <f t="shared" ref="BC51" si="508">SUBTOTAL(9,BC52)</f>
        <v>0</v>
      </c>
      <c r="BD51" s="1496">
        <f t="shared" ref="BD51" si="509">SUBTOTAL(9,BD52)</f>
        <v>0</v>
      </c>
      <c r="BE51" s="1496">
        <f t="shared" ref="BE51" si="510">SUBTOTAL(9,BE52)</f>
        <v>0</v>
      </c>
      <c r="BF51" s="1496">
        <f t="shared" ref="BF51" si="511">SUBTOTAL(9,BF52)</f>
        <v>0</v>
      </c>
      <c r="BG51" s="1496">
        <f t="shared" ref="BG51" si="512">SUBTOTAL(9,BG52)</f>
        <v>0</v>
      </c>
      <c r="BH51" s="1496">
        <f t="shared" ref="BH51" si="513">SUBTOTAL(9,BH52)</f>
        <v>0</v>
      </c>
      <c r="BI51" s="1496">
        <f t="shared" ref="BI51" si="514">SUBTOTAL(9,BI52)</f>
        <v>0</v>
      </c>
      <c r="BJ51" s="1496">
        <f t="shared" ref="BJ51" si="515">SUBTOTAL(9,BJ52)</f>
        <v>0</v>
      </c>
      <c r="BK51" s="1496">
        <f t="shared" ref="BK51" si="516">SUBTOTAL(9,BK52)</f>
        <v>0</v>
      </c>
      <c r="BL51" s="1496">
        <f t="shared" ref="BL51" si="517">SUBTOTAL(9,BL52)</f>
        <v>0</v>
      </c>
      <c r="BM51" s="1496">
        <f t="shared" ref="BM51" si="518">SUBTOTAL(9,BM52)</f>
        <v>0</v>
      </c>
      <c r="BN51" s="1496">
        <f t="shared" ref="BN51" si="519">SUBTOTAL(9,BN52)</f>
        <v>0</v>
      </c>
      <c r="BO51" s="1496">
        <f t="shared" ref="BO51:BU51" si="520">SUBTOTAL(9,BO52)</f>
        <v>0</v>
      </c>
      <c r="BP51" s="1496">
        <f t="shared" si="520"/>
        <v>0</v>
      </c>
      <c r="BQ51" s="1496">
        <f t="shared" si="520"/>
        <v>0</v>
      </c>
      <c r="BR51" s="1496">
        <f t="shared" si="520"/>
        <v>0</v>
      </c>
      <c r="BS51" s="1496">
        <f t="shared" si="520"/>
        <v>0</v>
      </c>
      <c r="BT51" s="1496">
        <f t="shared" si="520"/>
        <v>0</v>
      </c>
      <c r="BU51" s="1496">
        <f t="shared" si="520"/>
        <v>0</v>
      </c>
      <c r="BV51" s="1497"/>
      <c r="BW51" s="1496">
        <f t="shared" ref="BW51" ca="1" si="521">SUBTOTAL(9,BW52)</f>
        <v>1828.125</v>
      </c>
      <c r="BX51" s="1496">
        <f t="shared" ref="BX51" ca="1" si="522">SUBTOTAL(9,BX52)</f>
        <v>60.9375</v>
      </c>
      <c r="BY51" s="1496">
        <f t="shared" ref="BY51" ca="1" si="523">SUBTOTAL(9,BY52)</f>
        <v>60.9375</v>
      </c>
      <c r="BZ51" s="1496">
        <f t="shared" ref="BZ51" ca="1" si="524">SUBTOTAL(9,BZ52)</f>
        <v>60.9375</v>
      </c>
      <c r="CA51" s="1496">
        <f t="shared" ref="CA51" ca="1" si="525">SUBTOTAL(9,CA52)</f>
        <v>60.9375</v>
      </c>
      <c r="CB51" s="1496">
        <f t="shared" ref="CB51" ca="1" si="526">SUBTOTAL(9,CB52)</f>
        <v>60.9375</v>
      </c>
      <c r="CC51" s="1496">
        <f t="shared" ref="CC51" ca="1" si="527">SUBTOTAL(9,CC52)</f>
        <v>60.9375</v>
      </c>
      <c r="CD51" s="1496">
        <f t="shared" ref="CD51" ca="1" si="528">SUBTOTAL(9,CD52)</f>
        <v>60.9375</v>
      </c>
      <c r="CE51" s="1496">
        <f t="shared" ref="CE51" ca="1" si="529">SUBTOTAL(9,CE52)</f>
        <v>60.9375</v>
      </c>
      <c r="CF51" s="1496">
        <f t="shared" ref="CF51" ca="1" si="530">SUBTOTAL(9,CF52)</f>
        <v>60.9375</v>
      </c>
      <c r="CG51" s="1496">
        <f t="shared" ref="CG51" ca="1" si="531">SUBTOTAL(9,CG52)</f>
        <v>60.9375</v>
      </c>
      <c r="CH51" s="1496">
        <f t="shared" ref="CH51" ca="1" si="532">SUBTOTAL(9,CH52)</f>
        <v>60.9375</v>
      </c>
      <c r="CI51" s="1496">
        <f t="shared" ref="CI51" ca="1" si="533">SUBTOTAL(9,CI52)</f>
        <v>60.9375</v>
      </c>
      <c r="CJ51" s="1496">
        <f t="shared" ref="CJ51" ca="1" si="534">SUBTOTAL(9,CJ52)</f>
        <v>60.9375</v>
      </c>
      <c r="CK51" s="1496">
        <f t="shared" ref="CK51" ca="1" si="535">SUBTOTAL(9,CK52)</f>
        <v>60.9375</v>
      </c>
      <c r="CL51" s="1496">
        <f t="shared" ref="CL51" ca="1" si="536">SUBTOTAL(9,CL52)</f>
        <v>60.9375</v>
      </c>
      <c r="CM51" s="1496">
        <f t="shared" ref="CM51" ca="1" si="537">SUBTOTAL(9,CM52)</f>
        <v>60.9375</v>
      </c>
      <c r="CN51" s="1496">
        <f t="shared" ref="CN51" ca="1" si="538">SUBTOTAL(9,CN52)</f>
        <v>60.9375</v>
      </c>
      <c r="CO51" s="1496">
        <f t="shared" ref="CO51" ca="1" si="539">SUBTOTAL(9,CO52)</f>
        <v>60.9375</v>
      </c>
      <c r="CP51" s="1496">
        <f t="shared" ref="CP51" ca="1" si="540">SUBTOTAL(9,CP52)</f>
        <v>60.9375</v>
      </c>
      <c r="CQ51" s="1496">
        <f t="shared" ref="CQ51" ca="1" si="541">SUBTOTAL(9,CQ52)</f>
        <v>60.9375</v>
      </c>
      <c r="CR51" s="1496">
        <f t="shared" ref="CR51" ca="1" si="542">SUBTOTAL(9,CR52)</f>
        <v>60.9375</v>
      </c>
      <c r="CS51" s="1496">
        <f t="shared" ref="CS51" ca="1" si="543">SUBTOTAL(9,CS52)</f>
        <v>60.9375</v>
      </c>
      <c r="CT51" s="1496">
        <f t="shared" ref="CT51" ca="1" si="544">SUBTOTAL(9,CT52)</f>
        <v>60.9375</v>
      </c>
      <c r="CU51" s="1496">
        <f t="shared" ref="CU51:DA51" ca="1" si="545">SUBTOTAL(9,CU52)</f>
        <v>60.9375</v>
      </c>
      <c r="CV51" s="1496">
        <f t="shared" ca="1" si="545"/>
        <v>60.9375</v>
      </c>
      <c r="CW51" s="1496">
        <f t="shared" ca="1" si="545"/>
        <v>60.9375</v>
      </c>
      <c r="CX51" s="1496">
        <f t="shared" ca="1" si="545"/>
        <v>60.9375</v>
      </c>
      <c r="CY51" s="1496">
        <f t="shared" ca="1" si="545"/>
        <v>60.9375</v>
      </c>
      <c r="CZ51" s="1496">
        <f t="shared" ca="1" si="545"/>
        <v>60.9375</v>
      </c>
      <c r="DA51" s="1496">
        <f t="shared" ca="1" si="545"/>
        <v>60.9375</v>
      </c>
      <c r="DB51" s="41"/>
      <c r="DC51" s="1496">
        <f t="shared" ca="1" si="58"/>
        <v>1828.125</v>
      </c>
      <c r="DD51" s="1496">
        <f t="shared" ca="1" si="59"/>
        <v>60.9375</v>
      </c>
      <c r="DE51" s="1496">
        <f t="shared" ca="1" si="60"/>
        <v>60.9375</v>
      </c>
      <c r="DF51" s="1496">
        <f t="shared" ca="1" si="61"/>
        <v>60.9375</v>
      </c>
      <c r="DG51" s="1496">
        <f t="shared" ca="1" si="62"/>
        <v>60.9375</v>
      </c>
      <c r="DH51" s="1496">
        <f t="shared" ca="1" si="63"/>
        <v>60.9375</v>
      </c>
      <c r="DI51" s="1496">
        <f t="shared" ca="1" si="64"/>
        <v>60.9375</v>
      </c>
      <c r="DJ51" s="1496">
        <f t="shared" ca="1" si="65"/>
        <v>60.9375</v>
      </c>
      <c r="DK51" s="1496">
        <f t="shared" ca="1" si="66"/>
        <v>60.9375</v>
      </c>
      <c r="DL51" s="1496">
        <f t="shared" ca="1" si="67"/>
        <v>60.9375</v>
      </c>
      <c r="DM51" s="1496">
        <f t="shared" ca="1" si="68"/>
        <v>60.9375</v>
      </c>
      <c r="DN51" s="1496">
        <f t="shared" ca="1" si="69"/>
        <v>60.9375</v>
      </c>
      <c r="DO51" s="1496">
        <f t="shared" ca="1" si="70"/>
        <v>60.9375</v>
      </c>
      <c r="DP51" s="1496">
        <f t="shared" ca="1" si="71"/>
        <v>60.9375</v>
      </c>
      <c r="DQ51" s="1496">
        <f t="shared" ca="1" si="72"/>
        <v>60.9375</v>
      </c>
      <c r="DR51" s="1496">
        <f t="shared" ca="1" si="73"/>
        <v>60.9375</v>
      </c>
      <c r="DS51" s="1496">
        <f t="shared" ca="1" si="74"/>
        <v>60.9375</v>
      </c>
      <c r="DT51" s="1496">
        <f t="shared" ca="1" si="75"/>
        <v>60.9375</v>
      </c>
      <c r="DU51" s="1496">
        <f t="shared" ca="1" si="76"/>
        <v>60.9375</v>
      </c>
      <c r="DV51" s="1496">
        <f t="shared" ca="1" si="77"/>
        <v>60.9375</v>
      </c>
      <c r="DW51" s="1496">
        <f t="shared" ca="1" si="78"/>
        <v>60.9375</v>
      </c>
      <c r="DX51" s="1496">
        <f t="shared" ca="1" si="79"/>
        <v>60.9375</v>
      </c>
      <c r="DY51" s="1496">
        <f t="shared" ca="1" si="80"/>
        <v>60.9375</v>
      </c>
      <c r="DZ51" s="1496">
        <f t="shared" ca="1" si="81"/>
        <v>60.9375</v>
      </c>
      <c r="EA51" s="1496">
        <f t="shared" ca="1" si="82"/>
        <v>60.9375</v>
      </c>
      <c r="EB51" s="1496">
        <f t="shared" ca="1" si="83"/>
        <v>60.9375</v>
      </c>
      <c r="EC51" s="1496">
        <f t="shared" ca="1" si="84"/>
        <v>60.9375</v>
      </c>
      <c r="ED51" s="1496">
        <f t="shared" ca="1" si="85"/>
        <v>60.9375</v>
      </c>
      <c r="EE51" s="1496">
        <f t="shared" ca="1" si="86"/>
        <v>60.9375</v>
      </c>
      <c r="EF51" s="1496">
        <f t="shared" ca="1" si="87"/>
        <v>60.9375</v>
      </c>
      <c r="EG51" s="1496">
        <f t="shared" ca="1" si="88"/>
        <v>60.9375</v>
      </c>
    </row>
    <row r="52" spans="1:137" ht="12.75" customHeight="1">
      <c r="A52" s="595"/>
      <c r="B52" s="598"/>
      <c r="C52" s="599"/>
      <c r="E52" s="1500" t="s">
        <v>1651</v>
      </c>
      <c r="F52" s="867" t="s">
        <v>1640</v>
      </c>
      <c r="G52" s="868">
        <v>8</v>
      </c>
      <c r="H52" s="867">
        <v>15000</v>
      </c>
      <c r="I52" s="869">
        <v>0.04</v>
      </c>
      <c r="J52" s="869">
        <v>0.03</v>
      </c>
      <c r="K52" s="76"/>
      <c r="L52" s="1455">
        <v>5</v>
      </c>
      <c r="M52" s="1455">
        <v>5</v>
      </c>
      <c r="N52" s="1455">
        <v>5</v>
      </c>
      <c r="O52" s="1455">
        <v>5</v>
      </c>
      <c r="P52" s="1455">
        <v>5</v>
      </c>
      <c r="Q52" s="1455">
        <v>5</v>
      </c>
      <c r="R52" s="1455">
        <v>5</v>
      </c>
      <c r="S52" s="1455">
        <v>5</v>
      </c>
      <c r="T52" s="1455">
        <v>5</v>
      </c>
      <c r="U52" s="1455">
        <v>5</v>
      </c>
      <c r="V52" s="1455">
        <v>5</v>
      </c>
      <c r="W52" s="1455">
        <v>5</v>
      </c>
      <c r="X52" s="1455">
        <v>5</v>
      </c>
      <c r="Y52" s="1455">
        <v>5</v>
      </c>
      <c r="Z52" s="1455">
        <v>5</v>
      </c>
      <c r="AA52" s="1455">
        <v>5</v>
      </c>
      <c r="AB52" s="1455">
        <v>5</v>
      </c>
      <c r="AC52" s="1455">
        <v>5</v>
      </c>
      <c r="AD52" s="1455">
        <v>5</v>
      </c>
      <c r="AE52" s="1455">
        <v>5</v>
      </c>
      <c r="AF52" s="1455">
        <v>5</v>
      </c>
      <c r="AG52" s="1455">
        <v>5</v>
      </c>
      <c r="AH52" s="1455">
        <v>5</v>
      </c>
      <c r="AI52" s="1455">
        <v>5</v>
      </c>
      <c r="AJ52" s="1455">
        <v>5</v>
      </c>
      <c r="AK52" s="1455">
        <v>5</v>
      </c>
      <c r="AL52" s="1455">
        <v>5</v>
      </c>
      <c r="AM52" s="1455">
        <v>5</v>
      </c>
      <c r="AN52" s="1455">
        <v>5</v>
      </c>
      <c r="AO52" s="1455">
        <v>5</v>
      </c>
      <c r="AP52" s="77"/>
      <c r="AQ52" s="871">
        <f>SUM(AR52:BU52)</f>
        <v>0</v>
      </c>
      <c r="AR52" s="871">
        <f t="shared" ref="AR52:BU52" si="546">VLOOKUP($E52,Par,6,0)*L52/1000</f>
        <v>0</v>
      </c>
      <c r="AS52" s="871">
        <f t="shared" si="546"/>
        <v>0</v>
      </c>
      <c r="AT52" s="871">
        <f t="shared" si="546"/>
        <v>0</v>
      </c>
      <c r="AU52" s="871">
        <f t="shared" si="546"/>
        <v>0</v>
      </c>
      <c r="AV52" s="871">
        <f t="shared" si="546"/>
        <v>0</v>
      </c>
      <c r="AW52" s="871">
        <f t="shared" si="546"/>
        <v>0</v>
      </c>
      <c r="AX52" s="871">
        <f t="shared" si="546"/>
        <v>0</v>
      </c>
      <c r="AY52" s="871">
        <f t="shared" si="546"/>
        <v>0</v>
      </c>
      <c r="AZ52" s="871">
        <f t="shared" si="546"/>
        <v>0</v>
      </c>
      <c r="BA52" s="871">
        <f t="shared" si="546"/>
        <v>0</v>
      </c>
      <c r="BB52" s="871">
        <f t="shared" si="546"/>
        <v>0</v>
      </c>
      <c r="BC52" s="871">
        <f t="shared" si="546"/>
        <v>0</v>
      </c>
      <c r="BD52" s="871">
        <f t="shared" si="546"/>
        <v>0</v>
      </c>
      <c r="BE52" s="871">
        <f t="shared" si="546"/>
        <v>0</v>
      </c>
      <c r="BF52" s="871">
        <f t="shared" si="546"/>
        <v>0</v>
      </c>
      <c r="BG52" s="871">
        <f t="shared" si="546"/>
        <v>0</v>
      </c>
      <c r="BH52" s="871">
        <f t="shared" si="546"/>
        <v>0</v>
      </c>
      <c r="BI52" s="871">
        <f t="shared" si="546"/>
        <v>0</v>
      </c>
      <c r="BJ52" s="871">
        <f t="shared" si="546"/>
        <v>0</v>
      </c>
      <c r="BK52" s="871">
        <f t="shared" si="546"/>
        <v>0</v>
      </c>
      <c r="BL52" s="871">
        <f t="shared" si="546"/>
        <v>0</v>
      </c>
      <c r="BM52" s="871">
        <f t="shared" si="546"/>
        <v>0</v>
      </c>
      <c r="BN52" s="871">
        <f t="shared" si="546"/>
        <v>0</v>
      </c>
      <c r="BO52" s="871">
        <f t="shared" si="546"/>
        <v>0</v>
      </c>
      <c r="BP52" s="871">
        <f t="shared" si="546"/>
        <v>0</v>
      </c>
      <c r="BQ52" s="871">
        <f t="shared" si="546"/>
        <v>0</v>
      </c>
      <c r="BR52" s="871">
        <f t="shared" si="546"/>
        <v>0</v>
      </c>
      <c r="BS52" s="871">
        <f t="shared" si="546"/>
        <v>0</v>
      </c>
      <c r="BT52" s="871">
        <f t="shared" si="546"/>
        <v>0</v>
      </c>
      <c r="BU52" s="871">
        <f t="shared" si="546"/>
        <v>0</v>
      </c>
      <c r="BV52" s="1453"/>
      <c r="BW52" s="871">
        <f ca="1">SUM(BX52:DA52)</f>
        <v>1828.125</v>
      </c>
      <c r="BX52" s="871">
        <f t="shared" ref="BX52:DA52" ca="1" si="547">($H52/$G52*INDIRECT($F52)+($I52+$J52)*VLOOKUP($E52,Par,2,0))*L52/1000</f>
        <v>60.9375</v>
      </c>
      <c r="BY52" s="871">
        <f t="shared" ca="1" si="547"/>
        <v>60.9375</v>
      </c>
      <c r="BZ52" s="871">
        <f t="shared" ca="1" si="547"/>
        <v>60.9375</v>
      </c>
      <c r="CA52" s="871">
        <f t="shared" ca="1" si="547"/>
        <v>60.9375</v>
      </c>
      <c r="CB52" s="871">
        <f t="shared" ca="1" si="547"/>
        <v>60.9375</v>
      </c>
      <c r="CC52" s="871">
        <f t="shared" ca="1" si="547"/>
        <v>60.9375</v>
      </c>
      <c r="CD52" s="871">
        <f t="shared" ca="1" si="547"/>
        <v>60.9375</v>
      </c>
      <c r="CE52" s="871">
        <f t="shared" ca="1" si="547"/>
        <v>60.9375</v>
      </c>
      <c r="CF52" s="871">
        <f t="shared" ca="1" si="547"/>
        <v>60.9375</v>
      </c>
      <c r="CG52" s="871">
        <f t="shared" ca="1" si="547"/>
        <v>60.9375</v>
      </c>
      <c r="CH52" s="871">
        <f t="shared" ca="1" si="547"/>
        <v>60.9375</v>
      </c>
      <c r="CI52" s="871">
        <f t="shared" ca="1" si="547"/>
        <v>60.9375</v>
      </c>
      <c r="CJ52" s="871">
        <f t="shared" ca="1" si="547"/>
        <v>60.9375</v>
      </c>
      <c r="CK52" s="871">
        <f t="shared" ca="1" si="547"/>
        <v>60.9375</v>
      </c>
      <c r="CL52" s="871">
        <f t="shared" ca="1" si="547"/>
        <v>60.9375</v>
      </c>
      <c r="CM52" s="871">
        <f t="shared" ca="1" si="547"/>
        <v>60.9375</v>
      </c>
      <c r="CN52" s="871">
        <f t="shared" ca="1" si="547"/>
        <v>60.9375</v>
      </c>
      <c r="CO52" s="871">
        <f t="shared" ca="1" si="547"/>
        <v>60.9375</v>
      </c>
      <c r="CP52" s="871">
        <f t="shared" ca="1" si="547"/>
        <v>60.9375</v>
      </c>
      <c r="CQ52" s="871">
        <f t="shared" ca="1" si="547"/>
        <v>60.9375</v>
      </c>
      <c r="CR52" s="871">
        <f t="shared" ca="1" si="547"/>
        <v>60.9375</v>
      </c>
      <c r="CS52" s="871">
        <f t="shared" ca="1" si="547"/>
        <v>60.9375</v>
      </c>
      <c r="CT52" s="871">
        <f t="shared" ca="1" si="547"/>
        <v>60.9375</v>
      </c>
      <c r="CU52" s="871">
        <f t="shared" ca="1" si="547"/>
        <v>60.9375</v>
      </c>
      <c r="CV52" s="871">
        <f t="shared" ca="1" si="547"/>
        <v>60.9375</v>
      </c>
      <c r="CW52" s="871">
        <f t="shared" ca="1" si="547"/>
        <v>60.9375</v>
      </c>
      <c r="CX52" s="871">
        <f t="shared" ca="1" si="547"/>
        <v>60.9375</v>
      </c>
      <c r="CY52" s="871">
        <f t="shared" ca="1" si="547"/>
        <v>60.9375</v>
      </c>
      <c r="CZ52" s="871">
        <f t="shared" ca="1" si="547"/>
        <v>60.9375</v>
      </c>
      <c r="DA52" s="871">
        <f t="shared" ca="1" si="547"/>
        <v>60.9375</v>
      </c>
      <c r="DB52" s="41"/>
      <c r="DC52" s="871">
        <f t="shared" ca="1" si="58"/>
        <v>1828.125</v>
      </c>
      <c r="DD52" s="871">
        <f t="shared" ca="1" si="59"/>
        <v>60.9375</v>
      </c>
      <c r="DE52" s="871">
        <f t="shared" ca="1" si="60"/>
        <v>60.9375</v>
      </c>
      <c r="DF52" s="871">
        <f t="shared" ca="1" si="61"/>
        <v>60.9375</v>
      </c>
      <c r="DG52" s="871">
        <f t="shared" ca="1" si="62"/>
        <v>60.9375</v>
      </c>
      <c r="DH52" s="871">
        <f t="shared" ca="1" si="63"/>
        <v>60.9375</v>
      </c>
      <c r="DI52" s="871">
        <f t="shared" ca="1" si="64"/>
        <v>60.9375</v>
      </c>
      <c r="DJ52" s="871">
        <f t="shared" ca="1" si="65"/>
        <v>60.9375</v>
      </c>
      <c r="DK52" s="871">
        <f t="shared" ca="1" si="66"/>
        <v>60.9375</v>
      </c>
      <c r="DL52" s="871">
        <f t="shared" ca="1" si="67"/>
        <v>60.9375</v>
      </c>
      <c r="DM52" s="871">
        <f t="shared" ca="1" si="68"/>
        <v>60.9375</v>
      </c>
      <c r="DN52" s="871">
        <f t="shared" ca="1" si="69"/>
        <v>60.9375</v>
      </c>
      <c r="DO52" s="871">
        <f t="shared" ca="1" si="70"/>
        <v>60.9375</v>
      </c>
      <c r="DP52" s="871">
        <f t="shared" ca="1" si="71"/>
        <v>60.9375</v>
      </c>
      <c r="DQ52" s="871">
        <f t="shared" ca="1" si="72"/>
        <v>60.9375</v>
      </c>
      <c r="DR52" s="871">
        <f t="shared" ca="1" si="73"/>
        <v>60.9375</v>
      </c>
      <c r="DS52" s="871">
        <f t="shared" ca="1" si="74"/>
        <v>60.9375</v>
      </c>
      <c r="DT52" s="871">
        <f t="shared" ca="1" si="75"/>
        <v>60.9375</v>
      </c>
      <c r="DU52" s="871">
        <f t="shared" ca="1" si="76"/>
        <v>60.9375</v>
      </c>
      <c r="DV52" s="871">
        <f t="shared" ca="1" si="77"/>
        <v>60.9375</v>
      </c>
      <c r="DW52" s="871">
        <f t="shared" ca="1" si="78"/>
        <v>60.9375</v>
      </c>
      <c r="DX52" s="871">
        <f t="shared" ca="1" si="79"/>
        <v>60.9375</v>
      </c>
      <c r="DY52" s="871">
        <f t="shared" ca="1" si="80"/>
        <v>60.9375</v>
      </c>
      <c r="DZ52" s="871">
        <f t="shared" ca="1" si="81"/>
        <v>60.9375</v>
      </c>
      <c r="EA52" s="871">
        <f t="shared" ca="1" si="82"/>
        <v>60.9375</v>
      </c>
      <c r="EB52" s="871">
        <f t="shared" ca="1" si="83"/>
        <v>60.9375</v>
      </c>
      <c r="EC52" s="871">
        <f t="shared" ca="1" si="84"/>
        <v>60.9375</v>
      </c>
      <c r="ED52" s="871">
        <f t="shared" ca="1" si="85"/>
        <v>60.9375</v>
      </c>
      <c r="EE52" s="871">
        <f t="shared" ca="1" si="86"/>
        <v>60.9375</v>
      </c>
      <c r="EF52" s="871">
        <f t="shared" ca="1" si="87"/>
        <v>60.9375</v>
      </c>
      <c r="EG52" s="871">
        <f t="shared" ca="1" si="88"/>
        <v>60.9375</v>
      </c>
    </row>
    <row r="53" spans="1:137">
      <c r="A53" s="595"/>
      <c r="B53" s="598"/>
      <c r="C53" s="599"/>
      <c r="D53" s="29">
        <v>2</v>
      </c>
      <c r="E53" s="1489"/>
      <c r="F53" s="867"/>
      <c r="G53" s="868"/>
      <c r="H53" s="867"/>
      <c r="I53" s="869"/>
      <c r="J53" s="869"/>
      <c r="K53" s="76"/>
      <c r="L53" s="1479"/>
      <c r="M53" s="1479"/>
      <c r="N53" s="1479"/>
      <c r="O53" s="1479"/>
      <c r="P53" s="1479"/>
      <c r="Q53" s="1479"/>
      <c r="R53" s="1479"/>
      <c r="S53" s="1479"/>
      <c r="T53" s="1479"/>
      <c r="U53" s="1479"/>
      <c r="V53" s="1479"/>
      <c r="W53" s="1479"/>
      <c r="X53" s="1479"/>
      <c r="Y53" s="1479"/>
      <c r="Z53" s="1479"/>
      <c r="AA53" s="1479"/>
      <c r="AB53" s="1479"/>
      <c r="AC53" s="1479"/>
      <c r="AD53" s="1479"/>
      <c r="AE53" s="1479"/>
      <c r="AF53" s="1479"/>
      <c r="AG53" s="1479"/>
      <c r="AH53" s="1479"/>
      <c r="AI53" s="1479"/>
      <c r="AJ53" s="1479"/>
      <c r="AK53" s="1479"/>
      <c r="AL53" s="1479"/>
      <c r="AM53" s="1479"/>
      <c r="AN53" s="1479"/>
      <c r="AO53" s="1479"/>
      <c r="AP53" s="77"/>
      <c r="AQ53" s="1496"/>
      <c r="AR53" s="1496"/>
      <c r="AS53" s="1496"/>
      <c r="AT53" s="1496"/>
      <c r="AU53" s="1496"/>
      <c r="AV53" s="1496"/>
      <c r="AW53" s="1496"/>
      <c r="AX53" s="1496"/>
      <c r="AY53" s="1496"/>
      <c r="AZ53" s="1496"/>
      <c r="BA53" s="1496"/>
      <c r="BB53" s="1496"/>
      <c r="BC53" s="1496"/>
      <c r="BD53" s="1496"/>
      <c r="BE53" s="1496"/>
      <c r="BF53" s="1496"/>
      <c r="BG53" s="1496"/>
      <c r="BH53" s="1496"/>
      <c r="BI53" s="1496"/>
      <c r="BJ53" s="1496"/>
      <c r="BK53" s="1496"/>
      <c r="BL53" s="1496"/>
      <c r="BM53" s="1496"/>
      <c r="BN53" s="1496"/>
      <c r="BO53" s="1496"/>
      <c r="BP53" s="1496"/>
      <c r="BQ53" s="1496"/>
      <c r="BR53" s="1496"/>
      <c r="BS53" s="1496"/>
      <c r="BT53" s="1496"/>
      <c r="BU53" s="1496"/>
      <c r="BV53" s="1497"/>
      <c r="BW53" s="1496"/>
      <c r="BX53" s="1496"/>
      <c r="BY53" s="1496">
        <f t="shared" ref="BY53" si="548">SUBTOTAL(9,BY54)</f>
        <v>0</v>
      </c>
      <c r="BZ53" s="1496">
        <f t="shared" ref="BZ53" si="549">SUBTOTAL(9,BZ54)</f>
        <v>0</v>
      </c>
      <c r="CA53" s="1496">
        <f t="shared" ref="CA53" si="550">SUBTOTAL(9,CA54)</f>
        <v>0</v>
      </c>
      <c r="CB53" s="1496">
        <f t="shared" ref="CB53" si="551">SUBTOTAL(9,CB54)</f>
        <v>0</v>
      </c>
      <c r="CC53" s="1496">
        <f t="shared" ref="CC53" si="552">SUBTOTAL(9,CC54)</f>
        <v>0</v>
      </c>
      <c r="CD53" s="1496">
        <f t="shared" ref="CD53" si="553">SUBTOTAL(9,CD54)</f>
        <v>0</v>
      </c>
      <c r="CE53" s="1496">
        <f t="shared" ref="CE53" si="554">SUBTOTAL(9,CE54)</f>
        <v>0</v>
      </c>
      <c r="CF53" s="1496">
        <f t="shared" ref="CF53" si="555">SUBTOTAL(9,CF54)</f>
        <v>0</v>
      </c>
      <c r="CG53" s="1496">
        <f t="shared" ref="CG53" si="556">SUBTOTAL(9,CG54)</f>
        <v>0</v>
      </c>
      <c r="CH53" s="1496">
        <f t="shared" ref="CH53" si="557">SUBTOTAL(9,CH54)</f>
        <v>0</v>
      </c>
      <c r="CI53" s="1496">
        <f t="shared" ref="CI53" si="558">SUBTOTAL(9,CI54)</f>
        <v>0</v>
      </c>
      <c r="CJ53" s="1496">
        <f t="shared" ref="CJ53" si="559">SUBTOTAL(9,CJ54)</f>
        <v>0</v>
      </c>
      <c r="CK53" s="1496">
        <f t="shared" ref="CK53" si="560">SUBTOTAL(9,CK54)</f>
        <v>0</v>
      </c>
      <c r="CL53" s="1496">
        <f t="shared" ref="CL53" si="561">SUBTOTAL(9,CL54)</f>
        <v>0</v>
      </c>
      <c r="CM53" s="1496">
        <f t="shared" ref="CM53" si="562">SUBTOTAL(9,CM54)</f>
        <v>0</v>
      </c>
      <c r="CN53" s="1496">
        <f t="shared" ref="CN53" si="563">SUBTOTAL(9,CN54)</f>
        <v>0</v>
      </c>
      <c r="CO53" s="1496">
        <f t="shared" ref="CO53" si="564">SUBTOTAL(9,CO54)</f>
        <v>0</v>
      </c>
      <c r="CP53" s="1496">
        <f t="shared" ref="CP53" si="565">SUBTOTAL(9,CP54)</f>
        <v>0</v>
      </c>
      <c r="CQ53" s="1496">
        <f t="shared" ref="CQ53" si="566">SUBTOTAL(9,CQ54)</f>
        <v>0</v>
      </c>
      <c r="CR53" s="1496">
        <f t="shared" ref="CR53" si="567">SUBTOTAL(9,CR54)</f>
        <v>0</v>
      </c>
      <c r="CS53" s="1496">
        <f t="shared" ref="CS53" si="568">SUBTOTAL(9,CS54)</f>
        <v>0</v>
      </c>
      <c r="CT53" s="1496">
        <f t="shared" ref="CT53" si="569">SUBTOTAL(9,CT54)</f>
        <v>0</v>
      </c>
      <c r="CU53" s="1496">
        <f t="shared" ref="CU53:DA53" si="570">SUBTOTAL(9,CU54)</f>
        <v>0</v>
      </c>
      <c r="CV53" s="1496">
        <f t="shared" si="570"/>
        <v>0</v>
      </c>
      <c r="CW53" s="1496">
        <f t="shared" si="570"/>
        <v>0</v>
      </c>
      <c r="CX53" s="1496">
        <f t="shared" si="570"/>
        <v>0</v>
      </c>
      <c r="CY53" s="1496">
        <f t="shared" si="570"/>
        <v>0</v>
      </c>
      <c r="CZ53" s="1496">
        <f t="shared" si="570"/>
        <v>0</v>
      </c>
      <c r="DA53" s="1496">
        <f t="shared" si="570"/>
        <v>0</v>
      </c>
      <c r="DB53" s="41"/>
      <c r="DC53" s="1496">
        <f t="shared" si="58"/>
        <v>0</v>
      </c>
      <c r="DD53" s="1496">
        <f t="shared" si="59"/>
        <v>0</v>
      </c>
      <c r="DE53" s="1496">
        <f t="shared" si="60"/>
        <v>0</v>
      </c>
      <c r="DF53" s="1496">
        <f t="shared" si="61"/>
        <v>0</v>
      </c>
      <c r="DG53" s="1496">
        <f t="shared" si="62"/>
        <v>0</v>
      </c>
      <c r="DH53" s="1496">
        <f t="shared" si="63"/>
        <v>0</v>
      </c>
      <c r="DI53" s="1496">
        <f t="shared" si="64"/>
        <v>0</v>
      </c>
      <c r="DJ53" s="1496">
        <f t="shared" si="65"/>
        <v>0</v>
      </c>
      <c r="DK53" s="1496">
        <f t="shared" si="66"/>
        <v>0</v>
      </c>
      <c r="DL53" s="1496">
        <f t="shared" si="67"/>
        <v>0</v>
      </c>
      <c r="DM53" s="1496">
        <f t="shared" si="68"/>
        <v>0</v>
      </c>
      <c r="DN53" s="1496">
        <f t="shared" si="69"/>
        <v>0</v>
      </c>
      <c r="DO53" s="1496">
        <f t="shared" si="70"/>
        <v>0</v>
      </c>
      <c r="DP53" s="1496">
        <f t="shared" si="71"/>
        <v>0</v>
      </c>
      <c r="DQ53" s="1496">
        <f t="shared" si="72"/>
        <v>0</v>
      </c>
      <c r="DR53" s="1496">
        <f t="shared" si="73"/>
        <v>0</v>
      </c>
      <c r="DS53" s="1496">
        <f t="shared" si="74"/>
        <v>0</v>
      </c>
      <c r="DT53" s="1496">
        <f t="shared" si="75"/>
        <v>0</v>
      </c>
      <c r="DU53" s="1496">
        <f t="shared" si="76"/>
        <v>0</v>
      </c>
      <c r="DV53" s="1496">
        <f t="shared" si="77"/>
        <v>0</v>
      </c>
      <c r="DW53" s="1496">
        <f t="shared" si="78"/>
        <v>0</v>
      </c>
      <c r="DX53" s="1496">
        <f t="shared" si="79"/>
        <v>0</v>
      </c>
      <c r="DY53" s="1496">
        <f t="shared" si="80"/>
        <v>0</v>
      </c>
      <c r="DZ53" s="1496">
        <f t="shared" si="81"/>
        <v>0</v>
      </c>
      <c r="EA53" s="1496">
        <f t="shared" si="82"/>
        <v>0</v>
      </c>
      <c r="EB53" s="1496">
        <f t="shared" si="83"/>
        <v>0</v>
      </c>
      <c r="EC53" s="1496">
        <f t="shared" si="84"/>
        <v>0</v>
      </c>
      <c r="ED53" s="1496">
        <f t="shared" si="85"/>
        <v>0</v>
      </c>
      <c r="EE53" s="1496">
        <f t="shared" si="86"/>
        <v>0</v>
      </c>
      <c r="EF53" s="1496">
        <f t="shared" si="87"/>
        <v>0</v>
      </c>
      <c r="EG53" s="1496">
        <f t="shared" si="88"/>
        <v>0</v>
      </c>
    </row>
    <row r="54" spans="1:137">
      <c r="A54" s="595"/>
      <c r="B54" s="598"/>
      <c r="C54" s="599"/>
      <c r="E54" s="1499"/>
      <c r="F54" s="867"/>
      <c r="G54" s="868"/>
      <c r="H54" s="867"/>
      <c r="I54" s="869"/>
      <c r="J54" s="869"/>
      <c r="K54" s="76"/>
      <c r="L54" s="1455"/>
      <c r="M54" s="1455"/>
      <c r="N54" s="1455"/>
      <c r="O54" s="1455"/>
      <c r="P54" s="1455"/>
      <c r="Q54" s="1455"/>
      <c r="R54" s="1455"/>
      <c r="S54" s="1455"/>
      <c r="T54" s="1455"/>
      <c r="U54" s="1455"/>
      <c r="V54" s="1455"/>
      <c r="W54" s="1455"/>
      <c r="X54" s="1455"/>
      <c r="Y54" s="1455"/>
      <c r="Z54" s="1455"/>
      <c r="AA54" s="1455"/>
      <c r="AB54" s="1455"/>
      <c r="AC54" s="1455"/>
      <c r="AD54" s="1455"/>
      <c r="AE54" s="1455"/>
      <c r="AF54" s="1455"/>
      <c r="AG54" s="1455"/>
      <c r="AH54" s="1455"/>
      <c r="AI54" s="1455"/>
      <c r="AJ54" s="1455"/>
      <c r="AK54" s="1455"/>
      <c r="AL54" s="1455"/>
      <c r="AM54" s="1455"/>
      <c r="AN54" s="1455"/>
      <c r="AO54" s="1455"/>
      <c r="AP54" s="77"/>
      <c r="AQ54" s="871"/>
      <c r="AR54" s="871"/>
      <c r="AS54" s="871"/>
      <c r="AT54" s="871"/>
      <c r="AU54" s="871"/>
      <c r="AV54" s="871"/>
      <c r="AW54" s="871"/>
      <c r="AX54" s="871"/>
      <c r="AY54" s="871"/>
      <c r="AZ54" s="871"/>
      <c r="BA54" s="871"/>
      <c r="BB54" s="871"/>
      <c r="BC54" s="871"/>
      <c r="BD54" s="871"/>
      <c r="BE54" s="871"/>
      <c r="BF54" s="871"/>
      <c r="BG54" s="871"/>
      <c r="BH54" s="871"/>
      <c r="BI54" s="871"/>
      <c r="BJ54" s="871"/>
      <c r="BK54" s="871"/>
      <c r="BL54" s="871"/>
      <c r="BM54" s="871"/>
      <c r="BN54" s="871"/>
      <c r="BO54" s="871"/>
      <c r="BP54" s="871"/>
      <c r="BQ54" s="871"/>
      <c r="BR54" s="871"/>
      <c r="BS54" s="871"/>
      <c r="BT54" s="871"/>
      <c r="BU54" s="871"/>
      <c r="BV54" s="1453"/>
      <c r="BW54" s="871"/>
      <c r="BX54" s="871"/>
      <c r="BY54" s="871"/>
      <c r="BZ54" s="871"/>
      <c r="CA54" s="871"/>
      <c r="CB54" s="871"/>
      <c r="CC54" s="871"/>
      <c r="CD54" s="871"/>
      <c r="CE54" s="871"/>
      <c r="CF54" s="871"/>
      <c r="CG54" s="871"/>
      <c r="CH54" s="871"/>
      <c r="CI54" s="871"/>
      <c r="CJ54" s="871"/>
      <c r="CK54" s="871"/>
      <c r="CL54" s="871"/>
      <c r="CM54" s="871"/>
      <c r="CN54" s="871"/>
      <c r="CO54" s="871"/>
      <c r="CP54" s="871"/>
      <c r="CQ54" s="871"/>
      <c r="CR54" s="871"/>
      <c r="CS54" s="871"/>
      <c r="CT54" s="871"/>
      <c r="CU54" s="871"/>
      <c r="CV54" s="871"/>
      <c r="CW54" s="871"/>
      <c r="CX54" s="871"/>
      <c r="CY54" s="871"/>
      <c r="CZ54" s="871"/>
      <c r="DA54" s="871"/>
      <c r="DB54" s="41"/>
      <c r="DC54" s="871">
        <f t="shared" si="58"/>
        <v>0</v>
      </c>
      <c r="DD54" s="871">
        <f t="shared" si="59"/>
        <v>0</v>
      </c>
      <c r="DE54" s="871">
        <f t="shared" si="60"/>
        <v>0</v>
      </c>
      <c r="DF54" s="871">
        <f t="shared" si="61"/>
        <v>0</v>
      </c>
      <c r="DG54" s="871">
        <f t="shared" si="62"/>
        <v>0</v>
      </c>
      <c r="DH54" s="871">
        <f t="shared" si="63"/>
        <v>0</v>
      </c>
      <c r="DI54" s="871">
        <f t="shared" si="64"/>
        <v>0</v>
      </c>
      <c r="DJ54" s="871">
        <f t="shared" si="65"/>
        <v>0</v>
      </c>
      <c r="DK54" s="871">
        <f t="shared" si="66"/>
        <v>0</v>
      </c>
      <c r="DL54" s="871">
        <f t="shared" si="67"/>
        <v>0</v>
      </c>
      <c r="DM54" s="871">
        <f t="shared" si="68"/>
        <v>0</v>
      </c>
      <c r="DN54" s="871">
        <f t="shared" si="69"/>
        <v>0</v>
      </c>
      <c r="DO54" s="871">
        <f t="shared" si="70"/>
        <v>0</v>
      </c>
      <c r="DP54" s="871">
        <f t="shared" si="71"/>
        <v>0</v>
      </c>
      <c r="DQ54" s="871">
        <f t="shared" si="72"/>
        <v>0</v>
      </c>
      <c r="DR54" s="871">
        <f t="shared" si="73"/>
        <v>0</v>
      </c>
      <c r="DS54" s="871">
        <f t="shared" si="74"/>
        <v>0</v>
      </c>
      <c r="DT54" s="871">
        <f t="shared" si="75"/>
        <v>0</v>
      </c>
      <c r="DU54" s="871">
        <f t="shared" si="76"/>
        <v>0</v>
      </c>
      <c r="DV54" s="871">
        <f t="shared" si="77"/>
        <v>0</v>
      </c>
      <c r="DW54" s="871">
        <f t="shared" si="78"/>
        <v>0</v>
      </c>
      <c r="DX54" s="871">
        <f t="shared" si="79"/>
        <v>0</v>
      </c>
      <c r="DY54" s="871">
        <f t="shared" si="80"/>
        <v>0</v>
      </c>
      <c r="DZ54" s="871">
        <f t="shared" si="81"/>
        <v>0</v>
      </c>
      <c r="EA54" s="871">
        <f t="shared" si="82"/>
        <v>0</v>
      </c>
      <c r="EB54" s="871">
        <f t="shared" si="83"/>
        <v>0</v>
      </c>
      <c r="EC54" s="871">
        <f t="shared" si="84"/>
        <v>0</v>
      </c>
      <c r="ED54" s="871">
        <f t="shared" si="85"/>
        <v>0</v>
      </c>
      <c r="EE54" s="871">
        <f t="shared" si="86"/>
        <v>0</v>
      </c>
      <c r="EF54" s="871">
        <f t="shared" si="87"/>
        <v>0</v>
      </c>
      <c r="EG54" s="871">
        <f t="shared" si="88"/>
        <v>0</v>
      </c>
    </row>
    <row r="55" spans="1:137">
      <c r="A55" s="595"/>
      <c r="B55" s="598"/>
      <c r="C55" s="599"/>
      <c r="E55" s="1502"/>
      <c r="F55" s="867"/>
      <c r="G55" s="868"/>
      <c r="H55" s="867"/>
      <c r="I55" s="869"/>
      <c r="J55" s="869"/>
      <c r="K55" s="76"/>
      <c r="L55" s="1455">
        <v>0</v>
      </c>
      <c r="M55" s="1455">
        <f>L55</f>
        <v>0</v>
      </c>
      <c r="N55" s="1455">
        <f t="shared" ref="N55:AO55" si="571">M55</f>
        <v>0</v>
      </c>
      <c r="O55" s="1455">
        <f t="shared" si="571"/>
        <v>0</v>
      </c>
      <c r="P55" s="1455">
        <f t="shared" si="571"/>
        <v>0</v>
      </c>
      <c r="Q55" s="1455">
        <f t="shared" si="571"/>
        <v>0</v>
      </c>
      <c r="R55" s="1455">
        <f t="shared" si="571"/>
        <v>0</v>
      </c>
      <c r="S55" s="1455">
        <f t="shared" si="571"/>
        <v>0</v>
      </c>
      <c r="T55" s="1455">
        <f t="shared" si="571"/>
        <v>0</v>
      </c>
      <c r="U55" s="1455">
        <f t="shared" si="571"/>
        <v>0</v>
      </c>
      <c r="V55" s="1455">
        <f t="shared" si="571"/>
        <v>0</v>
      </c>
      <c r="W55" s="1455">
        <f t="shared" si="571"/>
        <v>0</v>
      </c>
      <c r="X55" s="1455">
        <f t="shared" si="571"/>
        <v>0</v>
      </c>
      <c r="Y55" s="1455">
        <f t="shared" si="571"/>
        <v>0</v>
      </c>
      <c r="Z55" s="1455">
        <f t="shared" si="571"/>
        <v>0</v>
      </c>
      <c r="AA55" s="1455">
        <f t="shared" si="571"/>
        <v>0</v>
      </c>
      <c r="AB55" s="1455">
        <f t="shared" si="571"/>
        <v>0</v>
      </c>
      <c r="AC55" s="1455">
        <f t="shared" si="571"/>
        <v>0</v>
      </c>
      <c r="AD55" s="1455">
        <f t="shared" si="571"/>
        <v>0</v>
      </c>
      <c r="AE55" s="1455">
        <f t="shared" si="571"/>
        <v>0</v>
      </c>
      <c r="AF55" s="1455">
        <f t="shared" si="571"/>
        <v>0</v>
      </c>
      <c r="AG55" s="1455">
        <f t="shared" si="571"/>
        <v>0</v>
      </c>
      <c r="AH55" s="1455">
        <f t="shared" si="571"/>
        <v>0</v>
      </c>
      <c r="AI55" s="1455">
        <f t="shared" si="571"/>
        <v>0</v>
      </c>
      <c r="AJ55" s="1455">
        <f t="shared" si="571"/>
        <v>0</v>
      </c>
      <c r="AK55" s="1455">
        <f t="shared" si="571"/>
        <v>0</v>
      </c>
      <c r="AL55" s="1455">
        <f t="shared" si="571"/>
        <v>0</v>
      </c>
      <c r="AM55" s="1455">
        <f t="shared" si="571"/>
        <v>0</v>
      </c>
      <c r="AN55" s="1455">
        <f t="shared" si="571"/>
        <v>0</v>
      </c>
      <c r="AO55" s="1455">
        <f t="shared" si="571"/>
        <v>0</v>
      </c>
      <c r="AP55" s="77"/>
      <c r="AQ55" s="871"/>
      <c r="AR55" s="871"/>
      <c r="AS55" s="871"/>
      <c r="AT55" s="871"/>
      <c r="AU55" s="871"/>
      <c r="AV55" s="871"/>
      <c r="AW55" s="871"/>
      <c r="AX55" s="871"/>
      <c r="AY55" s="871"/>
      <c r="AZ55" s="871"/>
      <c r="BA55" s="871"/>
      <c r="BB55" s="871"/>
      <c r="BC55" s="871"/>
      <c r="BD55" s="871"/>
      <c r="BE55" s="871"/>
      <c r="BF55" s="871"/>
      <c r="BG55" s="871"/>
      <c r="BH55" s="871"/>
      <c r="BI55" s="871"/>
      <c r="BJ55" s="871"/>
      <c r="BK55" s="871"/>
      <c r="BL55" s="871"/>
      <c r="BM55" s="871"/>
      <c r="BN55" s="871"/>
      <c r="BO55" s="871"/>
      <c r="BP55" s="871"/>
      <c r="BQ55" s="871"/>
      <c r="BR55" s="871"/>
      <c r="BS55" s="871"/>
      <c r="BT55" s="871"/>
      <c r="BU55" s="871"/>
      <c r="BV55" s="1453"/>
      <c r="BW55" s="871">
        <f>SUM(BX55:DA55)</f>
        <v>0</v>
      </c>
      <c r="BX55" s="871"/>
      <c r="BY55" s="871"/>
      <c r="BZ55" s="871"/>
      <c r="CA55" s="871"/>
      <c r="CB55" s="871"/>
      <c r="CC55" s="871"/>
      <c r="CD55" s="871"/>
      <c r="CE55" s="871"/>
      <c r="CF55" s="871"/>
      <c r="CG55" s="871"/>
      <c r="CH55" s="871"/>
      <c r="CI55" s="871"/>
      <c r="CJ55" s="871"/>
      <c r="CK55" s="871"/>
      <c r="CL55" s="871"/>
      <c r="CM55" s="871"/>
      <c r="CN55" s="871"/>
      <c r="CO55" s="871"/>
      <c r="CP55" s="871"/>
      <c r="CQ55" s="871"/>
      <c r="CR55" s="871"/>
      <c r="CS55" s="871"/>
      <c r="CT55" s="871"/>
      <c r="CU55" s="871"/>
      <c r="CV55" s="871"/>
      <c r="CW55" s="871"/>
      <c r="CX55" s="871"/>
      <c r="CY55" s="871"/>
      <c r="CZ55" s="871"/>
      <c r="DA55" s="871"/>
      <c r="DB55" s="41"/>
      <c r="DC55" s="871">
        <f t="shared" si="58"/>
        <v>0</v>
      </c>
      <c r="DD55" s="871">
        <f t="shared" si="59"/>
        <v>0</v>
      </c>
      <c r="DE55" s="871">
        <f t="shared" si="60"/>
        <v>0</v>
      </c>
      <c r="DF55" s="871">
        <f t="shared" si="61"/>
        <v>0</v>
      </c>
      <c r="DG55" s="871">
        <f t="shared" si="62"/>
        <v>0</v>
      </c>
      <c r="DH55" s="871">
        <f t="shared" si="63"/>
        <v>0</v>
      </c>
      <c r="DI55" s="871">
        <f t="shared" si="64"/>
        <v>0</v>
      </c>
      <c r="DJ55" s="871">
        <f t="shared" si="65"/>
        <v>0</v>
      </c>
      <c r="DK55" s="871">
        <f t="shared" si="66"/>
        <v>0</v>
      </c>
      <c r="DL55" s="871">
        <f t="shared" si="67"/>
        <v>0</v>
      </c>
      <c r="DM55" s="871">
        <f t="shared" si="68"/>
        <v>0</v>
      </c>
      <c r="DN55" s="871">
        <f t="shared" si="69"/>
        <v>0</v>
      </c>
      <c r="DO55" s="871">
        <f t="shared" si="70"/>
        <v>0</v>
      </c>
      <c r="DP55" s="871">
        <f t="shared" si="71"/>
        <v>0</v>
      </c>
      <c r="DQ55" s="871">
        <f t="shared" si="72"/>
        <v>0</v>
      </c>
      <c r="DR55" s="871">
        <f t="shared" si="73"/>
        <v>0</v>
      </c>
      <c r="DS55" s="871">
        <f t="shared" si="74"/>
        <v>0</v>
      </c>
      <c r="DT55" s="871">
        <f t="shared" si="75"/>
        <v>0</v>
      </c>
      <c r="DU55" s="871">
        <f t="shared" si="76"/>
        <v>0</v>
      </c>
      <c r="DV55" s="871">
        <f t="shared" si="77"/>
        <v>0</v>
      </c>
      <c r="DW55" s="871">
        <f t="shared" si="78"/>
        <v>0</v>
      </c>
      <c r="DX55" s="871">
        <f t="shared" si="79"/>
        <v>0</v>
      </c>
      <c r="DY55" s="871">
        <f t="shared" si="80"/>
        <v>0</v>
      </c>
      <c r="DZ55" s="871">
        <f t="shared" si="81"/>
        <v>0</v>
      </c>
      <c r="EA55" s="871">
        <f t="shared" si="82"/>
        <v>0</v>
      </c>
      <c r="EB55" s="871">
        <f t="shared" si="83"/>
        <v>0</v>
      </c>
      <c r="EC55" s="871">
        <f t="shared" si="84"/>
        <v>0</v>
      </c>
      <c r="ED55" s="871">
        <f t="shared" si="85"/>
        <v>0</v>
      </c>
      <c r="EE55" s="871">
        <f t="shared" si="86"/>
        <v>0</v>
      </c>
      <c r="EF55" s="871">
        <f t="shared" si="87"/>
        <v>0</v>
      </c>
      <c r="EG55" s="871">
        <f t="shared" si="88"/>
        <v>0</v>
      </c>
    </row>
    <row r="56" spans="1:137" ht="12.75" customHeight="1">
      <c r="A56" s="595"/>
      <c r="B56" s="598"/>
      <c r="C56" s="599"/>
      <c r="D56" s="29">
        <v>2</v>
      </c>
      <c r="E56" s="1489" t="s">
        <v>1656</v>
      </c>
      <c r="F56" s="867"/>
      <c r="G56" s="868"/>
      <c r="H56" s="867"/>
      <c r="I56" s="869"/>
      <c r="J56" s="869"/>
      <c r="K56" s="76"/>
      <c r="L56" s="1479"/>
      <c r="M56" s="1479"/>
      <c r="N56" s="1479"/>
      <c r="O56" s="1479"/>
      <c r="P56" s="1479"/>
      <c r="Q56" s="1479"/>
      <c r="R56" s="1479"/>
      <c r="S56" s="1479"/>
      <c r="T56" s="1479"/>
      <c r="U56" s="1479"/>
      <c r="V56" s="1479"/>
      <c r="W56" s="1479"/>
      <c r="X56" s="1479"/>
      <c r="Y56" s="1479"/>
      <c r="Z56" s="1479"/>
      <c r="AA56" s="1479"/>
      <c r="AB56" s="1479"/>
      <c r="AC56" s="1479"/>
      <c r="AD56" s="1479"/>
      <c r="AE56" s="1479"/>
      <c r="AF56" s="1479"/>
      <c r="AG56" s="1479"/>
      <c r="AH56" s="1479"/>
      <c r="AI56" s="1479"/>
      <c r="AJ56" s="1479"/>
      <c r="AK56" s="1479"/>
      <c r="AL56" s="1479"/>
      <c r="AM56" s="1479"/>
      <c r="AN56" s="1479"/>
      <c r="AO56" s="1479"/>
      <c r="AP56" s="77"/>
      <c r="AQ56" s="1496">
        <f>SUBTOTAL(9,AQ57)</f>
        <v>306.91493071324811</v>
      </c>
      <c r="AR56" s="1496">
        <f t="shared" ref="AR56" si="572">SUBTOTAL(9,AR57)</f>
        <v>10.230497690441601</v>
      </c>
      <c r="AS56" s="1496">
        <f t="shared" ref="AS56" si="573">SUBTOTAL(9,AS57)</f>
        <v>10.230497690441601</v>
      </c>
      <c r="AT56" s="1496">
        <f t="shared" ref="AT56" si="574">SUBTOTAL(9,AT57)</f>
        <v>10.230497690441601</v>
      </c>
      <c r="AU56" s="1496">
        <f t="shared" ref="AU56" si="575">SUBTOTAL(9,AU57)</f>
        <v>10.230497690441601</v>
      </c>
      <c r="AV56" s="1496">
        <f t="shared" ref="AV56" si="576">SUBTOTAL(9,AV57)</f>
        <v>10.230497690441601</v>
      </c>
      <c r="AW56" s="1496">
        <f t="shared" ref="AW56" si="577">SUBTOTAL(9,AW57)</f>
        <v>10.230497690441601</v>
      </c>
      <c r="AX56" s="1496">
        <f t="shared" ref="AX56" si="578">SUBTOTAL(9,AX57)</f>
        <v>10.230497690441601</v>
      </c>
      <c r="AY56" s="1496">
        <f t="shared" ref="AY56" si="579">SUBTOTAL(9,AY57)</f>
        <v>10.230497690441601</v>
      </c>
      <c r="AZ56" s="1496">
        <f t="shared" ref="AZ56" si="580">SUBTOTAL(9,AZ57)</f>
        <v>10.230497690441601</v>
      </c>
      <c r="BA56" s="1496">
        <f t="shared" ref="BA56" si="581">SUBTOTAL(9,BA57)</f>
        <v>10.230497690441601</v>
      </c>
      <c r="BB56" s="1496">
        <f t="shared" ref="BB56" si="582">SUBTOTAL(9,BB57)</f>
        <v>10.230497690441601</v>
      </c>
      <c r="BC56" s="1496">
        <f t="shared" ref="BC56" si="583">SUBTOTAL(9,BC57)</f>
        <v>10.230497690441601</v>
      </c>
      <c r="BD56" s="1496">
        <f t="shared" ref="BD56" si="584">SUBTOTAL(9,BD57)</f>
        <v>10.230497690441601</v>
      </c>
      <c r="BE56" s="1496">
        <f t="shared" ref="BE56" si="585">SUBTOTAL(9,BE57)</f>
        <v>10.230497690441601</v>
      </c>
      <c r="BF56" s="1496">
        <f t="shared" ref="BF56" si="586">SUBTOTAL(9,BF57)</f>
        <v>10.230497690441601</v>
      </c>
      <c r="BG56" s="1496">
        <f t="shared" ref="BG56" si="587">SUBTOTAL(9,BG57)</f>
        <v>10.230497690441601</v>
      </c>
      <c r="BH56" s="1496">
        <f t="shared" ref="BH56" si="588">SUBTOTAL(9,BH57)</f>
        <v>10.230497690441601</v>
      </c>
      <c r="BI56" s="1496">
        <f t="shared" ref="BI56" si="589">SUBTOTAL(9,BI57)</f>
        <v>10.230497690441601</v>
      </c>
      <c r="BJ56" s="1496">
        <f t="shared" ref="BJ56" si="590">SUBTOTAL(9,BJ57)</f>
        <v>10.230497690441601</v>
      </c>
      <c r="BK56" s="1496">
        <f t="shared" ref="BK56" si="591">SUBTOTAL(9,BK57)</f>
        <v>10.230497690441601</v>
      </c>
      <c r="BL56" s="1496">
        <f t="shared" ref="BL56" si="592">SUBTOTAL(9,BL57)</f>
        <v>10.230497690441601</v>
      </c>
      <c r="BM56" s="1496">
        <f t="shared" ref="BM56" si="593">SUBTOTAL(9,BM57)</f>
        <v>10.230497690441601</v>
      </c>
      <c r="BN56" s="1496">
        <f t="shared" ref="BN56" si="594">SUBTOTAL(9,BN57)</f>
        <v>10.230497690441601</v>
      </c>
      <c r="BO56" s="1496">
        <f t="shared" ref="BO56:BU56" si="595">SUBTOTAL(9,BO57)</f>
        <v>10.230497690441601</v>
      </c>
      <c r="BP56" s="1496">
        <f t="shared" si="595"/>
        <v>10.230497690441601</v>
      </c>
      <c r="BQ56" s="1496">
        <f t="shared" si="595"/>
        <v>10.230497690441601</v>
      </c>
      <c r="BR56" s="1496">
        <f t="shared" si="595"/>
        <v>10.230497690441601</v>
      </c>
      <c r="BS56" s="1496">
        <f t="shared" si="595"/>
        <v>10.230497690441601</v>
      </c>
      <c r="BT56" s="1496">
        <f t="shared" si="595"/>
        <v>10.230497690441601</v>
      </c>
      <c r="BU56" s="1496">
        <f t="shared" si="595"/>
        <v>10.230497690441601</v>
      </c>
      <c r="BV56" s="1497"/>
      <c r="BW56" s="1496">
        <f t="shared" ref="BW56" si="596">SUBTOTAL(9,BW57)</f>
        <v>0</v>
      </c>
      <c r="BX56" s="1496">
        <f t="shared" ref="BX56" si="597">SUBTOTAL(9,BX57)</f>
        <v>0</v>
      </c>
      <c r="BY56" s="1496">
        <f t="shared" ref="BY56" si="598">SUBTOTAL(9,BY57)</f>
        <v>0</v>
      </c>
      <c r="BZ56" s="1496">
        <f t="shared" ref="BZ56" si="599">SUBTOTAL(9,BZ57)</f>
        <v>0</v>
      </c>
      <c r="CA56" s="1496">
        <f t="shared" ref="CA56" si="600">SUBTOTAL(9,CA57)</f>
        <v>0</v>
      </c>
      <c r="CB56" s="1496">
        <f t="shared" ref="CB56" si="601">SUBTOTAL(9,CB57)</f>
        <v>0</v>
      </c>
      <c r="CC56" s="1496">
        <f t="shared" ref="CC56" si="602">SUBTOTAL(9,CC57)</f>
        <v>0</v>
      </c>
      <c r="CD56" s="1496">
        <f t="shared" ref="CD56" si="603">SUBTOTAL(9,CD57)</f>
        <v>0</v>
      </c>
      <c r="CE56" s="1496">
        <f t="shared" ref="CE56" si="604">SUBTOTAL(9,CE57)</f>
        <v>0</v>
      </c>
      <c r="CF56" s="1496">
        <f t="shared" ref="CF56" si="605">SUBTOTAL(9,CF57)</f>
        <v>0</v>
      </c>
      <c r="CG56" s="1496">
        <f t="shared" ref="CG56" si="606">SUBTOTAL(9,CG57)</f>
        <v>0</v>
      </c>
      <c r="CH56" s="1496">
        <f t="shared" ref="CH56" si="607">SUBTOTAL(9,CH57)</f>
        <v>0</v>
      </c>
      <c r="CI56" s="1496">
        <f t="shared" ref="CI56" si="608">SUBTOTAL(9,CI57)</f>
        <v>0</v>
      </c>
      <c r="CJ56" s="1496">
        <f t="shared" ref="CJ56" si="609">SUBTOTAL(9,CJ57)</f>
        <v>0</v>
      </c>
      <c r="CK56" s="1496">
        <f t="shared" ref="CK56" si="610">SUBTOTAL(9,CK57)</f>
        <v>0</v>
      </c>
      <c r="CL56" s="1496">
        <f t="shared" ref="CL56" si="611">SUBTOTAL(9,CL57)</f>
        <v>0</v>
      </c>
      <c r="CM56" s="1496">
        <f t="shared" ref="CM56" si="612">SUBTOTAL(9,CM57)</f>
        <v>0</v>
      </c>
      <c r="CN56" s="1496">
        <f t="shared" ref="CN56" si="613">SUBTOTAL(9,CN57)</f>
        <v>0</v>
      </c>
      <c r="CO56" s="1496">
        <f t="shared" ref="CO56" si="614">SUBTOTAL(9,CO57)</f>
        <v>0</v>
      </c>
      <c r="CP56" s="1496">
        <f t="shared" ref="CP56" si="615">SUBTOTAL(9,CP57)</f>
        <v>0</v>
      </c>
      <c r="CQ56" s="1496">
        <f t="shared" ref="CQ56" si="616">SUBTOTAL(9,CQ57)</f>
        <v>0</v>
      </c>
      <c r="CR56" s="1496">
        <f t="shared" ref="CR56" si="617">SUBTOTAL(9,CR57)</f>
        <v>0</v>
      </c>
      <c r="CS56" s="1496">
        <f t="shared" ref="CS56" si="618">SUBTOTAL(9,CS57)</f>
        <v>0</v>
      </c>
      <c r="CT56" s="1496">
        <f t="shared" ref="CT56" si="619">SUBTOTAL(9,CT57)</f>
        <v>0</v>
      </c>
      <c r="CU56" s="1496">
        <f t="shared" ref="CU56:DA56" si="620">SUBTOTAL(9,CU57)</f>
        <v>0</v>
      </c>
      <c r="CV56" s="1496">
        <f t="shared" si="620"/>
        <v>0</v>
      </c>
      <c r="CW56" s="1496">
        <f t="shared" si="620"/>
        <v>0</v>
      </c>
      <c r="CX56" s="1496">
        <f t="shared" si="620"/>
        <v>0</v>
      </c>
      <c r="CY56" s="1496">
        <f t="shared" si="620"/>
        <v>0</v>
      </c>
      <c r="CZ56" s="1496">
        <f t="shared" si="620"/>
        <v>0</v>
      </c>
      <c r="DA56" s="1496">
        <f t="shared" si="620"/>
        <v>0</v>
      </c>
      <c r="DB56" s="41"/>
      <c r="DC56" s="1496">
        <f t="shared" si="58"/>
        <v>306.91493071324811</v>
      </c>
      <c r="DD56" s="1496">
        <f t="shared" si="59"/>
        <v>10.230497690441601</v>
      </c>
      <c r="DE56" s="1496">
        <f t="shared" si="60"/>
        <v>10.230497690441601</v>
      </c>
      <c r="DF56" s="1496">
        <f t="shared" si="61"/>
        <v>10.230497690441601</v>
      </c>
      <c r="DG56" s="1496">
        <f t="shared" si="62"/>
        <v>10.230497690441601</v>
      </c>
      <c r="DH56" s="1496">
        <f t="shared" si="63"/>
        <v>10.230497690441601</v>
      </c>
      <c r="DI56" s="1496">
        <f t="shared" si="64"/>
        <v>10.230497690441601</v>
      </c>
      <c r="DJ56" s="1496">
        <f t="shared" si="65"/>
        <v>10.230497690441601</v>
      </c>
      <c r="DK56" s="1496">
        <f t="shared" si="66"/>
        <v>10.230497690441601</v>
      </c>
      <c r="DL56" s="1496">
        <f t="shared" si="67"/>
        <v>10.230497690441601</v>
      </c>
      <c r="DM56" s="1496">
        <f t="shared" si="68"/>
        <v>10.230497690441601</v>
      </c>
      <c r="DN56" s="1496">
        <f t="shared" si="69"/>
        <v>10.230497690441601</v>
      </c>
      <c r="DO56" s="1496">
        <f t="shared" si="70"/>
        <v>10.230497690441601</v>
      </c>
      <c r="DP56" s="1496">
        <f t="shared" si="71"/>
        <v>10.230497690441601</v>
      </c>
      <c r="DQ56" s="1496">
        <f t="shared" si="72"/>
        <v>10.230497690441601</v>
      </c>
      <c r="DR56" s="1496">
        <f t="shared" si="73"/>
        <v>10.230497690441601</v>
      </c>
      <c r="DS56" s="1496">
        <f t="shared" si="74"/>
        <v>10.230497690441601</v>
      </c>
      <c r="DT56" s="1496">
        <f t="shared" si="75"/>
        <v>10.230497690441601</v>
      </c>
      <c r="DU56" s="1496">
        <f t="shared" si="76"/>
        <v>10.230497690441601</v>
      </c>
      <c r="DV56" s="1496">
        <f t="shared" si="77"/>
        <v>10.230497690441601</v>
      </c>
      <c r="DW56" s="1496">
        <f t="shared" si="78"/>
        <v>10.230497690441601</v>
      </c>
      <c r="DX56" s="1496">
        <f t="shared" si="79"/>
        <v>10.230497690441601</v>
      </c>
      <c r="DY56" s="1496">
        <f t="shared" si="80"/>
        <v>10.230497690441601</v>
      </c>
      <c r="DZ56" s="1496">
        <f t="shared" si="81"/>
        <v>10.230497690441601</v>
      </c>
      <c r="EA56" s="1496">
        <f t="shared" si="82"/>
        <v>10.230497690441601</v>
      </c>
      <c r="EB56" s="1496">
        <f t="shared" si="83"/>
        <v>10.230497690441601</v>
      </c>
      <c r="EC56" s="1496">
        <f t="shared" si="84"/>
        <v>10.230497690441601</v>
      </c>
      <c r="ED56" s="1496">
        <f t="shared" si="85"/>
        <v>10.230497690441601</v>
      </c>
      <c r="EE56" s="1496">
        <f t="shared" si="86"/>
        <v>10.230497690441601</v>
      </c>
      <c r="EF56" s="1496">
        <f t="shared" si="87"/>
        <v>10.230497690441601</v>
      </c>
      <c r="EG56" s="1496">
        <f t="shared" si="88"/>
        <v>10.230497690441601</v>
      </c>
    </row>
    <row r="57" spans="1:137">
      <c r="A57" s="595"/>
      <c r="B57" s="598"/>
      <c r="C57" s="599"/>
      <c r="E57" s="1500" t="s">
        <v>1657</v>
      </c>
      <c r="F57" s="867"/>
      <c r="G57" s="868"/>
      <c r="H57" s="867"/>
      <c r="I57" s="869"/>
      <c r="J57" s="869"/>
      <c r="K57" s="76"/>
      <c r="L57" s="1455">
        <v>22</v>
      </c>
      <c r="M57" s="1455">
        <v>22</v>
      </c>
      <c r="N57" s="1455">
        <v>22</v>
      </c>
      <c r="O57" s="1455">
        <v>22</v>
      </c>
      <c r="P57" s="1455">
        <v>22</v>
      </c>
      <c r="Q57" s="1455">
        <v>22</v>
      </c>
      <c r="R57" s="1455">
        <v>22</v>
      </c>
      <c r="S57" s="1455">
        <v>22</v>
      </c>
      <c r="T57" s="1455">
        <v>22</v>
      </c>
      <c r="U57" s="1455">
        <v>22</v>
      </c>
      <c r="V57" s="1455">
        <v>22</v>
      </c>
      <c r="W57" s="1455">
        <v>22</v>
      </c>
      <c r="X57" s="1455">
        <v>22</v>
      </c>
      <c r="Y57" s="1455">
        <v>22</v>
      </c>
      <c r="Z57" s="1455">
        <v>22</v>
      </c>
      <c r="AA57" s="1455">
        <v>22</v>
      </c>
      <c r="AB57" s="1455">
        <v>22</v>
      </c>
      <c r="AC57" s="1455">
        <v>22</v>
      </c>
      <c r="AD57" s="1455">
        <v>22</v>
      </c>
      <c r="AE57" s="1455">
        <v>22</v>
      </c>
      <c r="AF57" s="1455">
        <v>22</v>
      </c>
      <c r="AG57" s="1455">
        <v>22</v>
      </c>
      <c r="AH57" s="1455">
        <v>22</v>
      </c>
      <c r="AI57" s="1455">
        <v>22</v>
      </c>
      <c r="AJ57" s="1455">
        <v>22</v>
      </c>
      <c r="AK57" s="1455">
        <v>22</v>
      </c>
      <c r="AL57" s="1455">
        <v>22</v>
      </c>
      <c r="AM57" s="1455">
        <v>22</v>
      </c>
      <c r="AN57" s="1455">
        <v>22</v>
      </c>
      <c r="AO57" s="1455">
        <v>22</v>
      </c>
      <c r="AP57" s="77"/>
      <c r="AQ57" s="871">
        <f>SUM(AR57:BU57)</f>
        <v>306.91493071324811</v>
      </c>
      <c r="AR57" s="871">
        <f t="shared" ref="AR57:BU57" si="621">VLOOKUP($E57,Par,6,0)*L57/1000</f>
        <v>10.230497690441601</v>
      </c>
      <c r="AS57" s="871">
        <f t="shared" si="621"/>
        <v>10.230497690441601</v>
      </c>
      <c r="AT57" s="871">
        <f t="shared" si="621"/>
        <v>10.230497690441601</v>
      </c>
      <c r="AU57" s="871">
        <f t="shared" si="621"/>
        <v>10.230497690441601</v>
      </c>
      <c r="AV57" s="871">
        <f t="shared" si="621"/>
        <v>10.230497690441601</v>
      </c>
      <c r="AW57" s="871">
        <f t="shared" si="621"/>
        <v>10.230497690441601</v>
      </c>
      <c r="AX57" s="871">
        <f t="shared" si="621"/>
        <v>10.230497690441601</v>
      </c>
      <c r="AY57" s="871">
        <f t="shared" si="621"/>
        <v>10.230497690441601</v>
      </c>
      <c r="AZ57" s="871">
        <f t="shared" si="621"/>
        <v>10.230497690441601</v>
      </c>
      <c r="BA57" s="871">
        <f t="shared" si="621"/>
        <v>10.230497690441601</v>
      </c>
      <c r="BB57" s="871">
        <f t="shared" si="621"/>
        <v>10.230497690441601</v>
      </c>
      <c r="BC57" s="871">
        <f t="shared" si="621"/>
        <v>10.230497690441601</v>
      </c>
      <c r="BD57" s="871">
        <f t="shared" si="621"/>
        <v>10.230497690441601</v>
      </c>
      <c r="BE57" s="871">
        <f t="shared" si="621"/>
        <v>10.230497690441601</v>
      </c>
      <c r="BF57" s="871">
        <f t="shared" si="621"/>
        <v>10.230497690441601</v>
      </c>
      <c r="BG57" s="871">
        <f t="shared" si="621"/>
        <v>10.230497690441601</v>
      </c>
      <c r="BH57" s="871">
        <f t="shared" si="621"/>
        <v>10.230497690441601</v>
      </c>
      <c r="BI57" s="871">
        <f t="shared" si="621"/>
        <v>10.230497690441601</v>
      </c>
      <c r="BJ57" s="871">
        <f t="shared" si="621"/>
        <v>10.230497690441601</v>
      </c>
      <c r="BK57" s="871">
        <f t="shared" si="621"/>
        <v>10.230497690441601</v>
      </c>
      <c r="BL57" s="871">
        <f t="shared" si="621"/>
        <v>10.230497690441601</v>
      </c>
      <c r="BM57" s="871">
        <f t="shared" si="621"/>
        <v>10.230497690441601</v>
      </c>
      <c r="BN57" s="871">
        <f t="shared" si="621"/>
        <v>10.230497690441601</v>
      </c>
      <c r="BO57" s="871">
        <f t="shared" si="621"/>
        <v>10.230497690441601</v>
      </c>
      <c r="BP57" s="871">
        <f t="shared" si="621"/>
        <v>10.230497690441601</v>
      </c>
      <c r="BQ57" s="871">
        <f t="shared" si="621"/>
        <v>10.230497690441601</v>
      </c>
      <c r="BR57" s="871">
        <f t="shared" si="621"/>
        <v>10.230497690441601</v>
      </c>
      <c r="BS57" s="871">
        <f t="shared" si="621"/>
        <v>10.230497690441601</v>
      </c>
      <c r="BT57" s="871">
        <f t="shared" si="621"/>
        <v>10.230497690441601</v>
      </c>
      <c r="BU57" s="871">
        <f t="shared" si="621"/>
        <v>10.230497690441601</v>
      </c>
      <c r="BV57" s="1453"/>
      <c r="BW57" s="871">
        <f>SUM(BX57:DA57)</f>
        <v>0</v>
      </c>
      <c r="BX57" s="871"/>
      <c r="BY57" s="871"/>
      <c r="BZ57" s="871"/>
      <c r="CA57" s="871"/>
      <c r="CB57" s="871"/>
      <c r="CC57" s="871"/>
      <c r="CD57" s="871"/>
      <c r="CE57" s="871"/>
      <c r="CF57" s="871"/>
      <c r="CG57" s="871"/>
      <c r="CH57" s="871"/>
      <c r="CI57" s="871"/>
      <c r="CJ57" s="871"/>
      <c r="CK57" s="871"/>
      <c r="CL57" s="871"/>
      <c r="CM57" s="871"/>
      <c r="CN57" s="871"/>
      <c r="CO57" s="871"/>
      <c r="CP57" s="871"/>
      <c r="CQ57" s="871"/>
      <c r="CR57" s="871"/>
      <c r="CS57" s="871"/>
      <c r="CT57" s="871"/>
      <c r="CU57" s="871"/>
      <c r="CV57" s="871"/>
      <c r="CW57" s="871"/>
      <c r="CX57" s="871"/>
      <c r="CY57" s="871"/>
      <c r="CZ57" s="871"/>
      <c r="DA57" s="871"/>
      <c r="DB57" s="41"/>
      <c r="DC57" s="871">
        <f t="shared" si="58"/>
        <v>306.91493071324811</v>
      </c>
      <c r="DD57" s="871">
        <f t="shared" si="59"/>
        <v>10.230497690441601</v>
      </c>
      <c r="DE57" s="871">
        <f t="shared" si="60"/>
        <v>10.230497690441601</v>
      </c>
      <c r="DF57" s="871">
        <f t="shared" si="61"/>
        <v>10.230497690441601</v>
      </c>
      <c r="DG57" s="871">
        <f t="shared" si="62"/>
        <v>10.230497690441601</v>
      </c>
      <c r="DH57" s="871">
        <f t="shared" si="63"/>
        <v>10.230497690441601</v>
      </c>
      <c r="DI57" s="871">
        <f t="shared" si="64"/>
        <v>10.230497690441601</v>
      </c>
      <c r="DJ57" s="871">
        <f t="shared" si="65"/>
        <v>10.230497690441601</v>
      </c>
      <c r="DK57" s="871">
        <f t="shared" si="66"/>
        <v>10.230497690441601</v>
      </c>
      <c r="DL57" s="871">
        <f t="shared" si="67"/>
        <v>10.230497690441601</v>
      </c>
      <c r="DM57" s="871">
        <f t="shared" si="68"/>
        <v>10.230497690441601</v>
      </c>
      <c r="DN57" s="871">
        <f t="shared" si="69"/>
        <v>10.230497690441601</v>
      </c>
      <c r="DO57" s="871">
        <f t="shared" si="70"/>
        <v>10.230497690441601</v>
      </c>
      <c r="DP57" s="871">
        <f t="shared" si="71"/>
        <v>10.230497690441601</v>
      </c>
      <c r="DQ57" s="871">
        <f t="shared" si="72"/>
        <v>10.230497690441601</v>
      </c>
      <c r="DR57" s="871">
        <f t="shared" si="73"/>
        <v>10.230497690441601</v>
      </c>
      <c r="DS57" s="871">
        <f t="shared" si="74"/>
        <v>10.230497690441601</v>
      </c>
      <c r="DT57" s="871">
        <f t="shared" si="75"/>
        <v>10.230497690441601</v>
      </c>
      <c r="DU57" s="871">
        <f t="shared" si="76"/>
        <v>10.230497690441601</v>
      </c>
      <c r="DV57" s="871">
        <f t="shared" si="77"/>
        <v>10.230497690441601</v>
      </c>
      <c r="DW57" s="871">
        <f t="shared" si="78"/>
        <v>10.230497690441601</v>
      </c>
      <c r="DX57" s="871">
        <f t="shared" si="79"/>
        <v>10.230497690441601</v>
      </c>
      <c r="DY57" s="871">
        <f t="shared" si="80"/>
        <v>10.230497690441601</v>
      </c>
      <c r="DZ57" s="871">
        <f t="shared" si="81"/>
        <v>10.230497690441601</v>
      </c>
      <c r="EA57" s="871">
        <f t="shared" si="82"/>
        <v>10.230497690441601</v>
      </c>
      <c r="EB57" s="871">
        <f t="shared" si="83"/>
        <v>10.230497690441601</v>
      </c>
      <c r="EC57" s="871">
        <f t="shared" si="84"/>
        <v>10.230497690441601</v>
      </c>
      <c r="ED57" s="871">
        <f t="shared" si="85"/>
        <v>10.230497690441601</v>
      </c>
      <c r="EE57" s="871">
        <f t="shared" si="86"/>
        <v>10.230497690441601</v>
      </c>
      <c r="EF57" s="871">
        <f t="shared" si="87"/>
        <v>10.230497690441601</v>
      </c>
      <c r="EG57" s="871">
        <f t="shared" si="88"/>
        <v>10.230497690441601</v>
      </c>
    </row>
    <row r="58" spans="1:137">
      <c r="A58" s="595"/>
      <c r="B58" s="598"/>
      <c r="C58" s="599"/>
      <c r="D58" s="29">
        <v>2</v>
      </c>
      <c r="E58" s="1489" t="s">
        <v>1658</v>
      </c>
      <c r="F58" s="867"/>
      <c r="G58" s="868"/>
      <c r="H58" s="867"/>
      <c r="I58" s="869"/>
      <c r="J58" s="869"/>
      <c r="K58" s="76"/>
      <c r="L58" s="1479"/>
      <c r="M58" s="1479"/>
      <c r="N58" s="1479"/>
      <c r="O58" s="1479"/>
      <c r="P58" s="1479"/>
      <c r="Q58" s="1479"/>
      <c r="R58" s="1479"/>
      <c r="S58" s="1479"/>
      <c r="T58" s="1479"/>
      <c r="U58" s="1479"/>
      <c r="V58" s="1479"/>
      <c r="W58" s="1479"/>
      <c r="X58" s="1479"/>
      <c r="Y58" s="1479"/>
      <c r="Z58" s="1479"/>
      <c r="AA58" s="1479"/>
      <c r="AB58" s="1479"/>
      <c r="AC58" s="1479"/>
      <c r="AD58" s="1479"/>
      <c r="AE58" s="1479"/>
      <c r="AF58" s="1479"/>
      <c r="AG58" s="1479"/>
      <c r="AH58" s="1479"/>
      <c r="AI58" s="1479"/>
      <c r="AJ58" s="1479"/>
      <c r="AK58" s="1479"/>
      <c r="AL58" s="1479"/>
      <c r="AM58" s="1479"/>
      <c r="AN58" s="1479"/>
      <c r="AO58" s="1479"/>
      <c r="AP58" s="77"/>
      <c r="AQ58" s="60">
        <f>SUBTOTAL(9,AQ59:AQ61)</f>
        <v>369.63071157408012</v>
      </c>
      <c r="AR58" s="60">
        <f t="shared" ref="AR58" si="622">SUBTOTAL(9,AR59:AR61)</f>
        <v>12.321023719135999</v>
      </c>
      <c r="AS58" s="60">
        <f t="shared" ref="AS58" si="623">SUBTOTAL(9,AS59:AS61)</f>
        <v>12.321023719135999</v>
      </c>
      <c r="AT58" s="60">
        <f t="shared" ref="AT58" si="624">SUBTOTAL(9,AT59:AT61)</f>
        <v>12.321023719135999</v>
      </c>
      <c r="AU58" s="60">
        <f t="shared" ref="AU58" si="625">SUBTOTAL(9,AU59:AU61)</f>
        <v>12.321023719135999</v>
      </c>
      <c r="AV58" s="60">
        <f t="shared" ref="AV58" si="626">SUBTOTAL(9,AV59:AV61)</f>
        <v>12.321023719135999</v>
      </c>
      <c r="AW58" s="60">
        <f t="shared" ref="AW58" si="627">SUBTOTAL(9,AW59:AW61)</f>
        <v>12.321023719135999</v>
      </c>
      <c r="AX58" s="60">
        <f t="shared" ref="AX58" si="628">SUBTOTAL(9,AX59:AX61)</f>
        <v>12.321023719135999</v>
      </c>
      <c r="AY58" s="60">
        <f t="shared" ref="AY58" si="629">SUBTOTAL(9,AY59:AY61)</f>
        <v>12.321023719135999</v>
      </c>
      <c r="AZ58" s="60">
        <f t="shared" ref="AZ58" si="630">SUBTOTAL(9,AZ59:AZ61)</f>
        <v>12.321023719135999</v>
      </c>
      <c r="BA58" s="60">
        <f t="shared" ref="BA58" si="631">SUBTOTAL(9,BA59:BA61)</f>
        <v>12.321023719135999</v>
      </c>
      <c r="BB58" s="60">
        <f t="shared" ref="BB58" si="632">SUBTOTAL(9,BB59:BB61)</f>
        <v>12.321023719135999</v>
      </c>
      <c r="BC58" s="60">
        <f t="shared" ref="BC58" si="633">SUBTOTAL(9,BC59:BC61)</f>
        <v>12.321023719135999</v>
      </c>
      <c r="BD58" s="60">
        <f t="shared" ref="BD58" si="634">SUBTOTAL(9,BD59:BD61)</f>
        <v>12.321023719135999</v>
      </c>
      <c r="BE58" s="60">
        <f t="shared" ref="BE58" si="635">SUBTOTAL(9,BE59:BE61)</f>
        <v>12.321023719135999</v>
      </c>
      <c r="BF58" s="60">
        <f t="shared" ref="BF58" si="636">SUBTOTAL(9,BF59:BF61)</f>
        <v>12.321023719135999</v>
      </c>
      <c r="BG58" s="60">
        <f t="shared" ref="BG58" si="637">SUBTOTAL(9,BG59:BG61)</f>
        <v>12.321023719135999</v>
      </c>
      <c r="BH58" s="60">
        <f t="shared" ref="BH58" si="638">SUBTOTAL(9,BH59:BH61)</f>
        <v>12.321023719135999</v>
      </c>
      <c r="BI58" s="60">
        <f t="shared" ref="BI58" si="639">SUBTOTAL(9,BI59:BI61)</f>
        <v>12.321023719135999</v>
      </c>
      <c r="BJ58" s="60">
        <f t="shared" ref="BJ58" si="640">SUBTOTAL(9,BJ59:BJ61)</f>
        <v>12.321023719135999</v>
      </c>
      <c r="BK58" s="60">
        <f t="shared" ref="BK58" si="641">SUBTOTAL(9,BK59:BK61)</f>
        <v>12.321023719135999</v>
      </c>
      <c r="BL58" s="60">
        <f t="shared" ref="BL58" si="642">SUBTOTAL(9,BL59:BL61)</f>
        <v>12.321023719135999</v>
      </c>
      <c r="BM58" s="60">
        <f t="shared" ref="BM58" si="643">SUBTOTAL(9,BM59:BM61)</f>
        <v>12.321023719135999</v>
      </c>
      <c r="BN58" s="60">
        <f t="shared" ref="BN58" si="644">SUBTOTAL(9,BN59:BN61)</f>
        <v>12.321023719135999</v>
      </c>
      <c r="BO58" s="60">
        <f t="shared" ref="BO58:BU58" si="645">SUBTOTAL(9,BO59:BO61)</f>
        <v>12.321023719135999</v>
      </c>
      <c r="BP58" s="60">
        <f t="shared" si="645"/>
        <v>12.321023719135999</v>
      </c>
      <c r="BQ58" s="60">
        <f t="shared" si="645"/>
        <v>12.321023719135999</v>
      </c>
      <c r="BR58" s="60">
        <f t="shared" si="645"/>
        <v>12.321023719135999</v>
      </c>
      <c r="BS58" s="60">
        <f t="shared" si="645"/>
        <v>12.321023719135999</v>
      </c>
      <c r="BT58" s="60">
        <f t="shared" si="645"/>
        <v>12.321023719135999</v>
      </c>
      <c r="BU58" s="60">
        <f t="shared" si="645"/>
        <v>12.321023719135999</v>
      </c>
      <c r="BV58" s="58"/>
      <c r="BW58" s="60">
        <f t="shared" ref="BW58" si="646">SUBTOTAL(9,BW59:BW61)</f>
        <v>0</v>
      </c>
      <c r="BX58" s="60">
        <f t="shared" ref="BX58" si="647">SUBTOTAL(9,BX59:BX61)</f>
        <v>0</v>
      </c>
      <c r="BY58" s="60">
        <f t="shared" ref="BY58" si="648">SUBTOTAL(9,BY59:BY61)</f>
        <v>0</v>
      </c>
      <c r="BZ58" s="60">
        <f t="shared" ref="BZ58" si="649">SUBTOTAL(9,BZ59:BZ61)</f>
        <v>0</v>
      </c>
      <c r="CA58" s="60">
        <f t="shared" ref="CA58" si="650">SUBTOTAL(9,CA59:CA61)</f>
        <v>0</v>
      </c>
      <c r="CB58" s="60">
        <f t="shared" ref="CB58" si="651">SUBTOTAL(9,CB59:CB61)</f>
        <v>0</v>
      </c>
      <c r="CC58" s="60">
        <f t="shared" ref="CC58" si="652">SUBTOTAL(9,CC59:CC61)</f>
        <v>0</v>
      </c>
      <c r="CD58" s="60">
        <f t="shared" ref="CD58" si="653">SUBTOTAL(9,CD59:CD61)</f>
        <v>0</v>
      </c>
      <c r="CE58" s="60">
        <f t="shared" ref="CE58" si="654">SUBTOTAL(9,CE59:CE61)</f>
        <v>0</v>
      </c>
      <c r="CF58" s="60">
        <f t="shared" ref="CF58" si="655">SUBTOTAL(9,CF59:CF61)</f>
        <v>0</v>
      </c>
      <c r="CG58" s="60">
        <f t="shared" ref="CG58" si="656">SUBTOTAL(9,CG59:CG61)</f>
        <v>0</v>
      </c>
      <c r="CH58" s="60">
        <f t="shared" ref="CH58" si="657">SUBTOTAL(9,CH59:CH61)</f>
        <v>0</v>
      </c>
      <c r="CI58" s="60">
        <f t="shared" ref="CI58" si="658">SUBTOTAL(9,CI59:CI61)</f>
        <v>0</v>
      </c>
      <c r="CJ58" s="60">
        <f t="shared" ref="CJ58" si="659">SUBTOTAL(9,CJ59:CJ61)</f>
        <v>0</v>
      </c>
      <c r="CK58" s="60">
        <f t="shared" ref="CK58" si="660">SUBTOTAL(9,CK59:CK61)</f>
        <v>0</v>
      </c>
      <c r="CL58" s="60">
        <f t="shared" ref="CL58" si="661">SUBTOTAL(9,CL59:CL61)</f>
        <v>0</v>
      </c>
      <c r="CM58" s="60">
        <f t="shared" ref="CM58" si="662">SUBTOTAL(9,CM59:CM61)</f>
        <v>0</v>
      </c>
      <c r="CN58" s="60">
        <f t="shared" ref="CN58" si="663">SUBTOTAL(9,CN59:CN61)</f>
        <v>0</v>
      </c>
      <c r="CO58" s="60">
        <f t="shared" ref="CO58" si="664">SUBTOTAL(9,CO59:CO61)</f>
        <v>0</v>
      </c>
      <c r="CP58" s="60">
        <f t="shared" ref="CP58" si="665">SUBTOTAL(9,CP59:CP61)</f>
        <v>0</v>
      </c>
      <c r="CQ58" s="60">
        <f t="shared" ref="CQ58" si="666">SUBTOTAL(9,CQ59:CQ61)</f>
        <v>0</v>
      </c>
      <c r="CR58" s="60">
        <f t="shared" ref="CR58" si="667">SUBTOTAL(9,CR59:CR61)</f>
        <v>0</v>
      </c>
      <c r="CS58" s="60">
        <f t="shared" ref="CS58" si="668">SUBTOTAL(9,CS59:CS61)</f>
        <v>0</v>
      </c>
      <c r="CT58" s="60">
        <f t="shared" ref="CT58" si="669">SUBTOTAL(9,CT59:CT61)</f>
        <v>0</v>
      </c>
      <c r="CU58" s="60">
        <f t="shared" ref="CU58:DA58" si="670">SUBTOTAL(9,CU59:CU61)</f>
        <v>0</v>
      </c>
      <c r="CV58" s="60">
        <f t="shared" si="670"/>
        <v>0</v>
      </c>
      <c r="CW58" s="60">
        <f t="shared" si="670"/>
        <v>0</v>
      </c>
      <c r="CX58" s="60">
        <f t="shared" si="670"/>
        <v>0</v>
      </c>
      <c r="CY58" s="60">
        <f t="shared" si="670"/>
        <v>0</v>
      </c>
      <c r="CZ58" s="60">
        <f t="shared" si="670"/>
        <v>0</v>
      </c>
      <c r="DA58" s="60">
        <f t="shared" si="670"/>
        <v>0</v>
      </c>
      <c r="DB58" s="41"/>
      <c r="DC58" s="60">
        <f t="shared" si="58"/>
        <v>369.63071157408012</v>
      </c>
      <c r="DD58" s="60">
        <f t="shared" si="59"/>
        <v>12.321023719135999</v>
      </c>
      <c r="DE58" s="60">
        <f t="shared" si="60"/>
        <v>12.321023719135999</v>
      </c>
      <c r="DF58" s="60">
        <f t="shared" si="61"/>
        <v>12.321023719135999</v>
      </c>
      <c r="DG58" s="60">
        <f t="shared" si="62"/>
        <v>12.321023719135999</v>
      </c>
      <c r="DH58" s="60">
        <f t="shared" si="63"/>
        <v>12.321023719135999</v>
      </c>
      <c r="DI58" s="60">
        <f t="shared" si="64"/>
        <v>12.321023719135999</v>
      </c>
      <c r="DJ58" s="60">
        <f t="shared" si="65"/>
        <v>12.321023719135999</v>
      </c>
      <c r="DK58" s="60">
        <f t="shared" si="66"/>
        <v>12.321023719135999</v>
      </c>
      <c r="DL58" s="60">
        <f t="shared" si="67"/>
        <v>12.321023719135999</v>
      </c>
      <c r="DM58" s="60">
        <f t="shared" si="68"/>
        <v>12.321023719135999</v>
      </c>
      <c r="DN58" s="60">
        <f t="shared" si="69"/>
        <v>12.321023719135999</v>
      </c>
      <c r="DO58" s="60">
        <f t="shared" si="70"/>
        <v>12.321023719135999</v>
      </c>
      <c r="DP58" s="60">
        <f t="shared" si="71"/>
        <v>12.321023719135999</v>
      </c>
      <c r="DQ58" s="60">
        <f t="shared" si="72"/>
        <v>12.321023719135999</v>
      </c>
      <c r="DR58" s="60">
        <f t="shared" si="73"/>
        <v>12.321023719135999</v>
      </c>
      <c r="DS58" s="60">
        <f t="shared" si="74"/>
        <v>12.321023719135999</v>
      </c>
      <c r="DT58" s="60">
        <f t="shared" si="75"/>
        <v>12.321023719135999</v>
      </c>
      <c r="DU58" s="60">
        <f t="shared" si="76"/>
        <v>12.321023719135999</v>
      </c>
      <c r="DV58" s="60">
        <f t="shared" si="77"/>
        <v>12.321023719135999</v>
      </c>
      <c r="DW58" s="60">
        <f t="shared" si="78"/>
        <v>12.321023719135999</v>
      </c>
      <c r="DX58" s="60">
        <f t="shared" si="79"/>
        <v>12.321023719135999</v>
      </c>
      <c r="DY58" s="60">
        <f t="shared" si="80"/>
        <v>12.321023719135999</v>
      </c>
      <c r="DZ58" s="60">
        <f t="shared" si="81"/>
        <v>12.321023719135999</v>
      </c>
      <c r="EA58" s="60">
        <f t="shared" si="82"/>
        <v>12.321023719135999</v>
      </c>
      <c r="EB58" s="60">
        <f t="shared" si="83"/>
        <v>12.321023719135999</v>
      </c>
      <c r="EC58" s="60">
        <f t="shared" si="84"/>
        <v>12.321023719135999</v>
      </c>
      <c r="ED58" s="60">
        <f t="shared" si="85"/>
        <v>12.321023719135999</v>
      </c>
      <c r="EE58" s="60">
        <f t="shared" si="86"/>
        <v>12.321023719135999</v>
      </c>
      <c r="EF58" s="60">
        <f t="shared" si="87"/>
        <v>12.321023719135999</v>
      </c>
      <c r="EG58" s="60">
        <f t="shared" si="88"/>
        <v>12.321023719135999</v>
      </c>
    </row>
    <row r="59" spans="1:137">
      <c r="A59" s="595"/>
      <c r="B59" s="598"/>
      <c r="C59" s="599"/>
      <c r="E59" s="1500" t="s">
        <v>1659</v>
      </c>
      <c r="F59" s="867"/>
      <c r="G59" s="868"/>
      <c r="H59" s="867"/>
      <c r="I59" s="869"/>
      <c r="J59" s="869"/>
      <c r="K59" s="76"/>
      <c r="L59" s="1455">
        <v>10</v>
      </c>
      <c r="M59" s="1455">
        <v>10</v>
      </c>
      <c r="N59" s="1455">
        <v>10</v>
      </c>
      <c r="O59" s="1455">
        <v>10</v>
      </c>
      <c r="P59" s="1455">
        <v>10</v>
      </c>
      <c r="Q59" s="1455">
        <v>10</v>
      </c>
      <c r="R59" s="1455">
        <v>10</v>
      </c>
      <c r="S59" s="1455">
        <v>10</v>
      </c>
      <c r="T59" s="1455">
        <v>10</v>
      </c>
      <c r="U59" s="1455">
        <v>10</v>
      </c>
      <c r="V59" s="1455">
        <v>10</v>
      </c>
      <c r="W59" s="1455">
        <v>10</v>
      </c>
      <c r="X59" s="1455">
        <v>10</v>
      </c>
      <c r="Y59" s="1455">
        <v>10</v>
      </c>
      <c r="Z59" s="1455">
        <v>10</v>
      </c>
      <c r="AA59" s="1455">
        <v>10</v>
      </c>
      <c r="AB59" s="1455">
        <v>10</v>
      </c>
      <c r="AC59" s="1455">
        <v>10</v>
      </c>
      <c r="AD59" s="1455">
        <v>10</v>
      </c>
      <c r="AE59" s="1455">
        <v>10</v>
      </c>
      <c r="AF59" s="1455">
        <v>10</v>
      </c>
      <c r="AG59" s="1455">
        <v>10</v>
      </c>
      <c r="AH59" s="1455">
        <v>10</v>
      </c>
      <c r="AI59" s="1455">
        <v>10</v>
      </c>
      <c r="AJ59" s="1455">
        <v>10</v>
      </c>
      <c r="AK59" s="1455">
        <v>10</v>
      </c>
      <c r="AL59" s="1455">
        <v>10</v>
      </c>
      <c r="AM59" s="1455">
        <v>10</v>
      </c>
      <c r="AN59" s="1455">
        <v>10</v>
      </c>
      <c r="AO59" s="1455">
        <v>10</v>
      </c>
      <c r="AP59" s="77"/>
      <c r="AQ59" s="871">
        <f t="shared" si="118"/>
        <v>369.63071157408012</v>
      </c>
      <c r="AR59" s="871">
        <f t="shared" si="298"/>
        <v>12.321023719135999</v>
      </c>
      <c r="AS59" s="871">
        <f t="shared" si="299"/>
        <v>12.321023719135999</v>
      </c>
      <c r="AT59" s="871">
        <f t="shared" si="300"/>
        <v>12.321023719135999</v>
      </c>
      <c r="AU59" s="871">
        <f t="shared" si="301"/>
        <v>12.321023719135999</v>
      </c>
      <c r="AV59" s="871">
        <f t="shared" si="302"/>
        <v>12.321023719135999</v>
      </c>
      <c r="AW59" s="871">
        <f t="shared" si="303"/>
        <v>12.321023719135999</v>
      </c>
      <c r="AX59" s="871">
        <f t="shared" si="304"/>
        <v>12.321023719135999</v>
      </c>
      <c r="AY59" s="871">
        <f t="shared" si="305"/>
        <v>12.321023719135999</v>
      </c>
      <c r="AZ59" s="871">
        <f t="shared" si="306"/>
        <v>12.321023719135999</v>
      </c>
      <c r="BA59" s="871">
        <f t="shared" si="307"/>
        <v>12.321023719135999</v>
      </c>
      <c r="BB59" s="871">
        <f t="shared" si="308"/>
        <v>12.321023719135999</v>
      </c>
      <c r="BC59" s="871">
        <f t="shared" si="309"/>
        <v>12.321023719135999</v>
      </c>
      <c r="BD59" s="871">
        <f t="shared" si="310"/>
        <v>12.321023719135999</v>
      </c>
      <c r="BE59" s="871">
        <f t="shared" si="311"/>
        <v>12.321023719135999</v>
      </c>
      <c r="BF59" s="871">
        <f t="shared" si="312"/>
        <v>12.321023719135999</v>
      </c>
      <c r="BG59" s="871">
        <f t="shared" si="313"/>
        <v>12.321023719135999</v>
      </c>
      <c r="BH59" s="871">
        <f t="shared" si="314"/>
        <v>12.321023719135999</v>
      </c>
      <c r="BI59" s="871">
        <f t="shared" si="315"/>
        <v>12.321023719135999</v>
      </c>
      <c r="BJ59" s="871">
        <f t="shared" si="316"/>
        <v>12.321023719135999</v>
      </c>
      <c r="BK59" s="871">
        <f t="shared" si="317"/>
        <v>12.321023719135999</v>
      </c>
      <c r="BL59" s="871">
        <f t="shared" si="318"/>
        <v>12.321023719135999</v>
      </c>
      <c r="BM59" s="871">
        <f t="shared" si="319"/>
        <v>12.321023719135999</v>
      </c>
      <c r="BN59" s="871">
        <f t="shared" si="320"/>
        <v>12.321023719135999</v>
      </c>
      <c r="BO59" s="871">
        <f t="shared" si="321"/>
        <v>12.321023719135999</v>
      </c>
      <c r="BP59" s="871">
        <f t="shared" ref="BP59" si="671">VLOOKUP($E59,Par,6,0)*AJ59/1000</f>
        <v>12.321023719135999</v>
      </c>
      <c r="BQ59" s="871">
        <f t="shared" ref="BQ59" si="672">VLOOKUP($E59,Par,6,0)*AK59/1000</f>
        <v>12.321023719135999</v>
      </c>
      <c r="BR59" s="871">
        <f t="shared" ref="BR59" si="673">VLOOKUP($E59,Par,6,0)*AL59/1000</f>
        <v>12.321023719135999</v>
      </c>
      <c r="BS59" s="871">
        <f t="shared" ref="BS59" si="674">VLOOKUP($E59,Par,6,0)*AM59/1000</f>
        <v>12.321023719135999</v>
      </c>
      <c r="BT59" s="871">
        <f t="shared" ref="BT59" si="675">VLOOKUP($E59,Par,6,0)*AN59/1000</f>
        <v>12.321023719135999</v>
      </c>
      <c r="BU59" s="871">
        <f t="shared" ref="BU59" si="676">VLOOKUP($E59,Par,6,0)*AO59/1000</f>
        <v>12.321023719135999</v>
      </c>
      <c r="BV59" s="1453"/>
      <c r="BW59" s="871">
        <f t="shared" si="117"/>
        <v>0</v>
      </c>
      <c r="BX59" s="871"/>
      <c r="BY59" s="871"/>
      <c r="BZ59" s="871"/>
      <c r="CA59" s="871"/>
      <c r="CB59" s="871"/>
      <c r="CC59" s="871"/>
      <c r="CD59" s="871"/>
      <c r="CE59" s="871"/>
      <c r="CF59" s="871"/>
      <c r="CG59" s="871"/>
      <c r="CH59" s="871"/>
      <c r="CI59" s="871"/>
      <c r="CJ59" s="871"/>
      <c r="CK59" s="871"/>
      <c r="CL59" s="871"/>
      <c r="CM59" s="871"/>
      <c r="CN59" s="871"/>
      <c r="CO59" s="871"/>
      <c r="CP59" s="871"/>
      <c r="CQ59" s="871"/>
      <c r="CR59" s="871"/>
      <c r="CS59" s="871"/>
      <c r="CT59" s="871"/>
      <c r="CU59" s="871"/>
      <c r="CV59" s="871"/>
      <c r="CW59" s="871"/>
      <c r="CX59" s="871"/>
      <c r="CY59" s="871"/>
      <c r="CZ59" s="871"/>
      <c r="DA59" s="871"/>
      <c r="DB59" s="41"/>
      <c r="DC59" s="871">
        <f t="shared" si="58"/>
        <v>369.63071157408012</v>
      </c>
      <c r="DD59" s="871">
        <f t="shared" si="59"/>
        <v>12.321023719135999</v>
      </c>
      <c r="DE59" s="871">
        <f t="shared" si="60"/>
        <v>12.321023719135999</v>
      </c>
      <c r="DF59" s="871">
        <f t="shared" si="61"/>
        <v>12.321023719135999</v>
      </c>
      <c r="DG59" s="871">
        <f t="shared" si="62"/>
        <v>12.321023719135999</v>
      </c>
      <c r="DH59" s="871">
        <f t="shared" si="63"/>
        <v>12.321023719135999</v>
      </c>
      <c r="DI59" s="871">
        <f t="shared" si="64"/>
        <v>12.321023719135999</v>
      </c>
      <c r="DJ59" s="871">
        <f t="shared" si="65"/>
        <v>12.321023719135999</v>
      </c>
      <c r="DK59" s="871">
        <f t="shared" si="66"/>
        <v>12.321023719135999</v>
      </c>
      <c r="DL59" s="871">
        <f t="shared" si="67"/>
        <v>12.321023719135999</v>
      </c>
      <c r="DM59" s="871">
        <f t="shared" si="68"/>
        <v>12.321023719135999</v>
      </c>
      <c r="DN59" s="871">
        <f t="shared" si="69"/>
        <v>12.321023719135999</v>
      </c>
      <c r="DO59" s="871">
        <f t="shared" si="70"/>
        <v>12.321023719135999</v>
      </c>
      <c r="DP59" s="871">
        <f t="shared" si="71"/>
        <v>12.321023719135999</v>
      </c>
      <c r="DQ59" s="871">
        <f t="shared" si="72"/>
        <v>12.321023719135999</v>
      </c>
      <c r="DR59" s="871">
        <f t="shared" si="73"/>
        <v>12.321023719135999</v>
      </c>
      <c r="DS59" s="871">
        <f t="shared" si="74"/>
        <v>12.321023719135999</v>
      </c>
      <c r="DT59" s="871">
        <f t="shared" si="75"/>
        <v>12.321023719135999</v>
      </c>
      <c r="DU59" s="871">
        <f t="shared" si="76"/>
        <v>12.321023719135999</v>
      </c>
      <c r="DV59" s="871">
        <f t="shared" si="77"/>
        <v>12.321023719135999</v>
      </c>
      <c r="DW59" s="871">
        <f t="shared" si="78"/>
        <v>12.321023719135999</v>
      </c>
      <c r="DX59" s="871">
        <f t="shared" si="79"/>
        <v>12.321023719135999</v>
      </c>
      <c r="DY59" s="871">
        <f t="shared" si="80"/>
        <v>12.321023719135999</v>
      </c>
      <c r="DZ59" s="871">
        <f t="shared" si="81"/>
        <v>12.321023719135999</v>
      </c>
      <c r="EA59" s="871">
        <f t="shared" si="82"/>
        <v>12.321023719135999</v>
      </c>
      <c r="EB59" s="871">
        <f t="shared" si="83"/>
        <v>12.321023719135999</v>
      </c>
      <c r="EC59" s="871">
        <f t="shared" si="84"/>
        <v>12.321023719135999</v>
      </c>
      <c r="ED59" s="871">
        <f t="shared" si="85"/>
        <v>12.321023719135999</v>
      </c>
      <c r="EE59" s="871">
        <f t="shared" si="86"/>
        <v>12.321023719135999</v>
      </c>
      <c r="EF59" s="871">
        <f t="shared" si="87"/>
        <v>12.321023719135999</v>
      </c>
      <c r="EG59" s="871">
        <f t="shared" si="88"/>
        <v>12.321023719135999</v>
      </c>
    </row>
    <row r="60" spans="1:137">
      <c r="A60" s="595"/>
      <c r="B60" s="598"/>
      <c r="C60" s="599"/>
      <c r="E60" s="1500" t="s">
        <v>1660</v>
      </c>
      <c r="F60" s="867"/>
      <c r="G60" s="868"/>
      <c r="H60" s="867"/>
      <c r="I60" s="869"/>
      <c r="J60" s="869"/>
      <c r="K60" s="76"/>
      <c r="L60" s="1455">
        <v>0</v>
      </c>
      <c r="M60" s="1455">
        <v>0</v>
      </c>
      <c r="N60" s="1455">
        <v>0</v>
      </c>
      <c r="O60" s="1455">
        <v>0</v>
      </c>
      <c r="P60" s="1455">
        <v>0</v>
      </c>
      <c r="Q60" s="1455">
        <v>0</v>
      </c>
      <c r="R60" s="1455">
        <v>0</v>
      </c>
      <c r="S60" s="1455">
        <v>0</v>
      </c>
      <c r="T60" s="1455">
        <v>0</v>
      </c>
      <c r="U60" s="1455">
        <v>0</v>
      </c>
      <c r="V60" s="1455">
        <v>0</v>
      </c>
      <c r="W60" s="1455">
        <v>0</v>
      </c>
      <c r="X60" s="1455">
        <v>0</v>
      </c>
      <c r="Y60" s="1455">
        <v>0</v>
      </c>
      <c r="Z60" s="1455">
        <v>0</v>
      </c>
      <c r="AA60" s="1455">
        <v>0</v>
      </c>
      <c r="AB60" s="1455">
        <v>0</v>
      </c>
      <c r="AC60" s="1455">
        <v>0</v>
      </c>
      <c r="AD60" s="1455">
        <v>0</v>
      </c>
      <c r="AE60" s="1455">
        <v>0</v>
      </c>
      <c r="AF60" s="1455">
        <v>0</v>
      </c>
      <c r="AG60" s="1455">
        <v>0</v>
      </c>
      <c r="AH60" s="1455">
        <v>0</v>
      </c>
      <c r="AI60" s="1455">
        <v>0</v>
      </c>
      <c r="AJ60" s="1455">
        <v>0</v>
      </c>
      <c r="AK60" s="1455">
        <v>0</v>
      </c>
      <c r="AL60" s="1455">
        <v>0</v>
      </c>
      <c r="AM60" s="1455">
        <v>0</v>
      </c>
      <c r="AN60" s="1455">
        <v>0</v>
      </c>
      <c r="AO60" s="1455">
        <v>0</v>
      </c>
      <c r="AP60" s="77"/>
      <c r="AQ60" s="871"/>
      <c r="AR60" s="871"/>
      <c r="AS60" s="871"/>
      <c r="AT60" s="871"/>
      <c r="AU60" s="871"/>
      <c r="AV60" s="871"/>
      <c r="AW60" s="871"/>
      <c r="AX60" s="871"/>
      <c r="AY60" s="871"/>
      <c r="AZ60" s="871"/>
      <c r="BA60" s="871"/>
      <c r="BB60" s="871"/>
      <c r="BC60" s="871"/>
      <c r="BD60" s="871"/>
      <c r="BE60" s="871"/>
      <c r="BF60" s="871"/>
      <c r="BG60" s="871"/>
      <c r="BH60" s="871"/>
      <c r="BI60" s="871"/>
      <c r="BJ60" s="871"/>
      <c r="BK60" s="871"/>
      <c r="BL60" s="871"/>
      <c r="BM60" s="871"/>
      <c r="BN60" s="871"/>
      <c r="BO60" s="871"/>
      <c r="BP60" s="871"/>
      <c r="BQ60" s="871"/>
      <c r="BR60" s="871"/>
      <c r="BS60" s="871"/>
      <c r="BT60" s="871"/>
      <c r="BU60" s="871"/>
      <c r="BV60" s="1453"/>
      <c r="BW60" s="871">
        <f t="shared" si="117"/>
        <v>0</v>
      </c>
      <c r="BX60" s="871"/>
      <c r="BY60" s="871"/>
      <c r="BZ60" s="871"/>
      <c r="CA60" s="871"/>
      <c r="CB60" s="871"/>
      <c r="CC60" s="871"/>
      <c r="CD60" s="871"/>
      <c r="CE60" s="871"/>
      <c r="CF60" s="871"/>
      <c r="CG60" s="871"/>
      <c r="CH60" s="871"/>
      <c r="CI60" s="871"/>
      <c r="CJ60" s="871"/>
      <c r="CK60" s="871"/>
      <c r="CL60" s="871"/>
      <c r="CM60" s="871"/>
      <c r="CN60" s="871"/>
      <c r="CO60" s="871"/>
      <c r="CP60" s="871"/>
      <c r="CQ60" s="871"/>
      <c r="CR60" s="871"/>
      <c r="CS60" s="871"/>
      <c r="CT60" s="871"/>
      <c r="CU60" s="871"/>
      <c r="CV60" s="871"/>
      <c r="CW60" s="871"/>
      <c r="CX60" s="871"/>
      <c r="CY60" s="871"/>
      <c r="CZ60" s="871"/>
      <c r="DA60" s="871"/>
      <c r="DB60" s="41"/>
      <c r="DC60" s="871">
        <f t="shared" si="58"/>
        <v>0</v>
      </c>
      <c r="DD60" s="871">
        <f t="shared" si="59"/>
        <v>0</v>
      </c>
      <c r="DE60" s="871">
        <f t="shared" si="60"/>
        <v>0</v>
      </c>
      <c r="DF60" s="871">
        <f t="shared" si="61"/>
        <v>0</v>
      </c>
      <c r="DG60" s="871">
        <f t="shared" si="62"/>
        <v>0</v>
      </c>
      <c r="DH60" s="871">
        <f t="shared" si="63"/>
        <v>0</v>
      </c>
      <c r="DI60" s="871">
        <f t="shared" si="64"/>
        <v>0</v>
      </c>
      <c r="DJ60" s="871">
        <f t="shared" si="65"/>
        <v>0</v>
      </c>
      <c r="DK60" s="871">
        <f t="shared" si="66"/>
        <v>0</v>
      </c>
      <c r="DL60" s="871">
        <f t="shared" si="67"/>
        <v>0</v>
      </c>
      <c r="DM60" s="871">
        <f t="shared" si="68"/>
        <v>0</v>
      </c>
      <c r="DN60" s="871">
        <f t="shared" si="69"/>
        <v>0</v>
      </c>
      <c r="DO60" s="871">
        <f t="shared" si="70"/>
        <v>0</v>
      </c>
      <c r="DP60" s="871">
        <f t="shared" si="71"/>
        <v>0</v>
      </c>
      <c r="DQ60" s="871">
        <f t="shared" si="72"/>
        <v>0</v>
      </c>
      <c r="DR60" s="871">
        <f t="shared" si="73"/>
        <v>0</v>
      </c>
      <c r="DS60" s="871">
        <f t="shared" si="74"/>
        <v>0</v>
      </c>
      <c r="DT60" s="871">
        <f t="shared" si="75"/>
        <v>0</v>
      </c>
      <c r="DU60" s="871">
        <f t="shared" si="76"/>
        <v>0</v>
      </c>
      <c r="DV60" s="871">
        <f t="shared" si="77"/>
        <v>0</v>
      </c>
      <c r="DW60" s="871">
        <f t="shared" si="78"/>
        <v>0</v>
      </c>
      <c r="DX60" s="871">
        <f t="shared" si="79"/>
        <v>0</v>
      </c>
      <c r="DY60" s="871">
        <f t="shared" si="80"/>
        <v>0</v>
      </c>
      <c r="DZ60" s="871">
        <f t="shared" si="81"/>
        <v>0</v>
      </c>
      <c r="EA60" s="871">
        <f t="shared" si="82"/>
        <v>0</v>
      </c>
      <c r="EB60" s="871">
        <f t="shared" si="83"/>
        <v>0</v>
      </c>
      <c r="EC60" s="871">
        <f t="shared" si="84"/>
        <v>0</v>
      </c>
      <c r="ED60" s="871">
        <f t="shared" si="85"/>
        <v>0</v>
      </c>
      <c r="EE60" s="871">
        <f t="shared" si="86"/>
        <v>0</v>
      </c>
      <c r="EF60" s="871">
        <f t="shared" si="87"/>
        <v>0</v>
      </c>
      <c r="EG60" s="871">
        <f t="shared" si="88"/>
        <v>0</v>
      </c>
    </row>
    <row r="61" spans="1:137">
      <c r="A61" s="595"/>
      <c r="B61" s="598"/>
      <c r="C61" s="599"/>
      <c r="E61" s="1458"/>
      <c r="F61" s="1480"/>
      <c r="G61" s="1481"/>
      <c r="H61" s="1482"/>
      <c r="I61" s="1483"/>
      <c r="J61" s="1483"/>
      <c r="K61" s="1503"/>
      <c r="L61" s="1459"/>
      <c r="M61" s="1459"/>
      <c r="N61" s="1459"/>
      <c r="O61" s="1459"/>
      <c r="P61" s="1459"/>
      <c r="Q61" s="1459"/>
      <c r="R61" s="1459"/>
      <c r="S61" s="1459"/>
      <c r="T61" s="1459"/>
      <c r="U61" s="1459"/>
      <c r="V61" s="1459"/>
      <c r="W61" s="1459"/>
      <c r="X61" s="1459"/>
      <c r="Y61" s="1459"/>
      <c r="Z61" s="1459"/>
      <c r="AA61" s="1459"/>
      <c r="AB61" s="1459"/>
      <c r="AC61" s="1459"/>
      <c r="AD61" s="1459"/>
      <c r="AE61" s="1459"/>
      <c r="AF61" s="1459"/>
      <c r="AG61" s="1459"/>
      <c r="AH61" s="1459"/>
      <c r="AI61" s="1459"/>
      <c r="AJ61" s="1459"/>
      <c r="AK61" s="1459"/>
      <c r="AL61" s="1459"/>
      <c r="AM61" s="1459"/>
      <c r="AN61" s="1459"/>
      <c r="AO61" s="1459"/>
      <c r="AP61" s="1460"/>
      <c r="AQ61" s="871">
        <f t="shared" si="118"/>
        <v>0</v>
      </c>
      <c r="AR61" s="1461"/>
      <c r="AS61" s="1461"/>
      <c r="AT61" s="1461"/>
      <c r="AU61" s="1461"/>
      <c r="AV61" s="1461"/>
      <c r="AW61" s="1461"/>
      <c r="AX61" s="1461"/>
      <c r="AY61" s="1461"/>
      <c r="AZ61" s="1461"/>
      <c r="BA61" s="1461"/>
      <c r="BB61" s="1461"/>
      <c r="BC61" s="1461"/>
      <c r="BD61" s="1461"/>
      <c r="BE61" s="1461"/>
      <c r="BF61" s="1461"/>
      <c r="BG61" s="1461"/>
      <c r="BH61" s="1461"/>
      <c r="BI61" s="1461"/>
      <c r="BJ61" s="1461"/>
      <c r="BK61" s="1461"/>
      <c r="BL61" s="1461"/>
      <c r="BM61" s="1461"/>
      <c r="BN61" s="1461"/>
      <c r="BO61" s="1461"/>
      <c r="BP61" s="1461"/>
      <c r="BQ61" s="1461"/>
      <c r="BR61" s="1461"/>
      <c r="BS61" s="1461"/>
      <c r="BT61" s="1461"/>
      <c r="BU61" s="1461"/>
      <c r="BV61" s="1462"/>
      <c r="BW61" s="871">
        <f t="shared" si="117"/>
        <v>0</v>
      </c>
      <c r="BX61" s="1461"/>
      <c r="BY61" s="1461"/>
      <c r="BZ61" s="1461"/>
      <c r="CA61" s="1461"/>
      <c r="CB61" s="1461"/>
      <c r="CC61" s="1461"/>
      <c r="CD61" s="1461"/>
      <c r="CE61" s="1461"/>
      <c r="CF61" s="1461"/>
      <c r="CG61" s="1461"/>
      <c r="CH61" s="1461"/>
      <c r="CI61" s="1461"/>
      <c r="CJ61" s="1461"/>
      <c r="CK61" s="1461"/>
      <c r="CL61" s="1461"/>
      <c r="CM61" s="1461"/>
      <c r="CN61" s="1461"/>
      <c r="CO61" s="1461"/>
      <c r="CP61" s="1461"/>
      <c r="CQ61" s="1461"/>
      <c r="CR61" s="1461"/>
      <c r="CS61" s="1461"/>
      <c r="CT61" s="1461"/>
      <c r="CU61" s="1461"/>
      <c r="CV61" s="1461"/>
      <c r="CW61" s="1461"/>
      <c r="CX61" s="1461"/>
      <c r="CY61" s="1461"/>
      <c r="CZ61" s="1461"/>
      <c r="DA61" s="1461"/>
      <c r="DB61" s="41"/>
      <c r="DC61" s="871">
        <f t="shared" si="58"/>
        <v>0</v>
      </c>
      <c r="DD61" s="1461">
        <f t="shared" si="59"/>
        <v>0</v>
      </c>
      <c r="DE61" s="1461">
        <f t="shared" si="60"/>
        <v>0</v>
      </c>
      <c r="DF61" s="1461">
        <f t="shared" si="61"/>
        <v>0</v>
      </c>
      <c r="DG61" s="1461">
        <f t="shared" si="62"/>
        <v>0</v>
      </c>
      <c r="DH61" s="1461">
        <f t="shared" si="63"/>
        <v>0</v>
      </c>
      <c r="DI61" s="1461">
        <f t="shared" si="64"/>
        <v>0</v>
      </c>
      <c r="DJ61" s="1461">
        <f t="shared" si="65"/>
        <v>0</v>
      </c>
      <c r="DK61" s="1461">
        <f t="shared" si="66"/>
        <v>0</v>
      </c>
      <c r="DL61" s="1461">
        <f t="shared" si="67"/>
        <v>0</v>
      </c>
      <c r="DM61" s="1461">
        <f t="shared" si="68"/>
        <v>0</v>
      </c>
      <c r="DN61" s="1461">
        <f t="shared" si="69"/>
        <v>0</v>
      </c>
      <c r="DO61" s="1461">
        <f t="shared" si="70"/>
        <v>0</v>
      </c>
      <c r="DP61" s="1461">
        <f t="shared" si="71"/>
        <v>0</v>
      </c>
      <c r="DQ61" s="1461">
        <f t="shared" si="72"/>
        <v>0</v>
      </c>
      <c r="DR61" s="1461">
        <f t="shared" si="73"/>
        <v>0</v>
      </c>
      <c r="DS61" s="1461">
        <f t="shared" si="74"/>
        <v>0</v>
      </c>
      <c r="DT61" s="1461">
        <f t="shared" si="75"/>
        <v>0</v>
      </c>
      <c r="DU61" s="1461">
        <f t="shared" si="76"/>
        <v>0</v>
      </c>
      <c r="DV61" s="1461">
        <f t="shared" si="77"/>
        <v>0</v>
      </c>
      <c r="DW61" s="1461">
        <f t="shared" si="78"/>
        <v>0</v>
      </c>
      <c r="DX61" s="1461">
        <f t="shared" si="79"/>
        <v>0</v>
      </c>
      <c r="DY61" s="1461">
        <f t="shared" si="80"/>
        <v>0</v>
      </c>
      <c r="DZ61" s="1461">
        <f t="shared" si="81"/>
        <v>0</v>
      </c>
      <c r="EA61" s="1461">
        <f t="shared" si="82"/>
        <v>0</v>
      </c>
      <c r="EB61" s="1461">
        <f t="shared" si="83"/>
        <v>0</v>
      </c>
      <c r="EC61" s="1461">
        <f t="shared" si="84"/>
        <v>0</v>
      </c>
      <c r="ED61" s="1461">
        <f t="shared" si="85"/>
        <v>0</v>
      </c>
      <c r="EE61" s="1461">
        <f t="shared" si="86"/>
        <v>0</v>
      </c>
      <c r="EF61" s="1461">
        <f t="shared" si="87"/>
        <v>0</v>
      </c>
      <c r="EG61" s="1461">
        <f t="shared" si="88"/>
        <v>0</v>
      </c>
    </row>
    <row r="62" spans="1:137" s="408" customFormat="1">
      <c r="A62" s="595"/>
      <c r="B62" s="598"/>
      <c r="C62" s="599"/>
      <c r="D62" s="407"/>
      <c r="E62" s="1504" t="s">
        <v>1661</v>
      </c>
      <c r="F62" s="1476"/>
      <c r="G62" s="1447"/>
      <c r="H62" s="1448"/>
      <c r="I62" s="1449"/>
      <c r="J62" s="1449"/>
      <c r="K62" s="723"/>
      <c r="L62" s="1448"/>
      <c r="M62" s="1448"/>
      <c r="N62" s="1448"/>
      <c r="O62" s="1448"/>
      <c r="P62" s="1448"/>
      <c r="Q62" s="1448"/>
      <c r="R62" s="1448"/>
      <c r="S62" s="1448"/>
      <c r="T62" s="1448"/>
      <c r="U62" s="1448"/>
      <c r="V62" s="1448"/>
      <c r="W62" s="1448"/>
      <c r="X62" s="1448"/>
      <c r="Y62" s="1448"/>
      <c r="Z62" s="1448"/>
      <c r="AA62" s="1448"/>
      <c r="AB62" s="1448"/>
      <c r="AC62" s="1448"/>
      <c r="AD62" s="1448"/>
      <c r="AE62" s="1448"/>
      <c r="AF62" s="1448"/>
      <c r="AG62" s="1448"/>
      <c r="AH62" s="1477"/>
      <c r="AI62" s="1477"/>
      <c r="AJ62" s="1477"/>
      <c r="AK62" s="1477"/>
      <c r="AL62" s="1477"/>
      <c r="AM62" s="1477"/>
      <c r="AN62" s="1477"/>
      <c r="AO62" s="1477"/>
      <c r="AP62" s="724"/>
      <c r="AQ62" s="1488">
        <f>SUM(AR62:BU62)</f>
        <v>0</v>
      </c>
      <c r="AR62" s="1486"/>
      <c r="AS62" s="1486"/>
      <c r="AT62" s="1486"/>
      <c r="AU62" s="1486"/>
      <c r="AV62" s="1486"/>
      <c r="AW62" s="1486"/>
      <c r="AX62" s="1486"/>
      <c r="AY62" s="1486"/>
      <c r="AZ62" s="1486"/>
      <c r="BA62" s="1486"/>
      <c r="BB62" s="1486"/>
      <c r="BC62" s="1486"/>
      <c r="BD62" s="1486"/>
      <c r="BE62" s="1486"/>
      <c r="BF62" s="1486"/>
      <c r="BG62" s="1486"/>
      <c r="BH62" s="1486"/>
      <c r="BI62" s="1486"/>
      <c r="BJ62" s="1486"/>
      <c r="BK62" s="1486"/>
      <c r="BL62" s="1486"/>
      <c r="BM62" s="1486"/>
      <c r="BN62" s="1487"/>
      <c r="BO62" s="1487"/>
      <c r="BP62" s="1487"/>
      <c r="BQ62" s="1487"/>
      <c r="BR62" s="1487"/>
      <c r="BS62" s="1487"/>
      <c r="BT62" s="1487"/>
      <c r="BU62" s="1487"/>
      <c r="BV62" s="725"/>
      <c r="BW62" s="1488">
        <f>SUM(BX62:DA62)</f>
        <v>0</v>
      </c>
      <c r="BX62" s="1486"/>
      <c r="BY62" s="1486"/>
      <c r="BZ62" s="1486"/>
      <c r="CA62" s="1486"/>
      <c r="CB62" s="1486"/>
      <c r="CC62" s="1486"/>
      <c r="CD62" s="1486"/>
      <c r="CE62" s="1486"/>
      <c r="CF62" s="1486"/>
      <c r="CG62" s="1486"/>
      <c r="CH62" s="1486"/>
      <c r="CI62" s="1486"/>
      <c r="CJ62" s="1486"/>
      <c r="CK62" s="1486"/>
      <c r="CL62" s="1486"/>
      <c r="CM62" s="1486"/>
      <c r="CN62" s="1486"/>
      <c r="CO62" s="1486"/>
      <c r="CP62" s="1486"/>
      <c r="CQ62" s="1486"/>
      <c r="CR62" s="1486"/>
      <c r="CS62" s="1486"/>
      <c r="CT62" s="1487"/>
      <c r="CU62" s="1487"/>
      <c r="CV62" s="1487"/>
      <c r="CW62" s="1487"/>
      <c r="CX62" s="1487"/>
      <c r="CY62" s="1487"/>
      <c r="CZ62" s="1487"/>
      <c r="DA62" s="1487"/>
      <c r="DB62" s="713"/>
      <c r="DC62" s="1488">
        <f t="shared" si="58"/>
        <v>0</v>
      </c>
      <c r="DD62" s="1486">
        <f t="shared" si="59"/>
        <v>0</v>
      </c>
      <c r="DE62" s="1486">
        <f t="shared" si="60"/>
        <v>0</v>
      </c>
      <c r="DF62" s="1486">
        <f t="shared" si="61"/>
        <v>0</v>
      </c>
      <c r="DG62" s="1486">
        <f t="shared" si="62"/>
        <v>0</v>
      </c>
      <c r="DH62" s="1486">
        <f t="shared" si="63"/>
        <v>0</v>
      </c>
      <c r="DI62" s="1486">
        <f t="shared" si="64"/>
        <v>0</v>
      </c>
      <c r="DJ62" s="1486">
        <f t="shared" si="65"/>
        <v>0</v>
      </c>
      <c r="DK62" s="1486">
        <f t="shared" si="66"/>
        <v>0</v>
      </c>
      <c r="DL62" s="1486">
        <f t="shared" si="67"/>
        <v>0</v>
      </c>
      <c r="DM62" s="1486">
        <f t="shared" si="68"/>
        <v>0</v>
      </c>
      <c r="DN62" s="1486">
        <f t="shared" si="69"/>
        <v>0</v>
      </c>
      <c r="DO62" s="1486">
        <f t="shared" si="70"/>
        <v>0</v>
      </c>
      <c r="DP62" s="1486">
        <f t="shared" si="71"/>
        <v>0</v>
      </c>
      <c r="DQ62" s="1486">
        <f t="shared" si="72"/>
        <v>0</v>
      </c>
      <c r="DR62" s="1486">
        <f t="shared" si="73"/>
        <v>0</v>
      </c>
      <c r="DS62" s="1486">
        <f t="shared" si="74"/>
        <v>0</v>
      </c>
      <c r="DT62" s="1486">
        <f t="shared" si="75"/>
        <v>0</v>
      </c>
      <c r="DU62" s="1486">
        <f t="shared" si="76"/>
        <v>0</v>
      </c>
      <c r="DV62" s="1486">
        <f t="shared" si="77"/>
        <v>0</v>
      </c>
      <c r="DW62" s="1486">
        <f t="shared" si="78"/>
        <v>0</v>
      </c>
      <c r="DX62" s="1486">
        <f t="shared" si="79"/>
        <v>0</v>
      </c>
      <c r="DY62" s="1486">
        <f t="shared" si="80"/>
        <v>0</v>
      </c>
      <c r="DZ62" s="1487">
        <f t="shared" si="81"/>
        <v>0</v>
      </c>
      <c r="EA62" s="1487">
        <f t="shared" si="82"/>
        <v>0</v>
      </c>
      <c r="EB62" s="1487">
        <f t="shared" si="83"/>
        <v>0</v>
      </c>
      <c r="EC62" s="1487">
        <f t="shared" si="84"/>
        <v>0</v>
      </c>
      <c r="ED62" s="1487">
        <f t="shared" si="85"/>
        <v>0</v>
      </c>
      <c r="EE62" s="1487">
        <f t="shared" si="86"/>
        <v>0</v>
      </c>
      <c r="EF62" s="1487">
        <f t="shared" si="87"/>
        <v>0</v>
      </c>
      <c r="EG62" s="1487">
        <f t="shared" si="88"/>
        <v>0</v>
      </c>
    </row>
    <row r="63" spans="1:137" ht="12.75" customHeight="1">
      <c r="A63" s="595"/>
      <c r="B63" s="598"/>
      <c r="C63" s="599"/>
      <c r="D63" s="29">
        <v>6</v>
      </c>
      <c r="E63" s="1489" t="s">
        <v>1662</v>
      </c>
      <c r="F63" s="867"/>
      <c r="G63" s="868"/>
      <c r="H63" s="1505"/>
      <c r="I63" s="1483"/>
      <c r="J63" s="1483"/>
      <c r="K63" s="1506"/>
      <c r="L63" s="1454"/>
      <c r="M63" s="1454"/>
      <c r="N63" s="1454"/>
      <c r="O63" s="1454"/>
      <c r="P63" s="1454"/>
      <c r="Q63" s="1454"/>
      <c r="R63" s="1454"/>
      <c r="S63" s="1454"/>
      <c r="T63" s="1454"/>
      <c r="U63" s="1454"/>
      <c r="V63" s="1454"/>
      <c r="W63" s="1454"/>
      <c r="X63" s="1454"/>
      <c r="Y63" s="1454"/>
      <c r="Z63" s="1454"/>
      <c r="AA63" s="1454"/>
      <c r="AB63" s="1454"/>
      <c r="AC63" s="1454"/>
      <c r="AD63" s="1454"/>
      <c r="AE63" s="1454"/>
      <c r="AF63" s="1454"/>
      <c r="AG63" s="1454"/>
      <c r="AH63" s="1454"/>
      <c r="AI63" s="1454"/>
      <c r="AJ63" s="1454"/>
      <c r="AK63" s="1454"/>
      <c r="AL63" s="1454"/>
      <c r="AM63" s="1454"/>
      <c r="AN63" s="1454"/>
      <c r="AO63" s="1454"/>
      <c r="AP63" s="1452"/>
      <c r="AQ63" s="1496">
        <f>SUBTOTAL(9,AQ64:AQ65)</f>
        <v>0</v>
      </c>
      <c r="AR63" s="1496">
        <f t="shared" ref="AR63" si="677">SUBTOTAL(9,AR64:AR65)</f>
        <v>0</v>
      </c>
      <c r="AS63" s="1496">
        <f t="shared" ref="AS63" si="678">SUBTOTAL(9,AS64:AS65)</f>
        <v>0</v>
      </c>
      <c r="AT63" s="1496">
        <f t="shared" ref="AT63" si="679">SUBTOTAL(9,AT64:AT65)</f>
        <v>0</v>
      </c>
      <c r="AU63" s="1496">
        <f t="shared" ref="AU63" si="680">SUBTOTAL(9,AU64:AU65)</f>
        <v>0</v>
      </c>
      <c r="AV63" s="1496">
        <f t="shared" ref="AV63" si="681">SUBTOTAL(9,AV64:AV65)</f>
        <v>0</v>
      </c>
      <c r="AW63" s="1496">
        <f t="shared" ref="AW63" si="682">SUBTOTAL(9,AW64:AW65)</f>
        <v>0</v>
      </c>
      <c r="AX63" s="1496">
        <f t="shared" ref="AX63" si="683">SUBTOTAL(9,AX64:AX65)</f>
        <v>0</v>
      </c>
      <c r="AY63" s="1496">
        <f t="shared" ref="AY63" si="684">SUBTOTAL(9,AY64:AY65)</f>
        <v>0</v>
      </c>
      <c r="AZ63" s="1496">
        <f t="shared" ref="AZ63" si="685">SUBTOTAL(9,AZ64:AZ65)</f>
        <v>0</v>
      </c>
      <c r="BA63" s="1496">
        <f t="shared" ref="BA63" si="686">SUBTOTAL(9,BA64:BA65)</f>
        <v>0</v>
      </c>
      <c r="BB63" s="1496">
        <f t="shared" ref="BB63" si="687">SUBTOTAL(9,BB64:BB65)</f>
        <v>0</v>
      </c>
      <c r="BC63" s="1496">
        <f t="shared" ref="BC63" si="688">SUBTOTAL(9,BC64:BC65)</f>
        <v>0</v>
      </c>
      <c r="BD63" s="1496">
        <f t="shared" ref="BD63" si="689">SUBTOTAL(9,BD64:BD65)</f>
        <v>0</v>
      </c>
      <c r="BE63" s="1496">
        <f t="shared" ref="BE63" si="690">SUBTOTAL(9,BE64:BE65)</f>
        <v>0</v>
      </c>
      <c r="BF63" s="1496">
        <f t="shared" ref="BF63" si="691">SUBTOTAL(9,BF64:BF65)</f>
        <v>0</v>
      </c>
      <c r="BG63" s="1496">
        <f t="shared" ref="BG63" si="692">SUBTOTAL(9,BG64:BG65)</f>
        <v>0</v>
      </c>
      <c r="BH63" s="1496">
        <f t="shared" ref="BH63" si="693">SUBTOTAL(9,BH64:BH65)</f>
        <v>0</v>
      </c>
      <c r="BI63" s="1496">
        <f t="shared" ref="BI63" si="694">SUBTOTAL(9,BI64:BI65)</f>
        <v>0</v>
      </c>
      <c r="BJ63" s="1496">
        <f t="shared" ref="BJ63" si="695">SUBTOTAL(9,BJ64:BJ65)</f>
        <v>0</v>
      </c>
      <c r="BK63" s="1496">
        <f t="shared" ref="BK63" si="696">SUBTOTAL(9,BK64:BK65)</f>
        <v>0</v>
      </c>
      <c r="BL63" s="1496">
        <f t="shared" ref="BL63" si="697">SUBTOTAL(9,BL64:BL65)</f>
        <v>0</v>
      </c>
      <c r="BM63" s="1496">
        <f t="shared" ref="BM63" si="698">SUBTOTAL(9,BM64:BM65)</f>
        <v>0</v>
      </c>
      <c r="BN63" s="1496">
        <f t="shared" ref="BN63" si="699">SUBTOTAL(9,BN64:BN65)</f>
        <v>0</v>
      </c>
      <c r="BO63" s="1496">
        <f t="shared" ref="BO63:BU63" si="700">SUBTOTAL(9,BO64:BO65)</f>
        <v>0</v>
      </c>
      <c r="BP63" s="1496">
        <f t="shared" si="700"/>
        <v>0</v>
      </c>
      <c r="BQ63" s="1496">
        <f t="shared" si="700"/>
        <v>0</v>
      </c>
      <c r="BR63" s="1496">
        <f t="shared" si="700"/>
        <v>0</v>
      </c>
      <c r="BS63" s="1496">
        <f t="shared" si="700"/>
        <v>0</v>
      </c>
      <c r="BT63" s="1496">
        <f t="shared" si="700"/>
        <v>0</v>
      </c>
      <c r="BU63" s="1496">
        <f t="shared" si="700"/>
        <v>0</v>
      </c>
      <c r="BV63" s="1453"/>
      <c r="BW63" s="1496">
        <f t="shared" ref="BW63" ca="1" si="701">SUBTOTAL(9,BW64:BW65)</f>
        <v>187.5</v>
      </c>
      <c r="BX63" s="1496">
        <f t="shared" ref="BX63" ca="1" si="702">SUBTOTAL(9,BX64:BX65)</f>
        <v>6.25</v>
      </c>
      <c r="BY63" s="1496">
        <f t="shared" ref="BY63" ca="1" si="703">SUBTOTAL(9,BY64:BY65)</f>
        <v>6.25</v>
      </c>
      <c r="BZ63" s="1496">
        <f t="shared" ref="BZ63" ca="1" si="704">SUBTOTAL(9,BZ64:BZ65)</f>
        <v>6.25</v>
      </c>
      <c r="CA63" s="1496">
        <f t="shared" ref="CA63" ca="1" si="705">SUBTOTAL(9,CA64:CA65)</f>
        <v>6.25</v>
      </c>
      <c r="CB63" s="1496">
        <f t="shared" ref="CB63" ca="1" si="706">SUBTOTAL(9,CB64:CB65)</f>
        <v>6.25</v>
      </c>
      <c r="CC63" s="1496">
        <f t="shared" ref="CC63" ca="1" si="707">SUBTOTAL(9,CC64:CC65)</f>
        <v>6.25</v>
      </c>
      <c r="CD63" s="1496">
        <f t="shared" ref="CD63" ca="1" si="708">SUBTOTAL(9,CD64:CD65)</f>
        <v>6.25</v>
      </c>
      <c r="CE63" s="1496">
        <f t="shared" ref="CE63" ca="1" si="709">SUBTOTAL(9,CE64:CE65)</f>
        <v>6.25</v>
      </c>
      <c r="CF63" s="1496">
        <f t="shared" ref="CF63" ca="1" si="710">SUBTOTAL(9,CF64:CF65)</f>
        <v>6.25</v>
      </c>
      <c r="CG63" s="1496">
        <f t="shared" ref="CG63" ca="1" si="711">SUBTOTAL(9,CG64:CG65)</f>
        <v>6.25</v>
      </c>
      <c r="CH63" s="1496">
        <f t="shared" ref="CH63" ca="1" si="712">SUBTOTAL(9,CH64:CH65)</f>
        <v>6.25</v>
      </c>
      <c r="CI63" s="1496">
        <f t="shared" ref="CI63" ca="1" si="713">SUBTOTAL(9,CI64:CI65)</f>
        <v>6.25</v>
      </c>
      <c r="CJ63" s="1496">
        <f t="shared" ref="CJ63" ca="1" si="714">SUBTOTAL(9,CJ64:CJ65)</f>
        <v>6.25</v>
      </c>
      <c r="CK63" s="1496">
        <f t="shared" ref="CK63" ca="1" si="715">SUBTOTAL(9,CK64:CK65)</f>
        <v>6.25</v>
      </c>
      <c r="CL63" s="1496">
        <f t="shared" ref="CL63" ca="1" si="716">SUBTOTAL(9,CL64:CL65)</f>
        <v>6.25</v>
      </c>
      <c r="CM63" s="1496">
        <f t="shared" ref="CM63" ca="1" si="717">SUBTOTAL(9,CM64:CM65)</f>
        <v>6.25</v>
      </c>
      <c r="CN63" s="1496">
        <f t="shared" ref="CN63" ca="1" si="718">SUBTOTAL(9,CN64:CN65)</f>
        <v>6.25</v>
      </c>
      <c r="CO63" s="1496">
        <f t="shared" ref="CO63" ca="1" si="719">SUBTOTAL(9,CO64:CO65)</f>
        <v>6.25</v>
      </c>
      <c r="CP63" s="1496">
        <f t="shared" ref="CP63" ca="1" si="720">SUBTOTAL(9,CP64:CP65)</f>
        <v>6.25</v>
      </c>
      <c r="CQ63" s="1496">
        <f t="shared" ref="CQ63" ca="1" si="721">SUBTOTAL(9,CQ64:CQ65)</f>
        <v>6.25</v>
      </c>
      <c r="CR63" s="1496">
        <f t="shared" ref="CR63" ca="1" si="722">SUBTOTAL(9,CR64:CR65)</f>
        <v>6.25</v>
      </c>
      <c r="CS63" s="1496">
        <f t="shared" ref="CS63" ca="1" si="723">SUBTOTAL(9,CS64:CS65)</f>
        <v>6.25</v>
      </c>
      <c r="CT63" s="1496">
        <f t="shared" ref="CT63" ca="1" si="724">SUBTOTAL(9,CT64:CT65)</f>
        <v>6.25</v>
      </c>
      <c r="CU63" s="1496">
        <f t="shared" ref="CU63:DA63" ca="1" si="725">SUBTOTAL(9,CU64:CU65)</f>
        <v>6.25</v>
      </c>
      <c r="CV63" s="1496">
        <f t="shared" ca="1" si="725"/>
        <v>6.25</v>
      </c>
      <c r="CW63" s="1496">
        <f t="shared" ca="1" si="725"/>
        <v>6.25</v>
      </c>
      <c r="CX63" s="1496">
        <f t="shared" ca="1" si="725"/>
        <v>6.25</v>
      </c>
      <c r="CY63" s="1496">
        <f t="shared" ca="1" si="725"/>
        <v>6.25</v>
      </c>
      <c r="CZ63" s="1496">
        <f t="shared" ca="1" si="725"/>
        <v>6.25</v>
      </c>
      <c r="DA63" s="1496">
        <f t="shared" ca="1" si="725"/>
        <v>6.25</v>
      </c>
      <c r="DB63" s="41"/>
      <c r="DC63" s="1496">
        <f t="shared" ca="1" si="58"/>
        <v>187.5</v>
      </c>
      <c r="DD63" s="1496">
        <f t="shared" ca="1" si="59"/>
        <v>6.25</v>
      </c>
      <c r="DE63" s="1496">
        <f t="shared" ca="1" si="60"/>
        <v>6.25</v>
      </c>
      <c r="DF63" s="1496">
        <f t="shared" ca="1" si="61"/>
        <v>6.25</v>
      </c>
      <c r="DG63" s="1496">
        <f t="shared" ca="1" si="62"/>
        <v>6.25</v>
      </c>
      <c r="DH63" s="1496">
        <f t="shared" ca="1" si="63"/>
        <v>6.25</v>
      </c>
      <c r="DI63" s="1496">
        <f t="shared" ca="1" si="64"/>
        <v>6.25</v>
      </c>
      <c r="DJ63" s="1496">
        <f t="shared" ca="1" si="65"/>
        <v>6.25</v>
      </c>
      <c r="DK63" s="1496">
        <f t="shared" ca="1" si="66"/>
        <v>6.25</v>
      </c>
      <c r="DL63" s="1496">
        <f t="shared" ca="1" si="67"/>
        <v>6.25</v>
      </c>
      <c r="DM63" s="1496">
        <f t="shared" ca="1" si="68"/>
        <v>6.25</v>
      </c>
      <c r="DN63" s="1496">
        <f t="shared" ca="1" si="69"/>
        <v>6.25</v>
      </c>
      <c r="DO63" s="1496">
        <f t="shared" ca="1" si="70"/>
        <v>6.25</v>
      </c>
      <c r="DP63" s="1496">
        <f t="shared" ca="1" si="71"/>
        <v>6.25</v>
      </c>
      <c r="DQ63" s="1496">
        <f t="shared" ca="1" si="72"/>
        <v>6.25</v>
      </c>
      <c r="DR63" s="1496">
        <f t="shared" ca="1" si="73"/>
        <v>6.25</v>
      </c>
      <c r="DS63" s="1496">
        <f t="shared" ca="1" si="74"/>
        <v>6.25</v>
      </c>
      <c r="DT63" s="1496">
        <f t="shared" ca="1" si="75"/>
        <v>6.25</v>
      </c>
      <c r="DU63" s="1496">
        <f t="shared" ca="1" si="76"/>
        <v>6.25</v>
      </c>
      <c r="DV63" s="1496">
        <f t="shared" ca="1" si="77"/>
        <v>6.25</v>
      </c>
      <c r="DW63" s="1496">
        <f t="shared" ca="1" si="78"/>
        <v>6.25</v>
      </c>
      <c r="DX63" s="1496">
        <f t="shared" ca="1" si="79"/>
        <v>6.25</v>
      </c>
      <c r="DY63" s="1496">
        <f t="shared" ca="1" si="80"/>
        <v>6.25</v>
      </c>
      <c r="DZ63" s="1496">
        <f t="shared" ca="1" si="81"/>
        <v>6.25</v>
      </c>
      <c r="EA63" s="1496">
        <f t="shared" ca="1" si="82"/>
        <v>6.25</v>
      </c>
      <c r="EB63" s="1496">
        <f t="shared" ca="1" si="83"/>
        <v>6.25</v>
      </c>
      <c r="EC63" s="1496">
        <f t="shared" ca="1" si="84"/>
        <v>6.25</v>
      </c>
      <c r="ED63" s="1496">
        <f t="shared" ca="1" si="85"/>
        <v>6.25</v>
      </c>
      <c r="EE63" s="1496">
        <f t="shared" ca="1" si="86"/>
        <v>6.25</v>
      </c>
      <c r="EF63" s="1496">
        <f t="shared" ca="1" si="87"/>
        <v>6.25</v>
      </c>
      <c r="EG63" s="1496">
        <f t="shared" ca="1" si="88"/>
        <v>6.25</v>
      </c>
    </row>
    <row r="64" spans="1:137">
      <c r="A64" s="595"/>
      <c r="B64" s="598"/>
      <c r="C64" s="599"/>
      <c r="E64" s="1500" t="s">
        <v>1663</v>
      </c>
      <c r="F64" s="867" t="s">
        <v>1664</v>
      </c>
      <c r="G64" s="868">
        <v>8</v>
      </c>
      <c r="H64" s="867">
        <v>2000</v>
      </c>
      <c r="I64" s="869">
        <v>0.05</v>
      </c>
      <c r="J64" s="869">
        <v>0.05</v>
      </c>
      <c r="K64" s="76"/>
      <c r="L64" s="1455">
        <v>5</v>
      </c>
      <c r="M64" s="1455">
        <v>5</v>
      </c>
      <c r="N64" s="1455">
        <v>5</v>
      </c>
      <c r="O64" s="1455">
        <v>5</v>
      </c>
      <c r="P64" s="1455">
        <v>5</v>
      </c>
      <c r="Q64" s="1455">
        <v>5</v>
      </c>
      <c r="R64" s="1455">
        <v>5</v>
      </c>
      <c r="S64" s="1455">
        <v>5</v>
      </c>
      <c r="T64" s="1455">
        <v>5</v>
      </c>
      <c r="U64" s="1455">
        <v>5</v>
      </c>
      <c r="V64" s="1455">
        <v>5</v>
      </c>
      <c r="W64" s="1455">
        <v>5</v>
      </c>
      <c r="X64" s="1455">
        <v>5</v>
      </c>
      <c r="Y64" s="1455">
        <v>5</v>
      </c>
      <c r="Z64" s="1455">
        <v>5</v>
      </c>
      <c r="AA64" s="1455">
        <v>5</v>
      </c>
      <c r="AB64" s="1455">
        <v>5</v>
      </c>
      <c r="AC64" s="1455">
        <v>5</v>
      </c>
      <c r="AD64" s="1455">
        <v>5</v>
      </c>
      <c r="AE64" s="1455">
        <v>5</v>
      </c>
      <c r="AF64" s="1455">
        <v>5</v>
      </c>
      <c r="AG64" s="1455">
        <v>5</v>
      </c>
      <c r="AH64" s="1455">
        <v>5</v>
      </c>
      <c r="AI64" s="1455">
        <v>5</v>
      </c>
      <c r="AJ64" s="1455">
        <v>5</v>
      </c>
      <c r="AK64" s="1455">
        <v>5</v>
      </c>
      <c r="AL64" s="1455">
        <v>5</v>
      </c>
      <c r="AM64" s="1455">
        <v>5</v>
      </c>
      <c r="AN64" s="1455">
        <v>5</v>
      </c>
      <c r="AO64" s="1455">
        <v>5</v>
      </c>
      <c r="AP64" s="77"/>
      <c r="AQ64" s="871">
        <f>SUM(AR64:BU64)</f>
        <v>0</v>
      </c>
      <c r="AR64" s="871">
        <f t="shared" ref="AR64:BA64" si="726">VLOOKUP($E64,Par,6,0)*L64/1000</f>
        <v>0</v>
      </c>
      <c r="AS64" s="871">
        <f t="shared" si="726"/>
        <v>0</v>
      </c>
      <c r="AT64" s="871">
        <f t="shared" si="726"/>
        <v>0</v>
      </c>
      <c r="AU64" s="871">
        <f t="shared" si="726"/>
        <v>0</v>
      </c>
      <c r="AV64" s="871">
        <f t="shared" si="726"/>
        <v>0</v>
      </c>
      <c r="AW64" s="871">
        <f t="shared" si="726"/>
        <v>0</v>
      </c>
      <c r="AX64" s="871">
        <f t="shared" si="726"/>
        <v>0</v>
      </c>
      <c r="AY64" s="871">
        <f t="shared" si="726"/>
        <v>0</v>
      </c>
      <c r="AZ64" s="871">
        <f t="shared" si="726"/>
        <v>0</v>
      </c>
      <c r="BA64" s="871">
        <f t="shared" si="726"/>
        <v>0</v>
      </c>
      <c r="BB64" s="871">
        <f t="shared" ref="BB64:BK64" si="727">VLOOKUP($E64,Par,6,0)*V64/1000</f>
        <v>0</v>
      </c>
      <c r="BC64" s="871">
        <f t="shared" si="727"/>
        <v>0</v>
      </c>
      <c r="BD64" s="871">
        <f t="shared" si="727"/>
        <v>0</v>
      </c>
      <c r="BE64" s="871">
        <f t="shared" si="727"/>
        <v>0</v>
      </c>
      <c r="BF64" s="871">
        <f t="shared" si="727"/>
        <v>0</v>
      </c>
      <c r="BG64" s="871">
        <f t="shared" si="727"/>
        <v>0</v>
      </c>
      <c r="BH64" s="871">
        <f t="shared" si="727"/>
        <v>0</v>
      </c>
      <c r="BI64" s="871">
        <f t="shared" si="727"/>
        <v>0</v>
      </c>
      <c r="BJ64" s="871">
        <f t="shared" si="727"/>
        <v>0</v>
      </c>
      <c r="BK64" s="871">
        <f t="shared" si="727"/>
        <v>0</v>
      </c>
      <c r="BL64" s="871">
        <f t="shared" ref="BL64:BU64" si="728">VLOOKUP($E64,Par,6,0)*AF64/1000</f>
        <v>0</v>
      </c>
      <c r="BM64" s="871">
        <f t="shared" si="728"/>
        <v>0</v>
      </c>
      <c r="BN64" s="871">
        <f t="shared" si="728"/>
        <v>0</v>
      </c>
      <c r="BO64" s="871">
        <f t="shared" si="728"/>
        <v>0</v>
      </c>
      <c r="BP64" s="871">
        <f t="shared" si="728"/>
        <v>0</v>
      </c>
      <c r="BQ64" s="871">
        <f t="shared" si="728"/>
        <v>0</v>
      </c>
      <c r="BR64" s="871">
        <f t="shared" si="728"/>
        <v>0</v>
      </c>
      <c r="BS64" s="871">
        <f t="shared" si="728"/>
        <v>0</v>
      </c>
      <c r="BT64" s="871">
        <f t="shared" si="728"/>
        <v>0</v>
      </c>
      <c r="BU64" s="871">
        <f t="shared" si="728"/>
        <v>0</v>
      </c>
      <c r="BV64" s="1453"/>
      <c r="BW64" s="871">
        <f ca="1">SUM(BX64:DA64)</f>
        <v>187.5</v>
      </c>
      <c r="BX64" s="871">
        <f t="shared" ref="BX64:CH64" ca="1" si="729">($H64/$G64*INDIRECT($F64)+($I64+$J64)*VLOOKUP($E64,Par,2,0))*L64/1000</f>
        <v>6.25</v>
      </c>
      <c r="BY64" s="871">
        <f t="shared" ca="1" si="729"/>
        <v>6.25</v>
      </c>
      <c r="BZ64" s="871">
        <f t="shared" ca="1" si="729"/>
        <v>6.25</v>
      </c>
      <c r="CA64" s="871">
        <f t="shared" ca="1" si="729"/>
        <v>6.25</v>
      </c>
      <c r="CB64" s="871">
        <f t="shared" ca="1" si="729"/>
        <v>6.25</v>
      </c>
      <c r="CC64" s="871">
        <f t="shared" ca="1" si="729"/>
        <v>6.25</v>
      </c>
      <c r="CD64" s="871">
        <f t="shared" ca="1" si="729"/>
        <v>6.25</v>
      </c>
      <c r="CE64" s="871">
        <f t="shared" ca="1" si="729"/>
        <v>6.25</v>
      </c>
      <c r="CF64" s="871">
        <f t="shared" ca="1" si="729"/>
        <v>6.25</v>
      </c>
      <c r="CG64" s="871">
        <f t="shared" ca="1" si="729"/>
        <v>6.25</v>
      </c>
      <c r="CH64" s="871">
        <f t="shared" ca="1" si="729"/>
        <v>6.25</v>
      </c>
      <c r="CI64" s="871">
        <f t="shared" ref="CI64:CR64" ca="1" si="730">($H64/$G64*INDIRECT($F64)+($I64+$J64)*VLOOKUP($E64,Par,2,0))*W64/1000</f>
        <v>6.25</v>
      </c>
      <c r="CJ64" s="871">
        <f t="shared" ca="1" si="730"/>
        <v>6.25</v>
      </c>
      <c r="CK64" s="871">
        <f t="shared" ca="1" si="730"/>
        <v>6.25</v>
      </c>
      <c r="CL64" s="871">
        <f t="shared" ca="1" si="730"/>
        <v>6.25</v>
      </c>
      <c r="CM64" s="871">
        <f t="shared" ca="1" si="730"/>
        <v>6.25</v>
      </c>
      <c r="CN64" s="871">
        <f t="shared" ca="1" si="730"/>
        <v>6.25</v>
      </c>
      <c r="CO64" s="871">
        <f t="shared" ca="1" si="730"/>
        <v>6.25</v>
      </c>
      <c r="CP64" s="871">
        <f t="shared" ca="1" si="730"/>
        <v>6.25</v>
      </c>
      <c r="CQ64" s="871">
        <f t="shared" ca="1" si="730"/>
        <v>6.25</v>
      </c>
      <c r="CR64" s="871">
        <f t="shared" ca="1" si="730"/>
        <v>6.25</v>
      </c>
      <c r="CS64" s="871">
        <f t="shared" ref="CS64:DA64" ca="1" si="731">($H64/$G64*INDIRECT($F64)+($I64+$J64)*VLOOKUP($E64,Par,2,0))*AG64/1000</f>
        <v>6.25</v>
      </c>
      <c r="CT64" s="871">
        <f t="shared" ca="1" si="731"/>
        <v>6.25</v>
      </c>
      <c r="CU64" s="871">
        <f t="shared" ca="1" si="731"/>
        <v>6.25</v>
      </c>
      <c r="CV64" s="871">
        <f t="shared" ca="1" si="731"/>
        <v>6.25</v>
      </c>
      <c r="CW64" s="871">
        <f t="shared" ca="1" si="731"/>
        <v>6.25</v>
      </c>
      <c r="CX64" s="871">
        <f t="shared" ca="1" si="731"/>
        <v>6.25</v>
      </c>
      <c r="CY64" s="871">
        <f t="shared" ca="1" si="731"/>
        <v>6.25</v>
      </c>
      <c r="CZ64" s="871">
        <f t="shared" ca="1" si="731"/>
        <v>6.25</v>
      </c>
      <c r="DA64" s="871">
        <f t="shared" ca="1" si="731"/>
        <v>6.25</v>
      </c>
      <c r="DB64" s="41"/>
      <c r="DC64" s="871">
        <f t="shared" ca="1" si="58"/>
        <v>187.5</v>
      </c>
      <c r="DD64" s="871">
        <f t="shared" ca="1" si="59"/>
        <v>6.25</v>
      </c>
      <c r="DE64" s="871">
        <f t="shared" ca="1" si="60"/>
        <v>6.25</v>
      </c>
      <c r="DF64" s="871">
        <f t="shared" ca="1" si="61"/>
        <v>6.25</v>
      </c>
      <c r="DG64" s="871">
        <f t="shared" ca="1" si="62"/>
        <v>6.25</v>
      </c>
      <c r="DH64" s="871">
        <f t="shared" ca="1" si="63"/>
        <v>6.25</v>
      </c>
      <c r="DI64" s="871">
        <f t="shared" ca="1" si="64"/>
        <v>6.25</v>
      </c>
      <c r="DJ64" s="871">
        <f t="shared" ca="1" si="65"/>
        <v>6.25</v>
      </c>
      <c r="DK64" s="871">
        <f t="shared" ca="1" si="66"/>
        <v>6.25</v>
      </c>
      <c r="DL64" s="871">
        <f t="shared" ca="1" si="67"/>
        <v>6.25</v>
      </c>
      <c r="DM64" s="871">
        <f t="shared" ca="1" si="68"/>
        <v>6.25</v>
      </c>
      <c r="DN64" s="871">
        <f t="shared" ca="1" si="69"/>
        <v>6.25</v>
      </c>
      <c r="DO64" s="871">
        <f t="shared" ca="1" si="70"/>
        <v>6.25</v>
      </c>
      <c r="DP64" s="871">
        <f t="shared" ca="1" si="71"/>
        <v>6.25</v>
      </c>
      <c r="DQ64" s="871">
        <f t="shared" ca="1" si="72"/>
        <v>6.25</v>
      </c>
      <c r="DR64" s="871">
        <f t="shared" ca="1" si="73"/>
        <v>6.25</v>
      </c>
      <c r="DS64" s="871">
        <f t="shared" ca="1" si="74"/>
        <v>6.25</v>
      </c>
      <c r="DT64" s="871">
        <f t="shared" ca="1" si="75"/>
        <v>6.25</v>
      </c>
      <c r="DU64" s="871">
        <f t="shared" ca="1" si="76"/>
        <v>6.25</v>
      </c>
      <c r="DV64" s="871">
        <f t="shared" ca="1" si="77"/>
        <v>6.25</v>
      </c>
      <c r="DW64" s="871">
        <f t="shared" ca="1" si="78"/>
        <v>6.25</v>
      </c>
      <c r="DX64" s="871">
        <f t="shared" ca="1" si="79"/>
        <v>6.25</v>
      </c>
      <c r="DY64" s="871">
        <f t="shared" ca="1" si="80"/>
        <v>6.25</v>
      </c>
      <c r="DZ64" s="871">
        <f t="shared" ca="1" si="81"/>
        <v>6.25</v>
      </c>
      <c r="EA64" s="871">
        <f t="shared" ca="1" si="82"/>
        <v>6.25</v>
      </c>
      <c r="EB64" s="871">
        <f t="shared" ca="1" si="83"/>
        <v>6.25</v>
      </c>
      <c r="EC64" s="871">
        <f t="shared" ca="1" si="84"/>
        <v>6.25</v>
      </c>
      <c r="ED64" s="871">
        <f t="shared" ca="1" si="85"/>
        <v>6.25</v>
      </c>
      <c r="EE64" s="871">
        <f t="shared" ca="1" si="86"/>
        <v>6.25</v>
      </c>
      <c r="EF64" s="871">
        <f t="shared" ca="1" si="87"/>
        <v>6.25</v>
      </c>
      <c r="EG64" s="871">
        <f t="shared" ca="1" si="88"/>
        <v>6.25</v>
      </c>
    </row>
    <row r="65" spans="1:137">
      <c r="A65" s="595"/>
      <c r="B65" s="598"/>
      <c r="C65" s="599"/>
      <c r="E65" s="1440"/>
      <c r="F65" s="867"/>
      <c r="G65" s="868"/>
      <c r="H65" s="867"/>
      <c r="I65" s="869"/>
      <c r="J65" s="869"/>
      <c r="K65" s="76"/>
      <c r="L65" s="1455">
        <v>1</v>
      </c>
      <c r="M65" s="1455">
        <v>1</v>
      </c>
      <c r="N65" s="1455">
        <v>1</v>
      </c>
      <c r="O65" s="1455">
        <v>1</v>
      </c>
      <c r="P65" s="1455">
        <v>1</v>
      </c>
      <c r="Q65" s="1455">
        <v>1</v>
      </c>
      <c r="R65" s="1455">
        <v>1</v>
      </c>
      <c r="S65" s="1455">
        <v>1</v>
      </c>
      <c r="T65" s="1455">
        <v>1</v>
      </c>
      <c r="U65" s="1455">
        <v>1</v>
      </c>
      <c r="V65" s="1455">
        <v>1</v>
      </c>
      <c r="W65" s="1455">
        <v>1</v>
      </c>
      <c r="X65" s="1455">
        <v>1</v>
      </c>
      <c r="Y65" s="1455">
        <v>1</v>
      </c>
      <c r="Z65" s="1455">
        <v>1</v>
      </c>
      <c r="AA65" s="1455">
        <v>1</v>
      </c>
      <c r="AB65" s="1455">
        <v>1</v>
      </c>
      <c r="AC65" s="1455">
        <v>1</v>
      </c>
      <c r="AD65" s="1455">
        <v>1</v>
      </c>
      <c r="AE65" s="1455">
        <v>1</v>
      </c>
      <c r="AF65" s="1455">
        <v>1</v>
      </c>
      <c r="AG65" s="1455">
        <v>1</v>
      </c>
      <c r="AH65" s="1455">
        <v>1</v>
      </c>
      <c r="AI65" s="1455">
        <v>1</v>
      </c>
      <c r="AJ65" s="1455">
        <v>1</v>
      </c>
      <c r="AK65" s="1455">
        <v>1</v>
      </c>
      <c r="AL65" s="1455">
        <v>1</v>
      </c>
      <c r="AM65" s="1455">
        <v>1</v>
      </c>
      <c r="AN65" s="1455">
        <v>1</v>
      </c>
      <c r="AO65" s="1455">
        <v>1</v>
      </c>
      <c r="AP65" s="77"/>
      <c r="AQ65" s="871"/>
      <c r="AR65" s="871"/>
      <c r="AS65" s="871"/>
      <c r="AT65" s="871"/>
      <c r="AU65" s="871"/>
      <c r="AV65" s="871"/>
      <c r="AW65" s="871"/>
      <c r="AX65" s="871"/>
      <c r="AY65" s="871"/>
      <c r="AZ65" s="871"/>
      <c r="BA65" s="871"/>
      <c r="BB65" s="871"/>
      <c r="BC65" s="871"/>
      <c r="BD65" s="871"/>
      <c r="BE65" s="871"/>
      <c r="BF65" s="871"/>
      <c r="BG65" s="871"/>
      <c r="BH65" s="871"/>
      <c r="BI65" s="871"/>
      <c r="BJ65" s="871"/>
      <c r="BK65" s="871"/>
      <c r="BL65" s="871"/>
      <c r="BM65" s="871"/>
      <c r="BN65" s="871"/>
      <c r="BO65" s="871"/>
      <c r="BP65" s="871"/>
      <c r="BQ65" s="871"/>
      <c r="BR65" s="871"/>
      <c r="BS65" s="871"/>
      <c r="BT65" s="871"/>
      <c r="BU65" s="871"/>
      <c r="BV65" s="1453"/>
      <c r="BW65" s="871"/>
      <c r="BX65" s="871"/>
      <c r="BY65" s="871"/>
      <c r="BZ65" s="871"/>
      <c r="CA65" s="871"/>
      <c r="CB65" s="871"/>
      <c r="CC65" s="871"/>
      <c r="CD65" s="871"/>
      <c r="CE65" s="871"/>
      <c r="CF65" s="871"/>
      <c r="CG65" s="871"/>
      <c r="CH65" s="871"/>
      <c r="CI65" s="871"/>
      <c r="CJ65" s="871"/>
      <c r="CK65" s="871"/>
      <c r="CL65" s="871"/>
      <c r="CM65" s="871"/>
      <c r="CN65" s="871"/>
      <c r="CO65" s="871"/>
      <c r="CP65" s="871"/>
      <c r="CQ65" s="871"/>
      <c r="CR65" s="871"/>
      <c r="CS65" s="871"/>
      <c r="CT65" s="871"/>
      <c r="CU65" s="871"/>
      <c r="CV65" s="871"/>
      <c r="CW65" s="871"/>
      <c r="CX65" s="871"/>
      <c r="CY65" s="871"/>
      <c r="CZ65" s="871"/>
      <c r="DA65" s="871"/>
      <c r="DB65" s="41"/>
      <c r="DC65" s="871">
        <f t="shared" si="58"/>
        <v>0</v>
      </c>
      <c r="DD65" s="871">
        <f t="shared" si="59"/>
        <v>0</v>
      </c>
      <c r="DE65" s="871">
        <f t="shared" si="60"/>
        <v>0</v>
      </c>
      <c r="DF65" s="871">
        <f t="shared" si="61"/>
        <v>0</v>
      </c>
      <c r="DG65" s="871">
        <f t="shared" si="62"/>
        <v>0</v>
      </c>
      <c r="DH65" s="871">
        <f t="shared" si="63"/>
        <v>0</v>
      </c>
      <c r="DI65" s="871">
        <f t="shared" si="64"/>
        <v>0</v>
      </c>
      <c r="DJ65" s="871">
        <f t="shared" si="65"/>
        <v>0</v>
      </c>
      <c r="DK65" s="871">
        <f t="shared" si="66"/>
        <v>0</v>
      </c>
      <c r="DL65" s="871">
        <f t="shared" si="67"/>
        <v>0</v>
      </c>
      <c r="DM65" s="871">
        <f t="shared" si="68"/>
        <v>0</v>
      </c>
      <c r="DN65" s="871">
        <f t="shared" si="69"/>
        <v>0</v>
      </c>
      <c r="DO65" s="871">
        <f t="shared" si="70"/>
        <v>0</v>
      </c>
      <c r="DP65" s="871">
        <f t="shared" si="71"/>
        <v>0</v>
      </c>
      <c r="DQ65" s="871">
        <f t="shared" si="72"/>
        <v>0</v>
      </c>
      <c r="DR65" s="871">
        <f t="shared" si="73"/>
        <v>0</v>
      </c>
      <c r="DS65" s="871">
        <f t="shared" si="74"/>
        <v>0</v>
      </c>
      <c r="DT65" s="871">
        <f t="shared" si="75"/>
        <v>0</v>
      </c>
      <c r="DU65" s="871">
        <f t="shared" si="76"/>
        <v>0</v>
      </c>
      <c r="DV65" s="871">
        <f t="shared" si="77"/>
        <v>0</v>
      </c>
      <c r="DW65" s="871">
        <f t="shared" si="78"/>
        <v>0</v>
      </c>
      <c r="DX65" s="871">
        <f t="shared" si="79"/>
        <v>0</v>
      </c>
      <c r="DY65" s="871">
        <f t="shared" si="80"/>
        <v>0</v>
      </c>
      <c r="DZ65" s="871">
        <f t="shared" si="81"/>
        <v>0</v>
      </c>
      <c r="EA65" s="871">
        <f t="shared" si="82"/>
        <v>0</v>
      </c>
      <c r="EB65" s="871">
        <f t="shared" si="83"/>
        <v>0</v>
      </c>
      <c r="EC65" s="871">
        <f t="shared" si="84"/>
        <v>0</v>
      </c>
      <c r="ED65" s="871">
        <f t="shared" si="85"/>
        <v>0</v>
      </c>
      <c r="EE65" s="871">
        <f t="shared" si="86"/>
        <v>0</v>
      </c>
      <c r="EF65" s="871">
        <f t="shared" si="87"/>
        <v>0</v>
      </c>
      <c r="EG65" s="871">
        <f t="shared" si="88"/>
        <v>0</v>
      </c>
    </row>
    <row r="66" spans="1:137">
      <c r="A66" s="595"/>
      <c r="B66" s="598"/>
      <c r="C66" s="599"/>
      <c r="D66" s="29">
        <v>7</v>
      </c>
      <c r="E66" s="1489" t="s">
        <v>1665</v>
      </c>
      <c r="F66" s="867"/>
      <c r="G66" s="868"/>
      <c r="H66" s="867"/>
      <c r="I66" s="869"/>
      <c r="J66" s="869"/>
      <c r="K66" s="76"/>
      <c r="L66" s="1479"/>
      <c r="M66" s="1479"/>
      <c r="N66" s="1479"/>
      <c r="O66" s="1479"/>
      <c r="P66" s="1479"/>
      <c r="Q66" s="1479"/>
      <c r="R66" s="1479"/>
      <c r="S66" s="1479"/>
      <c r="T66" s="1479"/>
      <c r="U66" s="1479"/>
      <c r="V66" s="1479"/>
      <c r="W66" s="1479"/>
      <c r="X66" s="1479"/>
      <c r="Y66" s="1479"/>
      <c r="Z66" s="1479"/>
      <c r="AA66" s="1479"/>
      <c r="AB66" s="1479"/>
      <c r="AC66" s="1479"/>
      <c r="AD66" s="1479"/>
      <c r="AE66" s="1479"/>
      <c r="AF66" s="1479"/>
      <c r="AG66" s="1479"/>
      <c r="AH66" s="1479"/>
      <c r="AI66" s="1479"/>
      <c r="AJ66" s="1479"/>
      <c r="AK66" s="1479"/>
      <c r="AL66" s="1479"/>
      <c r="AM66" s="1479"/>
      <c r="AN66" s="1479"/>
      <c r="AO66" s="1479"/>
      <c r="AP66" s="77"/>
      <c r="AQ66" s="1496">
        <f>SUBTOTAL(9,AQ67:AQ68)</f>
        <v>0</v>
      </c>
      <c r="AR66" s="1496">
        <f t="shared" ref="AR66" si="732">SUBTOTAL(9,AR67:AR68)</f>
        <v>0</v>
      </c>
      <c r="AS66" s="1496">
        <f t="shared" ref="AS66" si="733">SUBTOTAL(9,AS67:AS68)</f>
        <v>0</v>
      </c>
      <c r="AT66" s="1496">
        <f t="shared" ref="AT66" si="734">SUBTOTAL(9,AT67:AT68)</f>
        <v>0</v>
      </c>
      <c r="AU66" s="1496">
        <f t="shared" ref="AU66" si="735">SUBTOTAL(9,AU67:AU68)</f>
        <v>0</v>
      </c>
      <c r="AV66" s="1496">
        <f t="shared" ref="AV66" si="736">SUBTOTAL(9,AV67:AV68)</f>
        <v>0</v>
      </c>
      <c r="AW66" s="1496">
        <f t="shared" ref="AW66" si="737">SUBTOTAL(9,AW67:AW68)</f>
        <v>0</v>
      </c>
      <c r="AX66" s="1496">
        <f t="shared" ref="AX66" si="738">SUBTOTAL(9,AX67:AX68)</f>
        <v>0</v>
      </c>
      <c r="AY66" s="1496">
        <f t="shared" ref="AY66" si="739">SUBTOTAL(9,AY67:AY68)</f>
        <v>0</v>
      </c>
      <c r="AZ66" s="1496">
        <f t="shared" ref="AZ66" si="740">SUBTOTAL(9,AZ67:AZ68)</f>
        <v>0</v>
      </c>
      <c r="BA66" s="1496">
        <f t="shared" ref="BA66" si="741">SUBTOTAL(9,BA67:BA68)</f>
        <v>0</v>
      </c>
      <c r="BB66" s="1496">
        <f t="shared" ref="BB66" si="742">SUBTOTAL(9,BB67:BB68)</f>
        <v>0</v>
      </c>
      <c r="BC66" s="1496">
        <f t="shared" ref="BC66" si="743">SUBTOTAL(9,BC67:BC68)</f>
        <v>0</v>
      </c>
      <c r="BD66" s="1496">
        <f t="shared" ref="BD66" si="744">SUBTOTAL(9,BD67:BD68)</f>
        <v>0</v>
      </c>
      <c r="BE66" s="1496">
        <f t="shared" ref="BE66" si="745">SUBTOTAL(9,BE67:BE68)</f>
        <v>0</v>
      </c>
      <c r="BF66" s="1496">
        <f t="shared" ref="BF66" si="746">SUBTOTAL(9,BF67:BF68)</f>
        <v>0</v>
      </c>
      <c r="BG66" s="1496">
        <f t="shared" ref="BG66" si="747">SUBTOTAL(9,BG67:BG68)</f>
        <v>0</v>
      </c>
      <c r="BH66" s="1496">
        <f t="shared" ref="BH66" si="748">SUBTOTAL(9,BH67:BH68)</f>
        <v>0</v>
      </c>
      <c r="BI66" s="1496">
        <f t="shared" ref="BI66" si="749">SUBTOTAL(9,BI67:BI68)</f>
        <v>0</v>
      </c>
      <c r="BJ66" s="1496">
        <f t="shared" ref="BJ66" si="750">SUBTOTAL(9,BJ67:BJ68)</f>
        <v>0</v>
      </c>
      <c r="BK66" s="1496">
        <f t="shared" ref="BK66" si="751">SUBTOTAL(9,BK67:BK68)</f>
        <v>0</v>
      </c>
      <c r="BL66" s="1496">
        <f t="shared" ref="BL66" si="752">SUBTOTAL(9,BL67:BL68)</f>
        <v>0</v>
      </c>
      <c r="BM66" s="1496">
        <f t="shared" ref="BM66" si="753">SUBTOTAL(9,BM67:BM68)</f>
        <v>0</v>
      </c>
      <c r="BN66" s="1496">
        <f t="shared" ref="BN66" si="754">SUBTOTAL(9,BN67:BN68)</f>
        <v>0</v>
      </c>
      <c r="BO66" s="1496">
        <f t="shared" ref="BO66:BU66" si="755">SUBTOTAL(9,BO67:BO68)</f>
        <v>0</v>
      </c>
      <c r="BP66" s="1496">
        <f t="shared" si="755"/>
        <v>0</v>
      </c>
      <c r="BQ66" s="1496">
        <f t="shared" si="755"/>
        <v>0</v>
      </c>
      <c r="BR66" s="1496">
        <f t="shared" si="755"/>
        <v>0</v>
      </c>
      <c r="BS66" s="1496">
        <f t="shared" si="755"/>
        <v>0</v>
      </c>
      <c r="BT66" s="1496">
        <f t="shared" si="755"/>
        <v>0</v>
      </c>
      <c r="BU66" s="1496">
        <f t="shared" si="755"/>
        <v>0</v>
      </c>
      <c r="BV66" s="1453"/>
      <c r="BW66" s="1496">
        <f t="shared" ref="BW66" ca="1" si="756">SUBTOTAL(9,BW67:BW68)</f>
        <v>1549.9999999999998</v>
      </c>
      <c r="BX66" s="1496">
        <f t="shared" ref="BX66" ca="1" si="757">SUBTOTAL(9,BX67:BX68)</f>
        <v>51.666666666666671</v>
      </c>
      <c r="BY66" s="1496">
        <f t="shared" ref="BY66" ca="1" si="758">SUBTOTAL(9,BY67:BY68)</f>
        <v>51.666666666666671</v>
      </c>
      <c r="BZ66" s="1496">
        <f t="shared" ref="BZ66" ca="1" si="759">SUBTOTAL(9,BZ67:BZ68)</f>
        <v>51.666666666666671</v>
      </c>
      <c r="CA66" s="1496">
        <f t="shared" ref="CA66" ca="1" si="760">SUBTOTAL(9,CA67:CA68)</f>
        <v>51.666666666666671</v>
      </c>
      <c r="CB66" s="1496">
        <f t="shared" ref="CB66" ca="1" si="761">SUBTOTAL(9,CB67:CB68)</f>
        <v>51.666666666666671</v>
      </c>
      <c r="CC66" s="1496">
        <f t="shared" ref="CC66" ca="1" si="762">SUBTOTAL(9,CC67:CC68)</f>
        <v>51.666666666666671</v>
      </c>
      <c r="CD66" s="1496">
        <f t="shared" ref="CD66" ca="1" si="763">SUBTOTAL(9,CD67:CD68)</f>
        <v>51.666666666666671</v>
      </c>
      <c r="CE66" s="1496">
        <f t="shared" ref="CE66" ca="1" si="764">SUBTOTAL(9,CE67:CE68)</f>
        <v>51.666666666666671</v>
      </c>
      <c r="CF66" s="1496">
        <f t="shared" ref="CF66" ca="1" si="765">SUBTOTAL(9,CF67:CF68)</f>
        <v>51.666666666666671</v>
      </c>
      <c r="CG66" s="1496">
        <f t="shared" ref="CG66" ca="1" si="766">SUBTOTAL(9,CG67:CG68)</f>
        <v>51.666666666666671</v>
      </c>
      <c r="CH66" s="1496">
        <f t="shared" ref="CH66" ca="1" si="767">SUBTOTAL(9,CH67:CH68)</f>
        <v>51.666666666666671</v>
      </c>
      <c r="CI66" s="1496">
        <f t="shared" ref="CI66" ca="1" si="768">SUBTOTAL(9,CI67:CI68)</f>
        <v>51.666666666666671</v>
      </c>
      <c r="CJ66" s="1496">
        <f t="shared" ref="CJ66" ca="1" si="769">SUBTOTAL(9,CJ67:CJ68)</f>
        <v>51.666666666666671</v>
      </c>
      <c r="CK66" s="1496">
        <f t="shared" ref="CK66" ca="1" si="770">SUBTOTAL(9,CK67:CK68)</f>
        <v>51.666666666666671</v>
      </c>
      <c r="CL66" s="1496">
        <f t="shared" ref="CL66" ca="1" si="771">SUBTOTAL(9,CL67:CL68)</f>
        <v>51.666666666666671</v>
      </c>
      <c r="CM66" s="1496">
        <f t="shared" ref="CM66" ca="1" si="772">SUBTOTAL(9,CM67:CM68)</f>
        <v>51.666666666666671</v>
      </c>
      <c r="CN66" s="1496">
        <f t="shared" ref="CN66" ca="1" si="773">SUBTOTAL(9,CN67:CN68)</f>
        <v>51.666666666666671</v>
      </c>
      <c r="CO66" s="1496">
        <f t="shared" ref="CO66" ca="1" si="774">SUBTOTAL(9,CO67:CO68)</f>
        <v>51.666666666666671</v>
      </c>
      <c r="CP66" s="1496">
        <f t="shared" ref="CP66" ca="1" si="775">SUBTOTAL(9,CP67:CP68)</f>
        <v>51.666666666666671</v>
      </c>
      <c r="CQ66" s="1496">
        <f t="shared" ref="CQ66" ca="1" si="776">SUBTOTAL(9,CQ67:CQ68)</f>
        <v>51.666666666666671</v>
      </c>
      <c r="CR66" s="1496">
        <f t="shared" ref="CR66" ca="1" si="777">SUBTOTAL(9,CR67:CR68)</f>
        <v>51.666666666666671</v>
      </c>
      <c r="CS66" s="1496">
        <f t="shared" ref="CS66" ca="1" si="778">SUBTOTAL(9,CS67:CS68)</f>
        <v>51.666666666666671</v>
      </c>
      <c r="CT66" s="1496">
        <f t="shared" ref="CT66" ca="1" si="779">SUBTOTAL(9,CT67:CT68)</f>
        <v>51.666666666666671</v>
      </c>
      <c r="CU66" s="1496">
        <f t="shared" ref="CU66:DA66" ca="1" si="780">SUBTOTAL(9,CU67:CU68)</f>
        <v>51.666666666666671</v>
      </c>
      <c r="CV66" s="1496">
        <f t="shared" ca="1" si="780"/>
        <v>51.666666666666671</v>
      </c>
      <c r="CW66" s="1496">
        <f t="shared" ca="1" si="780"/>
        <v>51.666666666666671</v>
      </c>
      <c r="CX66" s="1496">
        <f t="shared" ca="1" si="780"/>
        <v>51.666666666666671</v>
      </c>
      <c r="CY66" s="1496">
        <f t="shared" ca="1" si="780"/>
        <v>51.666666666666671</v>
      </c>
      <c r="CZ66" s="1496">
        <f t="shared" ca="1" si="780"/>
        <v>51.666666666666671</v>
      </c>
      <c r="DA66" s="1496">
        <f t="shared" ca="1" si="780"/>
        <v>51.666666666666671</v>
      </c>
      <c r="DB66" s="41"/>
      <c r="DC66" s="1496">
        <f t="shared" ca="1" si="58"/>
        <v>1549.9999999999998</v>
      </c>
      <c r="DD66" s="1496">
        <f t="shared" ca="1" si="59"/>
        <v>51.666666666666671</v>
      </c>
      <c r="DE66" s="1496">
        <f t="shared" ca="1" si="60"/>
        <v>51.666666666666671</v>
      </c>
      <c r="DF66" s="1496">
        <f t="shared" ca="1" si="61"/>
        <v>51.666666666666671</v>
      </c>
      <c r="DG66" s="1496">
        <f t="shared" ca="1" si="62"/>
        <v>51.666666666666671</v>
      </c>
      <c r="DH66" s="1496">
        <f t="shared" ca="1" si="63"/>
        <v>51.666666666666671</v>
      </c>
      <c r="DI66" s="1496">
        <f t="shared" ca="1" si="64"/>
        <v>51.666666666666671</v>
      </c>
      <c r="DJ66" s="1496">
        <f t="shared" ca="1" si="65"/>
        <v>51.666666666666671</v>
      </c>
      <c r="DK66" s="1496">
        <f t="shared" ca="1" si="66"/>
        <v>51.666666666666671</v>
      </c>
      <c r="DL66" s="1496">
        <f t="shared" ca="1" si="67"/>
        <v>51.666666666666671</v>
      </c>
      <c r="DM66" s="1496">
        <f t="shared" ca="1" si="68"/>
        <v>51.666666666666671</v>
      </c>
      <c r="DN66" s="1496">
        <f t="shared" ca="1" si="69"/>
        <v>51.666666666666671</v>
      </c>
      <c r="DO66" s="1496">
        <f t="shared" ca="1" si="70"/>
        <v>51.666666666666671</v>
      </c>
      <c r="DP66" s="1496">
        <f t="shared" ca="1" si="71"/>
        <v>51.666666666666671</v>
      </c>
      <c r="DQ66" s="1496">
        <f t="shared" ca="1" si="72"/>
        <v>51.666666666666671</v>
      </c>
      <c r="DR66" s="1496">
        <f t="shared" ca="1" si="73"/>
        <v>51.666666666666671</v>
      </c>
      <c r="DS66" s="1496">
        <f t="shared" ca="1" si="74"/>
        <v>51.666666666666671</v>
      </c>
      <c r="DT66" s="1496">
        <f t="shared" ca="1" si="75"/>
        <v>51.666666666666671</v>
      </c>
      <c r="DU66" s="1496">
        <f t="shared" ca="1" si="76"/>
        <v>51.666666666666671</v>
      </c>
      <c r="DV66" s="1496">
        <f t="shared" ca="1" si="77"/>
        <v>51.666666666666671</v>
      </c>
      <c r="DW66" s="1496">
        <f t="shared" ca="1" si="78"/>
        <v>51.666666666666671</v>
      </c>
      <c r="DX66" s="1496">
        <f t="shared" ca="1" si="79"/>
        <v>51.666666666666671</v>
      </c>
      <c r="DY66" s="1496">
        <f t="shared" ca="1" si="80"/>
        <v>51.666666666666671</v>
      </c>
      <c r="DZ66" s="1496">
        <f t="shared" ca="1" si="81"/>
        <v>51.666666666666671</v>
      </c>
      <c r="EA66" s="1496">
        <f t="shared" ca="1" si="82"/>
        <v>51.666666666666671</v>
      </c>
      <c r="EB66" s="1496">
        <f t="shared" ca="1" si="83"/>
        <v>51.666666666666671</v>
      </c>
      <c r="EC66" s="1496">
        <f t="shared" ca="1" si="84"/>
        <v>51.666666666666671</v>
      </c>
      <c r="ED66" s="1496">
        <f t="shared" ca="1" si="85"/>
        <v>51.666666666666671</v>
      </c>
      <c r="EE66" s="1496">
        <f t="shared" ca="1" si="86"/>
        <v>51.666666666666671</v>
      </c>
      <c r="EF66" s="1496">
        <f t="shared" ca="1" si="87"/>
        <v>51.666666666666671</v>
      </c>
      <c r="EG66" s="1496">
        <f t="shared" ca="1" si="88"/>
        <v>51.666666666666671</v>
      </c>
    </row>
    <row r="67" spans="1:137">
      <c r="A67" s="595"/>
      <c r="B67" s="598"/>
      <c r="C67" s="599"/>
      <c r="E67" s="1500" t="s">
        <v>1666</v>
      </c>
      <c r="F67" s="867" t="s">
        <v>1664</v>
      </c>
      <c r="G67" s="868">
        <v>8</v>
      </c>
      <c r="H67" s="867">
        <v>8000</v>
      </c>
      <c r="I67" s="869">
        <v>0.05</v>
      </c>
      <c r="J67" s="869">
        <v>0.05</v>
      </c>
      <c r="K67" s="76"/>
      <c r="L67" s="1455">
        <v>5</v>
      </c>
      <c r="M67" s="1455">
        <v>5</v>
      </c>
      <c r="N67" s="1455">
        <v>5</v>
      </c>
      <c r="O67" s="1455">
        <v>5</v>
      </c>
      <c r="P67" s="1455">
        <v>5</v>
      </c>
      <c r="Q67" s="1455">
        <v>5</v>
      </c>
      <c r="R67" s="1455">
        <v>5</v>
      </c>
      <c r="S67" s="1455">
        <v>5</v>
      </c>
      <c r="T67" s="1455">
        <v>5</v>
      </c>
      <c r="U67" s="1455">
        <v>5</v>
      </c>
      <c r="V67" s="1455">
        <v>5</v>
      </c>
      <c r="W67" s="1455">
        <v>5</v>
      </c>
      <c r="X67" s="1455">
        <v>5</v>
      </c>
      <c r="Y67" s="1455">
        <v>5</v>
      </c>
      <c r="Z67" s="1455">
        <v>5</v>
      </c>
      <c r="AA67" s="1455">
        <v>5</v>
      </c>
      <c r="AB67" s="1455">
        <v>5</v>
      </c>
      <c r="AC67" s="1455">
        <v>5</v>
      </c>
      <c r="AD67" s="1455">
        <v>5</v>
      </c>
      <c r="AE67" s="1455">
        <v>5</v>
      </c>
      <c r="AF67" s="1455">
        <v>5</v>
      </c>
      <c r="AG67" s="1455">
        <v>5</v>
      </c>
      <c r="AH67" s="1455">
        <v>5</v>
      </c>
      <c r="AI67" s="1455">
        <v>5</v>
      </c>
      <c r="AJ67" s="1455">
        <v>5</v>
      </c>
      <c r="AK67" s="1455">
        <v>5</v>
      </c>
      <c r="AL67" s="1455">
        <v>5</v>
      </c>
      <c r="AM67" s="1455">
        <v>5</v>
      </c>
      <c r="AN67" s="1455">
        <v>5</v>
      </c>
      <c r="AO67" s="1455">
        <v>5</v>
      </c>
      <c r="AP67" s="77"/>
      <c r="AQ67" s="871">
        <f>SUM(AR67:BU67)</f>
        <v>0</v>
      </c>
      <c r="AR67" s="871">
        <f t="shared" ref="AR67:BA68" si="781">VLOOKUP($E67,Par,6,0)*L67/1000</f>
        <v>0</v>
      </c>
      <c r="AS67" s="871">
        <f t="shared" si="781"/>
        <v>0</v>
      </c>
      <c r="AT67" s="871">
        <f t="shared" si="781"/>
        <v>0</v>
      </c>
      <c r="AU67" s="871">
        <f t="shared" si="781"/>
        <v>0</v>
      </c>
      <c r="AV67" s="871">
        <f t="shared" si="781"/>
        <v>0</v>
      </c>
      <c r="AW67" s="871">
        <f t="shared" si="781"/>
        <v>0</v>
      </c>
      <c r="AX67" s="871">
        <f t="shared" si="781"/>
        <v>0</v>
      </c>
      <c r="AY67" s="871">
        <f t="shared" si="781"/>
        <v>0</v>
      </c>
      <c r="AZ67" s="871">
        <f t="shared" si="781"/>
        <v>0</v>
      </c>
      <c r="BA67" s="871">
        <f t="shared" si="781"/>
        <v>0</v>
      </c>
      <c r="BB67" s="871">
        <f t="shared" ref="BB67:BK68" si="782">VLOOKUP($E67,Par,6,0)*V67/1000</f>
        <v>0</v>
      </c>
      <c r="BC67" s="871">
        <f t="shared" si="782"/>
        <v>0</v>
      </c>
      <c r="BD67" s="871">
        <f t="shared" si="782"/>
        <v>0</v>
      </c>
      <c r="BE67" s="871">
        <f t="shared" si="782"/>
        <v>0</v>
      </c>
      <c r="BF67" s="871">
        <f t="shared" si="782"/>
        <v>0</v>
      </c>
      <c r="BG67" s="871">
        <f t="shared" si="782"/>
        <v>0</v>
      </c>
      <c r="BH67" s="871">
        <f t="shared" si="782"/>
        <v>0</v>
      </c>
      <c r="BI67" s="871">
        <f t="shared" si="782"/>
        <v>0</v>
      </c>
      <c r="BJ67" s="871">
        <f t="shared" si="782"/>
        <v>0</v>
      </c>
      <c r="BK67" s="871">
        <f t="shared" si="782"/>
        <v>0</v>
      </c>
      <c r="BL67" s="871">
        <f t="shared" ref="BL67:BU68" si="783">VLOOKUP($E67,Par,6,0)*AF67/1000</f>
        <v>0</v>
      </c>
      <c r="BM67" s="871">
        <f t="shared" si="783"/>
        <v>0</v>
      </c>
      <c r="BN67" s="871">
        <f t="shared" si="783"/>
        <v>0</v>
      </c>
      <c r="BO67" s="871">
        <f t="shared" si="783"/>
        <v>0</v>
      </c>
      <c r="BP67" s="871">
        <f t="shared" si="783"/>
        <v>0</v>
      </c>
      <c r="BQ67" s="871">
        <f t="shared" si="783"/>
        <v>0</v>
      </c>
      <c r="BR67" s="871">
        <f t="shared" si="783"/>
        <v>0</v>
      </c>
      <c r="BS67" s="871">
        <f t="shared" si="783"/>
        <v>0</v>
      </c>
      <c r="BT67" s="871">
        <f t="shared" si="783"/>
        <v>0</v>
      </c>
      <c r="BU67" s="871">
        <f t="shared" si="783"/>
        <v>0</v>
      </c>
      <c r="BV67" s="1453"/>
      <c r="BW67" s="871">
        <f ca="1">SUM(BX67:DA67)</f>
        <v>750</v>
      </c>
      <c r="BX67" s="871">
        <f t="shared" ref="BX67:CH68" ca="1" si="784">($H67/$G67*INDIRECT($F67)+($I67+$J67)*VLOOKUP($E67,Par,2,0))*L67/1000</f>
        <v>25</v>
      </c>
      <c r="BY67" s="871">
        <f t="shared" ca="1" si="784"/>
        <v>25</v>
      </c>
      <c r="BZ67" s="871">
        <f t="shared" ca="1" si="784"/>
        <v>25</v>
      </c>
      <c r="CA67" s="871">
        <f t="shared" ca="1" si="784"/>
        <v>25</v>
      </c>
      <c r="CB67" s="871">
        <f t="shared" ca="1" si="784"/>
        <v>25</v>
      </c>
      <c r="CC67" s="871">
        <f t="shared" ca="1" si="784"/>
        <v>25</v>
      </c>
      <c r="CD67" s="871">
        <f t="shared" ca="1" si="784"/>
        <v>25</v>
      </c>
      <c r="CE67" s="871">
        <f t="shared" ca="1" si="784"/>
        <v>25</v>
      </c>
      <c r="CF67" s="871">
        <f t="shared" ca="1" si="784"/>
        <v>25</v>
      </c>
      <c r="CG67" s="871">
        <f t="shared" ca="1" si="784"/>
        <v>25</v>
      </c>
      <c r="CH67" s="871">
        <f t="shared" ca="1" si="784"/>
        <v>25</v>
      </c>
      <c r="CI67" s="871">
        <f t="shared" ref="CI67:CR68" ca="1" si="785">($H67/$G67*INDIRECT($F67)+($I67+$J67)*VLOOKUP($E67,Par,2,0))*W67/1000</f>
        <v>25</v>
      </c>
      <c r="CJ67" s="871">
        <f t="shared" ca="1" si="785"/>
        <v>25</v>
      </c>
      <c r="CK67" s="871">
        <f t="shared" ca="1" si="785"/>
        <v>25</v>
      </c>
      <c r="CL67" s="871">
        <f t="shared" ca="1" si="785"/>
        <v>25</v>
      </c>
      <c r="CM67" s="871">
        <f t="shared" ca="1" si="785"/>
        <v>25</v>
      </c>
      <c r="CN67" s="871">
        <f t="shared" ca="1" si="785"/>
        <v>25</v>
      </c>
      <c r="CO67" s="871">
        <f t="shared" ca="1" si="785"/>
        <v>25</v>
      </c>
      <c r="CP67" s="871">
        <f t="shared" ca="1" si="785"/>
        <v>25</v>
      </c>
      <c r="CQ67" s="871">
        <f t="shared" ca="1" si="785"/>
        <v>25</v>
      </c>
      <c r="CR67" s="871">
        <f t="shared" ca="1" si="785"/>
        <v>25</v>
      </c>
      <c r="CS67" s="871">
        <f t="shared" ref="CS67:DA68" ca="1" si="786">($H67/$G67*INDIRECT($F67)+($I67+$J67)*VLOOKUP($E67,Par,2,0))*AG67/1000</f>
        <v>25</v>
      </c>
      <c r="CT67" s="871">
        <f t="shared" ca="1" si="786"/>
        <v>25</v>
      </c>
      <c r="CU67" s="871">
        <f t="shared" ca="1" si="786"/>
        <v>25</v>
      </c>
      <c r="CV67" s="871">
        <f t="shared" ca="1" si="786"/>
        <v>25</v>
      </c>
      <c r="CW67" s="871">
        <f t="shared" ca="1" si="786"/>
        <v>25</v>
      </c>
      <c r="CX67" s="871">
        <f t="shared" ca="1" si="786"/>
        <v>25</v>
      </c>
      <c r="CY67" s="871">
        <f t="shared" ca="1" si="786"/>
        <v>25</v>
      </c>
      <c r="CZ67" s="871">
        <f t="shared" ca="1" si="786"/>
        <v>25</v>
      </c>
      <c r="DA67" s="871">
        <f t="shared" ca="1" si="786"/>
        <v>25</v>
      </c>
      <c r="DB67" s="41"/>
      <c r="DC67" s="871">
        <f t="shared" ca="1" si="58"/>
        <v>750</v>
      </c>
      <c r="DD67" s="871">
        <f t="shared" ca="1" si="59"/>
        <v>25</v>
      </c>
      <c r="DE67" s="871">
        <f t="shared" ca="1" si="60"/>
        <v>25</v>
      </c>
      <c r="DF67" s="871">
        <f t="shared" ca="1" si="61"/>
        <v>25</v>
      </c>
      <c r="DG67" s="871">
        <f t="shared" ca="1" si="62"/>
        <v>25</v>
      </c>
      <c r="DH67" s="871">
        <f t="shared" ca="1" si="63"/>
        <v>25</v>
      </c>
      <c r="DI67" s="871">
        <f t="shared" ca="1" si="64"/>
        <v>25</v>
      </c>
      <c r="DJ67" s="871">
        <f t="shared" ca="1" si="65"/>
        <v>25</v>
      </c>
      <c r="DK67" s="871">
        <f t="shared" ca="1" si="66"/>
        <v>25</v>
      </c>
      <c r="DL67" s="871">
        <f t="shared" ca="1" si="67"/>
        <v>25</v>
      </c>
      <c r="DM67" s="871">
        <f t="shared" ca="1" si="68"/>
        <v>25</v>
      </c>
      <c r="DN67" s="871">
        <f t="shared" ca="1" si="69"/>
        <v>25</v>
      </c>
      <c r="DO67" s="871">
        <f t="shared" ca="1" si="70"/>
        <v>25</v>
      </c>
      <c r="DP67" s="871">
        <f t="shared" ca="1" si="71"/>
        <v>25</v>
      </c>
      <c r="DQ67" s="871">
        <f t="shared" ca="1" si="72"/>
        <v>25</v>
      </c>
      <c r="DR67" s="871">
        <f t="shared" ca="1" si="73"/>
        <v>25</v>
      </c>
      <c r="DS67" s="871">
        <f t="shared" ca="1" si="74"/>
        <v>25</v>
      </c>
      <c r="DT67" s="871">
        <f t="shared" ca="1" si="75"/>
        <v>25</v>
      </c>
      <c r="DU67" s="871">
        <f t="shared" ca="1" si="76"/>
        <v>25</v>
      </c>
      <c r="DV67" s="871">
        <f t="shared" ca="1" si="77"/>
        <v>25</v>
      </c>
      <c r="DW67" s="871">
        <f t="shared" ca="1" si="78"/>
        <v>25</v>
      </c>
      <c r="DX67" s="871">
        <f t="shared" ca="1" si="79"/>
        <v>25</v>
      </c>
      <c r="DY67" s="871">
        <f t="shared" ca="1" si="80"/>
        <v>25</v>
      </c>
      <c r="DZ67" s="871">
        <f t="shared" ca="1" si="81"/>
        <v>25</v>
      </c>
      <c r="EA67" s="871">
        <f t="shared" ca="1" si="82"/>
        <v>25</v>
      </c>
      <c r="EB67" s="871">
        <f t="shared" ca="1" si="83"/>
        <v>25</v>
      </c>
      <c r="EC67" s="871">
        <f t="shared" ca="1" si="84"/>
        <v>25</v>
      </c>
      <c r="ED67" s="871">
        <f t="shared" ca="1" si="85"/>
        <v>25</v>
      </c>
      <c r="EE67" s="871">
        <f t="shared" ca="1" si="86"/>
        <v>25</v>
      </c>
      <c r="EF67" s="871">
        <f t="shared" ca="1" si="87"/>
        <v>25</v>
      </c>
      <c r="EG67" s="871">
        <f t="shared" ca="1" si="88"/>
        <v>25</v>
      </c>
    </row>
    <row r="68" spans="1:137" ht="12.75" customHeight="1">
      <c r="A68" s="595"/>
      <c r="B68" s="598"/>
      <c r="C68" s="599"/>
      <c r="E68" s="1498" t="s">
        <v>1667</v>
      </c>
      <c r="F68" s="867" t="s">
        <v>1664</v>
      </c>
      <c r="G68" s="868">
        <v>5</v>
      </c>
      <c r="H68" s="867">
        <v>8000</v>
      </c>
      <c r="I68" s="869">
        <v>0.05</v>
      </c>
      <c r="J68" s="869">
        <v>0.05</v>
      </c>
      <c r="K68" s="76"/>
      <c r="L68" s="1455">
        <v>3.3333333333333335</v>
      </c>
      <c r="M68" s="1455">
        <v>3.3333333333333335</v>
      </c>
      <c r="N68" s="1455">
        <v>3.3333333333333335</v>
      </c>
      <c r="O68" s="1455">
        <v>3.3333333333333335</v>
      </c>
      <c r="P68" s="1455">
        <v>3.3333333333333335</v>
      </c>
      <c r="Q68" s="1455">
        <v>3.3333333333333335</v>
      </c>
      <c r="R68" s="1455">
        <v>3.3333333333333335</v>
      </c>
      <c r="S68" s="1455">
        <v>3.3333333333333335</v>
      </c>
      <c r="T68" s="1455">
        <v>3.3333333333333335</v>
      </c>
      <c r="U68" s="1455">
        <v>3.3333333333333335</v>
      </c>
      <c r="V68" s="1455">
        <v>3.3333333333333335</v>
      </c>
      <c r="W68" s="1455">
        <v>3.3333333333333335</v>
      </c>
      <c r="X68" s="1455">
        <v>3.3333333333333335</v>
      </c>
      <c r="Y68" s="1455">
        <v>3.3333333333333335</v>
      </c>
      <c r="Z68" s="1455">
        <v>3.3333333333333335</v>
      </c>
      <c r="AA68" s="1455">
        <v>3.3333333333333335</v>
      </c>
      <c r="AB68" s="1455">
        <v>3.3333333333333335</v>
      </c>
      <c r="AC68" s="1455">
        <v>3.3333333333333335</v>
      </c>
      <c r="AD68" s="1455">
        <v>3.3333333333333335</v>
      </c>
      <c r="AE68" s="1455">
        <v>3.3333333333333335</v>
      </c>
      <c r="AF68" s="1455">
        <v>3.3333333333333335</v>
      </c>
      <c r="AG68" s="1455">
        <v>3.3333333333333335</v>
      </c>
      <c r="AH68" s="1455">
        <v>3.3333333333333335</v>
      </c>
      <c r="AI68" s="1455">
        <v>3.3333333333333335</v>
      </c>
      <c r="AJ68" s="1455">
        <v>3.3333333333333335</v>
      </c>
      <c r="AK68" s="1455">
        <v>3.3333333333333335</v>
      </c>
      <c r="AL68" s="1455">
        <v>3.3333333333333335</v>
      </c>
      <c r="AM68" s="1455">
        <v>3.3333333333333335</v>
      </c>
      <c r="AN68" s="1455">
        <v>3.3333333333333335</v>
      </c>
      <c r="AO68" s="1455">
        <v>3.3333333333333335</v>
      </c>
      <c r="AP68" s="77"/>
      <c r="AQ68" s="871">
        <f t="shared" ref="AQ68:AQ75" si="787">SUM(AR68:BU68)</f>
        <v>0</v>
      </c>
      <c r="AR68" s="871">
        <f t="shared" si="781"/>
        <v>0</v>
      </c>
      <c r="AS68" s="871">
        <f t="shared" si="781"/>
        <v>0</v>
      </c>
      <c r="AT68" s="871">
        <f t="shared" si="781"/>
        <v>0</v>
      </c>
      <c r="AU68" s="871">
        <f t="shared" si="781"/>
        <v>0</v>
      </c>
      <c r="AV68" s="871">
        <f t="shared" si="781"/>
        <v>0</v>
      </c>
      <c r="AW68" s="871">
        <f t="shared" si="781"/>
        <v>0</v>
      </c>
      <c r="AX68" s="871">
        <f t="shared" si="781"/>
        <v>0</v>
      </c>
      <c r="AY68" s="871">
        <f t="shared" si="781"/>
        <v>0</v>
      </c>
      <c r="AZ68" s="871">
        <f t="shared" si="781"/>
        <v>0</v>
      </c>
      <c r="BA68" s="871">
        <f t="shared" si="781"/>
        <v>0</v>
      </c>
      <c r="BB68" s="871">
        <f t="shared" si="782"/>
        <v>0</v>
      </c>
      <c r="BC68" s="871">
        <f t="shared" si="782"/>
        <v>0</v>
      </c>
      <c r="BD68" s="871">
        <f t="shared" si="782"/>
        <v>0</v>
      </c>
      <c r="BE68" s="871">
        <f t="shared" si="782"/>
        <v>0</v>
      </c>
      <c r="BF68" s="871">
        <f t="shared" si="782"/>
        <v>0</v>
      </c>
      <c r="BG68" s="871">
        <f t="shared" si="782"/>
        <v>0</v>
      </c>
      <c r="BH68" s="871">
        <f t="shared" si="782"/>
        <v>0</v>
      </c>
      <c r="BI68" s="871">
        <f t="shared" si="782"/>
        <v>0</v>
      </c>
      <c r="BJ68" s="871">
        <f t="shared" si="782"/>
        <v>0</v>
      </c>
      <c r="BK68" s="871">
        <f t="shared" si="782"/>
        <v>0</v>
      </c>
      <c r="BL68" s="871">
        <f t="shared" si="783"/>
        <v>0</v>
      </c>
      <c r="BM68" s="871">
        <f t="shared" si="783"/>
        <v>0</v>
      </c>
      <c r="BN68" s="871">
        <f t="shared" si="783"/>
        <v>0</v>
      </c>
      <c r="BO68" s="871">
        <f t="shared" si="783"/>
        <v>0</v>
      </c>
      <c r="BP68" s="871">
        <f t="shared" si="783"/>
        <v>0</v>
      </c>
      <c r="BQ68" s="871">
        <f t="shared" si="783"/>
        <v>0</v>
      </c>
      <c r="BR68" s="871">
        <f t="shared" si="783"/>
        <v>0</v>
      </c>
      <c r="BS68" s="871">
        <f t="shared" si="783"/>
        <v>0</v>
      </c>
      <c r="BT68" s="871">
        <f t="shared" si="783"/>
        <v>0</v>
      </c>
      <c r="BU68" s="871">
        <f t="shared" si="783"/>
        <v>0</v>
      </c>
      <c r="BV68" s="1453"/>
      <c r="BW68" s="871">
        <f t="shared" ref="BW68:BW74" ca="1" si="788">SUM(BX68:DA68)</f>
        <v>799.99999999999977</v>
      </c>
      <c r="BX68" s="871">
        <f t="shared" ca="1" si="784"/>
        <v>26.666666666666668</v>
      </c>
      <c r="BY68" s="871">
        <f t="shared" ca="1" si="784"/>
        <v>26.666666666666668</v>
      </c>
      <c r="BZ68" s="871">
        <f t="shared" ca="1" si="784"/>
        <v>26.666666666666668</v>
      </c>
      <c r="CA68" s="871">
        <f t="shared" ca="1" si="784"/>
        <v>26.666666666666668</v>
      </c>
      <c r="CB68" s="871">
        <f t="shared" ca="1" si="784"/>
        <v>26.666666666666668</v>
      </c>
      <c r="CC68" s="871">
        <f t="shared" ca="1" si="784"/>
        <v>26.666666666666668</v>
      </c>
      <c r="CD68" s="871">
        <f t="shared" ca="1" si="784"/>
        <v>26.666666666666668</v>
      </c>
      <c r="CE68" s="871">
        <f t="shared" ca="1" si="784"/>
        <v>26.666666666666668</v>
      </c>
      <c r="CF68" s="871">
        <f t="shared" ca="1" si="784"/>
        <v>26.666666666666668</v>
      </c>
      <c r="CG68" s="871">
        <f t="shared" ca="1" si="784"/>
        <v>26.666666666666668</v>
      </c>
      <c r="CH68" s="871">
        <f t="shared" ca="1" si="784"/>
        <v>26.666666666666668</v>
      </c>
      <c r="CI68" s="871">
        <f t="shared" ca="1" si="785"/>
        <v>26.666666666666668</v>
      </c>
      <c r="CJ68" s="871">
        <f t="shared" ca="1" si="785"/>
        <v>26.666666666666668</v>
      </c>
      <c r="CK68" s="871">
        <f t="shared" ca="1" si="785"/>
        <v>26.666666666666668</v>
      </c>
      <c r="CL68" s="871">
        <f t="shared" ca="1" si="785"/>
        <v>26.666666666666668</v>
      </c>
      <c r="CM68" s="871">
        <f t="shared" ca="1" si="785"/>
        <v>26.666666666666668</v>
      </c>
      <c r="CN68" s="871">
        <f t="shared" ca="1" si="785"/>
        <v>26.666666666666668</v>
      </c>
      <c r="CO68" s="871">
        <f t="shared" ca="1" si="785"/>
        <v>26.666666666666668</v>
      </c>
      <c r="CP68" s="871">
        <f t="shared" ca="1" si="785"/>
        <v>26.666666666666668</v>
      </c>
      <c r="CQ68" s="871">
        <f t="shared" ca="1" si="785"/>
        <v>26.666666666666668</v>
      </c>
      <c r="CR68" s="871">
        <f t="shared" ca="1" si="785"/>
        <v>26.666666666666668</v>
      </c>
      <c r="CS68" s="871">
        <f t="shared" ca="1" si="786"/>
        <v>26.666666666666668</v>
      </c>
      <c r="CT68" s="871">
        <f t="shared" ca="1" si="786"/>
        <v>26.666666666666668</v>
      </c>
      <c r="CU68" s="871">
        <f t="shared" ca="1" si="786"/>
        <v>26.666666666666668</v>
      </c>
      <c r="CV68" s="871">
        <f t="shared" ca="1" si="786"/>
        <v>26.666666666666668</v>
      </c>
      <c r="CW68" s="871">
        <f t="shared" ca="1" si="786"/>
        <v>26.666666666666668</v>
      </c>
      <c r="CX68" s="871">
        <f t="shared" ca="1" si="786"/>
        <v>26.666666666666668</v>
      </c>
      <c r="CY68" s="871">
        <f t="shared" ca="1" si="786"/>
        <v>26.666666666666668</v>
      </c>
      <c r="CZ68" s="871">
        <f t="shared" ca="1" si="786"/>
        <v>26.666666666666668</v>
      </c>
      <c r="DA68" s="871">
        <f t="shared" ca="1" si="786"/>
        <v>26.666666666666668</v>
      </c>
      <c r="DB68" s="41"/>
      <c r="DC68" s="871">
        <f t="shared" ca="1" si="58"/>
        <v>799.99999999999977</v>
      </c>
      <c r="DD68" s="871">
        <f t="shared" ca="1" si="59"/>
        <v>26.666666666666668</v>
      </c>
      <c r="DE68" s="871">
        <f t="shared" ca="1" si="60"/>
        <v>26.666666666666668</v>
      </c>
      <c r="DF68" s="871">
        <f t="shared" ca="1" si="61"/>
        <v>26.666666666666668</v>
      </c>
      <c r="DG68" s="871">
        <f t="shared" ca="1" si="62"/>
        <v>26.666666666666668</v>
      </c>
      <c r="DH68" s="871">
        <f t="shared" ca="1" si="63"/>
        <v>26.666666666666668</v>
      </c>
      <c r="DI68" s="871">
        <f t="shared" ca="1" si="64"/>
        <v>26.666666666666668</v>
      </c>
      <c r="DJ68" s="871">
        <f t="shared" ca="1" si="65"/>
        <v>26.666666666666668</v>
      </c>
      <c r="DK68" s="871">
        <f t="shared" ca="1" si="66"/>
        <v>26.666666666666668</v>
      </c>
      <c r="DL68" s="871">
        <f t="shared" ca="1" si="67"/>
        <v>26.666666666666668</v>
      </c>
      <c r="DM68" s="871">
        <f t="shared" ca="1" si="68"/>
        <v>26.666666666666668</v>
      </c>
      <c r="DN68" s="871">
        <f t="shared" ca="1" si="69"/>
        <v>26.666666666666668</v>
      </c>
      <c r="DO68" s="871">
        <f t="shared" ca="1" si="70"/>
        <v>26.666666666666668</v>
      </c>
      <c r="DP68" s="871">
        <f t="shared" ca="1" si="71"/>
        <v>26.666666666666668</v>
      </c>
      <c r="DQ68" s="871">
        <f t="shared" ca="1" si="72"/>
        <v>26.666666666666668</v>
      </c>
      <c r="DR68" s="871">
        <f t="shared" ca="1" si="73"/>
        <v>26.666666666666668</v>
      </c>
      <c r="DS68" s="871">
        <f t="shared" ca="1" si="74"/>
        <v>26.666666666666668</v>
      </c>
      <c r="DT68" s="871">
        <f t="shared" ca="1" si="75"/>
        <v>26.666666666666668</v>
      </c>
      <c r="DU68" s="871">
        <f t="shared" ca="1" si="76"/>
        <v>26.666666666666668</v>
      </c>
      <c r="DV68" s="871">
        <f t="shared" ca="1" si="77"/>
        <v>26.666666666666668</v>
      </c>
      <c r="DW68" s="871">
        <f t="shared" ca="1" si="78"/>
        <v>26.666666666666668</v>
      </c>
      <c r="DX68" s="871">
        <f t="shared" ca="1" si="79"/>
        <v>26.666666666666668</v>
      </c>
      <c r="DY68" s="871">
        <f t="shared" ca="1" si="80"/>
        <v>26.666666666666668</v>
      </c>
      <c r="DZ68" s="871">
        <f t="shared" ca="1" si="81"/>
        <v>26.666666666666668</v>
      </c>
      <c r="EA68" s="871">
        <f t="shared" ca="1" si="82"/>
        <v>26.666666666666668</v>
      </c>
      <c r="EB68" s="871">
        <f t="shared" ca="1" si="83"/>
        <v>26.666666666666668</v>
      </c>
      <c r="EC68" s="871">
        <f t="shared" ca="1" si="84"/>
        <v>26.666666666666668</v>
      </c>
      <c r="ED68" s="871">
        <f t="shared" ca="1" si="85"/>
        <v>26.666666666666668</v>
      </c>
      <c r="EE68" s="871">
        <f t="shared" ca="1" si="86"/>
        <v>26.666666666666668</v>
      </c>
      <c r="EF68" s="871">
        <f t="shared" ca="1" si="87"/>
        <v>26.666666666666668</v>
      </c>
      <c r="EG68" s="871">
        <f t="shared" ca="1" si="88"/>
        <v>26.666666666666668</v>
      </c>
    </row>
    <row r="69" spans="1:137" ht="12.75" customHeight="1">
      <c r="A69" s="595"/>
      <c r="B69" s="598"/>
      <c r="C69" s="599"/>
      <c r="D69" s="29">
        <v>8</v>
      </c>
      <c r="E69" s="1489" t="s">
        <v>1668</v>
      </c>
      <c r="F69" s="867"/>
      <c r="G69" s="868"/>
      <c r="H69" s="867"/>
      <c r="I69" s="869"/>
      <c r="J69" s="869"/>
      <c r="K69" s="76"/>
      <c r="L69" s="1479"/>
      <c r="M69" s="1479"/>
      <c r="N69" s="1479"/>
      <c r="O69" s="1479"/>
      <c r="P69" s="1479"/>
      <c r="Q69" s="1479"/>
      <c r="R69" s="1479"/>
      <c r="S69" s="1479"/>
      <c r="T69" s="1479"/>
      <c r="U69" s="1479"/>
      <c r="V69" s="1479"/>
      <c r="W69" s="1479"/>
      <c r="X69" s="1479"/>
      <c r="Y69" s="1479"/>
      <c r="Z69" s="1479"/>
      <c r="AA69" s="1479"/>
      <c r="AB69" s="1479"/>
      <c r="AC69" s="1479"/>
      <c r="AD69" s="1479"/>
      <c r="AE69" s="1479"/>
      <c r="AF69" s="1479"/>
      <c r="AG69" s="1479"/>
      <c r="AH69" s="1479"/>
      <c r="AI69" s="1479"/>
      <c r="AJ69" s="1479"/>
      <c r="AK69" s="1479"/>
      <c r="AL69" s="1479"/>
      <c r="AM69" s="1479"/>
      <c r="AN69" s="1479"/>
      <c r="AO69" s="1479"/>
      <c r="AP69" s="77"/>
      <c r="AQ69" s="1496">
        <f>SUBTOTAL(9,AQ70:AQ71)</f>
        <v>0</v>
      </c>
      <c r="AR69" s="1496">
        <f t="shared" ref="AR69" si="789">SUBTOTAL(9,AR70:AR71)</f>
        <v>0</v>
      </c>
      <c r="AS69" s="1496">
        <f t="shared" ref="AS69" si="790">SUBTOTAL(9,AS70:AS71)</f>
        <v>0</v>
      </c>
      <c r="AT69" s="1496">
        <f t="shared" ref="AT69" si="791">SUBTOTAL(9,AT70:AT71)</f>
        <v>0</v>
      </c>
      <c r="AU69" s="1496">
        <f t="shared" ref="AU69" si="792">SUBTOTAL(9,AU70:AU71)</f>
        <v>0</v>
      </c>
      <c r="AV69" s="1496">
        <f t="shared" ref="AV69" si="793">SUBTOTAL(9,AV70:AV71)</f>
        <v>0</v>
      </c>
      <c r="AW69" s="1496">
        <f t="shared" ref="AW69" si="794">SUBTOTAL(9,AW70:AW71)</f>
        <v>0</v>
      </c>
      <c r="AX69" s="1496">
        <f t="shared" ref="AX69" si="795">SUBTOTAL(9,AX70:AX71)</f>
        <v>0</v>
      </c>
      <c r="AY69" s="1496">
        <f t="shared" ref="AY69" si="796">SUBTOTAL(9,AY70:AY71)</f>
        <v>0</v>
      </c>
      <c r="AZ69" s="1496">
        <f t="shared" ref="AZ69" si="797">SUBTOTAL(9,AZ70:AZ71)</f>
        <v>0</v>
      </c>
      <c r="BA69" s="1496">
        <f t="shared" ref="BA69" si="798">SUBTOTAL(9,BA70:BA71)</f>
        <v>0</v>
      </c>
      <c r="BB69" s="1496">
        <f t="shared" ref="BB69" si="799">SUBTOTAL(9,BB70:BB71)</f>
        <v>0</v>
      </c>
      <c r="BC69" s="1496">
        <f t="shared" ref="BC69" si="800">SUBTOTAL(9,BC70:BC71)</f>
        <v>0</v>
      </c>
      <c r="BD69" s="1496">
        <f t="shared" ref="BD69" si="801">SUBTOTAL(9,BD70:BD71)</f>
        <v>0</v>
      </c>
      <c r="BE69" s="1496">
        <f t="shared" ref="BE69" si="802">SUBTOTAL(9,BE70:BE71)</f>
        <v>0</v>
      </c>
      <c r="BF69" s="1496">
        <f t="shared" ref="BF69" si="803">SUBTOTAL(9,BF70:BF71)</f>
        <v>0</v>
      </c>
      <c r="BG69" s="1496">
        <f t="shared" ref="BG69" si="804">SUBTOTAL(9,BG70:BG71)</f>
        <v>0</v>
      </c>
      <c r="BH69" s="1496">
        <f t="shared" ref="BH69" si="805">SUBTOTAL(9,BH70:BH71)</f>
        <v>0</v>
      </c>
      <c r="BI69" s="1496">
        <f t="shared" ref="BI69" si="806">SUBTOTAL(9,BI70:BI71)</f>
        <v>0</v>
      </c>
      <c r="BJ69" s="1496">
        <f t="shared" ref="BJ69" si="807">SUBTOTAL(9,BJ70:BJ71)</f>
        <v>0</v>
      </c>
      <c r="BK69" s="1496">
        <f t="shared" ref="BK69" si="808">SUBTOTAL(9,BK70:BK71)</f>
        <v>0</v>
      </c>
      <c r="BL69" s="1496">
        <f t="shared" ref="BL69" si="809">SUBTOTAL(9,BL70:BL71)</f>
        <v>0</v>
      </c>
      <c r="BM69" s="1496">
        <f t="shared" ref="BM69" si="810">SUBTOTAL(9,BM70:BM71)</f>
        <v>0</v>
      </c>
      <c r="BN69" s="1496">
        <f t="shared" ref="BN69" si="811">SUBTOTAL(9,BN70:BN71)</f>
        <v>0</v>
      </c>
      <c r="BO69" s="1496">
        <f t="shared" ref="BO69:BU69" si="812">SUBTOTAL(9,BO70:BO71)</f>
        <v>0</v>
      </c>
      <c r="BP69" s="1496">
        <f t="shared" si="812"/>
        <v>0</v>
      </c>
      <c r="BQ69" s="1496">
        <f t="shared" si="812"/>
        <v>0</v>
      </c>
      <c r="BR69" s="1496">
        <f t="shared" si="812"/>
        <v>0</v>
      </c>
      <c r="BS69" s="1496">
        <f t="shared" si="812"/>
        <v>0</v>
      </c>
      <c r="BT69" s="1496">
        <f t="shared" si="812"/>
        <v>0</v>
      </c>
      <c r="BU69" s="1496">
        <f t="shared" si="812"/>
        <v>0</v>
      </c>
      <c r="BV69" s="1453"/>
      <c r="BW69" s="1496">
        <f t="shared" ref="BW69" ca="1" si="813">SUBTOTAL(9,BW70:BW71)</f>
        <v>480</v>
      </c>
      <c r="BX69" s="1496">
        <f t="shared" ref="BX69" ca="1" si="814">SUBTOTAL(9,BX70:BX71)</f>
        <v>16</v>
      </c>
      <c r="BY69" s="1496">
        <f t="shared" ref="BY69" ca="1" si="815">SUBTOTAL(9,BY70:BY71)</f>
        <v>16</v>
      </c>
      <c r="BZ69" s="1496">
        <f t="shared" ref="BZ69" ca="1" si="816">SUBTOTAL(9,BZ70:BZ71)</f>
        <v>16</v>
      </c>
      <c r="CA69" s="1496">
        <f t="shared" ref="CA69" ca="1" si="817">SUBTOTAL(9,CA70:CA71)</f>
        <v>16</v>
      </c>
      <c r="CB69" s="1496">
        <f t="shared" ref="CB69" ca="1" si="818">SUBTOTAL(9,CB70:CB71)</f>
        <v>16</v>
      </c>
      <c r="CC69" s="1496">
        <f t="shared" ref="CC69" ca="1" si="819">SUBTOTAL(9,CC70:CC71)</f>
        <v>16</v>
      </c>
      <c r="CD69" s="1496">
        <f t="shared" ref="CD69" ca="1" si="820">SUBTOTAL(9,CD70:CD71)</f>
        <v>16</v>
      </c>
      <c r="CE69" s="1496">
        <f t="shared" ref="CE69" ca="1" si="821">SUBTOTAL(9,CE70:CE71)</f>
        <v>16</v>
      </c>
      <c r="CF69" s="1496">
        <f t="shared" ref="CF69" ca="1" si="822">SUBTOTAL(9,CF70:CF71)</f>
        <v>16</v>
      </c>
      <c r="CG69" s="1496">
        <f t="shared" ref="CG69" ca="1" si="823">SUBTOTAL(9,CG70:CG71)</f>
        <v>16</v>
      </c>
      <c r="CH69" s="1496">
        <f t="shared" ref="CH69" ca="1" si="824">SUBTOTAL(9,CH70:CH71)</f>
        <v>16</v>
      </c>
      <c r="CI69" s="1496">
        <f t="shared" ref="CI69" ca="1" si="825">SUBTOTAL(9,CI70:CI71)</f>
        <v>16</v>
      </c>
      <c r="CJ69" s="1496">
        <f t="shared" ref="CJ69" ca="1" si="826">SUBTOTAL(9,CJ70:CJ71)</f>
        <v>16</v>
      </c>
      <c r="CK69" s="1496">
        <f t="shared" ref="CK69" ca="1" si="827">SUBTOTAL(9,CK70:CK71)</f>
        <v>16</v>
      </c>
      <c r="CL69" s="1496">
        <f t="shared" ref="CL69" ca="1" si="828">SUBTOTAL(9,CL70:CL71)</f>
        <v>16</v>
      </c>
      <c r="CM69" s="1496">
        <f t="shared" ref="CM69" ca="1" si="829">SUBTOTAL(9,CM70:CM71)</f>
        <v>16</v>
      </c>
      <c r="CN69" s="1496">
        <f t="shared" ref="CN69" ca="1" si="830">SUBTOTAL(9,CN70:CN71)</f>
        <v>16</v>
      </c>
      <c r="CO69" s="1496">
        <f t="shared" ref="CO69" ca="1" si="831">SUBTOTAL(9,CO70:CO71)</f>
        <v>16</v>
      </c>
      <c r="CP69" s="1496">
        <f t="shared" ref="CP69" ca="1" si="832">SUBTOTAL(9,CP70:CP71)</f>
        <v>16</v>
      </c>
      <c r="CQ69" s="1496">
        <f t="shared" ref="CQ69" ca="1" si="833">SUBTOTAL(9,CQ70:CQ71)</f>
        <v>16</v>
      </c>
      <c r="CR69" s="1496">
        <f t="shared" ref="CR69" ca="1" si="834">SUBTOTAL(9,CR70:CR71)</f>
        <v>16</v>
      </c>
      <c r="CS69" s="1496">
        <f t="shared" ref="CS69" ca="1" si="835">SUBTOTAL(9,CS70:CS71)</f>
        <v>16</v>
      </c>
      <c r="CT69" s="1496">
        <f t="shared" ref="CT69" ca="1" si="836">SUBTOTAL(9,CT70:CT71)</f>
        <v>16</v>
      </c>
      <c r="CU69" s="1496">
        <f t="shared" ref="CU69:DA69" ca="1" si="837">SUBTOTAL(9,CU70:CU71)</f>
        <v>16</v>
      </c>
      <c r="CV69" s="1496">
        <f t="shared" ca="1" si="837"/>
        <v>16</v>
      </c>
      <c r="CW69" s="1496">
        <f t="shared" ca="1" si="837"/>
        <v>16</v>
      </c>
      <c r="CX69" s="1496">
        <f t="shared" ca="1" si="837"/>
        <v>16</v>
      </c>
      <c r="CY69" s="1496">
        <f t="shared" ca="1" si="837"/>
        <v>16</v>
      </c>
      <c r="CZ69" s="1496">
        <f t="shared" ca="1" si="837"/>
        <v>16</v>
      </c>
      <c r="DA69" s="1496">
        <f t="shared" ca="1" si="837"/>
        <v>16</v>
      </c>
      <c r="DB69" s="41"/>
      <c r="DC69" s="1496">
        <f t="shared" ca="1" si="58"/>
        <v>480</v>
      </c>
      <c r="DD69" s="1496">
        <f t="shared" ca="1" si="59"/>
        <v>16</v>
      </c>
      <c r="DE69" s="1496">
        <f t="shared" ca="1" si="60"/>
        <v>16</v>
      </c>
      <c r="DF69" s="1496">
        <f t="shared" ca="1" si="61"/>
        <v>16</v>
      </c>
      <c r="DG69" s="1496">
        <f t="shared" ca="1" si="62"/>
        <v>16</v>
      </c>
      <c r="DH69" s="1496">
        <f t="shared" ca="1" si="63"/>
        <v>16</v>
      </c>
      <c r="DI69" s="1496">
        <f t="shared" ca="1" si="64"/>
        <v>16</v>
      </c>
      <c r="DJ69" s="1496">
        <f t="shared" ca="1" si="65"/>
        <v>16</v>
      </c>
      <c r="DK69" s="1496">
        <f t="shared" ca="1" si="66"/>
        <v>16</v>
      </c>
      <c r="DL69" s="1496">
        <f t="shared" ca="1" si="67"/>
        <v>16</v>
      </c>
      <c r="DM69" s="1496">
        <f t="shared" ca="1" si="68"/>
        <v>16</v>
      </c>
      <c r="DN69" s="1496">
        <f t="shared" ca="1" si="69"/>
        <v>16</v>
      </c>
      <c r="DO69" s="1496">
        <f t="shared" ca="1" si="70"/>
        <v>16</v>
      </c>
      <c r="DP69" s="1496">
        <f t="shared" ca="1" si="71"/>
        <v>16</v>
      </c>
      <c r="DQ69" s="1496">
        <f t="shared" ca="1" si="72"/>
        <v>16</v>
      </c>
      <c r="DR69" s="1496">
        <f t="shared" ca="1" si="73"/>
        <v>16</v>
      </c>
      <c r="DS69" s="1496">
        <f t="shared" ca="1" si="74"/>
        <v>16</v>
      </c>
      <c r="DT69" s="1496">
        <f t="shared" ca="1" si="75"/>
        <v>16</v>
      </c>
      <c r="DU69" s="1496">
        <f t="shared" ca="1" si="76"/>
        <v>16</v>
      </c>
      <c r="DV69" s="1496">
        <f t="shared" ca="1" si="77"/>
        <v>16</v>
      </c>
      <c r="DW69" s="1496">
        <f t="shared" ca="1" si="78"/>
        <v>16</v>
      </c>
      <c r="DX69" s="1496">
        <f t="shared" ca="1" si="79"/>
        <v>16</v>
      </c>
      <c r="DY69" s="1496">
        <f t="shared" ca="1" si="80"/>
        <v>16</v>
      </c>
      <c r="DZ69" s="1496">
        <f t="shared" ca="1" si="81"/>
        <v>16</v>
      </c>
      <c r="EA69" s="1496">
        <f t="shared" ca="1" si="82"/>
        <v>16</v>
      </c>
      <c r="EB69" s="1496">
        <f t="shared" ca="1" si="83"/>
        <v>16</v>
      </c>
      <c r="EC69" s="1496">
        <f t="shared" ca="1" si="84"/>
        <v>16</v>
      </c>
      <c r="ED69" s="1496">
        <f t="shared" ca="1" si="85"/>
        <v>16</v>
      </c>
      <c r="EE69" s="1496">
        <f t="shared" ca="1" si="86"/>
        <v>16</v>
      </c>
      <c r="EF69" s="1496">
        <f t="shared" ca="1" si="87"/>
        <v>16</v>
      </c>
      <c r="EG69" s="1496">
        <f t="shared" ca="1" si="88"/>
        <v>16</v>
      </c>
    </row>
    <row r="70" spans="1:137" ht="12.75" customHeight="1">
      <c r="A70" s="595"/>
      <c r="B70" s="598"/>
      <c r="C70" s="599"/>
      <c r="E70" s="1498" t="s">
        <v>1669</v>
      </c>
      <c r="F70" s="867" t="s">
        <v>1664</v>
      </c>
      <c r="G70" s="868">
        <v>5</v>
      </c>
      <c r="H70" s="867">
        <v>2000</v>
      </c>
      <c r="I70" s="869">
        <v>0.05</v>
      </c>
      <c r="J70" s="869">
        <v>0.05</v>
      </c>
      <c r="K70" s="76"/>
      <c r="L70" s="1455">
        <v>5</v>
      </c>
      <c r="M70" s="1455">
        <v>5</v>
      </c>
      <c r="N70" s="1455">
        <v>5</v>
      </c>
      <c r="O70" s="1455">
        <v>5</v>
      </c>
      <c r="P70" s="1455">
        <v>5</v>
      </c>
      <c r="Q70" s="1455">
        <v>5</v>
      </c>
      <c r="R70" s="1455">
        <v>5</v>
      </c>
      <c r="S70" s="1455">
        <v>5</v>
      </c>
      <c r="T70" s="1455">
        <v>5</v>
      </c>
      <c r="U70" s="1455">
        <v>5</v>
      </c>
      <c r="V70" s="1455">
        <v>5</v>
      </c>
      <c r="W70" s="1455">
        <v>5</v>
      </c>
      <c r="X70" s="1455">
        <v>5</v>
      </c>
      <c r="Y70" s="1455">
        <v>5</v>
      </c>
      <c r="Z70" s="1455">
        <v>5</v>
      </c>
      <c r="AA70" s="1455">
        <v>5</v>
      </c>
      <c r="AB70" s="1455">
        <v>5</v>
      </c>
      <c r="AC70" s="1455">
        <v>5</v>
      </c>
      <c r="AD70" s="1455">
        <v>5</v>
      </c>
      <c r="AE70" s="1455">
        <v>5</v>
      </c>
      <c r="AF70" s="1455">
        <v>5</v>
      </c>
      <c r="AG70" s="1455">
        <v>5</v>
      </c>
      <c r="AH70" s="1455">
        <v>5</v>
      </c>
      <c r="AI70" s="1455">
        <v>5</v>
      </c>
      <c r="AJ70" s="1455">
        <v>5</v>
      </c>
      <c r="AK70" s="1455">
        <v>5</v>
      </c>
      <c r="AL70" s="1455">
        <v>5</v>
      </c>
      <c r="AM70" s="1455">
        <v>5</v>
      </c>
      <c r="AN70" s="1455">
        <v>5</v>
      </c>
      <c r="AO70" s="1455">
        <v>5</v>
      </c>
      <c r="AP70" s="77"/>
      <c r="AQ70" s="871">
        <f t="shared" si="787"/>
        <v>0</v>
      </c>
      <c r="AR70" s="871">
        <f t="shared" ref="AR70:BA71" si="838">VLOOKUP($E70,Par,6,0)*L70/1000</f>
        <v>0</v>
      </c>
      <c r="AS70" s="871">
        <f t="shared" si="838"/>
        <v>0</v>
      </c>
      <c r="AT70" s="871">
        <f t="shared" si="838"/>
        <v>0</v>
      </c>
      <c r="AU70" s="871">
        <f t="shared" si="838"/>
        <v>0</v>
      </c>
      <c r="AV70" s="871">
        <f t="shared" si="838"/>
        <v>0</v>
      </c>
      <c r="AW70" s="871">
        <f t="shared" si="838"/>
        <v>0</v>
      </c>
      <c r="AX70" s="871">
        <f t="shared" si="838"/>
        <v>0</v>
      </c>
      <c r="AY70" s="871">
        <f t="shared" si="838"/>
        <v>0</v>
      </c>
      <c r="AZ70" s="871">
        <f t="shared" si="838"/>
        <v>0</v>
      </c>
      <c r="BA70" s="871">
        <f t="shared" si="838"/>
        <v>0</v>
      </c>
      <c r="BB70" s="871">
        <f t="shared" ref="BB70:BK71" si="839">VLOOKUP($E70,Par,6,0)*V70/1000</f>
        <v>0</v>
      </c>
      <c r="BC70" s="871">
        <f t="shared" si="839"/>
        <v>0</v>
      </c>
      <c r="BD70" s="871">
        <f t="shared" si="839"/>
        <v>0</v>
      </c>
      <c r="BE70" s="871">
        <f t="shared" si="839"/>
        <v>0</v>
      </c>
      <c r="BF70" s="871">
        <f t="shared" si="839"/>
        <v>0</v>
      </c>
      <c r="BG70" s="871">
        <f t="shared" si="839"/>
        <v>0</v>
      </c>
      <c r="BH70" s="871">
        <f t="shared" si="839"/>
        <v>0</v>
      </c>
      <c r="BI70" s="871">
        <f t="shared" si="839"/>
        <v>0</v>
      </c>
      <c r="BJ70" s="871">
        <f t="shared" si="839"/>
        <v>0</v>
      </c>
      <c r="BK70" s="871">
        <f t="shared" si="839"/>
        <v>0</v>
      </c>
      <c r="BL70" s="871">
        <f t="shared" ref="BL70:BU71" si="840">VLOOKUP($E70,Par,6,0)*AF70/1000</f>
        <v>0</v>
      </c>
      <c r="BM70" s="871">
        <f t="shared" si="840"/>
        <v>0</v>
      </c>
      <c r="BN70" s="871">
        <f t="shared" si="840"/>
        <v>0</v>
      </c>
      <c r="BO70" s="871">
        <f t="shared" si="840"/>
        <v>0</v>
      </c>
      <c r="BP70" s="871">
        <f t="shared" si="840"/>
        <v>0</v>
      </c>
      <c r="BQ70" s="871">
        <f t="shared" si="840"/>
        <v>0</v>
      </c>
      <c r="BR70" s="871">
        <f t="shared" si="840"/>
        <v>0</v>
      </c>
      <c r="BS70" s="871">
        <f t="shared" si="840"/>
        <v>0</v>
      </c>
      <c r="BT70" s="871">
        <f t="shared" si="840"/>
        <v>0</v>
      </c>
      <c r="BU70" s="871">
        <f t="shared" si="840"/>
        <v>0</v>
      </c>
      <c r="BV70" s="1453"/>
      <c r="BW70" s="871">
        <f t="shared" ca="1" si="788"/>
        <v>300</v>
      </c>
      <c r="BX70" s="871">
        <f t="shared" ref="BX70:CH71" ca="1" si="841">($H70/$G70*INDIRECT($F70)+($I70+$J70)*VLOOKUP($E70,Par,2,0))*L70/1000</f>
        <v>10</v>
      </c>
      <c r="BY70" s="871">
        <f t="shared" ca="1" si="841"/>
        <v>10</v>
      </c>
      <c r="BZ70" s="871">
        <f t="shared" ca="1" si="841"/>
        <v>10</v>
      </c>
      <c r="CA70" s="871">
        <f t="shared" ca="1" si="841"/>
        <v>10</v>
      </c>
      <c r="CB70" s="871">
        <f t="shared" ca="1" si="841"/>
        <v>10</v>
      </c>
      <c r="CC70" s="871">
        <f t="shared" ca="1" si="841"/>
        <v>10</v>
      </c>
      <c r="CD70" s="871">
        <f t="shared" ca="1" si="841"/>
        <v>10</v>
      </c>
      <c r="CE70" s="871">
        <f t="shared" ca="1" si="841"/>
        <v>10</v>
      </c>
      <c r="CF70" s="871">
        <f t="shared" ca="1" si="841"/>
        <v>10</v>
      </c>
      <c r="CG70" s="871">
        <f t="shared" ca="1" si="841"/>
        <v>10</v>
      </c>
      <c r="CH70" s="871">
        <f t="shared" ca="1" si="841"/>
        <v>10</v>
      </c>
      <c r="CI70" s="871">
        <f t="shared" ref="CI70:CR71" ca="1" si="842">($H70/$G70*INDIRECT($F70)+($I70+$J70)*VLOOKUP($E70,Par,2,0))*W70/1000</f>
        <v>10</v>
      </c>
      <c r="CJ70" s="871">
        <f t="shared" ca="1" si="842"/>
        <v>10</v>
      </c>
      <c r="CK70" s="871">
        <f t="shared" ca="1" si="842"/>
        <v>10</v>
      </c>
      <c r="CL70" s="871">
        <f t="shared" ca="1" si="842"/>
        <v>10</v>
      </c>
      <c r="CM70" s="871">
        <f t="shared" ca="1" si="842"/>
        <v>10</v>
      </c>
      <c r="CN70" s="871">
        <f t="shared" ca="1" si="842"/>
        <v>10</v>
      </c>
      <c r="CO70" s="871">
        <f t="shared" ca="1" si="842"/>
        <v>10</v>
      </c>
      <c r="CP70" s="871">
        <f t="shared" ca="1" si="842"/>
        <v>10</v>
      </c>
      <c r="CQ70" s="871">
        <f t="shared" ca="1" si="842"/>
        <v>10</v>
      </c>
      <c r="CR70" s="871">
        <f t="shared" ca="1" si="842"/>
        <v>10</v>
      </c>
      <c r="CS70" s="871">
        <f t="shared" ref="CS70:DA71" ca="1" si="843">($H70/$G70*INDIRECT($F70)+($I70+$J70)*VLOOKUP($E70,Par,2,0))*AG70/1000</f>
        <v>10</v>
      </c>
      <c r="CT70" s="871">
        <f t="shared" ca="1" si="843"/>
        <v>10</v>
      </c>
      <c r="CU70" s="871">
        <f t="shared" ca="1" si="843"/>
        <v>10</v>
      </c>
      <c r="CV70" s="871">
        <f t="shared" ca="1" si="843"/>
        <v>10</v>
      </c>
      <c r="CW70" s="871">
        <f t="shared" ca="1" si="843"/>
        <v>10</v>
      </c>
      <c r="CX70" s="871">
        <f t="shared" ca="1" si="843"/>
        <v>10</v>
      </c>
      <c r="CY70" s="871">
        <f t="shared" ca="1" si="843"/>
        <v>10</v>
      </c>
      <c r="CZ70" s="871">
        <f t="shared" ca="1" si="843"/>
        <v>10</v>
      </c>
      <c r="DA70" s="871">
        <f t="shared" ca="1" si="843"/>
        <v>10</v>
      </c>
      <c r="DB70" s="41"/>
      <c r="DC70" s="871">
        <f t="shared" ca="1" si="58"/>
        <v>300</v>
      </c>
      <c r="DD70" s="871">
        <f t="shared" ca="1" si="59"/>
        <v>10</v>
      </c>
      <c r="DE70" s="871">
        <f t="shared" ca="1" si="60"/>
        <v>10</v>
      </c>
      <c r="DF70" s="871">
        <f t="shared" ca="1" si="61"/>
        <v>10</v>
      </c>
      <c r="DG70" s="871">
        <f t="shared" ca="1" si="62"/>
        <v>10</v>
      </c>
      <c r="DH70" s="871">
        <f t="shared" ca="1" si="63"/>
        <v>10</v>
      </c>
      <c r="DI70" s="871">
        <f t="shared" ca="1" si="64"/>
        <v>10</v>
      </c>
      <c r="DJ70" s="871">
        <f t="shared" ca="1" si="65"/>
        <v>10</v>
      </c>
      <c r="DK70" s="871">
        <f t="shared" ca="1" si="66"/>
        <v>10</v>
      </c>
      <c r="DL70" s="871">
        <f t="shared" ca="1" si="67"/>
        <v>10</v>
      </c>
      <c r="DM70" s="871">
        <f t="shared" ca="1" si="68"/>
        <v>10</v>
      </c>
      <c r="DN70" s="871">
        <f t="shared" ca="1" si="69"/>
        <v>10</v>
      </c>
      <c r="DO70" s="871">
        <f t="shared" ca="1" si="70"/>
        <v>10</v>
      </c>
      <c r="DP70" s="871">
        <f t="shared" ca="1" si="71"/>
        <v>10</v>
      </c>
      <c r="DQ70" s="871">
        <f t="shared" ca="1" si="72"/>
        <v>10</v>
      </c>
      <c r="DR70" s="871">
        <f t="shared" ca="1" si="73"/>
        <v>10</v>
      </c>
      <c r="DS70" s="871">
        <f t="shared" ca="1" si="74"/>
        <v>10</v>
      </c>
      <c r="DT70" s="871">
        <f t="shared" ca="1" si="75"/>
        <v>10</v>
      </c>
      <c r="DU70" s="871">
        <f t="shared" ca="1" si="76"/>
        <v>10</v>
      </c>
      <c r="DV70" s="871">
        <f t="shared" ca="1" si="77"/>
        <v>10</v>
      </c>
      <c r="DW70" s="871">
        <f t="shared" ca="1" si="78"/>
        <v>10</v>
      </c>
      <c r="DX70" s="871">
        <f t="shared" ca="1" si="79"/>
        <v>10</v>
      </c>
      <c r="DY70" s="871">
        <f t="shared" ca="1" si="80"/>
        <v>10</v>
      </c>
      <c r="DZ70" s="871">
        <f t="shared" ca="1" si="81"/>
        <v>10</v>
      </c>
      <c r="EA70" s="871">
        <f t="shared" ca="1" si="82"/>
        <v>10</v>
      </c>
      <c r="EB70" s="871">
        <f t="shared" ca="1" si="83"/>
        <v>10</v>
      </c>
      <c r="EC70" s="871">
        <f t="shared" ca="1" si="84"/>
        <v>10</v>
      </c>
      <c r="ED70" s="871">
        <f t="shared" ca="1" si="85"/>
        <v>10</v>
      </c>
      <c r="EE70" s="871">
        <f t="shared" ca="1" si="86"/>
        <v>10</v>
      </c>
      <c r="EF70" s="871">
        <f t="shared" ca="1" si="87"/>
        <v>10</v>
      </c>
      <c r="EG70" s="871">
        <f t="shared" ca="1" si="88"/>
        <v>10</v>
      </c>
    </row>
    <row r="71" spans="1:137">
      <c r="A71" s="595"/>
      <c r="B71" s="598"/>
      <c r="C71" s="599"/>
      <c r="E71" s="1498" t="s">
        <v>1670</v>
      </c>
      <c r="F71" s="867" t="s">
        <v>1664</v>
      </c>
      <c r="G71" s="868">
        <v>5</v>
      </c>
      <c r="H71" s="867">
        <v>3000</v>
      </c>
      <c r="I71" s="869">
        <v>0.05</v>
      </c>
      <c r="J71" s="869">
        <v>0.05</v>
      </c>
      <c r="K71" s="76"/>
      <c r="L71" s="1455">
        <v>2</v>
      </c>
      <c r="M71" s="1455">
        <v>2</v>
      </c>
      <c r="N71" s="1455">
        <v>2</v>
      </c>
      <c r="O71" s="1455">
        <v>2</v>
      </c>
      <c r="P71" s="1455">
        <v>2</v>
      </c>
      <c r="Q71" s="1455">
        <v>2</v>
      </c>
      <c r="R71" s="1455">
        <v>2</v>
      </c>
      <c r="S71" s="1455">
        <v>2</v>
      </c>
      <c r="T71" s="1455">
        <v>2</v>
      </c>
      <c r="U71" s="1455">
        <v>2</v>
      </c>
      <c r="V71" s="1455">
        <v>2</v>
      </c>
      <c r="W71" s="1455">
        <v>2</v>
      </c>
      <c r="X71" s="1455">
        <v>2</v>
      </c>
      <c r="Y71" s="1455">
        <v>2</v>
      </c>
      <c r="Z71" s="1455">
        <v>2</v>
      </c>
      <c r="AA71" s="1455">
        <v>2</v>
      </c>
      <c r="AB71" s="1455">
        <v>2</v>
      </c>
      <c r="AC71" s="1455">
        <v>2</v>
      </c>
      <c r="AD71" s="1455">
        <v>2</v>
      </c>
      <c r="AE71" s="1455">
        <v>2</v>
      </c>
      <c r="AF71" s="1455">
        <v>2</v>
      </c>
      <c r="AG71" s="1455">
        <v>2</v>
      </c>
      <c r="AH71" s="1455">
        <v>2</v>
      </c>
      <c r="AI71" s="1455">
        <v>2</v>
      </c>
      <c r="AJ71" s="1455">
        <v>2</v>
      </c>
      <c r="AK71" s="1455">
        <v>2</v>
      </c>
      <c r="AL71" s="1455">
        <v>2</v>
      </c>
      <c r="AM71" s="1455">
        <v>2</v>
      </c>
      <c r="AN71" s="1455">
        <v>2</v>
      </c>
      <c r="AO71" s="1455">
        <v>2</v>
      </c>
      <c r="AP71" s="1452"/>
      <c r="AQ71" s="871">
        <f t="shared" si="787"/>
        <v>0</v>
      </c>
      <c r="AR71" s="871">
        <f t="shared" si="838"/>
        <v>0</v>
      </c>
      <c r="AS71" s="871">
        <f t="shared" si="838"/>
        <v>0</v>
      </c>
      <c r="AT71" s="871">
        <f t="shared" si="838"/>
        <v>0</v>
      </c>
      <c r="AU71" s="871">
        <f t="shared" si="838"/>
        <v>0</v>
      </c>
      <c r="AV71" s="871">
        <f t="shared" si="838"/>
        <v>0</v>
      </c>
      <c r="AW71" s="871">
        <f t="shared" si="838"/>
        <v>0</v>
      </c>
      <c r="AX71" s="871">
        <f t="shared" si="838"/>
        <v>0</v>
      </c>
      <c r="AY71" s="871">
        <f t="shared" si="838"/>
        <v>0</v>
      </c>
      <c r="AZ71" s="871">
        <f t="shared" si="838"/>
        <v>0</v>
      </c>
      <c r="BA71" s="871">
        <f t="shared" si="838"/>
        <v>0</v>
      </c>
      <c r="BB71" s="871">
        <f t="shared" si="839"/>
        <v>0</v>
      </c>
      <c r="BC71" s="871">
        <f t="shared" si="839"/>
        <v>0</v>
      </c>
      <c r="BD71" s="871">
        <f t="shared" si="839"/>
        <v>0</v>
      </c>
      <c r="BE71" s="871">
        <f t="shared" si="839"/>
        <v>0</v>
      </c>
      <c r="BF71" s="871">
        <f t="shared" si="839"/>
        <v>0</v>
      </c>
      <c r="BG71" s="871">
        <f t="shared" si="839"/>
        <v>0</v>
      </c>
      <c r="BH71" s="871">
        <f t="shared" si="839"/>
        <v>0</v>
      </c>
      <c r="BI71" s="871">
        <f t="shared" si="839"/>
        <v>0</v>
      </c>
      <c r="BJ71" s="871">
        <f t="shared" si="839"/>
        <v>0</v>
      </c>
      <c r="BK71" s="871">
        <f t="shared" si="839"/>
        <v>0</v>
      </c>
      <c r="BL71" s="871">
        <f t="shared" si="840"/>
        <v>0</v>
      </c>
      <c r="BM71" s="871">
        <f t="shared" si="840"/>
        <v>0</v>
      </c>
      <c r="BN71" s="871">
        <f t="shared" si="840"/>
        <v>0</v>
      </c>
      <c r="BO71" s="871">
        <f t="shared" si="840"/>
        <v>0</v>
      </c>
      <c r="BP71" s="871">
        <f t="shared" si="840"/>
        <v>0</v>
      </c>
      <c r="BQ71" s="871">
        <f t="shared" si="840"/>
        <v>0</v>
      </c>
      <c r="BR71" s="871">
        <f t="shared" si="840"/>
        <v>0</v>
      </c>
      <c r="BS71" s="871">
        <f t="shared" si="840"/>
        <v>0</v>
      </c>
      <c r="BT71" s="871">
        <f t="shared" si="840"/>
        <v>0</v>
      </c>
      <c r="BU71" s="871">
        <f t="shared" si="840"/>
        <v>0</v>
      </c>
      <c r="BV71" s="1453"/>
      <c r="BW71" s="871">
        <f t="shared" ca="1" si="788"/>
        <v>180</v>
      </c>
      <c r="BX71" s="871">
        <f t="shared" ca="1" si="841"/>
        <v>6</v>
      </c>
      <c r="BY71" s="871">
        <f t="shared" ca="1" si="841"/>
        <v>6</v>
      </c>
      <c r="BZ71" s="871">
        <f t="shared" ca="1" si="841"/>
        <v>6</v>
      </c>
      <c r="CA71" s="871">
        <f t="shared" ca="1" si="841"/>
        <v>6</v>
      </c>
      <c r="CB71" s="871">
        <f t="shared" ca="1" si="841"/>
        <v>6</v>
      </c>
      <c r="CC71" s="871">
        <f t="shared" ca="1" si="841"/>
        <v>6</v>
      </c>
      <c r="CD71" s="871">
        <f t="shared" ca="1" si="841"/>
        <v>6</v>
      </c>
      <c r="CE71" s="871">
        <f t="shared" ca="1" si="841"/>
        <v>6</v>
      </c>
      <c r="CF71" s="871">
        <f t="shared" ca="1" si="841"/>
        <v>6</v>
      </c>
      <c r="CG71" s="871">
        <f t="shared" ca="1" si="841"/>
        <v>6</v>
      </c>
      <c r="CH71" s="871">
        <f t="shared" ca="1" si="841"/>
        <v>6</v>
      </c>
      <c r="CI71" s="871">
        <f t="shared" ca="1" si="842"/>
        <v>6</v>
      </c>
      <c r="CJ71" s="871">
        <f t="shared" ca="1" si="842"/>
        <v>6</v>
      </c>
      <c r="CK71" s="871">
        <f t="shared" ca="1" si="842"/>
        <v>6</v>
      </c>
      <c r="CL71" s="871">
        <f t="shared" ca="1" si="842"/>
        <v>6</v>
      </c>
      <c r="CM71" s="871">
        <f t="shared" ca="1" si="842"/>
        <v>6</v>
      </c>
      <c r="CN71" s="871">
        <f t="shared" ca="1" si="842"/>
        <v>6</v>
      </c>
      <c r="CO71" s="871">
        <f t="shared" ca="1" si="842"/>
        <v>6</v>
      </c>
      <c r="CP71" s="871">
        <f t="shared" ca="1" si="842"/>
        <v>6</v>
      </c>
      <c r="CQ71" s="871">
        <f t="shared" ca="1" si="842"/>
        <v>6</v>
      </c>
      <c r="CR71" s="871">
        <f t="shared" ca="1" si="842"/>
        <v>6</v>
      </c>
      <c r="CS71" s="871">
        <f t="shared" ca="1" si="843"/>
        <v>6</v>
      </c>
      <c r="CT71" s="871">
        <f t="shared" ca="1" si="843"/>
        <v>6</v>
      </c>
      <c r="CU71" s="871">
        <f t="shared" ca="1" si="843"/>
        <v>6</v>
      </c>
      <c r="CV71" s="871">
        <f t="shared" ca="1" si="843"/>
        <v>6</v>
      </c>
      <c r="CW71" s="871">
        <f t="shared" ca="1" si="843"/>
        <v>6</v>
      </c>
      <c r="CX71" s="871">
        <f t="shared" ca="1" si="843"/>
        <v>6</v>
      </c>
      <c r="CY71" s="871">
        <f t="shared" ca="1" si="843"/>
        <v>6</v>
      </c>
      <c r="CZ71" s="871">
        <f t="shared" ca="1" si="843"/>
        <v>6</v>
      </c>
      <c r="DA71" s="871">
        <f t="shared" ca="1" si="843"/>
        <v>6</v>
      </c>
      <c r="DB71" s="41"/>
      <c r="DC71" s="871">
        <f t="shared" ca="1" si="58"/>
        <v>180</v>
      </c>
      <c r="DD71" s="871">
        <f t="shared" ca="1" si="59"/>
        <v>6</v>
      </c>
      <c r="DE71" s="871">
        <f t="shared" ca="1" si="60"/>
        <v>6</v>
      </c>
      <c r="DF71" s="871">
        <f t="shared" ca="1" si="61"/>
        <v>6</v>
      </c>
      <c r="DG71" s="871">
        <f t="shared" ca="1" si="62"/>
        <v>6</v>
      </c>
      <c r="DH71" s="871">
        <f t="shared" ca="1" si="63"/>
        <v>6</v>
      </c>
      <c r="DI71" s="871">
        <f t="shared" ca="1" si="64"/>
        <v>6</v>
      </c>
      <c r="DJ71" s="871">
        <f t="shared" ca="1" si="65"/>
        <v>6</v>
      </c>
      <c r="DK71" s="871">
        <f t="shared" ca="1" si="66"/>
        <v>6</v>
      </c>
      <c r="DL71" s="871">
        <f t="shared" ca="1" si="67"/>
        <v>6</v>
      </c>
      <c r="DM71" s="871">
        <f t="shared" ca="1" si="68"/>
        <v>6</v>
      </c>
      <c r="DN71" s="871">
        <f t="shared" ca="1" si="69"/>
        <v>6</v>
      </c>
      <c r="DO71" s="871">
        <f t="shared" ca="1" si="70"/>
        <v>6</v>
      </c>
      <c r="DP71" s="871">
        <f t="shared" ca="1" si="71"/>
        <v>6</v>
      </c>
      <c r="DQ71" s="871">
        <f t="shared" ca="1" si="72"/>
        <v>6</v>
      </c>
      <c r="DR71" s="871">
        <f t="shared" ca="1" si="73"/>
        <v>6</v>
      </c>
      <c r="DS71" s="871">
        <f t="shared" ca="1" si="74"/>
        <v>6</v>
      </c>
      <c r="DT71" s="871">
        <f t="shared" ca="1" si="75"/>
        <v>6</v>
      </c>
      <c r="DU71" s="871">
        <f t="shared" ca="1" si="76"/>
        <v>6</v>
      </c>
      <c r="DV71" s="871">
        <f t="shared" ca="1" si="77"/>
        <v>6</v>
      </c>
      <c r="DW71" s="871">
        <f t="shared" ca="1" si="78"/>
        <v>6</v>
      </c>
      <c r="DX71" s="871">
        <f t="shared" ca="1" si="79"/>
        <v>6</v>
      </c>
      <c r="DY71" s="871">
        <f t="shared" ca="1" si="80"/>
        <v>6</v>
      </c>
      <c r="DZ71" s="871">
        <f t="shared" ca="1" si="81"/>
        <v>6</v>
      </c>
      <c r="EA71" s="871">
        <f t="shared" ca="1" si="82"/>
        <v>6</v>
      </c>
      <c r="EB71" s="871">
        <f t="shared" ca="1" si="83"/>
        <v>6</v>
      </c>
      <c r="EC71" s="871">
        <f t="shared" ca="1" si="84"/>
        <v>6</v>
      </c>
      <c r="ED71" s="871">
        <f t="shared" ca="1" si="85"/>
        <v>6</v>
      </c>
      <c r="EE71" s="871">
        <f t="shared" ca="1" si="86"/>
        <v>6</v>
      </c>
      <c r="EF71" s="871">
        <f t="shared" ca="1" si="87"/>
        <v>6</v>
      </c>
      <c r="EG71" s="871">
        <f t="shared" ca="1" si="88"/>
        <v>6</v>
      </c>
    </row>
    <row r="72" spans="1:137">
      <c r="A72" s="595"/>
      <c r="B72" s="598"/>
      <c r="C72" s="599"/>
      <c r="D72" s="29">
        <v>1</v>
      </c>
      <c r="E72" s="1507" t="s">
        <v>200</v>
      </c>
      <c r="F72" s="867"/>
      <c r="G72" s="868"/>
      <c r="H72" s="867"/>
      <c r="I72" s="869"/>
      <c r="J72" s="869"/>
      <c r="K72" s="76"/>
      <c r="L72" s="1479"/>
      <c r="M72" s="1454"/>
      <c r="N72" s="1454"/>
      <c r="O72" s="1454"/>
      <c r="P72" s="1454"/>
      <c r="Q72" s="1454"/>
      <c r="R72" s="1454"/>
      <c r="S72" s="1454"/>
      <c r="T72" s="1454"/>
      <c r="U72" s="1454"/>
      <c r="V72" s="1454"/>
      <c r="W72" s="1454"/>
      <c r="X72" s="1454"/>
      <c r="Y72" s="1454"/>
      <c r="Z72" s="1454"/>
      <c r="AA72" s="1454"/>
      <c r="AB72" s="1454"/>
      <c r="AC72" s="1454"/>
      <c r="AD72" s="1454"/>
      <c r="AE72" s="1454"/>
      <c r="AF72" s="1454"/>
      <c r="AG72" s="1454"/>
      <c r="AH72" s="1454"/>
      <c r="AI72" s="1454"/>
      <c r="AJ72" s="1454"/>
      <c r="AK72" s="1454"/>
      <c r="AL72" s="1454"/>
      <c r="AM72" s="1454"/>
      <c r="AN72" s="1454"/>
      <c r="AO72" s="1454"/>
      <c r="AP72" s="1452"/>
      <c r="AQ72" s="1496">
        <f t="shared" si="787"/>
        <v>0</v>
      </c>
      <c r="AR72" s="60">
        <f t="shared" ref="AR72" si="844">SUBTOTAL(9,AR73:AR75)</f>
        <v>0</v>
      </c>
      <c r="AS72" s="60">
        <f t="shared" ref="AS72" si="845">SUBTOTAL(9,AS73:AS75)</f>
        <v>0</v>
      </c>
      <c r="AT72" s="60">
        <f t="shared" ref="AT72" si="846">SUBTOTAL(9,AT73:AT75)</f>
        <v>0</v>
      </c>
      <c r="AU72" s="60">
        <f t="shared" ref="AU72" si="847">SUBTOTAL(9,AU73:AU75)</f>
        <v>0</v>
      </c>
      <c r="AV72" s="60">
        <f t="shared" ref="AV72" si="848">SUBTOTAL(9,AV73:AV75)</f>
        <v>0</v>
      </c>
      <c r="AW72" s="60">
        <f t="shared" ref="AW72" si="849">SUBTOTAL(9,AW73:AW75)</f>
        <v>0</v>
      </c>
      <c r="AX72" s="60">
        <f t="shared" ref="AX72" si="850">SUBTOTAL(9,AX73:AX75)</f>
        <v>0</v>
      </c>
      <c r="AY72" s="60">
        <f t="shared" ref="AY72" si="851">SUBTOTAL(9,AY73:AY75)</f>
        <v>0</v>
      </c>
      <c r="AZ72" s="60">
        <f t="shared" ref="AZ72" si="852">SUBTOTAL(9,AZ73:AZ75)</f>
        <v>0</v>
      </c>
      <c r="BA72" s="60">
        <f t="shared" ref="BA72" si="853">SUBTOTAL(9,BA73:BA75)</f>
        <v>0</v>
      </c>
      <c r="BB72" s="60">
        <f t="shared" ref="BB72" si="854">SUBTOTAL(9,BB73:BB75)</f>
        <v>0</v>
      </c>
      <c r="BC72" s="60">
        <f t="shared" ref="BC72" si="855">SUBTOTAL(9,BC73:BC75)</f>
        <v>0</v>
      </c>
      <c r="BD72" s="60">
        <f t="shared" ref="BD72" si="856">SUBTOTAL(9,BD73:BD75)</f>
        <v>0</v>
      </c>
      <c r="BE72" s="60">
        <f t="shared" ref="BE72" si="857">SUBTOTAL(9,BE73:BE75)</f>
        <v>0</v>
      </c>
      <c r="BF72" s="60">
        <f t="shared" ref="BF72" si="858">SUBTOTAL(9,BF73:BF75)</f>
        <v>0</v>
      </c>
      <c r="BG72" s="60">
        <f t="shared" ref="BG72" si="859">SUBTOTAL(9,BG73:BG75)</f>
        <v>0</v>
      </c>
      <c r="BH72" s="60">
        <f t="shared" ref="BH72" si="860">SUBTOTAL(9,BH73:BH75)</f>
        <v>0</v>
      </c>
      <c r="BI72" s="60">
        <f t="shared" ref="BI72" si="861">SUBTOTAL(9,BI73:BI75)</f>
        <v>0</v>
      </c>
      <c r="BJ72" s="60">
        <f t="shared" ref="BJ72" si="862">SUBTOTAL(9,BJ73:BJ75)</f>
        <v>0</v>
      </c>
      <c r="BK72" s="60">
        <f t="shared" ref="BK72" si="863">SUBTOTAL(9,BK73:BK75)</f>
        <v>0</v>
      </c>
      <c r="BL72" s="60">
        <f t="shared" ref="BL72" si="864">SUBTOTAL(9,BL73:BL75)</f>
        <v>0</v>
      </c>
      <c r="BM72" s="60">
        <f t="shared" ref="BM72" si="865">SUBTOTAL(9,BM73:BM75)</f>
        <v>0</v>
      </c>
      <c r="BN72" s="60">
        <f t="shared" ref="BN72" si="866">SUBTOTAL(9,BN73:BN75)</f>
        <v>0</v>
      </c>
      <c r="BO72" s="60">
        <f t="shared" ref="BO72:BU72" si="867">SUBTOTAL(9,BO73:BO75)</f>
        <v>0</v>
      </c>
      <c r="BP72" s="60">
        <f t="shared" si="867"/>
        <v>0</v>
      </c>
      <c r="BQ72" s="60">
        <f t="shared" si="867"/>
        <v>0</v>
      </c>
      <c r="BR72" s="60">
        <f t="shared" si="867"/>
        <v>0</v>
      </c>
      <c r="BS72" s="60">
        <f t="shared" si="867"/>
        <v>0</v>
      </c>
      <c r="BT72" s="60">
        <f t="shared" si="867"/>
        <v>0</v>
      </c>
      <c r="BU72" s="60">
        <f t="shared" si="867"/>
        <v>0</v>
      </c>
      <c r="BV72" s="58"/>
      <c r="BW72" s="1496">
        <f t="shared" ca="1" si="788"/>
        <v>180</v>
      </c>
      <c r="BX72" s="60">
        <f t="shared" ref="BX72" ca="1" si="868">SUBTOTAL(9,BX73:BX75)</f>
        <v>6</v>
      </c>
      <c r="BY72" s="60">
        <f t="shared" ref="BY72" ca="1" si="869">SUBTOTAL(9,BY73:BY75)</f>
        <v>6</v>
      </c>
      <c r="BZ72" s="60">
        <f t="shared" ref="BZ72" ca="1" si="870">SUBTOTAL(9,BZ73:BZ75)</f>
        <v>6</v>
      </c>
      <c r="CA72" s="60">
        <f t="shared" ref="CA72" ca="1" si="871">SUBTOTAL(9,CA73:CA75)</f>
        <v>6</v>
      </c>
      <c r="CB72" s="60">
        <f t="shared" ref="CB72" ca="1" si="872">SUBTOTAL(9,CB73:CB75)</f>
        <v>6</v>
      </c>
      <c r="CC72" s="60">
        <f t="shared" ref="CC72" ca="1" si="873">SUBTOTAL(9,CC73:CC75)</f>
        <v>6</v>
      </c>
      <c r="CD72" s="60">
        <f t="shared" ref="CD72" ca="1" si="874">SUBTOTAL(9,CD73:CD75)</f>
        <v>6</v>
      </c>
      <c r="CE72" s="60">
        <f t="shared" ref="CE72" ca="1" si="875">SUBTOTAL(9,CE73:CE75)</f>
        <v>6</v>
      </c>
      <c r="CF72" s="60">
        <f t="shared" ref="CF72" ca="1" si="876">SUBTOTAL(9,CF73:CF75)</f>
        <v>6</v>
      </c>
      <c r="CG72" s="60">
        <f t="shared" ref="CG72" ca="1" si="877">SUBTOTAL(9,CG73:CG75)</f>
        <v>6</v>
      </c>
      <c r="CH72" s="60">
        <f t="shared" ref="CH72" ca="1" si="878">SUBTOTAL(9,CH73:CH75)</f>
        <v>6</v>
      </c>
      <c r="CI72" s="60">
        <f t="shared" ref="CI72" ca="1" si="879">SUBTOTAL(9,CI73:CI75)</f>
        <v>6</v>
      </c>
      <c r="CJ72" s="60">
        <f t="shared" ref="CJ72" ca="1" si="880">SUBTOTAL(9,CJ73:CJ75)</f>
        <v>6</v>
      </c>
      <c r="CK72" s="60">
        <f t="shared" ref="CK72" ca="1" si="881">SUBTOTAL(9,CK73:CK75)</f>
        <v>6</v>
      </c>
      <c r="CL72" s="60">
        <f t="shared" ref="CL72" ca="1" si="882">SUBTOTAL(9,CL73:CL75)</f>
        <v>6</v>
      </c>
      <c r="CM72" s="60">
        <f t="shared" ref="CM72" ca="1" si="883">SUBTOTAL(9,CM73:CM75)</f>
        <v>6</v>
      </c>
      <c r="CN72" s="60">
        <f t="shared" ref="CN72" ca="1" si="884">SUBTOTAL(9,CN73:CN75)</f>
        <v>6</v>
      </c>
      <c r="CO72" s="60">
        <f t="shared" ref="CO72" ca="1" si="885">SUBTOTAL(9,CO73:CO75)</f>
        <v>6</v>
      </c>
      <c r="CP72" s="60">
        <f t="shared" ref="CP72" ca="1" si="886">SUBTOTAL(9,CP73:CP75)</f>
        <v>6</v>
      </c>
      <c r="CQ72" s="60">
        <f t="shared" ref="CQ72" ca="1" si="887">SUBTOTAL(9,CQ73:CQ75)</f>
        <v>6</v>
      </c>
      <c r="CR72" s="60">
        <f t="shared" ref="CR72" ca="1" si="888">SUBTOTAL(9,CR73:CR75)</f>
        <v>6</v>
      </c>
      <c r="CS72" s="60">
        <f t="shared" ref="CS72" ca="1" si="889">SUBTOTAL(9,CS73:CS75)</f>
        <v>6</v>
      </c>
      <c r="CT72" s="60">
        <f t="shared" ref="CT72" ca="1" si="890">SUBTOTAL(9,CT73:CT75)</f>
        <v>6</v>
      </c>
      <c r="CU72" s="60">
        <f t="shared" ref="CU72:DA72" ca="1" si="891">SUBTOTAL(9,CU73:CU75)</f>
        <v>6</v>
      </c>
      <c r="CV72" s="60">
        <f t="shared" ca="1" si="891"/>
        <v>6</v>
      </c>
      <c r="CW72" s="60">
        <f t="shared" ca="1" si="891"/>
        <v>6</v>
      </c>
      <c r="CX72" s="60">
        <f t="shared" ca="1" si="891"/>
        <v>6</v>
      </c>
      <c r="CY72" s="60">
        <f t="shared" ca="1" si="891"/>
        <v>6</v>
      </c>
      <c r="CZ72" s="60">
        <f t="shared" ca="1" si="891"/>
        <v>6</v>
      </c>
      <c r="DA72" s="60">
        <f t="shared" ca="1" si="891"/>
        <v>6</v>
      </c>
      <c r="DB72" s="41"/>
      <c r="DC72" s="871">
        <f t="shared" ref="DC72:DC119" ca="1" si="892">AQ72+BW72</f>
        <v>180</v>
      </c>
      <c r="DD72" s="60">
        <f t="shared" ref="DD72:DD119" ca="1" si="893">AR72+BX72</f>
        <v>6</v>
      </c>
      <c r="DE72" s="60">
        <f t="shared" ref="DE72:DE119" ca="1" si="894">AS72+BY72</f>
        <v>6</v>
      </c>
      <c r="DF72" s="60">
        <f t="shared" ref="DF72:DF119" ca="1" si="895">AT72+BZ72</f>
        <v>6</v>
      </c>
      <c r="DG72" s="60">
        <f t="shared" ref="DG72:DG119" ca="1" si="896">AU72+CA72</f>
        <v>6</v>
      </c>
      <c r="DH72" s="60">
        <f t="shared" ref="DH72:DH119" ca="1" si="897">AV72+CB72</f>
        <v>6</v>
      </c>
      <c r="DI72" s="60">
        <f t="shared" ref="DI72:DI119" ca="1" si="898">AW72+CC72</f>
        <v>6</v>
      </c>
      <c r="DJ72" s="60">
        <f t="shared" ref="DJ72:DJ119" ca="1" si="899">AX72+CD72</f>
        <v>6</v>
      </c>
      <c r="DK72" s="60">
        <f t="shared" ref="DK72:DK119" ca="1" si="900">AY72+CE72</f>
        <v>6</v>
      </c>
      <c r="DL72" s="60">
        <f t="shared" ref="DL72:DL119" ca="1" si="901">AZ72+CF72</f>
        <v>6</v>
      </c>
      <c r="DM72" s="60">
        <f t="shared" ref="DM72:DM119" ca="1" si="902">BA72+CG72</f>
        <v>6</v>
      </c>
      <c r="DN72" s="60">
        <f t="shared" ref="DN72:DN119" ca="1" si="903">BB72+CH72</f>
        <v>6</v>
      </c>
      <c r="DO72" s="60">
        <f t="shared" ref="DO72:DO119" ca="1" si="904">BC72+CI72</f>
        <v>6</v>
      </c>
      <c r="DP72" s="60">
        <f t="shared" ref="DP72:DP119" ca="1" si="905">BD72+CJ72</f>
        <v>6</v>
      </c>
      <c r="DQ72" s="60">
        <f t="shared" ref="DQ72:DQ119" ca="1" si="906">BE72+CK72</f>
        <v>6</v>
      </c>
      <c r="DR72" s="60">
        <f t="shared" ref="DR72:DR119" ca="1" si="907">BF72+CL72</f>
        <v>6</v>
      </c>
      <c r="DS72" s="60">
        <f t="shared" ref="DS72:DS119" ca="1" si="908">BG72+CM72</f>
        <v>6</v>
      </c>
      <c r="DT72" s="60">
        <f t="shared" ref="DT72:DT119" ca="1" si="909">BH72+CN72</f>
        <v>6</v>
      </c>
      <c r="DU72" s="60">
        <f t="shared" ref="DU72:DU119" ca="1" si="910">BI72+CO72</f>
        <v>6</v>
      </c>
      <c r="DV72" s="60">
        <f t="shared" ref="DV72:DV119" ca="1" si="911">BJ72+CP72</f>
        <v>6</v>
      </c>
      <c r="DW72" s="60">
        <f t="shared" ref="DW72:DW119" ca="1" si="912">BK72+CQ72</f>
        <v>6</v>
      </c>
      <c r="DX72" s="60">
        <f t="shared" ref="DX72:DX119" ca="1" si="913">BL72+CR72</f>
        <v>6</v>
      </c>
      <c r="DY72" s="60">
        <f t="shared" ref="DY72:DY119" ca="1" si="914">BM72+CS72</f>
        <v>6</v>
      </c>
      <c r="DZ72" s="60">
        <f t="shared" ref="DZ72:DZ119" ca="1" si="915">BN72+CT72</f>
        <v>6</v>
      </c>
      <c r="EA72" s="60">
        <f t="shared" ref="EA72:EA119" ca="1" si="916">BO72+CU72</f>
        <v>6</v>
      </c>
      <c r="EB72" s="60">
        <f t="shared" ref="EB72:EB119" ca="1" si="917">BP72+CV72</f>
        <v>6</v>
      </c>
      <c r="EC72" s="60">
        <f t="shared" ref="EC72:EC119" ca="1" si="918">BQ72+CW72</f>
        <v>6</v>
      </c>
      <c r="ED72" s="60">
        <f t="shared" ref="ED72:ED119" ca="1" si="919">BR72+CX72</f>
        <v>6</v>
      </c>
      <c r="EE72" s="60">
        <f t="shared" ref="EE72:EE119" ca="1" si="920">BS72+CY72</f>
        <v>6</v>
      </c>
      <c r="EF72" s="60">
        <f t="shared" ref="EF72:EF119" ca="1" si="921">BT72+CZ72</f>
        <v>6</v>
      </c>
      <c r="EG72" s="60">
        <f t="shared" ref="EG72:EG119" ca="1" si="922">BU72+DA72</f>
        <v>6</v>
      </c>
    </row>
    <row r="73" spans="1:137">
      <c r="A73" s="595"/>
      <c r="B73" s="598"/>
      <c r="C73" s="599"/>
      <c r="E73" s="1508"/>
      <c r="F73" s="867"/>
      <c r="G73" s="868"/>
      <c r="H73" s="867"/>
      <c r="I73" s="869"/>
      <c r="J73" s="869"/>
      <c r="K73" s="76"/>
      <c r="L73" s="1479"/>
      <c r="M73" s="1454"/>
      <c r="N73" s="1454"/>
      <c r="O73" s="1454"/>
      <c r="P73" s="1454"/>
      <c r="Q73" s="1454"/>
      <c r="R73" s="1454"/>
      <c r="S73" s="1454"/>
      <c r="T73" s="1454"/>
      <c r="U73" s="1454"/>
      <c r="V73" s="1454"/>
      <c r="W73" s="1454"/>
      <c r="X73" s="1454"/>
      <c r="Y73" s="1454"/>
      <c r="Z73" s="1454"/>
      <c r="AA73" s="1454"/>
      <c r="AB73" s="1454"/>
      <c r="AC73" s="1454"/>
      <c r="AD73" s="1454"/>
      <c r="AE73" s="1454"/>
      <c r="AF73" s="1454"/>
      <c r="AG73" s="1454"/>
      <c r="AH73" s="1454"/>
      <c r="AI73" s="1454"/>
      <c r="AJ73" s="1454"/>
      <c r="AK73" s="1454"/>
      <c r="AL73" s="1454"/>
      <c r="AM73" s="1454"/>
      <c r="AN73" s="1454"/>
      <c r="AO73" s="1454"/>
      <c r="AP73" s="1452"/>
      <c r="AQ73" s="871">
        <f t="shared" si="787"/>
        <v>0</v>
      </c>
      <c r="AR73" s="871"/>
      <c r="AS73" s="871"/>
      <c r="AT73" s="871"/>
      <c r="AU73" s="871"/>
      <c r="AV73" s="871"/>
      <c r="AW73" s="871"/>
      <c r="AX73" s="871"/>
      <c r="AY73" s="871"/>
      <c r="AZ73" s="871"/>
      <c r="BA73" s="871"/>
      <c r="BB73" s="871"/>
      <c r="BC73" s="871"/>
      <c r="BD73" s="871"/>
      <c r="BE73" s="871"/>
      <c r="BF73" s="871"/>
      <c r="BG73" s="871"/>
      <c r="BH73" s="871"/>
      <c r="BI73" s="871"/>
      <c r="BJ73" s="871"/>
      <c r="BK73" s="871"/>
      <c r="BL73" s="871"/>
      <c r="BM73" s="871"/>
      <c r="BN73" s="871"/>
      <c r="BO73" s="871"/>
      <c r="BP73" s="871"/>
      <c r="BQ73" s="871"/>
      <c r="BR73" s="871"/>
      <c r="BS73" s="871"/>
      <c r="BT73" s="871"/>
      <c r="BU73" s="871"/>
      <c r="BV73" s="1453"/>
      <c r="BW73" s="871">
        <f t="shared" si="788"/>
        <v>0</v>
      </c>
      <c r="BX73" s="871"/>
      <c r="BY73" s="871"/>
      <c r="BZ73" s="871"/>
      <c r="CA73" s="871"/>
      <c r="CB73" s="871"/>
      <c r="CC73" s="871"/>
      <c r="CD73" s="871"/>
      <c r="CE73" s="871"/>
      <c r="CF73" s="871"/>
      <c r="CG73" s="871"/>
      <c r="CH73" s="871"/>
      <c r="CI73" s="871"/>
      <c r="CJ73" s="871"/>
      <c r="CK73" s="871"/>
      <c r="CL73" s="871"/>
      <c r="CM73" s="871"/>
      <c r="CN73" s="871"/>
      <c r="CO73" s="871"/>
      <c r="CP73" s="871"/>
      <c r="CQ73" s="871"/>
      <c r="CR73" s="871"/>
      <c r="CS73" s="871"/>
      <c r="CT73" s="871"/>
      <c r="CU73" s="871"/>
      <c r="CV73" s="871"/>
      <c r="CW73" s="871"/>
      <c r="CX73" s="871"/>
      <c r="CY73" s="871"/>
      <c r="CZ73" s="871"/>
      <c r="DA73" s="871"/>
      <c r="DB73" s="41"/>
      <c r="DC73" s="871">
        <f t="shared" si="892"/>
        <v>0</v>
      </c>
      <c r="DD73" s="871">
        <f t="shared" si="893"/>
        <v>0</v>
      </c>
      <c r="DE73" s="871">
        <f t="shared" si="894"/>
        <v>0</v>
      </c>
      <c r="DF73" s="871">
        <f t="shared" si="895"/>
        <v>0</v>
      </c>
      <c r="DG73" s="871">
        <f t="shared" si="896"/>
        <v>0</v>
      </c>
      <c r="DH73" s="871">
        <f t="shared" si="897"/>
        <v>0</v>
      </c>
      <c r="DI73" s="871">
        <f t="shared" si="898"/>
        <v>0</v>
      </c>
      <c r="DJ73" s="871">
        <f t="shared" si="899"/>
        <v>0</v>
      </c>
      <c r="DK73" s="871">
        <f t="shared" si="900"/>
        <v>0</v>
      </c>
      <c r="DL73" s="871">
        <f t="shared" si="901"/>
        <v>0</v>
      </c>
      <c r="DM73" s="871">
        <f t="shared" si="902"/>
        <v>0</v>
      </c>
      <c r="DN73" s="871">
        <f t="shared" si="903"/>
        <v>0</v>
      </c>
      <c r="DO73" s="871">
        <f t="shared" si="904"/>
        <v>0</v>
      </c>
      <c r="DP73" s="871">
        <f t="shared" si="905"/>
        <v>0</v>
      </c>
      <c r="DQ73" s="871">
        <f t="shared" si="906"/>
        <v>0</v>
      </c>
      <c r="DR73" s="871">
        <f t="shared" si="907"/>
        <v>0</v>
      </c>
      <c r="DS73" s="871">
        <f t="shared" si="908"/>
        <v>0</v>
      </c>
      <c r="DT73" s="871">
        <f t="shared" si="909"/>
        <v>0</v>
      </c>
      <c r="DU73" s="871">
        <f t="shared" si="910"/>
        <v>0</v>
      </c>
      <c r="DV73" s="871">
        <f t="shared" si="911"/>
        <v>0</v>
      </c>
      <c r="DW73" s="871">
        <f t="shared" si="912"/>
        <v>0</v>
      </c>
      <c r="DX73" s="871">
        <f t="shared" si="913"/>
        <v>0</v>
      </c>
      <c r="DY73" s="871">
        <f t="shared" si="914"/>
        <v>0</v>
      </c>
      <c r="DZ73" s="871">
        <f t="shared" si="915"/>
        <v>0</v>
      </c>
      <c r="EA73" s="871">
        <f t="shared" si="916"/>
        <v>0</v>
      </c>
      <c r="EB73" s="871">
        <f t="shared" si="917"/>
        <v>0</v>
      </c>
      <c r="EC73" s="871">
        <f t="shared" si="918"/>
        <v>0</v>
      </c>
      <c r="ED73" s="871">
        <f t="shared" si="919"/>
        <v>0</v>
      </c>
      <c r="EE73" s="871">
        <f t="shared" si="920"/>
        <v>0</v>
      </c>
      <c r="EF73" s="871">
        <f t="shared" si="921"/>
        <v>0</v>
      </c>
      <c r="EG73" s="871">
        <f t="shared" si="922"/>
        <v>0</v>
      </c>
    </row>
    <row r="74" spans="1:137">
      <c r="A74" s="595"/>
      <c r="B74" s="598"/>
      <c r="C74" s="599"/>
      <c r="E74" s="1509" t="s">
        <v>1641</v>
      </c>
      <c r="F74" s="867" t="s">
        <v>1640</v>
      </c>
      <c r="G74" s="868">
        <v>12</v>
      </c>
      <c r="H74" s="867">
        <v>3000</v>
      </c>
      <c r="I74" s="869">
        <v>0.04</v>
      </c>
      <c r="J74" s="869">
        <v>0.03</v>
      </c>
      <c r="K74" s="76"/>
      <c r="L74" s="1510">
        <v>1</v>
      </c>
      <c r="M74" s="1510">
        <v>1</v>
      </c>
      <c r="N74" s="1510">
        <v>1</v>
      </c>
      <c r="O74" s="1510">
        <v>1</v>
      </c>
      <c r="P74" s="1510">
        <v>1</v>
      </c>
      <c r="Q74" s="1510">
        <v>1</v>
      </c>
      <c r="R74" s="1510">
        <v>1</v>
      </c>
      <c r="S74" s="1510">
        <v>1</v>
      </c>
      <c r="T74" s="1510">
        <v>1</v>
      </c>
      <c r="U74" s="1510">
        <v>1</v>
      </c>
      <c r="V74" s="1510">
        <v>1</v>
      </c>
      <c r="W74" s="1510">
        <v>1</v>
      </c>
      <c r="X74" s="1510">
        <v>1</v>
      </c>
      <c r="Y74" s="1510">
        <v>1</v>
      </c>
      <c r="Z74" s="1510">
        <v>1</v>
      </c>
      <c r="AA74" s="1510">
        <v>1</v>
      </c>
      <c r="AB74" s="1510">
        <v>1</v>
      </c>
      <c r="AC74" s="1510">
        <v>1</v>
      </c>
      <c r="AD74" s="1510">
        <v>1</v>
      </c>
      <c r="AE74" s="1510">
        <v>1</v>
      </c>
      <c r="AF74" s="1510">
        <v>1</v>
      </c>
      <c r="AG74" s="1510">
        <v>1</v>
      </c>
      <c r="AH74" s="1510">
        <v>1</v>
      </c>
      <c r="AI74" s="1510">
        <v>1</v>
      </c>
      <c r="AJ74" s="1510">
        <v>1</v>
      </c>
      <c r="AK74" s="1510">
        <v>1</v>
      </c>
      <c r="AL74" s="1510">
        <v>1</v>
      </c>
      <c r="AM74" s="1510">
        <v>1</v>
      </c>
      <c r="AN74" s="1510">
        <v>1</v>
      </c>
      <c r="AO74" s="1510">
        <v>1</v>
      </c>
      <c r="AP74" s="1452"/>
      <c r="AQ74" s="871">
        <f t="shared" si="787"/>
        <v>0</v>
      </c>
      <c r="AR74" s="871">
        <f t="shared" ref="AR74" si="923">VLOOKUP($E74,Par,6,0)*L74/1000</f>
        <v>0</v>
      </c>
      <c r="AS74" s="871">
        <f t="shared" ref="AS74" si="924">VLOOKUP($E74,Par,6,0)*M74/1000</f>
        <v>0</v>
      </c>
      <c r="AT74" s="871">
        <f t="shared" ref="AT74" si="925">VLOOKUP($E74,Par,6,0)*N74/1000</f>
        <v>0</v>
      </c>
      <c r="AU74" s="871">
        <f t="shared" ref="AU74" si="926">VLOOKUP($E74,Par,6,0)*O74/1000</f>
        <v>0</v>
      </c>
      <c r="AV74" s="871">
        <f t="shared" ref="AV74" si="927">VLOOKUP($E74,Par,6,0)*P74/1000</f>
        <v>0</v>
      </c>
      <c r="AW74" s="871">
        <f t="shared" ref="AW74" si="928">VLOOKUP($E74,Par,6,0)*Q74/1000</f>
        <v>0</v>
      </c>
      <c r="AX74" s="871">
        <f t="shared" ref="AX74" si="929">VLOOKUP($E74,Par,6,0)*R74/1000</f>
        <v>0</v>
      </c>
      <c r="AY74" s="871">
        <f t="shared" ref="AY74" si="930">VLOOKUP($E74,Par,6,0)*S74/1000</f>
        <v>0</v>
      </c>
      <c r="AZ74" s="871">
        <f t="shared" ref="AZ74" si="931">VLOOKUP($E74,Par,6,0)*T74/1000</f>
        <v>0</v>
      </c>
      <c r="BA74" s="871">
        <f t="shared" ref="BA74" si="932">VLOOKUP($E74,Par,6,0)*U74/1000</f>
        <v>0</v>
      </c>
      <c r="BB74" s="871">
        <f t="shared" ref="BB74" si="933">VLOOKUP($E74,Par,6,0)*V74/1000</f>
        <v>0</v>
      </c>
      <c r="BC74" s="871">
        <f t="shared" ref="BC74" si="934">VLOOKUP($E74,Par,6,0)*W74/1000</f>
        <v>0</v>
      </c>
      <c r="BD74" s="871">
        <f t="shared" ref="BD74" si="935">VLOOKUP($E74,Par,6,0)*X74/1000</f>
        <v>0</v>
      </c>
      <c r="BE74" s="871">
        <f t="shared" ref="BE74" si="936">VLOOKUP($E74,Par,6,0)*Y74/1000</f>
        <v>0</v>
      </c>
      <c r="BF74" s="871">
        <f t="shared" ref="BF74" si="937">VLOOKUP($E74,Par,6,0)*Z74/1000</f>
        <v>0</v>
      </c>
      <c r="BG74" s="871">
        <f t="shared" ref="BG74" si="938">VLOOKUP($E74,Par,6,0)*AA74/1000</f>
        <v>0</v>
      </c>
      <c r="BH74" s="871">
        <f t="shared" ref="BH74" si="939">VLOOKUP($E74,Par,6,0)*AB74/1000</f>
        <v>0</v>
      </c>
      <c r="BI74" s="871">
        <f t="shared" ref="BI74" si="940">VLOOKUP($E74,Par,6,0)*AC74/1000</f>
        <v>0</v>
      </c>
      <c r="BJ74" s="871">
        <f t="shared" ref="BJ74" si="941">VLOOKUP($E74,Par,6,0)*AD74/1000</f>
        <v>0</v>
      </c>
      <c r="BK74" s="871">
        <f t="shared" ref="BK74" si="942">VLOOKUP($E74,Par,6,0)*AE74/1000</f>
        <v>0</v>
      </c>
      <c r="BL74" s="871">
        <f t="shared" ref="BL74" si="943">VLOOKUP($E74,Par,6,0)*AF74/1000</f>
        <v>0</v>
      </c>
      <c r="BM74" s="871">
        <f t="shared" ref="BM74" si="944">VLOOKUP($E74,Par,6,0)*AG74/1000</f>
        <v>0</v>
      </c>
      <c r="BN74" s="871">
        <f t="shared" ref="BN74" si="945">VLOOKUP($E74,Par,6,0)*AH74/1000</f>
        <v>0</v>
      </c>
      <c r="BO74" s="871">
        <f t="shared" ref="BO74" si="946">VLOOKUP($E74,Par,6,0)*AI74/1000</f>
        <v>0</v>
      </c>
      <c r="BP74" s="871">
        <f t="shared" ref="BP74" si="947">VLOOKUP($E74,Par,6,0)*AJ74/1000</f>
        <v>0</v>
      </c>
      <c r="BQ74" s="871">
        <f t="shared" ref="BQ74" si="948">VLOOKUP($E74,Par,6,0)*AK74/1000</f>
        <v>0</v>
      </c>
      <c r="BR74" s="871">
        <f t="shared" ref="BR74" si="949">VLOOKUP($E74,Par,6,0)*AL74/1000</f>
        <v>0</v>
      </c>
      <c r="BS74" s="871">
        <f t="shared" ref="BS74" si="950">VLOOKUP($E74,Par,6,0)*AM74/1000</f>
        <v>0</v>
      </c>
      <c r="BT74" s="871">
        <f t="shared" ref="BT74" si="951">VLOOKUP($E74,Par,6,0)*AN74/1000</f>
        <v>0</v>
      </c>
      <c r="BU74" s="871">
        <f t="shared" ref="BU74" si="952">VLOOKUP($E74,Par,6,0)*AO74/1000</f>
        <v>0</v>
      </c>
      <c r="BV74" s="1453"/>
      <c r="BW74" s="871">
        <f t="shared" ca="1" si="788"/>
        <v>180</v>
      </c>
      <c r="BX74" s="871">
        <f t="shared" ref="BX74:DA74" ca="1" si="953">BX71</f>
        <v>6</v>
      </c>
      <c r="BY74" s="871">
        <f t="shared" ca="1" si="953"/>
        <v>6</v>
      </c>
      <c r="BZ74" s="871">
        <f t="shared" ca="1" si="953"/>
        <v>6</v>
      </c>
      <c r="CA74" s="871">
        <f t="shared" ca="1" si="953"/>
        <v>6</v>
      </c>
      <c r="CB74" s="871">
        <f t="shared" ca="1" si="953"/>
        <v>6</v>
      </c>
      <c r="CC74" s="871">
        <f t="shared" ca="1" si="953"/>
        <v>6</v>
      </c>
      <c r="CD74" s="871">
        <f t="shared" ca="1" si="953"/>
        <v>6</v>
      </c>
      <c r="CE74" s="871">
        <f t="shared" ca="1" si="953"/>
        <v>6</v>
      </c>
      <c r="CF74" s="871">
        <f t="shared" ca="1" si="953"/>
        <v>6</v>
      </c>
      <c r="CG74" s="871">
        <f t="shared" ca="1" si="953"/>
        <v>6</v>
      </c>
      <c r="CH74" s="871">
        <f t="shared" ca="1" si="953"/>
        <v>6</v>
      </c>
      <c r="CI74" s="871">
        <f t="shared" ca="1" si="953"/>
        <v>6</v>
      </c>
      <c r="CJ74" s="871">
        <f t="shared" ca="1" si="953"/>
        <v>6</v>
      </c>
      <c r="CK74" s="871">
        <f t="shared" ca="1" si="953"/>
        <v>6</v>
      </c>
      <c r="CL74" s="871">
        <f t="shared" ca="1" si="953"/>
        <v>6</v>
      </c>
      <c r="CM74" s="871">
        <f t="shared" ca="1" si="953"/>
        <v>6</v>
      </c>
      <c r="CN74" s="871">
        <f t="shared" ca="1" si="953"/>
        <v>6</v>
      </c>
      <c r="CO74" s="871">
        <f t="shared" ca="1" si="953"/>
        <v>6</v>
      </c>
      <c r="CP74" s="871">
        <f t="shared" ca="1" si="953"/>
        <v>6</v>
      </c>
      <c r="CQ74" s="871">
        <f t="shared" ca="1" si="953"/>
        <v>6</v>
      </c>
      <c r="CR74" s="871">
        <f t="shared" ca="1" si="953"/>
        <v>6</v>
      </c>
      <c r="CS74" s="871">
        <f t="shared" ca="1" si="953"/>
        <v>6</v>
      </c>
      <c r="CT74" s="871">
        <f t="shared" ca="1" si="953"/>
        <v>6</v>
      </c>
      <c r="CU74" s="871">
        <f t="shared" ca="1" si="953"/>
        <v>6</v>
      </c>
      <c r="CV74" s="871">
        <f t="shared" ca="1" si="953"/>
        <v>6</v>
      </c>
      <c r="CW74" s="871">
        <f t="shared" ca="1" si="953"/>
        <v>6</v>
      </c>
      <c r="CX74" s="871">
        <f t="shared" ca="1" si="953"/>
        <v>6</v>
      </c>
      <c r="CY74" s="871">
        <f t="shared" ca="1" si="953"/>
        <v>6</v>
      </c>
      <c r="CZ74" s="871">
        <f t="shared" ca="1" si="953"/>
        <v>6</v>
      </c>
      <c r="DA74" s="871">
        <f t="shared" ca="1" si="953"/>
        <v>6</v>
      </c>
      <c r="DB74" s="41"/>
      <c r="DC74" s="871">
        <f t="shared" ca="1" si="892"/>
        <v>180</v>
      </c>
      <c r="DD74" s="871">
        <f t="shared" ca="1" si="893"/>
        <v>6</v>
      </c>
      <c r="DE74" s="871">
        <f t="shared" ca="1" si="894"/>
        <v>6</v>
      </c>
      <c r="DF74" s="871">
        <f t="shared" ca="1" si="895"/>
        <v>6</v>
      </c>
      <c r="DG74" s="871">
        <f t="shared" ca="1" si="896"/>
        <v>6</v>
      </c>
      <c r="DH74" s="871">
        <f t="shared" ca="1" si="897"/>
        <v>6</v>
      </c>
      <c r="DI74" s="871">
        <f t="shared" ca="1" si="898"/>
        <v>6</v>
      </c>
      <c r="DJ74" s="871">
        <f t="shared" ca="1" si="899"/>
        <v>6</v>
      </c>
      <c r="DK74" s="871">
        <f t="shared" ca="1" si="900"/>
        <v>6</v>
      </c>
      <c r="DL74" s="871">
        <f t="shared" ca="1" si="901"/>
        <v>6</v>
      </c>
      <c r="DM74" s="871">
        <f t="shared" ca="1" si="902"/>
        <v>6</v>
      </c>
      <c r="DN74" s="871">
        <f t="shared" ca="1" si="903"/>
        <v>6</v>
      </c>
      <c r="DO74" s="871">
        <f t="shared" ca="1" si="904"/>
        <v>6</v>
      </c>
      <c r="DP74" s="871">
        <f t="shared" ca="1" si="905"/>
        <v>6</v>
      </c>
      <c r="DQ74" s="871">
        <f t="shared" ca="1" si="906"/>
        <v>6</v>
      </c>
      <c r="DR74" s="871">
        <f t="shared" ca="1" si="907"/>
        <v>6</v>
      </c>
      <c r="DS74" s="871">
        <f t="shared" ca="1" si="908"/>
        <v>6</v>
      </c>
      <c r="DT74" s="871">
        <f t="shared" ca="1" si="909"/>
        <v>6</v>
      </c>
      <c r="DU74" s="871">
        <f t="shared" ca="1" si="910"/>
        <v>6</v>
      </c>
      <c r="DV74" s="871">
        <f t="shared" ca="1" si="911"/>
        <v>6</v>
      </c>
      <c r="DW74" s="871">
        <f t="shared" ca="1" si="912"/>
        <v>6</v>
      </c>
      <c r="DX74" s="871">
        <f t="shared" ca="1" si="913"/>
        <v>6</v>
      </c>
      <c r="DY74" s="871">
        <f t="shared" ca="1" si="914"/>
        <v>6</v>
      </c>
      <c r="DZ74" s="871">
        <f t="shared" ca="1" si="915"/>
        <v>6</v>
      </c>
      <c r="EA74" s="871">
        <f t="shared" ca="1" si="916"/>
        <v>6</v>
      </c>
      <c r="EB74" s="871">
        <f t="shared" ca="1" si="917"/>
        <v>6</v>
      </c>
      <c r="EC74" s="871">
        <f t="shared" ca="1" si="918"/>
        <v>6</v>
      </c>
      <c r="ED74" s="871">
        <f t="shared" ca="1" si="919"/>
        <v>6</v>
      </c>
      <c r="EE74" s="871">
        <f t="shared" ca="1" si="920"/>
        <v>6</v>
      </c>
      <c r="EF74" s="871">
        <f t="shared" ca="1" si="921"/>
        <v>6</v>
      </c>
      <c r="EG74" s="871">
        <f t="shared" ca="1" si="922"/>
        <v>6</v>
      </c>
    </row>
    <row r="75" spans="1:137">
      <c r="A75" s="595"/>
      <c r="B75" s="598"/>
      <c r="C75" s="599"/>
      <c r="E75" s="1511"/>
      <c r="F75" s="867"/>
      <c r="G75" s="868"/>
      <c r="H75" s="867"/>
      <c r="I75" s="869"/>
      <c r="J75" s="869"/>
      <c r="K75" s="76"/>
      <c r="L75" s="1479"/>
      <c r="M75" s="1454"/>
      <c r="N75" s="1454"/>
      <c r="O75" s="1454"/>
      <c r="P75" s="1454"/>
      <c r="Q75" s="1454"/>
      <c r="R75" s="1454"/>
      <c r="S75" s="1454"/>
      <c r="T75" s="1454"/>
      <c r="U75" s="1454"/>
      <c r="V75" s="1454"/>
      <c r="W75" s="1454"/>
      <c r="X75" s="1454"/>
      <c r="Y75" s="1454"/>
      <c r="Z75" s="1454"/>
      <c r="AA75" s="1454"/>
      <c r="AB75" s="1454"/>
      <c r="AC75" s="1454"/>
      <c r="AD75" s="1454"/>
      <c r="AE75" s="1454"/>
      <c r="AF75" s="1454"/>
      <c r="AG75" s="1454"/>
      <c r="AH75" s="1454"/>
      <c r="AI75" s="1454"/>
      <c r="AJ75" s="1454"/>
      <c r="AK75" s="1454"/>
      <c r="AL75" s="1454"/>
      <c r="AM75" s="1454"/>
      <c r="AN75" s="1454"/>
      <c r="AO75" s="1454"/>
      <c r="AP75" s="1452"/>
      <c r="AQ75" s="871">
        <f t="shared" si="787"/>
        <v>0</v>
      </c>
      <c r="AR75" s="871"/>
      <c r="AS75" s="871"/>
      <c r="AT75" s="871"/>
      <c r="AU75" s="871"/>
      <c r="AV75" s="871"/>
      <c r="AW75" s="871"/>
      <c r="AX75" s="871"/>
      <c r="AY75" s="871"/>
      <c r="AZ75" s="871"/>
      <c r="BA75" s="871"/>
      <c r="BB75" s="871"/>
      <c r="BC75" s="871"/>
      <c r="BD75" s="871"/>
      <c r="BE75" s="871"/>
      <c r="BF75" s="871"/>
      <c r="BG75" s="871"/>
      <c r="BH75" s="871"/>
      <c r="BI75" s="871"/>
      <c r="BJ75" s="871"/>
      <c r="BK75" s="871"/>
      <c r="BL75" s="871"/>
      <c r="BM75" s="871"/>
      <c r="BN75" s="871"/>
      <c r="BO75" s="871"/>
      <c r="BP75" s="871"/>
      <c r="BQ75" s="871"/>
      <c r="BR75" s="871"/>
      <c r="BS75" s="871"/>
      <c r="BT75" s="871"/>
      <c r="BU75" s="871"/>
      <c r="BV75" s="1453"/>
      <c r="BW75" s="871"/>
      <c r="BX75" s="871"/>
      <c r="BY75" s="871"/>
      <c r="BZ75" s="871"/>
      <c r="CA75" s="871"/>
      <c r="CB75" s="871"/>
      <c r="CC75" s="871"/>
      <c r="CD75" s="871"/>
      <c r="CE75" s="871"/>
      <c r="CF75" s="871"/>
      <c r="CG75" s="871"/>
      <c r="CH75" s="871"/>
      <c r="CI75" s="871"/>
      <c r="CJ75" s="871"/>
      <c r="CK75" s="871"/>
      <c r="CL75" s="871"/>
      <c r="CM75" s="871"/>
      <c r="CN75" s="871"/>
      <c r="CO75" s="871"/>
      <c r="CP75" s="871"/>
      <c r="CQ75" s="871"/>
      <c r="CR75" s="871"/>
      <c r="CS75" s="871"/>
      <c r="CT75" s="871"/>
      <c r="CU75" s="871"/>
      <c r="CV75" s="871"/>
      <c r="CW75" s="871"/>
      <c r="CX75" s="871"/>
      <c r="CY75" s="871"/>
      <c r="CZ75" s="871"/>
      <c r="DA75" s="871"/>
      <c r="DB75" s="41"/>
      <c r="DC75" s="871">
        <f t="shared" si="892"/>
        <v>0</v>
      </c>
      <c r="DD75" s="871">
        <f t="shared" si="893"/>
        <v>0</v>
      </c>
      <c r="DE75" s="871">
        <f t="shared" si="894"/>
        <v>0</v>
      </c>
      <c r="DF75" s="871">
        <f t="shared" si="895"/>
        <v>0</v>
      </c>
      <c r="DG75" s="871">
        <f t="shared" si="896"/>
        <v>0</v>
      </c>
      <c r="DH75" s="871">
        <f t="shared" si="897"/>
        <v>0</v>
      </c>
      <c r="DI75" s="871">
        <f t="shared" si="898"/>
        <v>0</v>
      </c>
      <c r="DJ75" s="871">
        <f t="shared" si="899"/>
        <v>0</v>
      </c>
      <c r="DK75" s="871">
        <f t="shared" si="900"/>
        <v>0</v>
      </c>
      <c r="DL75" s="871">
        <f t="shared" si="901"/>
        <v>0</v>
      </c>
      <c r="DM75" s="871">
        <f t="shared" si="902"/>
        <v>0</v>
      </c>
      <c r="DN75" s="871">
        <f t="shared" si="903"/>
        <v>0</v>
      </c>
      <c r="DO75" s="871">
        <f t="shared" si="904"/>
        <v>0</v>
      </c>
      <c r="DP75" s="871">
        <f t="shared" si="905"/>
        <v>0</v>
      </c>
      <c r="DQ75" s="871">
        <f t="shared" si="906"/>
        <v>0</v>
      </c>
      <c r="DR75" s="871">
        <f t="shared" si="907"/>
        <v>0</v>
      </c>
      <c r="DS75" s="871">
        <f t="shared" si="908"/>
        <v>0</v>
      </c>
      <c r="DT75" s="871">
        <f t="shared" si="909"/>
        <v>0</v>
      </c>
      <c r="DU75" s="871">
        <f t="shared" si="910"/>
        <v>0</v>
      </c>
      <c r="DV75" s="871">
        <f t="shared" si="911"/>
        <v>0</v>
      </c>
      <c r="DW75" s="871">
        <f t="shared" si="912"/>
        <v>0</v>
      </c>
      <c r="DX75" s="871">
        <f t="shared" si="913"/>
        <v>0</v>
      </c>
      <c r="DY75" s="871">
        <f t="shared" si="914"/>
        <v>0</v>
      </c>
      <c r="DZ75" s="871">
        <f t="shared" si="915"/>
        <v>0</v>
      </c>
      <c r="EA75" s="871">
        <f t="shared" si="916"/>
        <v>0</v>
      </c>
      <c r="EB75" s="871">
        <f t="shared" si="917"/>
        <v>0</v>
      </c>
      <c r="EC75" s="871">
        <f t="shared" si="918"/>
        <v>0</v>
      </c>
      <c r="ED75" s="871">
        <f t="shared" si="919"/>
        <v>0</v>
      </c>
      <c r="EE75" s="871">
        <f t="shared" si="920"/>
        <v>0</v>
      </c>
      <c r="EF75" s="871">
        <f t="shared" si="921"/>
        <v>0</v>
      </c>
      <c r="EG75" s="871">
        <f t="shared" si="922"/>
        <v>0</v>
      </c>
    </row>
    <row r="76" spans="1:137">
      <c r="A76" s="595"/>
      <c r="B76" s="598"/>
      <c r="C76" s="599"/>
      <c r="D76" s="29">
        <v>2</v>
      </c>
      <c r="E76" s="1507" t="s">
        <v>1671</v>
      </c>
      <c r="F76" s="867"/>
      <c r="G76" s="868"/>
      <c r="H76" s="867"/>
      <c r="I76" s="869"/>
      <c r="J76" s="869"/>
      <c r="K76" s="76"/>
      <c r="L76" s="1479"/>
      <c r="M76" s="1479"/>
      <c r="N76" s="1479"/>
      <c r="O76" s="1479"/>
      <c r="P76" s="1479"/>
      <c r="Q76" s="1479"/>
      <c r="R76" s="1479"/>
      <c r="S76" s="1479"/>
      <c r="T76" s="1479"/>
      <c r="U76" s="1479"/>
      <c r="V76" s="1479"/>
      <c r="W76" s="1479"/>
      <c r="X76" s="1479"/>
      <c r="Y76" s="1479"/>
      <c r="Z76" s="1479"/>
      <c r="AA76" s="1479"/>
      <c r="AB76" s="1479"/>
      <c r="AC76" s="1479"/>
      <c r="AD76" s="1479"/>
      <c r="AE76" s="1479"/>
      <c r="AF76" s="1479"/>
      <c r="AG76" s="1479"/>
      <c r="AH76" s="1479"/>
      <c r="AI76" s="1479"/>
      <c r="AJ76" s="1479"/>
      <c r="AK76" s="1479"/>
      <c r="AL76" s="1479"/>
      <c r="AM76" s="1479"/>
      <c r="AN76" s="1479"/>
      <c r="AO76" s="1479"/>
      <c r="AP76" s="1452"/>
      <c r="AQ76" s="1496">
        <f>SUM(AR76:BU76)</f>
        <v>128.7599508749999</v>
      </c>
      <c r="AR76" s="60">
        <f t="shared" ref="AR76:BU76" si="954">SUBTOTAL(9,AR77:AR79)</f>
        <v>4.2919983624999993</v>
      </c>
      <c r="AS76" s="60">
        <f t="shared" si="954"/>
        <v>4.2919983624999993</v>
      </c>
      <c r="AT76" s="60">
        <f t="shared" si="954"/>
        <v>4.2919983624999993</v>
      </c>
      <c r="AU76" s="60">
        <f t="shared" si="954"/>
        <v>4.2919983624999993</v>
      </c>
      <c r="AV76" s="60">
        <f t="shared" si="954"/>
        <v>4.2919983624999993</v>
      </c>
      <c r="AW76" s="60">
        <f t="shared" si="954"/>
        <v>4.2919983624999993</v>
      </c>
      <c r="AX76" s="60">
        <f t="shared" si="954"/>
        <v>4.2919983624999993</v>
      </c>
      <c r="AY76" s="60">
        <f t="shared" si="954"/>
        <v>4.2919983624999993</v>
      </c>
      <c r="AZ76" s="60">
        <f t="shared" si="954"/>
        <v>4.2919983624999993</v>
      </c>
      <c r="BA76" s="60">
        <f t="shared" si="954"/>
        <v>4.2919983624999993</v>
      </c>
      <c r="BB76" s="60">
        <f t="shared" si="954"/>
        <v>4.2919983624999993</v>
      </c>
      <c r="BC76" s="60">
        <f t="shared" si="954"/>
        <v>4.2919983624999993</v>
      </c>
      <c r="BD76" s="60">
        <f t="shared" si="954"/>
        <v>4.2919983624999993</v>
      </c>
      <c r="BE76" s="60">
        <f t="shared" si="954"/>
        <v>4.2919983624999993</v>
      </c>
      <c r="BF76" s="60">
        <f t="shared" si="954"/>
        <v>4.2919983624999993</v>
      </c>
      <c r="BG76" s="60">
        <f t="shared" si="954"/>
        <v>4.2919983624999993</v>
      </c>
      <c r="BH76" s="60">
        <f t="shared" si="954"/>
        <v>4.2919983624999993</v>
      </c>
      <c r="BI76" s="60">
        <f t="shared" si="954"/>
        <v>4.2919983624999993</v>
      </c>
      <c r="BJ76" s="60">
        <f t="shared" si="954"/>
        <v>4.2919983624999993</v>
      </c>
      <c r="BK76" s="60">
        <f t="shared" si="954"/>
        <v>4.2919983624999993</v>
      </c>
      <c r="BL76" s="60">
        <f t="shared" si="954"/>
        <v>4.2919983624999993</v>
      </c>
      <c r="BM76" s="60">
        <f t="shared" si="954"/>
        <v>4.2919983624999993</v>
      </c>
      <c r="BN76" s="60">
        <f t="shared" si="954"/>
        <v>4.2919983624999993</v>
      </c>
      <c r="BO76" s="60">
        <f t="shared" si="954"/>
        <v>4.2919983624999993</v>
      </c>
      <c r="BP76" s="60">
        <f t="shared" si="954"/>
        <v>4.2919983624999993</v>
      </c>
      <c r="BQ76" s="60">
        <f t="shared" si="954"/>
        <v>4.2919983624999993</v>
      </c>
      <c r="BR76" s="60">
        <f t="shared" si="954"/>
        <v>4.2919983624999993</v>
      </c>
      <c r="BS76" s="60">
        <f t="shared" si="954"/>
        <v>4.2919983624999993</v>
      </c>
      <c r="BT76" s="60">
        <f t="shared" si="954"/>
        <v>4.2919983624999993</v>
      </c>
      <c r="BU76" s="60">
        <f t="shared" si="954"/>
        <v>4.2919983624999993</v>
      </c>
      <c r="BV76" s="58"/>
      <c r="BW76" s="60">
        <f t="shared" ref="BW76" si="955">SUBTOTAL(9,BW77:BW79)</f>
        <v>0</v>
      </c>
      <c r="BX76" s="60">
        <f t="shared" ref="BX76" si="956">SUBTOTAL(9,BX77:BX79)</f>
        <v>0</v>
      </c>
      <c r="BY76" s="60">
        <f t="shared" ref="BY76" si="957">SUBTOTAL(9,BY77:BY79)</f>
        <v>0</v>
      </c>
      <c r="BZ76" s="60">
        <f t="shared" ref="BZ76" si="958">SUBTOTAL(9,BZ77:BZ79)</f>
        <v>0</v>
      </c>
      <c r="CA76" s="60">
        <f t="shared" ref="CA76" si="959">SUBTOTAL(9,CA77:CA79)</f>
        <v>0</v>
      </c>
      <c r="CB76" s="60">
        <f t="shared" ref="CB76" si="960">SUBTOTAL(9,CB77:CB79)</f>
        <v>0</v>
      </c>
      <c r="CC76" s="60">
        <f t="shared" ref="CC76" si="961">SUBTOTAL(9,CC77:CC79)</f>
        <v>0</v>
      </c>
      <c r="CD76" s="60">
        <f t="shared" ref="CD76" si="962">SUBTOTAL(9,CD77:CD79)</f>
        <v>0</v>
      </c>
      <c r="CE76" s="60">
        <f t="shared" ref="CE76" si="963">SUBTOTAL(9,CE77:CE79)</f>
        <v>0</v>
      </c>
      <c r="CF76" s="60">
        <f t="shared" ref="CF76" si="964">SUBTOTAL(9,CF77:CF79)</f>
        <v>0</v>
      </c>
      <c r="CG76" s="60">
        <f t="shared" ref="CG76" si="965">SUBTOTAL(9,CG77:CG79)</f>
        <v>0</v>
      </c>
      <c r="CH76" s="60">
        <f t="shared" ref="CH76" si="966">SUBTOTAL(9,CH77:CH79)</f>
        <v>0</v>
      </c>
      <c r="CI76" s="60">
        <f t="shared" ref="CI76" si="967">SUBTOTAL(9,CI77:CI79)</f>
        <v>0</v>
      </c>
      <c r="CJ76" s="60">
        <f t="shared" ref="CJ76" si="968">SUBTOTAL(9,CJ77:CJ79)</f>
        <v>0</v>
      </c>
      <c r="CK76" s="60">
        <f t="shared" ref="CK76" si="969">SUBTOTAL(9,CK77:CK79)</f>
        <v>0</v>
      </c>
      <c r="CL76" s="60">
        <f t="shared" ref="CL76" si="970">SUBTOTAL(9,CL77:CL79)</f>
        <v>0</v>
      </c>
      <c r="CM76" s="60">
        <f t="shared" ref="CM76" si="971">SUBTOTAL(9,CM77:CM79)</f>
        <v>0</v>
      </c>
      <c r="CN76" s="60">
        <f t="shared" ref="CN76" si="972">SUBTOTAL(9,CN77:CN79)</f>
        <v>0</v>
      </c>
      <c r="CO76" s="60">
        <f t="shared" ref="CO76" si="973">SUBTOTAL(9,CO77:CO79)</f>
        <v>0</v>
      </c>
      <c r="CP76" s="60">
        <f t="shared" ref="CP76" si="974">SUBTOTAL(9,CP77:CP79)</f>
        <v>0</v>
      </c>
      <c r="CQ76" s="60">
        <f t="shared" ref="CQ76" si="975">SUBTOTAL(9,CQ77:CQ79)</f>
        <v>0</v>
      </c>
      <c r="CR76" s="60">
        <f t="shared" ref="CR76" si="976">SUBTOTAL(9,CR77:CR79)</f>
        <v>0</v>
      </c>
      <c r="CS76" s="60">
        <f t="shared" ref="CS76" si="977">SUBTOTAL(9,CS77:CS79)</f>
        <v>0</v>
      </c>
      <c r="CT76" s="60">
        <f t="shared" ref="CT76" si="978">SUBTOTAL(9,CT77:CT79)</f>
        <v>0</v>
      </c>
      <c r="CU76" s="60">
        <f t="shared" ref="CU76:DA76" si="979">SUBTOTAL(9,CU77:CU79)</f>
        <v>0</v>
      </c>
      <c r="CV76" s="60">
        <f t="shared" si="979"/>
        <v>0</v>
      </c>
      <c r="CW76" s="60">
        <f t="shared" si="979"/>
        <v>0</v>
      </c>
      <c r="CX76" s="60">
        <f t="shared" si="979"/>
        <v>0</v>
      </c>
      <c r="CY76" s="60">
        <f t="shared" si="979"/>
        <v>0</v>
      </c>
      <c r="CZ76" s="60">
        <f t="shared" si="979"/>
        <v>0</v>
      </c>
      <c r="DA76" s="60">
        <f t="shared" si="979"/>
        <v>0</v>
      </c>
      <c r="DB76" s="41"/>
      <c r="DC76" s="60">
        <f t="shared" si="892"/>
        <v>128.7599508749999</v>
      </c>
      <c r="DD76" s="60">
        <f t="shared" si="893"/>
        <v>4.2919983624999993</v>
      </c>
      <c r="DE76" s="60">
        <f t="shared" si="894"/>
        <v>4.2919983624999993</v>
      </c>
      <c r="DF76" s="60">
        <f t="shared" si="895"/>
        <v>4.2919983624999993</v>
      </c>
      <c r="DG76" s="60">
        <f t="shared" si="896"/>
        <v>4.2919983624999993</v>
      </c>
      <c r="DH76" s="60">
        <f t="shared" si="897"/>
        <v>4.2919983624999993</v>
      </c>
      <c r="DI76" s="60">
        <f t="shared" si="898"/>
        <v>4.2919983624999993</v>
      </c>
      <c r="DJ76" s="60">
        <f t="shared" si="899"/>
        <v>4.2919983624999993</v>
      </c>
      <c r="DK76" s="60">
        <f t="shared" si="900"/>
        <v>4.2919983624999993</v>
      </c>
      <c r="DL76" s="60">
        <f t="shared" si="901"/>
        <v>4.2919983624999993</v>
      </c>
      <c r="DM76" s="60">
        <f t="shared" si="902"/>
        <v>4.2919983624999993</v>
      </c>
      <c r="DN76" s="60">
        <f t="shared" si="903"/>
        <v>4.2919983624999993</v>
      </c>
      <c r="DO76" s="60">
        <f t="shared" si="904"/>
        <v>4.2919983624999993</v>
      </c>
      <c r="DP76" s="60">
        <f t="shared" si="905"/>
        <v>4.2919983624999993</v>
      </c>
      <c r="DQ76" s="60">
        <f t="shared" si="906"/>
        <v>4.2919983624999993</v>
      </c>
      <c r="DR76" s="60">
        <f t="shared" si="907"/>
        <v>4.2919983624999993</v>
      </c>
      <c r="DS76" s="60">
        <f t="shared" si="908"/>
        <v>4.2919983624999993</v>
      </c>
      <c r="DT76" s="60">
        <f t="shared" si="909"/>
        <v>4.2919983624999993</v>
      </c>
      <c r="DU76" s="60">
        <f t="shared" si="910"/>
        <v>4.2919983624999993</v>
      </c>
      <c r="DV76" s="60">
        <f t="shared" si="911"/>
        <v>4.2919983624999993</v>
      </c>
      <c r="DW76" s="60">
        <f t="shared" si="912"/>
        <v>4.2919983624999993</v>
      </c>
      <c r="DX76" s="60">
        <f t="shared" si="913"/>
        <v>4.2919983624999993</v>
      </c>
      <c r="DY76" s="60">
        <f t="shared" si="914"/>
        <v>4.2919983624999993</v>
      </c>
      <c r="DZ76" s="60">
        <f t="shared" si="915"/>
        <v>4.2919983624999993</v>
      </c>
      <c r="EA76" s="60">
        <f t="shared" si="916"/>
        <v>4.2919983624999993</v>
      </c>
      <c r="EB76" s="60">
        <f t="shared" si="917"/>
        <v>4.2919983624999993</v>
      </c>
      <c r="EC76" s="60">
        <f t="shared" si="918"/>
        <v>4.2919983624999993</v>
      </c>
      <c r="ED76" s="60">
        <f t="shared" si="919"/>
        <v>4.2919983624999993</v>
      </c>
      <c r="EE76" s="60">
        <f t="shared" si="920"/>
        <v>4.2919983624999993</v>
      </c>
      <c r="EF76" s="60">
        <f t="shared" si="921"/>
        <v>4.2919983624999993</v>
      </c>
      <c r="EG76" s="60">
        <f t="shared" si="922"/>
        <v>4.2919983624999993</v>
      </c>
    </row>
    <row r="77" spans="1:137">
      <c r="A77" s="595"/>
      <c r="B77" s="598"/>
      <c r="C77" s="599"/>
      <c r="E77" s="1500" t="s">
        <v>1672</v>
      </c>
      <c r="F77" s="867"/>
      <c r="G77" s="868"/>
      <c r="H77" s="867"/>
      <c r="I77" s="869"/>
      <c r="J77" s="869"/>
      <c r="K77" s="76"/>
      <c r="L77" s="1479">
        <v>1</v>
      </c>
      <c r="M77" s="1479">
        <v>1</v>
      </c>
      <c r="N77" s="1479">
        <v>1</v>
      </c>
      <c r="O77" s="1479">
        <v>1</v>
      </c>
      <c r="P77" s="1479">
        <v>1</v>
      </c>
      <c r="Q77" s="1479">
        <v>1</v>
      </c>
      <c r="R77" s="1479">
        <v>1</v>
      </c>
      <c r="S77" s="1479">
        <v>1</v>
      </c>
      <c r="T77" s="1479">
        <v>1</v>
      </c>
      <c r="U77" s="1479">
        <v>1</v>
      </c>
      <c r="V77" s="1479">
        <v>1</v>
      </c>
      <c r="W77" s="1479">
        <v>1</v>
      </c>
      <c r="X77" s="1479">
        <v>1</v>
      </c>
      <c r="Y77" s="1479">
        <v>1</v>
      </c>
      <c r="Z77" s="1479">
        <v>1</v>
      </c>
      <c r="AA77" s="1479">
        <v>1</v>
      </c>
      <c r="AB77" s="1479">
        <v>1</v>
      </c>
      <c r="AC77" s="1479">
        <v>1</v>
      </c>
      <c r="AD77" s="1479">
        <v>1</v>
      </c>
      <c r="AE77" s="1479">
        <v>1</v>
      </c>
      <c r="AF77" s="1479">
        <v>1</v>
      </c>
      <c r="AG77" s="1479">
        <v>1</v>
      </c>
      <c r="AH77" s="1479">
        <v>1</v>
      </c>
      <c r="AI77" s="1479">
        <v>1</v>
      </c>
      <c r="AJ77" s="1479">
        <v>1</v>
      </c>
      <c r="AK77" s="1479">
        <v>1</v>
      </c>
      <c r="AL77" s="1479">
        <v>1</v>
      </c>
      <c r="AM77" s="1479">
        <v>1</v>
      </c>
      <c r="AN77" s="1479">
        <v>1</v>
      </c>
      <c r="AO77" s="1479">
        <v>1</v>
      </c>
      <c r="AP77" s="1452"/>
      <c r="AQ77" s="871">
        <f>SUM(AR77:BU77)</f>
        <v>94.395680624999983</v>
      </c>
      <c r="AR77" s="871">
        <f t="shared" ref="AR77:AR78" si="980">VLOOKUP($E77,Par,6,0)*L77/1000</f>
        <v>3.1465226874999996</v>
      </c>
      <c r="AS77" s="871">
        <f t="shared" ref="AS77:AS78" si="981">VLOOKUP($E77,Par,6,0)*M77/1000</f>
        <v>3.1465226874999996</v>
      </c>
      <c r="AT77" s="871">
        <f t="shared" ref="AT77:AT78" si="982">VLOOKUP($E77,Par,6,0)*N77/1000</f>
        <v>3.1465226874999996</v>
      </c>
      <c r="AU77" s="871">
        <f t="shared" ref="AU77:AU78" si="983">VLOOKUP($E77,Par,6,0)*O77/1000</f>
        <v>3.1465226874999996</v>
      </c>
      <c r="AV77" s="871">
        <f t="shared" ref="AV77:AV78" si="984">VLOOKUP($E77,Par,6,0)*P77/1000</f>
        <v>3.1465226874999996</v>
      </c>
      <c r="AW77" s="871">
        <f t="shared" ref="AW77:AW78" si="985">VLOOKUP($E77,Par,6,0)*Q77/1000</f>
        <v>3.1465226874999996</v>
      </c>
      <c r="AX77" s="871">
        <f t="shared" ref="AX77:AX78" si="986">VLOOKUP($E77,Par,6,0)*R77/1000</f>
        <v>3.1465226874999996</v>
      </c>
      <c r="AY77" s="871">
        <f t="shared" ref="AY77:AY78" si="987">VLOOKUP($E77,Par,6,0)*S77/1000</f>
        <v>3.1465226874999996</v>
      </c>
      <c r="AZ77" s="871">
        <f t="shared" ref="AZ77:AZ78" si="988">VLOOKUP($E77,Par,6,0)*T77/1000</f>
        <v>3.1465226874999996</v>
      </c>
      <c r="BA77" s="871">
        <f t="shared" ref="BA77:BA78" si="989">VLOOKUP($E77,Par,6,0)*U77/1000</f>
        <v>3.1465226874999996</v>
      </c>
      <c r="BB77" s="871">
        <f t="shared" ref="BB77:BB78" si="990">VLOOKUP($E77,Par,6,0)*V77/1000</f>
        <v>3.1465226874999996</v>
      </c>
      <c r="BC77" s="871">
        <f t="shared" ref="BC77:BC78" si="991">VLOOKUP($E77,Par,6,0)*W77/1000</f>
        <v>3.1465226874999996</v>
      </c>
      <c r="BD77" s="871">
        <f t="shared" ref="BD77:BD78" si="992">VLOOKUP($E77,Par,6,0)*X77/1000</f>
        <v>3.1465226874999996</v>
      </c>
      <c r="BE77" s="871">
        <f t="shared" ref="BE77:BE78" si="993">VLOOKUP($E77,Par,6,0)*Y77/1000</f>
        <v>3.1465226874999996</v>
      </c>
      <c r="BF77" s="871">
        <f t="shared" ref="BF77:BF78" si="994">VLOOKUP($E77,Par,6,0)*Z77/1000</f>
        <v>3.1465226874999996</v>
      </c>
      <c r="BG77" s="871">
        <f t="shared" ref="BG77:BG78" si="995">VLOOKUP($E77,Par,6,0)*AA77/1000</f>
        <v>3.1465226874999996</v>
      </c>
      <c r="BH77" s="871">
        <f t="shared" ref="BH77:BH78" si="996">VLOOKUP($E77,Par,6,0)*AB77/1000</f>
        <v>3.1465226874999996</v>
      </c>
      <c r="BI77" s="871">
        <f t="shared" ref="BI77:BI78" si="997">VLOOKUP($E77,Par,6,0)*AC77/1000</f>
        <v>3.1465226874999996</v>
      </c>
      <c r="BJ77" s="871">
        <f t="shared" ref="BJ77:BJ78" si="998">VLOOKUP($E77,Par,6,0)*AD77/1000</f>
        <v>3.1465226874999996</v>
      </c>
      <c r="BK77" s="871">
        <f t="shared" ref="BK77:BK78" si="999">VLOOKUP($E77,Par,6,0)*AE77/1000</f>
        <v>3.1465226874999996</v>
      </c>
      <c r="BL77" s="871">
        <f t="shared" ref="BL77:BL78" si="1000">VLOOKUP($E77,Par,6,0)*AF77/1000</f>
        <v>3.1465226874999996</v>
      </c>
      <c r="BM77" s="871">
        <f t="shared" ref="BM77:BM78" si="1001">VLOOKUP($E77,Par,6,0)*AG77/1000</f>
        <v>3.1465226874999996</v>
      </c>
      <c r="BN77" s="871">
        <f t="shared" ref="BN77:BN78" si="1002">VLOOKUP($E77,Par,6,0)*AH77/1000</f>
        <v>3.1465226874999996</v>
      </c>
      <c r="BO77" s="871">
        <f t="shared" ref="BO77:BO78" si="1003">VLOOKUP($E77,Par,6,0)*AI77/1000</f>
        <v>3.1465226874999996</v>
      </c>
      <c r="BP77" s="871">
        <f t="shared" ref="BP77:BP78" si="1004">VLOOKUP($E77,Par,6,0)*AJ77/1000</f>
        <v>3.1465226874999996</v>
      </c>
      <c r="BQ77" s="871">
        <f t="shared" ref="BQ77:BQ78" si="1005">VLOOKUP($E77,Par,6,0)*AK77/1000</f>
        <v>3.1465226874999996</v>
      </c>
      <c r="BR77" s="871">
        <f t="shared" ref="BR77:BR78" si="1006">VLOOKUP($E77,Par,6,0)*AL77/1000</f>
        <v>3.1465226874999996</v>
      </c>
      <c r="BS77" s="871">
        <f t="shared" ref="BS77:BS78" si="1007">VLOOKUP($E77,Par,6,0)*AM77/1000</f>
        <v>3.1465226874999996</v>
      </c>
      <c r="BT77" s="871">
        <f t="shared" ref="BT77:BT78" si="1008">VLOOKUP($E77,Par,6,0)*AN77/1000</f>
        <v>3.1465226874999996</v>
      </c>
      <c r="BU77" s="871">
        <f t="shared" ref="BU77:BU78" si="1009">VLOOKUP($E77,Par,6,0)*AO77/1000</f>
        <v>3.1465226874999996</v>
      </c>
      <c r="BV77" s="1453"/>
      <c r="BW77" s="871"/>
      <c r="BX77" s="871"/>
      <c r="BY77" s="871"/>
      <c r="BZ77" s="871"/>
      <c r="CA77" s="871"/>
      <c r="CB77" s="871"/>
      <c r="CC77" s="871"/>
      <c r="CD77" s="871"/>
      <c r="CE77" s="871"/>
      <c r="CF77" s="871"/>
      <c r="CG77" s="871"/>
      <c r="CH77" s="871"/>
      <c r="CI77" s="871"/>
      <c r="CJ77" s="871"/>
      <c r="CK77" s="871"/>
      <c r="CL77" s="871"/>
      <c r="CM77" s="871"/>
      <c r="CN77" s="871"/>
      <c r="CO77" s="871"/>
      <c r="CP77" s="871"/>
      <c r="CQ77" s="871"/>
      <c r="CR77" s="871"/>
      <c r="CS77" s="871"/>
      <c r="CT77" s="871"/>
      <c r="CU77" s="871"/>
      <c r="CV77" s="871"/>
      <c r="CW77" s="871"/>
      <c r="CX77" s="871"/>
      <c r="CY77" s="871"/>
      <c r="CZ77" s="871"/>
      <c r="DA77" s="871"/>
      <c r="DB77" s="41"/>
      <c r="DC77" s="871">
        <f t="shared" si="892"/>
        <v>94.395680624999983</v>
      </c>
      <c r="DD77" s="871">
        <f t="shared" si="893"/>
        <v>3.1465226874999996</v>
      </c>
      <c r="DE77" s="871">
        <f t="shared" si="894"/>
        <v>3.1465226874999996</v>
      </c>
      <c r="DF77" s="871">
        <f t="shared" si="895"/>
        <v>3.1465226874999996</v>
      </c>
      <c r="DG77" s="871">
        <f t="shared" si="896"/>
        <v>3.1465226874999996</v>
      </c>
      <c r="DH77" s="871">
        <f t="shared" si="897"/>
        <v>3.1465226874999996</v>
      </c>
      <c r="DI77" s="871">
        <f t="shared" si="898"/>
        <v>3.1465226874999996</v>
      </c>
      <c r="DJ77" s="871">
        <f t="shared" si="899"/>
        <v>3.1465226874999996</v>
      </c>
      <c r="DK77" s="871">
        <f t="shared" si="900"/>
        <v>3.1465226874999996</v>
      </c>
      <c r="DL77" s="871">
        <f t="shared" si="901"/>
        <v>3.1465226874999996</v>
      </c>
      <c r="DM77" s="871">
        <f t="shared" si="902"/>
        <v>3.1465226874999996</v>
      </c>
      <c r="DN77" s="871">
        <f t="shared" si="903"/>
        <v>3.1465226874999996</v>
      </c>
      <c r="DO77" s="871">
        <f t="shared" si="904"/>
        <v>3.1465226874999996</v>
      </c>
      <c r="DP77" s="871">
        <f t="shared" si="905"/>
        <v>3.1465226874999996</v>
      </c>
      <c r="DQ77" s="871">
        <f t="shared" si="906"/>
        <v>3.1465226874999996</v>
      </c>
      <c r="DR77" s="871">
        <f t="shared" si="907"/>
        <v>3.1465226874999996</v>
      </c>
      <c r="DS77" s="871">
        <f t="shared" si="908"/>
        <v>3.1465226874999996</v>
      </c>
      <c r="DT77" s="871">
        <f t="shared" si="909"/>
        <v>3.1465226874999996</v>
      </c>
      <c r="DU77" s="871">
        <f t="shared" si="910"/>
        <v>3.1465226874999996</v>
      </c>
      <c r="DV77" s="871">
        <f t="shared" si="911"/>
        <v>3.1465226874999996</v>
      </c>
      <c r="DW77" s="871">
        <f t="shared" si="912"/>
        <v>3.1465226874999996</v>
      </c>
      <c r="DX77" s="871">
        <f t="shared" si="913"/>
        <v>3.1465226874999996</v>
      </c>
      <c r="DY77" s="871">
        <f t="shared" si="914"/>
        <v>3.1465226874999996</v>
      </c>
      <c r="DZ77" s="871">
        <f t="shared" si="915"/>
        <v>3.1465226874999996</v>
      </c>
      <c r="EA77" s="871">
        <f t="shared" si="916"/>
        <v>3.1465226874999996</v>
      </c>
      <c r="EB77" s="871">
        <f t="shared" si="917"/>
        <v>3.1465226874999996</v>
      </c>
      <c r="EC77" s="871">
        <f t="shared" si="918"/>
        <v>3.1465226874999996</v>
      </c>
      <c r="ED77" s="871">
        <f t="shared" si="919"/>
        <v>3.1465226874999996</v>
      </c>
      <c r="EE77" s="871">
        <f t="shared" si="920"/>
        <v>3.1465226874999996</v>
      </c>
      <c r="EF77" s="871">
        <f t="shared" si="921"/>
        <v>3.1465226874999996</v>
      </c>
      <c r="EG77" s="871">
        <f t="shared" si="922"/>
        <v>3.1465226874999996</v>
      </c>
    </row>
    <row r="78" spans="1:137">
      <c r="A78" s="595"/>
      <c r="B78" s="598"/>
      <c r="C78" s="599"/>
      <c r="E78" s="1500" t="s">
        <v>1673</v>
      </c>
      <c r="F78" s="867"/>
      <c r="G78" s="868"/>
      <c r="H78" s="867"/>
      <c r="I78" s="869"/>
      <c r="J78" s="869"/>
      <c r="K78" s="76"/>
      <c r="L78" s="1479">
        <v>1</v>
      </c>
      <c r="M78" s="1479">
        <v>1</v>
      </c>
      <c r="N78" s="1479">
        <v>1</v>
      </c>
      <c r="O78" s="1479">
        <v>1</v>
      </c>
      <c r="P78" s="1479">
        <v>1</v>
      </c>
      <c r="Q78" s="1479">
        <v>1</v>
      </c>
      <c r="R78" s="1479">
        <v>1</v>
      </c>
      <c r="S78" s="1479">
        <v>1</v>
      </c>
      <c r="T78" s="1479">
        <v>1</v>
      </c>
      <c r="U78" s="1479">
        <v>1</v>
      </c>
      <c r="V78" s="1479">
        <v>1</v>
      </c>
      <c r="W78" s="1479">
        <v>1</v>
      </c>
      <c r="X78" s="1479">
        <v>1</v>
      </c>
      <c r="Y78" s="1479">
        <v>1</v>
      </c>
      <c r="Z78" s="1479">
        <v>1</v>
      </c>
      <c r="AA78" s="1479">
        <v>1</v>
      </c>
      <c r="AB78" s="1479">
        <v>1</v>
      </c>
      <c r="AC78" s="1479">
        <v>1</v>
      </c>
      <c r="AD78" s="1479">
        <v>1</v>
      </c>
      <c r="AE78" s="1479">
        <v>1</v>
      </c>
      <c r="AF78" s="1479">
        <v>1</v>
      </c>
      <c r="AG78" s="1479">
        <v>1</v>
      </c>
      <c r="AH78" s="1479">
        <v>1</v>
      </c>
      <c r="AI78" s="1479">
        <v>1</v>
      </c>
      <c r="AJ78" s="1479">
        <v>1</v>
      </c>
      <c r="AK78" s="1479">
        <v>1</v>
      </c>
      <c r="AL78" s="1479">
        <v>1</v>
      </c>
      <c r="AM78" s="1479">
        <v>1</v>
      </c>
      <c r="AN78" s="1479">
        <v>1</v>
      </c>
      <c r="AO78" s="1479">
        <v>1</v>
      </c>
      <c r="AP78" s="1452"/>
      <c r="AQ78" s="871">
        <f>SUM(AR78:BU78)</f>
        <v>34.364270250000004</v>
      </c>
      <c r="AR78" s="871">
        <f t="shared" si="980"/>
        <v>1.1454756750000001</v>
      </c>
      <c r="AS78" s="871">
        <f t="shared" si="981"/>
        <v>1.1454756750000001</v>
      </c>
      <c r="AT78" s="871">
        <f t="shared" si="982"/>
        <v>1.1454756750000001</v>
      </c>
      <c r="AU78" s="871">
        <f t="shared" si="983"/>
        <v>1.1454756750000001</v>
      </c>
      <c r="AV78" s="871">
        <f t="shared" si="984"/>
        <v>1.1454756750000001</v>
      </c>
      <c r="AW78" s="871">
        <f t="shared" si="985"/>
        <v>1.1454756750000001</v>
      </c>
      <c r="AX78" s="871">
        <f t="shared" si="986"/>
        <v>1.1454756750000001</v>
      </c>
      <c r="AY78" s="871">
        <f t="shared" si="987"/>
        <v>1.1454756750000001</v>
      </c>
      <c r="AZ78" s="871">
        <f t="shared" si="988"/>
        <v>1.1454756750000001</v>
      </c>
      <c r="BA78" s="871">
        <f t="shared" si="989"/>
        <v>1.1454756750000001</v>
      </c>
      <c r="BB78" s="871">
        <f t="shared" si="990"/>
        <v>1.1454756750000001</v>
      </c>
      <c r="BC78" s="871">
        <f t="shared" si="991"/>
        <v>1.1454756750000001</v>
      </c>
      <c r="BD78" s="871">
        <f t="shared" si="992"/>
        <v>1.1454756750000001</v>
      </c>
      <c r="BE78" s="871">
        <f t="shared" si="993"/>
        <v>1.1454756750000001</v>
      </c>
      <c r="BF78" s="871">
        <f t="shared" si="994"/>
        <v>1.1454756750000001</v>
      </c>
      <c r="BG78" s="871">
        <f t="shared" si="995"/>
        <v>1.1454756750000001</v>
      </c>
      <c r="BH78" s="871">
        <f t="shared" si="996"/>
        <v>1.1454756750000001</v>
      </c>
      <c r="BI78" s="871">
        <f t="shared" si="997"/>
        <v>1.1454756750000001</v>
      </c>
      <c r="BJ78" s="871">
        <f t="shared" si="998"/>
        <v>1.1454756750000001</v>
      </c>
      <c r="BK78" s="871">
        <f t="shared" si="999"/>
        <v>1.1454756750000001</v>
      </c>
      <c r="BL78" s="871">
        <f t="shared" si="1000"/>
        <v>1.1454756750000001</v>
      </c>
      <c r="BM78" s="871">
        <f t="shared" si="1001"/>
        <v>1.1454756750000001</v>
      </c>
      <c r="BN78" s="871">
        <f t="shared" si="1002"/>
        <v>1.1454756750000001</v>
      </c>
      <c r="BO78" s="871">
        <f t="shared" si="1003"/>
        <v>1.1454756750000001</v>
      </c>
      <c r="BP78" s="871">
        <f t="shared" si="1004"/>
        <v>1.1454756750000001</v>
      </c>
      <c r="BQ78" s="871">
        <f t="shared" si="1005"/>
        <v>1.1454756750000001</v>
      </c>
      <c r="BR78" s="871">
        <f t="shared" si="1006"/>
        <v>1.1454756750000001</v>
      </c>
      <c r="BS78" s="871">
        <f t="shared" si="1007"/>
        <v>1.1454756750000001</v>
      </c>
      <c r="BT78" s="871">
        <f t="shared" si="1008"/>
        <v>1.1454756750000001</v>
      </c>
      <c r="BU78" s="871">
        <f t="shared" si="1009"/>
        <v>1.1454756750000001</v>
      </c>
      <c r="BV78" s="1453"/>
      <c r="BW78" s="871"/>
      <c r="BX78" s="871"/>
      <c r="BY78" s="871"/>
      <c r="BZ78" s="871"/>
      <c r="CA78" s="871"/>
      <c r="CB78" s="871"/>
      <c r="CC78" s="871"/>
      <c r="CD78" s="871"/>
      <c r="CE78" s="871"/>
      <c r="CF78" s="871"/>
      <c r="CG78" s="871"/>
      <c r="CH78" s="871"/>
      <c r="CI78" s="871"/>
      <c r="CJ78" s="871"/>
      <c r="CK78" s="871"/>
      <c r="CL78" s="871"/>
      <c r="CM78" s="871"/>
      <c r="CN78" s="871"/>
      <c r="CO78" s="871"/>
      <c r="CP78" s="871"/>
      <c r="CQ78" s="871"/>
      <c r="CR78" s="871"/>
      <c r="CS78" s="871"/>
      <c r="CT78" s="871"/>
      <c r="CU78" s="871"/>
      <c r="CV78" s="871"/>
      <c r="CW78" s="871"/>
      <c r="CX78" s="871"/>
      <c r="CY78" s="871"/>
      <c r="CZ78" s="871"/>
      <c r="DA78" s="871"/>
      <c r="DB78" s="41"/>
      <c r="DC78" s="871">
        <f t="shared" si="892"/>
        <v>34.364270250000004</v>
      </c>
      <c r="DD78" s="871">
        <f t="shared" si="893"/>
        <v>1.1454756750000001</v>
      </c>
      <c r="DE78" s="871">
        <f t="shared" si="894"/>
        <v>1.1454756750000001</v>
      </c>
      <c r="DF78" s="871">
        <f t="shared" si="895"/>
        <v>1.1454756750000001</v>
      </c>
      <c r="DG78" s="871">
        <f t="shared" si="896"/>
        <v>1.1454756750000001</v>
      </c>
      <c r="DH78" s="871">
        <f t="shared" si="897"/>
        <v>1.1454756750000001</v>
      </c>
      <c r="DI78" s="871">
        <f t="shared" si="898"/>
        <v>1.1454756750000001</v>
      </c>
      <c r="DJ78" s="871">
        <f t="shared" si="899"/>
        <v>1.1454756750000001</v>
      </c>
      <c r="DK78" s="871">
        <f t="shared" si="900"/>
        <v>1.1454756750000001</v>
      </c>
      <c r="DL78" s="871">
        <f t="shared" si="901"/>
        <v>1.1454756750000001</v>
      </c>
      <c r="DM78" s="871">
        <f t="shared" si="902"/>
        <v>1.1454756750000001</v>
      </c>
      <c r="DN78" s="871">
        <f t="shared" si="903"/>
        <v>1.1454756750000001</v>
      </c>
      <c r="DO78" s="871">
        <f t="shared" si="904"/>
        <v>1.1454756750000001</v>
      </c>
      <c r="DP78" s="871">
        <f t="shared" si="905"/>
        <v>1.1454756750000001</v>
      </c>
      <c r="DQ78" s="871">
        <f t="shared" si="906"/>
        <v>1.1454756750000001</v>
      </c>
      <c r="DR78" s="871">
        <f t="shared" si="907"/>
        <v>1.1454756750000001</v>
      </c>
      <c r="DS78" s="871">
        <f t="shared" si="908"/>
        <v>1.1454756750000001</v>
      </c>
      <c r="DT78" s="871">
        <f t="shared" si="909"/>
        <v>1.1454756750000001</v>
      </c>
      <c r="DU78" s="871">
        <f t="shared" si="910"/>
        <v>1.1454756750000001</v>
      </c>
      <c r="DV78" s="871">
        <f t="shared" si="911"/>
        <v>1.1454756750000001</v>
      </c>
      <c r="DW78" s="871">
        <f t="shared" si="912"/>
        <v>1.1454756750000001</v>
      </c>
      <c r="DX78" s="871">
        <f t="shared" si="913"/>
        <v>1.1454756750000001</v>
      </c>
      <c r="DY78" s="871">
        <f t="shared" si="914"/>
        <v>1.1454756750000001</v>
      </c>
      <c r="DZ78" s="871">
        <f t="shared" si="915"/>
        <v>1.1454756750000001</v>
      </c>
      <c r="EA78" s="871">
        <f t="shared" si="916"/>
        <v>1.1454756750000001</v>
      </c>
      <c r="EB78" s="871">
        <f t="shared" si="917"/>
        <v>1.1454756750000001</v>
      </c>
      <c r="EC78" s="871">
        <f t="shared" si="918"/>
        <v>1.1454756750000001</v>
      </c>
      <c r="ED78" s="871">
        <f t="shared" si="919"/>
        <v>1.1454756750000001</v>
      </c>
      <c r="EE78" s="871">
        <f t="shared" si="920"/>
        <v>1.1454756750000001</v>
      </c>
      <c r="EF78" s="871">
        <f t="shared" si="921"/>
        <v>1.1454756750000001</v>
      </c>
      <c r="EG78" s="871">
        <f t="shared" si="922"/>
        <v>1.1454756750000001</v>
      </c>
    </row>
    <row r="79" spans="1:137">
      <c r="A79" s="595"/>
      <c r="B79" s="598"/>
      <c r="C79" s="599"/>
      <c r="E79" s="1458"/>
      <c r="F79" s="1480"/>
      <c r="G79" s="1481"/>
      <c r="H79" s="1482"/>
      <c r="I79" s="1483"/>
      <c r="J79" s="1483"/>
      <c r="K79" s="23"/>
      <c r="L79" s="1467"/>
      <c r="M79" s="1459"/>
      <c r="N79" s="1459"/>
      <c r="O79" s="1459"/>
      <c r="P79" s="1459"/>
      <c r="Q79" s="1459"/>
      <c r="R79" s="1459"/>
      <c r="S79" s="1459"/>
      <c r="T79" s="1459"/>
      <c r="U79" s="1459"/>
      <c r="V79" s="1459"/>
      <c r="W79" s="1459"/>
      <c r="X79" s="1459"/>
      <c r="Y79" s="1459"/>
      <c r="Z79" s="1459"/>
      <c r="AA79" s="1459"/>
      <c r="AB79" s="1459"/>
      <c r="AC79" s="1459"/>
      <c r="AD79" s="1459"/>
      <c r="AE79" s="1459"/>
      <c r="AF79" s="1459"/>
      <c r="AG79" s="1459"/>
      <c r="AH79" s="1459"/>
      <c r="AI79" s="1459"/>
      <c r="AJ79" s="1459"/>
      <c r="AK79" s="1459"/>
      <c r="AL79" s="1459"/>
      <c r="AM79" s="1459"/>
      <c r="AN79" s="1459"/>
      <c r="AO79" s="1459"/>
      <c r="AP79" s="1460"/>
      <c r="AQ79" s="1512"/>
      <c r="AR79" s="1469"/>
      <c r="AS79" s="1469"/>
      <c r="AT79" s="1469"/>
      <c r="AU79" s="1469"/>
      <c r="AV79" s="1469"/>
      <c r="AW79" s="1469"/>
      <c r="AX79" s="1469"/>
      <c r="AY79" s="1469"/>
      <c r="AZ79" s="1469"/>
      <c r="BA79" s="1469"/>
      <c r="BB79" s="1469"/>
      <c r="BC79" s="1469"/>
      <c r="BD79" s="1469"/>
      <c r="BE79" s="1469"/>
      <c r="BF79" s="1469"/>
      <c r="BG79" s="1469"/>
      <c r="BH79" s="1469"/>
      <c r="BI79" s="1469"/>
      <c r="BJ79" s="1469"/>
      <c r="BK79" s="1469"/>
      <c r="BL79" s="1469"/>
      <c r="BM79" s="1469"/>
      <c r="BN79" s="1469"/>
      <c r="BO79" s="1469"/>
      <c r="BP79" s="1469"/>
      <c r="BQ79" s="1469"/>
      <c r="BR79" s="1469"/>
      <c r="BS79" s="1469"/>
      <c r="BT79" s="1469"/>
      <c r="BU79" s="1469"/>
      <c r="BV79" s="1462"/>
      <c r="BW79" s="1512"/>
      <c r="BX79" s="1469"/>
      <c r="BY79" s="1469"/>
      <c r="BZ79" s="1469"/>
      <c r="CA79" s="1469"/>
      <c r="CB79" s="1469"/>
      <c r="CC79" s="1469"/>
      <c r="CD79" s="1469"/>
      <c r="CE79" s="1469"/>
      <c r="CF79" s="1469"/>
      <c r="CG79" s="1469"/>
      <c r="CH79" s="1469"/>
      <c r="CI79" s="1469"/>
      <c r="CJ79" s="1469"/>
      <c r="CK79" s="1469"/>
      <c r="CL79" s="1469"/>
      <c r="CM79" s="1469"/>
      <c r="CN79" s="1469"/>
      <c r="CO79" s="1469"/>
      <c r="CP79" s="1469"/>
      <c r="CQ79" s="1469"/>
      <c r="CR79" s="1469"/>
      <c r="CS79" s="1469"/>
      <c r="CT79" s="1469"/>
      <c r="CU79" s="1469"/>
      <c r="CV79" s="1469"/>
      <c r="CW79" s="1469"/>
      <c r="CX79" s="1469"/>
      <c r="CY79" s="1469"/>
      <c r="CZ79" s="1469"/>
      <c r="DA79" s="1469"/>
      <c r="DB79" s="41"/>
      <c r="DC79" s="1512">
        <f t="shared" si="892"/>
        <v>0</v>
      </c>
      <c r="DD79" s="1469">
        <f t="shared" si="893"/>
        <v>0</v>
      </c>
      <c r="DE79" s="1469">
        <f t="shared" si="894"/>
        <v>0</v>
      </c>
      <c r="DF79" s="1469">
        <f t="shared" si="895"/>
        <v>0</v>
      </c>
      <c r="DG79" s="1469">
        <f t="shared" si="896"/>
        <v>0</v>
      </c>
      <c r="DH79" s="1469">
        <f t="shared" si="897"/>
        <v>0</v>
      </c>
      <c r="DI79" s="1469">
        <f t="shared" si="898"/>
        <v>0</v>
      </c>
      <c r="DJ79" s="1469">
        <f t="shared" si="899"/>
        <v>0</v>
      </c>
      <c r="DK79" s="1469">
        <f t="shared" si="900"/>
        <v>0</v>
      </c>
      <c r="DL79" s="1469">
        <f t="shared" si="901"/>
        <v>0</v>
      </c>
      <c r="DM79" s="1469">
        <f t="shared" si="902"/>
        <v>0</v>
      </c>
      <c r="DN79" s="1469">
        <f t="shared" si="903"/>
        <v>0</v>
      </c>
      <c r="DO79" s="1469">
        <f t="shared" si="904"/>
        <v>0</v>
      </c>
      <c r="DP79" s="1469">
        <f t="shared" si="905"/>
        <v>0</v>
      </c>
      <c r="DQ79" s="1469">
        <f t="shared" si="906"/>
        <v>0</v>
      </c>
      <c r="DR79" s="1469">
        <f t="shared" si="907"/>
        <v>0</v>
      </c>
      <c r="DS79" s="1469">
        <f t="shared" si="908"/>
        <v>0</v>
      </c>
      <c r="DT79" s="1469">
        <f t="shared" si="909"/>
        <v>0</v>
      </c>
      <c r="DU79" s="1469">
        <f t="shared" si="910"/>
        <v>0</v>
      </c>
      <c r="DV79" s="1469">
        <f t="shared" si="911"/>
        <v>0</v>
      </c>
      <c r="DW79" s="1469">
        <f t="shared" si="912"/>
        <v>0</v>
      </c>
      <c r="DX79" s="1469">
        <f t="shared" si="913"/>
        <v>0</v>
      </c>
      <c r="DY79" s="1469">
        <f t="shared" si="914"/>
        <v>0</v>
      </c>
      <c r="DZ79" s="1469">
        <f t="shared" si="915"/>
        <v>0</v>
      </c>
      <c r="EA79" s="1469">
        <f t="shared" si="916"/>
        <v>0</v>
      </c>
      <c r="EB79" s="1469">
        <f t="shared" si="917"/>
        <v>0</v>
      </c>
      <c r="EC79" s="1469">
        <f t="shared" si="918"/>
        <v>0</v>
      </c>
      <c r="ED79" s="1469">
        <f t="shared" si="919"/>
        <v>0</v>
      </c>
      <c r="EE79" s="1469">
        <f t="shared" si="920"/>
        <v>0</v>
      </c>
      <c r="EF79" s="1469">
        <f t="shared" si="921"/>
        <v>0</v>
      </c>
      <c r="EG79" s="1469">
        <f t="shared" si="922"/>
        <v>0</v>
      </c>
    </row>
    <row r="80" spans="1:137" s="408" customFormat="1">
      <c r="A80" s="595"/>
      <c r="B80" s="598"/>
      <c r="C80" s="599"/>
      <c r="D80" s="407">
        <v>11</v>
      </c>
      <c r="E80" s="1437" t="s">
        <v>1674</v>
      </c>
      <c r="F80" s="1476"/>
      <c r="G80" s="1447"/>
      <c r="H80" s="1448"/>
      <c r="I80" s="1449"/>
      <c r="J80" s="1449"/>
      <c r="K80" s="723"/>
      <c r="L80" s="1448"/>
      <c r="M80" s="1448"/>
      <c r="N80" s="1448"/>
      <c r="O80" s="1448"/>
      <c r="P80" s="1448"/>
      <c r="Q80" s="1448"/>
      <c r="R80" s="1448"/>
      <c r="S80" s="1448"/>
      <c r="T80" s="1448"/>
      <c r="U80" s="1448"/>
      <c r="V80" s="1448"/>
      <c r="W80" s="1448"/>
      <c r="X80" s="1448"/>
      <c r="Y80" s="1448"/>
      <c r="Z80" s="1448"/>
      <c r="AA80" s="1448"/>
      <c r="AB80" s="1448"/>
      <c r="AC80" s="1448"/>
      <c r="AD80" s="1448"/>
      <c r="AE80" s="1448"/>
      <c r="AF80" s="1448"/>
      <c r="AG80" s="1448"/>
      <c r="AH80" s="1477"/>
      <c r="AI80" s="1477"/>
      <c r="AJ80" s="1477"/>
      <c r="AK80" s="1477"/>
      <c r="AL80" s="1477"/>
      <c r="AM80" s="1477"/>
      <c r="AN80" s="1477"/>
      <c r="AO80" s="1477"/>
      <c r="AP80" s="724"/>
      <c r="AQ80" s="1438">
        <f>SUBTOTAL(9,AQ81:AQ89)</f>
        <v>0</v>
      </c>
      <c r="AR80" s="1438">
        <f t="shared" ref="AR80:BO80" si="1010">SUBTOTAL(9,AR81:AR89)</f>
        <v>0</v>
      </c>
      <c r="AS80" s="1438">
        <f t="shared" si="1010"/>
        <v>0</v>
      </c>
      <c r="AT80" s="1438">
        <f t="shared" si="1010"/>
        <v>0</v>
      </c>
      <c r="AU80" s="1438">
        <f t="shared" si="1010"/>
        <v>0</v>
      </c>
      <c r="AV80" s="1438">
        <f t="shared" si="1010"/>
        <v>0</v>
      </c>
      <c r="AW80" s="1438">
        <f t="shared" si="1010"/>
        <v>0</v>
      </c>
      <c r="AX80" s="1438">
        <f t="shared" si="1010"/>
        <v>0</v>
      </c>
      <c r="AY80" s="1438">
        <f t="shared" si="1010"/>
        <v>0</v>
      </c>
      <c r="AZ80" s="1438">
        <f t="shared" si="1010"/>
        <v>0</v>
      </c>
      <c r="BA80" s="1438">
        <f t="shared" si="1010"/>
        <v>0</v>
      </c>
      <c r="BB80" s="1438">
        <f t="shared" si="1010"/>
        <v>0</v>
      </c>
      <c r="BC80" s="1438">
        <f t="shared" si="1010"/>
        <v>0</v>
      </c>
      <c r="BD80" s="1438">
        <f t="shared" si="1010"/>
        <v>0</v>
      </c>
      <c r="BE80" s="1438">
        <f t="shared" si="1010"/>
        <v>0</v>
      </c>
      <c r="BF80" s="1438">
        <f t="shared" si="1010"/>
        <v>0</v>
      </c>
      <c r="BG80" s="1438">
        <f t="shared" si="1010"/>
        <v>0</v>
      </c>
      <c r="BH80" s="1438">
        <f t="shared" si="1010"/>
        <v>0</v>
      </c>
      <c r="BI80" s="1438">
        <f t="shared" si="1010"/>
        <v>0</v>
      </c>
      <c r="BJ80" s="1438">
        <f t="shared" si="1010"/>
        <v>0</v>
      </c>
      <c r="BK80" s="1438">
        <f t="shared" si="1010"/>
        <v>0</v>
      </c>
      <c r="BL80" s="1438">
        <f t="shared" si="1010"/>
        <v>0</v>
      </c>
      <c r="BM80" s="1438">
        <f t="shared" si="1010"/>
        <v>0</v>
      </c>
      <c r="BN80" s="1438">
        <f t="shared" si="1010"/>
        <v>0</v>
      </c>
      <c r="BO80" s="1438">
        <f t="shared" si="1010"/>
        <v>0</v>
      </c>
      <c r="BP80" s="1438">
        <f t="shared" ref="BP80:BU80" si="1011">SUBTOTAL(9,BP81:BP89)</f>
        <v>0</v>
      </c>
      <c r="BQ80" s="1438">
        <f t="shared" si="1011"/>
        <v>0</v>
      </c>
      <c r="BR80" s="1438">
        <f t="shared" si="1011"/>
        <v>0</v>
      </c>
      <c r="BS80" s="1438">
        <f t="shared" si="1011"/>
        <v>0</v>
      </c>
      <c r="BT80" s="1438">
        <f t="shared" si="1011"/>
        <v>0</v>
      </c>
      <c r="BU80" s="1438">
        <f t="shared" si="1011"/>
        <v>0</v>
      </c>
      <c r="BV80" s="725"/>
      <c r="BW80" s="1438">
        <f t="shared" ref="BW80" si="1012">SUBTOTAL(9,BW81:BW89)</f>
        <v>0</v>
      </c>
      <c r="BX80" s="1438">
        <f t="shared" ref="BX80" si="1013">SUBTOTAL(9,BX81:BX89)</f>
        <v>0</v>
      </c>
      <c r="BY80" s="1438">
        <f t="shared" ref="BY80" si="1014">SUBTOTAL(9,BY81:BY89)</f>
        <v>0</v>
      </c>
      <c r="BZ80" s="1438">
        <f t="shared" ref="BZ80" si="1015">SUBTOTAL(9,BZ81:BZ89)</f>
        <v>0</v>
      </c>
      <c r="CA80" s="1438">
        <f t="shared" ref="CA80" si="1016">SUBTOTAL(9,CA81:CA89)</f>
        <v>0</v>
      </c>
      <c r="CB80" s="1438">
        <f t="shared" ref="CB80" si="1017">SUBTOTAL(9,CB81:CB89)</f>
        <v>0</v>
      </c>
      <c r="CC80" s="1438">
        <f t="shared" ref="CC80" si="1018">SUBTOTAL(9,CC81:CC89)</f>
        <v>0</v>
      </c>
      <c r="CD80" s="1438">
        <f t="shared" ref="CD80" si="1019">SUBTOTAL(9,CD81:CD89)</f>
        <v>0</v>
      </c>
      <c r="CE80" s="1438">
        <f t="shared" ref="CE80" si="1020">SUBTOTAL(9,CE81:CE89)</f>
        <v>0</v>
      </c>
      <c r="CF80" s="1438">
        <f t="shared" ref="CF80" si="1021">SUBTOTAL(9,CF81:CF89)</f>
        <v>0</v>
      </c>
      <c r="CG80" s="1438">
        <f t="shared" ref="CG80" si="1022">SUBTOTAL(9,CG81:CG89)</f>
        <v>0</v>
      </c>
      <c r="CH80" s="1438">
        <f t="shared" ref="CH80" si="1023">SUBTOTAL(9,CH81:CH89)</f>
        <v>0</v>
      </c>
      <c r="CI80" s="1438">
        <f t="shared" ref="CI80" si="1024">SUBTOTAL(9,CI81:CI89)</f>
        <v>0</v>
      </c>
      <c r="CJ80" s="1438">
        <f t="shared" ref="CJ80" si="1025">SUBTOTAL(9,CJ81:CJ89)</f>
        <v>0</v>
      </c>
      <c r="CK80" s="1438">
        <f t="shared" ref="CK80" si="1026">SUBTOTAL(9,CK81:CK89)</f>
        <v>0</v>
      </c>
      <c r="CL80" s="1438">
        <f t="shared" ref="CL80" si="1027">SUBTOTAL(9,CL81:CL89)</f>
        <v>0</v>
      </c>
      <c r="CM80" s="1438">
        <f t="shared" ref="CM80" si="1028">SUBTOTAL(9,CM81:CM89)</f>
        <v>0</v>
      </c>
      <c r="CN80" s="1438">
        <f t="shared" ref="CN80" si="1029">SUBTOTAL(9,CN81:CN89)</f>
        <v>0</v>
      </c>
      <c r="CO80" s="1438">
        <f t="shared" ref="CO80" si="1030">SUBTOTAL(9,CO81:CO89)</f>
        <v>0</v>
      </c>
      <c r="CP80" s="1438">
        <f t="shared" ref="CP80" si="1031">SUBTOTAL(9,CP81:CP89)</f>
        <v>0</v>
      </c>
      <c r="CQ80" s="1438">
        <f t="shared" ref="CQ80" si="1032">SUBTOTAL(9,CQ81:CQ89)</f>
        <v>0</v>
      </c>
      <c r="CR80" s="1438">
        <f t="shared" ref="CR80" si="1033">SUBTOTAL(9,CR81:CR89)</f>
        <v>0</v>
      </c>
      <c r="CS80" s="1438">
        <f t="shared" ref="CS80" si="1034">SUBTOTAL(9,CS81:CS89)</f>
        <v>0</v>
      </c>
      <c r="CT80" s="1438">
        <f t="shared" ref="CT80" si="1035">SUBTOTAL(9,CT81:CT89)</f>
        <v>0</v>
      </c>
      <c r="CU80" s="1438">
        <f t="shared" ref="CU80:DA80" si="1036">SUBTOTAL(9,CU81:CU89)</f>
        <v>0</v>
      </c>
      <c r="CV80" s="1438">
        <f t="shared" si="1036"/>
        <v>0</v>
      </c>
      <c r="CW80" s="1438">
        <f t="shared" si="1036"/>
        <v>0</v>
      </c>
      <c r="CX80" s="1438">
        <f t="shared" si="1036"/>
        <v>0</v>
      </c>
      <c r="CY80" s="1438">
        <f t="shared" si="1036"/>
        <v>0</v>
      </c>
      <c r="CZ80" s="1438">
        <f t="shared" si="1036"/>
        <v>0</v>
      </c>
      <c r="DA80" s="1438">
        <f t="shared" si="1036"/>
        <v>0</v>
      </c>
      <c r="DB80" s="713"/>
      <c r="DC80" s="1438">
        <f t="shared" si="892"/>
        <v>0</v>
      </c>
      <c r="DD80" s="1438">
        <f t="shared" si="893"/>
        <v>0</v>
      </c>
      <c r="DE80" s="1438">
        <f t="shared" si="894"/>
        <v>0</v>
      </c>
      <c r="DF80" s="1438">
        <f t="shared" si="895"/>
        <v>0</v>
      </c>
      <c r="DG80" s="1438">
        <f t="shared" si="896"/>
        <v>0</v>
      </c>
      <c r="DH80" s="1438">
        <f t="shared" si="897"/>
        <v>0</v>
      </c>
      <c r="DI80" s="1438">
        <f t="shared" si="898"/>
        <v>0</v>
      </c>
      <c r="DJ80" s="1438">
        <f t="shared" si="899"/>
        <v>0</v>
      </c>
      <c r="DK80" s="1438">
        <f t="shared" si="900"/>
        <v>0</v>
      </c>
      <c r="DL80" s="1438">
        <f t="shared" si="901"/>
        <v>0</v>
      </c>
      <c r="DM80" s="1438">
        <f t="shared" si="902"/>
        <v>0</v>
      </c>
      <c r="DN80" s="1438">
        <f t="shared" si="903"/>
        <v>0</v>
      </c>
      <c r="DO80" s="1438">
        <f t="shared" si="904"/>
        <v>0</v>
      </c>
      <c r="DP80" s="1438">
        <f t="shared" si="905"/>
        <v>0</v>
      </c>
      <c r="DQ80" s="1438">
        <f t="shared" si="906"/>
        <v>0</v>
      </c>
      <c r="DR80" s="1438">
        <f t="shared" si="907"/>
        <v>0</v>
      </c>
      <c r="DS80" s="1438">
        <f t="shared" si="908"/>
        <v>0</v>
      </c>
      <c r="DT80" s="1438">
        <f t="shared" si="909"/>
        <v>0</v>
      </c>
      <c r="DU80" s="1438">
        <f t="shared" si="910"/>
        <v>0</v>
      </c>
      <c r="DV80" s="1438">
        <f t="shared" si="911"/>
        <v>0</v>
      </c>
      <c r="DW80" s="1438">
        <f t="shared" si="912"/>
        <v>0</v>
      </c>
      <c r="DX80" s="1438">
        <f t="shared" si="913"/>
        <v>0</v>
      </c>
      <c r="DY80" s="1438">
        <f t="shared" si="914"/>
        <v>0</v>
      </c>
      <c r="DZ80" s="1438">
        <f t="shared" si="915"/>
        <v>0</v>
      </c>
      <c r="EA80" s="1438">
        <f t="shared" si="916"/>
        <v>0</v>
      </c>
      <c r="EB80" s="1438">
        <f t="shared" si="917"/>
        <v>0</v>
      </c>
      <c r="EC80" s="1438">
        <f t="shared" si="918"/>
        <v>0</v>
      </c>
      <c r="ED80" s="1438">
        <f t="shared" si="919"/>
        <v>0</v>
      </c>
      <c r="EE80" s="1438">
        <f t="shared" si="920"/>
        <v>0</v>
      </c>
      <c r="EF80" s="1438">
        <f t="shared" si="921"/>
        <v>0</v>
      </c>
      <c r="EG80" s="1438">
        <f t="shared" si="922"/>
        <v>0</v>
      </c>
    </row>
    <row r="81" spans="1:141" ht="15.95" customHeight="1">
      <c r="A81" s="595"/>
      <c r="B81" s="598"/>
      <c r="C81" s="599"/>
      <c r="E81" s="866" t="s">
        <v>1675</v>
      </c>
      <c r="F81" s="867"/>
      <c r="G81" s="868"/>
      <c r="H81" s="867"/>
      <c r="I81" s="869"/>
      <c r="J81" s="869"/>
      <c r="K81" s="76"/>
      <c r="L81" s="1451">
        <v>0</v>
      </c>
      <c r="M81" s="1451">
        <v>0</v>
      </c>
      <c r="N81" s="1451">
        <v>0</v>
      </c>
      <c r="O81" s="1451">
        <v>0</v>
      </c>
      <c r="P81" s="1451">
        <v>0</v>
      </c>
      <c r="Q81" s="1451">
        <v>0</v>
      </c>
      <c r="R81" s="1451">
        <v>0</v>
      </c>
      <c r="S81" s="1451">
        <v>0</v>
      </c>
      <c r="T81" s="1451">
        <v>0</v>
      </c>
      <c r="U81" s="1451">
        <v>0</v>
      </c>
      <c r="V81" s="1451">
        <v>0</v>
      </c>
      <c r="W81" s="1451">
        <v>0</v>
      </c>
      <c r="X81" s="1451">
        <v>0</v>
      </c>
      <c r="Y81" s="1451">
        <v>0</v>
      </c>
      <c r="Z81" s="1451">
        <v>0</v>
      </c>
      <c r="AA81" s="1451">
        <v>0</v>
      </c>
      <c r="AB81" s="1451">
        <v>0</v>
      </c>
      <c r="AC81" s="1451">
        <v>0</v>
      </c>
      <c r="AD81" s="1451">
        <v>0</v>
      </c>
      <c r="AE81" s="1451">
        <v>0</v>
      </c>
      <c r="AF81" s="1451">
        <v>0</v>
      </c>
      <c r="AG81" s="1451">
        <v>0</v>
      </c>
      <c r="AH81" s="1451">
        <v>0</v>
      </c>
      <c r="AI81" s="1451">
        <v>0</v>
      </c>
      <c r="AJ81" s="1451">
        <v>0</v>
      </c>
      <c r="AK81" s="1451">
        <v>0</v>
      </c>
      <c r="AL81" s="1451">
        <v>0</v>
      </c>
      <c r="AM81" s="1451">
        <v>0</v>
      </c>
      <c r="AN81" s="1451">
        <v>0</v>
      </c>
      <c r="AO81" s="1451">
        <v>0</v>
      </c>
      <c r="AP81" s="1452"/>
      <c r="AQ81" s="871">
        <f t="shared" si="118"/>
        <v>0</v>
      </c>
      <c r="AR81" s="871">
        <f t="shared" ref="AR81:AR89" si="1037">VLOOKUP($E81,Par,6,0)*L81/1000</f>
        <v>0</v>
      </c>
      <c r="AS81" s="871">
        <f t="shared" ref="AS81:AS89" si="1038">VLOOKUP($E81,Par,6,0)*M81/1000</f>
        <v>0</v>
      </c>
      <c r="AT81" s="871">
        <f t="shared" ref="AT81:AT89" si="1039">VLOOKUP($E81,Par,6,0)*N81/1000</f>
        <v>0</v>
      </c>
      <c r="AU81" s="871">
        <f t="shared" ref="AU81:AU89" si="1040">VLOOKUP($E81,Par,6,0)*O81/1000</f>
        <v>0</v>
      </c>
      <c r="AV81" s="871">
        <f t="shared" ref="AV81:AV89" si="1041">VLOOKUP($E81,Par,6,0)*P81/1000</f>
        <v>0</v>
      </c>
      <c r="AW81" s="871">
        <f t="shared" ref="AW81:AW89" si="1042">VLOOKUP($E81,Par,6,0)*Q81/1000</f>
        <v>0</v>
      </c>
      <c r="AX81" s="871">
        <f t="shared" ref="AX81:AX89" si="1043">VLOOKUP($E81,Par,6,0)*R81/1000</f>
        <v>0</v>
      </c>
      <c r="AY81" s="871">
        <f t="shared" ref="AY81:AY89" si="1044">VLOOKUP($E81,Par,6,0)*S81/1000</f>
        <v>0</v>
      </c>
      <c r="AZ81" s="871">
        <f t="shared" ref="AZ81:AZ89" si="1045">VLOOKUP($E81,Par,6,0)*T81/1000</f>
        <v>0</v>
      </c>
      <c r="BA81" s="871">
        <f t="shared" ref="BA81:BA89" si="1046">VLOOKUP($E81,Par,6,0)*U81/1000</f>
        <v>0</v>
      </c>
      <c r="BB81" s="871">
        <f t="shared" ref="BB81:BB89" si="1047">VLOOKUP($E81,Par,6,0)*V81/1000</f>
        <v>0</v>
      </c>
      <c r="BC81" s="871">
        <f t="shared" ref="BC81:BC89" si="1048">VLOOKUP($E81,Par,6,0)*W81/1000</f>
        <v>0</v>
      </c>
      <c r="BD81" s="871">
        <f t="shared" ref="BD81:BD89" si="1049">VLOOKUP($E81,Par,6,0)*X81/1000</f>
        <v>0</v>
      </c>
      <c r="BE81" s="871">
        <f t="shared" ref="BE81:BE89" si="1050">VLOOKUP($E81,Par,6,0)*Y81/1000</f>
        <v>0</v>
      </c>
      <c r="BF81" s="871">
        <f t="shared" ref="BF81:BF89" si="1051">VLOOKUP($E81,Par,6,0)*Z81/1000</f>
        <v>0</v>
      </c>
      <c r="BG81" s="871">
        <f t="shared" ref="BG81:BG89" si="1052">VLOOKUP($E81,Par,6,0)*AA81/1000</f>
        <v>0</v>
      </c>
      <c r="BH81" s="871">
        <f t="shared" ref="BH81:BH89" si="1053">VLOOKUP($E81,Par,6,0)*AB81/1000</f>
        <v>0</v>
      </c>
      <c r="BI81" s="871">
        <f t="shared" ref="BI81:BI89" si="1054">VLOOKUP($E81,Par,6,0)*AC81/1000</f>
        <v>0</v>
      </c>
      <c r="BJ81" s="871">
        <f t="shared" ref="BJ81:BJ89" si="1055">VLOOKUP($E81,Par,6,0)*AD81/1000</f>
        <v>0</v>
      </c>
      <c r="BK81" s="871">
        <f t="shared" ref="BK81:BK89" si="1056">VLOOKUP($E81,Par,6,0)*AE81/1000</f>
        <v>0</v>
      </c>
      <c r="BL81" s="871">
        <f t="shared" ref="BL81:BL89" si="1057">VLOOKUP($E81,Par,6,0)*AF81/1000</f>
        <v>0</v>
      </c>
      <c r="BM81" s="871">
        <f t="shared" ref="BM81:BM89" si="1058">VLOOKUP($E81,Par,6,0)*AG81/1000</f>
        <v>0</v>
      </c>
      <c r="BN81" s="871">
        <f t="shared" ref="BN81:BN89" si="1059">VLOOKUP($E81,Par,6,0)*AH81/1000</f>
        <v>0</v>
      </c>
      <c r="BO81" s="871">
        <f t="shared" ref="BO81:BO89" si="1060">VLOOKUP($E81,Par,6,0)*AI81/1000</f>
        <v>0</v>
      </c>
      <c r="BP81" s="871">
        <f t="shared" ref="BP81:BP89" si="1061">VLOOKUP($E81,Par,6,0)*AJ81/1000</f>
        <v>0</v>
      </c>
      <c r="BQ81" s="871">
        <f t="shared" ref="BQ81:BQ89" si="1062">VLOOKUP($E81,Par,6,0)*AK81/1000</f>
        <v>0</v>
      </c>
      <c r="BR81" s="871">
        <f t="shared" ref="BR81:BR89" si="1063">VLOOKUP($E81,Par,6,0)*AL81/1000</f>
        <v>0</v>
      </c>
      <c r="BS81" s="871">
        <f t="shared" ref="BS81:BS89" si="1064">VLOOKUP($E81,Par,6,0)*AM81/1000</f>
        <v>0</v>
      </c>
      <c r="BT81" s="871">
        <f t="shared" ref="BT81:BT89" si="1065">VLOOKUP($E81,Par,6,0)*AN81/1000</f>
        <v>0</v>
      </c>
      <c r="BU81" s="871">
        <f t="shared" ref="BU81:BU89" si="1066">VLOOKUP($E81,Par,6,0)*AO81/1000</f>
        <v>0</v>
      </c>
      <c r="BV81" s="1453"/>
      <c r="BW81" s="871">
        <f t="shared" si="117"/>
        <v>0</v>
      </c>
      <c r="BX81" s="871"/>
      <c r="BY81" s="871"/>
      <c r="BZ81" s="871"/>
      <c r="CA81" s="871"/>
      <c r="CB81" s="871"/>
      <c r="CC81" s="871"/>
      <c r="CD81" s="871"/>
      <c r="CE81" s="871"/>
      <c r="CF81" s="871"/>
      <c r="CG81" s="871"/>
      <c r="CH81" s="871"/>
      <c r="CI81" s="871"/>
      <c r="CJ81" s="871"/>
      <c r="CK81" s="871"/>
      <c r="CL81" s="871"/>
      <c r="CM81" s="871"/>
      <c r="CN81" s="871"/>
      <c r="CO81" s="871"/>
      <c r="CP81" s="871"/>
      <c r="CQ81" s="871"/>
      <c r="CR81" s="871"/>
      <c r="CS81" s="871"/>
      <c r="CT81" s="871"/>
      <c r="CU81" s="871"/>
      <c r="CV81" s="871"/>
      <c r="CW81" s="871"/>
      <c r="CX81" s="871"/>
      <c r="CY81" s="871"/>
      <c r="CZ81" s="871"/>
      <c r="DA81" s="871"/>
      <c r="DB81" s="41"/>
      <c r="DC81" s="871">
        <f t="shared" si="892"/>
        <v>0</v>
      </c>
      <c r="DD81" s="871">
        <f t="shared" si="893"/>
        <v>0</v>
      </c>
      <c r="DE81" s="871">
        <f t="shared" si="894"/>
        <v>0</v>
      </c>
      <c r="DF81" s="871">
        <f t="shared" si="895"/>
        <v>0</v>
      </c>
      <c r="DG81" s="871">
        <f t="shared" si="896"/>
        <v>0</v>
      </c>
      <c r="DH81" s="871">
        <f t="shared" si="897"/>
        <v>0</v>
      </c>
      <c r="DI81" s="871">
        <f t="shared" si="898"/>
        <v>0</v>
      </c>
      <c r="DJ81" s="871">
        <f t="shared" si="899"/>
        <v>0</v>
      </c>
      <c r="DK81" s="871">
        <f t="shared" si="900"/>
        <v>0</v>
      </c>
      <c r="DL81" s="871">
        <f t="shared" si="901"/>
        <v>0</v>
      </c>
      <c r="DM81" s="871">
        <f t="shared" si="902"/>
        <v>0</v>
      </c>
      <c r="DN81" s="871">
        <f t="shared" si="903"/>
        <v>0</v>
      </c>
      <c r="DO81" s="871">
        <f t="shared" si="904"/>
        <v>0</v>
      </c>
      <c r="DP81" s="871">
        <f t="shared" si="905"/>
        <v>0</v>
      </c>
      <c r="DQ81" s="871">
        <f t="shared" si="906"/>
        <v>0</v>
      </c>
      <c r="DR81" s="871">
        <f t="shared" si="907"/>
        <v>0</v>
      </c>
      <c r="DS81" s="871">
        <f t="shared" si="908"/>
        <v>0</v>
      </c>
      <c r="DT81" s="871">
        <f t="shared" si="909"/>
        <v>0</v>
      </c>
      <c r="DU81" s="871">
        <f t="shared" si="910"/>
        <v>0</v>
      </c>
      <c r="DV81" s="871">
        <f t="shared" si="911"/>
        <v>0</v>
      </c>
      <c r="DW81" s="871">
        <f t="shared" si="912"/>
        <v>0</v>
      </c>
      <c r="DX81" s="871">
        <f t="shared" si="913"/>
        <v>0</v>
      </c>
      <c r="DY81" s="871">
        <f t="shared" si="914"/>
        <v>0</v>
      </c>
      <c r="DZ81" s="871">
        <f t="shared" si="915"/>
        <v>0</v>
      </c>
      <c r="EA81" s="871">
        <f t="shared" si="916"/>
        <v>0</v>
      </c>
      <c r="EB81" s="871">
        <f t="shared" si="917"/>
        <v>0</v>
      </c>
      <c r="EC81" s="871">
        <f t="shared" si="918"/>
        <v>0</v>
      </c>
      <c r="ED81" s="871">
        <f t="shared" si="919"/>
        <v>0</v>
      </c>
      <c r="EE81" s="871">
        <f t="shared" si="920"/>
        <v>0</v>
      </c>
      <c r="EF81" s="871">
        <f t="shared" si="921"/>
        <v>0</v>
      </c>
      <c r="EG81" s="871">
        <f t="shared" si="922"/>
        <v>0</v>
      </c>
      <c r="EH81" s="41"/>
      <c r="EI81" s="41"/>
      <c r="EJ81" s="41"/>
      <c r="EK81" s="41"/>
    </row>
    <row r="82" spans="1:141" ht="15.95" customHeight="1">
      <c r="A82" s="595"/>
      <c r="B82" s="598"/>
      <c r="C82" s="599"/>
      <c r="E82" s="1440" t="s">
        <v>1676</v>
      </c>
      <c r="F82" s="867"/>
      <c r="G82" s="868"/>
      <c r="H82" s="867"/>
      <c r="I82" s="869"/>
      <c r="J82" s="869"/>
      <c r="K82" s="76"/>
      <c r="L82" s="1455">
        <v>0</v>
      </c>
      <c r="M82" s="1455">
        <v>0</v>
      </c>
      <c r="N82" s="1455">
        <v>0</v>
      </c>
      <c r="O82" s="1455">
        <v>0</v>
      </c>
      <c r="P82" s="1455">
        <v>0</v>
      </c>
      <c r="Q82" s="1455">
        <v>0</v>
      </c>
      <c r="R82" s="1455">
        <v>0</v>
      </c>
      <c r="S82" s="1455">
        <v>0</v>
      </c>
      <c r="T82" s="1455">
        <v>0</v>
      </c>
      <c r="U82" s="1455">
        <v>0</v>
      </c>
      <c r="V82" s="1455">
        <v>0</v>
      </c>
      <c r="W82" s="1455">
        <v>0</v>
      </c>
      <c r="X82" s="1455">
        <v>0</v>
      </c>
      <c r="Y82" s="1455">
        <v>0</v>
      </c>
      <c r="Z82" s="1455">
        <v>0</v>
      </c>
      <c r="AA82" s="1455">
        <v>0</v>
      </c>
      <c r="AB82" s="1455">
        <v>0</v>
      </c>
      <c r="AC82" s="1455">
        <v>0</v>
      </c>
      <c r="AD82" s="1455">
        <v>0</v>
      </c>
      <c r="AE82" s="1455">
        <v>0</v>
      </c>
      <c r="AF82" s="1455">
        <v>0</v>
      </c>
      <c r="AG82" s="1455">
        <v>0</v>
      </c>
      <c r="AH82" s="1455">
        <v>0</v>
      </c>
      <c r="AI82" s="1455">
        <v>0</v>
      </c>
      <c r="AJ82" s="1455">
        <v>0</v>
      </c>
      <c r="AK82" s="1455">
        <v>0</v>
      </c>
      <c r="AL82" s="1455">
        <v>0</v>
      </c>
      <c r="AM82" s="1455">
        <v>0</v>
      </c>
      <c r="AN82" s="1455">
        <v>0</v>
      </c>
      <c r="AO82" s="1455">
        <v>0</v>
      </c>
      <c r="AP82" s="77"/>
      <c r="AQ82" s="871">
        <f t="shared" si="118"/>
        <v>0</v>
      </c>
      <c r="AR82" s="871">
        <f t="shared" si="1037"/>
        <v>0</v>
      </c>
      <c r="AS82" s="871">
        <f t="shared" si="1038"/>
        <v>0</v>
      </c>
      <c r="AT82" s="871">
        <f t="shared" si="1039"/>
        <v>0</v>
      </c>
      <c r="AU82" s="871">
        <f t="shared" si="1040"/>
        <v>0</v>
      </c>
      <c r="AV82" s="871">
        <f t="shared" si="1041"/>
        <v>0</v>
      </c>
      <c r="AW82" s="871">
        <f t="shared" si="1042"/>
        <v>0</v>
      </c>
      <c r="AX82" s="871">
        <f t="shared" si="1043"/>
        <v>0</v>
      </c>
      <c r="AY82" s="871">
        <f t="shared" si="1044"/>
        <v>0</v>
      </c>
      <c r="AZ82" s="871">
        <f t="shared" si="1045"/>
        <v>0</v>
      </c>
      <c r="BA82" s="871">
        <f t="shared" si="1046"/>
        <v>0</v>
      </c>
      <c r="BB82" s="871">
        <f t="shared" si="1047"/>
        <v>0</v>
      </c>
      <c r="BC82" s="871">
        <f t="shared" si="1048"/>
        <v>0</v>
      </c>
      <c r="BD82" s="871">
        <f t="shared" si="1049"/>
        <v>0</v>
      </c>
      <c r="BE82" s="871">
        <f t="shared" si="1050"/>
        <v>0</v>
      </c>
      <c r="BF82" s="871">
        <f t="shared" si="1051"/>
        <v>0</v>
      </c>
      <c r="BG82" s="871">
        <f t="shared" si="1052"/>
        <v>0</v>
      </c>
      <c r="BH82" s="871">
        <f t="shared" si="1053"/>
        <v>0</v>
      </c>
      <c r="BI82" s="871">
        <f t="shared" si="1054"/>
        <v>0</v>
      </c>
      <c r="BJ82" s="871">
        <f t="shared" si="1055"/>
        <v>0</v>
      </c>
      <c r="BK82" s="871">
        <f t="shared" si="1056"/>
        <v>0</v>
      </c>
      <c r="BL82" s="871">
        <f t="shared" si="1057"/>
        <v>0</v>
      </c>
      <c r="BM82" s="871">
        <f t="shared" si="1058"/>
        <v>0</v>
      </c>
      <c r="BN82" s="871">
        <f t="shared" si="1059"/>
        <v>0</v>
      </c>
      <c r="BO82" s="871">
        <f t="shared" si="1060"/>
        <v>0</v>
      </c>
      <c r="BP82" s="871">
        <f t="shared" si="1061"/>
        <v>0</v>
      </c>
      <c r="BQ82" s="871">
        <f t="shared" si="1062"/>
        <v>0</v>
      </c>
      <c r="BR82" s="871">
        <f t="shared" si="1063"/>
        <v>0</v>
      </c>
      <c r="BS82" s="871">
        <f t="shared" si="1064"/>
        <v>0</v>
      </c>
      <c r="BT82" s="871">
        <f t="shared" si="1065"/>
        <v>0</v>
      </c>
      <c r="BU82" s="871">
        <f t="shared" si="1066"/>
        <v>0</v>
      </c>
      <c r="BV82" s="1453"/>
      <c r="BW82" s="871">
        <f t="shared" si="117"/>
        <v>0</v>
      </c>
      <c r="BX82" s="871"/>
      <c r="BY82" s="871"/>
      <c r="BZ82" s="871"/>
      <c r="CA82" s="871"/>
      <c r="CB82" s="871"/>
      <c r="CC82" s="871"/>
      <c r="CD82" s="871"/>
      <c r="CE82" s="871"/>
      <c r="CF82" s="871"/>
      <c r="CG82" s="871"/>
      <c r="CH82" s="871"/>
      <c r="CI82" s="871"/>
      <c r="CJ82" s="871"/>
      <c r="CK82" s="871"/>
      <c r="CL82" s="871"/>
      <c r="CM82" s="871"/>
      <c r="CN82" s="871"/>
      <c r="CO82" s="871"/>
      <c r="CP82" s="871"/>
      <c r="CQ82" s="871"/>
      <c r="CR82" s="871"/>
      <c r="CS82" s="871"/>
      <c r="CT82" s="871"/>
      <c r="CU82" s="871"/>
      <c r="CV82" s="871"/>
      <c r="CW82" s="871"/>
      <c r="CX82" s="871"/>
      <c r="CY82" s="871"/>
      <c r="CZ82" s="871"/>
      <c r="DA82" s="871"/>
      <c r="DB82" s="41"/>
      <c r="DC82" s="871">
        <f t="shared" si="892"/>
        <v>0</v>
      </c>
      <c r="DD82" s="871">
        <f t="shared" si="893"/>
        <v>0</v>
      </c>
      <c r="DE82" s="871">
        <f t="shared" si="894"/>
        <v>0</v>
      </c>
      <c r="DF82" s="871">
        <f t="shared" si="895"/>
        <v>0</v>
      </c>
      <c r="DG82" s="871">
        <f t="shared" si="896"/>
        <v>0</v>
      </c>
      <c r="DH82" s="871">
        <f t="shared" si="897"/>
        <v>0</v>
      </c>
      <c r="DI82" s="871">
        <f t="shared" si="898"/>
        <v>0</v>
      </c>
      <c r="DJ82" s="871">
        <f t="shared" si="899"/>
        <v>0</v>
      </c>
      <c r="DK82" s="871">
        <f t="shared" si="900"/>
        <v>0</v>
      </c>
      <c r="DL82" s="871">
        <f t="shared" si="901"/>
        <v>0</v>
      </c>
      <c r="DM82" s="871">
        <f t="shared" si="902"/>
        <v>0</v>
      </c>
      <c r="DN82" s="871">
        <f t="shared" si="903"/>
        <v>0</v>
      </c>
      <c r="DO82" s="871">
        <f t="shared" si="904"/>
        <v>0</v>
      </c>
      <c r="DP82" s="871">
        <f t="shared" si="905"/>
        <v>0</v>
      </c>
      <c r="DQ82" s="871">
        <f t="shared" si="906"/>
        <v>0</v>
      </c>
      <c r="DR82" s="871">
        <f t="shared" si="907"/>
        <v>0</v>
      </c>
      <c r="DS82" s="871">
        <f t="shared" si="908"/>
        <v>0</v>
      </c>
      <c r="DT82" s="871">
        <f t="shared" si="909"/>
        <v>0</v>
      </c>
      <c r="DU82" s="871">
        <f t="shared" si="910"/>
        <v>0</v>
      </c>
      <c r="DV82" s="871">
        <f t="shared" si="911"/>
        <v>0</v>
      </c>
      <c r="DW82" s="871">
        <f t="shared" si="912"/>
        <v>0</v>
      </c>
      <c r="DX82" s="871">
        <f t="shared" si="913"/>
        <v>0</v>
      </c>
      <c r="DY82" s="871">
        <f t="shared" si="914"/>
        <v>0</v>
      </c>
      <c r="DZ82" s="871">
        <f t="shared" si="915"/>
        <v>0</v>
      </c>
      <c r="EA82" s="871">
        <f t="shared" si="916"/>
        <v>0</v>
      </c>
      <c r="EB82" s="871">
        <f t="shared" si="917"/>
        <v>0</v>
      </c>
      <c r="EC82" s="871">
        <f t="shared" si="918"/>
        <v>0</v>
      </c>
      <c r="ED82" s="871">
        <f t="shared" si="919"/>
        <v>0</v>
      </c>
      <c r="EE82" s="871">
        <f t="shared" si="920"/>
        <v>0</v>
      </c>
      <c r="EF82" s="871">
        <f t="shared" si="921"/>
        <v>0</v>
      </c>
      <c r="EG82" s="871">
        <f t="shared" si="922"/>
        <v>0</v>
      </c>
      <c r="EH82" s="41"/>
      <c r="EI82" s="41"/>
      <c r="EJ82" s="41"/>
      <c r="EK82" s="41"/>
    </row>
    <row r="83" spans="1:141" ht="15.95" customHeight="1">
      <c r="A83" s="595"/>
      <c r="B83" s="598"/>
      <c r="C83" s="599"/>
      <c r="E83" s="1440" t="s">
        <v>1677</v>
      </c>
      <c r="F83" s="867"/>
      <c r="G83" s="868"/>
      <c r="H83" s="867"/>
      <c r="I83" s="869"/>
      <c r="J83" s="869"/>
      <c r="K83" s="76"/>
      <c r="L83" s="1455">
        <v>0</v>
      </c>
      <c r="M83" s="1455">
        <v>0</v>
      </c>
      <c r="N83" s="1455">
        <v>0</v>
      </c>
      <c r="O83" s="1455">
        <v>0</v>
      </c>
      <c r="P83" s="1455">
        <v>0</v>
      </c>
      <c r="Q83" s="1455">
        <v>0</v>
      </c>
      <c r="R83" s="1455">
        <v>0</v>
      </c>
      <c r="S83" s="1455">
        <v>0</v>
      </c>
      <c r="T83" s="1455">
        <v>0</v>
      </c>
      <c r="U83" s="1455">
        <v>0</v>
      </c>
      <c r="V83" s="1455">
        <v>0</v>
      </c>
      <c r="W83" s="1455">
        <v>0</v>
      </c>
      <c r="X83" s="1455">
        <v>0</v>
      </c>
      <c r="Y83" s="1455">
        <v>0</v>
      </c>
      <c r="Z83" s="1455">
        <v>0</v>
      </c>
      <c r="AA83" s="1455">
        <v>0</v>
      </c>
      <c r="AB83" s="1455">
        <v>0</v>
      </c>
      <c r="AC83" s="1455">
        <v>0</v>
      </c>
      <c r="AD83" s="1455">
        <v>0</v>
      </c>
      <c r="AE83" s="1455">
        <v>0</v>
      </c>
      <c r="AF83" s="1455">
        <v>0</v>
      </c>
      <c r="AG83" s="1455">
        <v>0</v>
      </c>
      <c r="AH83" s="1455">
        <v>0</v>
      </c>
      <c r="AI83" s="1455">
        <v>0</v>
      </c>
      <c r="AJ83" s="1455">
        <v>0</v>
      </c>
      <c r="AK83" s="1455">
        <v>0</v>
      </c>
      <c r="AL83" s="1455">
        <v>0</v>
      </c>
      <c r="AM83" s="1455">
        <v>0</v>
      </c>
      <c r="AN83" s="1455">
        <v>0</v>
      </c>
      <c r="AO83" s="1455">
        <v>0</v>
      </c>
      <c r="AP83" s="77"/>
      <c r="AQ83" s="871">
        <f t="shared" si="118"/>
        <v>0</v>
      </c>
      <c r="AR83" s="871">
        <f t="shared" si="1037"/>
        <v>0</v>
      </c>
      <c r="AS83" s="871">
        <f t="shared" si="1038"/>
        <v>0</v>
      </c>
      <c r="AT83" s="871">
        <f t="shared" si="1039"/>
        <v>0</v>
      </c>
      <c r="AU83" s="871">
        <f t="shared" si="1040"/>
        <v>0</v>
      </c>
      <c r="AV83" s="871">
        <f t="shared" si="1041"/>
        <v>0</v>
      </c>
      <c r="AW83" s="871">
        <f t="shared" si="1042"/>
        <v>0</v>
      </c>
      <c r="AX83" s="871">
        <f t="shared" si="1043"/>
        <v>0</v>
      </c>
      <c r="AY83" s="871">
        <f t="shared" si="1044"/>
        <v>0</v>
      </c>
      <c r="AZ83" s="871">
        <f t="shared" si="1045"/>
        <v>0</v>
      </c>
      <c r="BA83" s="871">
        <f t="shared" si="1046"/>
        <v>0</v>
      </c>
      <c r="BB83" s="871">
        <f t="shared" si="1047"/>
        <v>0</v>
      </c>
      <c r="BC83" s="871">
        <f t="shared" si="1048"/>
        <v>0</v>
      </c>
      <c r="BD83" s="871">
        <f t="shared" si="1049"/>
        <v>0</v>
      </c>
      <c r="BE83" s="871">
        <f t="shared" si="1050"/>
        <v>0</v>
      </c>
      <c r="BF83" s="871">
        <f t="shared" si="1051"/>
        <v>0</v>
      </c>
      <c r="BG83" s="871">
        <f t="shared" si="1052"/>
        <v>0</v>
      </c>
      <c r="BH83" s="871">
        <f t="shared" si="1053"/>
        <v>0</v>
      </c>
      <c r="BI83" s="871">
        <f t="shared" si="1054"/>
        <v>0</v>
      </c>
      <c r="BJ83" s="871">
        <f t="shared" si="1055"/>
        <v>0</v>
      </c>
      <c r="BK83" s="871">
        <f t="shared" si="1056"/>
        <v>0</v>
      </c>
      <c r="BL83" s="871">
        <f t="shared" si="1057"/>
        <v>0</v>
      </c>
      <c r="BM83" s="871">
        <f t="shared" si="1058"/>
        <v>0</v>
      </c>
      <c r="BN83" s="871">
        <f t="shared" si="1059"/>
        <v>0</v>
      </c>
      <c r="BO83" s="871">
        <f t="shared" si="1060"/>
        <v>0</v>
      </c>
      <c r="BP83" s="871">
        <f t="shared" si="1061"/>
        <v>0</v>
      </c>
      <c r="BQ83" s="871">
        <f t="shared" si="1062"/>
        <v>0</v>
      </c>
      <c r="BR83" s="871">
        <f t="shared" si="1063"/>
        <v>0</v>
      </c>
      <c r="BS83" s="871">
        <f t="shared" si="1064"/>
        <v>0</v>
      </c>
      <c r="BT83" s="871">
        <f t="shared" si="1065"/>
        <v>0</v>
      </c>
      <c r="BU83" s="871">
        <f t="shared" si="1066"/>
        <v>0</v>
      </c>
      <c r="BV83" s="1453"/>
      <c r="BW83" s="871">
        <f t="shared" si="117"/>
        <v>0</v>
      </c>
      <c r="BX83" s="871"/>
      <c r="BY83" s="871"/>
      <c r="BZ83" s="871"/>
      <c r="CA83" s="871"/>
      <c r="CB83" s="871"/>
      <c r="CC83" s="871"/>
      <c r="CD83" s="871"/>
      <c r="CE83" s="871"/>
      <c r="CF83" s="871"/>
      <c r="CG83" s="871"/>
      <c r="CH83" s="871"/>
      <c r="CI83" s="871"/>
      <c r="CJ83" s="871"/>
      <c r="CK83" s="871"/>
      <c r="CL83" s="871"/>
      <c r="CM83" s="871"/>
      <c r="CN83" s="871"/>
      <c r="CO83" s="871"/>
      <c r="CP83" s="871"/>
      <c r="CQ83" s="871"/>
      <c r="CR83" s="871"/>
      <c r="CS83" s="871"/>
      <c r="CT83" s="871"/>
      <c r="CU83" s="871"/>
      <c r="CV83" s="871"/>
      <c r="CW83" s="871"/>
      <c r="CX83" s="871"/>
      <c r="CY83" s="871"/>
      <c r="CZ83" s="871"/>
      <c r="DA83" s="871"/>
      <c r="DB83" s="41"/>
      <c r="DC83" s="871">
        <f t="shared" si="892"/>
        <v>0</v>
      </c>
      <c r="DD83" s="871">
        <f t="shared" si="893"/>
        <v>0</v>
      </c>
      <c r="DE83" s="871">
        <f t="shared" si="894"/>
        <v>0</v>
      </c>
      <c r="DF83" s="871">
        <f t="shared" si="895"/>
        <v>0</v>
      </c>
      <c r="DG83" s="871">
        <f t="shared" si="896"/>
        <v>0</v>
      </c>
      <c r="DH83" s="871">
        <f t="shared" si="897"/>
        <v>0</v>
      </c>
      <c r="DI83" s="871">
        <f t="shared" si="898"/>
        <v>0</v>
      </c>
      <c r="DJ83" s="871">
        <f t="shared" si="899"/>
        <v>0</v>
      </c>
      <c r="DK83" s="871">
        <f t="shared" si="900"/>
        <v>0</v>
      </c>
      <c r="DL83" s="871">
        <f t="shared" si="901"/>
        <v>0</v>
      </c>
      <c r="DM83" s="871">
        <f t="shared" si="902"/>
        <v>0</v>
      </c>
      <c r="DN83" s="871">
        <f t="shared" si="903"/>
        <v>0</v>
      </c>
      <c r="DO83" s="871">
        <f t="shared" si="904"/>
        <v>0</v>
      </c>
      <c r="DP83" s="871">
        <f t="shared" si="905"/>
        <v>0</v>
      </c>
      <c r="DQ83" s="871">
        <f t="shared" si="906"/>
        <v>0</v>
      </c>
      <c r="DR83" s="871">
        <f t="shared" si="907"/>
        <v>0</v>
      </c>
      <c r="DS83" s="871">
        <f t="shared" si="908"/>
        <v>0</v>
      </c>
      <c r="DT83" s="871">
        <f t="shared" si="909"/>
        <v>0</v>
      </c>
      <c r="DU83" s="871">
        <f t="shared" si="910"/>
        <v>0</v>
      </c>
      <c r="DV83" s="871">
        <f t="shared" si="911"/>
        <v>0</v>
      </c>
      <c r="DW83" s="871">
        <f t="shared" si="912"/>
        <v>0</v>
      </c>
      <c r="DX83" s="871">
        <f t="shared" si="913"/>
        <v>0</v>
      </c>
      <c r="DY83" s="871">
        <f t="shared" si="914"/>
        <v>0</v>
      </c>
      <c r="DZ83" s="871">
        <f t="shared" si="915"/>
        <v>0</v>
      </c>
      <c r="EA83" s="871">
        <f t="shared" si="916"/>
        <v>0</v>
      </c>
      <c r="EB83" s="871">
        <f t="shared" si="917"/>
        <v>0</v>
      </c>
      <c r="EC83" s="871">
        <f t="shared" si="918"/>
        <v>0</v>
      </c>
      <c r="ED83" s="871">
        <f t="shared" si="919"/>
        <v>0</v>
      </c>
      <c r="EE83" s="871">
        <f t="shared" si="920"/>
        <v>0</v>
      </c>
      <c r="EF83" s="871">
        <f t="shared" si="921"/>
        <v>0</v>
      </c>
      <c r="EG83" s="871">
        <f t="shared" si="922"/>
        <v>0</v>
      </c>
      <c r="EH83" s="41"/>
      <c r="EI83" s="41"/>
      <c r="EJ83" s="41"/>
      <c r="EK83" s="41"/>
    </row>
    <row r="84" spans="1:141" ht="15.95" customHeight="1">
      <c r="A84" s="595"/>
      <c r="B84" s="598"/>
      <c r="C84" s="599"/>
      <c r="E84" s="1440" t="s">
        <v>1678</v>
      </c>
      <c r="F84" s="867"/>
      <c r="G84" s="868"/>
      <c r="H84" s="867"/>
      <c r="I84" s="869"/>
      <c r="J84" s="869"/>
      <c r="K84" s="76"/>
      <c r="L84" s="1455">
        <v>0</v>
      </c>
      <c r="M84" s="1455">
        <v>0</v>
      </c>
      <c r="N84" s="1455">
        <v>0</v>
      </c>
      <c r="O84" s="1455">
        <v>0</v>
      </c>
      <c r="P84" s="1455">
        <v>0</v>
      </c>
      <c r="Q84" s="1455">
        <v>0</v>
      </c>
      <c r="R84" s="1455">
        <v>0</v>
      </c>
      <c r="S84" s="1455">
        <v>0</v>
      </c>
      <c r="T84" s="1455">
        <v>0</v>
      </c>
      <c r="U84" s="1455">
        <v>0</v>
      </c>
      <c r="V84" s="1455">
        <v>0</v>
      </c>
      <c r="W84" s="1455">
        <v>0</v>
      </c>
      <c r="X84" s="1455">
        <v>0</v>
      </c>
      <c r="Y84" s="1455">
        <v>0</v>
      </c>
      <c r="Z84" s="1455">
        <v>0</v>
      </c>
      <c r="AA84" s="1455">
        <v>0</v>
      </c>
      <c r="AB84" s="1455">
        <v>0</v>
      </c>
      <c r="AC84" s="1455">
        <v>0</v>
      </c>
      <c r="AD84" s="1455">
        <v>0</v>
      </c>
      <c r="AE84" s="1455">
        <v>0</v>
      </c>
      <c r="AF84" s="1455">
        <v>0</v>
      </c>
      <c r="AG84" s="1455">
        <v>0</v>
      </c>
      <c r="AH84" s="1455">
        <v>0</v>
      </c>
      <c r="AI84" s="1455">
        <v>0</v>
      </c>
      <c r="AJ84" s="1455">
        <v>0</v>
      </c>
      <c r="AK84" s="1455">
        <v>0</v>
      </c>
      <c r="AL84" s="1455">
        <v>0</v>
      </c>
      <c r="AM84" s="1455">
        <v>0</v>
      </c>
      <c r="AN84" s="1455">
        <v>0</v>
      </c>
      <c r="AO84" s="1455">
        <v>0</v>
      </c>
      <c r="AP84" s="77"/>
      <c r="AQ84" s="871">
        <f t="shared" si="118"/>
        <v>0</v>
      </c>
      <c r="AR84" s="871">
        <f t="shared" si="1037"/>
        <v>0</v>
      </c>
      <c r="AS84" s="871">
        <f t="shared" si="1038"/>
        <v>0</v>
      </c>
      <c r="AT84" s="871">
        <f t="shared" si="1039"/>
        <v>0</v>
      </c>
      <c r="AU84" s="871">
        <f t="shared" si="1040"/>
        <v>0</v>
      </c>
      <c r="AV84" s="871">
        <f t="shared" si="1041"/>
        <v>0</v>
      </c>
      <c r="AW84" s="871">
        <f t="shared" si="1042"/>
        <v>0</v>
      </c>
      <c r="AX84" s="871">
        <f t="shared" si="1043"/>
        <v>0</v>
      </c>
      <c r="AY84" s="871">
        <f t="shared" si="1044"/>
        <v>0</v>
      </c>
      <c r="AZ84" s="871">
        <f t="shared" si="1045"/>
        <v>0</v>
      </c>
      <c r="BA84" s="871">
        <f t="shared" si="1046"/>
        <v>0</v>
      </c>
      <c r="BB84" s="871">
        <f t="shared" si="1047"/>
        <v>0</v>
      </c>
      <c r="BC84" s="871">
        <f t="shared" si="1048"/>
        <v>0</v>
      </c>
      <c r="BD84" s="871">
        <f t="shared" si="1049"/>
        <v>0</v>
      </c>
      <c r="BE84" s="871">
        <f t="shared" si="1050"/>
        <v>0</v>
      </c>
      <c r="BF84" s="871">
        <f t="shared" si="1051"/>
        <v>0</v>
      </c>
      <c r="BG84" s="871">
        <f t="shared" si="1052"/>
        <v>0</v>
      </c>
      <c r="BH84" s="871">
        <f t="shared" si="1053"/>
        <v>0</v>
      </c>
      <c r="BI84" s="871">
        <f t="shared" si="1054"/>
        <v>0</v>
      </c>
      <c r="BJ84" s="871">
        <f t="shared" si="1055"/>
        <v>0</v>
      </c>
      <c r="BK84" s="871">
        <f t="shared" si="1056"/>
        <v>0</v>
      </c>
      <c r="BL84" s="871">
        <f t="shared" si="1057"/>
        <v>0</v>
      </c>
      <c r="BM84" s="871">
        <f t="shared" si="1058"/>
        <v>0</v>
      </c>
      <c r="BN84" s="871">
        <f t="shared" si="1059"/>
        <v>0</v>
      </c>
      <c r="BO84" s="871">
        <f t="shared" si="1060"/>
        <v>0</v>
      </c>
      <c r="BP84" s="871">
        <f t="shared" si="1061"/>
        <v>0</v>
      </c>
      <c r="BQ84" s="871">
        <f t="shared" si="1062"/>
        <v>0</v>
      </c>
      <c r="BR84" s="871">
        <f t="shared" si="1063"/>
        <v>0</v>
      </c>
      <c r="BS84" s="871">
        <f t="shared" si="1064"/>
        <v>0</v>
      </c>
      <c r="BT84" s="871">
        <f t="shared" si="1065"/>
        <v>0</v>
      </c>
      <c r="BU84" s="871">
        <f t="shared" si="1066"/>
        <v>0</v>
      </c>
      <c r="BV84" s="1453"/>
      <c r="BW84" s="871">
        <f t="shared" si="117"/>
        <v>0</v>
      </c>
      <c r="BX84" s="871"/>
      <c r="BY84" s="871"/>
      <c r="BZ84" s="871"/>
      <c r="CA84" s="871"/>
      <c r="CB84" s="871"/>
      <c r="CC84" s="871"/>
      <c r="CD84" s="871"/>
      <c r="CE84" s="871"/>
      <c r="CF84" s="871"/>
      <c r="CG84" s="871"/>
      <c r="CH84" s="871"/>
      <c r="CI84" s="871"/>
      <c r="CJ84" s="871"/>
      <c r="CK84" s="871"/>
      <c r="CL84" s="871"/>
      <c r="CM84" s="871"/>
      <c r="CN84" s="871"/>
      <c r="CO84" s="871"/>
      <c r="CP84" s="871"/>
      <c r="CQ84" s="871"/>
      <c r="CR84" s="871"/>
      <c r="CS84" s="871"/>
      <c r="CT84" s="871"/>
      <c r="CU84" s="871"/>
      <c r="CV84" s="871"/>
      <c r="CW84" s="871"/>
      <c r="CX84" s="871"/>
      <c r="CY84" s="871"/>
      <c r="CZ84" s="871"/>
      <c r="DA84" s="871"/>
      <c r="DB84" s="41"/>
      <c r="DC84" s="871">
        <f t="shared" si="892"/>
        <v>0</v>
      </c>
      <c r="DD84" s="871">
        <f t="shared" si="893"/>
        <v>0</v>
      </c>
      <c r="DE84" s="871">
        <f t="shared" si="894"/>
        <v>0</v>
      </c>
      <c r="DF84" s="871">
        <f t="shared" si="895"/>
        <v>0</v>
      </c>
      <c r="DG84" s="871">
        <f t="shared" si="896"/>
        <v>0</v>
      </c>
      <c r="DH84" s="871">
        <f t="shared" si="897"/>
        <v>0</v>
      </c>
      <c r="DI84" s="871">
        <f t="shared" si="898"/>
        <v>0</v>
      </c>
      <c r="DJ84" s="871">
        <f t="shared" si="899"/>
        <v>0</v>
      </c>
      <c r="DK84" s="871">
        <f t="shared" si="900"/>
        <v>0</v>
      </c>
      <c r="DL84" s="871">
        <f t="shared" si="901"/>
        <v>0</v>
      </c>
      <c r="DM84" s="871">
        <f t="shared" si="902"/>
        <v>0</v>
      </c>
      <c r="DN84" s="871">
        <f t="shared" si="903"/>
        <v>0</v>
      </c>
      <c r="DO84" s="871">
        <f t="shared" si="904"/>
        <v>0</v>
      </c>
      <c r="DP84" s="871">
        <f t="shared" si="905"/>
        <v>0</v>
      </c>
      <c r="DQ84" s="871">
        <f t="shared" si="906"/>
        <v>0</v>
      </c>
      <c r="DR84" s="871">
        <f t="shared" si="907"/>
        <v>0</v>
      </c>
      <c r="DS84" s="871">
        <f t="shared" si="908"/>
        <v>0</v>
      </c>
      <c r="DT84" s="871">
        <f t="shared" si="909"/>
        <v>0</v>
      </c>
      <c r="DU84" s="871">
        <f t="shared" si="910"/>
        <v>0</v>
      </c>
      <c r="DV84" s="871">
        <f t="shared" si="911"/>
        <v>0</v>
      </c>
      <c r="DW84" s="871">
        <f t="shared" si="912"/>
        <v>0</v>
      </c>
      <c r="DX84" s="871">
        <f t="shared" si="913"/>
        <v>0</v>
      </c>
      <c r="DY84" s="871">
        <f t="shared" si="914"/>
        <v>0</v>
      </c>
      <c r="DZ84" s="871">
        <f t="shared" si="915"/>
        <v>0</v>
      </c>
      <c r="EA84" s="871">
        <f t="shared" si="916"/>
        <v>0</v>
      </c>
      <c r="EB84" s="871">
        <f t="shared" si="917"/>
        <v>0</v>
      </c>
      <c r="EC84" s="871">
        <f t="shared" si="918"/>
        <v>0</v>
      </c>
      <c r="ED84" s="871">
        <f t="shared" si="919"/>
        <v>0</v>
      </c>
      <c r="EE84" s="871">
        <f t="shared" si="920"/>
        <v>0</v>
      </c>
      <c r="EF84" s="871">
        <f t="shared" si="921"/>
        <v>0</v>
      </c>
      <c r="EG84" s="871">
        <f t="shared" si="922"/>
        <v>0</v>
      </c>
      <c r="EH84" s="41"/>
      <c r="EI84" s="41"/>
      <c r="EJ84" s="41"/>
      <c r="EK84" s="41"/>
    </row>
    <row r="85" spans="1:141" s="2" customFormat="1" ht="15.95" customHeight="1">
      <c r="A85" s="595"/>
      <c r="B85" s="598"/>
      <c r="C85" s="599"/>
      <c r="D85" s="29"/>
      <c r="E85" s="1440" t="s">
        <v>1679</v>
      </c>
      <c r="F85" s="867"/>
      <c r="G85" s="868"/>
      <c r="H85" s="867"/>
      <c r="I85" s="869"/>
      <c r="J85" s="869"/>
      <c r="K85" s="76"/>
      <c r="L85" s="1455">
        <v>0</v>
      </c>
      <c r="M85" s="1455">
        <v>0</v>
      </c>
      <c r="N85" s="1455">
        <v>0</v>
      </c>
      <c r="O85" s="1455">
        <v>0</v>
      </c>
      <c r="P85" s="1455">
        <v>0</v>
      </c>
      <c r="Q85" s="1455">
        <v>0</v>
      </c>
      <c r="R85" s="1455">
        <v>0</v>
      </c>
      <c r="S85" s="1455">
        <v>0</v>
      </c>
      <c r="T85" s="1455">
        <v>0</v>
      </c>
      <c r="U85" s="1455">
        <v>0</v>
      </c>
      <c r="V85" s="1455">
        <v>0</v>
      </c>
      <c r="W85" s="1455">
        <v>0</v>
      </c>
      <c r="X85" s="1455">
        <v>0</v>
      </c>
      <c r="Y85" s="1455">
        <v>0</v>
      </c>
      <c r="Z85" s="1455">
        <v>0</v>
      </c>
      <c r="AA85" s="1455">
        <v>0</v>
      </c>
      <c r="AB85" s="1455">
        <v>0</v>
      </c>
      <c r="AC85" s="1455">
        <v>0</v>
      </c>
      <c r="AD85" s="1455">
        <v>0</v>
      </c>
      <c r="AE85" s="1455">
        <v>0</v>
      </c>
      <c r="AF85" s="1455">
        <v>0</v>
      </c>
      <c r="AG85" s="1455">
        <v>0</v>
      </c>
      <c r="AH85" s="1455">
        <v>0</v>
      </c>
      <c r="AI85" s="1455">
        <v>0</v>
      </c>
      <c r="AJ85" s="1455">
        <v>0</v>
      </c>
      <c r="AK85" s="1455">
        <v>0</v>
      </c>
      <c r="AL85" s="1455">
        <v>0</v>
      </c>
      <c r="AM85" s="1455">
        <v>0</v>
      </c>
      <c r="AN85" s="1455">
        <v>0</v>
      </c>
      <c r="AO85" s="1455">
        <v>0</v>
      </c>
      <c r="AP85" s="77"/>
      <c r="AQ85" s="871">
        <f t="shared" si="118"/>
        <v>0</v>
      </c>
      <c r="AR85" s="871">
        <f t="shared" si="1037"/>
        <v>0</v>
      </c>
      <c r="AS85" s="871">
        <f t="shared" si="1038"/>
        <v>0</v>
      </c>
      <c r="AT85" s="871">
        <f t="shared" si="1039"/>
        <v>0</v>
      </c>
      <c r="AU85" s="871">
        <f t="shared" si="1040"/>
        <v>0</v>
      </c>
      <c r="AV85" s="871">
        <f t="shared" si="1041"/>
        <v>0</v>
      </c>
      <c r="AW85" s="871">
        <f t="shared" si="1042"/>
        <v>0</v>
      </c>
      <c r="AX85" s="871">
        <f t="shared" si="1043"/>
        <v>0</v>
      </c>
      <c r="AY85" s="871">
        <f t="shared" si="1044"/>
        <v>0</v>
      </c>
      <c r="AZ85" s="871">
        <f t="shared" si="1045"/>
        <v>0</v>
      </c>
      <c r="BA85" s="871">
        <f t="shared" si="1046"/>
        <v>0</v>
      </c>
      <c r="BB85" s="871">
        <f t="shared" si="1047"/>
        <v>0</v>
      </c>
      <c r="BC85" s="871">
        <f t="shared" si="1048"/>
        <v>0</v>
      </c>
      <c r="BD85" s="871">
        <f t="shared" si="1049"/>
        <v>0</v>
      </c>
      <c r="BE85" s="871">
        <f t="shared" si="1050"/>
        <v>0</v>
      </c>
      <c r="BF85" s="871">
        <f t="shared" si="1051"/>
        <v>0</v>
      </c>
      <c r="BG85" s="871">
        <f t="shared" si="1052"/>
        <v>0</v>
      </c>
      <c r="BH85" s="871">
        <f t="shared" si="1053"/>
        <v>0</v>
      </c>
      <c r="BI85" s="871">
        <f t="shared" si="1054"/>
        <v>0</v>
      </c>
      <c r="BJ85" s="871">
        <f t="shared" si="1055"/>
        <v>0</v>
      </c>
      <c r="BK85" s="871">
        <f t="shared" si="1056"/>
        <v>0</v>
      </c>
      <c r="BL85" s="871">
        <f t="shared" si="1057"/>
        <v>0</v>
      </c>
      <c r="BM85" s="871">
        <f t="shared" si="1058"/>
        <v>0</v>
      </c>
      <c r="BN85" s="871">
        <f t="shared" si="1059"/>
        <v>0</v>
      </c>
      <c r="BO85" s="871">
        <f t="shared" si="1060"/>
        <v>0</v>
      </c>
      <c r="BP85" s="871">
        <f t="shared" si="1061"/>
        <v>0</v>
      </c>
      <c r="BQ85" s="871">
        <f t="shared" si="1062"/>
        <v>0</v>
      </c>
      <c r="BR85" s="871">
        <f t="shared" si="1063"/>
        <v>0</v>
      </c>
      <c r="BS85" s="871">
        <f t="shared" si="1064"/>
        <v>0</v>
      </c>
      <c r="BT85" s="871">
        <f t="shared" si="1065"/>
        <v>0</v>
      </c>
      <c r="BU85" s="871">
        <f t="shared" si="1066"/>
        <v>0</v>
      </c>
      <c r="BV85" s="1453"/>
      <c r="BW85" s="871">
        <f t="shared" si="117"/>
        <v>0</v>
      </c>
      <c r="BX85" s="871"/>
      <c r="BY85" s="871"/>
      <c r="BZ85" s="871"/>
      <c r="CA85" s="871"/>
      <c r="CB85" s="871"/>
      <c r="CC85" s="871"/>
      <c r="CD85" s="871"/>
      <c r="CE85" s="871"/>
      <c r="CF85" s="871"/>
      <c r="CG85" s="871"/>
      <c r="CH85" s="871"/>
      <c r="CI85" s="871"/>
      <c r="CJ85" s="871"/>
      <c r="CK85" s="871"/>
      <c r="CL85" s="871"/>
      <c r="CM85" s="871"/>
      <c r="CN85" s="871"/>
      <c r="CO85" s="871"/>
      <c r="CP85" s="871"/>
      <c r="CQ85" s="871"/>
      <c r="CR85" s="871"/>
      <c r="CS85" s="871"/>
      <c r="CT85" s="871"/>
      <c r="CU85" s="871"/>
      <c r="CV85" s="871"/>
      <c r="CW85" s="871"/>
      <c r="CX85" s="871"/>
      <c r="CY85" s="871"/>
      <c r="CZ85" s="871"/>
      <c r="DA85" s="871"/>
      <c r="DC85" s="871">
        <f t="shared" si="892"/>
        <v>0</v>
      </c>
      <c r="DD85" s="871">
        <f t="shared" si="893"/>
        <v>0</v>
      </c>
      <c r="DE85" s="871">
        <f t="shared" si="894"/>
        <v>0</v>
      </c>
      <c r="DF85" s="871">
        <f t="shared" si="895"/>
        <v>0</v>
      </c>
      <c r="DG85" s="871">
        <f t="shared" si="896"/>
        <v>0</v>
      </c>
      <c r="DH85" s="871">
        <f t="shared" si="897"/>
        <v>0</v>
      </c>
      <c r="DI85" s="871">
        <f t="shared" si="898"/>
        <v>0</v>
      </c>
      <c r="DJ85" s="871">
        <f t="shared" si="899"/>
        <v>0</v>
      </c>
      <c r="DK85" s="871">
        <f t="shared" si="900"/>
        <v>0</v>
      </c>
      <c r="DL85" s="871">
        <f t="shared" si="901"/>
        <v>0</v>
      </c>
      <c r="DM85" s="871">
        <f t="shared" si="902"/>
        <v>0</v>
      </c>
      <c r="DN85" s="871">
        <f t="shared" si="903"/>
        <v>0</v>
      </c>
      <c r="DO85" s="871">
        <f t="shared" si="904"/>
        <v>0</v>
      </c>
      <c r="DP85" s="871">
        <f t="shared" si="905"/>
        <v>0</v>
      </c>
      <c r="DQ85" s="871">
        <f t="shared" si="906"/>
        <v>0</v>
      </c>
      <c r="DR85" s="871">
        <f t="shared" si="907"/>
        <v>0</v>
      </c>
      <c r="DS85" s="871">
        <f t="shared" si="908"/>
        <v>0</v>
      </c>
      <c r="DT85" s="871">
        <f t="shared" si="909"/>
        <v>0</v>
      </c>
      <c r="DU85" s="871">
        <f t="shared" si="910"/>
        <v>0</v>
      </c>
      <c r="DV85" s="871">
        <f t="shared" si="911"/>
        <v>0</v>
      </c>
      <c r="DW85" s="871">
        <f t="shared" si="912"/>
        <v>0</v>
      </c>
      <c r="DX85" s="871">
        <f t="shared" si="913"/>
        <v>0</v>
      </c>
      <c r="DY85" s="871">
        <f t="shared" si="914"/>
        <v>0</v>
      </c>
      <c r="DZ85" s="871">
        <f t="shared" si="915"/>
        <v>0</v>
      </c>
      <c r="EA85" s="871">
        <f t="shared" si="916"/>
        <v>0</v>
      </c>
      <c r="EB85" s="871">
        <f t="shared" si="917"/>
        <v>0</v>
      </c>
      <c r="EC85" s="871">
        <f t="shared" si="918"/>
        <v>0</v>
      </c>
      <c r="ED85" s="871">
        <f t="shared" si="919"/>
        <v>0</v>
      </c>
      <c r="EE85" s="871">
        <f t="shared" si="920"/>
        <v>0</v>
      </c>
      <c r="EF85" s="871">
        <f t="shared" si="921"/>
        <v>0</v>
      </c>
      <c r="EG85" s="871">
        <f t="shared" si="922"/>
        <v>0</v>
      </c>
    </row>
    <row r="86" spans="1:141" ht="15.95" customHeight="1">
      <c r="A86" s="595"/>
      <c r="B86" s="598"/>
      <c r="C86" s="599"/>
      <c r="E86" s="866" t="s">
        <v>1680</v>
      </c>
      <c r="F86" s="867"/>
      <c r="G86" s="868"/>
      <c r="H86" s="867"/>
      <c r="I86" s="869"/>
      <c r="J86" s="869"/>
      <c r="K86" s="76"/>
      <c r="L86" s="1455">
        <v>0</v>
      </c>
      <c r="M86" s="1455">
        <v>0</v>
      </c>
      <c r="N86" s="1455">
        <v>0</v>
      </c>
      <c r="O86" s="1455">
        <v>0</v>
      </c>
      <c r="P86" s="1455">
        <v>0</v>
      </c>
      <c r="Q86" s="1455">
        <v>0</v>
      </c>
      <c r="R86" s="1455">
        <v>0</v>
      </c>
      <c r="S86" s="1455">
        <v>0</v>
      </c>
      <c r="T86" s="1455">
        <v>0</v>
      </c>
      <c r="U86" s="1455">
        <v>0</v>
      </c>
      <c r="V86" s="1455">
        <v>0</v>
      </c>
      <c r="W86" s="1455">
        <v>0</v>
      </c>
      <c r="X86" s="1455">
        <v>0</v>
      </c>
      <c r="Y86" s="1455">
        <v>0</v>
      </c>
      <c r="Z86" s="1455">
        <v>0</v>
      </c>
      <c r="AA86" s="1455">
        <v>0</v>
      </c>
      <c r="AB86" s="1455">
        <v>0</v>
      </c>
      <c r="AC86" s="1455">
        <v>0</v>
      </c>
      <c r="AD86" s="1455">
        <v>0</v>
      </c>
      <c r="AE86" s="1455">
        <v>0</v>
      </c>
      <c r="AF86" s="1455">
        <v>0</v>
      </c>
      <c r="AG86" s="1455">
        <v>0</v>
      </c>
      <c r="AH86" s="1455">
        <v>0</v>
      </c>
      <c r="AI86" s="1455">
        <v>0</v>
      </c>
      <c r="AJ86" s="1455">
        <v>0</v>
      </c>
      <c r="AK86" s="1455">
        <v>0</v>
      </c>
      <c r="AL86" s="1455">
        <v>0</v>
      </c>
      <c r="AM86" s="1455">
        <v>0</v>
      </c>
      <c r="AN86" s="1455">
        <v>0</v>
      </c>
      <c r="AO86" s="1455">
        <v>0</v>
      </c>
      <c r="AP86" s="77"/>
      <c r="AQ86" s="871">
        <f t="shared" si="118"/>
        <v>0</v>
      </c>
      <c r="AR86" s="871">
        <f t="shared" si="1037"/>
        <v>0</v>
      </c>
      <c r="AS86" s="871">
        <f t="shared" si="1038"/>
        <v>0</v>
      </c>
      <c r="AT86" s="871">
        <f t="shared" si="1039"/>
        <v>0</v>
      </c>
      <c r="AU86" s="871">
        <f t="shared" si="1040"/>
        <v>0</v>
      </c>
      <c r="AV86" s="871">
        <f t="shared" si="1041"/>
        <v>0</v>
      </c>
      <c r="AW86" s="871">
        <f t="shared" si="1042"/>
        <v>0</v>
      </c>
      <c r="AX86" s="871">
        <f t="shared" si="1043"/>
        <v>0</v>
      </c>
      <c r="AY86" s="871">
        <f t="shared" si="1044"/>
        <v>0</v>
      </c>
      <c r="AZ86" s="871">
        <f t="shared" si="1045"/>
        <v>0</v>
      </c>
      <c r="BA86" s="871">
        <f t="shared" si="1046"/>
        <v>0</v>
      </c>
      <c r="BB86" s="871">
        <f t="shared" si="1047"/>
        <v>0</v>
      </c>
      <c r="BC86" s="871">
        <f t="shared" si="1048"/>
        <v>0</v>
      </c>
      <c r="BD86" s="871">
        <f t="shared" si="1049"/>
        <v>0</v>
      </c>
      <c r="BE86" s="871">
        <f t="shared" si="1050"/>
        <v>0</v>
      </c>
      <c r="BF86" s="871">
        <f t="shared" si="1051"/>
        <v>0</v>
      </c>
      <c r="BG86" s="871">
        <f t="shared" si="1052"/>
        <v>0</v>
      </c>
      <c r="BH86" s="871">
        <f t="shared" si="1053"/>
        <v>0</v>
      </c>
      <c r="BI86" s="871">
        <f t="shared" si="1054"/>
        <v>0</v>
      </c>
      <c r="BJ86" s="871">
        <f t="shared" si="1055"/>
        <v>0</v>
      </c>
      <c r="BK86" s="871">
        <f t="shared" si="1056"/>
        <v>0</v>
      </c>
      <c r="BL86" s="871">
        <f t="shared" si="1057"/>
        <v>0</v>
      </c>
      <c r="BM86" s="871">
        <f t="shared" si="1058"/>
        <v>0</v>
      </c>
      <c r="BN86" s="871">
        <f t="shared" si="1059"/>
        <v>0</v>
      </c>
      <c r="BO86" s="871">
        <f t="shared" si="1060"/>
        <v>0</v>
      </c>
      <c r="BP86" s="871">
        <f t="shared" si="1061"/>
        <v>0</v>
      </c>
      <c r="BQ86" s="871">
        <f t="shared" si="1062"/>
        <v>0</v>
      </c>
      <c r="BR86" s="871">
        <f t="shared" si="1063"/>
        <v>0</v>
      </c>
      <c r="BS86" s="871">
        <f t="shared" si="1064"/>
        <v>0</v>
      </c>
      <c r="BT86" s="871">
        <f t="shared" si="1065"/>
        <v>0</v>
      </c>
      <c r="BU86" s="871">
        <f t="shared" si="1066"/>
        <v>0</v>
      </c>
      <c r="BV86" s="1453"/>
      <c r="BW86" s="871">
        <f t="shared" si="117"/>
        <v>0</v>
      </c>
      <c r="BX86" s="871"/>
      <c r="BY86" s="871"/>
      <c r="BZ86" s="871"/>
      <c r="CA86" s="871"/>
      <c r="CB86" s="871"/>
      <c r="CC86" s="871"/>
      <c r="CD86" s="871"/>
      <c r="CE86" s="871"/>
      <c r="CF86" s="871"/>
      <c r="CG86" s="871"/>
      <c r="CH86" s="871"/>
      <c r="CI86" s="871"/>
      <c r="CJ86" s="871"/>
      <c r="CK86" s="871"/>
      <c r="CL86" s="871"/>
      <c r="CM86" s="871"/>
      <c r="CN86" s="871"/>
      <c r="CO86" s="871"/>
      <c r="CP86" s="871"/>
      <c r="CQ86" s="871"/>
      <c r="CR86" s="871"/>
      <c r="CS86" s="871"/>
      <c r="CT86" s="871"/>
      <c r="CU86" s="871"/>
      <c r="CV86" s="871"/>
      <c r="CW86" s="871"/>
      <c r="CX86" s="871"/>
      <c r="CY86" s="871"/>
      <c r="CZ86" s="871"/>
      <c r="DA86" s="871"/>
      <c r="DB86" s="41"/>
      <c r="DC86" s="871">
        <f t="shared" si="892"/>
        <v>0</v>
      </c>
      <c r="DD86" s="871">
        <f t="shared" si="893"/>
        <v>0</v>
      </c>
      <c r="DE86" s="871">
        <f t="shared" si="894"/>
        <v>0</v>
      </c>
      <c r="DF86" s="871">
        <f t="shared" si="895"/>
        <v>0</v>
      </c>
      <c r="DG86" s="871">
        <f t="shared" si="896"/>
        <v>0</v>
      </c>
      <c r="DH86" s="871">
        <f t="shared" si="897"/>
        <v>0</v>
      </c>
      <c r="DI86" s="871">
        <f t="shared" si="898"/>
        <v>0</v>
      </c>
      <c r="DJ86" s="871">
        <f t="shared" si="899"/>
        <v>0</v>
      </c>
      <c r="DK86" s="871">
        <f t="shared" si="900"/>
        <v>0</v>
      </c>
      <c r="DL86" s="871">
        <f t="shared" si="901"/>
        <v>0</v>
      </c>
      <c r="DM86" s="871">
        <f t="shared" si="902"/>
        <v>0</v>
      </c>
      <c r="DN86" s="871">
        <f t="shared" si="903"/>
        <v>0</v>
      </c>
      <c r="DO86" s="871">
        <f t="shared" si="904"/>
        <v>0</v>
      </c>
      <c r="DP86" s="871">
        <f t="shared" si="905"/>
        <v>0</v>
      </c>
      <c r="DQ86" s="871">
        <f t="shared" si="906"/>
        <v>0</v>
      </c>
      <c r="DR86" s="871">
        <f t="shared" si="907"/>
        <v>0</v>
      </c>
      <c r="DS86" s="871">
        <f t="shared" si="908"/>
        <v>0</v>
      </c>
      <c r="DT86" s="871">
        <f t="shared" si="909"/>
        <v>0</v>
      </c>
      <c r="DU86" s="871">
        <f t="shared" si="910"/>
        <v>0</v>
      </c>
      <c r="DV86" s="871">
        <f t="shared" si="911"/>
        <v>0</v>
      </c>
      <c r="DW86" s="871">
        <f t="shared" si="912"/>
        <v>0</v>
      </c>
      <c r="DX86" s="871">
        <f t="shared" si="913"/>
        <v>0</v>
      </c>
      <c r="DY86" s="871">
        <f t="shared" si="914"/>
        <v>0</v>
      </c>
      <c r="DZ86" s="871">
        <f t="shared" si="915"/>
        <v>0</v>
      </c>
      <c r="EA86" s="871">
        <f t="shared" si="916"/>
        <v>0</v>
      </c>
      <c r="EB86" s="871">
        <f t="shared" si="917"/>
        <v>0</v>
      </c>
      <c r="EC86" s="871">
        <f t="shared" si="918"/>
        <v>0</v>
      </c>
      <c r="ED86" s="871">
        <f t="shared" si="919"/>
        <v>0</v>
      </c>
      <c r="EE86" s="871">
        <f t="shared" si="920"/>
        <v>0</v>
      </c>
      <c r="EF86" s="871">
        <f t="shared" si="921"/>
        <v>0</v>
      </c>
      <c r="EG86" s="871">
        <f t="shared" si="922"/>
        <v>0</v>
      </c>
      <c r="EH86" s="41"/>
      <c r="EI86" s="41"/>
      <c r="EJ86" s="41"/>
      <c r="EK86" s="41"/>
    </row>
    <row r="87" spans="1:141">
      <c r="A87" s="595"/>
      <c r="B87" s="598"/>
      <c r="C87" s="599"/>
      <c r="E87" s="866" t="s">
        <v>1681</v>
      </c>
      <c r="F87" s="867"/>
      <c r="G87" s="868"/>
      <c r="H87" s="867"/>
      <c r="I87" s="869"/>
      <c r="J87" s="869"/>
      <c r="K87" s="1479">
        <v>1</v>
      </c>
      <c r="L87" s="1455">
        <v>0</v>
      </c>
      <c r="M87" s="1455">
        <v>0</v>
      </c>
      <c r="N87" s="1455">
        <v>0</v>
      </c>
      <c r="O87" s="1455">
        <v>0</v>
      </c>
      <c r="P87" s="1455">
        <v>0</v>
      </c>
      <c r="Q87" s="1455">
        <v>0</v>
      </c>
      <c r="R87" s="1455">
        <v>0</v>
      </c>
      <c r="S87" s="1455">
        <v>0</v>
      </c>
      <c r="T87" s="1455">
        <v>0</v>
      </c>
      <c r="U87" s="1455">
        <v>0</v>
      </c>
      <c r="V87" s="1455">
        <v>0</v>
      </c>
      <c r="W87" s="1455">
        <v>0</v>
      </c>
      <c r="X87" s="1455">
        <v>0</v>
      </c>
      <c r="Y87" s="1455">
        <v>0</v>
      </c>
      <c r="Z87" s="1455">
        <v>0</v>
      </c>
      <c r="AA87" s="1455">
        <v>0</v>
      </c>
      <c r="AB87" s="1455">
        <v>0</v>
      </c>
      <c r="AC87" s="1455">
        <v>0</v>
      </c>
      <c r="AD87" s="1455">
        <v>0</v>
      </c>
      <c r="AE87" s="1455">
        <v>0</v>
      </c>
      <c r="AF87" s="1455">
        <v>0</v>
      </c>
      <c r="AG87" s="1455">
        <v>0</v>
      </c>
      <c r="AH87" s="1455">
        <v>0</v>
      </c>
      <c r="AI87" s="1455">
        <v>0</v>
      </c>
      <c r="AJ87" s="1455">
        <v>0</v>
      </c>
      <c r="AK87" s="1455">
        <v>0</v>
      </c>
      <c r="AL87" s="1455">
        <v>0</v>
      </c>
      <c r="AM87" s="1455">
        <v>0</v>
      </c>
      <c r="AN87" s="1455">
        <v>0</v>
      </c>
      <c r="AO87" s="1455">
        <v>0</v>
      </c>
      <c r="AP87" s="77"/>
      <c r="AQ87" s="871">
        <f t="shared" ref="AQ87" si="1067">SUM(AR87:BU87)</f>
        <v>0</v>
      </c>
      <c r="AR87" s="871">
        <f t="shared" si="1037"/>
        <v>0</v>
      </c>
      <c r="AS87" s="871">
        <f t="shared" ref="AS87" si="1068">VLOOKUP($E87,Par,6,0)*M87/1000</f>
        <v>0</v>
      </c>
      <c r="AT87" s="871">
        <f t="shared" ref="AT87" si="1069">VLOOKUP($E87,Par,6,0)*N87/1000</f>
        <v>0</v>
      </c>
      <c r="AU87" s="871">
        <f t="shared" ref="AU87" si="1070">VLOOKUP($E87,Par,6,0)*O87/1000</f>
        <v>0</v>
      </c>
      <c r="AV87" s="871">
        <f t="shared" ref="AV87" si="1071">VLOOKUP($E87,Par,6,0)*P87/1000</f>
        <v>0</v>
      </c>
      <c r="AW87" s="871">
        <f t="shared" ref="AW87" si="1072">VLOOKUP($E87,Par,6,0)*Q87/1000</f>
        <v>0</v>
      </c>
      <c r="AX87" s="871">
        <f t="shared" ref="AX87" si="1073">VLOOKUP($E87,Par,6,0)*R87/1000</f>
        <v>0</v>
      </c>
      <c r="AY87" s="871">
        <f t="shared" ref="AY87" si="1074">VLOOKUP($E87,Par,6,0)*S87/1000</f>
        <v>0</v>
      </c>
      <c r="AZ87" s="871">
        <f t="shared" ref="AZ87" si="1075">VLOOKUP($E87,Par,6,0)*T87/1000</f>
        <v>0</v>
      </c>
      <c r="BA87" s="871">
        <f t="shared" ref="BA87" si="1076">VLOOKUP($E87,Par,6,0)*U87/1000</f>
        <v>0</v>
      </c>
      <c r="BB87" s="871">
        <f t="shared" ref="BB87" si="1077">VLOOKUP($E87,Par,6,0)*V87/1000</f>
        <v>0</v>
      </c>
      <c r="BC87" s="871">
        <f t="shared" ref="BC87" si="1078">VLOOKUP($E87,Par,6,0)*W87/1000</f>
        <v>0</v>
      </c>
      <c r="BD87" s="871">
        <f t="shared" ref="BD87" si="1079">VLOOKUP($E87,Par,6,0)*X87/1000</f>
        <v>0</v>
      </c>
      <c r="BE87" s="871">
        <f t="shared" ref="BE87" si="1080">VLOOKUP($E87,Par,6,0)*Y87/1000</f>
        <v>0</v>
      </c>
      <c r="BF87" s="871">
        <f t="shared" ref="BF87" si="1081">VLOOKUP($E87,Par,6,0)*Z87/1000</f>
        <v>0</v>
      </c>
      <c r="BG87" s="871">
        <f t="shared" ref="BG87" si="1082">VLOOKUP($E87,Par,6,0)*AA87/1000</f>
        <v>0</v>
      </c>
      <c r="BH87" s="871">
        <f t="shared" ref="BH87" si="1083">VLOOKUP($E87,Par,6,0)*AB87/1000</f>
        <v>0</v>
      </c>
      <c r="BI87" s="871">
        <f t="shared" ref="BI87" si="1084">VLOOKUP($E87,Par,6,0)*AC87/1000</f>
        <v>0</v>
      </c>
      <c r="BJ87" s="871">
        <f t="shared" ref="BJ87" si="1085">VLOOKUP($E87,Par,6,0)*AD87/1000</f>
        <v>0</v>
      </c>
      <c r="BK87" s="871">
        <f t="shared" ref="BK87" si="1086">VLOOKUP($E87,Par,6,0)*AE87/1000</f>
        <v>0</v>
      </c>
      <c r="BL87" s="871">
        <f t="shared" ref="BL87" si="1087">VLOOKUP($E87,Par,6,0)*AF87/1000</f>
        <v>0</v>
      </c>
      <c r="BM87" s="871">
        <f t="shared" ref="BM87" si="1088">VLOOKUP($E87,Par,6,0)*AG87/1000</f>
        <v>0</v>
      </c>
      <c r="BN87" s="871">
        <f t="shared" ref="BN87" si="1089">VLOOKUP($E87,Par,6,0)*AH87/1000</f>
        <v>0</v>
      </c>
      <c r="BO87" s="871">
        <f t="shared" ref="BO87" si="1090">VLOOKUP($E87,Par,6,0)*AI87/1000</f>
        <v>0</v>
      </c>
      <c r="BP87" s="871">
        <f t="shared" ref="BP87" si="1091">VLOOKUP($E87,Par,6,0)*AJ87/1000</f>
        <v>0</v>
      </c>
      <c r="BQ87" s="871">
        <f t="shared" ref="BQ87" si="1092">VLOOKUP($E87,Par,6,0)*AK87/1000</f>
        <v>0</v>
      </c>
      <c r="BR87" s="871">
        <f t="shared" ref="BR87" si="1093">VLOOKUP($E87,Par,6,0)*AL87/1000</f>
        <v>0</v>
      </c>
      <c r="BS87" s="871">
        <f t="shared" ref="BS87" si="1094">VLOOKUP($E87,Par,6,0)*AM87/1000</f>
        <v>0</v>
      </c>
      <c r="BT87" s="871">
        <f t="shared" ref="BT87" si="1095">VLOOKUP($E87,Par,6,0)*AN87/1000</f>
        <v>0</v>
      </c>
      <c r="BU87" s="871">
        <f t="shared" ref="BU87" si="1096">VLOOKUP($E87,Par,6,0)*AO87/1000</f>
        <v>0</v>
      </c>
      <c r="BV87" s="1453"/>
      <c r="BW87" s="871">
        <f t="shared" si="117"/>
        <v>0</v>
      </c>
      <c r="BX87" s="871"/>
      <c r="BY87" s="871"/>
      <c r="BZ87" s="871"/>
      <c r="CA87" s="871"/>
      <c r="CB87" s="871"/>
      <c r="CC87" s="871"/>
      <c r="CD87" s="871"/>
      <c r="CE87" s="871"/>
      <c r="CF87" s="871"/>
      <c r="CG87" s="871"/>
      <c r="CH87" s="871"/>
      <c r="CI87" s="871"/>
      <c r="CJ87" s="871"/>
      <c r="CK87" s="871"/>
      <c r="CL87" s="871"/>
      <c r="CM87" s="871"/>
      <c r="CN87" s="871"/>
      <c r="CO87" s="871"/>
      <c r="CP87" s="871"/>
      <c r="CQ87" s="871"/>
      <c r="CR87" s="871"/>
      <c r="CS87" s="871"/>
      <c r="CT87" s="871"/>
      <c r="CU87" s="871"/>
      <c r="CV87" s="871"/>
      <c r="CW87" s="871"/>
      <c r="CX87" s="871"/>
      <c r="CY87" s="871"/>
      <c r="CZ87" s="871"/>
      <c r="DA87" s="871"/>
      <c r="DB87" s="41"/>
      <c r="DC87" s="871">
        <f t="shared" si="892"/>
        <v>0</v>
      </c>
      <c r="DD87" s="871">
        <f t="shared" si="893"/>
        <v>0</v>
      </c>
      <c r="DE87" s="871">
        <f t="shared" si="894"/>
        <v>0</v>
      </c>
      <c r="DF87" s="871">
        <f t="shared" si="895"/>
        <v>0</v>
      </c>
      <c r="DG87" s="871">
        <f t="shared" si="896"/>
        <v>0</v>
      </c>
      <c r="DH87" s="871">
        <f t="shared" si="897"/>
        <v>0</v>
      </c>
      <c r="DI87" s="871">
        <f t="shared" si="898"/>
        <v>0</v>
      </c>
      <c r="DJ87" s="871">
        <f t="shared" si="899"/>
        <v>0</v>
      </c>
      <c r="DK87" s="871">
        <f t="shared" si="900"/>
        <v>0</v>
      </c>
      <c r="DL87" s="871">
        <f t="shared" si="901"/>
        <v>0</v>
      </c>
      <c r="DM87" s="871">
        <f t="shared" si="902"/>
        <v>0</v>
      </c>
      <c r="DN87" s="871">
        <f t="shared" si="903"/>
        <v>0</v>
      </c>
      <c r="DO87" s="871">
        <f t="shared" si="904"/>
        <v>0</v>
      </c>
      <c r="DP87" s="871">
        <f t="shared" si="905"/>
        <v>0</v>
      </c>
      <c r="DQ87" s="871">
        <f t="shared" si="906"/>
        <v>0</v>
      </c>
      <c r="DR87" s="871">
        <f t="shared" si="907"/>
        <v>0</v>
      </c>
      <c r="DS87" s="871">
        <f t="shared" si="908"/>
        <v>0</v>
      </c>
      <c r="DT87" s="871">
        <f t="shared" si="909"/>
        <v>0</v>
      </c>
      <c r="DU87" s="871">
        <f t="shared" si="910"/>
        <v>0</v>
      </c>
      <c r="DV87" s="871">
        <f t="shared" si="911"/>
        <v>0</v>
      </c>
      <c r="DW87" s="871">
        <f t="shared" si="912"/>
        <v>0</v>
      </c>
      <c r="DX87" s="871">
        <f t="shared" si="913"/>
        <v>0</v>
      </c>
      <c r="DY87" s="871">
        <f t="shared" si="914"/>
        <v>0</v>
      </c>
      <c r="DZ87" s="871">
        <f t="shared" si="915"/>
        <v>0</v>
      </c>
      <c r="EA87" s="871">
        <f t="shared" si="916"/>
        <v>0</v>
      </c>
      <c r="EB87" s="871">
        <f t="shared" si="917"/>
        <v>0</v>
      </c>
      <c r="EC87" s="871">
        <f t="shared" si="918"/>
        <v>0</v>
      </c>
      <c r="ED87" s="871">
        <f t="shared" si="919"/>
        <v>0</v>
      </c>
      <c r="EE87" s="871">
        <f t="shared" si="920"/>
        <v>0</v>
      </c>
      <c r="EF87" s="871">
        <f t="shared" si="921"/>
        <v>0</v>
      </c>
      <c r="EG87" s="871">
        <f t="shared" si="922"/>
        <v>0</v>
      </c>
      <c r="EH87" s="41"/>
      <c r="EI87" s="41"/>
      <c r="EJ87" s="41"/>
      <c r="EK87" s="41"/>
    </row>
    <row r="88" spans="1:141">
      <c r="A88" s="595"/>
      <c r="B88" s="598"/>
      <c r="C88" s="599"/>
      <c r="E88" s="866" t="s">
        <v>1682</v>
      </c>
      <c r="F88" s="867"/>
      <c r="G88" s="868"/>
      <c r="H88" s="867"/>
      <c r="I88" s="869"/>
      <c r="J88" s="869"/>
      <c r="K88" s="76"/>
      <c r="L88" s="1451">
        <v>0</v>
      </c>
      <c r="M88" s="1451">
        <v>0</v>
      </c>
      <c r="N88" s="1451">
        <v>0</v>
      </c>
      <c r="O88" s="1451">
        <v>0</v>
      </c>
      <c r="P88" s="1451">
        <v>0</v>
      </c>
      <c r="Q88" s="1451">
        <v>0</v>
      </c>
      <c r="R88" s="1451">
        <v>0</v>
      </c>
      <c r="S88" s="1451">
        <v>0</v>
      </c>
      <c r="T88" s="1451">
        <v>0</v>
      </c>
      <c r="U88" s="1451">
        <v>0</v>
      </c>
      <c r="V88" s="1451">
        <v>0</v>
      </c>
      <c r="W88" s="1451">
        <v>0</v>
      </c>
      <c r="X88" s="1451">
        <v>0</v>
      </c>
      <c r="Y88" s="1451">
        <v>0</v>
      </c>
      <c r="Z88" s="1451">
        <v>0</v>
      </c>
      <c r="AA88" s="1451">
        <v>0</v>
      </c>
      <c r="AB88" s="1451">
        <v>0</v>
      </c>
      <c r="AC88" s="1451">
        <v>0</v>
      </c>
      <c r="AD88" s="1451">
        <v>0</v>
      </c>
      <c r="AE88" s="1451">
        <v>0</v>
      </c>
      <c r="AF88" s="1451">
        <v>0</v>
      </c>
      <c r="AG88" s="1451">
        <v>0</v>
      </c>
      <c r="AH88" s="1451">
        <v>0</v>
      </c>
      <c r="AI88" s="1451">
        <v>0</v>
      </c>
      <c r="AJ88" s="1451">
        <v>0</v>
      </c>
      <c r="AK88" s="1451">
        <v>0</v>
      </c>
      <c r="AL88" s="1451">
        <v>0</v>
      </c>
      <c r="AM88" s="1451">
        <v>0</v>
      </c>
      <c r="AN88" s="1451">
        <v>0</v>
      </c>
      <c r="AO88" s="1451">
        <v>0</v>
      </c>
      <c r="AP88" s="1452"/>
      <c r="AQ88" s="871">
        <f t="shared" si="118"/>
        <v>0</v>
      </c>
      <c r="AR88" s="871">
        <f t="shared" si="1037"/>
        <v>0</v>
      </c>
      <c r="AS88" s="871">
        <f t="shared" si="1038"/>
        <v>0</v>
      </c>
      <c r="AT88" s="871">
        <f t="shared" si="1039"/>
        <v>0</v>
      </c>
      <c r="AU88" s="871">
        <f t="shared" si="1040"/>
        <v>0</v>
      </c>
      <c r="AV88" s="871">
        <f t="shared" si="1041"/>
        <v>0</v>
      </c>
      <c r="AW88" s="871">
        <f t="shared" si="1042"/>
        <v>0</v>
      </c>
      <c r="AX88" s="871">
        <f t="shared" si="1043"/>
        <v>0</v>
      </c>
      <c r="AY88" s="871">
        <f t="shared" si="1044"/>
        <v>0</v>
      </c>
      <c r="AZ88" s="871">
        <f t="shared" si="1045"/>
        <v>0</v>
      </c>
      <c r="BA88" s="871">
        <f t="shared" si="1046"/>
        <v>0</v>
      </c>
      <c r="BB88" s="871">
        <f t="shared" si="1047"/>
        <v>0</v>
      </c>
      <c r="BC88" s="871">
        <f t="shared" si="1048"/>
        <v>0</v>
      </c>
      <c r="BD88" s="871">
        <f t="shared" si="1049"/>
        <v>0</v>
      </c>
      <c r="BE88" s="871">
        <f t="shared" si="1050"/>
        <v>0</v>
      </c>
      <c r="BF88" s="871">
        <f t="shared" si="1051"/>
        <v>0</v>
      </c>
      <c r="BG88" s="871">
        <f t="shared" si="1052"/>
        <v>0</v>
      </c>
      <c r="BH88" s="871">
        <f t="shared" si="1053"/>
        <v>0</v>
      </c>
      <c r="BI88" s="871">
        <f t="shared" si="1054"/>
        <v>0</v>
      </c>
      <c r="BJ88" s="871">
        <f t="shared" si="1055"/>
        <v>0</v>
      </c>
      <c r="BK88" s="871">
        <f t="shared" si="1056"/>
        <v>0</v>
      </c>
      <c r="BL88" s="871">
        <f t="shared" si="1057"/>
        <v>0</v>
      </c>
      <c r="BM88" s="871">
        <f t="shared" si="1058"/>
        <v>0</v>
      </c>
      <c r="BN88" s="871">
        <f t="shared" si="1059"/>
        <v>0</v>
      </c>
      <c r="BO88" s="871">
        <f t="shared" si="1060"/>
        <v>0</v>
      </c>
      <c r="BP88" s="871">
        <f t="shared" si="1061"/>
        <v>0</v>
      </c>
      <c r="BQ88" s="871">
        <f t="shared" si="1062"/>
        <v>0</v>
      </c>
      <c r="BR88" s="871">
        <f t="shared" si="1063"/>
        <v>0</v>
      </c>
      <c r="BS88" s="871">
        <f t="shared" si="1064"/>
        <v>0</v>
      </c>
      <c r="BT88" s="871">
        <f t="shared" si="1065"/>
        <v>0</v>
      </c>
      <c r="BU88" s="871">
        <f t="shared" si="1066"/>
        <v>0</v>
      </c>
      <c r="BV88" s="1453"/>
      <c r="BW88" s="871">
        <f t="shared" si="117"/>
        <v>0</v>
      </c>
      <c r="BX88" s="871"/>
      <c r="BY88" s="871"/>
      <c r="BZ88" s="871"/>
      <c r="CA88" s="871"/>
      <c r="CB88" s="871"/>
      <c r="CC88" s="871"/>
      <c r="CD88" s="871"/>
      <c r="CE88" s="871"/>
      <c r="CF88" s="871"/>
      <c r="CG88" s="871"/>
      <c r="CH88" s="871"/>
      <c r="CI88" s="871"/>
      <c r="CJ88" s="871"/>
      <c r="CK88" s="871"/>
      <c r="CL88" s="871"/>
      <c r="CM88" s="871"/>
      <c r="CN88" s="871"/>
      <c r="CO88" s="871"/>
      <c r="CP88" s="871"/>
      <c r="CQ88" s="871"/>
      <c r="CR88" s="871"/>
      <c r="CS88" s="871"/>
      <c r="CT88" s="871"/>
      <c r="CU88" s="871"/>
      <c r="CV88" s="871"/>
      <c r="CW88" s="871"/>
      <c r="CX88" s="871"/>
      <c r="CY88" s="871"/>
      <c r="CZ88" s="871"/>
      <c r="DA88" s="871"/>
      <c r="DB88" s="41"/>
      <c r="DC88" s="871">
        <f t="shared" si="892"/>
        <v>0</v>
      </c>
      <c r="DD88" s="871">
        <f t="shared" si="893"/>
        <v>0</v>
      </c>
      <c r="DE88" s="871">
        <f t="shared" si="894"/>
        <v>0</v>
      </c>
      <c r="DF88" s="871">
        <f t="shared" si="895"/>
        <v>0</v>
      </c>
      <c r="DG88" s="871">
        <f t="shared" si="896"/>
        <v>0</v>
      </c>
      <c r="DH88" s="871">
        <f t="shared" si="897"/>
        <v>0</v>
      </c>
      <c r="DI88" s="871">
        <f t="shared" si="898"/>
        <v>0</v>
      </c>
      <c r="DJ88" s="871">
        <f t="shared" si="899"/>
        <v>0</v>
      </c>
      <c r="DK88" s="871">
        <f t="shared" si="900"/>
        <v>0</v>
      </c>
      <c r="DL88" s="871">
        <f t="shared" si="901"/>
        <v>0</v>
      </c>
      <c r="DM88" s="871">
        <f t="shared" si="902"/>
        <v>0</v>
      </c>
      <c r="DN88" s="871">
        <f t="shared" si="903"/>
        <v>0</v>
      </c>
      <c r="DO88" s="871">
        <f t="shared" si="904"/>
        <v>0</v>
      </c>
      <c r="DP88" s="871">
        <f t="shared" si="905"/>
        <v>0</v>
      </c>
      <c r="DQ88" s="871">
        <f t="shared" si="906"/>
        <v>0</v>
      </c>
      <c r="DR88" s="871">
        <f t="shared" si="907"/>
        <v>0</v>
      </c>
      <c r="DS88" s="871">
        <f t="shared" si="908"/>
        <v>0</v>
      </c>
      <c r="DT88" s="871">
        <f t="shared" si="909"/>
        <v>0</v>
      </c>
      <c r="DU88" s="871">
        <f t="shared" si="910"/>
        <v>0</v>
      </c>
      <c r="DV88" s="871">
        <f t="shared" si="911"/>
        <v>0</v>
      </c>
      <c r="DW88" s="871">
        <f t="shared" si="912"/>
        <v>0</v>
      </c>
      <c r="DX88" s="871">
        <f t="shared" si="913"/>
        <v>0</v>
      </c>
      <c r="DY88" s="871">
        <f t="shared" si="914"/>
        <v>0</v>
      </c>
      <c r="DZ88" s="871">
        <f t="shared" si="915"/>
        <v>0</v>
      </c>
      <c r="EA88" s="871">
        <f t="shared" si="916"/>
        <v>0</v>
      </c>
      <c r="EB88" s="871">
        <f t="shared" si="917"/>
        <v>0</v>
      </c>
      <c r="EC88" s="871">
        <f t="shared" si="918"/>
        <v>0</v>
      </c>
      <c r="ED88" s="871">
        <f t="shared" si="919"/>
        <v>0</v>
      </c>
      <c r="EE88" s="871">
        <f t="shared" si="920"/>
        <v>0</v>
      </c>
      <c r="EF88" s="871">
        <f t="shared" si="921"/>
        <v>0</v>
      </c>
      <c r="EG88" s="871">
        <f t="shared" si="922"/>
        <v>0</v>
      </c>
      <c r="EH88" s="41"/>
      <c r="EI88" s="41"/>
      <c r="EJ88" s="41"/>
      <c r="EK88" s="41"/>
    </row>
    <row r="89" spans="1:141" ht="15.95" customHeight="1">
      <c r="A89" s="595"/>
      <c r="B89" s="598"/>
      <c r="C89" s="599"/>
      <c r="E89" s="866" t="s">
        <v>1683</v>
      </c>
      <c r="F89" s="867"/>
      <c r="G89" s="868"/>
      <c r="H89" s="867"/>
      <c r="I89" s="869"/>
      <c r="J89" s="869"/>
      <c r="K89" s="76"/>
      <c r="L89" s="870">
        <v>0</v>
      </c>
      <c r="M89" s="870">
        <v>0</v>
      </c>
      <c r="N89" s="870">
        <v>0</v>
      </c>
      <c r="O89" s="870">
        <v>0</v>
      </c>
      <c r="P89" s="870">
        <v>0</v>
      </c>
      <c r="Q89" s="870">
        <v>0</v>
      </c>
      <c r="R89" s="870">
        <v>0</v>
      </c>
      <c r="S89" s="870">
        <v>0</v>
      </c>
      <c r="T89" s="870">
        <v>0</v>
      </c>
      <c r="U89" s="870">
        <v>0</v>
      </c>
      <c r="V89" s="870">
        <v>0</v>
      </c>
      <c r="W89" s="870">
        <v>0</v>
      </c>
      <c r="X89" s="870">
        <v>0</v>
      </c>
      <c r="Y89" s="870">
        <v>0</v>
      </c>
      <c r="Z89" s="870">
        <v>0</v>
      </c>
      <c r="AA89" s="870">
        <v>0</v>
      </c>
      <c r="AB89" s="870">
        <v>0</v>
      </c>
      <c r="AC89" s="870">
        <v>0</v>
      </c>
      <c r="AD89" s="870">
        <v>0</v>
      </c>
      <c r="AE89" s="870">
        <v>0</v>
      </c>
      <c r="AF89" s="870">
        <v>0</v>
      </c>
      <c r="AG89" s="870">
        <v>0</v>
      </c>
      <c r="AH89" s="870">
        <v>0</v>
      </c>
      <c r="AI89" s="870">
        <v>0</v>
      </c>
      <c r="AJ89" s="870">
        <v>0</v>
      </c>
      <c r="AK89" s="870">
        <v>0</v>
      </c>
      <c r="AL89" s="870">
        <v>0</v>
      </c>
      <c r="AM89" s="870">
        <v>0</v>
      </c>
      <c r="AN89" s="870">
        <v>0</v>
      </c>
      <c r="AO89" s="870">
        <v>0</v>
      </c>
      <c r="AP89" s="80"/>
      <c r="AQ89" s="871">
        <f t="shared" si="118"/>
        <v>0</v>
      </c>
      <c r="AR89" s="871">
        <f t="shared" si="1037"/>
        <v>0</v>
      </c>
      <c r="AS89" s="871">
        <f t="shared" si="1038"/>
        <v>0</v>
      </c>
      <c r="AT89" s="871">
        <f t="shared" si="1039"/>
        <v>0</v>
      </c>
      <c r="AU89" s="871">
        <f t="shared" si="1040"/>
        <v>0</v>
      </c>
      <c r="AV89" s="871">
        <f t="shared" si="1041"/>
        <v>0</v>
      </c>
      <c r="AW89" s="871">
        <f t="shared" si="1042"/>
        <v>0</v>
      </c>
      <c r="AX89" s="871">
        <f t="shared" si="1043"/>
        <v>0</v>
      </c>
      <c r="AY89" s="871">
        <f t="shared" si="1044"/>
        <v>0</v>
      </c>
      <c r="AZ89" s="871">
        <f t="shared" si="1045"/>
        <v>0</v>
      </c>
      <c r="BA89" s="871">
        <f t="shared" si="1046"/>
        <v>0</v>
      </c>
      <c r="BB89" s="871">
        <f t="shared" si="1047"/>
        <v>0</v>
      </c>
      <c r="BC89" s="871">
        <f t="shared" si="1048"/>
        <v>0</v>
      </c>
      <c r="BD89" s="871">
        <f t="shared" si="1049"/>
        <v>0</v>
      </c>
      <c r="BE89" s="871">
        <f t="shared" si="1050"/>
        <v>0</v>
      </c>
      <c r="BF89" s="871">
        <f t="shared" si="1051"/>
        <v>0</v>
      </c>
      <c r="BG89" s="871">
        <f t="shared" si="1052"/>
        <v>0</v>
      </c>
      <c r="BH89" s="871">
        <f t="shared" si="1053"/>
        <v>0</v>
      </c>
      <c r="BI89" s="871">
        <f t="shared" si="1054"/>
        <v>0</v>
      </c>
      <c r="BJ89" s="871">
        <f t="shared" si="1055"/>
        <v>0</v>
      </c>
      <c r="BK89" s="871">
        <f t="shared" si="1056"/>
        <v>0</v>
      </c>
      <c r="BL89" s="871">
        <f t="shared" si="1057"/>
        <v>0</v>
      </c>
      <c r="BM89" s="871">
        <f t="shared" si="1058"/>
        <v>0</v>
      </c>
      <c r="BN89" s="871">
        <f t="shared" si="1059"/>
        <v>0</v>
      </c>
      <c r="BO89" s="871">
        <f t="shared" si="1060"/>
        <v>0</v>
      </c>
      <c r="BP89" s="871">
        <f t="shared" si="1061"/>
        <v>0</v>
      </c>
      <c r="BQ89" s="871">
        <f t="shared" si="1062"/>
        <v>0</v>
      </c>
      <c r="BR89" s="871">
        <f t="shared" si="1063"/>
        <v>0</v>
      </c>
      <c r="BS89" s="871">
        <f t="shared" si="1064"/>
        <v>0</v>
      </c>
      <c r="BT89" s="871">
        <f t="shared" si="1065"/>
        <v>0</v>
      </c>
      <c r="BU89" s="871">
        <f t="shared" si="1066"/>
        <v>0</v>
      </c>
      <c r="BV89" s="1457"/>
      <c r="BW89" s="871">
        <f t="shared" si="117"/>
        <v>0</v>
      </c>
      <c r="BX89" s="871"/>
      <c r="BY89" s="871"/>
      <c r="BZ89" s="871"/>
      <c r="CA89" s="871"/>
      <c r="CB89" s="871"/>
      <c r="CC89" s="871"/>
      <c r="CD89" s="871"/>
      <c r="CE89" s="871"/>
      <c r="CF89" s="871"/>
      <c r="CG89" s="871"/>
      <c r="CH89" s="871"/>
      <c r="CI89" s="871"/>
      <c r="CJ89" s="871"/>
      <c r="CK89" s="871"/>
      <c r="CL89" s="871"/>
      <c r="CM89" s="871"/>
      <c r="CN89" s="871"/>
      <c r="CO89" s="871"/>
      <c r="CP89" s="871"/>
      <c r="CQ89" s="871"/>
      <c r="CR89" s="871"/>
      <c r="CS89" s="871"/>
      <c r="CT89" s="871"/>
      <c r="CU89" s="871"/>
      <c r="CV89" s="871"/>
      <c r="CW89" s="871"/>
      <c r="CX89" s="871"/>
      <c r="CY89" s="871"/>
      <c r="CZ89" s="871"/>
      <c r="DA89" s="871"/>
      <c r="DB89" s="41"/>
      <c r="DC89" s="871">
        <f t="shared" si="892"/>
        <v>0</v>
      </c>
      <c r="DD89" s="871">
        <f t="shared" si="893"/>
        <v>0</v>
      </c>
      <c r="DE89" s="871">
        <f t="shared" si="894"/>
        <v>0</v>
      </c>
      <c r="DF89" s="871">
        <f t="shared" si="895"/>
        <v>0</v>
      </c>
      <c r="DG89" s="871">
        <f t="shared" si="896"/>
        <v>0</v>
      </c>
      <c r="DH89" s="871">
        <f t="shared" si="897"/>
        <v>0</v>
      </c>
      <c r="DI89" s="871">
        <f t="shared" si="898"/>
        <v>0</v>
      </c>
      <c r="DJ89" s="871">
        <f t="shared" si="899"/>
        <v>0</v>
      </c>
      <c r="DK89" s="871">
        <f t="shared" si="900"/>
        <v>0</v>
      </c>
      <c r="DL89" s="871">
        <f t="shared" si="901"/>
        <v>0</v>
      </c>
      <c r="DM89" s="871">
        <f t="shared" si="902"/>
        <v>0</v>
      </c>
      <c r="DN89" s="871">
        <f t="shared" si="903"/>
        <v>0</v>
      </c>
      <c r="DO89" s="871">
        <f t="shared" si="904"/>
        <v>0</v>
      </c>
      <c r="DP89" s="871">
        <f t="shared" si="905"/>
        <v>0</v>
      </c>
      <c r="DQ89" s="871">
        <f t="shared" si="906"/>
        <v>0</v>
      </c>
      <c r="DR89" s="871">
        <f t="shared" si="907"/>
        <v>0</v>
      </c>
      <c r="DS89" s="871">
        <f t="shared" si="908"/>
        <v>0</v>
      </c>
      <c r="DT89" s="871">
        <f t="shared" si="909"/>
        <v>0</v>
      </c>
      <c r="DU89" s="871">
        <f t="shared" si="910"/>
        <v>0</v>
      </c>
      <c r="DV89" s="871">
        <f t="shared" si="911"/>
        <v>0</v>
      </c>
      <c r="DW89" s="871">
        <f t="shared" si="912"/>
        <v>0</v>
      </c>
      <c r="DX89" s="871">
        <f t="shared" si="913"/>
        <v>0</v>
      </c>
      <c r="DY89" s="871">
        <f t="shared" si="914"/>
        <v>0</v>
      </c>
      <c r="DZ89" s="871">
        <f t="shared" si="915"/>
        <v>0</v>
      </c>
      <c r="EA89" s="871">
        <f t="shared" si="916"/>
        <v>0</v>
      </c>
      <c r="EB89" s="871">
        <f t="shared" si="917"/>
        <v>0</v>
      </c>
      <c r="EC89" s="871">
        <f t="shared" si="918"/>
        <v>0</v>
      </c>
      <c r="ED89" s="871">
        <f t="shared" si="919"/>
        <v>0</v>
      </c>
      <c r="EE89" s="871">
        <f t="shared" si="920"/>
        <v>0</v>
      </c>
      <c r="EF89" s="871">
        <f t="shared" si="921"/>
        <v>0</v>
      </c>
      <c r="EG89" s="871">
        <f t="shared" si="922"/>
        <v>0</v>
      </c>
      <c r="EH89" s="41"/>
      <c r="EI89" s="41"/>
      <c r="EJ89" s="41"/>
      <c r="EK89" s="41"/>
    </row>
    <row r="90" spans="1:141">
      <c r="A90" s="595"/>
      <c r="B90" s="598"/>
      <c r="C90" s="599"/>
      <c r="E90" s="866"/>
      <c r="F90" s="867"/>
      <c r="G90" s="868"/>
      <c r="H90" s="867"/>
      <c r="I90" s="869"/>
      <c r="J90" s="869"/>
      <c r="K90" s="76"/>
      <c r="L90" s="870"/>
      <c r="M90" s="870"/>
      <c r="N90" s="870"/>
      <c r="O90" s="870"/>
      <c r="P90" s="870"/>
      <c r="Q90" s="870"/>
      <c r="R90" s="870"/>
      <c r="S90" s="870"/>
      <c r="T90" s="870"/>
      <c r="U90" s="870"/>
      <c r="V90" s="870"/>
      <c r="W90" s="870"/>
      <c r="X90" s="870"/>
      <c r="Y90" s="870"/>
      <c r="Z90" s="870"/>
      <c r="AA90" s="870"/>
      <c r="AB90" s="870"/>
      <c r="AC90" s="870"/>
      <c r="AD90" s="870"/>
      <c r="AE90" s="870"/>
      <c r="AF90" s="870"/>
      <c r="AG90" s="870"/>
      <c r="AH90" s="870"/>
      <c r="AI90" s="870"/>
      <c r="AJ90" s="870"/>
      <c r="AK90" s="870"/>
      <c r="AL90" s="870"/>
      <c r="AM90" s="870"/>
      <c r="AN90" s="870"/>
      <c r="AO90" s="870"/>
      <c r="AP90" s="80"/>
      <c r="AQ90" s="871"/>
      <c r="AR90" s="871"/>
      <c r="AS90" s="871"/>
      <c r="AT90" s="871"/>
      <c r="AU90" s="871"/>
      <c r="AV90" s="871"/>
      <c r="AW90" s="871"/>
      <c r="AX90" s="871"/>
      <c r="AY90" s="871"/>
      <c r="AZ90" s="871"/>
      <c r="BA90" s="871"/>
      <c r="BB90" s="871"/>
      <c r="BC90" s="871"/>
      <c r="BD90" s="871"/>
      <c r="BE90" s="871"/>
      <c r="BF90" s="871"/>
      <c r="BG90" s="871"/>
      <c r="BH90" s="871"/>
      <c r="BI90" s="871"/>
      <c r="BJ90" s="871"/>
      <c r="BK90" s="871"/>
      <c r="BL90" s="871"/>
      <c r="BM90" s="871"/>
      <c r="BN90" s="871"/>
      <c r="BO90" s="871"/>
      <c r="BP90" s="871"/>
      <c r="BQ90" s="871"/>
      <c r="BR90" s="871"/>
      <c r="BS90" s="871"/>
      <c r="BT90" s="871"/>
      <c r="BU90" s="871"/>
      <c r="BV90" s="1457"/>
      <c r="BW90" s="871"/>
      <c r="BX90" s="871"/>
      <c r="BY90" s="871"/>
      <c r="BZ90" s="871"/>
      <c r="CA90" s="871"/>
      <c r="CB90" s="871"/>
      <c r="CC90" s="871"/>
      <c r="CD90" s="871"/>
      <c r="CE90" s="871"/>
      <c r="CF90" s="871"/>
      <c r="CG90" s="871"/>
      <c r="CH90" s="871"/>
      <c r="CI90" s="871"/>
      <c r="CJ90" s="871"/>
      <c r="CK90" s="871"/>
      <c r="CL90" s="871"/>
      <c r="CM90" s="871"/>
      <c r="CN90" s="871"/>
      <c r="CO90" s="871"/>
      <c r="CP90" s="871"/>
      <c r="CQ90" s="871"/>
      <c r="CR90" s="871"/>
      <c r="CS90" s="871"/>
      <c r="CT90" s="871"/>
      <c r="CU90" s="871"/>
      <c r="CV90" s="871"/>
      <c r="CW90" s="871"/>
      <c r="CX90" s="871"/>
      <c r="CY90" s="871"/>
      <c r="CZ90" s="871"/>
      <c r="DA90" s="871"/>
      <c r="DB90" s="41"/>
      <c r="DC90" s="871"/>
      <c r="DD90" s="871"/>
      <c r="DE90" s="871"/>
      <c r="DF90" s="871"/>
      <c r="DG90" s="871"/>
      <c r="DH90" s="871"/>
      <c r="DI90" s="871"/>
      <c r="DJ90" s="871"/>
      <c r="DK90" s="871"/>
      <c r="DL90" s="871"/>
      <c r="DM90" s="871"/>
      <c r="DN90" s="871"/>
      <c r="DO90" s="871"/>
      <c r="DP90" s="871"/>
      <c r="DQ90" s="871"/>
      <c r="DR90" s="871"/>
      <c r="DS90" s="871"/>
      <c r="DT90" s="871"/>
      <c r="DU90" s="871"/>
      <c r="DV90" s="871"/>
      <c r="DW90" s="871"/>
      <c r="DX90" s="871"/>
      <c r="DY90" s="871"/>
      <c r="DZ90" s="871"/>
      <c r="EA90" s="871"/>
      <c r="EB90" s="871"/>
      <c r="EC90" s="871"/>
      <c r="ED90" s="871"/>
      <c r="EE90" s="871"/>
      <c r="EF90" s="871"/>
      <c r="EG90" s="871"/>
      <c r="EH90" s="41"/>
      <c r="EI90" s="41"/>
      <c r="EJ90" s="41"/>
      <c r="EK90" s="41"/>
    </row>
    <row r="91" spans="1:141" ht="12" customHeight="1">
      <c r="A91" s="595"/>
      <c r="B91" s="598"/>
      <c r="C91" s="599"/>
      <c r="D91" s="407">
        <v>11</v>
      </c>
      <c r="E91" s="1437" t="s">
        <v>1684</v>
      </c>
      <c r="F91" s="1476"/>
      <c r="G91" s="1447"/>
      <c r="H91" s="1448"/>
      <c r="I91" s="1449"/>
      <c r="J91" s="1449"/>
      <c r="K91" s="723"/>
      <c r="L91" s="1448"/>
      <c r="M91" s="1448"/>
      <c r="N91" s="1448"/>
      <c r="O91" s="1448"/>
      <c r="P91" s="1448"/>
      <c r="Q91" s="1448"/>
      <c r="R91" s="1448"/>
      <c r="S91" s="1448"/>
      <c r="T91" s="1448"/>
      <c r="U91" s="1448"/>
      <c r="V91" s="1448"/>
      <c r="W91" s="1448"/>
      <c r="X91" s="1448"/>
      <c r="Y91" s="1448"/>
      <c r="Z91" s="1448"/>
      <c r="AA91" s="1448"/>
      <c r="AB91" s="1448"/>
      <c r="AC91" s="1448"/>
      <c r="AD91" s="1448"/>
      <c r="AE91" s="1448"/>
      <c r="AF91" s="1448"/>
      <c r="AG91" s="1448"/>
      <c r="AH91" s="1477"/>
      <c r="AI91" s="1477"/>
      <c r="AJ91" s="1477"/>
      <c r="AK91" s="1477"/>
      <c r="AL91" s="1477"/>
      <c r="AM91" s="1477"/>
      <c r="AN91" s="1477"/>
      <c r="AO91" s="1477"/>
      <c r="AP91" s="724"/>
      <c r="AQ91" s="1438">
        <f>SUBTOTAL(9,AQ92:AQ93)</f>
        <v>599.24627931783311</v>
      </c>
      <c r="AR91" s="1438">
        <f t="shared" ref="AR91" si="1097">SUBTOTAL(9,AR92:AR93)</f>
        <v>19.974875977261096</v>
      </c>
      <c r="AS91" s="1438">
        <f t="shared" ref="AS91" si="1098">SUBTOTAL(9,AS92:AS93)</f>
        <v>19.974875977261096</v>
      </c>
      <c r="AT91" s="1438">
        <f t="shared" ref="AT91" si="1099">SUBTOTAL(9,AT92:AT93)</f>
        <v>19.974875977261096</v>
      </c>
      <c r="AU91" s="1438">
        <f t="shared" ref="AU91" si="1100">SUBTOTAL(9,AU92:AU93)</f>
        <v>19.974875977261096</v>
      </c>
      <c r="AV91" s="1438">
        <f t="shared" ref="AV91" si="1101">SUBTOTAL(9,AV92:AV93)</f>
        <v>19.974875977261096</v>
      </c>
      <c r="AW91" s="1438">
        <f t="shared" ref="AW91" si="1102">SUBTOTAL(9,AW92:AW93)</f>
        <v>19.974875977261096</v>
      </c>
      <c r="AX91" s="1438">
        <f t="shared" ref="AX91" si="1103">SUBTOTAL(9,AX92:AX93)</f>
        <v>19.974875977261096</v>
      </c>
      <c r="AY91" s="1438">
        <f t="shared" ref="AY91" si="1104">SUBTOTAL(9,AY92:AY93)</f>
        <v>19.974875977261096</v>
      </c>
      <c r="AZ91" s="1438">
        <f t="shared" ref="AZ91" si="1105">SUBTOTAL(9,AZ92:AZ93)</f>
        <v>19.974875977261096</v>
      </c>
      <c r="BA91" s="1438">
        <f t="shared" ref="BA91" si="1106">SUBTOTAL(9,BA92:BA93)</f>
        <v>19.974875977261096</v>
      </c>
      <c r="BB91" s="1438">
        <f t="shared" ref="BB91" si="1107">SUBTOTAL(9,BB92:BB93)</f>
        <v>19.974875977261096</v>
      </c>
      <c r="BC91" s="1438">
        <f t="shared" ref="BC91" si="1108">SUBTOTAL(9,BC92:BC93)</f>
        <v>19.974875977261096</v>
      </c>
      <c r="BD91" s="1438">
        <f t="shared" ref="BD91" si="1109">SUBTOTAL(9,BD92:BD93)</f>
        <v>19.974875977261096</v>
      </c>
      <c r="BE91" s="1438">
        <f t="shared" ref="BE91" si="1110">SUBTOTAL(9,BE92:BE93)</f>
        <v>19.974875977261096</v>
      </c>
      <c r="BF91" s="1438">
        <f t="shared" ref="BF91" si="1111">SUBTOTAL(9,BF92:BF93)</f>
        <v>19.974875977261096</v>
      </c>
      <c r="BG91" s="1438">
        <f t="shared" ref="BG91" si="1112">SUBTOTAL(9,BG92:BG93)</f>
        <v>19.974875977261096</v>
      </c>
      <c r="BH91" s="1438">
        <f t="shared" ref="BH91" si="1113">SUBTOTAL(9,BH92:BH93)</f>
        <v>19.974875977261096</v>
      </c>
      <c r="BI91" s="1438">
        <f t="shared" ref="BI91" si="1114">SUBTOTAL(9,BI92:BI93)</f>
        <v>19.974875977261096</v>
      </c>
      <c r="BJ91" s="1438">
        <f t="shared" ref="BJ91" si="1115">SUBTOTAL(9,BJ92:BJ93)</f>
        <v>19.974875977261096</v>
      </c>
      <c r="BK91" s="1438">
        <f t="shared" ref="BK91" si="1116">SUBTOTAL(9,BK92:BK93)</f>
        <v>19.974875977261096</v>
      </c>
      <c r="BL91" s="1438">
        <f t="shared" ref="BL91" si="1117">SUBTOTAL(9,BL92:BL93)</f>
        <v>19.974875977261096</v>
      </c>
      <c r="BM91" s="1438">
        <f t="shared" ref="BM91" si="1118">SUBTOTAL(9,BM92:BM93)</f>
        <v>19.974875977261096</v>
      </c>
      <c r="BN91" s="1438">
        <f t="shared" ref="BN91" si="1119">SUBTOTAL(9,BN92:BN93)</f>
        <v>19.974875977261096</v>
      </c>
      <c r="BO91" s="1438">
        <f t="shared" ref="BO91" si="1120">SUBTOTAL(9,BO92:BO93)</f>
        <v>19.974875977261096</v>
      </c>
      <c r="BP91" s="1438">
        <f t="shared" ref="BP91" si="1121">SUBTOTAL(9,BP92:BP93)</f>
        <v>19.974875977261096</v>
      </c>
      <c r="BQ91" s="1438">
        <f t="shared" ref="BQ91" si="1122">SUBTOTAL(9,BQ92:BQ93)</f>
        <v>19.974875977261096</v>
      </c>
      <c r="BR91" s="1438">
        <f t="shared" ref="BR91" si="1123">SUBTOTAL(9,BR92:BR93)</f>
        <v>19.974875977261096</v>
      </c>
      <c r="BS91" s="1438">
        <f t="shared" ref="BS91" si="1124">SUBTOTAL(9,BS92:BS93)</f>
        <v>19.974875977261096</v>
      </c>
      <c r="BT91" s="1438">
        <f t="shared" ref="BT91" si="1125">SUBTOTAL(9,BT92:BT93)</f>
        <v>19.974875977261096</v>
      </c>
      <c r="BU91" s="1438">
        <f t="shared" ref="BU91" si="1126">SUBTOTAL(9,BU92:BU93)</f>
        <v>19.974875977261096</v>
      </c>
      <c r="BV91" s="725"/>
      <c r="BW91" s="1488">
        <f>SUM(BX91:DA91)</f>
        <v>0</v>
      </c>
      <c r="BX91" s="1486"/>
      <c r="BY91" s="1486"/>
      <c r="BZ91" s="1486"/>
      <c r="CA91" s="1486"/>
      <c r="CB91" s="1486"/>
      <c r="CC91" s="1486"/>
      <c r="CD91" s="1486"/>
      <c r="CE91" s="1486"/>
      <c r="CF91" s="1486"/>
      <c r="CG91" s="1486"/>
      <c r="CH91" s="1486"/>
      <c r="CI91" s="1486"/>
      <c r="CJ91" s="1486"/>
      <c r="CK91" s="1486"/>
      <c r="CL91" s="1486"/>
      <c r="CM91" s="1486"/>
      <c r="CN91" s="1486"/>
      <c r="CO91" s="1486"/>
      <c r="CP91" s="1486"/>
      <c r="CQ91" s="1486"/>
      <c r="CR91" s="1486"/>
      <c r="CS91" s="1486"/>
      <c r="CT91" s="1487"/>
      <c r="CU91" s="1487"/>
      <c r="CV91" s="1487"/>
      <c r="CW91" s="1487"/>
      <c r="CX91" s="1487"/>
      <c r="CY91" s="1487"/>
      <c r="CZ91" s="1487"/>
      <c r="DA91" s="1487"/>
      <c r="DB91" s="713"/>
      <c r="DC91" s="1488">
        <f t="shared" ref="DC91" si="1127">AQ91+BW91</f>
        <v>599.24627931783311</v>
      </c>
      <c r="DD91" s="1486">
        <f t="shared" ref="DD91:DD92" si="1128">AR91+BX91</f>
        <v>19.974875977261096</v>
      </c>
      <c r="DE91" s="1486">
        <f t="shared" ref="DE91:DE92" si="1129">AS91+BY91</f>
        <v>19.974875977261096</v>
      </c>
      <c r="DF91" s="1486">
        <f t="shared" ref="DF91:DF92" si="1130">AT91+BZ91</f>
        <v>19.974875977261096</v>
      </c>
      <c r="DG91" s="1486">
        <f t="shared" ref="DG91:DG92" si="1131">AU91+CA91</f>
        <v>19.974875977261096</v>
      </c>
      <c r="DH91" s="1486">
        <f t="shared" ref="DH91:DH92" si="1132">AV91+CB91</f>
        <v>19.974875977261096</v>
      </c>
      <c r="DI91" s="1486">
        <f t="shared" ref="DI91:DI92" si="1133">AW91+CC91</f>
        <v>19.974875977261096</v>
      </c>
      <c r="DJ91" s="1486">
        <f t="shared" ref="DJ91:DJ92" si="1134">AX91+CD91</f>
        <v>19.974875977261096</v>
      </c>
      <c r="DK91" s="1486">
        <f t="shared" ref="DK91:DK92" si="1135">AY91+CE91</f>
        <v>19.974875977261096</v>
      </c>
      <c r="DL91" s="1486">
        <f t="shared" ref="DL91:DL92" si="1136">AZ91+CF91</f>
        <v>19.974875977261096</v>
      </c>
      <c r="DM91" s="1486">
        <f t="shared" ref="DM91:DM92" si="1137">BA91+CG91</f>
        <v>19.974875977261096</v>
      </c>
      <c r="DN91" s="1486">
        <f t="shared" ref="DN91:DN92" si="1138">BB91+CH91</f>
        <v>19.974875977261096</v>
      </c>
      <c r="DO91" s="1486">
        <f t="shared" ref="DO91:DO92" si="1139">BC91+CI91</f>
        <v>19.974875977261096</v>
      </c>
      <c r="DP91" s="1486">
        <f t="shared" ref="DP91:DP92" si="1140">BD91+CJ91</f>
        <v>19.974875977261096</v>
      </c>
      <c r="DQ91" s="1486">
        <f t="shared" ref="DQ91:DQ92" si="1141">BE91+CK91</f>
        <v>19.974875977261096</v>
      </c>
      <c r="DR91" s="1486">
        <f t="shared" ref="DR91:DR92" si="1142">BF91+CL91</f>
        <v>19.974875977261096</v>
      </c>
      <c r="DS91" s="1486">
        <f t="shared" ref="DS91:DS92" si="1143">BG91+CM91</f>
        <v>19.974875977261096</v>
      </c>
      <c r="DT91" s="1486">
        <f t="shared" ref="DT91:DT92" si="1144">BH91+CN91</f>
        <v>19.974875977261096</v>
      </c>
      <c r="DU91" s="1486">
        <f t="shared" ref="DU91:DU92" si="1145">BI91+CO91</f>
        <v>19.974875977261096</v>
      </c>
      <c r="DV91" s="1486">
        <f t="shared" ref="DV91:DV92" si="1146">BJ91+CP91</f>
        <v>19.974875977261096</v>
      </c>
      <c r="DW91" s="1486">
        <f t="shared" ref="DW91:DW92" si="1147">BK91+CQ91</f>
        <v>19.974875977261096</v>
      </c>
      <c r="DX91" s="1486">
        <f t="shared" ref="DX91:DX92" si="1148">BL91+CR91</f>
        <v>19.974875977261096</v>
      </c>
      <c r="DY91" s="1486">
        <f t="shared" ref="DY91:DY92" si="1149">BM91+CS91</f>
        <v>19.974875977261096</v>
      </c>
      <c r="DZ91" s="1487">
        <f t="shared" ref="DZ91:DZ92" si="1150">BN91+CT91</f>
        <v>19.974875977261096</v>
      </c>
      <c r="EA91" s="1487">
        <f t="shared" ref="EA91:EA92" si="1151">BO91+CU91</f>
        <v>19.974875977261096</v>
      </c>
      <c r="EB91" s="1487">
        <f t="shared" ref="EB91:EB92" si="1152">BP91+CV91</f>
        <v>19.974875977261096</v>
      </c>
      <c r="EC91" s="1487">
        <f t="shared" ref="EC91:EC92" si="1153">BQ91+CW91</f>
        <v>19.974875977261096</v>
      </c>
      <c r="ED91" s="1487">
        <f t="shared" ref="ED91:ED92" si="1154">BR91+CX91</f>
        <v>19.974875977261096</v>
      </c>
      <c r="EE91" s="1487">
        <f t="shared" ref="EE91:EE92" si="1155">BS91+CY91</f>
        <v>19.974875977261096</v>
      </c>
      <c r="EF91" s="1487">
        <f t="shared" ref="EF91:EF92" si="1156">BT91+CZ91</f>
        <v>19.974875977261096</v>
      </c>
      <c r="EG91" s="1487">
        <f t="shared" ref="EG91:EG92" si="1157">BU91+DA91</f>
        <v>19.974875977261096</v>
      </c>
      <c r="EH91" s="1439"/>
      <c r="EI91" s="1439"/>
      <c r="EJ91" s="1439"/>
      <c r="EK91" s="1439"/>
    </row>
    <row r="92" spans="1:141">
      <c r="A92" s="595"/>
      <c r="B92" s="598"/>
      <c r="C92" s="599"/>
      <c r="E92" s="866" t="s">
        <v>1685</v>
      </c>
      <c r="F92" s="867"/>
      <c r="G92" s="868"/>
      <c r="H92" s="867"/>
      <c r="I92" s="869"/>
      <c r="J92" s="869"/>
      <c r="K92" s="76"/>
      <c r="L92" s="870">
        <v>11</v>
      </c>
      <c r="M92" s="870">
        <v>11</v>
      </c>
      <c r="N92" s="870">
        <v>11</v>
      </c>
      <c r="O92" s="870">
        <v>11</v>
      </c>
      <c r="P92" s="870">
        <v>11</v>
      </c>
      <c r="Q92" s="870">
        <v>11</v>
      </c>
      <c r="R92" s="870">
        <v>11</v>
      </c>
      <c r="S92" s="870">
        <v>11</v>
      </c>
      <c r="T92" s="870">
        <v>11</v>
      </c>
      <c r="U92" s="870">
        <v>11</v>
      </c>
      <c r="V92" s="870">
        <v>11</v>
      </c>
      <c r="W92" s="870">
        <v>11</v>
      </c>
      <c r="X92" s="870">
        <v>11</v>
      </c>
      <c r="Y92" s="870">
        <v>11</v>
      </c>
      <c r="Z92" s="870">
        <v>11</v>
      </c>
      <c r="AA92" s="870">
        <v>11</v>
      </c>
      <c r="AB92" s="870">
        <v>11</v>
      </c>
      <c r="AC92" s="870">
        <v>11</v>
      </c>
      <c r="AD92" s="870">
        <v>11</v>
      </c>
      <c r="AE92" s="870">
        <v>11</v>
      </c>
      <c r="AF92" s="870">
        <v>11</v>
      </c>
      <c r="AG92" s="870">
        <v>11</v>
      </c>
      <c r="AH92" s="870">
        <v>11</v>
      </c>
      <c r="AI92" s="870">
        <v>11</v>
      </c>
      <c r="AJ92" s="870">
        <v>11</v>
      </c>
      <c r="AK92" s="870">
        <v>11</v>
      </c>
      <c r="AL92" s="870">
        <v>11</v>
      </c>
      <c r="AM92" s="870">
        <v>11</v>
      </c>
      <c r="AN92" s="870">
        <v>11</v>
      </c>
      <c r="AO92" s="870">
        <v>11</v>
      </c>
      <c r="AP92" s="80"/>
      <c r="AQ92" s="871">
        <f t="shared" ref="AQ92" si="1158">SUM(AR92:BU92)</f>
        <v>599.24627931783311</v>
      </c>
      <c r="AR92" s="871">
        <f t="shared" ref="AR92" si="1159">VLOOKUP($E92,Par,6,0)*L92/1000</f>
        <v>19.974875977261096</v>
      </c>
      <c r="AS92" s="871">
        <f t="shared" ref="AS92" si="1160">VLOOKUP($E92,Par,6,0)*M92/1000</f>
        <v>19.974875977261096</v>
      </c>
      <c r="AT92" s="871">
        <f t="shared" ref="AT92" si="1161">VLOOKUP($E92,Par,6,0)*N92/1000</f>
        <v>19.974875977261096</v>
      </c>
      <c r="AU92" s="871">
        <f t="shared" ref="AU92" si="1162">VLOOKUP($E92,Par,6,0)*O92/1000</f>
        <v>19.974875977261096</v>
      </c>
      <c r="AV92" s="871">
        <f t="shared" ref="AV92" si="1163">VLOOKUP($E92,Par,6,0)*P92/1000</f>
        <v>19.974875977261096</v>
      </c>
      <c r="AW92" s="871">
        <f t="shared" ref="AW92" si="1164">VLOOKUP($E92,Par,6,0)*Q92/1000</f>
        <v>19.974875977261096</v>
      </c>
      <c r="AX92" s="871">
        <f t="shared" ref="AX92" si="1165">VLOOKUP($E92,Par,6,0)*R92/1000</f>
        <v>19.974875977261096</v>
      </c>
      <c r="AY92" s="871">
        <f t="shared" ref="AY92" si="1166">VLOOKUP($E92,Par,6,0)*S92/1000</f>
        <v>19.974875977261096</v>
      </c>
      <c r="AZ92" s="871">
        <f t="shared" ref="AZ92" si="1167">VLOOKUP($E92,Par,6,0)*T92/1000</f>
        <v>19.974875977261096</v>
      </c>
      <c r="BA92" s="871">
        <f t="shared" ref="BA92" si="1168">VLOOKUP($E92,Par,6,0)*U92/1000</f>
        <v>19.974875977261096</v>
      </c>
      <c r="BB92" s="871">
        <f t="shared" ref="BB92" si="1169">VLOOKUP($E92,Par,6,0)*V92/1000</f>
        <v>19.974875977261096</v>
      </c>
      <c r="BC92" s="871">
        <f t="shared" ref="BC92" si="1170">VLOOKUP($E92,Par,6,0)*W92/1000</f>
        <v>19.974875977261096</v>
      </c>
      <c r="BD92" s="871">
        <f t="shared" ref="BD92" si="1171">VLOOKUP($E92,Par,6,0)*X92/1000</f>
        <v>19.974875977261096</v>
      </c>
      <c r="BE92" s="871">
        <f t="shared" ref="BE92" si="1172">VLOOKUP($E92,Par,6,0)*Y92/1000</f>
        <v>19.974875977261096</v>
      </c>
      <c r="BF92" s="871">
        <f t="shared" ref="BF92" si="1173">VLOOKUP($E92,Par,6,0)*Z92/1000</f>
        <v>19.974875977261096</v>
      </c>
      <c r="BG92" s="871">
        <f t="shared" ref="BG92" si="1174">VLOOKUP($E92,Par,6,0)*AA92/1000</f>
        <v>19.974875977261096</v>
      </c>
      <c r="BH92" s="871">
        <f t="shared" ref="BH92" si="1175">VLOOKUP($E92,Par,6,0)*AB92/1000</f>
        <v>19.974875977261096</v>
      </c>
      <c r="BI92" s="871">
        <f t="shared" ref="BI92" si="1176">VLOOKUP($E92,Par,6,0)*AC92/1000</f>
        <v>19.974875977261096</v>
      </c>
      <c r="BJ92" s="871">
        <f t="shared" ref="BJ92" si="1177">VLOOKUP($E92,Par,6,0)*AD92/1000</f>
        <v>19.974875977261096</v>
      </c>
      <c r="BK92" s="871">
        <f t="shared" ref="BK92" si="1178">VLOOKUP($E92,Par,6,0)*AE92/1000</f>
        <v>19.974875977261096</v>
      </c>
      <c r="BL92" s="871">
        <f t="shared" ref="BL92" si="1179">VLOOKUP($E92,Par,6,0)*AF92/1000</f>
        <v>19.974875977261096</v>
      </c>
      <c r="BM92" s="871">
        <f t="shared" ref="BM92" si="1180">VLOOKUP($E92,Par,6,0)*AG92/1000</f>
        <v>19.974875977261096</v>
      </c>
      <c r="BN92" s="871">
        <f t="shared" ref="BN92" si="1181">VLOOKUP($E92,Par,6,0)*AH92/1000</f>
        <v>19.974875977261096</v>
      </c>
      <c r="BO92" s="871">
        <f t="shared" ref="BO92" si="1182">VLOOKUP($E92,Par,6,0)*AI92/1000</f>
        <v>19.974875977261096</v>
      </c>
      <c r="BP92" s="871">
        <f t="shared" ref="BP92" si="1183">VLOOKUP($E92,Par,6,0)*AJ92/1000</f>
        <v>19.974875977261096</v>
      </c>
      <c r="BQ92" s="871">
        <f t="shared" ref="BQ92" si="1184">VLOOKUP($E92,Par,6,0)*AK92/1000</f>
        <v>19.974875977261096</v>
      </c>
      <c r="BR92" s="871">
        <f t="shared" ref="BR92" si="1185">VLOOKUP($E92,Par,6,0)*AL92/1000</f>
        <v>19.974875977261096</v>
      </c>
      <c r="BS92" s="871">
        <f t="shared" ref="BS92" si="1186">VLOOKUP($E92,Par,6,0)*AM92/1000</f>
        <v>19.974875977261096</v>
      </c>
      <c r="BT92" s="871">
        <f t="shared" ref="BT92" si="1187">VLOOKUP($E92,Par,6,0)*AN92/1000</f>
        <v>19.974875977261096</v>
      </c>
      <c r="BU92" s="871">
        <f t="shared" ref="BU92" si="1188">VLOOKUP($E92,Par,6,0)*AO92/1000</f>
        <v>19.974875977261096</v>
      </c>
      <c r="BV92" s="1457"/>
      <c r="BW92" s="871"/>
      <c r="BX92" s="871"/>
      <c r="BY92" s="871"/>
      <c r="BZ92" s="871"/>
      <c r="CA92" s="871"/>
      <c r="CB92" s="871"/>
      <c r="CC92" s="871"/>
      <c r="CD92" s="871"/>
      <c r="CE92" s="871"/>
      <c r="CF92" s="871"/>
      <c r="CG92" s="871"/>
      <c r="CH92" s="871"/>
      <c r="CI92" s="871"/>
      <c r="CJ92" s="871"/>
      <c r="CK92" s="871"/>
      <c r="CL92" s="871"/>
      <c r="CM92" s="871"/>
      <c r="CN92" s="871"/>
      <c r="CO92" s="871"/>
      <c r="CP92" s="871"/>
      <c r="CQ92" s="871"/>
      <c r="CR92" s="871"/>
      <c r="CS92" s="871"/>
      <c r="CT92" s="871"/>
      <c r="CU92" s="871"/>
      <c r="CV92" s="871"/>
      <c r="CW92" s="871"/>
      <c r="CX92" s="871"/>
      <c r="CY92" s="871"/>
      <c r="CZ92" s="871"/>
      <c r="DA92" s="871"/>
      <c r="DB92" s="41"/>
      <c r="DC92" s="871">
        <f t="shared" si="892"/>
        <v>599.24627931783311</v>
      </c>
      <c r="DD92" s="871">
        <f t="shared" si="1128"/>
        <v>19.974875977261096</v>
      </c>
      <c r="DE92" s="871">
        <f t="shared" si="1129"/>
        <v>19.974875977261096</v>
      </c>
      <c r="DF92" s="871">
        <f t="shared" si="1130"/>
        <v>19.974875977261096</v>
      </c>
      <c r="DG92" s="871">
        <f t="shared" si="1131"/>
        <v>19.974875977261096</v>
      </c>
      <c r="DH92" s="871">
        <f t="shared" si="1132"/>
        <v>19.974875977261096</v>
      </c>
      <c r="DI92" s="871">
        <f t="shared" si="1133"/>
        <v>19.974875977261096</v>
      </c>
      <c r="DJ92" s="871">
        <f t="shared" si="1134"/>
        <v>19.974875977261096</v>
      </c>
      <c r="DK92" s="871">
        <f t="shared" si="1135"/>
        <v>19.974875977261096</v>
      </c>
      <c r="DL92" s="871">
        <f t="shared" si="1136"/>
        <v>19.974875977261096</v>
      </c>
      <c r="DM92" s="871">
        <f t="shared" si="1137"/>
        <v>19.974875977261096</v>
      </c>
      <c r="DN92" s="871">
        <f t="shared" si="1138"/>
        <v>19.974875977261096</v>
      </c>
      <c r="DO92" s="871">
        <f t="shared" si="1139"/>
        <v>19.974875977261096</v>
      </c>
      <c r="DP92" s="871">
        <f t="shared" si="1140"/>
        <v>19.974875977261096</v>
      </c>
      <c r="DQ92" s="871">
        <f t="shared" si="1141"/>
        <v>19.974875977261096</v>
      </c>
      <c r="DR92" s="871">
        <f t="shared" si="1142"/>
        <v>19.974875977261096</v>
      </c>
      <c r="DS92" s="871">
        <f t="shared" si="1143"/>
        <v>19.974875977261096</v>
      </c>
      <c r="DT92" s="871">
        <f t="shared" si="1144"/>
        <v>19.974875977261096</v>
      </c>
      <c r="DU92" s="871">
        <f t="shared" si="1145"/>
        <v>19.974875977261096</v>
      </c>
      <c r="DV92" s="871">
        <f t="shared" si="1146"/>
        <v>19.974875977261096</v>
      </c>
      <c r="DW92" s="871">
        <f t="shared" si="1147"/>
        <v>19.974875977261096</v>
      </c>
      <c r="DX92" s="871">
        <f t="shared" si="1148"/>
        <v>19.974875977261096</v>
      </c>
      <c r="DY92" s="871">
        <f t="shared" si="1149"/>
        <v>19.974875977261096</v>
      </c>
      <c r="DZ92" s="871">
        <f t="shared" si="1150"/>
        <v>19.974875977261096</v>
      </c>
      <c r="EA92" s="871">
        <f t="shared" si="1151"/>
        <v>19.974875977261096</v>
      </c>
      <c r="EB92" s="871">
        <f t="shared" si="1152"/>
        <v>19.974875977261096</v>
      </c>
      <c r="EC92" s="871">
        <f t="shared" si="1153"/>
        <v>19.974875977261096</v>
      </c>
      <c r="ED92" s="871">
        <f t="shared" si="1154"/>
        <v>19.974875977261096</v>
      </c>
      <c r="EE92" s="871">
        <f t="shared" si="1155"/>
        <v>19.974875977261096</v>
      </c>
      <c r="EF92" s="871">
        <f t="shared" si="1156"/>
        <v>19.974875977261096</v>
      </c>
      <c r="EG92" s="871">
        <f t="shared" si="1157"/>
        <v>19.974875977261096</v>
      </c>
      <c r="EH92" s="41"/>
      <c r="EI92" s="41"/>
      <c r="EJ92" s="41"/>
      <c r="EK92" s="41"/>
    </row>
    <row r="93" spans="1:141" ht="12" customHeight="1">
      <c r="A93" s="595"/>
      <c r="B93" s="598"/>
      <c r="C93" s="599"/>
      <c r="E93" s="1458"/>
      <c r="F93" s="1480"/>
      <c r="G93" s="1481"/>
      <c r="H93" s="1482"/>
      <c r="I93" s="1483"/>
      <c r="J93" s="1483"/>
      <c r="K93" s="23"/>
      <c r="L93" s="1459"/>
      <c r="M93" s="1459"/>
      <c r="N93" s="1459"/>
      <c r="O93" s="1459"/>
      <c r="P93" s="1459"/>
      <c r="Q93" s="1459"/>
      <c r="R93" s="1459"/>
      <c r="S93" s="1459"/>
      <c r="T93" s="1459"/>
      <c r="U93" s="1459"/>
      <c r="V93" s="1459"/>
      <c r="W93" s="1459"/>
      <c r="X93" s="1459"/>
      <c r="Y93" s="1459"/>
      <c r="Z93" s="1459"/>
      <c r="AA93" s="1459"/>
      <c r="AB93" s="1459"/>
      <c r="AC93" s="1459"/>
      <c r="AD93" s="1459"/>
      <c r="AE93" s="1459"/>
      <c r="AF93" s="1459"/>
      <c r="AG93" s="1459"/>
      <c r="AH93" s="1459"/>
      <c r="AI93" s="1459"/>
      <c r="AJ93" s="1459"/>
      <c r="AK93" s="1459"/>
      <c r="AL93" s="1459"/>
      <c r="AM93" s="1459"/>
      <c r="AN93" s="1459"/>
      <c r="AO93" s="1459"/>
      <c r="AP93" s="1460"/>
      <c r="AQ93" s="1496">
        <f t="shared" si="118"/>
        <v>0</v>
      </c>
      <c r="AR93" s="1485"/>
      <c r="AS93" s="1485"/>
      <c r="AT93" s="1485"/>
      <c r="AU93" s="1485"/>
      <c r="AV93" s="1485"/>
      <c r="AW93" s="1485"/>
      <c r="AX93" s="1485"/>
      <c r="AY93" s="1485"/>
      <c r="AZ93" s="1485"/>
      <c r="BA93" s="1485"/>
      <c r="BB93" s="1485"/>
      <c r="BC93" s="1485"/>
      <c r="BD93" s="1485"/>
      <c r="BE93" s="1485"/>
      <c r="BF93" s="1485"/>
      <c r="BG93" s="1485"/>
      <c r="BH93" s="1485"/>
      <c r="BI93" s="1485"/>
      <c r="BJ93" s="1485"/>
      <c r="BK93" s="1485"/>
      <c r="BL93" s="1485"/>
      <c r="BM93" s="1485"/>
      <c r="BN93" s="1485"/>
      <c r="BO93" s="1485"/>
      <c r="BP93" s="1485"/>
      <c r="BQ93" s="1485"/>
      <c r="BR93" s="1485"/>
      <c r="BS93" s="1485"/>
      <c r="BT93" s="1485"/>
      <c r="BU93" s="1485"/>
      <c r="BV93" s="1462"/>
      <c r="BW93" s="871">
        <f t="shared" si="117"/>
        <v>0</v>
      </c>
      <c r="BX93" s="1485"/>
      <c r="BY93" s="1485"/>
      <c r="BZ93" s="1485"/>
      <c r="CA93" s="1485"/>
      <c r="CB93" s="1485"/>
      <c r="CC93" s="1485"/>
      <c r="CD93" s="1485"/>
      <c r="CE93" s="1485"/>
      <c r="CF93" s="1485"/>
      <c r="CG93" s="1485"/>
      <c r="CH93" s="1485"/>
      <c r="CI93" s="1485"/>
      <c r="CJ93" s="1485"/>
      <c r="CK93" s="1485"/>
      <c r="CL93" s="1485"/>
      <c r="CM93" s="1485"/>
      <c r="CN93" s="1485"/>
      <c r="CO93" s="1485"/>
      <c r="CP93" s="1485"/>
      <c r="CQ93" s="1485"/>
      <c r="CR93" s="1485"/>
      <c r="CS93" s="1485"/>
      <c r="CT93" s="1485"/>
      <c r="CU93" s="1485"/>
      <c r="CV93" s="1485"/>
      <c r="CW93" s="1485"/>
      <c r="CX93" s="1485"/>
      <c r="CY93" s="1485"/>
      <c r="CZ93" s="1485"/>
      <c r="DA93" s="1485"/>
      <c r="DB93" s="41"/>
      <c r="DC93" s="871">
        <f t="shared" si="892"/>
        <v>0</v>
      </c>
      <c r="DD93" s="1485">
        <f t="shared" si="893"/>
        <v>0</v>
      </c>
      <c r="DE93" s="1485">
        <f t="shared" si="894"/>
        <v>0</v>
      </c>
      <c r="DF93" s="1485">
        <f t="shared" si="895"/>
        <v>0</v>
      </c>
      <c r="DG93" s="1485">
        <f t="shared" si="896"/>
        <v>0</v>
      </c>
      <c r="DH93" s="1485">
        <f t="shared" si="897"/>
        <v>0</v>
      </c>
      <c r="DI93" s="1485">
        <f t="shared" si="898"/>
        <v>0</v>
      </c>
      <c r="DJ93" s="1485">
        <f t="shared" si="899"/>
        <v>0</v>
      </c>
      <c r="DK93" s="1485">
        <f t="shared" si="900"/>
        <v>0</v>
      </c>
      <c r="DL93" s="1485">
        <f t="shared" si="901"/>
        <v>0</v>
      </c>
      <c r="DM93" s="1485">
        <f t="shared" si="902"/>
        <v>0</v>
      </c>
      <c r="DN93" s="1485">
        <f t="shared" si="903"/>
        <v>0</v>
      </c>
      <c r="DO93" s="1485">
        <f t="shared" si="904"/>
        <v>0</v>
      </c>
      <c r="DP93" s="1485">
        <f t="shared" si="905"/>
        <v>0</v>
      </c>
      <c r="DQ93" s="1485">
        <f t="shared" si="906"/>
        <v>0</v>
      </c>
      <c r="DR93" s="1485">
        <f t="shared" si="907"/>
        <v>0</v>
      </c>
      <c r="DS93" s="1485">
        <f t="shared" si="908"/>
        <v>0</v>
      </c>
      <c r="DT93" s="1485">
        <f t="shared" si="909"/>
        <v>0</v>
      </c>
      <c r="DU93" s="1485">
        <f t="shared" si="910"/>
        <v>0</v>
      </c>
      <c r="DV93" s="1485">
        <f t="shared" si="911"/>
        <v>0</v>
      </c>
      <c r="DW93" s="1485">
        <f t="shared" si="912"/>
        <v>0</v>
      </c>
      <c r="DX93" s="1485">
        <f t="shared" si="913"/>
        <v>0</v>
      </c>
      <c r="DY93" s="1485">
        <f t="shared" si="914"/>
        <v>0</v>
      </c>
      <c r="DZ93" s="1485">
        <f t="shared" si="915"/>
        <v>0</v>
      </c>
      <c r="EA93" s="1485">
        <f t="shared" si="916"/>
        <v>0</v>
      </c>
      <c r="EB93" s="1485">
        <f t="shared" si="917"/>
        <v>0</v>
      </c>
      <c r="EC93" s="1485">
        <f t="shared" si="918"/>
        <v>0</v>
      </c>
      <c r="ED93" s="1485">
        <f t="shared" si="919"/>
        <v>0</v>
      </c>
      <c r="EE93" s="1485">
        <f t="shared" si="920"/>
        <v>0</v>
      </c>
      <c r="EF93" s="1485">
        <f t="shared" si="921"/>
        <v>0</v>
      </c>
      <c r="EG93" s="1485">
        <f t="shared" si="922"/>
        <v>0</v>
      </c>
      <c r="EH93" s="41"/>
      <c r="EI93" s="41"/>
      <c r="EJ93" s="41"/>
      <c r="EK93" s="41"/>
    </row>
    <row r="94" spans="1:141" ht="12" customHeight="1">
      <c r="A94" s="595"/>
      <c r="B94" s="598"/>
      <c r="C94" s="599"/>
      <c r="D94" s="407"/>
      <c r="E94" s="1437" t="s">
        <v>1686</v>
      </c>
      <c r="F94" s="1476"/>
      <c r="G94" s="1447"/>
      <c r="H94" s="1448"/>
      <c r="I94" s="1449"/>
      <c r="J94" s="1449"/>
      <c r="K94" s="723"/>
      <c r="L94" s="1448"/>
      <c r="M94" s="1448"/>
      <c r="N94" s="1448"/>
      <c r="O94" s="1448"/>
      <c r="P94" s="1448"/>
      <c r="Q94" s="1448"/>
      <c r="R94" s="1448"/>
      <c r="S94" s="1448"/>
      <c r="T94" s="1448"/>
      <c r="U94" s="1448"/>
      <c r="V94" s="1448"/>
      <c r="W94" s="1448"/>
      <c r="X94" s="1448"/>
      <c r="Y94" s="1448"/>
      <c r="Z94" s="1448"/>
      <c r="AA94" s="1448"/>
      <c r="AB94" s="1448"/>
      <c r="AC94" s="1448"/>
      <c r="AD94" s="1448"/>
      <c r="AE94" s="1448"/>
      <c r="AF94" s="1448"/>
      <c r="AG94" s="1448"/>
      <c r="AH94" s="1477"/>
      <c r="AI94" s="1477"/>
      <c r="AJ94" s="1477"/>
      <c r="AK94" s="1477"/>
      <c r="AL94" s="1477"/>
      <c r="AM94" s="1477"/>
      <c r="AN94" s="1477"/>
      <c r="AO94" s="1477"/>
      <c r="AP94" s="724"/>
      <c r="AQ94" s="1438">
        <f>SUBTOTAL(9,AQ95:AQ105)</f>
        <v>73.819543499999995</v>
      </c>
      <c r="AR94" s="1513">
        <f>SUBTOTAL(9,AR95:AR105)</f>
        <v>2.4606514499999999</v>
      </c>
      <c r="AS94" s="1513">
        <f t="shared" ref="AS94:BU94" si="1189">SUBTOTAL(9,AS95:AS105)</f>
        <v>2.4606514499999999</v>
      </c>
      <c r="AT94" s="1513">
        <f t="shared" si="1189"/>
        <v>2.4606514499999999</v>
      </c>
      <c r="AU94" s="1513">
        <f t="shared" si="1189"/>
        <v>2.4606514499999999</v>
      </c>
      <c r="AV94" s="1513">
        <f t="shared" si="1189"/>
        <v>2.4606514499999999</v>
      </c>
      <c r="AW94" s="1513">
        <f t="shared" si="1189"/>
        <v>2.4606514499999999</v>
      </c>
      <c r="AX94" s="1513">
        <f t="shared" si="1189"/>
        <v>2.4606514499999999</v>
      </c>
      <c r="AY94" s="1513">
        <f t="shared" si="1189"/>
        <v>2.4606514499999999</v>
      </c>
      <c r="AZ94" s="1513">
        <f t="shared" si="1189"/>
        <v>2.4606514499999999</v>
      </c>
      <c r="BA94" s="1513">
        <f t="shared" si="1189"/>
        <v>2.4606514499999999</v>
      </c>
      <c r="BB94" s="1513">
        <f t="shared" si="1189"/>
        <v>2.4606514499999999</v>
      </c>
      <c r="BC94" s="1513">
        <f t="shared" si="1189"/>
        <v>2.4606514499999999</v>
      </c>
      <c r="BD94" s="1513">
        <f t="shared" si="1189"/>
        <v>2.4606514499999999</v>
      </c>
      <c r="BE94" s="1513">
        <f t="shared" si="1189"/>
        <v>2.4606514499999999</v>
      </c>
      <c r="BF94" s="1513">
        <f t="shared" si="1189"/>
        <v>2.4606514499999999</v>
      </c>
      <c r="BG94" s="1513">
        <f t="shared" si="1189"/>
        <v>2.4606514499999999</v>
      </c>
      <c r="BH94" s="1513">
        <f t="shared" si="1189"/>
        <v>2.4606514499999999</v>
      </c>
      <c r="BI94" s="1513">
        <f t="shared" si="1189"/>
        <v>2.4606514499999999</v>
      </c>
      <c r="BJ94" s="1513">
        <f t="shared" si="1189"/>
        <v>2.4606514499999999</v>
      </c>
      <c r="BK94" s="1513">
        <f t="shared" si="1189"/>
        <v>2.4606514499999999</v>
      </c>
      <c r="BL94" s="1513">
        <f t="shared" si="1189"/>
        <v>2.4606514499999999</v>
      </c>
      <c r="BM94" s="1513">
        <f t="shared" si="1189"/>
        <v>2.4606514499999999</v>
      </c>
      <c r="BN94" s="1513">
        <f t="shared" si="1189"/>
        <v>2.4606514499999999</v>
      </c>
      <c r="BO94" s="1513">
        <f t="shared" si="1189"/>
        <v>2.4606514499999999</v>
      </c>
      <c r="BP94" s="1513">
        <f t="shared" si="1189"/>
        <v>2.4606514499999999</v>
      </c>
      <c r="BQ94" s="1513">
        <f t="shared" si="1189"/>
        <v>2.4606514499999999</v>
      </c>
      <c r="BR94" s="1513">
        <f t="shared" si="1189"/>
        <v>2.4606514499999999</v>
      </c>
      <c r="BS94" s="1513">
        <f t="shared" si="1189"/>
        <v>2.4606514499999999</v>
      </c>
      <c r="BT94" s="1513">
        <f t="shared" si="1189"/>
        <v>2.4606514499999999</v>
      </c>
      <c r="BU94" s="1513">
        <f t="shared" si="1189"/>
        <v>2.4606514499999999</v>
      </c>
      <c r="BV94" s="725"/>
      <c r="BW94" s="1488">
        <f>SUM(BX94:DA94)</f>
        <v>0</v>
      </c>
      <c r="BX94" s="1486"/>
      <c r="BY94" s="1486"/>
      <c r="BZ94" s="1486"/>
      <c r="CA94" s="1486"/>
      <c r="CB94" s="1486"/>
      <c r="CC94" s="1486"/>
      <c r="CD94" s="1486"/>
      <c r="CE94" s="1486"/>
      <c r="CF94" s="1486"/>
      <c r="CG94" s="1486"/>
      <c r="CH94" s="1486"/>
      <c r="CI94" s="1486"/>
      <c r="CJ94" s="1486"/>
      <c r="CK94" s="1486"/>
      <c r="CL94" s="1486"/>
      <c r="CM94" s="1486"/>
      <c r="CN94" s="1486"/>
      <c r="CO94" s="1486"/>
      <c r="CP94" s="1486"/>
      <c r="CQ94" s="1486"/>
      <c r="CR94" s="1486"/>
      <c r="CS94" s="1486"/>
      <c r="CT94" s="1487"/>
      <c r="CU94" s="1487"/>
      <c r="CV94" s="1487"/>
      <c r="CW94" s="1487"/>
      <c r="CX94" s="1487"/>
      <c r="CY94" s="1487"/>
      <c r="CZ94" s="1487"/>
      <c r="DA94" s="1487"/>
      <c r="DB94" s="713"/>
      <c r="DC94" s="1488">
        <f t="shared" si="892"/>
        <v>73.819543499999995</v>
      </c>
      <c r="DD94" s="1486">
        <f t="shared" si="893"/>
        <v>2.4606514499999999</v>
      </c>
      <c r="DE94" s="1486">
        <f t="shared" si="894"/>
        <v>2.4606514499999999</v>
      </c>
      <c r="DF94" s="1486">
        <f t="shared" si="895"/>
        <v>2.4606514499999999</v>
      </c>
      <c r="DG94" s="1486">
        <f t="shared" si="896"/>
        <v>2.4606514499999999</v>
      </c>
      <c r="DH94" s="1486">
        <f t="shared" si="897"/>
        <v>2.4606514499999999</v>
      </c>
      <c r="DI94" s="1486">
        <f t="shared" si="898"/>
        <v>2.4606514499999999</v>
      </c>
      <c r="DJ94" s="1486">
        <f t="shared" si="899"/>
        <v>2.4606514499999999</v>
      </c>
      <c r="DK94" s="1486">
        <f t="shared" si="900"/>
        <v>2.4606514499999999</v>
      </c>
      <c r="DL94" s="1486">
        <f t="shared" si="901"/>
        <v>2.4606514499999999</v>
      </c>
      <c r="DM94" s="1486">
        <f t="shared" si="902"/>
        <v>2.4606514499999999</v>
      </c>
      <c r="DN94" s="1486">
        <f t="shared" si="903"/>
        <v>2.4606514499999999</v>
      </c>
      <c r="DO94" s="1486">
        <f t="shared" si="904"/>
        <v>2.4606514499999999</v>
      </c>
      <c r="DP94" s="1486">
        <f t="shared" si="905"/>
        <v>2.4606514499999999</v>
      </c>
      <c r="DQ94" s="1486">
        <f t="shared" si="906"/>
        <v>2.4606514499999999</v>
      </c>
      <c r="DR94" s="1486">
        <f t="shared" si="907"/>
        <v>2.4606514499999999</v>
      </c>
      <c r="DS94" s="1486">
        <f t="shared" si="908"/>
        <v>2.4606514499999999</v>
      </c>
      <c r="DT94" s="1486">
        <f t="shared" si="909"/>
        <v>2.4606514499999999</v>
      </c>
      <c r="DU94" s="1486">
        <f t="shared" si="910"/>
        <v>2.4606514499999999</v>
      </c>
      <c r="DV94" s="1486">
        <f t="shared" si="911"/>
        <v>2.4606514499999999</v>
      </c>
      <c r="DW94" s="1486">
        <f t="shared" si="912"/>
        <v>2.4606514499999999</v>
      </c>
      <c r="DX94" s="1486">
        <f t="shared" si="913"/>
        <v>2.4606514499999999</v>
      </c>
      <c r="DY94" s="1486">
        <f t="shared" si="914"/>
        <v>2.4606514499999999</v>
      </c>
      <c r="DZ94" s="1487">
        <f t="shared" si="915"/>
        <v>2.4606514499999999</v>
      </c>
      <c r="EA94" s="1487">
        <f t="shared" si="916"/>
        <v>2.4606514499999999</v>
      </c>
      <c r="EB94" s="1487">
        <f t="shared" si="917"/>
        <v>2.4606514499999999</v>
      </c>
      <c r="EC94" s="1487">
        <f t="shared" si="918"/>
        <v>2.4606514499999999</v>
      </c>
      <c r="ED94" s="1487">
        <f t="shared" si="919"/>
        <v>2.4606514499999999</v>
      </c>
      <c r="EE94" s="1487">
        <f t="shared" si="920"/>
        <v>2.4606514499999999</v>
      </c>
      <c r="EF94" s="1487">
        <f t="shared" si="921"/>
        <v>2.4606514499999999</v>
      </c>
      <c r="EG94" s="1487">
        <f t="shared" si="922"/>
        <v>2.4606514499999999</v>
      </c>
      <c r="EH94" s="1439"/>
      <c r="EI94" s="1439"/>
      <c r="EJ94" s="1439"/>
      <c r="EK94" s="1439"/>
    </row>
    <row r="95" spans="1:141" ht="12.75" customHeight="1">
      <c r="A95" s="595"/>
      <c r="B95" s="598"/>
      <c r="C95" s="599"/>
      <c r="D95" s="29">
        <v>2</v>
      </c>
      <c r="E95" s="1489" t="s">
        <v>1687</v>
      </c>
      <c r="F95" s="1490"/>
      <c r="G95" s="1491"/>
      <c r="H95" s="1492"/>
      <c r="I95" s="1493"/>
      <c r="J95" s="1493"/>
      <c r="K95" s="22"/>
      <c r="L95" s="1492"/>
      <c r="M95" s="1492"/>
      <c r="N95" s="1492"/>
      <c r="O95" s="1492"/>
      <c r="P95" s="1492"/>
      <c r="Q95" s="1492"/>
      <c r="R95" s="1492"/>
      <c r="S95" s="1492"/>
      <c r="T95" s="1492"/>
      <c r="U95" s="1492"/>
      <c r="V95" s="1492"/>
      <c r="W95" s="1492"/>
      <c r="X95" s="1492"/>
      <c r="Y95" s="1492"/>
      <c r="Z95" s="1492"/>
      <c r="AA95" s="1492"/>
      <c r="AB95" s="1492"/>
      <c r="AC95" s="1492"/>
      <c r="AD95" s="1492"/>
      <c r="AE95" s="1492"/>
      <c r="AF95" s="1492"/>
      <c r="AG95" s="1492"/>
      <c r="AH95" s="1494"/>
      <c r="AI95" s="1494"/>
      <c r="AJ95" s="1494"/>
      <c r="AK95" s="1494"/>
      <c r="AL95" s="1494"/>
      <c r="AM95" s="1494"/>
      <c r="AN95" s="1494"/>
      <c r="AO95" s="1494"/>
      <c r="AP95" s="1495"/>
      <c r="AQ95" s="1496">
        <f>SUBTOTAL(9,AQ96)</f>
        <v>73.819543499999995</v>
      </c>
      <c r="AR95" s="1496">
        <f>SUBTOTAL(9,AR96:AR98)</f>
        <v>2.4606514499999999</v>
      </c>
      <c r="AS95" s="1496">
        <f t="shared" ref="AS95:BU95" si="1190">SUBTOTAL(9,AS96:AS98)</f>
        <v>2.4606514499999999</v>
      </c>
      <c r="AT95" s="1496">
        <f t="shared" si="1190"/>
        <v>2.4606514499999999</v>
      </c>
      <c r="AU95" s="1496">
        <f t="shared" si="1190"/>
        <v>2.4606514499999999</v>
      </c>
      <c r="AV95" s="1496">
        <f t="shared" si="1190"/>
        <v>2.4606514499999999</v>
      </c>
      <c r="AW95" s="1496">
        <f t="shared" si="1190"/>
        <v>2.4606514499999999</v>
      </c>
      <c r="AX95" s="1496">
        <f t="shared" si="1190"/>
        <v>2.4606514499999999</v>
      </c>
      <c r="AY95" s="1496">
        <f t="shared" si="1190"/>
        <v>2.4606514499999999</v>
      </c>
      <c r="AZ95" s="1496">
        <f t="shared" si="1190"/>
        <v>2.4606514499999999</v>
      </c>
      <c r="BA95" s="1496">
        <f t="shared" si="1190"/>
        <v>2.4606514499999999</v>
      </c>
      <c r="BB95" s="1496">
        <f t="shared" si="1190"/>
        <v>2.4606514499999999</v>
      </c>
      <c r="BC95" s="1496">
        <f t="shared" si="1190"/>
        <v>2.4606514499999999</v>
      </c>
      <c r="BD95" s="1496">
        <f t="shared" si="1190"/>
        <v>2.4606514499999999</v>
      </c>
      <c r="BE95" s="1496">
        <f t="shared" si="1190"/>
        <v>2.4606514499999999</v>
      </c>
      <c r="BF95" s="1496">
        <f t="shared" si="1190"/>
        <v>2.4606514499999999</v>
      </c>
      <c r="BG95" s="1496">
        <f t="shared" si="1190"/>
        <v>2.4606514499999999</v>
      </c>
      <c r="BH95" s="1496">
        <f t="shared" si="1190"/>
        <v>2.4606514499999999</v>
      </c>
      <c r="BI95" s="1496">
        <f t="shared" si="1190"/>
        <v>2.4606514499999999</v>
      </c>
      <c r="BJ95" s="1496">
        <f t="shared" si="1190"/>
        <v>2.4606514499999999</v>
      </c>
      <c r="BK95" s="1496">
        <f t="shared" si="1190"/>
        <v>2.4606514499999999</v>
      </c>
      <c r="BL95" s="1496">
        <f t="shared" si="1190"/>
        <v>2.4606514499999999</v>
      </c>
      <c r="BM95" s="1496">
        <f t="shared" si="1190"/>
        <v>2.4606514499999999</v>
      </c>
      <c r="BN95" s="1496">
        <f t="shared" si="1190"/>
        <v>2.4606514499999999</v>
      </c>
      <c r="BO95" s="1496">
        <f t="shared" si="1190"/>
        <v>2.4606514499999999</v>
      </c>
      <c r="BP95" s="1496">
        <f t="shared" si="1190"/>
        <v>2.4606514499999999</v>
      </c>
      <c r="BQ95" s="1496">
        <f t="shared" si="1190"/>
        <v>2.4606514499999999</v>
      </c>
      <c r="BR95" s="1496">
        <f t="shared" si="1190"/>
        <v>2.4606514499999999</v>
      </c>
      <c r="BS95" s="1496">
        <f t="shared" si="1190"/>
        <v>2.4606514499999999</v>
      </c>
      <c r="BT95" s="1496">
        <f t="shared" si="1190"/>
        <v>2.4606514499999999</v>
      </c>
      <c r="BU95" s="1496">
        <f t="shared" si="1190"/>
        <v>2.4606514499999999</v>
      </c>
      <c r="BV95" s="1497"/>
      <c r="BW95" s="1496">
        <f t="shared" ref="BW95" si="1191">SUBTOTAL(9,BW96)</f>
        <v>0</v>
      </c>
      <c r="BX95" s="1496">
        <f t="shared" ref="BX95" si="1192">SUBTOTAL(9,BX96)</f>
        <v>0</v>
      </c>
      <c r="BY95" s="1496">
        <f t="shared" ref="BY95" si="1193">SUBTOTAL(9,BY96)</f>
        <v>0</v>
      </c>
      <c r="BZ95" s="1496">
        <f t="shared" ref="BZ95" si="1194">SUBTOTAL(9,BZ96)</f>
        <v>0</v>
      </c>
      <c r="CA95" s="1496">
        <f t="shared" ref="CA95" si="1195">SUBTOTAL(9,CA96)</f>
        <v>0</v>
      </c>
      <c r="CB95" s="1496">
        <f t="shared" ref="CB95" si="1196">SUBTOTAL(9,CB96)</f>
        <v>0</v>
      </c>
      <c r="CC95" s="1496">
        <f t="shared" ref="CC95" si="1197">SUBTOTAL(9,CC96)</f>
        <v>0</v>
      </c>
      <c r="CD95" s="1496">
        <f t="shared" ref="CD95" si="1198">SUBTOTAL(9,CD96)</f>
        <v>0</v>
      </c>
      <c r="CE95" s="1496">
        <f t="shared" ref="CE95" si="1199">SUBTOTAL(9,CE96)</f>
        <v>0</v>
      </c>
      <c r="CF95" s="1496">
        <f t="shared" ref="CF95" si="1200">SUBTOTAL(9,CF96)</f>
        <v>0</v>
      </c>
      <c r="CG95" s="1496">
        <f t="shared" ref="CG95" si="1201">SUBTOTAL(9,CG96)</f>
        <v>0</v>
      </c>
      <c r="CH95" s="1496">
        <f t="shared" ref="CH95" si="1202">SUBTOTAL(9,CH96)</f>
        <v>0</v>
      </c>
      <c r="CI95" s="1496">
        <f t="shared" ref="CI95" si="1203">SUBTOTAL(9,CI96)</f>
        <v>0</v>
      </c>
      <c r="CJ95" s="1496">
        <f t="shared" ref="CJ95" si="1204">SUBTOTAL(9,CJ96)</f>
        <v>0</v>
      </c>
      <c r="CK95" s="1496">
        <f t="shared" ref="CK95" si="1205">SUBTOTAL(9,CK96)</f>
        <v>0</v>
      </c>
      <c r="CL95" s="1496">
        <f t="shared" ref="CL95" si="1206">SUBTOTAL(9,CL96)</f>
        <v>0</v>
      </c>
      <c r="CM95" s="1496">
        <f t="shared" ref="CM95" si="1207">SUBTOTAL(9,CM96)</f>
        <v>0</v>
      </c>
      <c r="CN95" s="1496">
        <f t="shared" ref="CN95" si="1208">SUBTOTAL(9,CN96)</f>
        <v>0</v>
      </c>
      <c r="CO95" s="1496">
        <f t="shared" ref="CO95" si="1209">SUBTOTAL(9,CO96)</f>
        <v>0</v>
      </c>
      <c r="CP95" s="1496">
        <f t="shared" ref="CP95" si="1210">SUBTOTAL(9,CP96)</f>
        <v>0</v>
      </c>
      <c r="CQ95" s="1496">
        <f t="shared" ref="CQ95" si="1211">SUBTOTAL(9,CQ96)</f>
        <v>0</v>
      </c>
      <c r="CR95" s="1496">
        <f t="shared" ref="CR95" si="1212">SUBTOTAL(9,CR96)</f>
        <v>0</v>
      </c>
      <c r="CS95" s="1496">
        <f t="shared" ref="CS95" si="1213">SUBTOTAL(9,CS96)</f>
        <v>0</v>
      </c>
      <c r="CT95" s="1496">
        <f t="shared" ref="CT95" si="1214">SUBTOTAL(9,CT96)</f>
        <v>0</v>
      </c>
      <c r="CU95" s="1496">
        <f t="shared" ref="CU95:DA95" si="1215">SUBTOTAL(9,CU96)</f>
        <v>0</v>
      </c>
      <c r="CV95" s="1496">
        <f t="shared" si="1215"/>
        <v>0</v>
      </c>
      <c r="CW95" s="1496">
        <f t="shared" si="1215"/>
        <v>0</v>
      </c>
      <c r="CX95" s="1496">
        <f t="shared" si="1215"/>
        <v>0</v>
      </c>
      <c r="CY95" s="1496">
        <f t="shared" si="1215"/>
        <v>0</v>
      </c>
      <c r="CZ95" s="1496">
        <f t="shared" si="1215"/>
        <v>0</v>
      </c>
      <c r="DA95" s="1496">
        <f t="shared" si="1215"/>
        <v>0</v>
      </c>
      <c r="DB95" s="41"/>
      <c r="DC95" s="1496">
        <f t="shared" si="892"/>
        <v>73.819543499999995</v>
      </c>
      <c r="DD95" s="1496">
        <f t="shared" si="893"/>
        <v>2.4606514499999999</v>
      </c>
      <c r="DE95" s="1496">
        <f t="shared" si="894"/>
        <v>2.4606514499999999</v>
      </c>
      <c r="DF95" s="1496">
        <f t="shared" si="895"/>
        <v>2.4606514499999999</v>
      </c>
      <c r="DG95" s="1496">
        <f t="shared" si="896"/>
        <v>2.4606514499999999</v>
      </c>
      <c r="DH95" s="1496">
        <f t="shared" si="897"/>
        <v>2.4606514499999999</v>
      </c>
      <c r="DI95" s="1496">
        <f t="shared" si="898"/>
        <v>2.4606514499999999</v>
      </c>
      <c r="DJ95" s="1496">
        <f t="shared" si="899"/>
        <v>2.4606514499999999</v>
      </c>
      <c r="DK95" s="1496">
        <f t="shared" si="900"/>
        <v>2.4606514499999999</v>
      </c>
      <c r="DL95" s="1496">
        <f t="shared" si="901"/>
        <v>2.4606514499999999</v>
      </c>
      <c r="DM95" s="1496">
        <f t="shared" si="902"/>
        <v>2.4606514499999999</v>
      </c>
      <c r="DN95" s="1496">
        <f t="shared" si="903"/>
        <v>2.4606514499999999</v>
      </c>
      <c r="DO95" s="1496">
        <f t="shared" si="904"/>
        <v>2.4606514499999999</v>
      </c>
      <c r="DP95" s="1496">
        <f t="shared" si="905"/>
        <v>2.4606514499999999</v>
      </c>
      <c r="DQ95" s="1496">
        <f t="shared" si="906"/>
        <v>2.4606514499999999</v>
      </c>
      <c r="DR95" s="1496">
        <f t="shared" si="907"/>
        <v>2.4606514499999999</v>
      </c>
      <c r="DS95" s="1496">
        <f t="shared" si="908"/>
        <v>2.4606514499999999</v>
      </c>
      <c r="DT95" s="1496">
        <f t="shared" si="909"/>
        <v>2.4606514499999999</v>
      </c>
      <c r="DU95" s="1496">
        <f t="shared" si="910"/>
        <v>2.4606514499999999</v>
      </c>
      <c r="DV95" s="1496">
        <f t="shared" si="911"/>
        <v>2.4606514499999999</v>
      </c>
      <c r="DW95" s="1496">
        <f t="shared" si="912"/>
        <v>2.4606514499999999</v>
      </c>
      <c r="DX95" s="1496">
        <f t="shared" si="913"/>
        <v>2.4606514499999999</v>
      </c>
      <c r="DY95" s="1496">
        <f t="shared" si="914"/>
        <v>2.4606514499999999</v>
      </c>
      <c r="DZ95" s="1496">
        <f t="shared" si="915"/>
        <v>2.4606514499999999</v>
      </c>
      <c r="EA95" s="1496">
        <f t="shared" si="916"/>
        <v>2.4606514499999999</v>
      </c>
      <c r="EB95" s="1496">
        <f t="shared" si="917"/>
        <v>2.4606514499999999</v>
      </c>
      <c r="EC95" s="1496">
        <f t="shared" si="918"/>
        <v>2.4606514499999999</v>
      </c>
      <c r="ED95" s="1496">
        <f t="shared" si="919"/>
        <v>2.4606514499999999</v>
      </c>
      <c r="EE95" s="1496">
        <f t="shared" si="920"/>
        <v>2.4606514499999999</v>
      </c>
      <c r="EF95" s="1496">
        <f t="shared" si="921"/>
        <v>2.4606514499999999</v>
      </c>
      <c r="EG95" s="1496">
        <f t="shared" si="922"/>
        <v>2.4606514499999999</v>
      </c>
      <c r="EH95" s="41"/>
      <c r="EI95" s="41"/>
      <c r="EJ95" s="41"/>
      <c r="EK95" s="41"/>
    </row>
    <row r="96" spans="1:141" ht="12.75" customHeight="1">
      <c r="A96" s="595"/>
      <c r="B96" s="598"/>
      <c r="C96" s="599"/>
      <c r="E96" s="1498" t="s">
        <v>1686</v>
      </c>
      <c r="F96" s="867"/>
      <c r="G96" s="868"/>
      <c r="H96" s="867"/>
      <c r="I96" s="869"/>
      <c r="J96" s="869"/>
      <c r="K96" s="90"/>
      <c r="L96" s="1454">
        <v>1</v>
      </c>
      <c r="M96" s="1454">
        <v>1</v>
      </c>
      <c r="N96" s="1454">
        <v>1</v>
      </c>
      <c r="O96" s="1454">
        <v>1</v>
      </c>
      <c r="P96" s="1454">
        <v>1</v>
      </c>
      <c r="Q96" s="1454">
        <v>1</v>
      </c>
      <c r="R96" s="1454">
        <v>1</v>
      </c>
      <c r="S96" s="1454">
        <v>1</v>
      </c>
      <c r="T96" s="1454">
        <v>1</v>
      </c>
      <c r="U96" s="1454">
        <v>1</v>
      </c>
      <c r="V96" s="1454">
        <v>1</v>
      </c>
      <c r="W96" s="1454">
        <v>1</v>
      </c>
      <c r="X96" s="1454">
        <v>1</v>
      </c>
      <c r="Y96" s="1454">
        <v>1</v>
      </c>
      <c r="Z96" s="1454">
        <v>1</v>
      </c>
      <c r="AA96" s="1454">
        <v>1</v>
      </c>
      <c r="AB96" s="1454">
        <v>1</v>
      </c>
      <c r="AC96" s="1454">
        <v>1</v>
      </c>
      <c r="AD96" s="1454">
        <v>1</v>
      </c>
      <c r="AE96" s="1454">
        <v>1</v>
      </c>
      <c r="AF96" s="1454">
        <v>1</v>
      </c>
      <c r="AG96" s="1454">
        <v>1</v>
      </c>
      <c r="AH96" s="1454">
        <v>1</v>
      </c>
      <c r="AI96" s="1454">
        <v>1</v>
      </c>
      <c r="AJ96" s="1454">
        <v>1</v>
      </c>
      <c r="AK96" s="1454">
        <v>1</v>
      </c>
      <c r="AL96" s="1454">
        <v>1</v>
      </c>
      <c r="AM96" s="1454">
        <v>1</v>
      </c>
      <c r="AN96" s="1454">
        <v>1</v>
      </c>
      <c r="AO96" s="1454">
        <v>1</v>
      </c>
      <c r="AP96" s="1452"/>
      <c r="AQ96" s="871">
        <f>SUM(AR96:BU96)</f>
        <v>73.819543499999995</v>
      </c>
      <c r="AR96" s="871">
        <f>'Sistemas - Cotações'!$J$74/1000*L96</f>
        <v>2.4606514499999999</v>
      </c>
      <c r="AS96" s="871">
        <f>'Sistemas - Cotações'!$J$74/1000*M96</f>
        <v>2.4606514499999999</v>
      </c>
      <c r="AT96" s="871">
        <f>'Sistemas - Cotações'!$J$74/1000*N96</f>
        <v>2.4606514499999999</v>
      </c>
      <c r="AU96" s="871">
        <f>'Sistemas - Cotações'!$J$74/1000*O96</f>
        <v>2.4606514499999999</v>
      </c>
      <c r="AV96" s="871">
        <f>'Sistemas - Cotações'!$J$74/1000*P96</f>
        <v>2.4606514499999999</v>
      </c>
      <c r="AW96" s="871">
        <f>'Sistemas - Cotações'!$J$74/1000*Q96</f>
        <v>2.4606514499999999</v>
      </c>
      <c r="AX96" s="871">
        <f>'Sistemas - Cotações'!$J$74/1000*R96</f>
        <v>2.4606514499999999</v>
      </c>
      <c r="AY96" s="871">
        <f>'Sistemas - Cotações'!$J$74/1000*S96</f>
        <v>2.4606514499999999</v>
      </c>
      <c r="AZ96" s="871">
        <f>'Sistemas - Cotações'!$J$74/1000*T96</f>
        <v>2.4606514499999999</v>
      </c>
      <c r="BA96" s="871">
        <f>'Sistemas - Cotações'!$J$74/1000*U96</f>
        <v>2.4606514499999999</v>
      </c>
      <c r="BB96" s="871">
        <f>'Sistemas - Cotações'!$J$74/1000*V96</f>
        <v>2.4606514499999999</v>
      </c>
      <c r="BC96" s="871">
        <f>'Sistemas - Cotações'!$J$74/1000*W96</f>
        <v>2.4606514499999999</v>
      </c>
      <c r="BD96" s="871">
        <f>'Sistemas - Cotações'!$J$74/1000*X96</f>
        <v>2.4606514499999999</v>
      </c>
      <c r="BE96" s="871">
        <f>'Sistemas - Cotações'!$J$74/1000*Y96</f>
        <v>2.4606514499999999</v>
      </c>
      <c r="BF96" s="871">
        <f>'Sistemas - Cotações'!$J$74/1000*Z96</f>
        <v>2.4606514499999999</v>
      </c>
      <c r="BG96" s="871">
        <f>'Sistemas - Cotações'!$J$74/1000*AA96</f>
        <v>2.4606514499999999</v>
      </c>
      <c r="BH96" s="871">
        <f>'Sistemas - Cotações'!$J$74/1000*AB96</f>
        <v>2.4606514499999999</v>
      </c>
      <c r="BI96" s="871">
        <f>'Sistemas - Cotações'!$J$74/1000*AC96</f>
        <v>2.4606514499999999</v>
      </c>
      <c r="BJ96" s="871">
        <f>'Sistemas - Cotações'!$J$74/1000*AD96</f>
        <v>2.4606514499999999</v>
      </c>
      <c r="BK96" s="871">
        <f>'Sistemas - Cotações'!$J$74/1000*AE96</f>
        <v>2.4606514499999999</v>
      </c>
      <c r="BL96" s="871">
        <f>'Sistemas - Cotações'!$J$74/1000*AF96</f>
        <v>2.4606514499999999</v>
      </c>
      <c r="BM96" s="871">
        <f>'Sistemas - Cotações'!$J$74/1000*AG96</f>
        <v>2.4606514499999999</v>
      </c>
      <c r="BN96" s="871">
        <f>'Sistemas - Cotações'!$J$74/1000*AH96</f>
        <v>2.4606514499999999</v>
      </c>
      <c r="BO96" s="871">
        <f>'Sistemas - Cotações'!$J$74/1000*AI96</f>
        <v>2.4606514499999999</v>
      </c>
      <c r="BP96" s="871">
        <f>'Sistemas - Cotações'!$J$74/1000*AJ96</f>
        <v>2.4606514499999999</v>
      </c>
      <c r="BQ96" s="871">
        <f>'Sistemas - Cotações'!$J$74/1000*AK96</f>
        <v>2.4606514499999999</v>
      </c>
      <c r="BR96" s="871">
        <f>'Sistemas - Cotações'!$J$74/1000*AL96</f>
        <v>2.4606514499999999</v>
      </c>
      <c r="BS96" s="871">
        <f>'Sistemas - Cotações'!$J$74/1000*AM96</f>
        <v>2.4606514499999999</v>
      </c>
      <c r="BT96" s="871">
        <f>'Sistemas - Cotações'!$J$74/1000*AN96</f>
        <v>2.4606514499999999</v>
      </c>
      <c r="BU96" s="871">
        <f>'Sistemas - Cotações'!$J$74/1000*AO96</f>
        <v>2.4606514499999999</v>
      </c>
      <c r="BV96" s="1453"/>
      <c r="BW96" s="871">
        <f>SUM(BX96:DA96)</f>
        <v>0</v>
      </c>
      <c r="BX96" s="871"/>
      <c r="BY96" s="871"/>
      <c r="BZ96" s="871"/>
      <c r="CA96" s="871"/>
      <c r="CB96" s="871"/>
      <c r="CC96" s="871"/>
      <c r="CD96" s="871"/>
      <c r="CE96" s="871"/>
      <c r="CF96" s="871"/>
      <c r="CG96" s="871"/>
      <c r="CH96" s="871"/>
      <c r="CI96" s="871"/>
      <c r="CJ96" s="871"/>
      <c r="CK96" s="871"/>
      <c r="CL96" s="871"/>
      <c r="CM96" s="871"/>
      <c r="CN96" s="871"/>
      <c r="CO96" s="871"/>
      <c r="CP96" s="871"/>
      <c r="CQ96" s="871"/>
      <c r="CR96" s="871"/>
      <c r="CS96" s="871"/>
      <c r="CT96" s="871"/>
      <c r="CU96" s="871"/>
      <c r="CV96" s="871"/>
      <c r="CW96" s="871"/>
      <c r="CX96" s="871"/>
      <c r="CY96" s="871"/>
      <c r="CZ96" s="871"/>
      <c r="DA96" s="871"/>
      <c r="DB96" s="41"/>
      <c r="DC96" s="871">
        <f t="shared" si="892"/>
        <v>73.819543499999995</v>
      </c>
      <c r="DD96" s="871">
        <f t="shared" si="893"/>
        <v>2.4606514499999999</v>
      </c>
      <c r="DE96" s="871">
        <f t="shared" si="894"/>
        <v>2.4606514499999999</v>
      </c>
      <c r="DF96" s="871">
        <f t="shared" si="895"/>
        <v>2.4606514499999999</v>
      </c>
      <c r="DG96" s="871">
        <f t="shared" si="896"/>
        <v>2.4606514499999999</v>
      </c>
      <c r="DH96" s="871">
        <f t="shared" si="897"/>
        <v>2.4606514499999999</v>
      </c>
      <c r="DI96" s="871">
        <f t="shared" si="898"/>
        <v>2.4606514499999999</v>
      </c>
      <c r="DJ96" s="871">
        <f t="shared" si="899"/>
        <v>2.4606514499999999</v>
      </c>
      <c r="DK96" s="871">
        <f t="shared" si="900"/>
        <v>2.4606514499999999</v>
      </c>
      <c r="DL96" s="871">
        <f t="shared" si="901"/>
        <v>2.4606514499999999</v>
      </c>
      <c r="DM96" s="871">
        <f t="shared" si="902"/>
        <v>2.4606514499999999</v>
      </c>
      <c r="DN96" s="871">
        <f t="shared" si="903"/>
        <v>2.4606514499999999</v>
      </c>
      <c r="DO96" s="871">
        <f t="shared" si="904"/>
        <v>2.4606514499999999</v>
      </c>
      <c r="DP96" s="871">
        <f t="shared" si="905"/>
        <v>2.4606514499999999</v>
      </c>
      <c r="DQ96" s="871">
        <f t="shared" si="906"/>
        <v>2.4606514499999999</v>
      </c>
      <c r="DR96" s="871">
        <f t="shared" si="907"/>
        <v>2.4606514499999999</v>
      </c>
      <c r="DS96" s="871">
        <f t="shared" si="908"/>
        <v>2.4606514499999999</v>
      </c>
      <c r="DT96" s="871">
        <f t="shared" si="909"/>
        <v>2.4606514499999999</v>
      </c>
      <c r="DU96" s="871">
        <f t="shared" si="910"/>
        <v>2.4606514499999999</v>
      </c>
      <c r="DV96" s="871">
        <f t="shared" si="911"/>
        <v>2.4606514499999999</v>
      </c>
      <c r="DW96" s="871">
        <f t="shared" si="912"/>
        <v>2.4606514499999999</v>
      </c>
      <c r="DX96" s="871">
        <f t="shared" si="913"/>
        <v>2.4606514499999999</v>
      </c>
      <c r="DY96" s="871">
        <f t="shared" si="914"/>
        <v>2.4606514499999999</v>
      </c>
      <c r="DZ96" s="871">
        <f t="shared" si="915"/>
        <v>2.4606514499999999</v>
      </c>
      <c r="EA96" s="871">
        <f t="shared" si="916"/>
        <v>2.4606514499999999</v>
      </c>
      <c r="EB96" s="871">
        <f t="shared" si="917"/>
        <v>2.4606514499999999</v>
      </c>
      <c r="EC96" s="871">
        <f t="shared" si="918"/>
        <v>2.4606514499999999</v>
      </c>
      <c r="ED96" s="871">
        <f t="shared" si="919"/>
        <v>2.4606514499999999</v>
      </c>
      <c r="EE96" s="871">
        <f t="shared" si="920"/>
        <v>2.4606514499999999</v>
      </c>
      <c r="EF96" s="871">
        <f t="shared" si="921"/>
        <v>2.4606514499999999</v>
      </c>
      <c r="EG96" s="871">
        <f t="shared" si="922"/>
        <v>2.4606514499999999</v>
      </c>
      <c r="EH96" s="41"/>
      <c r="EI96" s="41"/>
      <c r="EJ96" s="41"/>
      <c r="EK96" s="41"/>
    </row>
    <row r="97" spans="1:141">
      <c r="A97" s="595"/>
      <c r="B97" s="598"/>
      <c r="C97" s="599"/>
      <c r="D97" s="29">
        <v>2</v>
      </c>
      <c r="E97" s="1489"/>
      <c r="F97" s="867"/>
      <c r="G97" s="868"/>
      <c r="H97" s="867"/>
      <c r="I97" s="869"/>
      <c r="J97" s="869"/>
      <c r="K97" s="90"/>
      <c r="L97" s="1454"/>
      <c r="M97" s="1454"/>
      <c r="N97" s="1454"/>
      <c r="O97" s="1454"/>
      <c r="P97" s="1454"/>
      <c r="Q97" s="1454"/>
      <c r="R97" s="1454"/>
      <c r="S97" s="1454"/>
      <c r="T97" s="1454"/>
      <c r="U97" s="1454"/>
      <c r="V97" s="1454"/>
      <c r="W97" s="1454"/>
      <c r="X97" s="1454"/>
      <c r="Y97" s="1454"/>
      <c r="Z97" s="1454"/>
      <c r="AA97" s="1454"/>
      <c r="AB97" s="1454"/>
      <c r="AC97" s="1454"/>
      <c r="AD97" s="1454"/>
      <c r="AE97" s="1454"/>
      <c r="AF97" s="1454"/>
      <c r="AG97" s="1454"/>
      <c r="AH97" s="1454"/>
      <c r="AI97" s="1454"/>
      <c r="AJ97" s="1454"/>
      <c r="AK97" s="1454"/>
      <c r="AL97" s="1454"/>
      <c r="AM97" s="1454"/>
      <c r="AN97" s="1454"/>
      <c r="AO97" s="1454"/>
      <c r="AP97" s="1452"/>
      <c r="AQ97" s="1496"/>
      <c r="AR97" s="1496"/>
      <c r="AS97" s="1496"/>
      <c r="AT97" s="1496"/>
      <c r="AU97" s="1496"/>
      <c r="AV97" s="1496"/>
      <c r="AW97" s="1496"/>
      <c r="AX97" s="1496"/>
      <c r="AY97" s="1496"/>
      <c r="AZ97" s="1496"/>
      <c r="BA97" s="1496"/>
      <c r="BB97" s="1496"/>
      <c r="BC97" s="1496"/>
      <c r="BD97" s="1496"/>
      <c r="BE97" s="1496"/>
      <c r="BF97" s="1496"/>
      <c r="BG97" s="1496"/>
      <c r="BH97" s="1496"/>
      <c r="BI97" s="1496"/>
      <c r="BJ97" s="1496"/>
      <c r="BK97" s="1496"/>
      <c r="BL97" s="1496"/>
      <c r="BM97" s="1496"/>
      <c r="BN97" s="1496"/>
      <c r="BO97" s="1496"/>
      <c r="BP97" s="1496"/>
      <c r="BQ97" s="1496"/>
      <c r="BR97" s="1496"/>
      <c r="BS97" s="1496"/>
      <c r="BT97" s="1496"/>
      <c r="BU97" s="1496"/>
      <c r="BV97" s="1497"/>
      <c r="BW97" s="1496">
        <f t="shared" ref="BW97" si="1216">SUBTOTAL(9,BW98)</f>
        <v>0</v>
      </c>
      <c r="BX97" s="1496">
        <f t="shared" ref="BX97" si="1217">SUBTOTAL(9,BX98)</f>
        <v>0</v>
      </c>
      <c r="BY97" s="1496">
        <f t="shared" ref="BY97" si="1218">SUBTOTAL(9,BY98)</f>
        <v>0</v>
      </c>
      <c r="BZ97" s="1496">
        <f t="shared" ref="BZ97" si="1219">SUBTOTAL(9,BZ98)</f>
        <v>0</v>
      </c>
      <c r="CA97" s="1496">
        <f t="shared" ref="CA97" si="1220">SUBTOTAL(9,CA98)</f>
        <v>0</v>
      </c>
      <c r="CB97" s="1496">
        <f t="shared" ref="CB97" si="1221">SUBTOTAL(9,CB98)</f>
        <v>0</v>
      </c>
      <c r="CC97" s="1496">
        <f t="shared" ref="CC97" si="1222">SUBTOTAL(9,CC98)</f>
        <v>0</v>
      </c>
      <c r="CD97" s="1496">
        <f t="shared" ref="CD97" si="1223">SUBTOTAL(9,CD98)</f>
        <v>0</v>
      </c>
      <c r="CE97" s="1496">
        <f t="shared" ref="CE97" si="1224">SUBTOTAL(9,CE98)</f>
        <v>0</v>
      </c>
      <c r="CF97" s="1496">
        <f t="shared" ref="CF97" si="1225">SUBTOTAL(9,CF98)</f>
        <v>0</v>
      </c>
      <c r="CG97" s="1496">
        <f t="shared" ref="CG97" si="1226">SUBTOTAL(9,CG98)</f>
        <v>0</v>
      </c>
      <c r="CH97" s="1496">
        <f t="shared" ref="CH97" si="1227">SUBTOTAL(9,CH98)</f>
        <v>0</v>
      </c>
      <c r="CI97" s="1496">
        <f t="shared" ref="CI97" si="1228">SUBTOTAL(9,CI98)</f>
        <v>0</v>
      </c>
      <c r="CJ97" s="1496">
        <f t="shared" ref="CJ97" si="1229">SUBTOTAL(9,CJ98)</f>
        <v>0</v>
      </c>
      <c r="CK97" s="1496">
        <f t="shared" ref="CK97" si="1230">SUBTOTAL(9,CK98)</f>
        <v>0</v>
      </c>
      <c r="CL97" s="1496">
        <f t="shared" ref="CL97" si="1231">SUBTOTAL(9,CL98)</f>
        <v>0</v>
      </c>
      <c r="CM97" s="1496">
        <f t="shared" ref="CM97" si="1232">SUBTOTAL(9,CM98)</f>
        <v>0</v>
      </c>
      <c r="CN97" s="1496">
        <f t="shared" ref="CN97" si="1233">SUBTOTAL(9,CN98)</f>
        <v>0</v>
      </c>
      <c r="CO97" s="1496">
        <f t="shared" ref="CO97" si="1234">SUBTOTAL(9,CO98)</f>
        <v>0</v>
      </c>
      <c r="CP97" s="1496">
        <f t="shared" ref="CP97" si="1235">SUBTOTAL(9,CP98)</f>
        <v>0</v>
      </c>
      <c r="CQ97" s="1496">
        <f t="shared" ref="CQ97" si="1236">SUBTOTAL(9,CQ98)</f>
        <v>0</v>
      </c>
      <c r="CR97" s="1496">
        <f t="shared" ref="CR97" si="1237">SUBTOTAL(9,CR98)</f>
        <v>0</v>
      </c>
      <c r="CS97" s="1496">
        <f t="shared" ref="CS97" si="1238">SUBTOTAL(9,CS98)</f>
        <v>0</v>
      </c>
      <c r="CT97" s="1496">
        <f t="shared" ref="CT97" si="1239">SUBTOTAL(9,CT98)</f>
        <v>0</v>
      </c>
      <c r="CU97" s="1496">
        <f t="shared" ref="CU97:DA97" si="1240">SUBTOTAL(9,CU98)</f>
        <v>0</v>
      </c>
      <c r="CV97" s="1496">
        <f t="shared" si="1240"/>
        <v>0</v>
      </c>
      <c r="CW97" s="1496">
        <f t="shared" si="1240"/>
        <v>0</v>
      </c>
      <c r="CX97" s="1496">
        <f t="shared" si="1240"/>
        <v>0</v>
      </c>
      <c r="CY97" s="1496">
        <f t="shared" si="1240"/>
        <v>0</v>
      </c>
      <c r="CZ97" s="1496">
        <f t="shared" si="1240"/>
        <v>0</v>
      </c>
      <c r="DA97" s="1496">
        <f t="shared" si="1240"/>
        <v>0</v>
      </c>
      <c r="DB97" s="41"/>
      <c r="DC97" s="1496">
        <f t="shared" si="892"/>
        <v>0</v>
      </c>
      <c r="DD97" s="1496">
        <f t="shared" si="893"/>
        <v>0</v>
      </c>
      <c r="DE97" s="1496">
        <f t="shared" si="894"/>
        <v>0</v>
      </c>
      <c r="DF97" s="1496">
        <f t="shared" si="895"/>
        <v>0</v>
      </c>
      <c r="DG97" s="1496">
        <f t="shared" si="896"/>
        <v>0</v>
      </c>
      <c r="DH97" s="1496">
        <f t="shared" si="897"/>
        <v>0</v>
      </c>
      <c r="DI97" s="1496">
        <f t="shared" si="898"/>
        <v>0</v>
      </c>
      <c r="DJ97" s="1496">
        <f t="shared" si="899"/>
        <v>0</v>
      </c>
      <c r="DK97" s="1496">
        <f t="shared" si="900"/>
        <v>0</v>
      </c>
      <c r="DL97" s="1496">
        <f t="shared" si="901"/>
        <v>0</v>
      </c>
      <c r="DM97" s="1496">
        <f t="shared" si="902"/>
        <v>0</v>
      </c>
      <c r="DN97" s="1496">
        <f t="shared" si="903"/>
        <v>0</v>
      </c>
      <c r="DO97" s="1496">
        <f t="shared" si="904"/>
        <v>0</v>
      </c>
      <c r="DP97" s="1496">
        <f t="shared" si="905"/>
        <v>0</v>
      </c>
      <c r="DQ97" s="1496">
        <f t="shared" si="906"/>
        <v>0</v>
      </c>
      <c r="DR97" s="1496">
        <f t="shared" si="907"/>
        <v>0</v>
      </c>
      <c r="DS97" s="1496">
        <f t="shared" si="908"/>
        <v>0</v>
      </c>
      <c r="DT97" s="1496">
        <f t="shared" si="909"/>
        <v>0</v>
      </c>
      <c r="DU97" s="1496">
        <f t="shared" si="910"/>
        <v>0</v>
      </c>
      <c r="DV97" s="1496">
        <f t="shared" si="911"/>
        <v>0</v>
      </c>
      <c r="DW97" s="1496">
        <f t="shared" si="912"/>
        <v>0</v>
      </c>
      <c r="DX97" s="1496">
        <f t="shared" si="913"/>
        <v>0</v>
      </c>
      <c r="DY97" s="1496">
        <f t="shared" si="914"/>
        <v>0</v>
      </c>
      <c r="DZ97" s="1496">
        <f t="shared" si="915"/>
        <v>0</v>
      </c>
      <c r="EA97" s="1496">
        <f t="shared" si="916"/>
        <v>0</v>
      </c>
      <c r="EB97" s="1496">
        <f t="shared" si="917"/>
        <v>0</v>
      </c>
      <c r="EC97" s="1496">
        <f t="shared" si="918"/>
        <v>0</v>
      </c>
      <c r="ED97" s="1496">
        <f t="shared" si="919"/>
        <v>0</v>
      </c>
      <c r="EE97" s="1496">
        <f t="shared" si="920"/>
        <v>0</v>
      </c>
      <c r="EF97" s="1496">
        <f t="shared" si="921"/>
        <v>0</v>
      </c>
      <c r="EG97" s="1496">
        <f t="shared" si="922"/>
        <v>0</v>
      </c>
      <c r="EH97" s="41"/>
      <c r="EI97" s="41"/>
      <c r="EJ97" s="41"/>
      <c r="EK97" s="41"/>
    </row>
    <row r="98" spans="1:141">
      <c r="A98" s="595"/>
      <c r="B98" s="598"/>
      <c r="C98" s="599"/>
      <c r="E98" s="1440"/>
      <c r="F98" s="867"/>
      <c r="G98" s="868"/>
      <c r="H98" s="867"/>
      <c r="I98" s="869"/>
      <c r="J98" s="869"/>
      <c r="K98" s="76"/>
      <c r="L98" s="1479">
        <v>0</v>
      </c>
      <c r="M98" s="1479">
        <v>0</v>
      </c>
      <c r="N98" s="1479">
        <v>0</v>
      </c>
      <c r="O98" s="1479">
        <v>0</v>
      </c>
      <c r="P98" s="1479">
        <v>0</v>
      </c>
      <c r="Q98" s="1479">
        <v>0</v>
      </c>
      <c r="R98" s="1479">
        <v>0</v>
      </c>
      <c r="S98" s="1479">
        <v>0</v>
      </c>
      <c r="T98" s="1479">
        <v>0</v>
      </c>
      <c r="U98" s="1479">
        <v>0</v>
      </c>
      <c r="V98" s="1479">
        <v>0</v>
      </c>
      <c r="W98" s="1479">
        <v>0</v>
      </c>
      <c r="X98" s="1479">
        <v>0</v>
      </c>
      <c r="Y98" s="1479">
        <v>0</v>
      </c>
      <c r="Z98" s="1479">
        <v>0</v>
      </c>
      <c r="AA98" s="1479">
        <v>0</v>
      </c>
      <c r="AB98" s="1479">
        <v>0</v>
      </c>
      <c r="AC98" s="1479">
        <v>0</v>
      </c>
      <c r="AD98" s="1479">
        <v>0</v>
      </c>
      <c r="AE98" s="1479">
        <v>0</v>
      </c>
      <c r="AF98" s="1479">
        <v>0</v>
      </c>
      <c r="AG98" s="1479">
        <v>0</v>
      </c>
      <c r="AH98" s="1479">
        <v>0</v>
      </c>
      <c r="AI98" s="1479">
        <v>0</v>
      </c>
      <c r="AJ98" s="1479">
        <v>0</v>
      </c>
      <c r="AK98" s="1479">
        <v>0</v>
      </c>
      <c r="AL98" s="1479">
        <v>0</v>
      </c>
      <c r="AM98" s="1479">
        <v>0</v>
      </c>
      <c r="AN98" s="1479">
        <v>0</v>
      </c>
      <c r="AO98" s="1479">
        <v>0</v>
      </c>
      <c r="AP98" s="77"/>
      <c r="AQ98" s="871"/>
      <c r="AR98" s="871"/>
      <c r="AS98" s="871"/>
      <c r="AT98" s="871"/>
      <c r="AU98" s="871"/>
      <c r="AV98" s="871"/>
      <c r="AW98" s="871"/>
      <c r="AX98" s="871"/>
      <c r="AY98" s="871"/>
      <c r="AZ98" s="871"/>
      <c r="BA98" s="871"/>
      <c r="BB98" s="871"/>
      <c r="BC98" s="871"/>
      <c r="BD98" s="871"/>
      <c r="BE98" s="871"/>
      <c r="BF98" s="871"/>
      <c r="BG98" s="871"/>
      <c r="BH98" s="871"/>
      <c r="BI98" s="871"/>
      <c r="BJ98" s="871"/>
      <c r="BK98" s="871"/>
      <c r="BL98" s="871"/>
      <c r="BM98" s="871"/>
      <c r="BN98" s="871"/>
      <c r="BO98" s="871"/>
      <c r="BP98" s="871"/>
      <c r="BQ98" s="871"/>
      <c r="BR98" s="871"/>
      <c r="BS98" s="871"/>
      <c r="BT98" s="871"/>
      <c r="BU98" s="871"/>
      <c r="BV98" s="1453"/>
      <c r="BW98" s="871">
        <f>SUM(BX98:DA98)</f>
        <v>0</v>
      </c>
      <c r="BX98" s="871"/>
      <c r="BY98" s="871"/>
      <c r="BZ98" s="871"/>
      <c r="CA98" s="871"/>
      <c r="CB98" s="871"/>
      <c r="CC98" s="871"/>
      <c r="CD98" s="871"/>
      <c r="CE98" s="871"/>
      <c r="CF98" s="871"/>
      <c r="CG98" s="871"/>
      <c r="CH98" s="871"/>
      <c r="CI98" s="871"/>
      <c r="CJ98" s="871"/>
      <c r="CK98" s="871"/>
      <c r="CL98" s="871"/>
      <c r="CM98" s="871"/>
      <c r="CN98" s="871"/>
      <c r="CO98" s="871"/>
      <c r="CP98" s="871"/>
      <c r="CQ98" s="871"/>
      <c r="CR98" s="871"/>
      <c r="CS98" s="871"/>
      <c r="CT98" s="871"/>
      <c r="CU98" s="871"/>
      <c r="CV98" s="871"/>
      <c r="CW98" s="871"/>
      <c r="CX98" s="871"/>
      <c r="CY98" s="871"/>
      <c r="CZ98" s="871"/>
      <c r="DA98" s="871"/>
      <c r="DB98" s="41"/>
      <c r="DC98" s="871">
        <f t="shared" si="892"/>
        <v>0</v>
      </c>
      <c r="DD98" s="871">
        <f t="shared" si="893"/>
        <v>0</v>
      </c>
      <c r="DE98" s="871">
        <f t="shared" si="894"/>
        <v>0</v>
      </c>
      <c r="DF98" s="871">
        <f t="shared" si="895"/>
        <v>0</v>
      </c>
      <c r="DG98" s="871">
        <f t="shared" si="896"/>
        <v>0</v>
      </c>
      <c r="DH98" s="871">
        <f t="shared" si="897"/>
        <v>0</v>
      </c>
      <c r="DI98" s="871">
        <f t="shared" si="898"/>
        <v>0</v>
      </c>
      <c r="DJ98" s="871">
        <f t="shared" si="899"/>
        <v>0</v>
      </c>
      <c r="DK98" s="871">
        <f t="shared" si="900"/>
        <v>0</v>
      </c>
      <c r="DL98" s="871">
        <f t="shared" si="901"/>
        <v>0</v>
      </c>
      <c r="DM98" s="871">
        <f t="shared" si="902"/>
        <v>0</v>
      </c>
      <c r="DN98" s="871">
        <f t="shared" si="903"/>
        <v>0</v>
      </c>
      <c r="DO98" s="871">
        <f t="shared" si="904"/>
        <v>0</v>
      </c>
      <c r="DP98" s="871">
        <f t="shared" si="905"/>
        <v>0</v>
      </c>
      <c r="DQ98" s="871">
        <f t="shared" si="906"/>
        <v>0</v>
      </c>
      <c r="DR98" s="871">
        <f t="shared" si="907"/>
        <v>0</v>
      </c>
      <c r="DS98" s="871">
        <f t="shared" si="908"/>
        <v>0</v>
      </c>
      <c r="DT98" s="871">
        <f t="shared" si="909"/>
        <v>0</v>
      </c>
      <c r="DU98" s="871">
        <f t="shared" si="910"/>
        <v>0</v>
      </c>
      <c r="DV98" s="871">
        <f t="shared" si="911"/>
        <v>0</v>
      </c>
      <c r="DW98" s="871">
        <f t="shared" si="912"/>
        <v>0</v>
      </c>
      <c r="DX98" s="871">
        <f t="shared" si="913"/>
        <v>0</v>
      </c>
      <c r="DY98" s="871">
        <f t="shared" si="914"/>
        <v>0</v>
      </c>
      <c r="DZ98" s="871">
        <f t="shared" si="915"/>
        <v>0</v>
      </c>
      <c r="EA98" s="871">
        <f t="shared" si="916"/>
        <v>0</v>
      </c>
      <c r="EB98" s="871">
        <f t="shared" si="917"/>
        <v>0</v>
      </c>
      <c r="EC98" s="871">
        <f t="shared" si="918"/>
        <v>0</v>
      </c>
      <c r="ED98" s="871">
        <f t="shared" si="919"/>
        <v>0</v>
      </c>
      <c r="EE98" s="871">
        <f t="shared" si="920"/>
        <v>0</v>
      </c>
      <c r="EF98" s="871">
        <f t="shared" si="921"/>
        <v>0</v>
      </c>
      <c r="EG98" s="871">
        <f t="shared" si="922"/>
        <v>0</v>
      </c>
      <c r="EH98" s="41"/>
      <c r="EI98" s="41"/>
      <c r="EJ98" s="41"/>
      <c r="EK98" s="41"/>
    </row>
    <row r="99" spans="1:141" ht="12.75" customHeight="1">
      <c r="A99" s="595"/>
      <c r="B99" s="598"/>
      <c r="C99" s="599"/>
      <c r="D99" s="29">
        <v>2</v>
      </c>
      <c r="E99" s="1489" t="s">
        <v>1688</v>
      </c>
      <c r="F99" s="867"/>
      <c r="G99" s="868"/>
      <c r="H99" s="867"/>
      <c r="I99" s="869"/>
      <c r="J99" s="869"/>
      <c r="K99" s="76"/>
      <c r="L99" s="1479"/>
      <c r="M99" s="1479"/>
      <c r="N99" s="1479"/>
      <c r="O99" s="1479"/>
      <c r="P99" s="1479"/>
      <c r="Q99" s="1479"/>
      <c r="R99" s="1479"/>
      <c r="S99" s="1479"/>
      <c r="T99" s="1479"/>
      <c r="U99" s="1479"/>
      <c r="V99" s="1479"/>
      <c r="W99" s="1479"/>
      <c r="X99" s="1479"/>
      <c r="Y99" s="1479"/>
      <c r="Z99" s="1479"/>
      <c r="AA99" s="1479"/>
      <c r="AB99" s="1479"/>
      <c r="AC99" s="1479"/>
      <c r="AD99" s="1479"/>
      <c r="AE99" s="1479"/>
      <c r="AF99" s="1479"/>
      <c r="AG99" s="1479"/>
      <c r="AH99" s="1479"/>
      <c r="AI99" s="1479"/>
      <c r="AJ99" s="1479"/>
      <c r="AK99" s="1479"/>
      <c r="AL99" s="1479"/>
      <c r="AM99" s="1479"/>
      <c r="AN99" s="1479"/>
      <c r="AO99" s="1479"/>
      <c r="AP99" s="1452"/>
      <c r="AQ99" s="1496">
        <f>SUBTOTAL(9,AQ100:AQ105)</f>
        <v>0</v>
      </c>
      <c r="AR99" s="1496">
        <f>SUBTOTAL(9,AR100:AR105)</f>
        <v>0</v>
      </c>
      <c r="AS99" s="1496">
        <f t="shared" ref="AS99:BU99" si="1241">SUBTOTAL(9,AS100:AS105)</f>
        <v>0</v>
      </c>
      <c r="AT99" s="1496">
        <f t="shared" si="1241"/>
        <v>0</v>
      </c>
      <c r="AU99" s="1496">
        <f t="shared" si="1241"/>
        <v>0</v>
      </c>
      <c r="AV99" s="1496">
        <f t="shared" si="1241"/>
        <v>0</v>
      </c>
      <c r="AW99" s="1496">
        <f t="shared" si="1241"/>
        <v>0</v>
      </c>
      <c r="AX99" s="1496">
        <f t="shared" si="1241"/>
        <v>0</v>
      </c>
      <c r="AY99" s="1496">
        <f t="shared" si="1241"/>
        <v>0</v>
      </c>
      <c r="AZ99" s="1496">
        <f t="shared" si="1241"/>
        <v>0</v>
      </c>
      <c r="BA99" s="1496">
        <f t="shared" si="1241"/>
        <v>0</v>
      </c>
      <c r="BB99" s="1496">
        <f t="shared" si="1241"/>
        <v>0</v>
      </c>
      <c r="BC99" s="1496">
        <f t="shared" si="1241"/>
        <v>0</v>
      </c>
      <c r="BD99" s="1496">
        <f t="shared" si="1241"/>
        <v>0</v>
      </c>
      <c r="BE99" s="1496">
        <f t="shared" si="1241"/>
        <v>0</v>
      </c>
      <c r="BF99" s="1496">
        <f t="shared" si="1241"/>
        <v>0</v>
      </c>
      <c r="BG99" s="1496">
        <f t="shared" si="1241"/>
        <v>0</v>
      </c>
      <c r="BH99" s="1496">
        <f t="shared" si="1241"/>
        <v>0</v>
      </c>
      <c r="BI99" s="1496">
        <f t="shared" si="1241"/>
        <v>0</v>
      </c>
      <c r="BJ99" s="1496">
        <f t="shared" si="1241"/>
        <v>0</v>
      </c>
      <c r="BK99" s="1496">
        <f t="shared" si="1241"/>
        <v>0</v>
      </c>
      <c r="BL99" s="1496">
        <f t="shared" si="1241"/>
        <v>0</v>
      </c>
      <c r="BM99" s="1496">
        <f t="shared" si="1241"/>
        <v>0</v>
      </c>
      <c r="BN99" s="1496">
        <f t="shared" si="1241"/>
        <v>0</v>
      </c>
      <c r="BO99" s="1496">
        <f t="shared" si="1241"/>
        <v>0</v>
      </c>
      <c r="BP99" s="1496">
        <f t="shared" si="1241"/>
        <v>0</v>
      </c>
      <c r="BQ99" s="1496">
        <f t="shared" si="1241"/>
        <v>0</v>
      </c>
      <c r="BR99" s="1496">
        <f t="shared" si="1241"/>
        <v>0</v>
      </c>
      <c r="BS99" s="1496">
        <f t="shared" si="1241"/>
        <v>0</v>
      </c>
      <c r="BT99" s="1496">
        <f t="shared" si="1241"/>
        <v>0</v>
      </c>
      <c r="BU99" s="1496">
        <f t="shared" si="1241"/>
        <v>0</v>
      </c>
      <c r="BV99" s="1453"/>
      <c r="BW99" s="1496">
        <f t="shared" ref="BW99" si="1242">SUBTOTAL(9,BW100:BW102)</f>
        <v>0</v>
      </c>
      <c r="BX99" s="1496">
        <f t="shared" ref="BX99" si="1243">SUBTOTAL(9,BX100:BX102)</f>
        <v>0</v>
      </c>
      <c r="BY99" s="1496">
        <f t="shared" ref="BY99" si="1244">SUBTOTAL(9,BY100:BY102)</f>
        <v>0</v>
      </c>
      <c r="BZ99" s="1496">
        <f t="shared" ref="BZ99" si="1245">SUBTOTAL(9,BZ100:BZ102)</f>
        <v>0</v>
      </c>
      <c r="CA99" s="1496">
        <f t="shared" ref="CA99" si="1246">SUBTOTAL(9,CA100:CA102)</f>
        <v>0</v>
      </c>
      <c r="CB99" s="1496">
        <f t="shared" ref="CB99" si="1247">SUBTOTAL(9,CB100:CB102)</f>
        <v>0</v>
      </c>
      <c r="CC99" s="1496">
        <f t="shared" ref="CC99" si="1248">SUBTOTAL(9,CC100:CC102)</f>
        <v>0</v>
      </c>
      <c r="CD99" s="1496">
        <f t="shared" ref="CD99" si="1249">SUBTOTAL(9,CD100:CD102)</f>
        <v>0</v>
      </c>
      <c r="CE99" s="1496">
        <f t="shared" ref="CE99" si="1250">SUBTOTAL(9,CE100:CE102)</f>
        <v>0</v>
      </c>
      <c r="CF99" s="1496">
        <f t="shared" ref="CF99" si="1251">SUBTOTAL(9,CF100:CF102)</f>
        <v>0</v>
      </c>
      <c r="CG99" s="1496">
        <f t="shared" ref="CG99" si="1252">SUBTOTAL(9,CG100:CG102)</f>
        <v>0</v>
      </c>
      <c r="CH99" s="1496">
        <f t="shared" ref="CH99" si="1253">SUBTOTAL(9,CH100:CH102)</f>
        <v>0</v>
      </c>
      <c r="CI99" s="1496">
        <f t="shared" ref="CI99" si="1254">SUBTOTAL(9,CI100:CI102)</f>
        <v>0</v>
      </c>
      <c r="CJ99" s="1496">
        <f t="shared" ref="CJ99" si="1255">SUBTOTAL(9,CJ100:CJ102)</f>
        <v>0</v>
      </c>
      <c r="CK99" s="1496">
        <f t="shared" ref="CK99" si="1256">SUBTOTAL(9,CK100:CK102)</f>
        <v>0</v>
      </c>
      <c r="CL99" s="1496">
        <f t="shared" ref="CL99" si="1257">SUBTOTAL(9,CL100:CL102)</f>
        <v>0</v>
      </c>
      <c r="CM99" s="1496">
        <f t="shared" ref="CM99" si="1258">SUBTOTAL(9,CM100:CM102)</f>
        <v>0</v>
      </c>
      <c r="CN99" s="1496">
        <f t="shared" ref="CN99" si="1259">SUBTOTAL(9,CN100:CN102)</f>
        <v>0</v>
      </c>
      <c r="CO99" s="1496">
        <f t="shared" ref="CO99" si="1260">SUBTOTAL(9,CO100:CO102)</f>
        <v>0</v>
      </c>
      <c r="CP99" s="1496">
        <f t="shared" ref="CP99" si="1261">SUBTOTAL(9,CP100:CP102)</f>
        <v>0</v>
      </c>
      <c r="CQ99" s="1496">
        <f t="shared" ref="CQ99" si="1262">SUBTOTAL(9,CQ100:CQ102)</f>
        <v>0</v>
      </c>
      <c r="CR99" s="1496">
        <f t="shared" ref="CR99" si="1263">SUBTOTAL(9,CR100:CR102)</f>
        <v>0</v>
      </c>
      <c r="CS99" s="1496">
        <f t="shared" ref="CS99" si="1264">SUBTOTAL(9,CS100:CS102)</f>
        <v>0</v>
      </c>
      <c r="CT99" s="1496">
        <f t="shared" ref="CT99" si="1265">SUBTOTAL(9,CT100:CT102)</f>
        <v>0</v>
      </c>
      <c r="CU99" s="1496">
        <f t="shared" ref="CU99:DA99" si="1266">SUBTOTAL(9,CU100:CU102)</f>
        <v>0</v>
      </c>
      <c r="CV99" s="1496">
        <f t="shared" si="1266"/>
        <v>0</v>
      </c>
      <c r="CW99" s="1496">
        <f t="shared" si="1266"/>
        <v>0</v>
      </c>
      <c r="CX99" s="1496">
        <f t="shared" si="1266"/>
        <v>0</v>
      </c>
      <c r="CY99" s="1496">
        <f t="shared" si="1266"/>
        <v>0</v>
      </c>
      <c r="CZ99" s="1496">
        <f t="shared" si="1266"/>
        <v>0</v>
      </c>
      <c r="DA99" s="1496">
        <f t="shared" si="1266"/>
        <v>0</v>
      </c>
      <c r="DB99" s="41"/>
      <c r="DC99" s="1496">
        <f t="shared" si="892"/>
        <v>0</v>
      </c>
      <c r="DD99" s="1496">
        <f t="shared" si="893"/>
        <v>0</v>
      </c>
      <c r="DE99" s="1496">
        <f t="shared" si="894"/>
        <v>0</v>
      </c>
      <c r="DF99" s="1496">
        <f t="shared" si="895"/>
        <v>0</v>
      </c>
      <c r="DG99" s="1496">
        <f t="shared" si="896"/>
        <v>0</v>
      </c>
      <c r="DH99" s="1496">
        <f t="shared" si="897"/>
        <v>0</v>
      </c>
      <c r="DI99" s="1496">
        <f t="shared" si="898"/>
        <v>0</v>
      </c>
      <c r="DJ99" s="1496">
        <f t="shared" si="899"/>
        <v>0</v>
      </c>
      <c r="DK99" s="1496">
        <f t="shared" si="900"/>
        <v>0</v>
      </c>
      <c r="DL99" s="1496">
        <f t="shared" si="901"/>
        <v>0</v>
      </c>
      <c r="DM99" s="1496">
        <f t="shared" si="902"/>
        <v>0</v>
      </c>
      <c r="DN99" s="1496">
        <f t="shared" si="903"/>
        <v>0</v>
      </c>
      <c r="DO99" s="1496">
        <f t="shared" si="904"/>
        <v>0</v>
      </c>
      <c r="DP99" s="1496">
        <f t="shared" si="905"/>
        <v>0</v>
      </c>
      <c r="DQ99" s="1496">
        <f t="shared" si="906"/>
        <v>0</v>
      </c>
      <c r="DR99" s="1496">
        <f t="shared" si="907"/>
        <v>0</v>
      </c>
      <c r="DS99" s="1496">
        <f t="shared" si="908"/>
        <v>0</v>
      </c>
      <c r="DT99" s="1496">
        <f t="shared" si="909"/>
        <v>0</v>
      </c>
      <c r="DU99" s="1496">
        <f t="shared" si="910"/>
        <v>0</v>
      </c>
      <c r="DV99" s="1496">
        <f t="shared" si="911"/>
        <v>0</v>
      </c>
      <c r="DW99" s="1496">
        <f t="shared" si="912"/>
        <v>0</v>
      </c>
      <c r="DX99" s="1496">
        <f t="shared" si="913"/>
        <v>0</v>
      </c>
      <c r="DY99" s="1496">
        <f t="shared" si="914"/>
        <v>0</v>
      </c>
      <c r="DZ99" s="1496">
        <f t="shared" si="915"/>
        <v>0</v>
      </c>
      <c r="EA99" s="1496">
        <f t="shared" si="916"/>
        <v>0</v>
      </c>
      <c r="EB99" s="1496">
        <f t="shared" si="917"/>
        <v>0</v>
      </c>
      <c r="EC99" s="1496">
        <f t="shared" si="918"/>
        <v>0</v>
      </c>
      <c r="ED99" s="1496">
        <f t="shared" si="919"/>
        <v>0</v>
      </c>
      <c r="EE99" s="1496">
        <f t="shared" si="920"/>
        <v>0</v>
      </c>
      <c r="EF99" s="1496">
        <f t="shared" si="921"/>
        <v>0</v>
      </c>
      <c r="EG99" s="1496">
        <f t="shared" si="922"/>
        <v>0</v>
      </c>
      <c r="EH99" s="41"/>
      <c r="EI99" s="41"/>
      <c r="EJ99" s="41"/>
      <c r="EK99" s="41"/>
    </row>
    <row r="100" spans="1:141" ht="12.75" customHeight="1">
      <c r="A100" s="595"/>
      <c r="B100" s="598"/>
      <c r="C100" s="599"/>
      <c r="E100" s="1500" t="s">
        <v>1689</v>
      </c>
      <c r="F100" s="867"/>
      <c r="G100" s="868"/>
      <c r="H100" s="867"/>
      <c r="I100" s="869"/>
      <c r="J100" s="869"/>
      <c r="K100" s="76"/>
      <c r="L100" s="1455">
        <v>21</v>
      </c>
      <c r="M100" s="1455">
        <v>21</v>
      </c>
      <c r="N100" s="1455">
        <v>21</v>
      </c>
      <c r="O100" s="1455">
        <v>21</v>
      </c>
      <c r="P100" s="1455">
        <v>21</v>
      </c>
      <c r="Q100" s="1455">
        <v>21</v>
      </c>
      <c r="R100" s="1455">
        <v>21</v>
      </c>
      <c r="S100" s="1455">
        <v>21</v>
      </c>
      <c r="T100" s="1455">
        <v>21</v>
      </c>
      <c r="U100" s="1455">
        <v>21</v>
      </c>
      <c r="V100" s="1455">
        <v>21</v>
      </c>
      <c r="W100" s="1455">
        <v>21</v>
      </c>
      <c r="X100" s="1455">
        <v>21</v>
      </c>
      <c r="Y100" s="1455">
        <v>21</v>
      </c>
      <c r="Z100" s="1455">
        <v>21</v>
      </c>
      <c r="AA100" s="1455">
        <v>21</v>
      </c>
      <c r="AB100" s="1455">
        <v>21</v>
      </c>
      <c r="AC100" s="1455">
        <v>21</v>
      </c>
      <c r="AD100" s="1455">
        <v>21</v>
      </c>
      <c r="AE100" s="1455">
        <v>21</v>
      </c>
      <c r="AF100" s="1455">
        <v>21</v>
      </c>
      <c r="AG100" s="1455">
        <v>21</v>
      </c>
      <c r="AH100" s="1455">
        <v>21</v>
      </c>
      <c r="AI100" s="1455">
        <v>21</v>
      </c>
      <c r="AJ100" s="1455">
        <v>21</v>
      </c>
      <c r="AK100" s="1455">
        <v>21</v>
      </c>
      <c r="AL100" s="1455">
        <v>21</v>
      </c>
      <c r="AM100" s="1455">
        <v>21</v>
      </c>
      <c r="AN100" s="1455">
        <v>21</v>
      </c>
      <c r="AO100" s="1455">
        <v>21</v>
      </c>
      <c r="AP100" s="77"/>
      <c r="AQ100" s="871">
        <f>SUM(AR100:BU100)</f>
        <v>0</v>
      </c>
      <c r="AR100" s="871">
        <f t="shared" ref="AR100:BA102" si="1267">VLOOKUP($E100,Par,6,0)*L100/1000</f>
        <v>0</v>
      </c>
      <c r="AS100" s="871">
        <f t="shared" si="1267"/>
        <v>0</v>
      </c>
      <c r="AT100" s="871">
        <f t="shared" si="1267"/>
        <v>0</v>
      </c>
      <c r="AU100" s="871">
        <f t="shared" si="1267"/>
        <v>0</v>
      </c>
      <c r="AV100" s="871">
        <f t="shared" si="1267"/>
        <v>0</v>
      </c>
      <c r="AW100" s="871">
        <f t="shared" si="1267"/>
        <v>0</v>
      </c>
      <c r="AX100" s="871">
        <f t="shared" si="1267"/>
        <v>0</v>
      </c>
      <c r="AY100" s="871">
        <f t="shared" si="1267"/>
        <v>0</v>
      </c>
      <c r="AZ100" s="871">
        <f t="shared" si="1267"/>
        <v>0</v>
      </c>
      <c r="BA100" s="871">
        <f t="shared" si="1267"/>
        <v>0</v>
      </c>
      <c r="BB100" s="871">
        <f t="shared" ref="BB100:BK102" si="1268">VLOOKUP($E100,Par,6,0)*V100/1000</f>
        <v>0</v>
      </c>
      <c r="BC100" s="871">
        <f t="shared" si="1268"/>
        <v>0</v>
      </c>
      <c r="BD100" s="871">
        <f t="shared" si="1268"/>
        <v>0</v>
      </c>
      <c r="BE100" s="871">
        <f t="shared" si="1268"/>
        <v>0</v>
      </c>
      <c r="BF100" s="871">
        <f t="shared" si="1268"/>
        <v>0</v>
      </c>
      <c r="BG100" s="871">
        <f t="shared" si="1268"/>
        <v>0</v>
      </c>
      <c r="BH100" s="871">
        <f t="shared" si="1268"/>
        <v>0</v>
      </c>
      <c r="BI100" s="871">
        <f t="shared" si="1268"/>
        <v>0</v>
      </c>
      <c r="BJ100" s="871">
        <f t="shared" si="1268"/>
        <v>0</v>
      </c>
      <c r="BK100" s="871">
        <f t="shared" si="1268"/>
        <v>0</v>
      </c>
      <c r="BL100" s="871">
        <f t="shared" ref="BL100:BU102" si="1269">VLOOKUP($E100,Par,6,0)*AF100/1000</f>
        <v>0</v>
      </c>
      <c r="BM100" s="871">
        <f t="shared" si="1269"/>
        <v>0</v>
      </c>
      <c r="BN100" s="871">
        <f t="shared" si="1269"/>
        <v>0</v>
      </c>
      <c r="BO100" s="871">
        <f t="shared" si="1269"/>
        <v>0</v>
      </c>
      <c r="BP100" s="871">
        <f t="shared" si="1269"/>
        <v>0</v>
      </c>
      <c r="BQ100" s="871">
        <f t="shared" si="1269"/>
        <v>0</v>
      </c>
      <c r="BR100" s="871">
        <f t="shared" si="1269"/>
        <v>0</v>
      </c>
      <c r="BS100" s="871">
        <f t="shared" si="1269"/>
        <v>0</v>
      </c>
      <c r="BT100" s="871">
        <f t="shared" si="1269"/>
        <v>0</v>
      </c>
      <c r="BU100" s="871">
        <f t="shared" si="1269"/>
        <v>0</v>
      </c>
      <c r="BV100" s="1453"/>
      <c r="BW100" s="871">
        <f>SUM(BX100:DA100)</f>
        <v>0</v>
      </c>
      <c r="BX100" s="871"/>
      <c r="BY100" s="871"/>
      <c r="BZ100" s="871"/>
      <c r="CA100" s="871"/>
      <c r="CB100" s="871"/>
      <c r="CC100" s="871"/>
      <c r="CD100" s="871"/>
      <c r="CE100" s="871"/>
      <c r="CF100" s="871"/>
      <c r="CG100" s="871"/>
      <c r="CH100" s="871"/>
      <c r="CI100" s="871"/>
      <c r="CJ100" s="871"/>
      <c r="CK100" s="871"/>
      <c r="CL100" s="871"/>
      <c r="CM100" s="871"/>
      <c r="CN100" s="871"/>
      <c r="CO100" s="871"/>
      <c r="CP100" s="871"/>
      <c r="CQ100" s="871"/>
      <c r="CR100" s="871"/>
      <c r="CS100" s="871"/>
      <c r="CT100" s="871"/>
      <c r="CU100" s="871"/>
      <c r="CV100" s="871"/>
      <c r="CW100" s="871"/>
      <c r="CX100" s="871"/>
      <c r="CY100" s="871"/>
      <c r="CZ100" s="871"/>
      <c r="DA100" s="871"/>
      <c r="DB100" s="41"/>
      <c r="DC100" s="871">
        <f t="shared" si="892"/>
        <v>0</v>
      </c>
      <c r="DD100" s="871">
        <f t="shared" si="893"/>
        <v>0</v>
      </c>
      <c r="DE100" s="871">
        <f t="shared" si="894"/>
        <v>0</v>
      </c>
      <c r="DF100" s="871">
        <f t="shared" si="895"/>
        <v>0</v>
      </c>
      <c r="DG100" s="871">
        <f t="shared" si="896"/>
        <v>0</v>
      </c>
      <c r="DH100" s="871">
        <f t="shared" si="897"/>
        <v>0</v>
      </c>
      <c r="DI100" s="871">
        <f t="shared" si="898"/>
        <v>0</v>
      </c>
      <c r="DJ100" s="871">
        <f t="shared" si="899"/>
        <v>0</v>
      </c>
      <c r="DK100" s="871">
        <f t="shared" si="900"/>
        <v>0</v>
      </c>
      <c r="DL100" s="871">
        <f t="shared" si="901"/>
        <v>0</v>
      </c>
      <c r="DM100" s="871">
        <f t="shared" si="902"/>
        <v>0</v>
      </c>
      <c r="DN100" s="871">
        <f t="shared" si="903"/>
        <v>0</v>
      </c>
      <c r="DO100" s="871">
        <f t="shared" si="904"/>
        <v>0</v>
      </c>
      <c r="DP100" s="871">
        <f t="shared" si="905"/>
        <v>0</v>
      </c>
      <c r="DQ100" s="871">
        <f t="shared" si="906"/>
        <v>0</v>
      </c>
      <c r="DR100" s="871">
        <f t="shared" si="907"/>
        <v>0</v>
      </c>
      <c r="DS100" s="871">
        <f t="shared" si="908"/>
        <v>0</v>
      </c>
      <c r="DT100" s="871">
        <f t="shared" si="909"/>
        <v>0</v>
      </c>
      <c r="DU100" s="871">
        <f t="shared" si="910"/>
        <v>0</v>
      </c>
      <c r="DV100" s="871">
        <f t="shared" si="911"/>
        <v>0</v>
      </c>
      <c r="DW100" s="871">
        <f t="shared" si="912"/>
        <v>0</v>
      </c>
      <c r="DX100" s="871">
        <f t="shared" si="913"/>
        <v>0</v>
      </c>
      <c r="DY100" s="871">
        <f t="shared" si="914"/>
        <v>0</v>
      </c>
      <c r="DZ100" s="871">
        <f t="shared" si="915"/>
        <v>0</v>
      </c>
      <c r="EA100" s="871">
        <f t="shared" si="916"/>
        <v>0</v>
      </c>
      <c r="EB100" s="871">
        <f t="shared" si="917"/>
        <v>0</v>
      </c>
      <c r="EC100" s="871">
        <f t="shared" si="918"/>
        <v>0</v>
      </c>
      <c r="ED100" s="871">
        <f t="shared" si="919"/>
        <v>0</v>
      </c>
      <c r="EE100" s="871">
        <f t="shared" si="920"/>
        <v>0</v>
      </c>
      <c r="EF100" s="871">
        <f t="shared" si="921"/>
        <v>0</v>
      </c>
      <c r="EG100" s="871">
        <f t="shared" si="922"/>
        <v>0</v>
      </c>
      <c r="EH100" s="41"/>
      <c r="EI100" s="41"/>
      <c r="EJ100" s="41"/>
      <c r="EK100" s="41"/>
    </row>
    <row r="101" spans="1:141" ht="12.75" customHeight="1">
      <c r="A101" s="595"/>
      <c r="B101" s="598"/>
      <c r="C101" s="599"/>
      <c r="E101" s="1500" t="s">
        <v>1690</v>
      </c>
      <c r="F101" s="867"/>
      <c r="G101" s="868"/>
      <c r="H101" s="867"/>
      <c r="I101" s="869"/>
      <c r="J101" s="869"/>
      <c r="K101" s="76"/>
      <c r="L101" s="1455">
        <v>50.333333333333336</v>
      </c>
      <c r="M101" s="1455">
        <v>50.333333333333336</v>
      </c>
      <c r="N101" s="1455">
        <v>50.333333333333336</v>
      </c>
      <c r="O101" s="1455">
        <v>50.333333333333336</v>
      </c>
      <c r="P101" s="1455">
        <v>50.333333333333336</v>
      </c>
      <c r="Q101" s="1455">
        <v>50.333333333333336</v>
      </c>
      <c r="R101" s="1455">
        <v>50.333333333333336</v>
      </c>
      <c r="S101" s="1455">
        <v>50.333333333333336</v>
      </c>
      <c r="T101" s="1455">
        <v>50.333333333333336</v>
      </c>
      <c r="U101" s="1455">
        <v>50.333333333333336</v>
      </c>
      <c r="V101" s="1455">
        <v>50.333333333333336</v>
      </c>
      <c r="W101" s="1455">
        <v>50.333333333333336</v>
      </c>
      <c r="X101" s="1455">
        <v>50.333333333333336</v>
      </c>
      <c r="Y101" s="1455">
        <v>50.333333333333336</v>
      </c>
      <c r="Z101" s="1455">
        <v>50.333333333333336</v>
      </c>
      <c r="AA101" s="1455">
        <v>50.333333333333336</v>
      </c>
      <c r="AB101" s="1455">
        <v>50.333333333333336</v>
      </c>
      <c r="AC101" s="1455">
        <v>50.333333333333336</v>
      </c>
      <c r="AD101" s="1455">
        <v>50.333333333333336</v>
      </c>
      <c r="AE101" s="1455">
        <v>50.333333333333336</v>
      </c>
      <c r="AF101" s="1455">
        <v>50.333333333333336</v>
      </c>
      <c r="AG101" s="1455">
        <v>50.333333333333336</v>
      </c>
      <c r="AH101" s="1455">
        <v>50.333333333333336</v>
      </c>
      <c r="AI101" s="1455">
        <v>50.333333333333336</v>
      </c>
      <c r="AJ101" s="1455">
        <v>50.333333333333336</v>
      </c>
      <c r="AK101" s="1455">
        <v>50.333333333333336</v>
      </c>
      <c r="AL101" s="1455">
        <v>50.333333333333336</v>
      </c>
      <c r="AM101" s="1455">
        <v>50.333333333333336</v>
      </c>
      <c r="AN101" s="1455">
        <v>50.333333333333336</v>
      </c>
      <c r="AO101" s="1455">
        <v>50.333333333333336</v>
      </c>
      <c r="AP101" s="77"/>
      <c r="AQ101" s="871">
        <f>SUM(AR101:BU101)</f>
        <v>0</v>
      </c>
      <c r="AR101" s="871">
        <f t="shared" si="1267"/>
        <v>0</v>
      </c>
      <c r="AS101" s="871">
        <f t="shared" si="1267"/>
        <v>0</v>
      </c>
      <c r="AT101" s="871">
        <f t="shared" si="1267"/>
        <v>0</v>
      </c>
      <c r="AU101" s="871">
        <f t="shared" si="1267"/>
        <v>0</v>
      </c>
      <c r="AV101" s="871">
        <f t="shared" si="1267"/>
        <v>0</v>
      </c>
      <c r="AW101" s="871">
        <f t="shared" si="1267"/>
        <v>0</v>
      </c>
      <c r="AX101" s="871">
        <f t="shared" si="1267"/>
        <v>0</v>
      </c>
      <c r="AY101" s="871">
        <f t="shared" si="1267"/>
        <v>0</v>
      </c>
      <c r="AZ101" s="871">
        <f t="shared" si="1267"/>
        <v>0</v>
      </c>
      <c r="BA101" s="871">
        <f t="shared" si="1267"/>
        <v>0</v>
      </c>
      <c r="BB101" s="871">
        <f t="shared" si="1268"/>
        <v>0</v>
      </c>
      <c r="BC101" s="871">
        <f t="shared" si="1268"/>
        <v>0</v>
      </c>
      <c r="BD101" s="871">
        <f t="shared" si="1268"/>
        <v>0</v>
      </c>
      <c r="BE101" s="871">
        <f t="shared" si="1268"/>
        <v>0</v>
      </c>
      <c r="BF101" s="871">
        <f t="shared" si="1268"/>
        <v>0</v>
      </c>
      <c r="BG101" s="871">
        <f t="shared" si="1268"/>
        <v>0</v>
      </c>
      <c r="BH101" s="871">
        <f t="shared" si="1268"/>
        <v>0</v>
      </c>
      <c r="BI101" s="871">
        <f t="shared" si="1268"/>
        <v>0</v>
      </c>
      <c r="BJ101" s="871">
        <f t="shared" si="1268"/>
        <v>0</v>
      </c>
      <c r="BK101" s="871">
        <f t="shared" si="1268"/>
        <v>0</v>
      </c>
      <c r="BL101" s="871">
        <f t="shared" si="1269"/>
        <v>0</v>
      </c>
      <c r="BM101" s="871">
        <f t="shared" si="1269"/>
        <v>0</v>
      </c>
      <c r="BN101" s="871">
        <f t="shared" si="1269"/>
        <v>0</v>
      </c>
      <c r="BO101" s="871">
        <f t="shared" si="1269"/>
        <v>0</v>
      </c>
      <c r="BP101" s="871">
        <f t="shared" si="1269"/>
        <v>0</v>
      </c>
      <c r="BQ101" s="871">
        <f t="shared" si="1269"/>
        <v>0</v>
      </c>
      <c r="BR101" s="871">
        <f t="shared" si="1269"/>
        <v>0</v>
      </c>
      <c r="BS101" s="871">
        <f t="shared" si="1269"/>
        <v>0</v>
      </c>
      <c r="BT101" s="871">
        <f t="shared" si="1269"/>
        <v>0</v>
      </c>
      <c r="BU101" s="871">
        <f t="shared" si="1269"/>
        <v>0</v>
      </c>
      <c r="BV101" s="1453"/>
      <c r="BW101" s="871">
        <f>SUM(BX101:DA101)</f>
        <v>0</v>
      </c>
      <c r="BX101" s="871"/>
      <c r="BY101" s="871"/>
      <c r="BZ101" s="871"/>
      <c r="CA101" s="871"/>
      <c r="CB101" s="871"/>
      <c r="CC101" s="871"/>
      <c r="CD101" s="871"/>
      <c r="CE101" s="871"/>
      <c r="CF101" s="871"/>
      <c r="CG101" s="871"/>
      <c r="CH101" s="871"/>
      <c r="CI101" s="871"/>
      <c r="CJ101" s="871"/>
      <c r="CK101" s="871"/>
      <c r="CL101" s="871"/>
      <c r="CM101" s="871"/>
      <c r="CN101" s="871"/>
      <c r="CO101" s="871"/>
      <c r="CP101" s="871"/>
      <c r="CQ101" s="871"/>
      <c r="CR101" s="871"/>
      <c r="CS101" s="871"/>
      <c r="CT101" s="871"/>
      <c r="CU101" s="871"/>
      <c r="CV101" s="871"/>
      <c r="CW101" s="871"/>
      <c r="CX101" s="871"/>
      <c r="CY101" s="871"/>
      <c r="CZ101" s="871"/>
      <c r="DA101" s="871"/>
      <c r="DB101" s="41"/>
      <c r="DC101" s="871">
        <f t="shared" si="892"/>
        <v>0</v>
      </c>
      <c r="DD101" s="871">
        <f t="shared" si="893"/>
        <v>0</v>
      </c>
      <c r="DE101" s="871">
        <f t="shared" si="894"/>
        <v>0</v>
      </c>
      <c r="DF101" s="871">
        <f t="shared" si="895"/>
        <v>0</v>
      </c>
      <c r="DG101" s="871">
        <f t="shared" si="896"/>
        <v>0</v>
      </c>
      <c r="DH101" s="871">
        <f t="shared" si="897"/>
        <v>0</v>
      </c>
      <c r="DI101" s="871">
        <f t="shared" si="898"/>
        <v>0</v>
      </c>
      <c r="DJ101" s="871">
        <f t="shared" si="899"/>
        <v>0</v>
      </c>
      <c r="DK101" s="871">
        <f t="shared" si="900"/>
        <v>0</v>
      </c>
      <c r="DL101" s="871">
        <f t="shared" si="901"/>
        <v>0</v>
      </c>
      <c r="DM101" s="871">
        <f t="shared" si="902"/>
        <v>0</v>
      </c>
      <c r="DN101" s="871">
        <f t="shared" si="903"/>
        <v>0</v>
      </c>
      <c r="DO101" s="871">
        <f t="shared" si="904"/>
        <v>0</v>
      </c>
      <c r="DP101" s="871">
        <f t="shared" si="905"/>
        <v>0</v>
      </c>
      <c r="DQ101" s="871">
        <f t="shared" si="906"/>
        <v>0</v>
      </c>
      <c r="DR101" s="871">
        <f t="shared" si="907"/>
        <v>0</v>
      </c>
      <c r="DS101" s="871">
        <f t="shared" si="908"/>
        <v>0</v>
      </c>
      <c r="DT101" s="871">
        <f t="shared" si="909"/>
        <v>0</v>
      </c>
      <c r="DU101" s="871">
        <f t="shared" si="910"/>
        <v>0</v>
      </c>
      <c r="DV101" s="871">
        <f t="shared" si="911"/>
        <v>0</v>
      </c>
      <c r="DW101" s="871">
        <f t="shared" si="912"/>
        <v>0</v>
      </c>
      <c r="DX101" s="871">
        <f t="shared" si="913"/>
        <v>0</v>
      </c>
      <c r="DY101" s="871">
        <f t="shared" si="914"/>
        <v>0</v>
      </c>
      <c r="DZ101" s="871">
        <f t="shared" si="915"/>
        <v>0</v>
      </c>
      <c r="EA101" s="871">
        <f t="shared" si="916"/>
        <v>0</v>
      </c>
      <c r="EB101" s="871">
        <f t="shared" si="917"/>
        <v>0</v>
      </c>
      <c r="EC101" s="871">
        <f t="shared" si="918"/>
        <v>0</v>
      </c>
      <c r="ED101" s="871">
        <f t="shared" si="919"/>
        <v>0</v>
      </c>
      <c r="EE101" s="871">
        <f t="shared" si="920"/>
        <v>0</v>
      </c>
      <c r="EF101" s="871">
        <f t="shared" si="921"/>
        <v>0</v>
      </c>
      <c r="EG101" s="871">
        <f t="shared" si="922"/>
        <v>0</v>
      </c>
      <c r="EH101" s="41"/>
      <c r="EI101" s="41"/>
      <c r="EJ101" s="41"/>
      <c r="EK101" s="41"/>
    </row>
    <row r="102" spans="1:141" ht="14.25" customHeight="1">
      <c r="A102" s="595"/>
      <c r="B102" s="598"/>
      <c r="C102" s="599"/>
      <c r="E102" s="1500" t="s">
        <v>1691</v>
      </c>
      <c r="F102" s="867"/>
      <c r="G102" s="868"/>
      <c r="H102" s="867"/>
      <c r="I102" s="869"/>
      <c r="J102" s="869"/>
      <c r="K102" s="76"/>
      <c r="L102" s="1455">
        <v>47</v>
      </c>
      <c r="M102" s="1455">
        <v>47</v>
      </c>
      <c r="N102" s="1455">
        <v>47</v>
      </c>
      <c r="O102" s="1455">
        <v>47</v>
      </c>
      <c r="P102" s="1455">
        <v>47</v>
      </c>
      <c r="Q102" s="1455">
        <v>47</v>
      </c>
      <c r="R102" s="1455">
        <v>47</v>
      </c>
      <c r="S102" s="1455">
        <v>47</v>
      </c>
      <c r="T102" s="1455">
        <v>47</v>
      </c>
      <c r="U102" s="1455">
        <v>47</v>
      </c>
      <c r="V102" s="1455">
        <v>47</v>
      </c>
      <c r="W102" s="1455">
        <v>47</v>
      </c>
      <c r="X102" s="1455">
        <v>47</v>
      </c>
      <c r="Y102" s="1455">
        <v>47</v>
      </c>
      <c r="Z102" s="1455">
        <v>47</v>
      </c>
      <c r="AA102" s="1455">
        <v>47</v>
      </c>
      <c r="AB102" s="1455">
        <v>47</v>
      </c>
      <c r="AC102" s="1455">
        <v>47</v>
      </c>
      <c r="AD102" s="1455">
        <v>47</v>
      </c>
      <c r="AE102" s="1455">
        <v>47</v>
      </c>
      <c r="AF102" s="1455">
        <v>47</v>
      </c>
      <c r="AG102" s="1455">
        <v>47</v>
      </c>
      <c r="AH102" s="1455">
        <v>47</v>
      </c>
      <c r="AI102" s="1455">
        <v>47</v>
      </c>
      <c r="AJ102" s="1455">
        <v>47</v>
      </c>
      <c r="AK102" s="1455">
        <v>47</v>
      </c>
      <c r="AL102" s="1455">
        <v>47</v>
      </c>
      <c r="AM102" s="1455">
        <v>47</v>
      </c>
      <c r="AN102" s="1455">
        <v>47</v>
      </c>
      <c r="AO102" s="1455">
        <v>47</v>
      </c>
      <c r="AP102" s="77"/>
      <c r="AQ102" s="871">
        <f>SUM(AR102:BU102)</f>
        <v>0</v>
      </c>
      <c r="AR102" s="871">
        <f t="shared" si="1267"/>
        <v>0</v>
      </c>
      <c r="AS102" s="871">
        <f t="shared" si="1267"/>
        <v>0</v>
      </c>
      <c r="AT102" s="871">
        <f t="shared" si="1267"/>
        <v>0</v>
      </c>
      <c r="AU102" s="871">
        <f t="shared" si="1267"/>
        <v>0</v>
      </c>
      <c r="AV102" s="871">
        <f t="shared" si="1267"/>
        <v>0</v>
      </c>
      <c r="AW102" s="871">
        <f t="shared" si="1267"/>
        <v>0</v>
      </c>
      <c r="AX102" s="871">
        <f t="shared" si="1267"/>
        <v>0</v>
      </c>
      <c r="AY102" s="871">
        <f t="shared" si="1267"/>
        <v>0</v>
      </c>
      <c r="AZ102" s="871">
        <f t="shared" si="1267"/>
        <v>0</v>
      </c>
      <c r="BA102" s="871">
        <f t="shared" si="1267"/>
        <v>0</v>
      </c>
      <c r="BB102" s="871">
        <f t="shared" si="1268"/>
        <v>0</v>
      </c>
      <c r="BC102" s="871">
        <f t="shared" si="1268"/>
        <v>0</v>
      </c>
      <c r="BD102" s="871">
        <f t="shared" si="1268"/>
        <v>0</v>
      </c>
      <c r="BE102" s="871">
        <f t="shared" si="1268"/>
        <v>0</v>
      </c>
      <c r="BF102" s="871">
        <f t="shared" si="1268"/>
        <v>0</v>
      </c>
      <c r="BG102" s="871">
        <f t="shared" si="1268"/>
        <v>0</v>
      </c>
      <c r="BH102" s="871">
        <f t="shared" si="1268"/>
        <v>0</v>
      </c>
      <c r="BI102" s="871">
        <f t="shared" si="1268"/>
        <v>0</v>
      </c>
      <c r="BJ102" s="871">
        <f t="shared" si="1268"/>
        <v>0</v>
      </c>
      <c r="BK102" s="871">
        <f t="shared" si="1268"/>
        <v>0</v>
      </c>
      <c r="BL102" s="871">
        <f t="shared" si="1269"/>
        <v>0</v>
      </c>
      <c r="BM102" s="871">
        <f t="shared" si="1269"/>
        <v>0</v>
      </c>
      <c r="BN102" s="871">
        <f t="shared" si="1269"/>
        <v>0</v>
      </c>
      <c r="BO102" s="871">
        <f t="shared" si="1269"/>
        <v>0</v>
      </c>
      <c r="BP102" s="871">
        <f t="shared" si="1269"/>
        <v>0</v>
      </c>
      <c r="BQ102" s="871">
        <f t="shared" si="1269"/>
        <v>0</v>
      </c>
      <c r="BR102" s="871">
        <f t="shared" si="1269"/>
        <v>0</v>
      </c>
      <c r="BS102" s="871">
        <f t="shared" si="1269"/>
        <v>0</v>
      </c>
      <c r="BT102" s="871">
        <f t="shared" si="1269"/>
        <v>0</v>
      </c>
      <c r="BU102" s="871">
        <f t="shared" si="1269"/>
        <v>0</v>
      </c>
      <c r="BV102" s="1453"/>
      <c r="BW102" s="871">
        <f>SUM(BX102:DA102)</f>
        <v>0</v>
      </c>
      <c r="BX102" s="871"/>
      <c r="BY102" s="871"/>
      <c r="BZ102" s="871"/>
      <c r="CA102" s="871"/>
      <c r="CB102" s="871"/>
      <c r="CC102" s="871"/>
      <c r="CD102" s="871"/>
      <c r="CE102" s="871"/>
      <c r="CF102" s="871"/>
      <c r="CG102" s="871"/>
      <c r="CH102" s="871"/>
      <c r="CI102" s="871"/>
      <c r="CJ102" s="871"/>
      <c r="CK102" s="871"/>
      <c r="CL102" s="871"/>
      <c r="CM102" s="871"/>
      <c r="CN102" s="871"/>
      <c r="CO102" s="871"/>
      <c r="CP102" s="871"/>
      <c r="CQ102" s="871"/>
      <c r="CR102" s="871"/>
      <c r="CS102" s="871"/>
      <c r="CT102" s="871"/>
      <c r="CU102" s="871"/>
      <c r="CV102" s="871"/>
      <c r="CW102" s="871"/>
      <c r="CX102" s="871"/>
      <c r="CY102" s="871"/>
      <c r="CZ102" s="871"/>
      <c r="DA102" s="871"/>
      <c r="DB102" s="41"/>
      <c r="DC102" s="871">
        <f t="shared" si="892"/>
        <v>0</v>
      </c>
      <c r="DD102" s="871">
        <f t="shared" si="893"/>
        <v>0</v>
      </c>
      <c r="DE102" s="871">
        <f t="shared" si="894"/>
        <v>0</v>
      </c>
      <c r="DF102" s="871">
        <f t="shared" si="895"/>
        <v>0</v>
      </c>
      <c r="DG102" s="871">
        <f t="shared" si="896"/>
        <v>0</v>
      </c>
      <c r="DH102" s="871">
        <f t="shared" si="897"/>
        <v>0</v>
      </c>
      <c r="DI102" s="871">
        <f t="shared" si="898"/>
        <v>0</v>
      </c>
      <c r="DJ102" s="871">
        <f t="shared" si="899"/>
        <v>0</v>
      </c>
      <c r="DK102" s="871">
        <f t="shared" si="900"/>
        <v>0</v>
      </c>
      <c r="DL102" s="871">
        <f t="shared" si="901"/>
        <v>0</v>
      </c>
      <c r="DM102" s="871">
        <f t="shared" si="902"/>
        <v>0</v>
      </c>
      <c r="DN102" s="871">
        <f t="shared" si="903"/>
        <v>0</v>
      </c>
      <c r="DO102" s="871">
        <f t="shared" si="904"/>
        <v>0</v>
      </c>
      <c r="DP102" s="871">
        <f t="shared" si="905"/>
        <v>0</v>
      </c>
      <c r="DQ102" s="871">
        <f t="shared" si="906"/>
        <v>0</v>
      </c>
      <c r="DR102" s="871">
        <f t="shared" si="907"/>
        <v>0</v>
      </c>
      <c r="DS102" s="871">
        <f t="shared" si="908"/>
        <v>0</v>
      </c>
      <c r="DT102" s="871">
        <f t="shared" si="909"/>
        <v>0</v>
      </c>
      <c r="DU102" s="871">
        <f t="shared" si="910"/>
        <v>0</v>
      </c>
      <c r="DV102" s="871">
        <f t="shared" si="911"/>
        <v>0</v>
      </c>
      <c r="DW102" s="871">
        <f t="shared" si="912"/>
        <v>0</v>
      </c>
      <c r="DX102" s="871">
        <f t="shared" si="913"/>
        <v>0</v>
      </c>
      <c r="DY102" s="871">
        <f t="shared" si="914"/>
        <v>0</v>
      </c>
      <c r="DZ102" s="871">
        <f t="shared" si="915"/>
        <v>0</v>
      </c>
      <c r="EA102" s="871">
        <f t="shared" si="916"/>
        <v>0</v>
      </c>
      <c r="EB102" s="871">
        <f t="shared" si="917"/>
        <v>0</v>
      </c>
      <c r="EC102" s="871">
        <f t="shared" si="918"/>
        <v>0</v>
      </c>
      <c r="ED102" s="871">
        <f t="shared" si="919"/>
        <v>0</v>
      </c>
      <c r="EE102" s="871">
        <f t="shared" si="920"/>
        <v>0</v>
      </c>
      <c r="EF102" s="871">
        <f t="shared" si="921"/>
        <v>0</v>
      </c>
      <c r="EG102" s="871">
        <f t="shared" si="922"/>
        <v>0</v>
      </c>
      <c r="EH102" s="41"/>
      <c r="EI102" s="41"/>
      <c r="EJ102" s="41"/>
      <c r="EK102" s="41"/>
    </row>
    <row r="103" spans="1:141">
      <c r="A103" s="595"/>
      <c r="B103" s="598"/>
      <c r="C103" s="599"/>
      <c r="D103" s="29">
        <v>2</v>
      </c>
      <c r="E103" s="1514"/>
      <c r="F103" s="867"/>
      <c r="G103" s="868"/>
      <c r="H103" s="867"/>
      <c r="I103" s="869"/>
      <c r="J103" s="869"/>
      <c r="K103" s="76"/>
      <c r="L103" s="1479"/>
      <c r="M103" s="1479"/>
      <c r="N103" s="1479"/>
      <c r="O103" s="1479"/>
      <c r="P103" s="1479"/>
      <c r="Q103" s="1479"/>
      <c r="R103" s="1479"/>
      <c r="S103" s="1479"/>
      <c r="T103" s="1479"/>
      <c r="U103" s="1479"/>
      <c r="V103" s="1479"/>
      <c r="W103" s="1479"/>
      <c r="X103" s="1479"/>
      <c r="Y103" s="1479"/>
      <c r="Z103" s="1479"/>
      <c r="AA103" s="1479"/>
      <c r="AB103" s="1479"/>
      <c r="AC103" s="1479"/>
      <c r="AD103" s="1479"/>
      <c r="AE103" s="1479"/>
      <c r="AF103" s="1479"/>
      <c r="AG103" s="1479"/>
      <c r="AH103" s="1479"/>
      <c r="AI103" s="1479"/>
      <c r="AJ103" s="1479"/>
      <c r="AK103" s="1479"/>
      <c r="AL103" s="1479"/>
      <c r="AM103" s="1479"/>
      <c r="AN103" s="1479"/>
      <c r="AO103" s="1479"/>
      <c r="AP103" s="77"/>
      <c r="AQ103" s="1496">
        <f>SUBTOTAL(9,AQ104:AQ105)</f>
        <v>0</v>
      </c>
      <c r="AR103" s="1496">
        <f t="shared" ref="AR103" si="1270">SUBTOTAL(9,AR104:AR105)</f>
        <v>0</v>
      </c>
      <c r="AS103" s="1496">
        <f t="shared" ref="AS103" si="1271">SUBTOTAL(9,AS104:AS105)</f>
        <v>0</v>
      </c>
      <c r="AT103" s="1496">
        <f t="shared" ref="AT103" si="1272">SUBTOTAL(9,AT104:AT105)</f>
        <v>0</v>
      </c>
      <c r="AU103" s="1496">
        <f t="shared" ref="AU103" si="1273">SUBTOTAL(9,AU104:AU105)</f>
        <v>0</v>
      </c>
      <c r="AV103" s="1496">
        <f t="shared" ref="AV103" si="1274">SUBTOTAL(9,AV104:AV105)</f>
        <v>0</v>
      </c>
      <c r="AW103" s="1496">
        <f t="shared" ref="AW103" si="1275">SUBTOTAL(9,AW104:AW105)</f>
        <v>0</v>
      </c>
      <c r="AX103" s="1496">
        <f t="shared" ref="AX103" si="1276">SUBTOTAL(9,AX104:AX105)</f>
        <v>0</v>
      </c>
      <c r="AY103" s="1496">
        <f t="shared" ref="AY103" si="1277">SUBTOTAL(9,AY104:AY105)</f>
        <v>0</v>
      </c>
      <c r="AZ103" s="1496">
        <f t="shared" ref="AZ103" si="1278">SUBTOTAL(9,AZ104:AZ105)</f>
        <v>0</v>
      </c>
      <c r="BA103" s="1496">
        <f t="shared" ref="BA103" si="1279">SUBTOTAL(9,BA104:BA105)</f>
        <v>0</v>
      </c>
      <c r="BB103" s="1496">
        <f t="shared" ref="BB103" si="1280">SUBTOTAL(9,BB104:BB105)</f>
        <v>0</v>
      </c>
      <c r="BC103" s="1496">
        <f t="shared" ref="BC103" si="1281">SUBTOTAL(9,BC104:BC105)</f>
        <v>0</v>
      </c>
      <c r="BD103" s="1496">
        <f t="shared" ref="BD103" si="1282">SUBTOTAL(9,BD104:BD105)</f>
        <v>0</v>
      </c>
      <c r="BE103" s="1496">
        <f t="shared" ref="BE103" si="1283">SUBTOTAL(9,BE104:BE105)</f>
        <v>0</v>
      </c>
      <c r="BF103" s="1496">
        <f t="shared" ref="BF103" si="1284">SUBTOTAL(9,BF104:BF105)</f>
        <v>0</v>
      </c>
      <c r="BG103" s="1496">
        <f t="shared" ref="BG103" si="1285">SUBTOTAL(9,BG104:BG105)</f>
        <v>0</v>
      </c>
      <c r="BH103" s="1496">
        <f t="shared" ref="BH103" si="1286">SUBTOTAL(9,BH104:BH105)</f>
        <v>0</v>
      </c>
      <c r="BI103" s="1496">
        <f t="shared" ref="BI103" si="1287">SUBTOTAL(9,BI104:BI105)</f>
        <v>0</v>
      </c>
      <c r="BJ103" s="1496">
        <f t="shared" ref="BJ103" si="1288">SUBTOTAL(9,BJ104:BJ105)</f>
        <v>0</v>
      </c>
      <c r="BK103" s="1496">
        <f t="shared" ref="BK103" si="1289">SUBTOTAL(9,BK104:BK105)</f>
        <v>0</v>
      </c>
      <c r="BL103" s="1496">
        <f t="shared" ref="BL103" si="1290">SUBTOTAL(9,BL104:BL105)</f>
        <v>0</v>
      </c>
      <c r="BM103" s="1496">
        <f t="shared" ref="BM103" si="1291">SUBTOTAL(9,BM104:BM105)</f>
        <v>0</v>
      </c>
      <c r="BN103" s="1496">
        <f t="shared" ref="BN103" si="1292">SUBTOTAL(9,BN104:BN105)</f>
        <v>0</v>
      </c>
      <c r="BO103" s="1496">
        <f t="shared" ref="BO103:BU103" si="1293">SUBTOTAL(9,BO104:BO105)</f>
        <v>0</v>
      </c>
      <c r="BP103" s="1496">
        <f t="shared" si="1293"/>
        <v>0</v>
      </c>
      <c r="BQ103" s="1496">
        <f t="shared" si="1293"/>
        <v>0</v>
      </c>
      <c r="BR103" s="1496">
        <f t="shared" si="1293"/>
        <v>0</v>
      </c>
      <c r="BS103" s="1496">
        <f t="shared" si="1293"/>
        <v>0</v>
      </c>
      <c r="BT103" s="1496">
        <f t="shared" si="1293"/>
        <v>0</v>
      </c>
      <c r="BU103" s="1496">
        <f t="shared" si="1293"/>
        <v>0</v>
      </c>
      <c r="BV103" s="1453"/>
      <c r="BW103" s="1496">
        <f t="shared" ref="BW103" si="1294">SUBTOTAL(9,BW104:BW105)</f>
        <v>0</v>
      </c>
      <c r="BX103" s="1496">
        <f t="shared" ref="BX103" si="1295">SUBTOTAL(9,BX104:BX105)</f>
        <v>0</v>
      </c>
      <c r="BY103" s="1496">
        <f t="shared" ref="BY103" si="1296">SUBTOTAL(9,BY104:BY105)</f>
        <v>0</v>
      </c>
      <c r="BZ103" s="1496">
        <f t="shared" ref="BZ103" si="1297">SUBTOTAL(9,BZ104:BZ105)</f>
        <v>0</v>
      </c>
      <c r="CA103" s="1496">
        <f t="shared" ref="CA103" si="1298">SUBTOTAL(9,CA104:CA105)</f>
        <v>0</v>
      </c>
      <c r="CB103" s="1496">
        <f t="shared" ref="CB103" si="1299">SUBTOTAL(9,CB104:CB105)</f>
        <v>0</v>
      </c>
      <c r="CC103" s="1496">
        <f t="shared" ref="CC103" si="1300">SUBTOTAL(9,CC104:CC105)</f>
        <v>0</v>
      </c>
      <c r="CD103" s="1496">
        <f t="shared" ref="CD103" si="1301">SUBTOTAL(9,CD104:CD105)</f>
        <v>0</v>
      </c>
      <c r="CE103" s="1496">
        <f t="shared" ref="CE103" si="1302">SUBTOTAL(9,CE104:CE105)</f>
        <v>0</v>
      </c>
      <c r="CF103" s="1496">
        <f t="shared" ref="CF103" si="1303">SUBTOTAL(9,CF104:CF105)</f>
        <v>0</v>
      </c>
      <c r="CG103" s="1496">
        <f t="shared" ref="CG103" si="1304">SUBTOTAL(9,CG104:CG105)</f>
        <v>0</v>
      </c>
      <c r="CH103" s="1496">
        <f t="shared" ref="CH103" si="1305">SUBTOTAL(9,CH104:CH105)</f>
        <v>0</v>
      </c>
      <c r="CI103" s="1496">
        <f t="shared" ref="CI103" si="1306">SUBTOTAL(9,CI104:CI105)</f>
        <v>0</v>
      </c>
      <c r="CJ103" s="1496">
        <f t="shared" ref="CJ103" si="1307">SUBTOTAL(9,CJ104:CJ105)</f>
        <v>0</v>
      </c>
      <c r="CK103" s="1496">
        <f t="shared" ref="CK103" si="1308">SUBTOTAL(9,CK104:CK105)</f>
        <v>0</v>
      </c>
      <c r="CL103" s="1496">
        <f t="shared" ref="CL103" si="1309">SUBTOTAL(9,CL104:CL105)</f>
        <v>0</v>
      </c>
      <c r="CM103" s="1496">
        <f t="shared" ref="CM103" si="1310">SUBTOTAL(9,CM104:CM105)</f>
        <v>0</v>
      </c>
      <c r="CN103" s="1496">
        <f t="shared" ref="CN103" si="1311">SUBTOTAL(9,CN104:CN105)</f>
        <v>0</v>
      </c>
      <c r="CO103" s="1496">
        <f t="shared" ref="CO103" si="1312">SUBTOTAL(9,CO104:CO105)</f>
        <v>0</v>
      </c>
      <c r="CP103" s="1496">
        <f t="shared" ref="CP103" si="1313">SUBTOTAL(9,CP104:CP105)</f>
        <v>0</v>
      </c>
      <c r="CQ103" s="1496">
        <f t="shared" ref="CQ103" si="1314">SUBTOTAL(9,CQ104:CQ105)</f>
        <v>0</v>
      </c>
      <c r="CR103" s="1496">
        <f t="shared" ref="CR103" si="1315">SUBTOTAL(9,CR104:CR105)</f>
        <v>0</v>
      </c>
      <c r="CS103" s="1496">
        <f t="shared" ref="CS103" si="1316">SUBTOTAL(9,CS104:CS105)</f>
        <v>0</v>
      </c>
      <c r="CT103" s="1496">
        <f t="shared" ref="CT103" si="1317">SUBTOTAL(9,CT104:CT105)</f>
        <v>0</v>
      </c>
      <c r="CU103" s="1496">
        <f t="shared" ref="CU103:DA103" si="1318">SUBTOTAL(9,CU104:CU105)</f>
        <v>0</v>
      </c>
      <c r="CV103" s="1496">
        <f t="shared" si="1318"/>
        <v>0</v>
      </c>
      <c r="CW103" s="1496">
        <f t="shared" si="1318"/>
        <v>0</v>
      </c>
      <c r="CX103" s="1496">
        <f t="shared" si="1318"/>
        <v>0</v>
      </c>
      <c r="CY103" s="1496">
        <f t="shared" si="1318"/>
        <v>0</v>
      </c>
      <c r="CZ103" s="1496">
        <f t="shared" si="1318"/>
        <v>0</v>
      </c>
      <c r="DA103" s="1496">
        <f t="shared" si="1318"/>
        <v>0</v>
      </c>
      <c r="DB103" s="41"/>
      <c r="DC103" s="1496">
        <f t="shared" si="892"/>
        <v>0</v>
      </c>
      <c r="DD103" s="1496">
        <f t="shared" si="893"/>
        <v>0</v>
      </c>
      <c r="DE103" s="1496">
        <f t="shared" si="894"/>
        <v>0</v>
      </c>
      <c r="DF103" s="1496">
        <f t="shared" si="895"/>
        <v>0</v>
      </c>
      <c r="DG103" s="1496">
        <f t="shared" si="896"/>
        <v>0</v>
      </c>
      <c r="DH103" s="1496">
        <f t="shared" si="897"/>
        <v>0</v>
      </c>
      <c r="DI103" s="1496">
        <f t="shared" si="898"/>
        <v>0</v>
      </c>
      <c r="DJ103" s="1496">
        <f t="shared" si="899"/>
        <v>0</v>
      </c>
      <c r="DK103" s="1496">
        <f t="shared" si="900"/>
        <v>0</v>
      </c>
      <c r="DL103" s="1496">
        <f t="shared" si="901"/>
        <v>0</v>
      </c>
      <c r="DM103" s="1496">
        <f t="shared" si="902"/>
        <v>0</v>
      </c>
      <c r="DN103" s="1496">
        <f t="shared" si="903"/>
        <v>0</v>
      </c>
      <c r="DO103" s="1496">
        <f t="shared" si="904"/>
        <v>0</v>
      </c>
      <c r="DP103" s="1496">
        <f t="shared" si="905"/>
        <v>0</v>
      </c>
      <c r="DQ103" s="1496">
        <f t="shared" si="906"/>
        <v>0</v>
      </c>
      <c r="DR103" s="1496">
        <f t="shared" si="907"/>
        <v>0</v>
      </c>
      <c r="DS103" s="1496">
        <f t="shared" si="908"/>
        <v>0</v>
      </c>
      <c r="DT103" s="1496">
        <f t="shared" si="909"/>
        <v>0</v>
      </c>
      <c r="DU103" s="1496">
        <f t="shared" si="910"/>
        <v>0</v>
      </c>
      <c r="DV103" s="1496">
        <f t="shared" si="911"/>
        <v>0</v>
      </c>
      <c r="DW103" s="1496">
        <f t="shared" si="912"/>
        <v>0</v>
      </c>
      <c r="DX103" s="1496">
        <f t="shared" si="913"/>
        <v>0</v>
      </c>
      <c r="DY103" s="1496">
        <f t="shared" si="914"/>
        <v>0</v>
      </c>
      <c r="DZ103" s="1496">
        <f t="shared" si="915"/>
        <v>0</v>
      </c>
      <c r="EA103" s="1496">
        <f t="shared" si="916"/>
        <v>0</v>
      </c>
      <c r="EB103" s="1496">
        <f t="shared" si="917"/>
        <v>0</v>
      </c>
      <c r="EC103" s="1496">
        <f t="shared" si="918"/>
        <v>0</v>
      </c>
      <c r="ED103" s="1496">
        <f t="shared" si="919"/>
        <v>0</v>
      </c>
      <c r="EE103" s="1496">
        <f t="shared" si="920"/>
        <v>0</v>
      </c>
      <c r="EF103" s="1496">
        <f t="shared" si="921"/>
        <v>0</v>
      </c>
      <c r="EG103" s="1496">
        <f t="shared" si="922"/>
        <v>0</v>
      </c>
      <c r="EH103" s="41"/>
      <c r="EI103" s="41"/>
      <c r="EJ103" s="41"/>
      <c r="EK103" s="41"/>
    </row>
    <row r="104" spans="1:141" s="408" customFormat="1">
      <c r="A104" s="595"/>
      <c r="B104" s="598"/>
      <c r="C104" s="599"/>
      <c r="D104" s="29"/>
      <c r="E104" s="1500"/>
      <c r="F104" s="867"/>
      <c r="G104" s="868"/>
      <c r="H104" s="867"/>
      <c r="I104" s="869"/>
      <c r="J104" s="869"/>
      <c r="K104" s="76"/>
      <c r="L104" s="1455"/>
      <c r="M104" s="1455"/>
      <c r="N104" s="1455"/>
      <c r="O104" s="1455"/>
      <c r="P104" s="1455"/>
      <c r="Q104" s="1455"/>
      <c r="R104" s="1455"/>
      <c r="S104" s="1455"/>
      <c r="T104" s="1455"/>
      <c r="U104" s="1455"/>
      <c r="V104" s="1455"/>
      <c r="W104" s="1455"/>
      <c r="X104" s="1455"/>
      <c r="Y104" s="1455"/>
      <c r="Z104" s="1455"/>
      <c r="AA104" s="1455"/>
      <c r="AB104" s="1455"/>
      <c r="AC104" s="1455"/>
      <c r="AD104" s="1455"/>
      <c r="AE104" s="1455"/>
      <c r="AF104" s="1455"/>
      <c r="AG104" s="1455"/>
      <c r="AH104" s="1455"/>
      <c r="AI104" s="1455"/>
      <c r="AJ104" s="1455"/>
      <c r="AK104" s="1455"/>
      <c r="AL104" s="1455"/>
      <c r="AM104" s="1455"/>
      <c r="AN104" s="1455"/>
      <c r="AO104" s="1455"/>
      <c r="AP104" s="77"/>
      <c r="AQ104" s="871"/>
      <c r="AR104" s="871"/>
      <c r="AS104" s="871"/>
      <c r="AT104" s="871"/>
      <c r="AU104" s="871"/>
      <c r="AV104" s="871"/>
      <c r="AW104" s="871"/>
      <c r="AX104" s="871"/>
      <c r="AY104" s="871"/>
      <c r="AZ104" s="871"/>
      <c r="BA104" s="871"/>
      <c r="BB104" s="871"/>
      <c r="BC104" s="871"/>
      <c r="BD104" s="871"/>
      <c r="BE104" s="871"/>
      <c r="BF104" s="871"/>
      <c r="BG104" s="871"/>
      <c r="BH104" s="871"/>
      <c r="BI104" s="871"/>
      <c r="BJ104" s="871"/>
      <c r="BK104" s="871"/>
      <c r="BL104" s="871"/>
      <c r="BM104" s="871"/>
      <c r="BN104" s="871"/>
      <c r="BO104" s="871"/>
      <c r="BP104" s="871"/>
      <c r="BQ104" s="871"/>
      <c r="BR104" s="871"/>
      <c r="BS104" s="871"/>
      <c r="BT104" s="871"/>
      <c r="BU104" s="871"/>
      <c r="BV104" s="1453"/>
      <c r="BW104" s="871">
        <f>SUM(BX104:DA104)</f>
        <v>0</v>
      </c>
      <c r="BX104" s="871"/>
      <c r="BY104" s="871"/>
      <c r="BZ104" s="871"/>
      <c r="CA104" s="871"/>
      <c r="CB104" s="871"/>
      <c r="CC104" s="871"/>
      <c r="CD104" s="871"/>
      <c r="CE104" s="871"/>
      <c r="CF104" s="871"/>
      <c r="CG104" s="871"/>
      <c r="CH104" s="871"/>
      <c r="CI104" s="871"/>
      <c r="CJ104" s="871"/>
      <c r="CK104" s="871"/>
      <c r="CL104" s="871"/>
      <c r="CM104" s="871"/>
      <c r="CN104" s="871"/>
      <c r="CO104" s="871"/>
      <c r="CP104" s="871"/>
      <c r="CQ104" s="871"/>
      <c r="CR104" s="871"/>
      <c r="CS104" s="871"/>
      <c r="CT104" s="871"/>
      <c r="CU104" s="871"/>
      <c r="CV104" s="871"/>
      <c r="CW104" s="871"/>
      <c r="CX104" s="871"/>
      <c r="CY104" s="871"/>
      <c r="CZ104" s="871"/>
      <c r="DA104" s="871"/>
      <c r="DB104" s="41"/>
      <c r="DC104" s="871">
        <f t="shared" si="892"/>
        <v>0</v>
      </c>
      <c r="DD104" s="871">
        <f t="shared" si="893"/>
        <v>0</v>
      </c>
      <c r="DE104" s="871">
        <f t="shared" si="894"/>
        <v>0</v>
      </c>
      <c r="DF104" s="871">
        <f t="shared" si="895"/>
        <v>0</v>
      </c>
      <c r="DG104" s="871">
        <f t="shared" si="896"/>
        <v>0</v>
      </c>
      <c r="DH104" s="871">
        <f t="shared" si="897"/>
        <v>0</v>
      </c>
      <c r="DI104" s="871">
        <f t="shared" si="898"/>
        <v>0</v>
      </c>
      <c r="DJ104" s="871">
        <f t="shared" si="899"/>
        <v>0</v>
      </c>
      <c r="DK104" s="871">
        <f t="shared" si="900"/>
        <v>0</v>
      </c>
      <c r="DL104" s="871">
        <f t="shared" si="901"/>
        <v>0</v>
      </c>
      <c r="DM104" s="871">
        <f t="shared" si="902"/>
        <v>0</v>
      </c>
      <c r="DN104" s="871">
        <f t="shared" si="903"/>
        <v>0</v>
      </c>
      <c r="DO104" s="871">
        <f t="shared" si="904"/>
        <v>0</v>
      </c>
      <c r="DP104" s="871">
        <f t="shared" si="905"/>
        <v>0</v>
      </c>
      <c r="DQ104" s="871">
        <f t="shared" si="906"/>
        <v>0</v>
      </c>
      <c r="DR104" s="871">
        <f t="shared" si="907"/>
        <v>0</v>
      </c>
      <c r="DS104" s="871">
        <f t="shared" si="908"/>
        <v>0</v>
      </c>
      <c r="DT104" s="871">
        <f t="shared" si="909"/>
        <v>0</v>
      </c>
      <c r="DU104" s="871">
        <f t="shared" si="910"/>
        <v>0</v>
      </c>
      <c r="DV104" s="871">
        <f t="shared" si="911"/>
        <v>0</v>
      </c>
      <c r="DW104" s="871">
        <f t="shared" si="912"/>
        <v>0</v>
      </c>
      <c r="DX104" s="871">
        <f t="shared" si="913"/>
        <v>0</v>
      </c>
      <c r="DY104" s="871">
        <f t="shared" si="914"/>
        <v>0</v>
      </c>
      <c r="DZ104" s="871">
        <f t="shared" si="915"/>
        <v>0</v>
      </c>
      <c r="EA104" s="871">
        <f t="shared" si="916"/>
        <v>0</v>
      </c>
      <c r="EB104" s="871">
        <f t="shared" si="917"/>
        <v>0</v>
      </c>
      <c r="EC104" s="871">
        <f t="shared" si="918"/>
        <v>0</v>
      </c>
      <c r="ED104" s="871">
        <f t="shared" si="919"/>
        <v>0</v>
      </c>
      <c r="EE104" s="871">
        <f t="shared" si="920"/>
        <v>0</v>
      </c>
      <c r="EF104" s="871">
        <f t="shared" si="921"/>
        <v>0</v>
      </c>
      <c r="EG104" s="871">
        <f t="shared" si="922"/>
        <v>0</v>
      </c>
      <c r="EH104" s="41"/>
      <c r="EI104" s="41"/>
      <c r="EJ104" s="41"/>
      <c r="EK104" s="41"/>
    </row>
    <row r="105" spans="1:141">
      <c r="A105" s="595"/>
      <c r="B105" s="598"/>
      <c r="C105" s="599"/>
      <c r="E105" s="1500" t="s">
        <v>1692</v>
      </c>
      <c r="F105" s="867"/>
      <c r="G105" s="868"/>
      <c r="H105" s="867"/>
      <c r="I105" s="869"/>
      <c r="J105" s="869"/>
      <c r="K105" s="76"/>
      <c r="L105" s="1455">
        <v>10</v>
      </c>
      <c r="M105" s="1455">
        <v>10</v>
      </c>
      <c r="N105" s="1455">
        <v>10</v>
      </c>
      <c r="O105" s="1455">
        <v>10</v>
      </c>
      <c r="P105" s="1455">
        <v>10</v>
      </c>
      <c r="Q105" s="1455">
        <v>10</v>
      </c>
      <c r="R105" s="1455">
        <v>10</v>
      </c>
      <c r="S105" s="1455">
        <v>10</v>
      </c>
      <c r="T105" s="1455">
        <v>10</v>
      </c>
      <c r="U105" s="1455">
        <v>10</v>
      </c>
      <c r="V105" s="1455">
        <v>10</v>
      </c>
      <c r="W105" s="1455">
        <v>10</v>
      </c>
      <c r="X105" s="1455">
        <v>10</v>
      </c>
      <c r="Y105" s="1455">
        <v>10</v>
      </c>
      <c r="Z105" s="1455">
        <v>10</v>
      </c>
      <c r="AA105" s="1455">
        <v>10</v>
      </c>
      <c r="AB105" s="1455">
        <v>10</v>
      </c>
      <c r="AC105" s="1455">
        <v>10</v>
      </c>
      <c r="AD105" s="1455">
        <v>10</v>
      </c>
      <c r="AE105" s="1455">
        <v>10</v>
      </c>
      <c r="AF105" s="1455">
        <v>10</v>
      </c>
      <c r="AG105" s="1455">
        <v>10</v>
      </c>
      <c r="AH105" s="1455">
        <v>10</v>
      </c>
      <c r="AI105" s="1455">
        <v>10</v>
      </c>
      <c r="AJ105" s="1455">
        <v>10</v>
      </c>
      <c r="AK105" s="1455">
        <v>10</v>
      </c>
      <c r="AL105" s="1455">
        <v>10</v>
      </c>
      <c r="AM105" s="1455">
        <v>10</v>
      </c>
      <c r="AN105" s="1455">
        <v>10</v>
      </c>
      <c r="AO105" s="1455">
        <v>10</v>
      </c>
      <c r="AP105" s="80"/>
      <c r="AQ105" s="871">
        <f>SUM(AR105:BU105)</f>
        <v>0</v>
      </c>
      <c r="AR105" s="871">
        <f t="shared" ref="AR105:BA105" si="1319">VLOOKUP($E105,Par,6,0)*L105/1000</f>
        <v>0</v>
      </c>
      <c r="AS105" s="871">
        <f t="shared" si="1319"/>
        <v>0</v>
      </c>
      <c r="AT105" s="871">
        <f t="shared" si="1319"/>
        <v>0</v>
      </c>
      <c r="AU105" s="871">
        <f t="shared" si="1319"/>
        <v>0</v>
      </c>
      <c r="AV105" s="871">
        <f t="shared" si="1319"/>
        <v>0</v>
      </c>
      <c r="AW105" s="871">
        <f t="shared" si="1319"/>
        <v>0</v>
      </c>
      <c r="AX105" s="871">
        <f t="shared" si="1319"/>
        <v>0</v>
      </c>
      <c r="AY105" s="871">
        <f t="shared" si="1319"/>
        <v>0</v>
      </c>
      <c r="AZ105" s="871">
        <f t="shared" si="1319"/>
        <v>0</v>
      </c>
      <c r="BA105" s="871">
        <f t="shared" si="1319"/>
        <v>0</v>
      </c>
      <c r="BB105" s="871">
        <f t="shared" ref="BB105:BK105" si="1320">VLOOKUP($E105,Par,6,0)*V105/1000</f>
        <v>0</v>
      </c>
      <c r="BC105" s="871">
        <f t="shared" si="1320"/>
        <v>0</v>
      </c>
      <c r="BD105" s="871">
        <f t="shared" si="1320"/>
        <v>0</v>
      </c>
      <c r="BE105" s="871">
        <f t="shared" si="1320"/>
        <v>0</v>
      </c>
      <c r="BF105" s="871">
        <f t="shared" si="1320"/>
        <v>0</v>
      </c>
      <c r="BG105" s="871">
        <f t="shared" si="1320"/>
        <v>0</v>
      </c>
      <c r="BH105" s="871">
        <f t="shared" si="1320"/>
        <v>0</v>
      </c>
      <c r="BI105" s="871">
        <f t="shared" si="1320"/>
        <v>0</v>
      </c>
      <c r="BJ105" s="871">
        <f t="shared" si="1320"/>
        <v>0</v>
      </c>
      <c r="BK105" s="871">
        <f t="shared" si="1320"/>
        <v>0</v>
      </c>
      <c r="BL105" s="871">
        <f t="shared" ref="BL105:BU105" si="1321">VLOOKUP($E105,Par,6,0)*AF105/1000</f>
        <v>0</v>
      </c>
      <c r="BM105" s="871">
        <f t="shared" si="1321"/>
        <v>0</v>
      </c>
      <c r="BN105" s="871">
        <f t="shared" si="1321"/>
        <v>0</v>
      </c>
      <c r="BO105" s="871">
        <f t="shared" si="1321"/>
        <v>0</v>
      </c>
      <c r="BP105" s="871">
        <f t="shared" si="1321"/>
        <v>0</v>
      </c>
      <c r="BQ105" s="871">
        <f t="shared" si="1321"/>
        <v>0</v>
      </c>
      <c r="BR105" s="871">
        <f t="shared" si="1321"/>
        <v>0</v>
      </c>
      <c r="BS105" s="871">
        <f t="shared" si="1321"/>
        <v>0</v>
      </c>
      <c r="BT105" s="871">
        <f t="shared" si="1321"/>
        <v>0</v>
      </c>
      <c r="BU105" s="871">
        <f t="shared" si="1321"/>
        <v>0</v>
      </c>
      <c r="BV105" s="1457"/>
      <c r="BW105" s="871">
        <f>SUM(BX105:DA105)</f>
        <v>0</v>
      </c>
      <c r="BX105" s="871"/>
      <c r="BY105" s="871"/>
      <c r="BZ105" s="871"/>
      <c r="CA105" s="871"/>
      <c r="CB105" s="871"/>
      <c r="CC105" s="871"/>
      <c r="CD105" s="871"/>
      <c r="CE105" s="871"/>
      <c r="CF105" s="871"/>
      <c r="CG105" s="871"/>
      <c r="CH105" s="871"/>
      <c r="CI105" s="871"/>
      <c r="CJ105" s="871"/>
      <c r="CK105" s="871"/>
      <c r="CL105" s="871"/>
      <c r="CM105" s="871"/>
      <c r="CN105" s="871"/>
      <c r="CO105" s="871"/>
      <c r="CP105" s="871"/>
      <c r="CQ105" s="871"/>
      <c r="CR105" s="871"/>
      <c r="CS105" s="871"/>
      <c r="CT105" s="871"/>
      <c r="CU105" s="871"/>
      <c r="CV105" s="871"/>
      <c r="CW105" s="871"/>
      <c r="CX105" s="871"/>
      <c r="CY105" s="871"/>
      <c r="CZ105" s="871"/>
      <c r="DA105" s="871"/>
      <c r="DB105" s="41"/>
      <c r="DC105" s="871">
        <f t="shared" si="892"/>
        <v>0</v>
      </c>
      <c r="DD105" s="871">
        <f t="shared" si="893"/>
        <v>0</v>
      </c>
      <c r="DE105" s="871">
        <f t="shared" si="894"/>
        <v>0</v>
      </c>
      <c r="DF105" s="871">
        <f t="shared" si="895"/>
        <v>0</v>
      </c>
      <c r="DG105" s="871">
        <f t="shared" si="896"/>
        <v>0</v>
      </c>
      <c r="DH105" s="871">
        <f t="shared" si="897"/>
        <v>0</v>
      </c>
      <c r="DI105" s="871">
        <f t="shared" si="898"/>
        <v>0</v>
      </c>
      <c r="DJ105" s="871">
        <f t="shared" si="899"/>
        <v>0</v>
      </c>
      <c r="DK105" s="871">
        <f t="shared" si="900"/>
        <v>0</v>
      </c>
      <c r="DL105" s="871">
        <f t="shared" si="901"/>
        <v>0</v>
      </c>
      <c r="DM105" s="871">
        <f t="shared" si="902"/>
        <v>0</v>
      </c>
      <c r="DN105" s="871">
        <f t="shared" si="903"/>
        <v>0</v>
      </c>
      <c r="DO105" s="871">
        <f t="shared" si="904"/>
        <v>0</v>
      </c>
      <c r="DP105" s="871">
        <f t="shared" si="905"/>
        <v>0</v>
      </c>
      <c r="DQ105" s="871">
        <f t="shared" si="906"/>
        <v>0</v>
      </c>
      <c r="DR105" s="871">
        <f t="shared" si="907"/>
        <v>0</v>
      </c>
      <c r="DS105" s="871">
        <f t="shared" si="908"/>
        <v>0</v>
      </c>
      <c r="DT105" s="871">
        <f t="shared" si="909"/>
        <v>0</v>
      </c>
      <c r="DU105" s="871">
        <f t="shared" si="910"/>
        <v>0</v>
      </c>
      <c r="DV105" s="871">
        <f t="shared" si="911"/>
        <v>0</v>
      </c>
      <c r="DW105" s="871">
        <f t="shared" si="912"/>
        <v>0</v>
      </c>
      <c r="DX105" s="871">
        <f t="shared" si="913"/>
        <v>0</v>
      </c>
      <c r="DY105" s="871">
        <f t="shared" si="914"/>
        <v>0</v>
      </c>
      <c r="DZ105" s="871">
        <f t="shared" si="915"/>
        <v>0</v>
      </c>
      <c r="EA105" s="871">
        <f t="shared" si="916"/>
        <v>0</v>
      </c>
      <c r="EB105" s="871">
        <f t="shared" si="917"/>
        <v>0</v>
      </c>
      <c r="EC105" s="871">
        <f t="shared" si="918"/>
        <v>0</v>
      </c>
      <c r="ED105" s="871">
        <f t="shared" si="919"/>
        <v>0</v>
      </c>
      <c r="EE105" s="871">
        <f t="shared" si="920"/>
        <v>0</v>
      </c>
      <c r="EF105" s="871">
        <f t="shared" si="921"/>
        <v>0</v>
      </c>
      <c r="EG105" s="871">
        <f t="shared" si="922"/>
        <v>0</v>
      </c>
      <c r="EH105" s="41"/>
      <c r="EI105" s="41"/>
      <c r="EJ105" s="41"/>
      <c r="EK105" s="41"/>
    </row>
    <row r="106" spans="1:141" ht="12.75" customHeight="1">
      <c r="A106" s="595"/>
      <c r="B106" s="598"/>
      <c r="C106" s="599"/>
      <c r="E106" s="1458"/>
      <c r="F106" s="1480"/>
      <c r="G106" s="1481"/>
      <c r="H106" s="1482"/>
      <c r="I106" s="1483"/>
      <c r="J106" s="1483"/>
      <c r="K106" s="23"/>
      <c r="L106" s="1459"/>
      <c r="M106" s="1459"/>
      <c r="N106" s="1459"/>
      <c r="O106" s="1459"/>
      <c r="P106" s="1459"/>
      <c r="Q106" s="1459"/>
      <c r="R106" s="1459"/>
      <c r="S106" s="1459"/>
      <c r="T106" s="1459"/>
      <c r="U106" s="1459"/>
      <c r="V106" s="1459"/>
      <c r="W106" s="1459"/>
      <c r="X106" s="1459"/>
      <c r="Y106" s="1459"/>
      <c r="Z106" s="1459"/>
      <c r="AA106" s="1459"/>
      <c r="AB106" s="1459"/>
      <c r="AC106" s="1459"/>
      <c r="AD106" s="1459"/>
      <c r="AE106" s="1459"/>
      <c r="AF106" s="1459"/>
      <c r="AG106" s="1459"/>
      <c r="AH106" s="1459"/>
      <c r="AI106" s="1459"/>
      <c r="AJ106" s="1459"/>
      <c r="AK106" s="1459"/>
      <c r="AL106" s="1459"/>
      <c r="AM106" s="1459"/>
      <c r="AN106" s="1459"/>
      <c r="AO106" s="1459"/>
      <c r="AP106" s="1460"/>
      <c r="AQ106" s="871">
        <f>SUM(AR106:BU106)</f>
        <v>0</v>
      </c>
      <c r="AR106" s="1469"/>
      <c r="AS106" s="1469"/>
      <c r="AT106" s="1469"/>
      <c r="AU106" s="1469"/>
      <c r="AV106" s="1469"/>
      <c r="AW106" s="1469"/>
      <c r="AX106" s="1469"/>
      <c r="AY106" s="1469"/>
      <c r="AZ106" s="1469"/>
      <c r="BA106" s="1469"/>
      <c r="BB106" s="1469"/>
      <c r="BC106" s="1469"/>
      <c r="BD106" s="1469"/>
      <c r="BE106" s="1469"/>
      <c r="BF106" s="1469"/>
      <c r="BG106" s="1469"/>
      <c r="BH106" s="1469"/>
      <c r="BI106" s="1469"/>
      <c r="BJ106" s="1469"/>
      <c r="BK106" s="1469"/>
      <c r="BL106" s="1469"/>
      <c r="BM106" s="1469"/>
      <c r="BN106" s="1469"/>
      <c r="BO106" s="1469"/>
      <c r="BP106" s="1469"/>
      <c r="BQ106" s="1469"/>
      <c r="BR106" s="1469"/>
      <c r="BS106" s="1469"/>
      <c r="BT106" s="1469"/>
      <c r="BU106" s="1469"/>
      <c r="BV106" s="1462"/>
      <c r="BW106" s="871">
        <f>SUM(BX106:DA106)</f>
        <v>0</v>
      </c>
      <c r="BX106" s="1469"/>
      <c r="BY106" s="1469"/>
      <c r="BZ106" s="1469"/>
      <c r="CA106" s="1469"/>
      <c r="CB106" s="1469"/>
      <c r="CC106" s="1469"/>
      <c r="CD106" s="1469"/>
      <c r="CE106" s="1469"/>
      <c r="CF106" s="1469"/>
      <c r="CG106" s="1469"/>
      <c r="CH106" s="1469"/>
      <c r="CI106" s="1469"/>
      <c r="CJ106" s="1469"/>
      <c r="CK106" s="1469"/>
      <c r="CL106" s="1469"/>
      <c r="CM106" s="1469"/>
      <c r="CN106" s="1469"/>
      <c r="CO106" s="1469"/>
      <c r="CP106" s="1469"/>
      <c r="CQ106" s="1469"/>
      <c r="CR106" s="1469"/>
      <c r="CS106" s="1469"/>
      <c r="CT106" s="1469"/>
      <c r="CU106" s="1469"/>
      <c r="CV106" s="1469"/>
      <c r="CW106" s="1469"/>
      <c r="CX106" s="1469"/>
      <c r="CY106" s="1469"/>
      <c r="CZ106" s="1469"/>
      <c r="DA106" s="1469"/>
      <c r="DB106" s="41"/>
      <c r="DC106" s="871">
        <f t="shared" si="892"/>
        <v>0</v>
      </c>
      <c r="DD106" s="1469">
        <f t="shared" si="893"/>
        <v>0</v>
      </c>
      <c r="DE106" s="1469">
        <f t="shared" si="894"/>
        <v>0</v>
      </c>
      <c r="DF106" s="1469">
        <f t="shared" si="895"/>
        <v>0</v>
      </c>
      <c r="DG106" s="1469">
        <f t="shared" si="896"/>
        <v>0</v>
      </c>
      <c r="DH106" s="1469">
        <f t="shared" si="897"/>
        <v>0</v>
      </c>
      <c r="DI106" s="1469">
        <f t="shared" si="898"/>
        <v>0</v>
      </c>
      <c r="DJ106" s="1469">
        <f t="shared" si="899"/>
        <v>0</v>
      </c>
      <c r="DK106" s="1469">
        <f t="shared" si="900"/>
        <v>0</v>
      </c>
      <c r="DL106" s="1469">
        <f t="shared" si="901"/>
        <v>0</v>
      </c>
      <c r="DM106" s="1469">
        <f t="shared" si="902"/>
        <v>0</v>
      </c>
      <c r="DN106" s="1469">
        <f t="shared" si="903"/>
        <v>0</v>
      </c>
      <c r="DO106" s="1469">
        <f t="shared" si="904"/>
        <v>0</v>
      </c>
      <c r="DP106" s="1469">
        <f t="shared" si="905"/>
        <v>0</v>
      </c>
      <c r="DQ106" s="1469">
        <f t="shared" si="906"/>
        <v>0</v>
      </c>
      <c r="DR106" s="1469">
        <f t="shared" si="907"/>
        <v>0</v>
      </c>
      <c r="DS106" s="1469">
        <f t="shared" si="908"/>
        <v>0</v>
      </c>
      <c r="DT106" s="1469">
        <f t="shared" si="909"/>
        <v>0</v>
      </c>
      <c r="DU106" s="1469">
        <f t="shared" si="910"/>
        <v>0</v>
      </c>
      <c r="DV106" s="1469">
        <f t="shared" si="911"/>
        <v>0</v>
      </c>
      <c r="DW106" s="1469">
        <f t="shared" si="912"/>
        <v>0</v>
      </c>
      <c r="DX106" s="1469">
        <f t="shared" si="913"/>
        <v>0</v>
      </c>
      <c r="DY106" s="1469">
        <f t="shared" si="914"/>
        <v>0</v>
      </c>
      <c r="DZ106" s="1469">
        <f t="shared" si="915"/>
        <v>0</v>
      </c>
      <c r="EA106" s="1469">
        <f t="shared" si="916"/>
        <v>0</v>
      </c>
      <c r="EB106" s="1469">
        <f t="shared" si="917"/>
        <v>0</v>
      </c>
      <c r="EC106" s="1469">
        <f t="shared" si="918"/>
        <v>0</v>
      </c>
      <c r="ED106" s="1469">
        <f t="shared" si="919"/>
        <v>0</v>
      </c>
      <c r="EE106" s="1469">
        <f t="shared" si="920"/>
        <v>0</v>
      </c>
      <c r="EF106" s="1469">
        <f t="shared" si="921"/>
        <v>0</v>
      </c>
      <c r="EG106" s="1469">
        <f t="shared" si="922"/>
        <v>0</v>
      </c>
      <c r="EH106" s="41"/>
      <c r="EI106" s="41"/>
      <c r="EJ106" s="41"/>
      <c r="EK106" s="41"/>
    </row>
    <row r="107" spans="1:141">
      <c r="A107" s="595"/>
      <c r="B107" s="598"/>
      <c r="C107" s="599"/>
      <c r="D107" s="407"/>
      <c r="E107" s="1437" t="s">
        <v>1587</v>
      </c>
      <c r="F107" s="1476"/>
      <c r="G107" s="1447"/>
      <c r="H107" s="1448"/>
      <c r="I107" s="1449"/>
      <c r="J107" s="1449"/>
      <c r="K107" s="723"/>
      <c r="L107" s="1448"/>
      <c r="M107" s="1448"/>
      <c r="N107" s="1448"/>
      <c r="O107" s="1448"/>
      <c r="P107" s="1448"/>
      <c r="Q107" s="1448"/>
      <c r="R107" s="1448"/>
      <c r="S107" s="1448"/>
      <c r="T107" s="1448"/>
      <c r="U107" s="1448"/>
      <c r="V107" s="1448"/>
      <c r="W107" s="1448"/>
      <c r="X107" s="1448"/>
      <c r="Y107" s="1448"/>
      <c r="Z107" s="1448"/>
      <c r="AA107" s="1448"/>
      <c r="AB107" s="1448"/>
      <c r="AC107" s="1448"/>
      <c r="AD107" s="1448"/>
      <c r="AE107" s="1448"/>
      <c r="AF107" s="1448"/>
      <c r="AG107" s="1448"/>
      <c r="AH107" s="1477"/>
      <c r="AI107" s="1477"/>
      <c r="AJ107" s="1477"/>
      <c r="AK107" s="1477"/>
      <c r="AL107" s="1477"/>
      <c r="AM107" s="1477"/>
      <c r="AN107" s="1477"/>
      <c r="AO107" s="1477"/>
      <c r="AP107" s="724"/>
      <c r="AQ107" s="1488">
        <f t="shared" si="118"/>
        <v>0</v>
      </c>
      <c r="AR107" s="1486"/>
      <c r="AS107" s="1486"/>
      <c r="AT107" s="1486"/>
      <c r="AU107" s="1486"/>
      <c r="AV107" s="1486"/>
      <c r="AW107" s="1486"/>
      <c r="AX107" s="1486"/>
      <c r="AY107" s="1486"/>
      <c r="AZ107" s="1486"/>
      <c r="BA107" s="1486"/>
      <c r="BB107" s="1486"/>
      <c r="BC107" s="1486"/>
      <c r="BD107" s="1486"/>
      <c r="BE107" s="1486"/>
      <c r="BF107" s="1486"/>
      <c r="BG107" s="1486"/>
      <c r="BH107" s="1486"/>
      <c r="BI107" s="1486"/>
      <c r="BJ107" s="1486"/>
      <c r="BK107" s="1486"/>
      <c r="BL107" s="1486"/>
      <c r="BM107" s="1486"/>
      <c r="BN107" s="1487"/>
      <c r="BO107" s="1487"/>
      <c r="BP107" s="1487"/>
      <c r="BQ107" s="1487"/>
      <c r="BR107" s="1487"/>
      <c r="BS107" s="1487"/>
      <c r="BT107" s="1487"/>
      <c r="BU107" s="1487"/>
      <c r="BV107" s="725"/>
      <c r="BW107" s="1488">
        <f t="shared" si="117"/>
        <v>0</v>
      </c>
      <c r="BX107" s="1486"/>
      <c r="BY107" s="1486"/>
      <c r="BZ107" s="1486"/>
      <c r="CA107" s="1486"/>
      <c r="CB107" s="1486"/>
      <c r="CC107" s="1486"/>
      <c r="CD107" s="1486"/>
      <c r="CE107" s="1486"/>
      <c r="CF107" s="1486"/>
      <c r="CG107" s="1486"/>
      <c r="CH107" s="1486"/>
      <c r="CI107" s="1486"/>
      <c r="CJ107" s="1486"/>
      <c r="CK107" s="1486"/>
      <c r="CL107" s="1486"/>
      <c r="CM107" s="1486"/>
      <c r="CN107" s="1486"/>
      <c r="CO107" s="1486"/>
      <c r="CP107" s="1486"/>
      <c r="CQ107" s="1486"/>
      <c r="CR107" s="1486"/>
      <c r="CS107" s="1486"/>
      <c r="CT107" s="1487"/>
      <c r="CU107" s="1487"/>
      <c r="CV107" s="1487"/>
      <c r="CW107" s="1487"/>
      <c r="CX107" s="1487"/>
      <c r="CY107" s="1487"/>
      <c r="CZ107" s="1487"/>
      <c r="DA107" s="1487"/>
      <c r="DB107" s="713"/>
      <c r="DC107" s="1488">
        <f t="shared" si="892"/>
        <v>0</v>
      </c>
      <c r="DD107" s="1486">
        <f t="shared" si="893"/>
        <v>0</v>
      </c>
      <c r="DE107" s="1486">
        <f t="shared" si="894"/>
        <v>0</v>
      </c>
      <c r="DF107" s="1486">
        <f t="shared" si="895"/>
        <v>0</v>
      </c>
      <c r="DG107" s="1486">
        <f t="shared" si="896"/>
        <v>0</v>
      </c>
      <c r="DH107" s="1486">
        <f t="shared" si="897"/>
        <v>0</v>
      </c>
      <c r="DI107" s="1486">
        <f t="shared" si="898"/>
        <v>0</v>
      </c>
      <c r="DJ107" s="1486">
        <f t="shared" si="899"/>
        <v>0</v>
      </c>
      <c r="DK107" s="1486">
        <f t="shared" si="900"/>
        <v>0</v>
      </c>
      <c r="DL107" s="1486">
        <f t="shared" si="901"/>
        <v>0</v>
      </c>
      <c r="DM107" s="1486">
        <f t="shared" si="902"/>
        <v>0</v>
      </c>
      <c r="DN107" s="1486">
        <f t="shared" si="903"/>
        <v>0</v>
      </c>
      <c r="DO107" s="1486">
        <f t="shared" si="904"/>
        <v>0</v>
      </c>
      <c r="DP107" s="1486">
        <f t="shared" si="905"/>
        <v>0</v>
      </c>
      <c r="DQ107" s="1486">
        <f t="shared" si="906"/>
        <v>0</v>
      </c>
      <c r="DR107" s="1486">
        <f t="shared" si="907"/>
        <v>0</v>
      </c>
      <c r="DS107" s="1486">
        <f t="shared" si="908"/>
        <v>0</v>
      </c>
      <c r="DT107" s="1486">
        <f t="shared" si="909"/>
        <v>0</v>
      </c>
      <c r="DU107" s="1486">
        <f t="shared" si="910"/>
        <v>0</v>
      </c>
      <c r="DV107" s="1486">
        <f t="shared" si="911"/>
        <v>0</v>
      </c>
      <c r="DW107" s="1486">
        <f t="shared" si="912"/>
        <v>0</v>
      </c>
      <c r="DX107" s="1486">
        <f t="shared" si="913"/>
        <v>0</v>
      </c>
      <c r="DY107" s="1486">
        <f t="shared" si="914"/>
        <v>0</v>
      </c>
      <c r="DZ107" s="1487">
        <f t="shared" si="915"/>
        <v>0</v>
      </c>
      <c r="EA107" s="1487">
        <f t="shared" si="916"/>
        <v>0</v>
      </c>
      <c r="EB107" s="1487">
        <f t="shared" si="917"/>
        <v>0</v>
      </c>
      <c r="EC107" s="1487">
        <f t="shared" si="918"/>
        <v>0</v>
      </c>
      <c r="ED107" s="1487">
        <f t="shared" si="919"/>
        <v>0</v>
      </c>
      <c r="EE107" s="1487">
        <f t="shared" si="920"/>
        <v>0</v>
      </c>
      <c r="EF107" s="1487">
        <f t="shared" si="921"/>
        <v>0</v>
      </c>
      <c r="EG107" s="1487">
        <f t="shared" si="922"/>
        <v>0</v>
      </c>
      <c r="EH107" s="1439"/>
      <c r="EI107" s="1439"/>
      <c r="EJ107" s="1439"/>
      <c r="EK107" s="1439"/>
    </row>
    <row r="108" spans="1:141">
      <c r="A108" s="595"/>
      <c r="B108" s="598"/>
      <c r="C108" s="599"/>
      <c r="D108" s="29">
        <v>4</v>
      </c>
      <c r="E108" s="1515" t="s">
        <v>1693</v>
      </c>
      <c r="F108" s="1490"/>
      <c r="G108" s="1491"/>
      <c r="H108" s="1492"/>
      <c r="I108" s="1493"/>
      <c r="J108" s="1493"/>
      <c r="K108" s="22"/>
      <c r="L108" s="1492"/>
      <c r="M108" s="1492"/>
      <c r="N108" s="1492"/>
      <c r="O108" s="1492"/>
      <c r="P108" s="1492"/>
      <c r="Q108" s="1492"/>
      <c r="R108" s="1492"/>
      <c r="S108" s="1492"/>
      <c r="T108" s="1492"/>
      <c r="U108" s="1492"/>
      <c r="V108" s="1492"/>
      <c r="W108" s="1492"/>
      <c r="X108" s="1492"/>
      <c r="Y108" s="1492"/>
      <c r="Z108" s="1492"/>
      <c r="AA108" s="1492"/>
      <c r="AB108" s="1492"/>
      <c r="AC108" s="1492"/>
      <c r="AD108" s="1492"/>
      <c r="AE108" s="1492"/>
      <c r="AF108" s="1492"/>
      <c r="AG108" s="1492"/>
      <c r="AH108" s="1494"/>
      <c r="AI108" s="1494"/>
      <c r="AJ108" s="1494"/>
      <c r="AK108" s="1494"/>
      <c r="AL108" s="1494"/>
      <c r="AM108" s="1494"/>
      <c r="AN108" s="1494"/>
      <c r="AO108" s="1494"/>
      <c r="AP108" s="1495"/>
      <c r="AQ108" s="1496">
        <f>SUBTOTAL(9,AQ109:AQ110)</f>
        <v>0</v>
      </c>
      <c r="AR108" s="1496">
        <f t="shared" ref="AR108" si="1322">SUBTOTAL(9,AR109:AR110)</f>
        <v>0</v>
      </c>
      <c r="AS108" s="1496">
        <f t="shared" ref="AS108" si="1323">SUBTOTAL(9,AS109:AS110)</f>
        <v>0</v>
      </c>
      <c r="AT108" s="1496">
        <f t="shared" ref="AT108" si="1324">SUBTOTAL(9,AT109:AT110)</f>
        <v>0</v>
      </c>
      <c r="AU108" s="1496">
        <f t="shared" ref="AU108" si="1325">SUBTOTAL(9,AU109:AU110)</f>
        <v>0</v>
      </c>
      <c r="AV108" s="1496">
        <f t="shared" ref="AV108" si="1326">SUBTOTAL(9,AV109:AV110)</f>
        <v>0</v>
      </c>
      <c r="AW108" s="1496">
        <f t="shared" ref="AW108" si="1327">SUBTOTAL(9,AW109:AW110)</f>
        <v>0</v>
      </c>
      <c r="AX108" s="1496">
        <f t="shared" ref="AX108" si="1328">SUBTOTAL(9,AX109:AX110)</f>
        <v>0</v>
      </c>
      <c r="AY108" s="1496">
        <f t="shared" ref="AY108" si="1329">SUBTOTAL(9,AY109:AY110)</f>
        <v>0</v>
      </c>
      <c r="AZ108" s="1496">
        <f t="shared" ref="AZ108" si="1330">SUBTOTAL(9,AZ109:AZ110)</f>
        <v>0</v>
      </c>
      <c r="BA108" s="1496">
        <f t="shared" ref="BA108" si="1331">SUBTOTAL(9,BA109:BA110)</f>
        <v>0</v>
      </c>
      <c r="BB108" s="1496">
        <f t="shared" ref="BB108" si="1332">SUBTOTAL(9,BB109:BB110)</f>
        <v>0</v>
      </c>
      <c r="BC108" s="1496">
        <f t="shared" ref="BC108" si="1333">SUBTOTAL(9,BC109:BC110)</f>
        <v>0</v>
      </c>
      <c r="BD108" s="1496">
        <f t="shared" ref="BD108" si="1334">SUBTOTAL(9,BD109:BD110)</f>
        <v>0</v>
      </c>
      <c r="BE108" s="1496">
        <f t="shared" ref="BE108" si="1335">SUBTOTAL(9,BE109:BE110)</f>
        <v>0</v>
      </c>
      <c r="BF108" s="1496">
        <f t="shared" ref="BF108" si="1336">SUBTOTAL(9,BF109:BF110)</f>
        <v>0</v>
      </c>
      <c r="BG108" s="1496">
        <f t="shared" ref="BG108" si="1337">SUBTOTAL(9,BG109:BG110)</f>
        <v>0</v>
      </c>
      <c r="BH108" s="1496">
        <f t="shared" ref="BH108" si="1338">SUBTOTAL(9,BH109:BH110)</f>
        <v>0</v>
      </c>
      <c r="BI108" s="1496">
        <f t="shared" ref="BI108" si="1339">SUBTOTAL(9,BI109:BI110)</f>
        <v>0</v>
      </c>
      <c r="BJ108" s="1496">
        <f t="shared" ref="BJ108" si="1340">SUBTOTAL(9,BJ109:BJ110)</f>
        <v>0</v>
      </c>
      <c r="BK108" s="1496">
        <f t="shared" ref="BK108" si="1341">SUBTOTAL(9,BK109:BK110)</f>
        <v>0</v>
      </c>
      <c r="BL108" s="1496">
        <f t="shared" ref="BL108" si="1342">SUBTOTAL(9,BL109:BL110)</f>
        <v>0</v>
      </c>
      <c r="BM108" s="1496">
        <f t="shared" ref="BM108" si="1343">SUBTOTAL(9,BM109:BM110)</f>
        <v>0</v>
      </c>
      <c r="BN108" s="1496">
        <f t="shared" ref="BN108" si="1344">SUBTOTAL(9,BN109:BN110)</f>
        <v>0</v>
      </c>
      <c r="BO108" s="1496">
        <f t="shared" ref="BO108:BU108" si="1345">SUBTOTAL(9,BO109:BO110)</f>
        <v>0</v>
      </c>
      <c r="BP108" s="1496">
        <f t="shared" si="1345"/>
        <v>0</v>
      </c>
      <c r="BQ108" s="1496">
        <f t="shared" si="1345"/>
        <v>0</v>
      </c>
      <c r="BR108" s="1496">
        <f t="shared" si="1345"/>
        <v>0</v>
      </c>
      <c r="BS108" s="1496">
        <f t="shared" si="1345"/>
        <v>0</v>
      </c>
      <c r="BT108" s="1496">
        <f t="shared" si="1345"/>
        <v>0</v>
      </c>
      <c r="BU108" s="1496">
        <f t="shared" si="1345"/>
        <v>0</v>
      </c>
      <c r="BV108" s="1453"/>
      <c r="BW108" s="1496">
        <f t="shared" ref="BW108" si="1346">SUBTOTAL(9,BW109:BW110)</f>
        <v>0</v>
      </c>
      <c r="BX108" s="1496">
        <f t="shared" ref="BX108" si="1347">SUBTOTAL(9,BX109:BX110)</f>
        <v>0</v>
      </c>
      <c r="BY108" s="1496">
        <f t="shared" ref="BY108" si="1348">SUBTOTAL(9,BY109:BY110)</f>
        <v>0</v>
      </c>
      <c r="BZ108" s="1496">
        <f t="shared" ref="BZ108" si="1349">SUBTOTAL(9,BZ109:BZ110)</f>
        <v>0</v>
      </c>
      <c r="CA108" s="1496">
        <f t="shared" ref="CA108" si="1350">SUBTOTAL(9,CA109:CA110)</f>
        <v>0</v>
      </c>
      <c r="CB108" s="1496">
        <f t="shared" ref="CB108" si="1351">SUBTOTAL(9,CB109:CB110)</f>
        <v>0</v>
      </c>
      <c r="CC108" s="1496">
        <f t="shared" ref="CC108" si="1352">SUBTOTAL(9,CC109:CC110)</f>
        <v>0</v>
      </c>
      <c r="CD108" s="1496">
        <f t="shared" ref="CD108" si="1353">SUBTOTAL(9,CD109:CD110)</f>
        <v>0</v>
      </c>
      <c r="CE108" s="1496">
        <f t="shared" ref="CE108" si="1354">SUBTOTAL(9,CE109:CE110)</f>
        <v>0</v>
      </c>
      <c r="CF108" s="1496">
        <f t="shared" ref="CF108" si="1355">SUBTOTAL(9,CF109:CF110)</f>
        <v>0</v>
      </c>
      <c r="CG108" s="1496">
        <f t="shared" ref="CG108" si="1356">SUBTOTAL(9,CG109:CG110)</f>
        <v>0</v>
      </c>
      <c r="CH108" s="1496">
        <f t="shared" ref="CH108" si="1357">SUBTOTAL(9,CH109:CH110)</f>
        <v>0</v>
      </c>
      <c r="CI108" s="1496">
        <f t="shared" ref="CI108" si="1358">SUBTOTAL(9,CI109:CI110)</f>
        <v>0</v>
      </c>
      <c r="CJ108" s="1496">
        <f t="shared" ref="CJ108" si="1359">SUBTOTAL(9,CJ109:CJ110)</f>
        <v>0</v>
      </c>
      <c r="CK108" s="1496">
        <f t="shared" ref="CK108" si="1360">SUBTOTAL(9,CK109:CK110)</f>
        <v>0</v>
      </c>
      <c r="CL108" s="1496">
        <f t="shared" ref="CL108" si="1361">SUBTOTAL(9,CL109:CL110)</f>
        <v>0</v>
      </c>
      <c r="CM108" s="1496">
        <f t="shared" ref="CM108" si="1362">SUBTOTAL(9,CM109:CM110)</f>
        <v>0</v>
      </c>
      <c r="CN108" s="1496">
        <f t="shared" ref="CN108" si="1363">SUBTOTAL(9,CN109:CN110)</f>
        <v>0</v>
      </c>
      <c r="CO108" s="1496">
        <f t="shared" ref="CO108" si="1364">SUBTOTAL(9,CO109:CO110)</f>
        <v>0</v>
      </c>
      <c r="CP108" s="1496">
        <f t="shared" ref="CP108" si="1365">SUBTOTAL(9,CP109:CP110)</f>
        <v>0</v>
      </c>
      <c r="CQ108" s="1496">
        <f t="shared" ref="CQ108" si="1366">SUBTOTAL(9,CQ109:CQ110)</f>
        <v>0</v>
      </c>
      <c r="CR108" s="1496">
        <f t="shared" ref="CR108" si="1367">SUBTOTAL(9,CR109:CR110)</f>
        <v>0</v>
      </c>
      <c r="CS108" s="1496">
        <f t="shared" ref="CS108" si="1368">SUBTOTAL(9,CS109:CS110)</f>
        <v>0</v>
      </c>
      <c r="CT108" s="1496">
        <f t="shared" ref="CT108" si="1369">SUBTOTAL(9,CT109:CT110)</f>
        <v>0</v>
      </c>
      <c r="CU108" s="1496">
        <f t="shared" ref="CU108:DA108" si="1370">SUBTOTAL(9,CU109:CU110)</f>
        <v>0</v>
      </c>
      <c r="CV108" s="1496">
        <f t="shared" si="1370"/>
        <v>0</v>
      </c>
      <c r="CW108" s="1496">
        <f t="shared" si="1370"/>
        <v>0</v>
      </c>
      <c r="CX108" s="1496">
        <f t="shared" si="1370"/>
        <v>0</v>
      </c>
      <c r="CY108" s="1496">
        <f t="shared" si="1370"/>
        <v>0</v>
      </c>
      <c r="CZ108" s="1496">
        <f t="shared" si="1370"/>
        <v>0</v>
      </c>
      <c r="DA108" s="1496">
        <f t="shared" si="1370"/>
        <v>0</v>
      </c>
      <c r="DB108" s="41"/>
      <c r="DC108" s="1496">
        <f t="shared" si="892"/>
        <v>0</v>
      </c>
      <c r="DD108" s="1496">
        <f t="shared" si="893"/>
        <v>0</v>
      </c>
      <c r="DE108" s="1496">
        <f t="shared" si="894"/>
        <v>0</v>
      </c>
      <c r="DF108" s="1496">
        <f t="shared" si="895"/>
        <v>0</v>
      </c>
      <c r="DG108" s="1496">
        <f t="shared" si="896"/>
        <v>0</v>
      </c>
      <c r="DH108" s="1496">
        <f t="shared" si="897"/>
        <v>0</v>
      </c>
      <c r="DI108" s="1496">
        <f t="shared" si="898"/>
        <v>0</v>
      </c>
      <c r="DJ108" s="1496">
        <f t="shared" si="899"/>
        <v>0</v>
      </c>
      <c r="DK108" s="1496">
        <f t="shared" si="900"/>
        <v>0</v>
      </c>
      <c r="DL108" s="1496">
        <f t="shared" si="901"/>
        <v>0</v>
      </c>
      <c r="DM108" s="1496">
        <f t="shared" si="902"/>
        <v>0</v>
      </c>
      <c r="DN108" s="1496">
        <f t="shared" si="903"/>
        <v>0</v>
      </c>
      <c r="DO108" s="1496">
        <f t="shared" si="904"/>
        <v>0</v>
      </c>
      <c r="DP108" s="1496">
        <f t="shared" si="905"/>
        <v>0</v>
      </c>
      <c r="DQ108" s="1496">
        <f t="shared" si="906"/>
        <v>0</v>
      </c>
      <c r="DR108" s="1496">
        <f t="shared" si="907"/>
        <v>0</v>
      </c>
      <c r="DS108" s="1496">
        <f t="shared" si="908"/>
        <v>0</v>
      </c>
      <c r="DT108" s="1496">
        <f t="shared" si="909"/>
        <v>0</v>
      </c>
      <c r="DU108" s="1496">
        <f t="shared" si="910"/>
        <v>0</v>
      </c>
      <c r="DV108" s="1496">
        <f t="shared" si="911"/>
        <v>0</v>
      </c>
      <c r="DW108" s="1496">
        <f t="shared" si="912"/>
        <v>0</v>
      </c>
      <c r="DX108" s="1496">
        <f t="shared" si="913"/>
        <v>0</v>
      </c>
      <c r="DY108" s="1496">
        <f t="shared" si="914"/>
        <v>0</v>
      </c>
      <c r="DZ108" s="1496">
        <f t="shared" si="915"/>
        <v>0</v>
      </c>
      <c r="EA108" s="1496">
        <f t="shared" si="916"/>
        <v>0</v>
      </c>
      <c r="EB108" s="1496">
        <f t="shared" si="917"/>
        <v>0</v>
      </c>
      <c r="EC108" s="1496">
        <f t="shared" si="918"/>
        <v>0</v>
      </c>
      <c r="ED108" s="1496">
        <f t="shared" si="919"/>
        <v>0</v>
      </c>
      <c r="EE108" s="1496">
        <f t="shared" si="920"/>
        <v>0</v>
      </c>
      <c r="EF108" s="1496">
        <f t="shared" si="921"/>
        <v>0</v>
      </c>
      <c r="EG108" s="1496">
        <f t="shared" si="922"/>
        <v>0</v>
      </c>
      <c r="EH108" s="41"/>
      <c r="EI108" s="41"/>
      <c r="EJ108" s="41"/>
      <c r="EK108" s="41"/>
    </row>
    <row r="109" spans="1:141">
      <c r="A109" s="595"/>
      <c r="B109" s="598"/>
      <c r="C109" s="599"/>
      <c r="E109" s="866" t="s">
        <v>1694</v>
      </c>
      <c r="F109" s="867"/>
      <c r="G109" s="868"/>
      <c r="H109" s="867"/>
      <c r="I109" s="869"/>
      <c r="J109" s="869"/>
      <c r="K109" s="76"/>
      <c r="L109" s="1455">
        <v>0</v>
      </c>
      <c r="M109" s="1455">
        <v>0</v>
      </c>
      <c r="N109" s="1455">
        <v>0</v>
      </c>
      <c r="O109" s="1455">
        <v>0</v>
      </c>
      <c r="P109" s="1455">
        <v>0</v>
      </c>
      <c r="Q109" s="1455">
        <v>0</v>
      </c>
      <c r="R109" s="1455">
        <v>0</v>
      </c>
      <c r="S109" s="1455">
        <v>0</v>
      </c>
      <c r="T109" s="1455">
        <v>0</v>
      </c>
      <c r="U109" s="1455">
        <v>0</v>
      </c>
      <c r="V109" s="1455">
        <v>0</v>
      </c>
      <c r="W109" s="1455">
        <v>0</v>
      </c>
      <c r="X109" s="1455">
        <v>0</v>
      </c>
      <c r="Y109" s="1455">
        <v>0</v>
      </c>
      <c r="Z109" s="1455">
        <v>0</v>
      </c>
      <c r="AA109" s="1455">
        <v>0</v>
      </c>
      <c r="AB109" s="1455">
        <v>0</v>
      </c>
      <c r="AC109" s="1455">
        <v>0</v>
      </c>
      <c r="AD109" s="1455">
        <v>0</v>
      </c>
      <c r="AE109" s="1455">
        <v>0</v>
      </c>
      <c r="AF109" s="1455">
        <v>0</v>
      </c>
      <c r="AG109" s="1455">
        <v>0</v>
      </c>
      <c r="AH109" s="1455">
        <v>0</v>
      </c>
      <c r="AI109" s="1455">
        <v>0</v>
      </c>
      <c r="AJ109" s="1455">
        <v>0</v>
      </c>
      <c r="AK109" s="1455">
        <v>0</v>
      </c>
      <c r="AL109" s="1455">
        <v>0</v>
      </c>
      <c r="AM109" s="1455">
        <v>0</v>
      </c>
      <c r="AN109" s="1455">
        <v>0</v>
      </c>
      <c r="AO109" s="1455">
        <v>0</v>
      </c>
      <c r="AP109" s="77"/>
      <c r="AQ109" s="871">
        <f t="shared" si="118"/>
        <v>0</v>
      </c>
      <c r="AR109" s="871">
        <f t="shared" ref="AR109:BA112" si="1371">VLOOKUP($E109,Par,6,0)*L109/1000</f>
        <v>0</v>
      </c>
      <c r="AS109" s="871">
        <f t="shared" si="1371"/>
        <v>0</v>
      </c>
      <c r="AT109" s="871">
        <f t="shared" si="1371"/>
        <v>0</v>
      </c>
      <c r="AU109" s="871">
        <f t="shared" si="1371"/>
        <v>0</v>
      </c>
      <c r="AV109" s="871">
        <f t="shared" si="1371"/>
        <v>0</v>
      </c>
      <c r="AW109" s="871">
        <f t="shared" si="1371"/>
        <v>0</v>
      </c>
      <c r="AX109" s="871">
        <f t="shared" si="1371"/>
        <v>0</v>
      </c>
      <c r="AY109" s="871">
        <f t="shared" si="1371"/>
        <v>0</v>
      </c>
      <c r="AZ109" s="871">
        <f t="shared" si="1371"/>
        <v>0</v>
      </c>
      <c r="BA109" s="871">
        <f t="shared" si="1371"/>
        <v>0</v>
      </c>
      <c r="BB109" s="871">
        <f t="shared" ref="BB109:BK112" si="1372">VLOOKUP($E109,Par,6,0)*V109/1000</f>
        <v>0</v>
      </c>
      <c r="BC109" s="871">
        <f t="shared" si="1372"/>
        <v>0</v>
      </c>
      <c r="BD109" s="871">
        <f t="shared" si="1372"/>
        <v>0</v>
      </c>
      <c r="BE109" s="871">
        <f t="shared" si="1372"/>
        <v>0</v>
      </c>
      <c r="BF109" s="871">
        <f t="shared" si="1372"/>
        <v>0</v>
      </c>
      <c r="BG109" s="871">
        <f t="shared" si="1372"/>
        <v>0</v>
      </c>
      <c r="BH109" s="871">
        <f t="shared" si="1372"/>
        <v>0</v>
      </c>
      <c r="BI109" s="871">
        <f t="shared" si="1372"/>
        <v>0</v>
      </c>
      <c r="BJ109" s="871">
        <f t="shared" si="1372"/>
        <v>0</v>
      </c>
      <c r="BK109" s="871">
        <f t="shared" si="1372"/>
        <v>0</v>
      </c>
      <c r="BL109" s="871">
        <f t="shared" ref="BL109:BU110" si="1373">VLOOKUP($E109,Par,6,0)*AF109/1000</f>
        <v>0</v>
      </c>
      <c r="BM109" s="871">
        <f t="shared" si="1373"/>
        <v>0</v>
      </c>
      <c r="BN109" s="871">
        <f t="shared" si="1373"/>
        <v>0</v>
      </c>
      <c r="BO109" s="871">
        <f t="shared" si="1373"/>
        <v>0</v>
      </c>
      <c r="BP109" s="871">
        <f t="shared" si="1373"/>
        <v>0</v>
      </c>
      <c r="BQ109" s="871">
        <f t="shared" si="1373"/>
        <v>0</v>
      </c>
      <c r="BR109" s="871">
        <f t="shared" si="1373"/>
        <v>0</v>
      </c>
      <c r="BS109" s="871">
        <f t="shared" si="1373"/>
        <v>0</v>
      </c>
      <c r="BT109" s="871">
        <f t="shared" si="1373"/>
        <v>0</v>
      </c>
      <c r="BU109" s="871">
        <f t="shared" si="1373"/>
        <v>0</v>
      </c>
      <c r="BV109" s="1453"/>
      <c r="BW109" s="871">
        <f t="shared" si="117"/>
        <v>0</v>
      </c>
      <c r="BX109" s="871"/>
      <c r="BY109" s="871"/>
      <c r="BZ109" s="871"/>
      <c r="CA109" s="871"/>
      <c r="CB109" s="871"/>
      <c r="CC109" s="871"/>
      <c r="CD109" s="871"/>
      <c r="CE109" s="871"/>
      <c r="CF109" s="871"/>
      <c r="CG109" s="871"/>
      <c r="CH109" s="871"/>
      <c r="CI109" s="871"/>
      <c r="CJ109" s="871"/>
      <c r="CK109" s="871"/>
      <c r="CL109" s="871"/>
      <c r="CM109" s="871"/>
      <c r="CN109" s="871"/>
      <c r="CO109" s="871"/>
      <c r="CP109" s="871"/>
      <c r="CQ109" s="871"/>
      <c r="CR109" s="871"/>
      <c r="CS109" s="871"/>
      <c r="CT109" s="871"/>
      <c r="CU109" s="871"/>
      <c r="CV109" s="871"/>
      <c r="CW109" s="871"/>
      <c r="CX109" s="871"/>
      <c r="CY109" s="871"/>
      <c r="CZ109" s="871"/>
      <c r="DA109" s="871"/>
      <c r="DB109" s="41"/>
      <c r="DC109" s="871">
        <f t="shared" si="892"/>
        <v>0</v>
      </c>
      <c r="DD109" s="871">
        <f t="shared" si="893"/>
        <v>0</v>
      </c>
      <c r="DE109" s="871">
        <f t="shared" si="894"/>
        <v>0</v>
      </c>
      <c r="DF109" s="871">
        <f t="shared" si="895"/>
        <v>0</v>
      </c>
      <c r="DG109" s="871">
        <f t="shared" si="896"/>
        <v>0</v>
      </c>
      <c r="DH109" s="871">
        <f t="shared" si="897"/>
        <v>0</v>
      </c>
      <c r="DI109" s="871">
        <f t="shared" si="898"/>
        <v>0</v>
      </c>
      <c r="DJ109" s="871">
        <f t="shared" si="899"/>
        <v>0</v>
      </c>
      <c r="DK109" s="871">
        <f t="shared" si="900"/>
        <v>0</v>
      </c>
      <c r="DL109" s="871">
        <f t="shared" si="901"/>
        <v>0</v>
      </c>
      <c r="DM109" s="871">
        <f t="shared" si="902"/>
        <v>0</v>
      </c>
      <c r="DN109" s="871">
        <f t="shared" si="903"/>
        <v>0</v>
      </c>
      <c r="DO109" s="871">
        <f t="shared" si="904"/>
        <v>0</v>
      </c>
      <c r="DP109" s="871">
        <f t="shared" si="905"/>
        <v>0</v>
      </c>
      <c r="DQ109" s="871">
        <f t="shared" si="906"/>
        <v>0</v>
      </c>
      <c r="DR109" s="871">
        <f t="shared" si="907"/>
        <v>0</v>
      </c>
      <c r="DS109" s="871">
        <f t="shared" si="908"/>
        <v>0</v>
      </c>
      <c r="DT109" s="871">
        <f t="shared" si="909"/>
        <v>0</v>
      </c>
      <c r="DU109" s="871">
        <f t="shared" si="910"/>
        <v>0</v>
      </c>
      <c r="DV109" s="871">
        <f t="shared" si="911"/>
        <v>0</v>
      </c>
      <c r="DW109" s="871">
        <f t="shared" si="912"/>
        <v>0</v>
      </c>
      <c r="DX109" s="871">
        <f t="shared" si="913"/>
        <v>0</v>
      </c>
      <c r="DY109" s="871">
        <f t="shared" si="914"/>
        <v>0</v>
      </c>
      <c r="DZ109" s="871">
        <f t="shared" si="915"/>
        <v>0</v>
      </c>
      <c r="EA109" s="871">
        <f t="shared" si="916"/>
        <v>0</v>
      </c>
      <c r="EB109" s="871">
        <f t="shared" si="917"/>
        <v>0</v>
      </c>
      <c r="EC109" s="871">
        <f t="shared" si="918"/>
        <v>0</v>
      </c>
      <c r="ED109" s="871">
        <f t="shared" si="919"/>
        <v>0</v>
      </c>
      <c r="EE109" s="871">
        <f t="shared" si="920"/>
        <v>0</v>
      </c>
      <c r="EF109" s="871">
        <f t="shared" si="921"/>
        <v>0</v>
      </c>
      <c r="EG109" s="871">
        <f t="shared" si="922"/>
        <v>0</v>
      </c>
      <c r="EH109" s="41"/>
      <c r="EI109" s="41"/>
      <c r="EJ109" s="41"/>
      <c r="EK109" s="41"/>
    </row>
    <row r="110" spans="1:141">
      <c r="A110" s="595"/>
      <c r="B110" s="598"/>
      <c r="C110" s="599"/>
      <c r="E110" s="866" t="s">
        <v>1695</v>
      </c>
      <c r="F110" s="867"/>
      <c r="G110" s="868"/>
      <c r="H110" s="867"/>
      <c r="I110" s="869"/>
      <c r="J110" s="869"/>
      <c r="K110" s="76"/>
      <c r="L110" s="1455">
        <v>0</v>
      </c>
      <c r="M110" s="1455">
        <v>0</v>
      </c>
      <c r="N110" s="1455">
        <v>0</v>
      </c>
      <c r="O110" s="1455">
        <v>0</v>
      </c>
      <c r="P110" s="1455">
        <v>0</v>
      </c>
      <c r="Q110" s="1455">
        <v>0</v>
      </c>
      <c r="R110" s="1455">
        <v>0</v>
      </c>
      <c r="S110" s="1455">
        <v>0</v>
      </c>
      <c r="T110" s="1455">
        <v>0</v>
      </c>
      <c r="U110" s="1455">
        <v>0</v>
      </c>
      <c r="V110" s="1455">
        <v>0</v>
      </c>
      <c r="W110" s="1455">
        <v>0</v>
      </c>
      <c r="X110" s="1455">
        <v>0</v>
      </c>
      <c r="Y110" s="1455">
        <v>0</v>
      </c>
      <c r="Z110" s="1455">
        <v>0</v>
      </c>
      <c r="AA110" s="1455">
        <v>0</v>
      </c>
      <c r="AB110" s="1455">
        <v>0</v>
      </c>
      <c r="AC110" s="1455">
        <v>0</v>
      </c>
      <c r="AD110" s="1455">
        <v>0</v>
      </c>
      <c r="AE110" s="1455">
        <v>0</v>
      </c>
      <c r="AF110" s="1455">
        <v>0</v>
      </c>
      <c r="AG110" s="1455">
        <v>0</v>
      </c>
      <c r="AH110" s="1455">
        <v>0</v>
      </c>
      <c r="AI110" s="1455">
        <v>0</v>
      </c>
      <c r="AJ110" s="1455">
        <v>0</v>
      </c>
      <c r="AK110" s="1455">
        <v>0</v>
      </c>
      <c r="AL110" s="1455">
        <v>0</v>
      </c>
      <c r="AM110" s="1455">
        <v>0</v>
      </c>
      <c r="AN110" s="1455">
        <v>0</v>
      </c>
      <c r="AO110" s="1455">
        <v>0</v>
      </c>
      <c r="AP110" s="77"/>
      <c r="AQ110" s="871">
        <f t="shared" si="118"/>
        <v>0</v>
      </c>
      <c r="AR110" s="871">
        <f t="shared" si="1371"/>
        <v>0</v>
      </c>
      <c r="AS110" s="871">
        <f t="shared" si="1371"/>
        <v>0</v>
      </c>
      <c r="AT110" s="871">
        <f t="shared" si="1371"/>
        <v>0</v>
      </c>
      <c r="AU110" s="871">
        <f t="shared" si="1371"/>
        <v>0</v>
      </c>
      <c r="AV110" s="871">
        <f t="shared" si="1371"/>
        <v>0</v>
      </c>
      <c r="AW110" s="871">
        <f t="shared" si="1371"/>
        <v>0</v>
      </c>
      <c r="AX110" s="871">
        <f t="shared" si="1371"/>
        <v>0</v>
      </c>
      <c r="AY110" s="871">
        <f t="shared" si="1371"/>
        <v>0</v>
      </c>
      <c r="AZ110" s="871">
        <f t="shared" si="1371"/>
        <v>0</v>
      </c>
      <c r="BA110" s="871">
        <f t="shared" si="1371"/>
        <v>0</v>
      </c>
      <c r="BB110" s="871">
        <f t="shared" si="1372"/>
        <v>0</v>
      </c>
      <c r="BC110" s="871">
        <f t="shared" si="1372"/>
        <v>0</v>
      </c>
      <c r="BD110" s="871">
        <f t="shared" si="1372"/>
        <v>0</v>
      </c>
      <c r="BE110" s="871">
        <f t="shared" si="1372"/>
        <v>0</v>
      </c>
      <c r="BF110" s="871">
        <f t="shared" si="1372"/>
        <v>0</v>
      </c>
      <c r="BG110" s="871">
        <f t="shared" si="1372"/>
        <v>0</v>
      </c>
      <c r="BH110" s="871">
        <f t="shared" si="1372"/>
        <v>0</v>
      </c>
      <c r="BI110" s="871">
        <f t="shared" si="1372"/>
        <v>0</v>
      </c>
      <c r="BJ110" s="871">
        <f t="shared" si="1372"/>
        <v>0</v>
      </c>
      <c r="BK110" s="871">
        <f t="shared" si="1372"/>
        <v>0</v>
      </c>
      <c r="BL110" s="871">
        <f t="shared" si="1373"/>
        <v>0</v>
      </c>
      <c r="BM110" s="871">
        <f t="shared" si="1373"/>
        <v>0</v>
      </c>
      <c r="BN110" s="871">
        <f t="shared" si="1373"/>
        <v>0</v>
      </c>
      <c r="BO110" s="871">
        <f t="shared" si="1373"/>
        <v>0</v>
      </c>
      <c r="BP110" s="871">
        <f t="shared" si="1373"/>
        <v>0</v>
      </c>
      <c r="BQ110" s="871">
        <f t="shared" si="1373"/>
        <v>0</v>
      </c>
      <c r="BR110" s="871">
        <f t="shared" si="1373"/>
        <v>0</v>
      </c>
      <c r="BS110" s="871">
        <f t="shared" si="1373"/>
        <v>0</v>
      </c>
      <c r="BT110" s="871">
        <f t="shared" si="1373"/>
        <v>0</v>
      </c>
      <c r="BU110" s="871">
        <f t="shared" si="1373"/>
        <v>0</v>
      </c>
      <c r="BV110" s="1453"/>
      <c r="BW110" s="871">
        <f t="shared" si="117"/>
        <v>0</v>
      </c>
      <c r="BX110" s="871"/>
      <c r="BY110" s="871"/>
      <c r="BZ110" s="871"/>
      <c r="CA110" s="871"/>
      <c r="CB110" s="871"/>
      <c r="CC110" s="871"/>
      <c r="CD110" s="871"/>
      <c r="CE110" s="871"/>
      <c r="CF110" s="871"/>
      <c r="CG110" s="871"/>
      <c r="CH110" s="871"/>
      <c r="CI110" s="871"/>
      <c r="CJ110" s="871"/>
      <c r="CK110" s="871"/>
      <c r="CL110" s="871"/>
      <c r="CM110" s="871"/>
      <c r="CN110" s="871"/>
      <c r="CO110" s="871"/>
      <c r="CP110" s="871"/>
      <c r="CQ110" s="871"/>
      <c r="CR110" s="871"/>
      <c r="CS110" s="871"/>
      <c r="CT110" s="871"/>
      <c r="CU110" s="871"/>
      <c r="CV110" s="871"/>
      <c r="CW110" s="871"/>
      <c r="CX110" s="871"/>
      <c r="CY110" s="871"/>
      <c r="CZ110" s="871"/>
      <c r="DA110" s="871"/>
      <c r="DB110" s="41"/>
      <c r="DC110" s="871">
        <f t="shared" si="892"/>
        <v>0</v>
      </c>
      <c r="DD110" s="871">
        <f t="shared" si="893"/>
        <v>0</v>
      </c>
      <c r="DE110" s="871">
        <f t="shared" si="894"/>
        <v>0</v>
      </c>
      <c r="DF110" s="871">
        <f t="shared" si="895"/>
        <v>0</v>
      </c>
      <c r="DG110" s="871">
        <f t="shared" si="896"/>
        <v>0</v>
      </c>
      <c r="DH110" s="871">
        <f t="shared" si="897"/>
        <v>0</v>
      </c>
      <c r="DI110" s="871">
        <f t="shared" si="898"/>
        <v>0</v>
      </c>
      <c r="DJ110" s="871">
        <f t="shared" si="899"/>
        <v>0</v>
      </c>
      <c r="DK110" s="871">
        <f t="shared" si="900"/>
        <v>0</v>
      </c>
      <c r="DL110" s="871">
        <f t="shared" si="901"/>
        <v>0</v>
      </c>
      <c r="DM110" s="871">
        <f t="shared" si="902"/>
        <v>0</v>
      </c>
      <c r="DN110" s="871">
        <f t="shared" si="903"/>
        <v>0</v>
      </c>
      <c r="DO110" s="871">
        <f t="shared" si="904"/>
        <v>0</v>
      </c>
      <c r="DP110" s="871">
        <f t="shared" si="905"/>
        <v>0</v>
      </c>
      <c r="DQ110" s="871">
        <f t="shared" si="906"/>
        <v>0</v>
      </c>
      <c r="DR110" s="871">
        <f t="shared" si="907"/>
        <v>0</v>
      </c>
      <c r="DS110" s="871">
        <f t="shared" si="908"/>
        <v>0</v>
      </c>
      <c r="DT110" s="871">
        <f t="shared" si="909"/>
        <v>0</v>
      </c>
      <c r="DU110" s="871">
        <f t="shared" si="910"/>
        <v>0</v>
      </c>
      <c r="DV110" s="871">
        <f t="shared" si="911"/>
        <v>0</v>
      </c>
      <c r="DW110" s="871">
        <f t="shared" si="912"/>
        <v>0</v>
      </c>
      <c r="DX110" s="871">
        <f t="shared" si="913"/>
        <v>0</v>
      </c>
      <c r="DY110" s="871">
        <f t="shared" si="914"/>
        <v>0</v>
      </c>
      <c r="DZ110" s="871">
        <f t="shared" si="915"/>
        <v>0</v>
      </c>
      <c r="EA110" s="871">
        <f t="shared" si="916"/>
        <v>0</v>
      </c>
      <c r="EB110" s="871">
        <f t="shared" si="917"/>
        <v>0</v>
      </c>
      <c r="EC110" s="871">
        <f t="shared" si="918"/>
        <v>0</v>
      </c>
      <c r="ED110" s="871">
        <f t="shared" si="919"/>
        <v>0</v>
      </c>
      <c r="EE110" s="871">
        <f t="shared" si="920"/>
        <v>0</v>
      </c>
      <c r="EF110" s="871">
        <f t="shared" si="921"/>
        <v>0</v>
      </c>
      <c r="EG110" s="871">
        <f t="shared" si="922"/>
        <v>0</v>
      </c>
      <c r="EH110" s="41"/>
      <c r="EI110" s="41"/>
      <c r="EJ110" s="41"/>
      <c r="EK110" s="41"/>
    </row>
    <row r="111" spans="1:141">
      <c r="A111" s="595"/>
      <c r="B111" s="598"/>
      <c r="C111" s="599"/>
      <c r="D111" s="29">
        <v>4</v>
      </c>
      <c r="E111" s="1489" t="s">
        <v>1696</v>
      </c>
      <c r="F111" s="867"/>
      <c r="G111" s="868"/>
      <c r="H111" s="867"/>
      <c r="I111" s="869"/>
      <c r="J111" s="869"/>
      <c r="K111" s="76"/>
      <c r="L111" s="1479"/>
      <c r="M111" s="1479"/>
      <c r="N111" s="1479"/>
      <c r="O111" s="1479"/>
      <c r="P111" s="1479"/>
      <c r="Q111" s="1479"/>
      <c r="R111" s="1479"/>
      <c r="S111" s="1479"/>
      <c r="T111" s="1479"/>
      <c r="U111" s="1479"/>
      <c r="V111" s="1479"/>
      <c r="W111" s="1479"/>
      <c r="X111" s="1479"/>
      <c r="Y111" s="1479"/>
      <c r="Z111" s="1479"/>
      <c r="AA111" s="1479"/>
      <c r="AB111" s="1479"/>
      <c r="AC111" s="1479"/>
      <c r="AD111" s="1479"/>
      <c r="AE111" s="1479"/>
      <c r="AF111" s="1479"/>
      <c r="AG111" s="1479"/>
      <c r="AH111" s="1479"/>
      <c r="AI111" s="1479"/>
      <c r="AJ111" s="1479"/>
      <c r="AK111" s="1479"/>
      <c r="AL111" s="1479"/>
      <c r="AM111" s="1479"/>
      <c r="AN111" s="1479"/>
      <c r="AO111" s="1479"/>
      <c r="AP111" s="77"/>
      <c r="AQ111" s="1496">
        <f>SUBTOTAL(9,AQ112:AQ113)</f>
        <v>0</v>
      </c>
      <c r="AR111" s="1496">
        <f t="shared" ref="AR111" si="1374">SUBTOTAL(9,AR112:AR113)</f>
        <v>0</v>
      </c>
      <c r="AS111" s="1496">
        <f t="shared" ref="AS111" si="1375">SUBTOTAL(9,AS112:AS113)</f>
        <v>0</v>
      </c>
      <c r="AT111" s="1496">
        <f t="shared" ref="AT111" si="1376">SUBTOTAL(9,AT112:AT113)</f>
        <v>0</v>
      </c>
      <c r="AU111" s="1496">
        <f t="shared" ref="AU111" si="1377">SUBTOTAL(9,AU112:AU113)</f>
        <v>0</v>
      </c>
      <c r="AV111" s="1496">
        <f t="shared" ref="AV111" si="1378">SUBTOTAL(9,AV112:AV113)</f>
        <v>0</v>
      </c>
      <c r="AW111" s="1496">
        <f t="shared" ref="AW111" si="1379">SUBTOTAL(9,AW112:AW113)</f>
        <v>0</v>
      </c>
      <c r="AX111" s="1496">
        <f t="shared" ref="AX111" si="1380">SUBTOTAL(9,AX112:AX113)</f>
        <v>0</v>
      </c>
      <c r="AY111" s="1496">
        <f t="shared" ref="AY111" si="1381">SUBTOTAL(9,AY112:AY113)</f>
        <v>0</v>
      </c>
      <c r="AZ111" s="1496">
        <f t="shared" ref="AZ111" si="1382">SUBTOTAL(9,AZ112:AZ113)</f>
        <v>0</v>
      </c>
      <c r="BA111" s="1496">
        <f t="shared" ref="BA111" si="1383">SUBTOTAL(9,BA112:BA113)</f>
        <v>0</v>
      </c>
      <c r="BB111" s="1496">
        <f t="shared" ref="BB111" si="1384">SUBTOTAL(9,BB112:BB113)</f>
        <v>0</v>
      </c>
      <c r="BC111" s="1496">
        <f t="shared" ref="BC111" si="1385">SUBTOTAL(9,BC112:BC113)</f>
        <v>0</v>
      </c>
      <c r="BD111" s="1496">
        <f t="shared" ref="BD111" si="1386">SUBTOTAL(9,BD112:BD113)</f>
        <v>0</v>
      </c>
      <c r="BE111" s="1496">
        <f t="shared" ref="BE111" si="1387">SUBTOTAL(9,BE112:BE113)</f>
        <v>0</v>
      </c>
      <c r="BF111" s="1496">
        <f t="shared" ref="BF111" si="1388">SUBTOTAL(9,BF112:BF113)</f>
        <v>0</v>
      </c>
      <c r="BG111" s="1496">
        <f t="shared" ref="BG111" si="1389">SUBTOTAL(9,BG112:BG113)</f>
        <v>0</v>
      </c>
      <c r="BH111" s="1496">
        <f t="shared" ref="BH111" si="1390">SUBTOTAL(9,BH112:BH113)</f>
        <v>0</v>
      </c>
      <c r="BI111" s="1496">
        <f t="shared" ref="BI111" si="1391">SUBTOTAL(9,BI112:BI113)</f>
        <v>0</v>
      </c>
      <c r="BJ111" s="1496">
        <f t="shared" ref="BJ111" si="1392">SUBTOTAL(9,BJ112:BJ113)</f>
        <v>0</v>
      </c>
      <c r="BK111" s="1496">
        <f t="shared" ref="BK111" si="1393">SUBTOTAL(9,BK112:BK113)</f>
        <v>0</v>
      </c>
      <c r="BL111" s="1496">
        <f t="shared" ref="BL111" si="1394">SUBTOTAL(9,BL112:BL113)</f>
        <v>0</v>
      </c>
      <c r="BM111" s="1496">
        <f t="shared" ref="BM111" si="1395">SUBTOTAL(9,BM112:BM113)</f>
        <v>0</v>
      </c>
      <c r="BN111" s="1496">
        <f t="shared" ref="BN111" si="1396">SUBTOTAL(9,BN112:BN113)</f>
        <v>0</v>
      </c>
      <c r="BO111" s="1496">
        <f t="shared" ref="BO111:BU111" si="1397">SUBTOTAL(9,BO112:BO113)</f>
        <v>0</v>
      </c>
      <c r="BP111" s="1496">
        <f t="shared" si="1397"/>
        <v>0</v>
      </c>
      <c r="BQ111" s="1496">
        <f t="shared" si="1397"/>
        <v>0</v>
      </c>
      <c r="BR111" s="1496">
        <f t="shared" si="1397"/>
        <v>0</v>
      </c>
      <c r="BS111" s="1496">
        <f t="shared" si="1397"/>
        <v>0</v>
      </c>
      <c r="BT111" s="1496">
        <f t="shared" si="1397"/>
        <v>0</v>
      </c>
      <c r="BU111" s="1496">
        <f t="shared" si="1397"/>
        <v>0</v>
      </c>
      <c r="BV111" s="1453"/>
      <c r="BW111" s="1496">
        <f t="shared" ref="BW111" ca="1" si="1398">SUBTOTAL(9,BW112:BW113)</f>
        <v>0</v>
      </c>
      <c r="BX111" s="1496">
        <f t="shared" ref="BX111" ca="1" si="1399">SUBTOTAL(9,BX112:BX113)</f>
        <v>0</v>
      </c>
      <c r="BY111" s="1496">
        <f t="shared" ref="BY111" ca="1" si="1400">SUBTOTAL(9,BY112:BY113)</f>
        <v>0</v>
      </c>
      <c r="BZ111" s="1496">
        <f t="shared" ref="BZ111" ca="1" si="1401">SUBTOTAL(9,BZ112:BZ113)</f>
        <v>0</v>
      </c>
      <c r="CA111" s="1496">
        <f t="shared" ref="CA111" ca="1" si="1402">SUBTOTAL(9,CA112:CA113)</f>
        <v>0</v>
      </c>
      <c r="CB111" s="1496">
        <f t="shared" ref="CB111" ca="1" si="1403">SUBTOTAL(9,CB112:CB113)</f>
        <v>0</v>
      </c>
      <c r="CC111" s="1496">
        <f t="shared" ref="CC111" ca="1" si="1404">SUBTOTAL(9,CC112:CC113)</f>
        <v>0</v>
      </c>
      <c r="CD111" s="1496">
        <f t="shared" ref="CD111" ca="1" si="1405">SUBTOTAL(9,CD112:CD113)</f>
        <v>0</v>
      </c>
      <c r="CE111" s="1496">
        <f t="shared" ref="CE111" ca="1" si="1406">SUBTOTAL(9,CE112:CE113)</f>
        <v>0</v>
      </c>
      <c r="CF111" s="1496">
        <f t="shared" ref="CF111" ca="1" si="1407">SUBTOTAL(9,CF112:CF113)</f>
        <v>0</v>
      </c>
      <c r="CG111" s="1496">
        <f t="shared" ref="CG111" ca="1" si="1408">SUBTOTAL(9,CG112:CG113)</f>
        <v>0</v>
      </c>
      <c r="CH111" s="1496">
        <f t="shared" ref="CH111" ca="1" si="1409">SUBTOTAL(9,CH112:CH113)</f>
        <v>0</v>
      </c>
      <c r="CI111" s="1496">
        <f t="shared" ref="CI111" ca="1" si="1410">SUBTOTAL(9,CI112:CI113)</f>
        <v>0</v>
      </c>
      <c r="CJ111" s="1496">
        <f t="shared" ref="CJ111" ca="1" si="1411">SUBTOTAL(9,CJ112:CJ113)</f>
        <v>0</v>
      </c>
      <c r="CK111" s="1496">
        <f t="shared" ref="CK111" ca="1" si="1412">SUBTOTAL(9,CK112:CK113)</f>
        <v>0</v>
      </c>
      <c r="CL111" s="1496">
        <f t="shared" ref="CL111" ca="1" si="1413">SUBTOTAL(9,CL112:CL113)</f>
        <v>0</v>
      </c>
      <c r="CM111" s="1496">
        <f t="shared" ref="CM111" ca="1" si="1414">SUBTOTAL(9,CM112:CM113)</f>
        <v>0</v>
      </c>
      <c r="CN111" s="1496">
        <f t="shared" ref="CN111" ca="1" si="1415">SUBTOTAL(9,CN112:CN113)</f>
        <v>0</v>
      </c>
      <c r="CO111" s="1496">
        <f t="shared" ref="CO111" ca="1" si="1416">SUBTOTAL(9,CO112:CO113)</f>
        <v>0</v>
      </c>
      <c r="CP111" s="1496">
        <f t="shared" ref="CP111" ca="1" si="1417">SUBTOTAL(9,CP112:CP113)</f>
        <v>0</v>
      </c>
      <c r="CQ111" s="1496">
        <f t="shared" ref="CQ111" ca="1" si="1418">SUBTOTAL(9,CQ112:CQ113)</f>
        <v>0</v>
      </c>
      <c r="CR111" s="1496">
        <f t="shared" ref="CR111" ca="1" si="1419">SUBTOTAL(9,CR112:CR113)</f>
        <v>0</v>
      </c>
      <c r="CS111" s="1496">
        <f t="shared" ref="CS111" ca="1" si="1420">SUBTOTAL(9,CS112:CS113)</f>
        <v>0</v>
      </c>
      <c r="CT111" s="1496">
        <f t="shared" ref="CT111" ca="1" si="1421">SUBTOTAL(9,CT112:CT113)</f>
        <v>0</v>
      </c>
      <c r="CU111" s="1496">
        <f t="shared" ref="CU111:DA111" ca="1" si="1422">SUBTOTAL(9,CU112:CU113)</f>
        <v>0</v>
      </c>
      <c r="CV111" s="1496">
        <f t="shared" ca="1" si="1422"/>
        <v>0</v>
      </c>
      <c r="CW111" s="1496">
        <f t="shared" ca="1" si="1422"/>
        <v>0</v>
      </c>
      <c r="CX111" s="1496">
        <f t="shared" ca="1" si="1422"/>
        <v>0</v>
      </c>
      <c r="CY111" s="1496">
        <f t="shared" ca="1" si="1422"/>
        <v>0</v>
      </c>
      <c r="CZ111" s="1496">
        <f t="shared" ca="1" si="1422"/>
        <v>0</v>
      </c>
      <c r="DA111" s="1496">
        <f t="shared" ca="1" si="1422"/>
        <v>0</v>
      </c>
      <c r="DB111" s="41"/>
      <c r="DC111" s="1496">
        <f t="shared" ca="1" si="892"/>
        <v>0</v>
      </c>
      <c r="DD111" s="1496">
        <f t="shared" ca="1" si="893"/>
        <v>0</v>
      </c>
      <c r="DE111" s="1496">
        <f t="shared" ca="1" si="894"/>
        <v>0</v>
      </c>
      <c r="DF111" s="1496">
        <f t="shared" ca="1" si="895"/>
        <v>0</v>
      </c>
      <c r="DG111" s="1496">
        <f t="shared" ca="1" si="896"/>
        <v>0</v>
      </c>
      <c r="DH111" s="1496">
        <f t="shared" ca="1" si="897"/>
        <v>0</v>
      </c>
      <c r="DI111" s="1496">
        <f t="shared" ca="1" si="898"/>
        <v>0</v>
      </c>
      <c r="DJ111" s="1496">
        <f t="shared" ca="1" si="899"/>
        <v>0</v>
      </c>
      <c r="DK111" s="1496">
        <f t="shared" ca="1" si="900"/>
        <v>0</v>
      </c>
      <c r="DL111" s="1496">
        <f t="shared" ca="1" si="901"/>
        <v>0</v>
      </c>
      <c r="DM111" s="1496">
        <f t="shared" ca="1" si="902"/>
        <v>0</v>
      </c>
      <c r="DN111" s="1496">
        <f t="shared" ca="1" si="903"/>
        <v>0</v>
      </c>
      <c r="DO111" s="1496">
        <f t="shared" ca="1" si="904"/>
        <v>0</v>
      </c>
      <c r="DP111" s="1496">
        <f t="shared" ca="1" si="905"/>
        <v>0</v>
      </c>
      <c r="DQ111" s="1496">
        <f t="shared" ca="1" si="906"/>
        <v>0</v>
      </c>
      <c r="DR111" s="1496">
        <f t="shared" ca="1" si="907"/>
        <v>0</v>
      </c>
      <c r="DS111" s="1496">
        <f t="shared" ca="1" si="908"/>
        <v>0</v>
      </c>
      <c r="DT111" s="1496">
        <f t="shared" ca="1" si="909"/>
        <v>0</v>
      </c>
      <c r="DU111" s="1496">
        <f t="shared" ca="1" si="910"/>
        <v>0</v>
      </c>
      <c r="DV111" s="1496">
        <f t="shared" ca="1" si="911"/>
        <v>0</v>
      </c>
      <c r="DW111" s="1496">
        <f t="shared" ca="1" si="912"/>
        <v>0</v>
      </c>
      <c r="DX111" s="1496">
        <f t="shared" ca="1" si="913"/>
        <v>0</v>
      </c>
      <c r="DY111" s="1496">
        <f t="shared" ca="1" si="914"/>
        <v>0</v>
      </c>
      <c r="DZ111" s="1496">
        <f t="shared" ca="1" si="915"/>
        <v>0</v>
      </c>
      <c r="EA111" s="1496">
        <f t="shared" ca="1" si="916"/>
        <v>0</v>
      </c>
      <c r="EB111" s="1496">
        <f t="shared" ca="1" si="917"/>
        <v>0</v>
      </c>
      <c r="EC111" s="1496">
        <f t="shared" ca="1" si="918"/>
        <v>0</v>
      </c>
      <c r="ED111" s="1496">
        <f t="shared" ca="1" si="919"/>
        <v>0</v>
      </c>
      <c r="EE111" s="1496">
        <f t="shared" ca="1" si="920"/>
        <v>0</v>
      </c>
      <c r="EF111" s="1496">
        <f t="shared" ca="1" si="921"/>
        <v>0</v>
      </c>
      <c r="EG111" s="1496">
        <f t="shared" ca="1" si="922"/>
        <v>0</v>
      </c>
      <c r="EH111" s="41"/>
      <c r="EI111" s="41"/>
      <c r="EJ111" s="41"/>
      <c r="EK111" s="41"/>
    </row>
    <row r="112" spans="1:141" s="408" customFormat="1">
      <c r="A112" s="595"/>
      <c r="B112" s="598"/>
      <c r="C112" s="599"/>
      <c r="D112" s="29"/>
      <c r="E112" s="1498" t="s">
        <v>1697</v>
      </c>
      <c r="F112" s="867"/>
      <c r="G112" s="868"/>
      <c r="H112" s="867"/>
      <c r="I112" s="869"/>
      <c r="J112" s="869"/>
      <c r="K112" s="76"/>
      <c r="L112" s="1455"/>
      <c r="M112" s="1455">
        <v>0</v>
      </c>
      <c r="N112" s="1455">
        <v>0</v>
      </c>
      <c r="O112" s="1455">
        <v>0</v>
      </c>
      <c r="P112" s="1455">
        <v>0</v>
      </c>
      <c r="Q112" s="1455">
        <v>0</v>
      </c>
      <c r="R112" s="1455">
        <v>0</v>
      </c>
      <c r="S112" s="1455">
        <v>0</v>
      </c>
      <c r="T112" s="1455">
        <v>0</v>
      </c>
      <c r="U112" s="1455">
        <v>0</v>
      </c>
      <c r="V112" s="1455">
        <v>0</v>
      </c>
      <c r="W112" s="1455">
        <v>0</v>
      </c>
      <c r="X112" s="1455">
        <v>0</v>
      </c>
      <c r="Y112" s="1455">
        <v>0</v>
      </c>
      <c r="Z112" s="1455">
        <v>0</v>
      </c>
      <c r="AA112" s="1455">
        <v>0</v>
      </c>
      <c r="AB112" s="1455">
        <v>0</v>
      </c>
      <c r="AC112" s="1455">
        <v>0</v>
      </c>
      <c r="AD112" s="1455">
        <v>0</v>
      </c>
      <c r="AE112" s="1455">
        <v>0</v>
      </c>
      <c r="AF112" s="1455">
        <v>0</v>
      </c>
      <c r="AG112" s="1455">
        <v>0</v>
      </c>
      <c r="AH112" s="1455">
        <v>0</v>
      </c>
      <c r="AI112" s="1455">
        <v>0</v>
      </c>
      <c r="AJ112" s="1455">
        <v>0</v>
      </c>
      <c r="AK112" s="1455">
        <v>0</v>
      </c>
      <c r="AL112" s="1455">
        <v>0</v>
      </c>
      <c r="AM112" s="1455">
        <v>0</v>
      </c>
      <c r="AN112" s="1455">
        <v>0</v>
      </c>
      <c r="AO112" s="1455">
        <v>0</v>
      </c>
      <c r="AP112" s="77"/>
      <c r="AQ112" s="871">
        <f t="shared" si="118"/>
        <v>0</v>
      </c>
      <c r="AR112" s="871">
        <f t="shared" si="1371"/>
        <v>0</v>
      </c>
      <c r="AS112" s="871">
        <f t="shared" si="1371"/>
        <v>0</v>
      </c>
      <c r="AT112" s="871">
        <f t="shared" si="1371"/>
        <v>0</v>
      </c>
      <c r="AU112" s="871">
        <f t="shared" si="1371"/>
        <v>0</v>
      </c>
      <c r="AV112" s="871">
        <f t="shared" si="1371"/>
        <v>0</v>
      </c>
      <c r="AW112" s="871">
        <f t="shared" si="1371"/>
        <v>0</v>
      </c>
      <c r="AX112" s="871">
        <f t="shared" si="1371"/>
        <v>0</v>
      </c>
      <c r="AY112" s="871">
        <f t="shared" si="1371"/>
        <v>0</v>
      </c>
      <c r="AZ112" s="871">
        <f t="shared" si="1371"/>
        <v>0</v>
      </c>
      <c r="BA112" s="871">
        <f t="shared" si="1371"/>
        <v>0</v>
      </c>
      <c r="BB112" s="871">
        <f t="shared" si="1372"/>
        <v>0</v>
      </c>
      <c r="BC112" s="871">
        <f t="shared" si="1372"/>
        <v>0</v>
      </c>
      <c r="BD112" s="871">
        <f t="shared" si="1372"/>
        <v>0</v>
      </c>
      <c r="BE112" s="871">
        <f t="shared" si="1372"/>
        <v>0</v>
      </c>
      <c r="BF112" s="871">
        <f t="shared" si="1372"/>
        <v>0</v>
      </c>
      <c r="BG112" s="871">
        <f t="shared" si="1372"/>
        <v>0</v>
      </c>
      <c r="BH112" s="871">
        <f t="shared" si="1372"/>
        <v>0</v>
      </c>
      <c r="BI112" s="871">
        <f t="shared" si="1372"/>
        <v>0</v>
      </c>
      <c r="BJ112" s="871">
        <f t="shared" si="1372"/>
        <v>0</v>
      </c>
      <c r="BK112" s="871">
        <f t="shared" si="1372"/>
        <v>0</v>
      </c>
      <c r="BL112" s="871">
        <f t="shared" ref="BL112:BU113" si="1423">VLOOKUP($E112,Par,6,0)*AF112/1000</f>
        <v>0</v>
      </c>
      <c r="BM112" s="871">
        <f t="shared" si="1423"/>
        <v>0</v>
      </c>
      <c r="BN112" s="871">
        <f t="shared" si="1423"/>
        <v>0</v>
      </c>
      <c r="BO112" s="871">
        <f t="shared" si="1423"/>
        <v>0</v>
      </c>
      <c r="BP112" s="871">
        <f t="shared" si="1423"/>
        <v>0</v>
      </c>
      <c r="BQ112" s="871">
        <f t="shared" si="1423"/>
        <v>0</v>
      </c>
      <c r="BR112" s="871">
        <f t="shared" si="1423"/>
        <v>0</v>
      </c>
      <c r="BS112" s="871">
        <f t="shared" si="1423"/>
        <v>0</v>
      </c>
      <c r="BT112" s="871">
        <f t="shared" si="1423"/>
        <v>0</v>
      </c>
      <c r="BU112" s="871">
        <f t="shared" si="1423"/>
        <v>0</v>
      </c>
      <c r="BV112" s="1453"/>
      <c r="BW112" s="871">
        <f t="shared" si="117"/>
        <v>0</v>
      </c>
      <c r="BX112" s="871"/>
      <c r="BY112" s="871"/>
      <c r="BZ112" s="871"/>
      <c r="CA112" s="871"/>
      <c r="CB112" s="871"/>
      <c r="CC112" s="871"/>
      <c r="CD112" s="871"/>
      <c r="CE112" s="871"/>
      <c r="CF112" s="871"/>
      <c r="CG112" s="871"/>
      <c r="CH112" s="871"/>
      <c r="CI112" s="871"/>
      <c r="CJ112" s="871"/>
      <c r="CK112" s="871"/>
      <c r="CL112" s="871"/>
      <c r="CM112" s="871"/>
      <c r="CN112" s="871"/>
      <c r="CO112" s="871"/>
      <c r="CP112" s="871"/>
      <c r="CQ112" s="871"/>
      <c r="CR112" s="871"/>
      <c r="CS112" s="871"/>
      <c r="CT112" s="871"/>
      <c r="CU112" s="871"/>
      <c r="CV112" s="871"/>
      <c r="CW112" s="871"/>
      <c r="CX112" s="871"/>
      <c r="CY112" s="871"/>
      <c r="CZ112" s="871"/>
      <c r="DA112" s="871"/>
      <c r="DB112" s="41"/>
      <c r="DC112" s="871">
        <f t="shared" si="892"/>
        <v>0</v>
      </c>
      <c r="DD112" s="871">
        <f t="shared" si="893"/>
        <v>0</v>
      </c>
      <c r="DE112" s="871">
        <f t="shared" si="894"/>
        <v>0</v>
      </c>
      <c r="DF112" s="871">
        <f t="shared" si="895"/>
        <v>0</v>
      </c>
      <c r="DG112" s="871">
        <f t="shared" si="896"/>
        <v>0</v>
      </c>
      <c r="DH112" s="871">
        <f t="shared" si="897"/>
        <v>0</v>
      </c>
      <c r="DI112" s="871">
        <f t="shared" si="898"/>
        <v>0</v>
      </c>
      <c r="DJ112" s="871">
        <f t="shared" si="899"/>
        <v>0</v>
      </c>
      <c r="DK112" s="871">
        <f t="shared" si="900"/>
        <v>0</v>
      </c>
      <c r="DL112" s="871">
        <f t="shared" si="901"/>
        <v>0</v>
      </c>
      <c r="DM112" s="871">
        <f t="shared" si="902"/>
        <v>0</v>
      </c>
      <c r="DN112" s="871">
        <f t="shared" si="903"/>
        <v>0</v>
      </c>
      <c r="DO112" s="871">
        <f t="shared" si="904"/>
        <v>0</v>
      </c>
      <c r="DP112" s="871">
        <f t="shared" si="905"/>
        <v>0</v>
      </c>
      <c r="DQ112" s="871">
        <f t="shared" si="906"/>
        <v>0</v>
      </c>
      <c r="DR112" s="871">
        <f t="shared" si="907"/>
        <v>0</v>
      </c>
      <c r="DS112" s="871">
        <f t="shared" si="908"/>
        <v>0</v>
      </c>
      <c r="DT112" s="871">
        <f t="shared" si="909"/>
        <v>0</v>
      </c>
      <c r="DU112" s="871">
        <f t="shared" si="910"/>
        <v>0</v>
      </c>
      <c r="DV112" s="871">
        <f t="shared" si="911"/>
        <v>0</v>
      </c>
      <c r="DW112" s="871">
        <f t="shared" si="912"/>
        <v>0</v>
      </c>
      <c r="DX112" s="871">
        <f t="shared" si="913"/>
        <v>0</v>
      </c>
      <c r="DY112" s="871">
        <f t="shared" si="914"/>
        <v>0</v>
      </c>
      <c r="DZ112" s="871">
        <f t="shared" si="915"/>
        <v>0</v>
      </c>
      <c r="EA112" s="871">
        <f t="shared" si="916"/>
        <v>0</v>
      </c>
      <c r="EB112" s="871">
        <f t="shared" si="917"/>
        <v>0</v>
      </c>
      <c r="EC112" s="871">
        <f t="shared" si="918"/>
        <v>0</v>
      </c>
      <c r="ED112" s="871">
        <f t="shared" si="919"/>
        <v>0</v>
      </c>
      <c r="EE112" s="871">
        <f t="shared" si="920"/>
        <v>0</v>
      </c>
      <c r="EF112" s="871">
        <f t="shared" si="921"/>
        <v>0</v>
      </c>
      <c r="EG112" s="871">
        <f t="shared" si="922"/>
        <v>0</v>
      </c>
      <c r="EH112" s="41"/>
      <c r="EI112" s="41"/>
      <c r="EJ112" s="41"/>
      <c r="EK112" s="41"/>
    </row>
    <row r="113" spans="1:141" ht="12.75" customHeight="1">
      <c r="A113" s="595"/>
      <c r="B113" s="598"/>
      <c r="C113" s="599"/>
      <c r="E113" s="1516" t="s">
        <v>1651</v>
      </c>
      <c r="F113" s="867" t="s">
        <v>1664</v>
      </c>
      <c r="G113" s="868">
        <v>8</v>
      </c>
      <c r="H113" s="867">
        <v>5000</v>
      </c>
      <c r="I113" s="869">
        <v>0.05</v>
      </c>
      <c r="J113" s="869">
        <v>0.03</v>
      </c>
      <c r="K113" s="76"/>
      <c r="L113" s="1455"/>
      <c r="M113" s="1455">
        <v>0</v>
      </c>
      <c r="N113" s="1455">
        <v>0</v>
      </c>
      <c r="O113" s="1455">
        <v>0</v>
      </c>
      <c r="P113" s="1455">
        <v>0</v>
      </c>
      <c r="Q113" s="1455">
        <v>0</v>
      </c>
      <c r="R113" s="1455">
        <v>0</v>
      </c>
      <c r="S113" s="1455">
        <v>0</v>
      </c>
      <c r="T113" s="1455">
        <v>0</v>
      </c>
      <c r="U113" s="1455">
        <v>0</v>
      </c>
      <c r="V113" s="1455">
        <v>0</v>
      </c>
      <c r="W113" s="1455">
        <v>0</v>
      </c>
      <c r="X113" s="1455">
        <v>0</v>
      </c>
      <c r="Y113" s="1455">
        <v>0</v>
      </c>
      <c r="Z113" s="1455">
        <v>0</v>
      </c>
      <c r="AA113" s="1455">
        <v>0</v>
      </c>
      <c r="AB113" s="1455">
        <v>0</v>
      </c>
      <c r="AC113" s="1455">
        <v>0</v>
      </c>
      <c r="AD113" s="1455">
        <v>0</v>
      </c>
      <c r="AE113" s="1455">
        <v>0</v>
      </c>
      <c r="AF113" s="1455">
        <v>0</v>
      </c>
      <c r="AG113" s="1455">
        <v>0</v>
      </c>
      <c r="AH113" s="1455">
        <v>0</v>
      </c>
      <c r="AI113" s="1455">
        <v>0</v>
      </c>
      <c r="AJ113" s="1455">
        <v>0</v>
      </c>
      <c r="AK113" s="1455">
        <v>0</v>
      </c>
      <c r="AL113" s="1455">
        <v>0</v>
      </c>
      <c r="AM113" s="1455">
        <v>0</v>
      </c>
      <c r="AN113" s="1455">
        <v>0</v>
      </c>
      <c r="AO113" s="1455">
        <v>0</v>
      </c>
      <c r="AP113" s="77"/>
      <c r="AQ113" s="871">
        <f>SUM(AR113:BU113)</f>
        <v>0</v>
      </c>
      <c r="AR113" s="871">
        <f t="shared" ref="AR113:BK113" si="1424">VLOOKUP($E113,Par,6,0)*L113/1000</f>
        <v>0</v>
      </c>
      <c r="AS113" s="871">
        <f t="shared" si="1424"/>
        <v>0</v>
      </c>
      <c r="AT113" s="871">
        <f t="shared" si="1424"/>
        <v>0</v>
      </c>
      <c r="AU113" s="871">
        <f t="shared" si="1424"/>
        <v>0</v>
      </c>
      <c r="AV113" s="871">
        <f t="shared" si="1424"/>
        <v>0</v>
      </c>
      <c r="AW113" s="871">
        <f t="shared" si="1424"/>
        <v>0</v>
      </c>
      <c r="AX113" s="871">
        <f t="shared" si="1424"/>
        <v>0</v>
      </c>
      <c r="AY113" s="871">
        <f t="shared" si="1424"/>
        <v>0</v>
      </c>
      <c r="AZ113" s="871">
        <f t="shared" si="1424"/>
        <v>0</v>
      </c>
      <c r="BA113" s="871">
        <f t="shared" si="1424"/>
        <v>0</v>
      </c>
      <c r="BB113" s="871">
        <f t="shared" si="1424"/>
        <v>0</v>
      </c>
      <c r="BC113" s="871">
        <f t="shared" si="1424"/>
        <v>0</v>
      </c>
      <c r="BD113" s="871">
        <f t="shared" si="1424"/>
        <v>0</v>
      </c>
      <c r="BE113" s="871">
        <f t="shared" si="1424"/>
        <v>0</v>
      </c>
      <c r="BF113" s="871">
        <f t="shared" si="1424"/>
        <v>0</v>
      </c>
      <c r="BG113" s="871">
        <f t="shared" si="1424"/>
        <v>0</v>
      </c>
      <c r="BH113" s="871">
        <f t="shared" si="1424"/>
        <v>0</v>
      </c>
      <c r="BI113" s="871">
        <f t="shared" si="1424"/>
        <v>0</v>
      </c>
      <c r="BJ113" s="871">
        <f t="shared" si="1424"/>
        <v>0</v>
      </c>
      <c r="BK113" s="871">
        <f t="shared" si="1424"/>
        <v>0</v>
      </c>
      <c r="BL113" s="871">
        <f t="shared" si="1423"/>
        <v>0</v>
      </c>
      <c r="BM113" s="871">
        <f t="shared" si="1423"/>
        <v>0</v>
      </c>
      <c r="BN113" s="871">
        <f t="shared" si="1423"/>
        <v>0</v>
      </c>
      <c r="BO113" s="871">
        <f t="shared" si="1423"/>
        <v>0</v>
      </c>
      <c r="BP113" s="871">
        <f t="shared" si="1423"/>
        <v>0</v>
      </c>
      <c r="BQ113" s="871">
        <f t="shared" si="1423"/>
        <v>0</v>
      </c>
      <c r="BR113" s="871">
        <f t="shared" si="1423"/>
        <v>0</v>
      </c>
      <c r="BS113" s="871">
        <f t="shared" si="1423"/>
        <v>0</v>
      </c>
      <c r="BT113" s="871">
        <f t="shared" si="1423"/>
        <v>0</v>
      </c>
      <c r="BU113" s="871">
        <f t="shared" si="1423"/>
        <v>0</v>
      </c>
      <c r="BV113" s="1453"/>
      <c r="BW113" s="871">
        <f ca="1">SUM(BX113:DA113)</f>
        <v>0</v>
      </c>
      <c r="BX113" s="871">
        <f t="shared" ref="BX113:DA113" ca="1" si="1425">($H113/$G113*INDIRECT($F113)+($I113+$J113)*VLOOKUP($E113,Par,2,0))*L113/1000</f>
        <v>0</v>
      </c>
      <c r="BY113" s="871">
        <f t="shared" ca="1" si="1425"/>
        <v>0</v>
      </c>
      <c r="BZ113" s="871">
        <f t="shared" ca="1" si="1425"/>
        <v>0</v>
      </c>
      <c r="CA113" s="871">
        <f t="shared" ca="1" si="1425"/>
        <v>0</v>
      </c>
      <c r="CB113" s="871">
        <f t="shared" ca="1" si="1425"/>
        <v>0</v>
      </c>
      <c r="CC113" s="871">
        <f t="shared" ca="1" si="1425"/>
        <v>0</v>
      </c>
      <c r="CD113" s="871">
        <f t="shared" ca="1" si="1425"/>
        <v>0</v>
      </c>
      <c r="CE113" s="871">
        <f t="shared" ca="1" si="1425"/>
        <v>0</v>
      </c>
      <c r="CF113" s="871">
        <f t="shared" ca="1" si="1425"/>
        <v>0</v>
      </c>
      <c r="CG113" s="871">
        <f t="shared" ca="1" si="1425"/>
        <v>0</v>
      </c>
      <c r="CH113" s="871">
        <f t="shared" ca="1" si="1425"/>
        <v>0</v>
      </c>
      <c r="CI113" s="871">
        <f t="shared" ca="1" si="1425"/>
        <v>0</v>
      </c>
      <c r="CJ113" s="871">
        <f t="shared" ca="1" si="1425"/>
        <v>0</v>
      </c>
      <c r="CK113" s="871">
        <f t="shared" ca="1" si="1425"/>
        <v>0</v>
      </c>
      <c r="CL113" s="871">
        <f t="shared" ca="1" si="1425"/>
        <v>0</v>
      </c>
      <c r="CM113" s="871">
        <f t="shared" ca="1" si="1425"/>
        <v>0</v>
      </c>
      <c r="CN113" s="871">
        <f t="shared" ca="1" si="1425"/>
        <v>0</v>
      </c>
      <c r="CO113" s="871">
        <f t="shared" ca="1" si="1425"/>
        <v>0</v>
      </c>
      <c r="CP113" s="871">
        <f t="shared" ca="1" si="1425"/>
        <v>0</v>
      </c>
      <c r="CQ113" s="871">
        <f t="shared" ca="1" si="1425"/>
        <v>0</v>
      </c>
      <c r="CR113" s="871">
        <f t="shared" ca="1" si="1425"/>
        <v>0</v>
      </c>
      <c r="CS113" s="871">
        <f t="shared" ca="1" si="1425"/>
        <v>0</v>
      </c>
      <c r="CT113" s="871">
        <f t="shared" ca="1" si="1425"/>
        <v>0</v>
      </c>
      <c r="CU113" s="871">
        <f t="shared" ca="1" si="1425"/>
        <v>0</v>
      </c>
      <c r="CV113" s="871">
        <f t="shared" ca="1" si="1425"/>
        <v>0</v>
      </c>
      <c r="CW113" s="871">
        <f t="shared" ca="1" si="1425"/>
        <v>0</v>
      </c>
      <c r="CX113" s="871">
        <f t="shared" ca="1" si="1425"/>
        <v>0</v>
      </c>
      <c r="CY113" s="871">
        <f t="shared" ca="1" si="1425"/>
        <v>0</v>
      </c>
      <c r="CZ113" s="871">
        <f t="shared" ca="1" si="1425"/>
        <v>0</v>
      </c>
      <c r="DA113" s="871">
        <f t="shared" ca="1" si="1425"/>
        <v>0</v>
      </c>
      <c r="DB113" s="41"/>
      <c r="DC113" s="871">
        <f t="shared" ca="1" si="892"/>
        <v>0</v>
      </c>
      <c r="DD113" s="871">
        <f t="shared" ca="1" si="893"/>
        <v>0</v>
      </c>
      <c r="DE113" s="871">
        <f t="shared" ca="1" si="894"/>
        <v>0</v>
      </c>
      <c r="DF113" s="871">
        <f t="shared" ca="1" si="895"/>
        <v>0</v>
      </c>
      <c r="DG113" s="871">
        <f t="shared" ca="1" si="896"/>
        <v>0</v>
      </c>
      <c r="DH113" s="871">
        <f t="shared" ca="1" si="897"/>
        <v>0</v>
      </c>
      <c r="DI113" s="871">
        <f t="shared" ca="1" si="898"/>
        <v>0</v>
      </c>
      <c r="DJ113" s="871">
        <f t="shared" ca="1" si="899"/>
        <v>0</v>
      </c>
      <c r="DK113" s="871">
        <f t="shared" ca="1" si="900"/>
        <v>0</v>
      </c>
      <c r="DL113" s="871">
        <f t="shared" ca="1" si="901"/>
        <v>0</v>
      </c>
      <c r="DM113" s="871">
        <f t="shared" ca="1" si="902"/>
        <v>0</v>
      </c>
      <c r="DN113" s="871">
        <f t="shared" ca="1" si="903"/>
        <v>0</v>
      </c>
      <c r="DO113" s="871">
        <f t="shared" ca="1" si="904"/>
        <v>0</v>
      </c>
      <c r="DP113" s="871">
        <f t="shared" ca="1" si="905"/>
        <v>0</v>
      </c>
      <c r="DQ113" s="871">
        <f t="shared" ca="1" si="906"/>
        <v>0</v>
      </c>
      <c r="DR113" s="871">
        <f t="shared" ca="1" si="907"/>
        <v>0</v>
      </c>
      <c r="DS113" s="871">
        <f t="shared" ca="1" si="908"/>
        <v>0</v>
      </c>
      <c r="DT113" s="871">
        <f t="shared" ca="1" si="909"/>
        <v>0</v>
      </c>
      <c r="DU113" s="871">
        <f t="shared" ca="1" si="910"/>
        <v>0</v>
      </c>
      <c r="DV113" s="871">
        <f t="shared" ca="1" si="911"/>
        <v>0</v>
      </c>
      <c r="DW113" s="871">
        <f t="shared" ca="1" si="912"/>
        <v>0</v>
      </c>
      <c r="DX113" s="871">
        <f t="shared" ca="1" si="913"/>
        <v>0</v>
      </c>
      <c r="DY113" s="871">
        <f t="shared" ca="1" si="914"/>
        <v>0</v>
      </c>
      <c r="DZ113" s="871">
        <f t="shared" ca="1" si="915"/>
        <v>0</v>
      </c>
      <c r="EA113" s="871">
        <f t="shared" ca="1" si="916"/>
        <v>0</v>
      </c>
      <c r="EB113" s="871">
        <f t="shared" ca="1" si="917"/>
        <v>0</v>
      </c>
      <c r="EC113" s="871">
        <f t="shared" ca="1" si="918"/>
        <v>0</v>
      </c>
      <c r="ED113" s="871">
        <f t="shared" ca="1" si="919"/>
        <v>0</v>
      </c>
      <c r="EE113" s="871">
        <f t="shared" ca="1" si="920"/>
        <v>0</v>
      </c>
      <c r="EF113" s="871">
        <f t="shared" ca="1" si="921"/>
        <v>0</v>
      </c>
      <c r="EG113" s="871">
        <f t="shared" ca="1" si="922"/>
        <v>0</v>
      </c>
      <c r="EH113" s="41"/>
      <c r="EI113" s="41"/>
      <c r="EJ113" s="41"/>
      <c r="EK113" s="41"/>
    </row>
    <row r="114" spans="1:141" ht="12.75" hidden="1" customHeight="1">
      <c r="A114" s="595"/>
      <c r="B114" s="598"/>
      <c r="C114" s="599"/>
      <c r="E114" s="1458"/>
      <c r="F114" s="1480"/>
      <c r="G114" s="1481"/>
      <c r="H114" s="1482"/>
      <c r="I114" s="1483"/>
      <c r="J114" s="1483"/>
      <c r="K114" s="23"/>
      <c r="L114" s="1459"/>
      <c r="M114" s="1459"/>
      <c r="N114" s="1459"/>
      <c r="O114" s="1459"/>
      <c r="P114" s="1459"/>
      <c r="Q114" s="1459"/>
      <c r="R114" s="1459"/>
      <c r="S114" s="1459"/>
      <c r="T114" s="1459"/>
      <c r="U114" s="1459"/>
      <c r="V114" s="1459"/>
      <c r="W114" s="1459"/>
      <c r="X114" s="1459"/>
      <c r="Y114" s="1459"/>
      <c r="Z114" s="1459"/>
      <c r="AA114" s="1459"/>
      <c r="AB114" s="1459"/>
      <c r="AC114" s="1459"/>
      <c r="AD114" s="1459"/>
      <c r="AE114" s="1459"/>
      <c r="AF114" s="1459"/>
      <c r="AG114" s="1459"/>
      <c r="AH114" s="1459"/>
      <c r="AI114" s="1459"/>
      <c r="AJ114" s="1459"/>
      <c r="AK114" s="1459"/>
      <c r="AL114" s="1459"/>
      <c r="AM114" s="1459"/>
      <c r="AN114" s="1459"/>
      <c r="AO114" s="1459"/>
      <c r="AP114" s="1460"/>
      <c r="AQ114" s="871">
        <f t="shared" ref="AQ114:AQ117" si="1426">SUM(AR114:BU114)</f>
        <v>0</v>
      </c>
      <c r="AR114" s="1485"/>
      <c r="AS114" s="1485"/>
      <c r="AT114" s="1485"/>
      <c r="AU114" s="1485"/>
      <c r="AV114" s="1485"/>
      <c r="AW114" s="1485"/>
      <c r="AX114" s="1485"/>
      <c r="AY114" s="1485"/>
      <c r="AZ114" s="1485"/>
      <c r="BA114" s="1485"/>
      <c r="BB114" s="1485"/>
      <c r="BC114" s="1485"/>
      <c r="BD114" s="1485"/>
      <c r="BE114" s="1485"/>
      <c r="BF114" s="1485"/>
      <c r="BG114" s="1485"/>
      <c r="BH114" s="1485"/>
      <c r="BI114" s="1485"/>
      <c r="BJ114" s="1485"/>
      <c r="BK114" s="1485"/>
      <c r="BL114" s="1485"/>
      <c r="BM114" s="1485"/>
      <c r="BN114" s="1485"/>
      <c r="BO114" s="1485"/>
      <c r="BP114" s="1485"/>
      <c r="BQ114" s="1485"/>
      <c r="BR114" s="1485"/>
      <c r="BS114" s="1485"/>
      <c r="BT114" s="1485"/>
      <c r="BU114" s="1485"/>
      <c r="BV114" s="1462"/>
      <c r="BW114" s="871">
        <f t="shared" ref="BW114:BW117" si="1427">SUM(BX114:DA114)</f>
        <v>0</v>
      </c>
      <c r="BX114" s="1485"/>
      <c r="BY114" s="1485"/>
      <c r="BZ114" s="1485"/>
      <c r="CA114" s="1485"/>
      <c r="CB114" s="1485"/>
      <c r="CC114" s="1485"/>
      <c r="CD114" s="1485"/>
      <c r="CE114" s="1485"/>
      <c r="CF114" s="1485"/>
      <c r="CG114" s="1485"/>
      <c r="CH114" s="1485"/>
      <c r="CI114" s="1485"/>
      <c r="CJ114" s="1485"/>
      <c r="CK114" s="1485"/>
      <c r="CL114" s="1485"/>
      <c r="CM114" s="1485"/>
      <c r="CN114" s="1485"/>
      <c r="CO114" s="1485"/>
      <c r="CP114" s="1485"/>
      <c r="CQ114" s="1485"/>
      <c r="CR114" s="1485"/>
      <c r="CS114" s="1485"/>
      <c r="CT114" s="1485"/>
      <c r="CU114" s="1485"/>
      <c r="CV114" s="1485"/>
      <c r="CW114" s="1485"/>
      <c r="CX114" s="1485"/>
      <c r="CY114" s="1485"/>
      <c r="CZ114" s="1485"/>
      <c r="DA114" s="1485"/>
      <c r="DB114" s="41"/>
      <c r="DC114" s="871">
        <f t="shared" si="892"/>
        <v>0</v>
      </c>
      <c r="DD114" s="1485">
        <f t="shared" si="893"/>
        <v>0</v>
      </c>
      <c r="DE114" s="1485">
        <f t="shared" si="894"/>
        <v>0</v>
      </c>
      <c r="DF114" s="1485">
        <f t="shared" si="895"/>
        <v>0</v>
      </c>
      <c r="DG114" s="1485">
        <f t="shared" si="896"/>
        <v>0</v>
      </c>
      <c r="DH114" s="1485">
        <f t="shared" si="897"/>
        <v>0</v>
      </c>
      <c r="DI114" s="1485">
        <f t="shared" si="898"/>
        <v>0</v>
      </c>
      <c r="DJ114" s="1485">
        <f t="shared" si="899"/>
        <v>0</v>
      </c>
      <c r="DK114" s="1485">
        <f t="shared" si="900"/>
        <v>0</v>
      </c>
      <c r="DL114" s="1485">
        <f t="shared" si="901"/>
        <v>0</v>
      </c>
      <c r="DM114" s="1485">
        <f t="shared" si="902"/>
        <v>0</v>
      </c>
      <c r="DN114" s="1485">
        <f t="shared" si="903"/>
        <v>0</v>
      </c>
      <c r="DO114" s="1485">
        <f t="shared" si="904"/>
        <v>0</v>
      </c>
      <c r="DP114" s="1485">
        <f t="shared" si="905"/>
        <v>0</v>
      </c>
      <c r="DQ114" s="1485">
        <f t="shared" si="906"/>
        <v>0</v>
      </c>
      <c r="DR114" s="1485">
        <f t="shared" si="907"/>
        <v>0</v>
      </c>
      <c r="DS114" s="1485">
        <f t="shared" si="908"/>
        <v>0</v>
      </c>
      <c r="DT114" s="1485">
        <f t="shared" si="909"/>
        <v>0</v>
      </c>
      <c r="DU114" s="1485">
        <f t="shared" si="910"/>
        <v>0</v>
      </c>
      <c r="DV114" s="1485">
        <f t="shared" si="911"/>
        <v>0</v>
      </c>
      <c r="DW114" s="1485">
        <f t="shared" si="912"/>
        <v>0</v>
      </c>
      <c r="DX114" s="1485">
        <f t="shared" si="913"/>
        <v>0</v>
      </c>
      <c r="DY114" s="1485">
        <f t="shared" si="914"/>
        <v>0</v>
      </c>
      <c r="DZ114" s="1485">
        <f t="shared" si="915"/>
        <v>0</v>
      </c>
      <c r="EA114" s="1485">
        <f t="shared" si="916"/>
        <v>0</v>
      </c>
      <c r="EB114" s="1485">
        <f t="shared" si="917"/>
        <v>0</v>
      </c>
      <c r="EC114" s="1485">
        <f t="shared" si="918"/>
        <v>0</v>
      </c>
      <c r="ED114" s="1485">
        <f t="shared" si="919"/>
        <v>0</v>
      </c>
      <c r="EE114" s="1485">
        <f t="shared" si="920"/>
        <v>0</v>
      </c>
      <c r="EF114" s="1485">
        <f t="shared" si="921"/>
        <v>0</v>
      </c>
      <c r="EG114" s="1485">
        <f t="shared" si="922"/>
        <v>0</v>
      </c>
      <c r="EH114" s="41"/>
      <c r="EI114" s="41"/>
      <c r="EJ114" s="41"/>
      <c r="EK114" s="41"/>
    </row>
    <row r="115" spans="1:141">
      <c r="A115" s="595"/>
      <c r="B115" s="598"/>
      <c r="C115" s="599"/>
      <c r="D115" s="407">
        <v>9</v>
      </c>
      <c r="E115" s="1517" t="s">
        <v>1698</v>
      </c>
      <c r="F115" s="1518"/>
      <c r="G115" s="1519"/>
      <c r="H115" s="1520"/>
      <c r="I115" s="1521"/>
      <c r="J115" s="1521"/>
      <c r="K115" s="726"/>
      <c r="L115" s="1448"/>
      <c r="M115" s="1448"/>
      <c r="N115" s="1448"/>
      <c r="O115" s="1448"/>
      <c r="P115" s="1448"/>
      <c r="Q115" s="1448"/>
      <c r="R115" s="1448"/>
      <c r="S115" s="1448"/>
      <c r="T115" s="1448"/>
      <c r="U115" s="1448"/>
      <c r="V115" s="1448"/>
      <c r="W115" s="1448"/>
      <c r="X115" s="1448"/>
      <c r="Y115" s="1448"/>
      <c r="Z115" s="1448"/>
      <c r="AA115" s="1448"/>
      <c r="AB115" s="1448"/>
      <c r="AC115" s="1448"/>
      <c r="AD115" s="1448"/>
      <c r="AE115" s="1448"/>
      <c r="AF115" s="1448"/>
      <c r="AG115" s="1448"/>
      <c r="AH115" s="1477"/>
      <c r="AI115" s="1477"/>
      <c r="AJ115" s="1477"/>
      <c r="AK115" s="1477"/>
      <c r="AL115" s="1477"/>
      <c r="AM115" s="1477"/>
      <c r="AN115" s="1477"/>
      <c r="AO115" s="1477"/>
      <c r="AP115" s="724"/>
      <c r="AQ115" s="1438">
        <f t="shared" si="1426"/>
        <v>0</v>
      </c>
      <c r="AR115" s="1438">
        <f t="shared" ref="AR115" si="1428">SUBTOTAL(9,AR116:AR117)</f>
        <v>0</v>
      </c>
      <c r="AS115" s="1438">
        <f t="shared" ref="AS115" si="1429">SUBTOTAL(9,AS116:AS117)</f>
        <v>0</v>
      </c>
      <c r="AT115" s="1438">
        <f t="shared" ref="AT115" si="1430">SUBTOTAL(9,AT116:AT117)</f>
        <v>0</v>
      </c>
      <c r="AU115" s="1438">
        <f t="shared" ref="AU115" si="1431">SUBTOTAL(9,AU116:AU117)</f>
        <v>0</v>
      </c>
      <c r="AV115" s="1438">
        <f t="shared" ref="AV115" si="1432">SUBTOTAL(9,AV116:AV117)</f>
        <v>0</v>
      </c>
      <c r="AW115" s="1438">
        <f t="shared" ref="AW115" si="1433">SUBTOTAL(9,AW116:AW117)</f>
        <v>0</v>
      </c>
      <c r="AX115" s="1438">
        <f t="shared" ref="AX115" si="1434">SUBTOTAL(9,AX116:AX117)</f>
        <v>0</v>
      </c>
      <c r="AY115" s="1438">
        <f t="shared" ref="AY115" si="1435">SUBTOTAL(9,AY116:AY117)</f>
        <v>0</v>
      </c>
      <c r="AZ115" s="1438">
        <f t="shared" ref="AZ115" si="1436">SUBTOTAL(9,AZ116:AZ117)</f>
        <v>0</v>
      </c>
      <c r="BA115" s="1438">
        <f t="shared" ref="BA115" si="1437">SUBTOTAL(9,BA116:BA117)</f>
        <v>0</v>
      </c>
      <c r="BB115" s="1438">
        <f t="shared" ref="BB115" si="1438">SUBTOTAL(9,BB116:BB117)</f>
        <v>0</v>
      </c>
      <c r="BC115" s="1438">
        <f t="shared" ref="BC115" si="1439">SUBTOTAL(9,BC116:BC117)</f>
        <v>0</v>
      </c>
      <c r="BD115" s="1438">
        <f t="shared" ref="BD115" si="1440">SUBTOTAL(9,BD116:BD117)</f>
        <v>0</v>
      </c>
      <c r="BE115" s="1438">
        <f t="shared" ref="BE115" si="1441">SUBTOTAL(9,BE116:BE117)</f>
        <v>0</v>
      </c>
      <c r="BF115" s="1438">
        <f t="shared" ref="BF115" si="1442">SUBTOTAL(9,BF116:BF117)</f>
        <v>0</v>
      </c>
      <c r="BG115" s="1438">
        <f t="shared" ref="BG115" si="1443">SUBTOTAL(9,BG116:BG117)</f>
        <v>0</v>
      </c>
      <c r="BH115" s="1438">
        <f t="shared" ref="BH115" si="1444">SUBTOTAL(9,BH116:BH117)</f>
        <v>0</v>
      </c>
      <c r="BI115" s="1438">
        <f t="shared" ref="BI115" si="1445">SUBTOTAL(9,BI116:BI117)</f>
        <v>0</v>
      </c>
      <c r="BJ115" s="1438">
        <f t="shared" ref="BJ115" si="1446">SUBTOTAL(9,BJ116:BJ117)</f>
        <v>0</v>
      </c>
      <c r="BK115" s="1438">
        <f t="shared" ref="BK115" si="1447">SUBTOTAL(9,BK116:BK117)</f>
        <v>0</v>
      </c>
      <c r="BL115" s="1438">
        <f t="shared" ref="BL115" si="1448">SUBTOTAL(9,BL116:BL117)</f>
        <v>0</v>
      </c>
      <c r="BM115" s="1438">
        <f t="shared" ref="BM115" si="1449">SUBTOTAL(9,BM116:BM117)</f>
        <v>0</v>
      </c>
      <c r="BN115" s="1438">
        <f t="shared" ref="BN115" si="1450">SUBTOTAL(9,BN116:BN117)</f>
        <v>0</v>
      </c>
      <c r="BO115" s="1438">
        <f t="shared" ref="BO115:BU115" si="1451">SUBTOTAL(9,BO116:BO117)</f>
        <v>0</v>
      </c>
      <c r="BP115" s="1438">
        <f t="shared" si="1451"/>
        <v>0</v>
      </c>
      <c r="BQ115" s="1438">
        <f t="shared" si="1451"/>
        <v>0</v>
      </c>
      <c r="BR115" s="1438">
        <f t="shared" si="1451"/>
        <v>0</v>
      </c>
      <c r="BS115" s="1438">
        <f t="shared" si="1451"/>
        <v>0</v>
      </c>
      <c r="BT115" s="1438">
        <f t="shared" si="1451"/>
        <v>0</v>
      </c>
      <c r="BU115" s="1438">
        <f t="shared" si="1451"/>
        <v>0</v>
      </c>
      <c r="BV115" s="727"/>
      <c r="BW115" s="1438">
        <f t="shared" si="1427"/>
        <v>0</v>
      </c>
      <c r="BX115" s="1438">
        <f t="shared" ref="BX115" si="1452">SUBTOTAL(9,BX116:BX117)</f>
        <v>0</v>
      </c>
      <c r="BY115" s="1438">
        <f t="shared" ref="BY115" si="1453">SUBTOTAL(9,BY116:BY117)</f>
        <v>0</v>
      </c>
      <c r="BZ115" s="1438">
        <f t="shared" ref="BZ115" si="1454">SUBTOTAL(9,BZ116:BZ117)</f>
        <v>0</v>
      </c>
      <c r="CA115" s="1438">
        <f t="shared" ref="CA115" si="1455">SUBTOTAL(9,CA116:CA117)</f>
        <v>0</v>
      </c>
      <c r="CB115" s="1438">
        <f t="shared" ref="CB115" si="1456">SUBTOTAL(9,CB116:CB117)</f>
        <v>0</v>
      </c>
      <c r="CC115" s="1438">
        <f t="shared" ref="CC115" si="1457">SUBTOTAL(9,CC116:CC117)</f>
        <v>0</v>
      </c>
      <c r="CD115" s="1438">
        <f t="shared" ref="CD115" si="1458">SUBTOTAL(9,CD116:CD117)</f>
        <v>0</v>
      </c>
      <c r="CE115" s="1438">
        <f t="shared" ref="CE115" si="1459">SUBTOTAL(9,CE116:CE117)</f>
        <v>0</v>
      </c>
      <c r="CF115" s="1438">
        <f t="shared" ref="CF115" si="1460">SUBTOTAL(9,CF116:CF117)</f>
        <v>0</v>
      </c>
      <c r="CG115" s="1438">
        <f t="shared" ref="CG115" si="1461">SUBTOTAL(9,CG116:CG117)</f>
        <v>0</v>
      </c>
      <c r="CH115" s="1438">
        <f t="shared" ref="CH115" si="1462">SUBTOTAL(9,CH116:CH117)</f>
        <v>0</v>
      </c>
      <c r="CI115" s="1438">
        <f t="shared" ref="CI115" si="1463">SUBTOTAL(9,CI116:CI117)</f>
        <v>0</v>
      </c>
      <c r="CJ115" s="1438">
        <f t="shared" ref="CJ115" si="1464">SUBTOTAL(9,CJ116:CJ117)</f>
        <v>0</v>
      </c>
      <c r="CK115" s="1438">
        <f t="shared" ref="CK115" si="1465">SUBTOTAL(9,CK116:CK117)</f>
        <v>0</v>
      </c>
      <c r="CL115" s="1438">
        <f t="shared" ref="CL115" si="1466">SUBTOTAL(9,CL116:CL117)</f>
        <v>0</v>
      </c>
      <c r="CM115" s="1438">
        <f t="shared" ref="CM115" si="1467">SUBTOTAL(9,CM116:CM117)</f>
        <v>0</v>
      </c>
      <c r="CN115" s="1438">
        <f t="shared" ref="CN115" si="1468">SUBTOTAL(9,CN116:CN117)</f>
        <v>0</v>
      </c>
      <c r="CO115" s="1438">
        <f t="shared" ref="CO115" si="1469">SUBTOTAL(9,CO116:CO117)</f>
        <v>0</v>
      </c>
      <c r="CP115" s="1438">
        <f t="shared" ref="CP115" si="1470">SUBTOTAL(9,CP116:CP117)</f>
        <v>0</v>
      </c>
      <c r="CQ115" s="1438">
        <f t="shared" ref="CQ115" si="1471">SUBTOTAL(9,CQ116:CQ117)</f>
        <v>0</v>
      </c>
      <c r="CR115" s="1438">
        <f t="shared" ref="CR115" si="1472">SUBTOTAL(9,CR116:CR117)</f>
        <v>0</v>
      </c>
      <c r="CS115" s="1438">
        <f t="shared" ref="CS115" si="1473">SUBTOTAL(9,CS116:CS117)</f>
        <v>0</v>
      </c>
      <c r="CT115" s="1438">
        <f t="shared" ref="CT115" si="1474">SUBTOTAL(9,CT116:CT117)</f>
        <v>0</v>
      </c>
      <c r="CU115" s="1438">
        <f t="shared" ref="CU115:DA115" si="1475">SUBTOTAL(9,CU116:CU117)</f>
        <v>0</v>
      </c>
      <c r="CV115" s="1438">
        <f t="shared" si="1475"/>
        <v>0</v>
      </c>
      <c r="CW115" s="1438">
        <f t="shared" si="1475"/>
        <v>0</v>
      </c>
      <c r="CX115" s="1438">
        <f t="shared" si="1475"/>
        <v>0</v>
      </c>
      <c r="CY115" s="1438">
        <f t="shared" si="1475"/>
        <v>0</v>
      </c>
      <c r="CZ115" s="1438">
        <f t="shared" si="1475"/>
        <v>0</v>
      </c>
      <c r="DA115" s="1438">
        <f t="shared" si="1475"/>
        <v>0</v>
      </c>
      <c r="DB115" s="713"/>
      <c r="DC115" s="1438">
        <f t="shared" si="892"/>
        <v>0</v>
      </c>
      <c r="DD115" s="1438">
        <f t="shared" si="893"/>
        <v>0</v>
      </c>
      <c r="DE115" s="1438">
        <f t="shared" si="894"/>
        <v>0</v>
      </c>
      <c r="DF115" s="1438">
        <f t="shared" si="895"/>
        <v>0</v>
      </c>
      <c r="DG115" s="1438">
        <f t="shared" si="896"/>
        <v>0</v>
      </c>
      <c r="DH115" s="1438">
        <f t="shared" si="897"/>
        <v>0</v>
      </c>
      <c r="DI115" s="1438">
        <f t="shared" si="898"/>
        <v>0</v>
      </c>
      <c r="DJ115" s="1438">
        <f t="shared" si="899"/>
        <v>0</v>
      </c>
      <c r="DK115" s="1438">
        <f t="shared" si="900"/>
        <v>0</v>
      </c>
      <c r="DL115" s="1438">
        <f t="shared" si="901"/>
        <v>0</v>
      </c>
      <c r="DM115" s="1438">
        <f t="shared" si="902"/>
        <v>0</v>
      </c>
      <c r="DN115" s="1438">
        <f t="shared" si="903"/>
        <v>0</v>
      </c>
      <c r="DO115" s="1438">
        <f t="shared" si="904"/>
        <v>0</v>
      </c>
      <c r="DP115" s="1438">
        <f t="shared" si="905"/>
        <v>0</v>
      </c>
      <c r="DQ115" s="1438">
        <f t="shared" si="906"/>
        <v>0</v>
      </c>
      <c r="DR115" s="1438">
        <f t="shared" si="907"/>
        <v>0</v>
      </c>
      <c r="DS115" s="1438">
        <f t="shared" si="908"/>
        <v>0</v>
      </c>
      <c r="DT115" s="1438">
        <f t="shared" si="909"/>
        <v>0</v>
      </c>
      <c r="DU115" s="1438">
        <f t="shared" si="910"/>
        <v>0</v>
      </c>
      <c r="DV115" s="1438">
        <f t="shared" si="911"/>
        <v>0</v>
      </c>
      <c r="DW115" s="1438">
        <f t="shared" si="912"/>
        <v>0</v>
      </c>
      <c r="DX115" s="1438">
        <f t="shared" si="913"/>
        <v>0</v>
      </c>
      <c r="DY115" s="1438">
        <f t="shared" si="914"/>
        <v>0</v>
      </c>
      <c r="DZ115" s="1438">
        <f t="shared" si="915"/>
        <v>0</v>
      </c>
      <c r="EA115" s="1438">
        <f t="shared" si="916"/>
        <v>0</v>
      </c>
      <c r="EB115" s="1438">
        <f t="shared" si="917"/>
        <v>0</v>
      </c>
      <c r="EC115" s="1438">
        <f t="shared" si="918"/>
        <v>0</v>
      </c>
      <c r="ED115" s="1438">
        <f t="shared" si="919"/>
        <v>0</v>
      </c>
      <c r="EE115" s="1438">
        <f t="shared" si="920"/>
        <v>0</v>
      </c>
      <c r="EF115" s="1438">
        <f t="shared" si="921"/>
        <v>0</v>
      </c>
      <c r="EG115" s="1438">
        <f t="shared" si="922"/>
        <v>0</v>
      </c>
      <c r="EH115" s="1439"/>
      <c r="EI115" s="1439"/>
      <c r="EJ115" s="1439"/>
      <c r="EK115" s="1439"/>
    </row>
    <row r="116" spans="1:141" ht="20.100000000000001" customHeight="1">
      <c r="A116" s="595"/>
      <c r="B116" s="598"/>
      <c r="C116" s="599"/>
      <c r="E116" s="1522" t="s">
        <v>1641</v>
      </c>
      <c r="F116" s="867" t="s">
        <v>1640</v>
      </c>
      <c r="G116" s="868">
        <v>12</v>
      </c>
      <c r="H116" s="867">
        <v>5000</v>
      </c>
      <c r="I116" s="869">
        <v>0.04</v>
      </c>
      <c r="J116" s="869">
        <v>0.03</v>
      </c>
      <c r="K116" s="76"/>
      <c r="L116" s="1454">
        <f>'Crono Pessoal'!H169</f>
        <v>1</v>
      </c>
      <c r="M116" s="1454">
        <f>'Crono Pessoal'!I169</f>
        <v>1</v>
      </c>
      <c r="N116" s="1454">
        <f>'Crono Pessoal'!J169</f>
        <v>1</v>
      </c>
      <c r="O116" s="1454">
        <f>'Crono Pessoal'!K169</f>
        <v>1</v>
      </c>
      <c r="P116" s="1454">
        <f>'Crono Pessoal'!L169</f>
        <v>1</v>
      </c>
      <c r="Q116" s="1454">
        <f>'Crono Pessoal'!M169</f>
        <v>1</v>
      </c>
      <c r="R116" s="1454">
        <f>'Crono Pessoal'!N169</f>
        <v>1</v>
      </c>
      <c r="S116" s="1454">
        <f>'Crono Pessoal'!O169</f>
        <v>1</v>
      </c>
      <c r="T116" s="1454">
        <f>'Crono Pessoal'!P169</f>
        <v>1</v>
      </c>
      <c r="U116" s="1454">
        <f>'Crono Pessoal'!Q169</f>
        <v>1</v>
      </c>
      <c r="V116" s="1454">
        <f>'Crono Pessoal'!R169</f>
        <v>1</v>
      </c>
      <c r="W116" s="1454">
        <f>'Crono Pessoal'!S169</f>
        <v>1</v>
      </c>
      <c r="X116" s="1454">
        <f>'Crono Pessoal'!T169</f>
        <v>1</v>
      </c>
      <c r="Y116" s="1454">
        <f>'Crono Pessoal'!U169</f>
        <v>1</v>
      </c>
      <c r="Z116" s="1454">
        <f>'Crono Pessoal'!V169</f>
        <v>1</v>
      </c>
      <c r="AA116" s="1454">
        <f>'Crono Pessoal'!W169</f>
        <v>1</v>
      </c>
      <c r="AB116" s="1454">
        <f>'Crono Pessoal'!X169</f>
        <v>1</v>
      </c>
      <c r="AC116" s="1454">
        <f>'Crono Pessoal'!Y169</f>
        <v>1</v>
      </c>
      <c r="AD116" s="1454">
        <f>'Crono Pessoal'!Z169</f>
        <v>1</v>
      </c>
      <c r="AE116" s="1454">
        <f>'Crono Pessoal'!AA169</f>
        <v>1</v>
      </c>
      <c r="AF116" s="1454">
        <f>'Crono Pessoal'!AB169</f>
        <v>1</v>
      </c>
      <c r="AG116" s="1454">
        <f>'Crono Pessoal'!AC169</f>
        <v>1</v>
      </c>
      <c r="AH116" s="1454">
        <f>'Crono Pessoal'!AD169</f>
        <v>1</v>
      </c>
      <c r="AI116" s="1454">
        <f>'Crono Pessoal'!AE169</f>
        <v>1</v>
      </c>
      <c r="AJ116" s="1454">
        <f>'Crono Pessoal'!AF169</f>
        <v>1</v>
      </c>
      <c r="AK116" s="1454">
        <f>'Crono Pessoal'!AG169</f>
        <v>1</v>
      </c>
      <c r="AL116" s="1454">
        <f>'Crono Pessoal'!AH169</f>
        <v>1</v>
      </c>
      <c r="AM116" s="1454">
        <f>'Crono Pessoal'!AI169</f>
        <v>1</v>
      </c>
      <c r="AN116" s="1454">
        <f>'Crono Pessoal'!AJ169</f>
        <v>1</v>
      </c>
      <c r="AO116" s="1454">
        <f>'Crono Pessoal'!AK169</f>
        <v>1</v>
      </c>
      <c r="AP116" s="1452"/>
      <c r="AQ116" s="871">
        <f t="shared" si="1426"/>
        <v>0</v>
      </c>
      <c r="AR116" s="871">
        <f t="shared" ref="AR116:BA117" si="1476">VLOOKUP($E116,Par,6,0)*L116/1000</f>
        <v>0</v>
      </c>
      <c r="AS116" s="871">
        <f t="shared" si="1476"/>
        <v>0</v>
      </c>
      <c r="AT116" s="871">
        <f t="shared" si="1476"/>
        <v>0</v>
      </c>
      <c r="AU116" s="871">
        <f t="shared" si="1476"/>
        <v>0</v>
      </c>
      <c r="AV116" s="871">
        <f t="shared" si="1476"/>
        <v>0</v>
      </c>
      <c r="AW116" s="871">
        <f t="shared" si="1476"/>
        <v>0</v>
      </c>
      <c r="AX116" s="871">
        <f t="shared" si="1476"/>
        <v>0</v>
      </c>
      <c r="AY116" s="871">
        <f t="shared" si="1476"/>
        <v>0</v>
      </c>
      <c r="AZ116" s="871">
        <f t="shared" si="1476"/>
        <v>0</v>
      </c>
      <c r="BA116" s="871">
        <f t="shared" si="1476"/>
        <v>0</v>
      </c>
      <c r="BB116" s="871">
        <f t="shared" ref="BB116:BK117" si="1477">VLOOKUP($E116,Par,6,0)*V116/1000</f>
        <v>0</v>
      </c>
      <c r="BC116" s="871">
        <f t="shared" si="1477"/>
        <v>0</v>
      </c>
      <c r="BD116" s="871">
        <f t="shared" si="1477"/>
        <v>0</v>
      </c>
      <c r="BE116" s="871">
        <f t="shared" si="1477"/>
        <v>0</v>
      </c>
      <c r="BF116" s="871">
        <f t="shared" si="1477"/>
        <v>0</v>
      </c>
      <c r="BG116" s="871">
        <f t="shared" si="1477"/>
        <v>0</v>
      </c>
      <c r="BH116" s="871">
        <f t="shared" si="1477"/>
        <v>0</v>
      </c>
      <c r="BI116" s="871">
        <f t="shared" si="1477"/>
        <v>0</v>
      </c>
      <c r="BJ116" s="871">
        <f t="shared" si="1477"/>
        <v>0</v>
      </c>
      <c r="BK116" s="871">
        <f t="shared" si="1477"/>
        <v>0</v>
      </c>
      <c r="BL116" s="871">
        <f t="shared" ref="BL116:BU117" si="1478">VLOOKUP($E116,Par,6,0)*AF116/1000</f>
        <v>0</v>
      </c>
      <c r="BM116" s="871">
        <f t="shared" si="1478"/>
        <v>0</v>
      </c>
      <c r="BN116" s="871">
        <f t="shared" si="1478"/>
        <v>0</v>
      </c>
      <c r="BO116" s="871">
        <f t="shared" si="1478"/>
        <v>0</v>
      </c>
      <c r="BP116" s="871">
        <f t="shared" si="1478"/>
        <v>0</v>
      </c>
      <c r="BQ116" s="871">
        <f t="shared" si="1478"/>
        <v>0</v>
      </c>
      <c r="BR116" s="871">
        <f t="shared" si="1478"/>
        <v>0</v>
      </c>
      <c r="BS116" s="871">
        <f t="shared" si="1478"/>
        <v>0</v>
      </c>
      <c r="BT116" s="871">
        <f t="shared" si="1478"/>
        <v>0</v>
      </c>
      <c r="BU116" s="871">
        <f t="shared" si="1478"/>
        <v>0</v>
      </c>
      <c r="BV116" s="1453"/>
      <c r="BW116" s="871">
        <f t="shared" si="1427"/>
        <v>0</v>
      </c>
      <c r="BX116" s="871">
        <f t="shared" ref="BX116:CG117" si="1479">VLOOKUP($E116,Par,6,0)*AR116/1000</f>
        <v>0</v>
      </c>
      <c r="BY116" s="871">
        <f t="shared" si="1479"/>
        <v>0</v>
      </c>
      <c r="BZ116" s="871">
        <f t="shared" si="1479"/>
        <v>0</v>
      </c>
      <c r="CA116" s="871">
        <f t="shared" si="1479"/>
        <v>0</v>
      </c>
      <c r="CB116" s="871">
        <f t="shared" si="1479"/>
        <v>0</v>
      </c>
      <c r="CC116" s="871">
        <f t="shared" si="1479"/>
        <v>0</v>
      </c>
      <c r="CD116" s="871">
        <f t="shared" si="1479"/>
        <v>0</v>
      </c>
      <c r="CE116" s="871">
        <f t="shared" si="1479"/>
        <v>0</v>
      </c>
      <c r="CF116" s="871">
        <f t="shared" si="1479"/>
        <v>0</v>
      </c>
      <c r="CG116" s="871">
        <f t="shared" si="1479"/>
        <v>0</v>
      </c>
      <c r="CH116" s="871">
        <f t="shared" ref="CH116:CQ117" si="1480">VLOOKUP($E116,Par,6,0)*BB116/1000</f>
        <v>0</v>
      </c>
      <c r="CI116" s="871">
        <f t="shared" si="1480"/>
        <v>0</v>
      </c>
      <c r="CJ116" s="871">
        <f t="shared" si="1480"/>
        <v>0</v>
      </c>
      <c r="CK116" s="871">
        <f t="shared" si="1480"/>
        <v>0</v>
      </c>
      <c r="CL116" s="871">
        <f t="shared" si="1480"/>
        <v>0</v>
      </c>
      <c r="CM116" s="871">
        <f t="shared" si="1480"/>
        <v>0</v>
      </c>
      <c r="CN116" s="871">
        <f t="shared" si="1480"/>
        <v>0</v>
      </c>
      <c r="CO116" s="871">
        <f t="shared" si="1480"/>
        <v>0</v>
      </c>
      <c r="CP116" s="871">
        <f t="shared" si="1480"/>
        <v>0</v>
      </c>
      <c r="CQ116" s="871">
        <f t="shared" si="1480"/>
        <v>0</v>
      </c>
      <c r="CR116" s="871">
        <f t="shared" ref="CR116:DA117" si="1481">VLOOKUP($E116,Par,6,0)*BL116/1000</f>
        <v>0</v>
      </c>
      <c r="CS116" s="871">
        <f t="shared" si="1481"/>
        <v>0</v>
      </c>
      <c r="CT116" s="871">
        <f t="shared" si="1481"/>
        <v>0</v>
      </c>
      <c r="CU116" s="871">
        <f t="shared" si="1481"/>
        <v>0</v>
      </c>
      <c r="CV116" s="871">
        <f t="shared" si="1481"/>
        <v>0</v>
      </c>
      <c r="CW116" s="871">
        <f t="shared" si="1481"/>
        <v>0</v>
      </c>
      <c r="CX116" s="871">
        <f t="shared" si="1481"/>
        <v>0</v>
      </c>
      <c r="CY116" s="871">
        <f t="shared" si="1481"/>
        <v>0</v>
      </c>
      <c r="CZ116" s="871">
        <f t="shared" si="1481"/>
        <v>0</v>
      </c>
      <c r="DA116" s="871">
        <f t="shared" si="1481"/>
        <v>0</v>
      </c>
      <c r="DB116" s="41"/>
      <c r="DC116" s="871">
        <f t="shared" si="892"/>
        <v>0</v>
      </c>
      <c r="DD116" s="871">
        <f t="shared" si="893"/>
        <v>0</v>
      </c>
      <c r="DE116" s="871">
        <f t="shared" si="894"/>
        <v>0</v>
      </c>
      <c r="DF116" s="871">
        <f t="shared" si="895"/>
        <v>0</v>
      </c>
      <c r="DG116" s="871">
        <f t="shared" si="896"/>
        <v>0</v>
      </c>
      <c r="DH116" s="871">
        <f t="shared" si="897"/>
        <v>0</v>
      </c>
      <c r="DI116" s="871">
        <f t="shared" si="898"/>
        <v>0</v>
      </c>
      <c r="DJ116" s="871">
        <f t="shared" si="899"/>
        <v>0</v>
      </c>
      <c r="DK116" s="871">
        <f t="shared" si="900"/>
        <v>0</v>
      </c>
      <c r="DL116" s="871">
        <f t="shared" si="901"/>
        <v>0</v>
      </c>
      <c r="DM116" s="871">
        <f t="shared" si="902"/>
        <v>0</v>
      </c>
      <c r="DN116" s="871">
        <f t="shared" si="903"/>
        <v>0</v>
      </c>
      <c r="DO116" s="871">
        <f t="shared" si="904"/>
        <v>0</v>
      </c>
      <c r="DP116" s="871">
        <f t="shared" si="905"/>
        <v>0</v>
      </c>
      <c r="DQ116" s="871">
        <f t="shared" si="906"/>
        <v>0</v>
      </c>
      <c r="DR116" s="871">
        <f t="shared" si="907"/>
        <v>0</v>
      </c>
      <c r="DS116" s="871">
        <f t="shared" si="908"/>
        <v>0</v>
      </c>
      <c r="DT116" s="871">
        <f t="shared" si="909"/>
        <v>0</v>
      </c>
      <c r="DU116" s="871">
        <f t="shared" si="910"/>
        <v>0</v>
      </c>
      <c r="DV116" s="871">
        <f t="shared" si="911"/>
        <v>0</v>
      </c>
      <c r="DW116" s="871">
        <f t="shared" si="912"/>
        <v>0</v>
      </c>
      <c r="DX116" s="871">
        <f t="shared" si="913"/>
        <v>0</v>
      </c>
      <c r="DY116" s="871">
        <f t="shared" si="914"/>
        <v>0</v>
      </c>
      <c r="DZ116" s="871">
        <f t="shared" si="915"/>
        <v>0</v>
      </c>
      <c r="EA116" s="871">
        <f t="shared" si="916"/>
        <v>0</v>
      </c>
      <c r="EB116" s="871">
        <f t="shared" si="917"/>
        <v>0</v>
      </c>
      <c r="EC116" s="871">
        <f t="shared" si="918"/>
        <v>0</v>
      </c>
      <c r="ED116" s="871">
        <f t="shared" si="919"/>
        <v>0</v>
      </c>
      <c r="EE116" s="871">
        <f t="shared" si="920"/>
        <v>0</v>
      </c>
      <c r="EF116" s="871">
        <f t="shared" si="921"/>
        <v>0</v>
      </c>
      <c r="EG116" s="871">
        <f t="shared" si="922"/>
        <v>0</v>
      </c>
      <c r="EH116" s="41"/>
      <c r="EI116" s="41"/>
      <c r="EJ116" s="41"/>
      <c r="EK116" s="41"/>
    </row>
    <row r="117" spans="1:141">
      <c r="A117" s="595"/>
      <c r="B117" s="598"/>
      <c r="C117" s="599"/>
      <c r="E117" s="1522" t="s">
        <v>1651</v>
      </c>
      <c r="F117" s="1523">
        <f>VLOOKUP($E117,Par,2,0)</f>
        <v>0</v>
      </c>
      <c r="G117" s="868">
        <f>(1-VLOOKUP($E117,Par,3,0))*F117</f>
        <v>0</v>
      </c>
      <c r="H117" s="867">
        <v>5000</v>
      </c>
      <c r="I117" s="869">
        <v>0.03</v>
      </c>
      <c r="J117" s="869">
        <v>0.03</v>
      </c>
      <c r="K117" s="76"/>
      <c r="L117" s="1454">
        <f>'Crono Pessoal'!H173</f>
        <v>0</v>
      </c>
      <c r="M117" s="1454">
        <f>'Crono Pessoal'!I173</f>
        <v>0</v>
      </c>
      <c r="N117" s="1454">
        <f>'Crono Pessoal'!J173</f>
        <v>0</v>
      </c>
      <c r="O117" s="1454">
        <f>'Crono Pessoal'!K173</f>
        <v>0</v>
      </c>
      <c r="P117" s="1454">
        <f>'Crono Pessoal'!L173</f>
        <v>0</v>
      </c>
      <c r="Q117" s="1454">
        <f>'Crono Pessoal'!M173</f>
        <v>0</v>
      </c>
      <c r="R117" s="1454">
        <f>'Crono Pessoal'!N173</f>
        <v>0</v>
      </c>
      <c r="S117" s="1454">
        <f>'Crono Pessoal'!O173</f>
        <v>0</v>
      </c>
      <c r="T117" s="1454">
        <f>'Crono Pessoal'!P173</f>
        <v>0</v>
      </c>
      <c r="U117" s="1454">
        <f>'Crono Pessoal'!Q173</f>
        <v>0</v>
      </c>
      <c r="V117" s="1454">
        <f>'Crono Pessoal'!R173</f>
        <v>0</v>
      </c>
      <c r="W117" s="1454">
        <f>'Crono Pessoal'!S173</f>
        <v>0</v>
      </c>
      <c r="X117" s="1454">
        <f>'Crono Pessoal'!T173</f>
        <v>0</v>
      </c>
      <c r="Y117" s="1454">
        <f>'Crono Pessoal'!U173</f>
        <v>0</v>
      </c>
      <c r="Z117" s="1454">
        <f>'Crono Pessoal'!V173</f>
        <v>0</v>
      </c>
      <c r="AA117" s="1454">
        <f>'Crono Pessoal'!W173</f>
        <v>0</v>
      </c>
      <c r="AB117" s="1454">
        <f>'Crono Pessoal'!X173</f>
        <v>0</v>
      </c>
      <c r="AC117" s="1454">
        <f>'Crono Pessoal'!Y173</f>
        <v>0</v>
      </c>
      <c r="AD117" s="1454">
        <f>'Crono Pessoal'!Z173</f>
        <v>0</v>
      </c>
      <c r="AE117" s="1454">
        <f>'Crono Pessoal'!AA173</f>
        <v>0</v>
      </c>
      <c r="AF117" s="1454">
        <f>'Crono Pessoal'!AB173</f>
        <v>0</v>
      </c>
      <c r="AG117" s="1454">
        <f>'Crono Pessoal'!AC173</f>
        <v>0</v>
      </c>
      <c r="AH117" s="1454">
        <f>'Crono Pessoal'!AD173</f>
        <v>0</v>
      </c>
      <c r="AI117" s="1454">
        <f>'Crono Pessoal'!AE173</f>
        <v>0</v>
      </c>
      <c r="AJ117" s="1454">
        <f>'Crono Pessoal'!AF173</f>
        <v>0</v>
      </c>
      <c r="AK117" s="1454">
        <f>'Crono Pessoal'!AG173</f>
        <v>0</v>
      </c>
      <c r="AL117" s="1454">
        <f>'Crono Pessoal'!AH173</f>
        <v>0</v>
      </c>
      <c r="AM117" s="1454">
        <f>'Crono Pessoal'!AI173</f>
        <v>0</v>
      </c>
      <c r="AN117" s="1454">
        <f>'Crono Pessoal'!AJ173</f>
        <v>0</v>
      </c>
      <c r="AO117" s="1454">
        <f>'Crono Pessoal'!AK173</f>
        <v>0</v>
      </c>
      <c r="AP117" s="1452"/>
      <c r="AQ117" s="871">
        <f t="shared" si="1426"/>
        <v>0</v>
      </c>
      <c r="AR117" s="871">
        <f t="shared" si="1476"/>
        <v>0</v>
      </c>
      <c r="AS117" s="871">
        <f t="shared" si="1476"/>
        <v>0</v>
      </c>
      <c r="AT117" s="871">
        <f t="shared" si="1476"/>
        <v>0</v>
      </c>
      <c r="AU117" s="871">
        <f t="shared" si="1476"/>
        <v>0</v>
      </c>
      <c r="AV117" s="871">
        <f t="shared" si="1476"/>
        <v>0</v>
      </c>
      <c r="AW117" s="871">
        <f t="shared" si="1476"/>
        <v>0</v>
      </c>
      <c r="AX117" s="871">
        <f t="shared" si="1476"/>
        <v>0</v>
      </c>
      <c r="AY117" s="871">
        <f t="shared" si="1476"/>
        <v>0</v>
      </c>
      <c r="AZ117" s="871">
        <f t="shared" si="1476"/>
        <v>0</v>
      </c>
      <c r="BA117" s="871">
        <f t="shared" si="1476"/>
        <v>0</v>
      </c>
      <c r="BB117" s="871">
        <f t="shared" si="1477"/>
        <v>0</v>
      </c>
      <c r="BC117" s="871">
        <f t="shared" si="1477"/>
        <v>0</v>
      </c>
      <c r="BD117" s="871">
        <f t="shared" si="1477"/>
        <v>0</v>
      </c>
      <c r="BE117" s="871">
        <f t="shared" si="1477"/>
        <v>0</v>
      </c>
      <c r="BF117" s="871">
        <f t="shared" si="1477"/>
        <v>0</v>
      </c>
      <c r="BG117" s="871">
        <f t="shared" si="1477"/>
        <v>0</v>
      </c>
      <c r="BH117" s="871">
        <f t="shared" si="1477"/>
        <v>0</v>
      </c>
      <c r="BI117" s="871">
        <f t="shared" si="1477"/>
        <v>0</v>
      </c>
      <c r="BJ117" s="871">
        <f t="shared" si="1477"/>
        <v>0</v>
      </c>
      <c r="BK117" s="871">
        <f t="shared" si="1477"/>
        <v>0</v>
      </c>
      <c r="BL117" s="871">
        <f t="shared" si="1478"/>
        <v>0</v>
      </c>
      <c r="BM117" s="871">
        <f t="shared" si="1478"/>
        <v>0</v>
      </c>
      <c r="BN117" s="871">
        <f t="shared" si="1478"/>
        <v>0</v>
      </c>
      <c r="BO117" s="871">
        <f t="shared" si="1478"/>
        <v>0</v>
      </c>
      <c r="BP117" s="871">
        <f t="shared" si="1478"/>
        <v>0</v>
      </c>
      <c r="BQ117" s="871">
        <f t="shared" si="1478"/>
        <v>0</v>
      </c>
      <c r="BR117" s="871">
        <f t="shared" si="1478"/>
        <v>0</v>
      </c>
      <c r="BS117" s="871">
        <f t="shared" si="1478"/>
        <v>0</v>
      </c>
      <c r="BT117" s="871">
        <f t="shared" si="1478"/>
        <v>0</v>
      </c>
      <c r="BU117" s="871">
        <f t="shared" si="1478"/>
        <v>0</v>
      </c>
      <c r="BV117" s="1453"/>
      <c r="BW117" s="871">
        <f t="shared" si="1427"/>
        <v>0</v>
      </c>
      <c r="BX117" s="871">
        <f t="shared" si="1479"/>
        <v>0</v>
      </c>
      <c r="BY117" s="871">
        <f t="shared" si="1479"/>
        <v>0</v>
      </c>
      <c r="BZ117" s="871">
        <f t="shared" si="1479"/>
        <v>0</v>
      </c>
      <c r="CA117" s="871">
        <f t="shared" si="1479"/>
        <v>0</v>
      </c>
      <c r="CB117" s="871">
        <f t="shared" si="1479"/>
        <v>0</v>
      </c>
      <c r="CC117" s="871">
        <f t="shared" si="1479"/>
        <v>0</v>
      </c>
      <c r="CD117" s="871">
        <f t="shared" si="1479"/>
        <v>0</v>
      </c>
      <c r="CE117" s="871">
        <f t="shared" si="1479"/>
        <v>0</v>
      </c>
      <c r="CF117" s="871">
        <f t="shared" si="1479"/>
        <v>0</v>
      </c>
      <c r="CG117" s="871">
        <f t="shared" si="1479"/>
        <v>0</v>
      </c>
      <c r="CH117" s="871">
        <f t="shared" si="1480"/>
        <v>0</v>
      </c>
      <c r="CI117" s="871">
        <f t="shared" si="1480"/>
        <v>0</v>
      </c>
      <c r="CJ117" s="871">
        <f t="shared" si="1480"/>
        <v>0</v>
      </c>
      <c r="CK117" s="871">
        <f t="shared" si="1480"/>
        <v>0</v>
      </c>
      <c r="CL117" s="871">
        <f t="shared" si="1480"/>
        <v>0</v>
      </c>
      <c r="CM117" s="871">
        <f t="shared" si="1480"/>
        <v>0</v>
      </c>
      <c r="CN117" s="871">
        <f t="shared" si="1480"/>
        <v>0</v>
      </c>
      <c r="CO117" s="871">
        <f t="shared" si="1480"/>
        <v>0</v>
      </c>
      <c r="CP117" s="871">
        <f t="shared" si="1480"/>
        <v>0</v>
      </c>
      <c r="CQ117" s="871">
        <f t="shared" si="1480"/>
        <v>0</v>
      </c>
      <c r="CR117" s="871">
        <f t="shared" si="1481"/>
        <v>0</v>
      </c>
      <c r="CS117" s="871">
        <f t="shared" si="1481"/>
        <v>0</v>
      </c>
      <c r="CT117" s="871">
        <f t="shared" si="1481"/>
        <v>0</v>
      </c>
      <c r="CU117" s="871">
        <f t="shared" si="1481"/>
        <v>0</v>
      </c>
      <c r="CV117" s="871">
        <f t="shared" si="1481"/>
        <v>0</v>
      </c>
      <c r="CW117" s="871">
        <f t="shared" si="1481"/>
        <v>0</v>
      </c>
      <c r="CX117" s="871">
        <f t="shared" si="1481"/>
        <v>0</v>
      </c>
      <c r="CY117" s="871">
        <f t="shared" si="1481"/>
        <v>0</v>
      </c>
      <c r="CZ117" s="871">
        <f t="shared" si="1481"/>
        <v>0</v>
      </c>
      <c r="DA117" s="871">
        <f t="shared" si="1481"/>
        <v>0</v>
      </c>
      <c r="DB117" s="41"/>
      <c r="DC117" s="871">
        <f t="shared" si="892"/>
        <v>0</v>
      </c>
      <c r="DD117" s="871">
        <f t="shared" si="893"/>
        <v>0</v>
      </c>
      <c r="DE117" s="871">
        <f t="shared" si="894"/>
        <v>0</v>
      </c>
      <c r="DF117" s="871">
        <f t="shared" si="895"/>
        <v>0</v>
      </c>
      <c r="DG117" s="871">
        <f t="shared" si="896"/>
        <v>0</v>
      </c>
      <c r="DH117" s="871">
        <f t="shared" si="897"/>
        <v>0</v>
      </c>
      <c r="DI117" s="871">
        <f t="shared" si="898"/>
        <v>0</v>
      </c>
      <c r="DJ117" s="871">
        <f t="shared" si="899"/>
        <v>0</v>
      </c>
      <c r="DK117" s="871">
        <f t="shared" si="900"/>
        <v>0</v>
      </c>
      <c r="DL117" s="871">
        <f t="shared" si="901"/>
        <v>0</v>
      </c>
      <c r="DM117" s="871">
        <f t="shared" si="902"/>
        <v>0</v>
      </c>
      <c r="DN117" s="871">
        <f t="shared" si="903"/>
        <v>0</v>
      </c>
      <c r="DO117" s="871">
        <f t="shared" si="904"/>
        <v>0</v>
      </c>
      <c r="DP117" s="871">
        <f t="shared" si="905"/>
        <v>0</v>
      </c>
      <c r="DQ117" s="871">
        <f t="shared" si="906"/>
        <v>0</v>
      </c>
      <c r="DR117" s="871">
        <f t="shared" si="907"/>
        <v>0</v>
      </c>
      <c r="DS117" s="871">
        <f t="shared" si="908"/>
        <v>0</v>
      </c>
      <c r="DT117" s="871">
        <f t="shared" si="909"/>
        <v>0</v>
      </c>
      <c r="DU117" s="871">
        <f t="shared" si="910"/>
        <v>0</v>
      </c>
      <c r="DV117" s="871">
        <f t="shared" si="911"/>
        <v>0</v>
      </c>
      <c r="DW117" s="871">
        <f t="shared" si="912"/>
        <v>0</v>
      </c>
      <c r="DX117" s="871">
        <f t="shared" si="913"/>
        <v>0</v>
      </c>
      <c r="DY117" s="871">
        <f t="shared" si="914"/>
        <v>0</v>
      </c>
      <c r="DZ117" s="871">
        <f t="shared" si="915"/>
        <v>0</v>
      </c>
      <c r="EA117" s="871">
        <f t="shared" si="916"/>
        <v>0</v>
      </c>
      <c r="EB117" s="871">
        <f t="shared" si="917"/>
        <v>0</v>
      </c>
      <c r="EC117" s="871">
        <f t="shared" si="918"/>
        <v>0</v>
      </c>
      <c r="ED117" s="871">
        <f t="shared" si="919"/>
        <v>0</v>
      </c>
      <c r="EE117" s="871">
        <f t="shared" si="920"/>
        <v>0</v>
      </c>
      <c r="EF117" s="871">
        <f t="shared" si="921"/>
        <v>0</v>
      </c>
      <c r="EG117" s="871">
        <f t="shared" si="922"/>
        <v>0</v>
      </c>
      <c r="EH117" s="41"/>
      <c r="EI117" s="41"/>
      <c r="EJ117" s="41"/>
      <c r="EK117" s="41"/>
    </row>
    <row r="118" spans="1:141">
      <c r="A118" s="595"/>
      <c r="B118" s="598"/>
      <c r="C118" s="599"/>
      <c r="E118" s="41"/>
      <c r="F118" s="27"/>
      <c r="G118" s="44"/>
      <c r="H118" s="28"/>
      <c r="I118" s="47"/>
      <c r="J118" s="47"/>
      <c r="K118" s="1524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41"/>
      <c r="AL118" s="41"/>
      <c r="AM118" s="41"/>
      <c r="AN118" s="41"/>
      <c r="AO118" s="41"/>
      <c r="AP118" s="41"/>
      <c r="AQ118" s="1525"/>
      <c r="AR118" s="1526"/>
      <c r="AS118" s="1526"/>
      <c r="AT118" s="1526"/>
      <c r="AU118" s="1526"/>
      <c r="AV118" s="1526"/>
      <c r="AW118" s="1526"/>
      <c r="AX118" s="1526"/>
      <c r="AY118" s="1526"/>
      <c r="AZ118" s="1526"/>
      <c r="BA118" s="1526"/>
      <c r="BB118" s="1526"/>
      <c r="BC118" s="1526"/>
      <c r="BD118" s="1526"/>
      <c r="BE118" s="1526"/>
      <c r="BF118" s="1526"/>
      <c r="BG118" s="1526"/>
      <c r="BH118" s="1526"/>
      <c r="BI118" s="1526"/>
      <c r="BJ118" s="1526"/>
      <c r="BK118" s="1526"/>
      <c r="BL118" s="1526"/>
      <c r="BM118" s="1526"/>
      <c r="BN118" s="1526"/>
      <c r="BO118" s="1526"/>
      <c r="BP118" s="1526"/>
      <c r="BQ118" s="1526"/>
      <c r="BR118" s="1526"/>
      <c r="BS118" s="1526"/>
      <c r="BT118" s="1526"/>
      <c r="BU118" s="1526"/>
      <c r="BV118" s="41"/>
      <c r="BW118" s="1525"/>
      <c r="BX118" s="1526"/>
      <c r="BY118" s="1526"/>
      <c r="BZ118" s="1526"/>
      <c r="CA118" s="1526"/>
      <c r="CB118" s="1526"/>
      <c r="CC118" s="1526"/>
      <c r="CD118" s="1526"/>
      <c r="CE118" s="1526"/>
      <c r="CF118" s="1526"/>
      <c r="CG118" s="1526"/>
      <c r="CH118" s="1526"/>
      <c r="CI118" s="1526"/>
      <c r="CJ118" s="1526"/>
      <c r="CK118" s="1526"/>
      <c r="CL118" s="1526"/>
      <c r="CM118" s="1526"/>
      <c r="CN118" s="1526"/>
      <c r="CO118" s="1526"/>
      <c r="CP118" s="1526"/>
      <c r="CQ118" s="1526"/>
      <c r="CR118" s="1526"/>
      <c r="CS118" s="1526"/>
      <c r="CT118" s="1526"/>
      <c r="CU118" s="1526"/>
      <c r="CV118" s="1526"/>
      <c r="CW118" s="1526"/>
      <c r="CX118" s="1526"/>
      <c r="CY118" s="1526"/>
      <c r="CZ118" s="1526"/>
      <c r="DA118" s="1526"/>
      <c r="DB118" s="41"/>
      <c r="DC118" s="1525">
        <f t="shared" si="892"/>
        <v>0</v>
      </c>
      <c r="DD118" s="1526">
        <f t="shared" si="893"/>
        <v>0</v>
      </c>
      <c r="DE118" s="1526">
        <f t="shared" si="894"/>
        <v>0</v>
      </c>
      <c r="DF118" s="1526">
        <f t="shared" si="895"/>
        <v>0</v>
      </c>
      <c r="DG118" s="1526">
        <f t="shared" si="896"/>
        <v>0</v>
      </c>
      <c r="DH118" s="1526">
        <f t="shared" si="897"/>
        <v>0</v>
      </c>
      <c r="DI118" s="1526">
        <f t="shared" si="898"/>
        <v>0</v>
      </c>
      <c r="DJ118" s="1526">
        <f t="shared" si="899"/>
        <v>0</v>
      </c>
      <c r="DK118" s="1526">
        <f t="shared" si="900"/>
        <v>0</v>
      </c>
      <c r="DL118" s="1526">
        <f t="shared" si="901"/>
        <v>0</v>
      </c>
      <c r="DM118" s="1526">
        <f t="shared" si="902"/>
        <v>0</v>
      </c>
      <c r="DN118" s="1526">
        <f t="shared" si="903"/>
        <v>0</v>
      </c>
      <c r="DO118" s="1526">
        <f t="shared" si="904"/>
        <v>0</v>
      </c>
      <c r="DP118" s="1526">
        <f t="shared" si="905"/>
        <v>0</v>
      </c>
      <c r="DQ118" s="1526">
        <f t="shared" si="906"/>
        <v>0</v>
      </c>
      <c r="DR118" s="1526">
        <f t="shared" si="907"/>
        <v>0</v>
      </c>
      <c r="DS118" s="1526">
        <f t="shared" si="908"/>
        <v>0</v>
      </c>
      <c r="DT118" s="1526">
        <f t="shared" si="909"/>
        <v>0</v>
      </c>
      <c r="DU118" s="1526">
        <f t="shared" si="910"/>
        <v>0</v>
      </c>
      <c r="DV118" s="1526">
        <f t="shared" si="911"/>
        <v>0</v>
      </c>
      <c r="DW118" s="1526">
        <f t="shared" si="912"/>
        <v>0</v>
      </c>
      <c r="DX118" s="1526">
        <f t="shared" si="913"/>
        <v>0</v>
      </c>
      <c r="DY118" s="1526">
        <f t="shared" si="914"/>
        <v>0</v>
      </c>
      <c r="DZ118" s="1526">
        <f t="shared" si="915"/>
        <v>0</v>
      </c>
      <c r="EA118" s="1526">
        <f t="shared" si="916"/>
        <v>0</v>
      </c>
      <c r="EB118" s="1526">
        <f t="shared" si="917"/>
        <v>0</v>
      </c>
      <c r="EC118" s="1526">
        <f t="shared" si="918"/>
        <v>0</v>
      </c>
      <c r="ED118" s="1526">
        <f t="shared" si="919"/>
        <v>0</v>
      </c>
      <c r="EE118" s="1526">
        <f t="shared" si="920"/>
        <v>0</v>
      </c>
      <c r="EF118" s="1526">
        <f t="shared" si="921"/>
        <v>0</v>
      </c>
      <c r="EG118" s="1526">
        <f t="shared" si="922"/>
        <v>0</v>
      </c>
      <c r="EH118" s="41"/>
      <c r="EI118" s="41"/>
      <c r="EJ118" s="41"/>
      <c r="EK118" s="41"/>
    </row>
    <row r="119" spans="1:141">
      <c r="A119" s="595"/>
      <c r="B119" s="598"/>
      <c r="C119" s="599"/>
      <c r="E119" s="1527" t="s">
        <v>38</v>
      </c>
      <c r="F119" s="1528" t="s">
        <v>1699</v>
      </c>
      <c r="G119" s="1529"/>
      <c r="H119" s="1530"/>
      <c r="I119" s="1531"/>
      <c r="J119" s="1531"/>
      <c r="K119" s="1532"/>
      <c r="L119" s="1533"/>
      <c r="M119" s="1533"/>
      <c r="N119" s="1533"/>
      <c r="O119" s="1533"/>
      <c r="P119" s="1533"/>
      <c r="Q119" s="1533"/>
      <c r="R119" s="1533"/>
      <c r="S119" s="1533"/>
      <c r="T119" s="1533"/>
      <c r="U119" s="1533"/>
      <c r="V119" s="1533"/>
      <c r="W119" s="1533"/>
      <c r="X119" s="1533"/>
      <c r="Y119" s="1533"/>
      <c r="Z119" s="1533"/>
      <c r="AA119" s="1533"/>
      <c r="AB119" s="1533"/>
      <c r="AC119" s="1533"/>
      <c r="AD119" s="1533"/>
      <c r="AE119" s="1533"/>
      <c r="AF119" s="1533"/>
      <c r="AG119" s="1533"/>
      <c r="AH119" s="1533"/>
      <c r="AI119" s="1533"/>
      <c r="AJ119" s="1533"/>
      <c r="AK119" s="1533"/>
      <c r="AL119" s="1533"/>
      <c r="AM119" s="1533"/>
      <c r="AN119" s="1533"/>
      <c r="AO119" s="1533"/>
      <c r="AP119" s="1533"/>
      <c r="AQ119" s="1534">
        <f t="shared" ref="AQ119:BU119" ca="1" si="1482">SUBTOTAL(9,AQ7:AQ118)</f>
        <v>3972.3889082005981</v>
      </c>
      <c r="AR119" s="1535">
        <f t="shared" ca="1" si="1482"/>
        <v>116.97165881272517</v>
      </c>
      <c r="AS119" s="1535">
        <f t="shared" ca="1" si="1482"/>
        <v>122.30990750475416</v>
      </c>
      <c r="AT119" s="1535">
        <f t="shared" ca="1" si="1482"/>
        <v>122.30990750475416</v>
      </c>
      <c r="AU119" s="1535">
        <f t="shared" ca="1" si="1482"/>
        <v>122.30990750475416</v>
      </c>
      <c r="AV119" s="1535">
        <f t="shared" ca="1" si="1482"/>
        <v>122.30990750475416</v>
      </c>
      <c r="AW119" s="1535">
        <f t="shared" ca="1" si="1482"/>
        <v>122.30990750475416</v>
      </c>
      <c r="AX119" s="1535">
        <f t="shared" ca="1" si="1482"/>
        <v>122.30990750475416</v>
      </c>
      <c r="AY119" s="1535">
        <f t="shared" ca="1" si="1482"/>
        <v>122.30990750475416</v>
      </c>
      <c r="AZ119" s="1535">
        <f t="shared" ca="1" si="1482"/>
        <v>122.30990750475416</v>
      </c>
      <c r="BA119" s="1535">
        <f t="shared" ca="1" si="1482"/>
        <v>122.30990750475416</v>
      </c>
      <c r="BB119" s="1535">
        <f t="shared" ca="1" si="1482"/>
        <v>122.30990750475416</v>
      </c>
      <c r="BC119" s="1535">
        <f t="shared" ca="1" si="1482"/>
        <v>122.30990750475416</v>
      </c>
      <c r="BD119" s="1535">
        <f t="shared" ca="1" si="1482"/>
        <v>122.30990750475416</v>
      </c>
      <c r="BE119" s="1535">
        <f t="shared" ca="1" si="1482"/>
        <v>122.30990750475416</v>
      </c>
      <c r="BF119" s="1535">
        <f t="shared" ca="1" si="1482"/>
        <v>122.30990750475416</v>
      </c>
      <c r="BG119" s="1535">
        <f t="shared" ca="1" si="1482"/>
        <v>122.30990750475416</v>
      </c>
      <c r="BH119" s="1535">
        <f t="shared" ca="1" si="1482"/>
        <v>122.30990750475416</v>
      </c>
      <c r="BI119" s="1535">
        <f t="shared" ca="1" si="1482"/>
        <v>122.30990750475416</v>
      </c>
      <c r="BJ119" s="1535">
        <f t="shared" ca="1" si="1482"/>
        <v>122.30990750475416</v>
      </c>
      <c r="BK119" s="1535">
        <f t="shared" ca="1" si="1482"/>
        <v>122.30990750475416</v>
      </c>
      <c r="BL119" s="1535">
        <f t="shared" ca="1" si="1482"/>
        <v>122.30990750475416</v>
      </c>
      <c r="BM119" s="1535">
        <f t="shared" ca="1" si="1482"/>
        <v>122.30990750475416</v>
      </c>
      <c r="BN119" s="1535">
        <f t="shared" ca="1" si="1482"/>
        <v>122.30990750475416</v>
      </c>
      <c r="BO119" s="1535">
        <f t="shared" ca="1" si="1482"/>
        <v>122.30990750475416</v>
      </c>
      <c r="BP119" s="1535">
        <f t="shared" ca="1" si="1482"/>
        <v>122.30990750475416</v>
      </c>
      <c r="BQ119" s="1535">
        <f t="shared" ca="1" si="1482"/>
        <v>122.30990750475416</v>
      </c>
      <c r="BR119" s="1535">
        <f t="shared" ca="1" si="1482"/>
        <v>122.30990750475416</v>
      </c>
      <c r="BS119" s="1535">
        <f t="shared" ca="1" si="1482"/>
        <v>122.30990750475416</v>
      </c>
      <c r="BT119" s="1535">
        <f t="shared" ca="1" si="1482"/>
        <v>122.30990750475416</v>
      </c>
      <c r="BU119" s="1535">
        <f t="shared" ca="1" si="1482"/>
        <v>122.30990750475416</v>
      </c>
      <c r="BV119" s="1536"/>
      <c r="BW119" s="1535">
        <f t="shared" ref="BW119:DA119" ca="1" si="1483">SUBTOTAL(9,BW7:BW118)</f>
        <v>6092.375</v>
      </c>
      <c r="BX119" s="1535">
        <f t="shared" ca="1" si="1483"/>
        <v>197.07916666666665</v>
      </c>
      <c r="BY119" s="1535">
        <f t="shared" ca="1" si="1483"/>
        <v>197.07916666666665</v>
      </c>
      <c r="BZ119" s="1535">
        <f t="shared" ca="1" si="1483"/>
        <v>197.07916666666665</v>
      </c>
      <c r="CA119" s="1535">
        <f t="shared" ca="1" si="1483"/>
        <v>197.07916666666665</v>
      </c>
      <c r="CB119" s="1535">
        <f t="shared" ca="1" si="1483"/>
        <v>197.07916666666665</v>
      </c>
      <c r="CC119" s="1535">
        <f t="shared" ca="1" si="1483"/>
        <v>197.07916666666665</v>
      </c>
      <c r="CD119" s="1535">
        <f t="shared" ca="1" si="1483"/>
        <v>197.07916666666665</v>
      </c>
      <c r="CE119" s="1535">
        <f t="shared" ca="1" si="1483"/>
        <v>197.07916666666665</v>
      </c>
      <c r="CF119" s="1535">
        <f t="shared" ca="1" si="1483"/>
        <v>197.07916666666665</v>
      </c>
      <c r="CG119" s="1535">
        <f t="shared" ca="1" si="1483"/>
        <v>197.07916666666665</v>
      </c>
      <c r="CH119" s="1535">
        <f t="shared" ca="1" si="1483"/>
        <v>197.07916666666665</v>
      </c>
      <c r="CI119" s="1535">
        <f t="shared" ca="1" si="1483"/>
        <v>197.07916666666665</v>
      </c>
      <c r="CJ119" s="1535">
        <f t="shared" ca="1" si="1483"/>
        <v>197.07916666666665</v>
      </c>
      <c r="CK119" s="1535">
        <f t="shared" ca="1" si="1483"/>
        <v>197.07916666666665</v>
      </c>
      <c r="CL119" s="1535">
        <f t="shared" ca="1" si="1483"/>
        <v>197.07916666666665</v>
      </c>
      <c r="CM119" s="1535">
        <f t="shared" ca="1" si="1483"/>
        <v>197.07916666666665</v>
      </c>
      <c r="CN119" s="1535">
        <f t="shared" ca="1" si="1483"/>
        <v>197.07916666666665</v>
      </c>
      <c r="CO119" s="1535">
        <f t="shared" ca="1" si="1483"/>
        <v>197.07916666666665</v>
      </c>
      <c r="CP119" s="1535">
        <f t="shared" ca="1" si="1483"/>
        <v>197.07916666666665</v>
      </c>
      <c r="CQ119" s="1535">
        <f t="shared" ca="1" si="1483"/>
        <v>197.07916666666665</v>
      </c>
      <c r="CR119" s="1535">
        <f t="shared" ca="1" si="1483"/>
        <v>197.07916666666665</v>
      </c>
      <c r="CS119" s="1535">
        <f t="shared" ca="1" si="1483"/>
        <v>197.07916666666665</v>
      </c>
      <c r="CT119" s="1535">
        <f t="shared" ca="1" si="1483"/>
        <v>197.07916666666665</v>
      </c>
      <c r="CU119" s="1535">
        <f t="shared" ca="1" si="1483"/>
        <v>197.07916666666665</v>
      </c>
      <c r="CV119" s="1535">
        <f t="shared" ca="1" si="1483"/>
        <v>197.07916666666665</v>
      </c>
      <c r="CW119" s="1535">
        <f t="shared" ca="1" si="1483"/>
        <v>197.07916666666665</v>
      </c>
      <c r="CX119" s="1535">
        <f t="shared" ca="1" si="1483"/>
        <v>197.07916666666665</v>
      </c>
      <c r="CY119" s="1535">
        <f t="shared" ca="1" si="1483"/>
        <v>197.07916666666665</v>
      </c>
      <c r="CZ119" s="1535">
        <f t="shared" ca="1" si="1483"/>
        <v>197.07916666666665</v>
      </c>
      <c r="DA119" s="1535">
        <f t="shared" ca="1" si="1483"/>
        <v>197.07916666666665</v>
      </c>
      <c r="DB119" s="1537"/>
      <c r="DC119" s="1535">
        <f t="shared" ca="1" si="892"/>
        <v>10064.763908200599</v>
      </c>
      <c r="DD119" s="1535">
        <f t="shared" ca="1" si="893"/>
        <v>314.05082547939185</v>
      </c>
      <c r="DE119" s="1535">
        <f t="shared" ca="1" si="894"/>
        <v>319.38907417142082</v>
      </c>
      <c r="DF119" s="1535">
        <f t="shared" ca="1" si="895"/>
        <v>319.38907417142082</v>
      </c>
      <c r="DG119" s="1535">
        <f t="shared" ca="1" si="896"/>
        <v>319.38907417142082</v>
      </c>
      <c r="DH119" s="1535">
        <f t="shared" ca="1" si="897"/>
        <v>319.38907417142082</v>
      </c>
      <c r="DI119" s="1535">
        <f t="shared" ca="1" si="898"/>
        <v>319.38907417142082</v>
      </c>
      <c r="DJ119" s="1535">
        <f t="shared" ca="1" si="899"/>
        <v>319.38907417142082</v>
      </c>
      <c r="DK119" s="1535">
        <f t="shared" ca="1" si="900"/>
        <v>319.38907417142082</v>
      </c>
      <c r="DL119" s="1535">
        <f t="shared" ca="1" si="901"/>
        <v>319.38907417142082</v>
      </c>
      <c r="DM119" s="1535">
        <f t="shared" ca="1" si="902"/>
        <v>319.38907417142082</v>
      </c>
      <c r="DN119" s="1535">
        <f t="shared" ca="1" si="903"/>
        <v>319.38907417142082</v>
      </c>
      <c r="DO119" s="1535">
        <f t="shared" ca="1" si="904"/>
        <v>319.38907417142082</v>
      </c>
      <c r="DP119" s="1535">
        <f t="shared" ca="1" si="905"/>
        <v>319.38907417142082</v>
      </c>
      <c r="DQ119" s="1535">
        <f t="shared" ca="1" si="906"/>
        <v>319.38907417142082</v>
      </c>
      <c r="DR119" s="1535">
        <f t="shared" ca="1" si="907"/>
        <v>319.38907417142082</v>
      </c>
      <c r="DS119" s="1535">
        <f t="shared" ca="1" si="908"/>
        <v>319.38907417142082</v>
      </c>
      <c r="DT119" s="1535">
        <f t="shared" ca="1" si="909"/>
        <v>319.38907417142082</v>
      </c>
      <c r="DU119" s="1535">
        <f t="shared" ca="1" si="910"/>
        <v>319.38907417142082</v>
      </c>
      <c r="DV119" s="1535">
        <f t="shared" ca="1" si="911"/>
        <v>319.38907417142082</v>
      </c>
      <c r="DW119" s="1535">
        <f t="shared" ca="1" si="912"/>
        <v>319.38907417142082</v>
      </c>
      <c r="DX119" s="1535">
        <f t="shared" ca="1" si="913"/>
        <v>319.38907417142082</v>
      </c>
      <c r="DY119" s="1535">
        <f t="shared" ca="1" si="914"/>
        <v>319.38907417142082</v>
      </c>
      <c r="DZ119" s="1535">
        <f t="shared" ca="1" si="915"/>
        <v>319.38907417142082</v>
      </c>
      <c r="EA119" s="1535">
        <f t="shared" ca="1" si="916"/>
        <v>319.38907417142082</v>
      </c>
      <c r="EB119" s="1535">
        <f t="shared" ca="1" si="917"/>
        <v>319.38907417142082</v>
      </c>
      <c r="EC119" s="1535">
        <f t="shared" ca="1" si="918"/>
        <v>319.38907417142082</v>
      </c>
      <c r="ED119" s="1535">
        <f t="shared" ca="1" si="919"/>
        <v>319.38907417142082</v>
      </c>
      <c r="EE119" s="1535">
        <f t="shared" ca="1" si="920"/>
        <v>319.38907417142082</v>
      </c>
      <c r="EF119" s="1535">
        <f t="shared" ca="1" si="921"/>
        <v>319.38907417142082</v>
      </c>
      <c r="EG119" s="1535">
        <f t="shared" ca="1" si="922"/>
        <v>319.38907417142082</v>
      </c>
      <c r="EH119" s="41"/>
      <c r="EI119" s="41"/>
      <c r="EJ119" s="41"/>
      <c r="EK119" s="41"/>
    </row>
    <row r="120" spans="1:141">
      <c r="A120" s="595"/>
      <c r="B120" s="598"/>
      <c r="C120" s="599"/>
      <c r="E120" s="1538"/>
      <c r="F120" s="1539"/>
      <c r="G120" s="1540"/>
      <c r="H120" s="41"/>
      <c r="I120" s="1541"/>
      <c r="J120" s="15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41"/>
      <c r="AL120" s="41"/>
      <c r="AM120" s="41"/>
      <c r="AN120" s="41"/>
      <c r="AO120" s="1542"/>
      <c r="AP120" s="1542"/>
      <c r="AQ120" s="1525"/>
      <c r="AR120" s="41"/>
      <c r="AS120" s="41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  <c r="BF120" s="41"/>
      <c r="BG120" s="41"/>
      <c r="BH120" s="41"/>
      <c r="BI120" s="41"/>
      <c r="BJ120" s="41"/>
      <c r="BK120" s="41"/>
      <c r="BL120" s="41"/>
      <c r="BM120" s="41"/>
      <c r="BN120" s="41"/>
      <c r="BO120" s="41"/>
      <c r="BP120" s="41"/>
      <c r="BQ120" s="41"/>
      <c r="BR120" s="41"/>
      <c r="BS120" s="41"/>
      <c r="BT120" s="41"/>
      <c r="BU120" s="41"/>
      <c r="BV120" s="41"/>
      <c r="BW120" s="1525"/>
      <c r="BX120" s="41"/>
      <c r="BY120" s="41"/>
      <c r="BZ120" s="41"/>
      <c r="CA120" s="41"/>
      <c r="CB120" s="41"/>
      <c r="CC120" s="41"/>
      <c r="CD120" s="41"/>
      <c r="CE120" s="41"/>
      <c r="CF120" s="41"/>
      <c r="CG120" s="41"/>
      <c r="CH120" s="41"/>
      <c r="CI120" s="41"/>
      <c r="CJ120" s="41"/>
      <c r="CK120" s="41"/>
      <c r="CL120" s="41"/>
      <c r="CM120" s="41"/>
      <c r="CN120" s="41"/>
      <c r="CO120" s="41"/>
      <c r="CP120" s="41"/>
      <c r="CQ120" s="41"/>
      <c r="CR120" s="41"/>
      <c r="CS120" s="41"/>
      <c r="CT120" s="41"/>
      <c r="CU120" s="41"/>
      <c r="CV120" s="41"/>
      <c r="CW120" s="41"/>
      <c r="CX120" s="41"/>
      <c r="CY120" s="41"/>
      <c r="CZ120" s="41"/>
      <c r="DA120" s="41"/>
      <c r="DB120" s="41"/>
      <c r="DC120" s="1525"/>
      <c r="DD120" s="41"/>
      <c r="DE120" s="41"/>
      <c r="DF120" s="41"/>
      <c r="DG120" s="41"/>
      <c r="DH120" s="41"/>
      <c r="DI120" s="41"/>
      <c r="DJ120" s="41"/>
      <c r="DK120" s="41"/>
      <c r="DL120" s="41"/>
      <c r="DM120" s="41"/>
      <c r="DN120" s="41"/>
      <c r="DO120" s="41"/>
      <c r="DP120" s="41"/>
      <c r="DQ120" s="41"/>
      <c r="DR120" s="41"/>
      <c r="DS120" s="41"/>
      <c r="DT120" s="41"/>
      <c r="DU120" s="41"/>
      <c r="DV120" s="41"/>
      <c r="DW120" s="41"/>
      <c r="DX120" s="41"/>
      <c r="DY120" s="41"/>
      <c r="DZ120" s="41"/>
      <c r="EA120" s="41"/>
      <c r="EB120" s="41"/>
      <c r="EC120" s="41"/>
      <c r="ED120" s="41"/>
      <c r="EE120" s="41"/>
      <c r="EF120" s="41"/>
      <c r="EG120" s="41"/>
      <c r="EH120" s="41"/>
      <c r="EI120" s="41"/>
      <c r="EJ120" s="41"/>
      <c r="EK120" s="41"/>
    </row>
    <row r="121" spans="1:141">
      <c r="A121" s="595"/>
      <c r="B121" s="598"/>
      <c r="C121" s="599"/>
      <c r="E121" s="1042" t="s">
        <v>1700</v>
      </c>
      <c r="F121" s="1543" t="s">
        <v>1701</v>
      </c>
      <c r="G121" s="1543" t="s">
        <v>1701</v>
      </c>
      <c r="H121" s="1544">
        <v>0.2</v>
      </c>
      <c r="I121" s="1541"/>
      <c r="J121" s="15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41"/>
      <c r="AL121" s="41"/>
      <c r="AM121" s="41"/>
      <c r="AN121" s="41"/>
      <c r="AO121" s="41"/>
      <c r="AP121" s="41"/>
      <c r="AQ121" s="1545"/>
      <c r="AR121" s="41"/>
      <c r="AS121" s="41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  <c r="BF121" s="41"/>
      <c r="BG121" s="41"/>
      <c r="BH121" s="41"/>
      <c r="BI121" s="41"/>
      <c r="BJ121" s="41"/>
      <c r="BK121" s="41"/>
      <c r="BL121" s="41"/>
      <c r="BM121" s="41"/>
      <c r="BN121" s="41"/>
      <c r="BO121" s="41"/>
      <c r="BP121" s="41"/>
      <c r="BQ121" s="41"/>
      <c r="BR121" s="41"/>
      <c r="BS121" s="41"/>
      <c r="BT121" s="41"/>
      <c r="BU121" s="41"/>
      <c r="BV121" s="41"/>
      <c r="BW121" s="1525"/>
      <c r="BX121" s="41"/>
      <c r="BY121" s="41"/>
      <c r="BZ121" s="41"/>
      <c r="CA121" s="41"/>
      <c r="CB121" s="41"/>
      <c r="CC121" s="41"/>
      <c r="CD121" s="41"/>
      <c r="CE121" s="41"/>
      <c r="CF121" s="41"/>
      <c r="CG121" s="41"/>
      <c r="CH121" s="41"/>
      <c r="CI121" s="41"/>
      <c r="CJ121" s="41"/>
      <c r="CK121" s="41"/>
      <c r="CL121" s="41"/>
      <c r="CM121" s="41"/>
      <c r="CN121" s="41"/>
      <c r="CO121" s="41"/>
      <c r="CP121" s="41"/>
      <c r="CQ121" s="41"/>
      <c r="CR121" s="41"/>
      <c r="CS121" s="41"/>
      <c r="CT121" s="41"/>
      <c r="CU121" s="41"/>
      <c r="CV121" s="41"/>
      <c r="CW121" s="41"/>
      <c r="CX121" s="41"/>
      <c r="CY121" s="41"/>
      <c r="CZ121" s="41"/>
      <c r="DA121" s="41"/>
      <c r="DB121" s="41"/>
      <c r="DC121" s="1525"/>
      <c r="DD121" s="41"/>
      <c r="DE121" s="41"/>
      <c r="DF121" s="41"/>
      <c r="DG121" s="41"/>
      <c r="DH121" s="41"/>
      <c r="DI121" s="41"/>
      <c r="DJ121" s="41"/>
      <c r="DK121" s="41"/>
      <c r="DL121" s="41"/>
      <c r="DM121" s="41"/>
      <c r="DN121" s="41"/>
      <c r="DO121" s="41"/>
      <c r="DP121" s="41"/>
      <c r="DQ121" s="41"/>
      <c r="DR121" s="41"/>
      <c r="DS121" s="41"/>
      <c r="DT121" s="41"/>
      <c r="DU121" s="41"/>
      <c r="DV121" s="41"/>
      <c r="DW121" s="41"/>
      <c r="DX121" s="41"/>
      <c r="DY121" s="41"/>
      <c r="DZ121" s="41"/>
      <c r="EA121" s="41"/>
      <c r="EB121" s="41"/>
      <c r="EC121" s="41"/>
      <c r="ED121" s="41"/>
      <c r="EE121" s="41"/>
      <c r="EF121" s="41"/>
      <c r="EG121" s="41"/>
      <c r="EH121" s="41"/>
      <c r="EI121" s="41"/>
      <c r="EJ121" s="41"/>
      <c r="EK121" s="41"/>
    </row>
    <row r="122" spans="1:141">
      <c r="A122" s="595"/>
      <c r="B122" s="598"/>
      <c r="C122" s="599"/>
      <c r="E122" s="1042" t="s">
        <v>1702</v>
      </c>
      <c r="F122" s="1546">
        <f>4.4+(1*$H$121)</f>
        <v>4.6000000000000005</v>
      </c>
      <c r="G122" s="1546">
        <f>A</f>
        <v>4.6000000000000005</v>
      </c>
      <c r="H122" s="41"/>
      <c r="I122" s="1547"/>
      <c r="J122" s="15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41"/>
      <c r="AM122" s="41"/>
      <c r="AN122" s="41"/>
      <c r="AO122" s="41"/>
      <c r="AP122" s="41"/>
      <c r="AQ122" s="1525"/>
      <c r="AR122" s="41"/>
      <c r="AS122" s="41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  <c r="BF122" s="41"/>
      <c r="BG122" s="41"/>
      <c r="BH122" s="41"/>
      <c r="BI122" s="41"/>
      <c r="BJ122" s="41"/>
      <c r="BK122" s="41"/>
      <c r="BL122" s="41"/>
      <c r="BM122" s="41"/>
      <c r="BN122" s="41"/>
      <c r="BO122" s="41"/>
      <c r="BP122" s="41"/>
      <c r="BQ122" s="41"/>
      <c r="BR122" s="41"/>
      <c r="BS122" s="41"/>
      <c r="BT122" s="41"/>
      <c r="BU122" s="41"/>
      <c r="BV122" s="41"/>
      <c r="BW122" s="1525"/>
      <c r="BX122" s="41"/>
      <c r="BY122" s="41"/>
      <c r="BZ122" s="41"/>
      <c r="CA122" s="41"/>
      <c r="CB122" s="41"/>
      <c r="CC122" s="41"/>
      <c r="CD122" s="41"/>
      <c r="CE122" s="41"/>
      <c r="CF122" s="41"/>
      <c r="CG122" s="41"/>
      <c r="CH122" s="41"/>
      <c r="CI122" s="41"/>
      <c r="CJ122" s="41"/>
      <c r="CK122" s="41"/>
      <c r="CL122" s="41"/>
      <c r="CM122" s="41"/>
      <c r="CN122" s="41"/>
      <c r="CO122" s="41"/>
      <c r="CP122" s="41"/>
      <c r="CQ122" s="41"/>
      <c r="CR122" s="41"/>
      <c r="CS122" s="41"/>
      <c r="CT122" s="41"/>
      <c r="CU122" s="41"/>
      <c r="CV122" s="41"/>
      <c r="CW122" s="41"/>
      <c r="CX122" s="41"/>
      <c r="CY122" s="41"/>
      <c r="CZ122" s="41"/>
      <c r="DA122" s="41"/>
      <c r="DB122" s="41"/>
      <c r="DC122" s="1525"/>
      <c r="DD122" s="41"/>
      <c r="DE122" s="41"/>
      <c r="DF122" s="41"/>
      <c r="DG122" s="41"/>
      <c r="DH122" s="41"/>
      <c r="DI122" s="41"/>
      <c r="DJ122" s="41"/>
      <c r="DK122" s="41"/>
      <c r="DL122" s="41"/>
      <c r="DM122" s="41"/>
      <c r="DN122" s="41"/>
      <c r="DO122" s="41"/>
      <c r="DP122" s="41"/>
      <c r="DQ122" s="41"/>
      <c r="DR122" s="41"/>
      <c r="DS122" s="41"/>
      <c r="DT122" s="41"/>
      <c r="DU122" s="41"/>
      <c r="DV122" s="41"/>
      <c r="DW122" s="41"/>
      <c r="DX122" s="41"/>
      <c r="DY122" s="41"/>
      <c r="DZ122" s="41"/>
      <c r="EA122" s="41"/>
      <c r="EB122" s="41"/>
      <c r="EC122" s="41"/>
      <c r="ED122" s="41"/>
      <c r="EE122" s="41"/>
      <c r="EF122" s="41"/>
      <c r="EG122" s="41"/>
      <c r="EH122" s="41"/>
      <c r="EI122" s="41"/>
      <c r="EJ122" s="41"/>
      <c r="EK122" s="41"/>
    </row>
    <row r="123" spans="1:141">
      <c r="A123" s="595"/>
      <c r="B123" s="598"/>
      <c r="C123" s="599"/>
      <c r="E123" s="1042" t="s">
        <v>1703</v>
      </c>
      <c r="F123" s="1546">
        <v>5</v>
      </c>
      <c r="G123" s="1546">
        <f>D</f>
        <v>5</v>
      </c>
      <c r="H123" s="41"/>
      <c r="I123" s="1547"/>
      <c r="J123" s="15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41"/>
      <c r="AL123" s="41"/>
      <c r="AM123" s="41"/>
      <c r="AN123" s="41"/>
      <c r="AO123" s="41"/>
      <c r="AP123" s="41"/>
      <c r="AQ123" s="1525"/>
      <c r="AR123" s="41"/>
      <c r="AS123" s="41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  <c r="BF123" s="41"/>
      <c r="BG123" s="41"/>
      <c r="BH123" s="41"/>
      <c r="BI123" s="41"/>
      <c r="BJ123" s="41"/>
      <c r="BK123" s="41"/>
      <c r="BL123" s="41"/>
      <c r="BM123" s="41"/>
      <c r="BN123" s="41"/>
      <c r="BO123" s="41"/>
      <c r="BP123" s="41"/>
      <c r="BQ123" s="41"/>
      <c r="BR123" s="41"/>
      <c r="BS123" s="41"/>
      <c r="BT123" s="41"/>
      <c r="BU123" s="41"/>
      <c r="BV123" s="41"/>
      <c r="BW123" s="1525"/>
      <c r="BX123" s="41"/>
      <c r="BY123" s="41"/>
      <c r="BZ123" s="41"/>
      <c r="CA123" s="41"/>
      <c r="CB123" s="41"/>
      <c r="CC123" s="41"/>
      <c r="CD123" s="41"/>
      <c r="CE123" s="41"/>
      <c r="CF123" s="41"/>
      <c r="CG123" s="41"/>
      <c r="CH123" s="41"/>
      <c r="CI123" s="41"/>
      <c r="CJ123" s="41"/>
      <c r="CK123" s="41"/>
      <c r="CL123" s="41"/>
      <c r="CM123" s="41"/>
      <c r="CN123" s="41"/>
      <c r="CO123" s="41"/>
      <c r="CP123" s="41"/>
      <c r="CQ123" s="41"/>
      <c r="CR123" s="41"/>
      <c r="CS123" s="41"/>
      <c r="CT123" s="41"/>
      <c r="CU123" s="41"/>
      <c r="CV123" s="41"/>
      <c r="CW123" s="41"/>
      <c r="CX123" s="41"/>
      <c r="CY123" s="41"/>
      <c r="CZ123" s="41"/>
      <c r="DA123" s="41"/>
      <c r="DB123" s="41"/>
      <c r="DC123" s="1525"/>
      <c r="DD123" s="41"/>
      <c r="DE123" s="41"/>
      <c r="DF123" s="41"/>
      <c r="DG123" s="41"/>
      <c r="DH123" s="41"/>
      <c r="DI123" s="41"/>
      <c r="DJ123" s="41"/>
      <c r="DK123" s="41"/>
      <c r="DL123" s="41"/>
      <c r="DM123" s="41"/>
      <c r="DN123" s="41"/>
      <c r="DO123" s="41"/>
      <c r="DP123" s="41"/>
      <c r="DQ123" s="41"/>
      <c r="DR123" s="41"/>
      <c r="DS123" s="41"/>
      <c r="DT123" s="41"/>
      <c r="DU123" s="41"/>
      <c r="DV123" s="41"/>
      <c r="DW123" s="41"/>
      <c r="DX123" s="41"/>
      <c r="DY123" s="41"/>
      <c r="DZ123" s="41"/>
      <c r="EA123" s="41"/>
      <c r="EB123" s="41"/>
      <c r="EC123" s="41"/>
      <c r="ED123" s="41"/>
      <c r="EE123" s="41"/>
      <c r="EF123" s="41"/>
      <c r="EG123" s="41"/>
      <c r="EH123" s="41"/>
      <c r="EI123" s="41"/>
      <c r="EJ123" s="41"/>
      <c r="EK123" s="41"/>
    </row>
    <row r="124" spans="1:141" ht="12.75" customHeight="1">
      <c r="A124" s="595"/>
      <c r="B124" s="598"/>
      <c r="C124" s="599"/>
      <c r="E124" s="1042" t="s">
        <v>1704</v>
      </c>
      <c r="F124" s="1546">
        <v>6.5</v>
      </c>
      <c r="G124" s="1546">
        <f>G</f>
        <v>6.5</v>
      </c>
      <c r="H124" s="41"/>
      <c r="I124" s="1541"/>
      <c r="J124" s="15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41"/>
      <c r="AL124" s="41"/>
      <c r="AM124" s="41"/>
      <c r="AN124" s="41"/>
      <c r="AO124" s="41"/>
      <c r="AP124" s="41"/>
      <c r="AQ124" s="1525"/>
      <c r="AR124" s="41"/>
      <c r="AS124" s="41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  <c r="BF124" s="41"/>
      <c r="BG124" s="41"/>
      <c r="BH124" s="41"/>
      <c r="BI124" s="41"/>
      <c r="BJ124" s="41"/>
      <c r="BK124" s="41"/>
      <c r="BL124" s="41"/>
      <c r="BM124" s="41"/>
      <c r="BN124" s="41"/>
      <c r="BO124" s="41"/>
      <c r="BP124" s="41"/>
      <c r="BQ124" s="41"/>
      <c r="BR124" s="41"/>
      <c r="BS124" s="41"/>
      <c r="BT124" s="41"/>
      <c r="BU124" s="41"/>
      <c r="BV124" s="41"/>
      <c r="BW124" s="1525"/>
      <c r="BX124" s="41"/>
      <c r="BY124" s="41"/>
      <c r="BZ124" s="41"/>
      <c r="CA124" s="41"/>
      <c r="CB124" s="41"/>
      <c r="CC124" s="41"/>
      <c r="CD124" s="41"/>
      <c r="CE124" s="41"/>
      <c r="CF124" s="41"/>
      <c r="CG124" s="41"/>
      <c r="CH124" s="41"/>
      <c r="CI124" s="41"/>
      <c r="CJ124" s="41"/>
      <c r="CK124" s="41"/>
      <c r="CL124" s="41"/>
      <c r="CM124" s="41"/>
      <c r="CN124" s="41"/>
      <c r="CO124" s="41"/>
      <c r="CP124" s="41"/>
      <c r="CQ124" s="41"/>
      <c r="CR124" s="41"/>
      <c r="CS124" s="41"/>
      <c r="CT124" s="41"/>
      <c r="CU124" s="41"/>
      <c r="CV124" s="41"/>
      <c r="CW124" s="41"/>
      <c r="CX124" s="41"/>
      <c r="CY124" s="41"/>
      <c r="CZ124" s="41"/>
      <c r="DA124" s="41"/>
      <c r="DB124" s="41"/>
      <c r="DC124" s="1525"/>
      <c r="DD124" s="41"/>
      <c r="DE124" s="41"/>
      <c r="DF124" s="41"/>
      <c r="DG124" s="41"/>
      <c r="DH124" s="41"/>
      <c r="DI124" s="41"/>
      <c r="DJ124" s="41"/>
      <c r="DK124" s="41"/>
      <c r="DL124" s="41"/>
      <c r="DM124" s="41"/>
      <c r="DN124" s="41"/>
      <c r="DO124" s="41"/>
      <c r="DP124" s="41"/>
      <c r="DQ124" s="41"/>
      <c r="DR124" s="41"/>
      <c r="DS124" s="41"/>
      <c r="DT124" s="41"/>
      <c r="DU124" s="41"/>
      <c r="DV124" s="41"/>
      <c r="DW124" s="41"/>
      <c r="DX124" s="41"/>
      <c r="DY124" s="41"/>
      <c r="DZ124" s="41"/>
      <c r="EA124" s="41"/>
      <c r="EB124" s="41"/>
      <c r="EC124" s="41"/>
      <c r="ED124" s="41"/>
      <c r="EE124" s="41"/>
      <c r="EF124" s="41"/>
      <c r="EG124" s="41"/>
      <c r="EH124" s="41"/>
      <c r="EI124" s="41"/>
      <c r="EJ124" s="41"/>
      <c r="EK124" s="41"/>
    </row>
    <row r="125" spans="1:141" ht="12.75" customHeight="1">
      <c r="A125" s="595"/>
      <c r="B125" s="598"/>
      <c r="C125" s="599"/>
      <c r="E125" s="41"/>
      <c r="F125" s="1526"/>
      <c r="G125" s="1540"/>
      <c r="H125" s="41"/>
      <c r="I125" s="1541"/>
      <c r="J125" s="15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41"/>
      <c r="AL125" s="41"/>
      <c r="AM125" s="41"/>
      <c r="AN125" s="41"/>
      <c r="AO125" s="41"/>
      <c r="AP125" s="41"/>
      <c r="AQ125" s="1525"/>
      <c r="AR125" s="41"/>
      <c r="AS125" s="41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  <c r="BF125" s="41"/>
      <c r="BG125" s="41"/>
      <c r="BH125" s="41"/>
      <c r="BI125" s="41"/>
      <c r="BJ125" s="41"/>
      <c r="BK125" s="41"/>
      <c r="BL125" s="41"/>
      <c r="BM125" s="41"/>
      <c r="BN125" s="41"/>
      <c r="BO125" s="41"/>
      <c r="BP125" s="41"/>
      <c r="BQ125" s="41"/>
      <c r="BR125" s="41"/>
      <c r="BS125" s="41"/>
      <c r="BT125" s="41"/>
      <c r="BU125" s="41"/>
      <c r="BV125" s="41"/>
      <c r="BW125" s="1525"/>
      <c r="BX125" s="41"/>
      <c r="BY125" s="41"/>
      <c r="BZ125" s="41"/>
      <c r="CA125" s="41"/>
      <c r="CB125" s="41"/>
      <c r="CC125" s="41"/>
      <c r="CD125" s="41"/>
      <c r="CE125" s="41"/>
      <c r="CF125" s="41"/>
      <c r="CG125" s="41"/>
      <c r="CH125" s="41"/>
      <c r="CI125" s="41"/>
      <c r="CJ125" s="41"/>
      <c r="CK125" s="41"/>
      <c r="CL125" s="41"/>
      <c r="CM125" s="41"/>
      <c r="CN125" s="41"/>
      <c r="CO125" s="41"/>
      <c r="CP125" s="41"/>
      <c r="CQ125" s="41"/>
      <c r="CR125" s="41"/>
      <c r="CS125" s="41"/>
      <c r="CT125" s="41"/>
      <c r="CU125" s="41"/>
      <c r="CV125" s="41"/>
      <c r="CW125" s="41"/>
      <c r="CX125" s="41"/>
      <c r="CY125" s="41"/>
      <c r="CZ125" s="41"/>
      <c r="DA125" s="41"/>
      <c r="DB125" s="41"/>
      <c r="DC125" s="1525"/>
      <c r="DD125" s="41"/>
      <c r="DE125" s="41"/>
      <c r="DF125" s="41"/>
      <c r="DG125" s="41"/>
      <c r="DH125" s="41"/>
      <c r="DI125" s="41"/>
      <c r="DJ125" s="41"/>
      <c r="DK125" s="41"/>
      <c r="DL125" s="41"/>
      <c r="DM125" s="41"/>
      <c r="DN125" s="41"/>
      <c r="DO125" s="41"/>
      <c r="DP125" s="41"/>
      <c r="DQ125" s="41"/>
      <c r="DR125" s="41"/>
      <c r="DS125" s="41"/>
      <c r="DT125" s="41"/>
      <c r="DU125" s="41"/>
      <c r="DV125" s="41"/>
      <c r="DW125" s="41"/>
      <c r="DX125" s="41"/>
      <c r="DY125" s="41"/>
      <c r="DZ125" s="41"/>
      <c r="EA125" s="41"/>
      <c r="EB125" s="41"/>
      <c r="EC125" s="41"/>
      <c r="ED125" s="41"/>
      <c r="EE125" s="41"/>
      <c r="EF125" s="41"/>
      <c r="EG125" s="41"/>
      <c r="EH125" s="41"/>
      <c r="EI125" s="41"/>
      <c r="EJ125" s="41"/>
      <c r="EK125" s="41"/>
    </row>
    <row r="126" spans="1:141">
      <c r="A126" s="595"/>
      <c r="B126" s="598"/>
      <c r="C126" s="599"/>
      <c r="E126" s="41"/>
      <c r="F126" s="1526"/>
      <c r="G126" s="1540"/>
      <c r="H126" s="41"/>
      <c r="I126" s="1541"/>
      <c r="J126" s="15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41"/>
      <c r="AL126" s="41"/>
      <c r="AM126" s="41"/>
      <c r="AN126" s="41"/>
      <c r="AO126" s="41"/>
      <c r="AP126" s="41"/>
      <c r="AQ126" s="1948" t="s">
        <v>1625</v>
      </c>
      <c r="AR126" s="1434" t="s">
        <v>1626</v>
      </c>
      <c r="AS126" s="1435"/>
      <c r="AT126" s="1435"/>
      <c r="AU126" s="1435"/>
      <c r="AV126" s="1435"/>
      <c r="AW126" s="1435"/>
      <c r="AX126" s="1435"/>
      <c r="AY126" s="1435"/>
      <c r="AZ126" s="1435"/>
      <c r="BA126" s="1435"/>
      <c r="BB126" s="1435"/>
      <c r="BC126" s="1435"/>
      <c r="BD126" s="1435"/>
      <c r="BE126" s="1435"/>
      <c r="BF126" s="1435"/>
      <c r="BG126" s="1435"/>
      <c r="BH126" s="1435"/>
      <c r="BI126" s="1435"/>
      <c r="BJ126" s="1435"/>
      <c r="BK126" s="1435"/>
      <c r="BL126" s="1435"/>
      <c r="BM126" s="1435"/>
      <c r="BN126" s="1435"/>
      <c r="BO126" s="1435"/>
      <c r="BP126" s="1435"/>
      <c r="BQ126" s="1435"/>
      <c r="BR126" s="1435"/>
      <c r="BS126" s="1435"/>
      <c r="BT126" s="1435"/>
      <c r="BU126" s="1435"/>
      <c r="BV126" s="712"/>
      <c r="BW126" s="1948" t="s">
        <v>1625</v>
      </c>
      <c r="BX126" s="1434" t="s">
        <v>1627</v>
      </c>
      <c r="BY126" s="1435"/>
      <c r="BZ126" s="1435"/>
      <c r="CA126" s="1435"/>
      <c r="CB126" s="1435"/>
      <c r="CC126" s="1435"/>
      <c r="CD126" s="1435"/>
      <c r="CE126" s="1435"/>
      <c r="CF126" s="1435"/>
      <c r="CG126" s="1435"/>
      <c r="CH126" s="1435"/>
      <c r="CI126" s="1435"/>
      <c r="CJ126" s="1435"/>
      <c r="CK126" s="1435"/>
      <c r="CL126" s="1435"/>
      <c r="CM126" s="1435"/>
      <c r="CN126" s="1435"/>
      <c r="CO126" s="1435"/>
      <c r="CP126" s="1435"/>
      <c r="CQ126" s="1435"/>
      <c r="CR126" s="1435"/>
      <c r="CS126" s="1435"/>
      <c r="CT126" s="1435"/>
      <c r="CU126" s="1435"/>
      <c r="CV126" s="1435"/>
      <c r="CW126" s="1435"/>
      <c r="CX126" s="1435"/>
      <c r="CY126" s="1435"/>
      <c r="CZ126" s="1435"/>
      <c r="DA126" s="1435"/>
      <c r="DB126" s="713"/>
      <c r="DC126" s="1948" t="s">
        <v>1625</v>
      </c>
      <c r="DD126" s="1434" t="s">
        <v>1627</v>
      </c>
      <c r="DE126" s="1435"/>
      <c r="DF126" s="1435"/>
      <c r="DG126" s="1435"/>
      <c r="DH126" s="1435"/>
      <c r="DI126" s="1435"/>
      <c r="DJ126" s="1435"/>
      <c r="DK126" s="1435"/>
      <c r="DL126" s="1435"/>
      <c r="DM126" s="1435"/>
      <c r="DN126" s="1435"/>
      <c r="DO126" s="1435"/>
      <c r="DP126" s="1435"/>
      <c r="DQ126" s="1435"/>
      <c r="DR126" s="1435"/>
      <c r="DS126" s="1435"/>
      <c r="DT126" s="1435"/>
      <c r="DU126" s="1435"/>
      <c r="DV126" s="1435"/>
      <c r="DW126" s="1435"/>
      <c r="DX126" s="1435"/>
      <c r="DY126" s="1435"/>
      <c r="DZ126" s="1435"/>
      <c r="EA126" s="1435"/>
      <c r="EB126" s="1435"/>
      <c r="EC126" s="1435"/>
      <c r="ED126" s="1435"/>
      <c r="EE126" s="1435"/>
      <c r="EF126" s="1435"/>
      <c r="EG126" s="1435"/>
      <c r="EH126" s="41"/>
      <c r="EI126" s="41"/>
      <c r="EJ126" s="41"/>
      <c r="EK126" s="41"/>
    </row>
    <row r="127" spans="1:141">
      <c r="A127" s="595"/>
      <c r="B127" s="598"/>
      <c r="C127" s="599"/>
      <c r="D127" s="1042" t="s">
        <v>3</v>
      </c>
      <c r="E127" s="1548" t="s">
        <v>1705</v>
      </c>
      <c r="F127" s="1526"/>
      <c r="G127" s="66" t="s">
        <v>38</v>
      </c>
      <c r="H127" s="41"/>
      <c r="I127" s="1541"/>
      <c r="J127" s="15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41"/>
      <c r="AM127" s="41"/>
      <c r="AN127" s="41"/>
      <c r="AO127" s="41"/>
      <c r="AP127" s="41"/>
      <c r="AQ127" s="1949"/>
      <c r="AR127" s="1436">
        <v>1</v>
      </c>
      <c r="AS127" s="1436">
        <v>2</v>
      </c>
      <c r="AT127" s="1436">
        <v>3</v>
      </c>
      <c r="AU127" s="1436">
        <v>4</v>
      </c>
      <c r="AV127" s="1436">
        <v>5</v>
      </c>
      <c r="AW127" s="1436">
        <v>6</v>
      </c>
      <c r="AX127" s="1436">
        <v>7</v>
      </c>
      <c r="AY127" s="1436">
        <v>8</v>
      </c>
      <c r="AZ127" s="1436">
        <v>9</v>
      </c>
      <c r="BA127" s="1436">
        <v>10</v>
      </c>
      <c r="BB127" s="1436">
        <v>11</v>
      </c>
      <c r="BC127" s="1436">
        <v>12</v>
      </c>
      <c r="BD127" s="1436">
        <v>13</v>
      </c>
      <c r="BE127" s="1436">
        <v>14</v>
      </c>
      <c r="BF127" s="1436">
        <v>15</v>
      </c>
      <c r="BG127" s="1436">
        <v>16</v>
      </c>
      <c r="BH127" s="1436">
        <v>17</v>
      </c>
      <c r="BI127" s="1436">
        <v>18</v>
      </c>
      <c r="BJ127" s="1436">
        <v>19</v>
      </c>
      <c r="BK127" s="1436">
        <v>20</v>
      </c>
      <c r="BL127" s="1436">
        <v>21</v>
      </c>
      <c r="BM127" s="1436">
        <v>22</v>
      </c>
      <c r="BN127" s="1436">
        <v>23</v>
      </c>
      <c r="BO127" s="1436">
        <v>24</v>
      </c>
      <c r="BP127" s="1436">
        <v>25</v>
      </c>
      <c r="BQ127" s="1436">
        <v>26</v>
      </c>
      <c r="BR127" s="1436">
        <v>27</v>
      </c>
      <c r="BS127" s="1436">
        <v>28</v>
      </c>
      <c r="BT127" s="1436">
        <v>29</v>
      </c>
      <c r="BU127" s="1436">
        <v>30</v>
      </c>
      <c r="BV127" s="718"/>
      <c r="BW127" s="1949"/>
      <c r="BX127" s="1436">
        <v>1</v>
      </c>
      <c r="BY127" s="1436">
        <v>2</v>
      </c>
      <c r="BZ127" s="1436">
        <v>3</v>
      </c>
      <c r="CA127" s="1436">
        <v>4</v>
      </c>
      <c r="CB127" s="1436">
        <v>5</v>
      </c>
      <c r="CC127" s="1436">
        <v>6</v>
      </c>
      <c r="CD127" s="1436">
        <v>7</v>
      </c>
      <c r="CE127" s="1436">
        <v>8</v>
      </c>
      <c r="CF127" s="1436">
        <v>9</v>
      </c>
      <c r="CG127" s="1436">
        <v>10</v>
      </c>
      <c r="CH127" s="1436">
        <v>11</v>
      </c>
      <c r="CI127" s="1436">
        <v>12</v>
      </c>
      <c r="CJ127" s="1436">
        <v>13</v>
      </c>
      <c r="CK127" s="1436">
        <v>14</v>
      </c>
      <c r="CL127" s="1436">
        <v>15</v>
      </c>
      <c r="CM127" s="1436">
        <v>16</v>
      </c>
      <c r="CN127" s="1436">
        <v>17</v>
      </c>
      <c r="CO127" s="1436">
        <v>18</v>
      </c>
      <c r="CP127" s="1436">
        <v>19</v>
      </c>
      <c r="CQ127" s="1436">
        <v>20</v>
      </c>
      <c r="CR127" s="1436">
        <v>21</v>
      </c>
      <c r="CS127" s="1436">
        <v>22</v>
      </c>
      <c r="CT127" s="1436">
        <v>23</v>
      </c>
      <c r="CU127" s="1436">
        <v>24</v>
      </c>
      <c r="CV127" s="1436">
        <v>25</v>
      </c>
      <c r="CW127" s="1436">
        <v>26</v>
      </c>
      <c r="CX127" s="1436">
        <v>27</v>
      </c>
      <c r="CY127" s="1436">
        <v>28</v>
      </c>
      <c r="CZ127" s="1436">
        <v>29</v>
      </c>
      <c r="DA127" s="1436">
        <v>30</v>
      </c>
      <c r="DB127" s="713"/>
      <c r="DC127" s="1949"/>
      <c r="DD127" s="1436">
        <v>1</v>
      </c>
      <c r="DE127" s="1436">
        <v>2</v>
      </c>
      <c r="DF127" s="1436">
        <v>3</v>
      </c>
      <c r="DG127" s="1436">
        <v>4</v>
      </c>
      <c r="DH127" s="1436">
        <v>5</v>
      </c>
      <c r="DI127" s="1436">
        <v>6</v>
      </c>
      <c r="DJ127" s="1436">
        <v>7</v>
      </c>
      <c r="DK127" s="1436">
        <v>8</v>
      </c>
      <c r="DL127" s="1436">
        <v>9</v>
      </c>
      <c r="DM127" s="1436">
        <v>10</v>
      </c>
      <c r="DN127" s="1436">
        <v>11</v>
      </c>
      <c r="DO127" s="1436">
        <v>12</v>
      </c>
      <c r="DP127" s="1436">
        <v>13</v>
      </c>
      <c r="DQ127" s="1436">
        <v>14</v>
      </c>
      <c r="DR127" s="1436">
        <v>15</v>
      </c>
      <c r="DS127" s="1436">
        <v>16</v>
      </c>
      <c r="DT127" s="1436">
        <v>17</v>
      </c>
      <c r="DU127" s="1436">
        <v>18</v>
      </c>
      <c r="DV127" s="1436">
        <v>19</v>
      </c>
      <c r="DW127" s="1436">
        <v>20</v>
      </c>
      <c r="DX127" s="1436">
        <v>21</v>
      </c>
      <c r="DY127" s="1436">
        <v>22</v>
      </c>
      <c r="DZ127" s="1436">
        <v>23</v>
      </c>
      <c r="EA127" s="1436">
        <v>24</v>
      </c>
      <c r="EB127" s="1436">
        <v>25</v>
      </c>
      <c r="EC127" s="1436">
        <v>26</v>
      </c>
      <c r="ED127" s="1436">
        <v>27</v>
      </c>
      <c r="EE127" s="1436">
        <v>28</v>
      </c>
      <c r="EF127" s="1436">
        <v>29</v>
      </c>
      <c r="EG127" s="1436">
        <v>30</v>
      </c>
      <c r="EH127" s="41"/>
      <c r="EI127" s="41"/>
      <c r="EJ127" s="41"/>
      <c r="EK127" s="41"/>
    </row>
    <row r="128" spans="1:141">
      <c r="A128" s="595"/>
      <c r="B128" s="598"/>
      <c r="C128" s="599"/>
      <c r="D128" s="1042"/>
      <c r="E128" s="1526"/>
      <c r="F128" s="1526"/>
      <c r="G128" s="66"/>
      <c r="H128" s="41"/>
      <c r="I128" s="1541"/>
      <c r="J128" s="15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41"/>
      <c r="AL128" s="41"/>
      <c r="AM128" s="41"/>
      <c r="AN128" s="41"/>
      <c r="AO128" s="41"/>
      <c r="AP128" s="41"/>
      <c r="AQ128" s="1549"/>
      <c r="AR128" s="1445"/>
      <c r="AS128" s="1445"/>
      <c r="AT128" s="1445"/>
      <c r="AU128" s="1445"/>
      <c r="AV128" s="1445"/>
      <c r="AW128" s="1445"/>
      <c r="AX128" s="1445"/>
      <c r="AY128" s="1445"/>
      <c r="AZ128" s="1445"/>
      <c r="BA128" s="1445"/>
      <c r="BB128" s="1445"/>
      <c r="BC128" s="1445"/>
      <c r="BD128" s="1445"/>
      <c r="BE128" s="1445"/>
      <c r="BF128" s="1445"/>
      <c r="BG128" s="1445"/>
      <c r="BH128" s="1445"/>
      <c r="BI128" s="1445"/>
      <c r="BJ128" s="1445"/>
      <c r="BK128" s="1445"/>
      <c r="BL128" s="1445"/>
      <c r="BM128" s="1445"/>
      <c r="BN128" s="1445"/>
      <c r="BO128" s="1445"/>
      <c r="BP128" s="1445"/>
      <c r="BQ128" s="1445"/>
      <c r="BR128" s="1445"/>
      <c r="BS128" s="1445"/>
      <c r="BT128" s="1445"/>
      <c r="BU128" s="1445"/>
      <c r="BV128" s="31"/>
      <c r="BW128" s="1550"/>
      <c r="BX128" s="1551"/>
      <c r="BY128" s="1551"/>
      <c r="BZ128" s="1551"/>
      <c r="CA128" s="1551"/>
      <c r="CB128" s="1551"/>
      <c r="CC128" s="1551"/>
      <c r="CD128" s="1551"/>
      <c r="CE128" s="1551"/>
      <c r="CF128" s="1551"/>
      <c r="CG128" s="1551"/>
      <c r="CH128" s="1551"/>
      <c r="CI128" s="1551"/>
      <c r="CJ128" s="1551"/>
      <c r="CK128" s="1551"/>
      <c r="CL128" s="1551"/>
      <c r="CM128" s="1551"/>
      <c r="CN128" s="1551"/>
      <c r="CO128" s="1551"/>
      <c r="CP128" s="1551"/>
      <c r="CQ128" s="1551"/>
      <c r="CR128" s="1551"/>
      <c r="CS128" s="1551"/>
      <c r="CT128" s="1551"/>
      <c r="CU128" s="1551"/>
      <c r="CV128" s="1551"/>
      <c r="CW128" s="1551"/>
      <c r="CX128" s="1551"/>
      <c r="CY128" s="1551"/>
      <c r="CZ128" s="1551"/>
      <c r="DA128" s="1551"/>
      <c r="DB128" s="41"/>
      <c r="DC128" s="1550"/>
      <c r="DD128" s="1551"/>
      <c r="DE128" s="1551"/>
      <c r="DF128" s="1551"/>
      <c r="DG128" s="1551"/>
      <c r="DH128" s="1551"/>
      <c r="DI128" s="1551"/>
      <c r="DJ128" s="1551"/>
      <c r="DK128" s="1551"/>
      <c r="DL128" s="1551"/>
      <c r="DM128" s="1551"/>
      <c r="DN128" s="1551"/>
      <c r="DO128" s="1551"/>
      <c r="DP128" s="1551"/>
      <c r="DQ128" s="1551"/>
      <c r="DR128" s="1551"/>
      <c r="DS128" s="1551"/>
      <c r="DT128" s="1551"/>
      <c r="DU128" s="1551"/>
      <c r="DV128" s="1551"/>
      <c r="DW128" s="1551"/>
      <c r="DX128" s="1551"/>
      <c r="DY128" s="1551"/>
      <c r="DZ128" s="1551"/>
      <c r="EA128" s="1551"/>
      <c r="EB128" s="1551"/>
      <c r="EC128" s="1551"/>
      <c r="ED128" s="1551"/>
      <c r="EE128" s="1551"/>
      <c r="EF128" s="1551"/>
      <c r="EG128" s="1551"/>
      <c r="EH128" s="41"/>
      <c r="EI128" s="41"/>
      <c r="EJ128" s="41"/>
      <c r="EK128" s="41"/>
    </row>
    <row r="129" spans="1:137">
      <c r="A129" s="595"/>
      <c r="B129" s="598"/>
      <c r="C129" s="599"/>
      <c r="D129" s="1552">
        <v>1</v>
      </c>
      <c r="E129" s="542" t="s">
        <v>254</v>
      </c>
      <c r="F129" s="52" t="s">
        <v>1706</v>
      </c>
      <c r="G129" s="62">
        <f ca="1">AQ129+BW129</f>
        <v>1623</v>
      </c>
      <c r="H129" s="171"/>
      <c r="I129" s="1541"/>
      <c r="J129" s="15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41"/>
      <c r="AL129" s="41"/>
      <c r="AM129" s="41"/>
      <c r="AN129" s="41"/>
      <c r="AO129" s="41"/>
      <c r="AP129" s="41"/>
      <c r="AQ129" s="1461">
        <f t="shared" ref="AQ129:AZ138" ca="1" si="1484">SUMIF($D$7:$D$117,$D129,AQ$7:AQ$117)</f>
        <v>0</v>
      </c>
      <c r="AR129" s="1461">
        <f t="shared" ca="1" si="1484"/>
        <v>0</v>
      </c>
      <c r="AS129" s="1461">
        <f t="shared" ca="1" si="1484"/>
        <v>0</v>
      </c>
      <c r="AT129" s="1461">
        <f t="shared" ca="1" si="1484"/>
        <v>0</v>
      </c>
      <c r="AU129" s="1461">
        <f t="shared" ca="1" si="1484"/>
        <v>0</v>
      </c>
      <c r="AV129" s="1461">
        <f t="shared" ca="1" si="1484"/>
        <v>0</v>
      </c>
      <c r="AW129" s="1461">
        <f t="shared" ca="1" si="1484"/>
        <v>0</v>
      </c>
      <c r="AX129" s="1461">
        <f t="shared" ca="1" si="1484"/>
        <v>0</v>
      </c>
      <c r="AY129" s="1461">
        <f t="shared" ca="1" si="1484"/>
        <v>0</v>
      </c>
      <c r="AZ129" s="1461">
        <f t="shared" ca="1" si="1484"/>
        <v>0</v>
      </c>
      <c r="BA129" s="1461">
        <f t="shared" ref="BA129:BJ138" ca="1" si="1485">SUMIF($D$7:$D$117,$D129,BA$7:BA$117)</f>
        <v>0</v>
      </c>
      <c r="BB129" s="1461">
        <f t="shared" ca="1" si="1485"/>
        <v>0</v>
      </c>
      <c r="BC129" s="1461">
        <f t="shared" ca="1" si="1485"/>
        <v>0</v>
      </c>
      <c r="BD129" s="1461">
        <f t="shared" ca="1" si="1485"/>
        <v>0</v>
      </c>
      <c r="BE129" s="1461">
        <f t="shared" ca="1" si="1485"/>
        <v>0</v>
      </c>
      <c r="BF129" s="1461">
        <f t="shared" ca="1" si="1485"/>
        <v>0</v>
      </c>
      <c r="BG129" s="1461">
        <f t="shared" ca="1" si="1485"/>
        <v>0</v>
      </c>
      <c r="BH129" s="1461">
        <f t="shared" ca="1" si="1485"/>
        <v>0</v>
      </c>
      <c r="BI129" s="1461">
        <f t="shared" ca="1" si="1485"/>
        <v>0</v>
      </c>
      <c r="BJ129" s="1461">
        <f t="shared" ca="1" si="1485"/>
        <v>0</v>
      </c>
      <c r="BK129" s="1461">
        <f t="shared" ref="BK129:BU138" ca="1" si="1486">SUMIF($D$7:$D$117,$D129,BK$7:BK$117)</f>
        <v>0</v>
      </c>
      <c r="BL129" s="1461">
        <f t="shared" ca="1" si="1486"/>
        <v>0</v>
      </c>
      <c r="BM129" s="1461">
        <f t="shared" ca="1" si="1486"/>
        <v>0</v>
      </c>
      <c r="BN129" s="1461">
        <f t="shared" ca="1" si="1486"/>
        <v>0</v>
      </c>
      <c r="BO129" s="1461">
        <f t="shared" ca="1" si="1486"/>
        <v>0</v>
      </c>
      <c r="BP129" s="1461">
        <f t="shared" ca="1" si="1486"/>
        <v>0</v>
      </c>
      <c r="BQ129" s="1461">
        <f t="shared" ca="1" si="1486"/>
        <v>0</v>
      </c>
      <c r="BR129" s="1461">
        <f t="shared" ca="1" si="1486"/>
        <v>0</v>
      </c>
      <c r="BS129" s="1461">
        <f t="shared" ca="1" si="1486"/>
        <v>0</v>
      </c>
      <c r="BT129" s="1461">
        <f t="shared" ca="1" si="1486"/>
        <v>0</v>
      </c>
      <c r="BU129" s="1461">
        <f t="shared" ca="1" si="1486"/>
        <v>0</v>
      </c>
      <c r="BV129" s="63"/>
      <c r="BW129" s="1461">
        <f t="shared" ref="BW129:CF138" ca="1" si="1487">SUMIF($D$7:$D$117,$D129,BW$7:BW$117)</f>
        <v>1623</v>
      </c>
      <c r="BX129" s="1461">
        <f t="shared" ca="1" si="1487"/>
        <v>54.1</v>
      </c>
      <c r="BY129" s="1461">
        <f t="shared" ca="1" si="1487"/>
        <v>54.1</v>
      </c>
      <c r="BZ129" s="1461">
        <f t="shared" ca="1" si="1487"/>
        <v>54.1</v>
      </c>
      <c r="CA129" s="1461">
        <f t="shared" ca="1" si="1487"/>
        <v>54.1</v>
      </c>
      <c r="CB129" s="1461">
        <f t="shared" ca="1" si="1487"/>
        <v>54.1</v>
      </c>
      <c r="CC129" s="1461">
        <f t="shared" ca="1" si="1487"/>
        <v>54.1</v>
      </c>
      <c r="CD129" s="1461">
        <f t="shared" ca="1" si="1487"/>
        <v>54.1</v>
      </c>
      <c r="CE129" s="1461">
        <f t="shared" ca="1" si="1487"/>
        <v>54.1</v>
      </c>
      <c r="CF129" s="1461">
        <f t="shared" ca="1" si="1487"/>
        <v>54.1</v>
      </c>
      <c r="CG129" s="1461">
        <f t="shared" ref="CG129:CP138" ca="1" si="1488">SUMIF($D$7:$D$117,$D129,CG$7:CG$117)</f>
        <v>54.1</v>
      </c>
      <c r="CH129" s="1461">
        <f t="shared" ca="1" si="1488"/>
        <v>54.1</v>
      </c>
      <c r="CI129" s="1461">
        <f t="shared" ca="1" si="1488"/>
        <v>54.1</v>
      </c>
      <c r="CJ129" s="1461">
        <f t="shared" ca="1" si="1488"/>
        <v>54.1</v>
      </c>
      <c r="CK129" s="1461">
        <f t="shared" ca="1" si="1488"/>
        <v>54.1</v>
      </c>
      <c r="CL129" s="1461">
        <f t="shared" ca="1" si="1488"/>
        <v>54.1</v>
      </c>
      <c r="CM129" s="1461">
        <f t="shared" ca="1" si="1488"/>
        <v>54.1</v>
      </c>
      <c r="CN129" s="1461">
        <f t="shared" ca="1" si="1488"/>
        <v>54.1</v>
      </c>
      <c r="CO129" s="1461">
        <f t="shared" ca="1" si="1488"/>
        <v>54.1</v>
      </c>
      <c r="CP129" s="1461">
        <f t="shared" ca="1" si="1488"/>
        <v>54.1</v>
      </c>
      <c r="CQ129" s="1461">
        <f t="shared" ref="CQ129:DA138" ca="1" si="1489">SUMIF($D$7:$D$117,$D129,CQ$7:CQ$117)</f>
        <v>54.1</v>
      </c>
      <c r="CR129" s="1461">
        <f t="shared" ca="1" si="1489"/>
        <v>54.1</v>
      </c>
      <c r="CS129" s="1461">
        <f t="shared" ca="1" si="1489"/>
        <v>54.1</v>
      </c>
      <c r="CT129" s="1461">
        <f t="shared" ca="1" si="1489"/>
        <v>54.1</v>
      </c>
      <c r="CU129" s="1461">
        <f t="shared" ca="1" si="1489"/>
        <v>54.1</v>
      </c>
      <c r="CV129" s="1461">
        <f t="shared" ca="1" si="1489"/>
        <v>54.1</v>
      </c>
      <c r="CW129" s="1461">
        <f t="shared" ca="1" si="1489"/>
        <v>54.1</v>
      </c>
      <c r="CX129" s="1461">
        <f t="shared" ca="1" si="1489"/>
        <v>54.1</v>
      </c>
      <c r="CY129" s="1461">
        <f t="shared" ca="1" si="1489"/>
        <v>54.1</v>
      </c>
      <c r="CZ129" s="1461">
        <f t="shared" ca="1" si="1489"/>
        <v>54.1</v>
      </c>
      <c r="DA129" s="1461">
        <f t="shared" ca="1" si="1489"/>
        <v>54.1</v>
      </c>
      <c r="DB129" s="41"/>
      <c r="DC129" s="1461">
        <f t="shared" ref="DC129:DL138" ca="1" si="1490">SUMIF($D$7:$D$117,$D129,DC$7:DC$117)</f>
        <v>1623</v>
      </c>
      <c r="DD129" s="1461">
        <f t="shared" ca="1" si="1490"/>
        <v>54.1</v>
      </c>
      <c r="DE129" s="1461">
        <f t="shared" ca="1" si="1490"/>
        <v>54.1</v>
      </c>
      <c r="DF129" s="1461">
        <f t="shared" ca="1" si="1490"/>
        <v>54.1</v>
      </c>
      <c r="DG129" s="1461">
        <f t="shared" ca="1" si="1490"/>
        <v>54.1</v>
      </c>
      <c r="DH129" s="1461">
        <f t="shared" ca="1" si="1490"/>
        <v>54.1</v>
      </c>
      <c r="DI129" s="1461">
        <f t="shared" ca="1" si="1490"/>
        <v>54.1</v>
      </c>
      <c r="DJ129" s="1461">
        <f t="shared" ca="1" si="1490"/>
        <v>54.1</v>
      </c>
      <c r="DK129" s="1461">
        <f t="shared" ca="1" si="1490"/>
        <v>54.1</v>
      </c>
      <c r="DL129" s="1461">
        <f t="shared" ca="1" si="1490"/>
        <v>54.1</v>
      </c>
      <c r="DM129" s="1461">
        <f t="shared" ref="DM129:DV138" ca="1" si="1491">SUMIF($D$7:$D$117,$D129,DM$7:DM$117)</f>
        <v>54.1</v>
      </c>
      <c r="DN129" s="1461">
        <f t="shared" ca="1" si="1491"/>
        <v>54.1</v>
      </c>
      <c r="DO129" s="1461">
        <f t="shared" ca="1" si="1491"/>
        <v>54.1</v>
      </c>
      <c r="DP129" s="1461">
        <f t="shared" ca="1" si="1491"/>
        <v>54.1</v>
      </c>
      <c r="DQ129" s="1461">
        <f t="shared" ca="1" si="1491"/>
        <v>54.1</v>
      </c>
      <c r="DR129" s="1461">
        <f t="shared" ca="1" si="1491"/>
        <v>54.1</v>
      </c>
      <c r="DS129" s="1461">
        <f t="shared" ca="1" si="1491"/>
        <v>54.1</v>
      </c>
      <c r="DT129" s="1461">
        <f t="shared" ca="1" si="1491"/>
        <v>54.1</v>
      </c>
      <c r="DU129" s="1461">
        <f t="shared" ca="1" si="1491"/>
        <v>54.1</v>
      </c>
      <c r="DV129" s="1461">
        <f t="shared" ca="1" si="1491"/>
        <v>54.1</v>
      </c>
      <c r="DW129" s="1461">
        <f t="shared" ref="DW129:EG138" ca="1" si="1492">SUMIF($D$7:$D$117,$D129,DW$7:DW$117)</f>
        <v>54.1</v>
      </c>
      <c r="DX129" s="1461">
        <f t="shared" ca="1" si="1492"/>
        <v>54.1</v>
      </c>
      <c r="DY129" s="1461">
        <f t="shared" ca="1" si="1492"/>
        <v>54.1</v>
      </c>
      <c r="DZ129" s="1461">
        <f t="shared" ca="1" si="1492"/>
        <v>54.1</v>
      </c>
      <c r="EA129" s="1461">
        <f t="shared" ca="1" si="1492"/>
        <v>54.1</v>
      </c>
      <c r="EB129" s="1461">
        <f t="shared" ca="1" si="1492"/>
        <v>54.1</v>
      </c>
      <c r="EC129" s="1461">
        <f t="shared" ca="1" si="1492"/>
        <v>54.1</v>
      </c>
      <c r="ED129" s="1461">
        <f t="shared" ca="1" si="1492"/>
        <v>54.1</v>
      </c>
      <c r="EE129" s="1461">
        <f t="shared" ca="1" si="1492"/>
        <v>54.1</v>
      </c>
      <c r="EF129" s="1461">
        <f t="shared" ca="1" si="1492"/>
        <v>54.1</v>
      </c>
      <c r="EG129" s="1461">
        <f t="shared" ca="1" si="1492"/>
        <v>54.1</v>
      </c>
    </row>
    <row r="130" spans="1:137">
      <c r="A130" s="595"/>
      <c r="B130" s="598"/>
      <c r="C130" s="599"/>
      <c r="D130" s="1552">
        <v>2</v>
      </c>
      <c r="E130" s="542" t="s">
        <v>255</v>
      </c>
      <c r="F130" s="52" t="s">
        <v>1707</v>
      </c>
      <c r="G130" s="62">
        <f t="shared" ref="G130:G146" ca="1" si="1493">AQ130+BW130</f>
        <v>3258.8254178827647</v>
      </c>
      <c r="H130" s="171"/>
      <c r="I130" s="1541"/>
      <c r="J130" s="15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41"/>
      <c r="AL130" s="41"/>
      <c r="AM130" s="41"/>
      <c r="AN130" s="41"/>
      <c r="AO130" s="41"/>
      <c r="AP130" s="41"/>
      <c r="AQ130" s="1461">
        <f t="shared" si="1484"/>
        <v>3015.0754178827647</v>
      </c>
      <c r="AR130" s="1461">
        <f t="shared" si="1484"/>
        <v>95.342206860464074</v>
      </c>
      <c r="AS130" s="1461">
        <f t="shared" si="1484"/>
        <v>100.68045555249307</v>
      </c>
      <c r="AT130" s="1461">
        <f t="shared" si="1484"/>
        <v>100.68045555249307</v>
      </c>
      <c r="AU130" s="1461">
        <f t="shared" si="1484"/>
        <v>100.68045555249307</v>
      </c>
      <c r="AV130" s="1461">
        <f t="shared" si="1484"/>
        <v>100.68045555249307</v>
      </c>
      <c r="AW130" s="1461">
        <f t="shared" si="1484"/>
        <v>100.68045555249307</v>
      </c>
      <c r="AX130" s="1461">
        <f t="shared" si="1484"/>
        <v>100.68045555249307</v>
      </c>
      <c r="AY130" s="1461">
        <f t="shared" si="1484"/>
        <v>100.68045555249307</v>
      </c>
      <c r="AZ130" s="1461">
        <f t="shared" si="1484"/>
        <v>100.68045555249307</v>
      </c>
      <c r="BA130" s="1461">
        <f t="shared" si="1485"/>
        <v>100.68045555249307</v>
      </c>
      <c r="BB130" s="1461">
        <f t="shared" si="1485"/>
        <v>100.68045555249307</v>
      </c>
      <c r="BC130" s="1461">
        <f t="shared" si="1485"/>
        <v>100.68045555249307</v>
      </c>
      <c r="BD130" s="1461">
        <f t="shared" si="1485"/>
        <v>100.68045555249307</v>
      </c>
      <c r="BE130" s="1461">
        <f t="shared" si="1485"/>
        <v>100.68045555249307</v>
      </c>
      <c r="BF130" s="1461">
        <f t="shared" si="1485"/>
        <v>100.68045555249307</v>
      </c>
      <c r="BG130" s="1461">
        <f t="shared" si="1485"/>
        <v>100.68045555249307</v>
      </c>
      <c r="BH130" s="1461">
        <f t="shared" si="1485"/>
        <v>100.68045555249307</v>
      </c>
      <c r="BI130" s="1461">
        <f t="shared" si="1485"/>
        <v>100.68045555249307</v>
      </c>
      <c r="BJ130" s="1461">
        <f t="shared" si="1485"/>
        <v>100.68045555249307</v>
      </c>
      <c r="BK130" s="1461">
        <f t="shared" si="1486"/>
        <v>100.68045555249307</v>
      </c>
      <c r="BL130" s="1461">
        <f t="shared" si="1486"/>
        <v>100.68045555249307</v>
      </c>
      <c r="BM130" s="1461">
        <f t="shared" si="1486"/>
        <v>100.68045555249307</v>
      </c>
      <c r="BN130" s="1461">
        <f t="shared" si="1486"/>
        <v>100.68045555249307</v>
      </c>
      <c r="BO130" s="1461">
        <f t="shared" si="1486"/>
        <v>100.68045555249307</v>
      </c>
      <c r="BP130" s="1461">
        <f t="shared" si="1486"/>
        <v>100.68045555249307</v>
      </c>
      <c r="BQ130" s="1461">
        <f t="shared" si="1486"/>
        <v>100.68045555249307</v>
      </c>
      <c r="BR130" s="1461">
        <f t="shared" si="1486"/>
        <v>100.68045555249307</v>
      </c>
      <c r="BS130" s="1461">
        <f t="shared" si="1486"/>
        <v>100.68045555249307</v>
      </c>
      <c r="BT130" s="1461">
        <f t="shared" si="1486"/>
        <v>100.68045555249307</v>
      </c>
      <c r="BU130" s="1461">
        <f t="shared" si="1486"/>
        <v>90.958053989993076</v>
      </c>
      <c r="BV130" s="63"/>
      <c r="BW130" s="1461">
        <f t="shared" ca="1" si="1487"/>
        <v>243.75</v>
      </c>
      <c r="BX130" s="1461">
        <f t="shared" ca="1" si="1487"/>
        <v>8.125</v>
      </c>
      <c r="BY130" s="1461">
        <f t="shared" ca="1" si="1487"/>
        <v>8.125</v>
      </c>
      <c r="BZ130" s="1461">
        <f t="shared" ca="1" si="1487"/>
        <v>8.125</v>
      </c>
      <c r="CA130" s="1461">
        <f t="shared" ca="1" si="1487"/>
        <v>8.125</v>
      </c>
      <c r="CB130" s="1461">
        <f t="shared" ca="1" si="1487"/>
        <v>8.125</v>
      </c>
      <c r="CC130" s="1461">
        <f t="shared" ca="1" si="1487"/>
        <v>8.125</v>
      </c>
      <c r="CD130" s="1461">
        <f t="shared" ca="1" si="1487"/>
        <v>8.125</v>
      </c>
      <c r="CE130" s="1461">
        <f t="shared" ca="1" si="1487"/>
        <v>8.125</v>
      </c>
      <c r="CF130" s="1461">
        <f t="shared" ca="1" si="1487"/>
        <v>8.125</v>
      </c>
      <c r="CG130" s="1461">
        <f t="shared" ca="1" si="1488"/>
        <v>8.125</v>
      </c>
      <c r="CH130" s="1461">
        <f t="shared" ca="1" si="1488"/>
        <v>8.125</v>
      </c>
      <c r="CI130" s="1461">
        <f t="shared" ca="1" si="1488"/>
        <v>8.125</v>
      </c>
      <c r="CJ130" s="1461">
        <f t="shared" ca="1" si="1488"/>
        <v>8.125</v>
      </c>
      <c r="CK130" s="1461">
        <f t="shared" ca="1" si="1488"/>
        <v>8.125</v>
      </c>
      <c r="CL130" s="1461">
        <f t="shared" ca="1" si="1488"/>
        <v>8.125</v>
      </c>
      <c r="CM130" s="1461">
        <f t="shared" ca="1" si="1488"/>
        <v>8.125</v>
      </c>
      <c r="CN130" s="1461">
        <f t="shared" ca="1" si="1488"/>
        <v>8.125</v>
      </c>
      <c r="CO130" s="1461">
        <f t="shared" ca="1" si="1488"/>
        <v>8.125</v>
      </c>
      <c r="CP130" s="1461">
        <f t="shared" ca="1" si="1488"/>
        <v>8.125</v>
      </c>
      <c r="CQ130" s="1461">
        <f t="shared" ca="1" si="1489"/>
        <v>8.125</v>
      </c>
      <c r="CR130" s="1461">
        <f t="shared" ca="1" si="1489"/>
        <v>8.125</v>
      </c>
      <c r="CS130" s="1461">
        <f t="shared" ca="1" si="1489"/>
        <v>8.125</v>
      </c>
      <c r="CT130" s="1461">
        <f t="shared" ca="1" si="1489"/>
        <v>8.125</v>
      </c>
      <c r="CU130" s="1461">
        <f t="shared" ca="1" si="1489"/>
        <v>8.125</v>
      </c>
      <c r="CV130" s="1461">
        <f t="shared" ca="1" si="1489"/>
        <v>8.125</v>
      </c>
      <c r="CW130" s="1461">
        <f t="shared" ca="1" si="1489"/>
        <v>8.125</v>
      </c>
      <c r="CX130" s="1461">
        <f t="shared" ca="1" si="1489"/>
        <v>8.125</v>
      </c>
      <c r="CY130" s="1461">
        <f t="shared" ca="1" si="1489"/>
        <v>8.125</v>
      </c>
      <c r="CZ130" s="1461">
        <f t="shared" ca="1" si="1489"/>
        <v>8.125</v>
      </c>
      <c r="DA130" s="1461">
        <f t="shared" ca="1" si="1489"/>
        <v>8.125</v>
      </c>
      <c r="DB130" s="41"/>
      <c r="DC130" s="1461">
        <f t="shared" ca="1" si="1490"/>
        <v>3258.8254178827647</v>
      </c>
      <c r="DD130" s="1461">
        <f t="shared" ca="1" si="1490"/>
        <v>103.46720686046409</v>
      </c>
      <c r="DE130" s="1461">
        <f t="shared" ca="1" si="1490"/>
        <v>108.80545555249309</v>
      </c>
      <c r="DF130" s="1461">
        <f t="shared" ca="1" si="1490"/>
        <v>108.80545555249309</v>
      </c>
      <c r="DG130" s="1461">
        <f t="shared" ca="1" si="1490"/>
        <v>108.80545555249309</v>
      </c>
      <c r="DH130" s="1461">
        <f t="shared" ca="1" si="1490"/>
        <v>108.80545555249309</v>
      </c>
      <c r="DI130" s="1461">
        <f t="shared" ca="1" si="1490"/>
        <v>108.80545555249309</v>
      </c>
      <c r="DJ130" s="1461">
        <f t="shared" ca="1" si="1490"/>
        <v>108.80545555249309</v>
      </c>
      <c r="DK130" s="1461">
        <f t="shared" ca="1" si="1490"/>
        <v>108.80545555249309</v>
      </c>
      <c r="DL130" s="1461">
        <f t="shared" ca="1" si="1490"/>
        <v>108.80545555249309</v>
      </c>
      <c r="DM130" s="1461">
        <f t="shared" ca="1" si="1491"/>
        <v>108.80545555249309</v>
      </c>
      <c r="DN130" s="1461">
        <f t="shared" ca="1" si="1491"/>
        <v>108.80545555249309</v>
      </c>
      <c r="DO130" s="1461">
        <f t="shared" ca="1" si="1491"/>
        <v>108.80545555249309</v>
      </c>
      <c r="DP130" s="1461">
        <f t="shared" ca="1" si="1491"/>
        <v>108.80545555249309</v>
      </c>
      <c r="DQ130" s="1461">
        <f t="shared" ca="1" si="1491"/>
        <v>108.80545555249309</v>
      </c>
      <c r="DR130" s="1461">
        <f t="shared" ca="1" si="1491"/>
        <v>108.80545555249309</v>
      </c>
      <c r="DS130" s="1461">
        <f t="shared" ca="1" si="1491"/>
        <v>108.80545555249309</v>
      </c>
      <c r="DT130" s="1461">
        <f t="shared" ca="1" si="1491"/>
        <v>108.80545555249309</v>
      </c>
      <c r="DU130" s="1461">
        <f t="shared" ca="1" si="1491"/>
        <v>108.80545555249309</v>
      </c>
      <c r="DV130" s="1461">
        <f t="shared" ca="1" si="1491"/>
        <v>108.80545555249309</v>
      </c>
      <c r="DW130" s="1461">
        <f t="shared" ca="1" si="1492"/>
        <v>108.80545555249309</v>
      </c>
      <c r="DX130" s="1461">
        <f t="shared" ca="1" si="1492"/>
        <v>108.80545555249309</v>
      </c>
      <c r="DY130" s="1461">
        <f t="shared" ca="1" si="1492"/>
        <v>108.80545555249309</v>
      </c>
      <c r="DZ130" s="1461">
        <f t="shared" ca="1" si="1492"/>
        <v>108.80545555249309</v>
      </c>
      <c r="EA130" s="1461">
        <f t="shared" ca="1" si="1492"/>
        <v>108.80545555249309</v>
      </c>
      <c r="EB130" s="1461">
        <f t="shared" ca="1" si="1492"/>
        <v>108.80545555249309</v>
      </c>
      <c r="EC130" s="1461">
        <f t="shared" ca="1" si="1492"/>
        <v>108.80545555249309</v>
      </c>
      <c r="ED130" s="1461">
        <f t="shared" ca="1" si="1492"/>
        <v>108.80545555249309</v>
      </c>
      <c r="EE130" s="1461">
        <f t="shared" ca="1" si="1492"/>
        <v>108.80545555249309</v>
      </c>
      <c r="EF130" s="1461">
        <f t="shared" ca="1" si="1492"/>
        <v>108.80545555249309</v>
      </c>
      <c r="EG130" s="1461">
        <f t="shared" ca="1" si="1492"/>
        <v>99.083053989993076</v>
      </c>
    </row>
    <row r="131" spans="1:137">
      <c r="A131" s="595"/>
      <c r="B131" s="598"/>
      <c r="C131" s="599"/>
      <c r="D131" s="1552">
        <v>3</v>
      </c>
      <c r="E131" s="542" t="s">
        <v>256</v>
      </c>
      <c r="F131" s="52" t="s">
        <v>1406</v>
      </c>
      <c r="G131" s="62">
        <f t="shared" ca="1" si="1493"/>
        <v>1828.125</v>
      </c>
      <c r="H131" s="171"/>
      <c r="I131" s="1541"/>
      <c r="J131" s="15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41"/>
      <c r="AL131" s="41"/>
      <c r="AM131" s="41"/>
      <c r="AN131" s="41"/>
      <c r="AO131" s="41"/>
      <c r="AP131" s="41"/>
      <c r="AQ131" s="1461">
        <f t="shared" si="1484"/>
        <v>0</v>
      </c>
      <c r="AR131" s="1461">
        <f t="shared" si="1484"/>
        <v>0</v>
      </c>
      <c r="AS131" s="1461">
        <f t="shared" si="1484"/>
        <v>0</v>
      </c>
      <c r="AT131" s="1461">
        <f t="shared" si="1484"/>
        <v>0</v>
      </c>
      <c r="AU131" s="1461">
        <f t="shared" si="1484"/>
        <v>0</v>
      </c>
      <c r="AV131" s="1461">
        <f t="shared" si="1484"/>
        <v>0</v>
      </c>
      <c r="AW131" s="1461">
        <f t="shared" si="1484"/>
        <v>0</v>
      </c>
      <c r="AX131" s="1461">
        <f t="shared" si="1484"/>
        <v>0</v>
      </c>
      <c r="AY131" s="1461">
        <f t="shared" si="1484"/>
        <v>0</v>
      </c>
      <c r="AZ131" s="1461">
        <f t="shared" si="1484"/>
        <v>0</v>
      </c>
      <c r="BA131" s="1461">
        <f t="shared" si="1485"/>
        <v>0</v>
      </c>
      <c r="BB131" s="1461">
        <f t="shared" si="1485"/>
        <v>0</v>
      </c>
      <c r="BC131" s="1461">
        <f t="shared" si="1485"/>
        <v>0</v>
      </c>
      <c r="BD131" s="1461">
        <f t="shared" si="1485"/>
        <v>0</v>
      </c>
      <c r="BE131" s="1461">
        <f t="shared" si="1485"/>
        <v>0</v>
      </c>
      <c r="BF131" s="1461">
        <f t="shared" si="1485"/>
        <v>0</v>
      </c>
      <c r="BG131" s="1461">
        <f t="shared" si="1485"/>
        <v>0</v>
      </c>
      <c r="BH131" s="1461">
        <f t="shared" si="1485"/>
        <v>0</v>
      </c>
      <c r="BI131" s="1461">
        <f t="shared" si="1485"/>
        <v>0</v>
      </c>
      <c r="BJ131" s="1461">
        <f t="shared" si="1485"/>
        <v>0</v>
      </c>
      <c r="BK131" s="1461">
        <f t="shared" si="1486"/>
        <v>0</v>
      </c>
      <c r="BL131" s="1461">
        <f t="shared" si="1486"/>
        <v>0</v>
      </c>
      <c r="BM131" s="1461">
        <f t="shared" si="1486"/>
        <v>0</v>
      </c>
      <c r="BN131" s="1461">
        <f t="shared" si="1486"/>
        <v>0</v>
      </c>
      <c r="BO131" s="1461">
        <f t="shared" si="1486"/>
        <v>0</v>
      </c>
      <c r="BP131" s="1461">
        <f t="shared" si="1486"/>
        <v>0</v>
      </c>
      <c r="BQ131" s="1461">
        <f t="shared" si="1486"/>
        <v>0</v>
      </c>
      <c r="BR131" s="1461">
        <f t="shared" si="1486"/>
        <v>0</v>
      </c>
      <c r="BS131" s="1461">
        <f t="shared" si="1486"/>
        <v>0</v>
      </c>
      <c r="BT131" s="1461">
        <f t="shared" si="1486"/>
        <v>0</v>
      </c>
      <c r="BU131" s="1461">
        <f t="shared" si="1486"/>
        <v>0</v>
      </c>
      <c r="BV131" s="63"/>
      <c r="BW131" s="1461">
        <f t="shared" ca="1" si="1487"/>
        <v>1828.125</v>
      </c>
      <c r="BX131" s="1461">
        <f t="shared" ca="1" si="1487"/>
        <v>60.9375</v>
      </c>
      <c r="BY131" s="1461">
        <f t="shared" ca="1" si="1487"/>
        <v>60.9375</v>
      </c>
      <c r="BZ131" s="1461">
        <f t="shared" ca="1" si="1487"/>
        <v>60.9375</v>
      </c>
      <c r="CA131" s="1461">
        <f t="shared" ca="1" si="1487"/>
        <v>60.9375</v>
      </c>
      <c r="CB131" s="1461">
        <f t="shared" ca="1" si="1487"/>
        <v>60.9375</v>
      </c>
      <c r="CC131" s="1461">
        <f t="shared" ca="1" si="1487"/>
        <v>60.9375</v>
      </c>
      <c r="CD131" s="1461">
        <f t="shared" ca="1" si="1487"/>
        <v>60.9375</v>
      </c>
      <c r="CE131" s="1461">
        <f t="shared" ca="1" si="1487"/>
        <v>60.9375</v>
      </c>
      <c r="CF131" s="1461">
        <f t="shared" ca="1" si="1487"/>
        <v>60.9375</v>
      </c>
      <c r="CG131" s="1461">
        <f t="shared" ca="1" si="1488"/>
        <v>60.9375</v>
      </c>
      <c r="CH131" s="1461">
        <f t="shared" ca="1" si="1488"/>
        <v>60.9375</v>
      </c>
      <c r="CI131" s="1461">
        <f t="shared" ca="1" si="1488"/>
        <v>60.9375</v>
      </c>
      <c r="CJ131" s="1461">
        <f t="shared" ca="1" si="1488"/>
        <v>60.9375</v>
      </c>
      <c r="CK131" s="1461">
        <f t="shared" ca="1" si="1488"/>
        <v>60.9375</v>
      </c>
      <c r="CL131" s="1461">
        <f t="shared" ca="1" si="1488"/>
        <v>60.9375</v>
      </c>
      <c r="CM131" s="1461">
        <f t="shared" ca="1" si="1488"/>
        <v>60.9375</v>
      </c>
      <c r="CN131" s="1461">
        <f t="shared" ca="1" si="1488"/>
        <v>60.9375</v>
      </c>
      <c r="CO131" s="1461">
        <f t="shared" ca="1" si="1488"/>
        <v>60.9375</v>
      </c>
      <c r="CP131" s="1461">
        <f t="shared" ca="1" si="1488"/>
        <v>60.9375</v>
      </c>
      <c r="CQ131" s="1461">
        <f t="shared" ca="1" si="1489"/>
        <v>60.9375</v>
      </c>
      <c r="CR131" s="1461">
        <f t="shared" ca="1" si="1489"/>
        <v>60.9375</v>
      </c>
      <c r="CS131" s="1461">
        <f t="shared" ca="1" si="1489"/>
        <v>60.9375</v>
      </c>
      <c r="CT131" s="1461">
        <f t="shared" ca="1" si="1489"/>
        <v>60.9375</v>
      </c>
      <c r="CU131" s="1461">
        <f t="shared" ca="1" si="1489"/>
        <v>60.9375</v>
      </c>
      <c r="CV131" s="1461">
        <f t="shared" ca="1" si="1489"/>
        <v>60.9375</v>
      </c>
      <c r="CW131" s="1461">
        <f t="shared" ca="1" si="1489"/>
        <v>60.9375</v>
      </c>
      <c r="CX131" s="1461">
        <f t="shared" ca="1" si="1489"/>
        <v>60.9375</v>
      </c>
      <c r="CY131" s="1461">
        <f t="shared" ca="1" si="1489"/>
        <v>60.9375</v>
      </c>
      <c r="CZ131" s="1461">
        <f t="shared" ca="1" si="1489"/>
        <v>60.9375</v>
      </c>
      <c r="DA131" s="1461">
        <f t="shared" ca="1" si="1489"/>
        <v>60.9375</v>
      </c>
      <c r="DB131" s="41"/>
      <c r="DC131" s="1461">
        <f t="shared" ca="1" si="1490"/>
        <v>1828.125</v>
      </c>
      <c r="DD131" s="1461">
        <f t="shared" ca="1" si="1490"/>
        <v>60.9375</v>
      </c>
      <c r="DE131" s="1461">
        <f t="shared" ca="1" si="1490"/>
        <v>60.9375</v>
      </c>
      <c r="DF131" s="1461">
        <f t="shared" ca="1" si="1490"/>
        <v>60.9375</v>
      </c>
      <c r="DG131" s="1461">
        <f t="shared" ca="1" si="1490"/>
        <v>60.9375</v>
      </c>
      <c r="DH131" s="1461">
        <f t="shared" ca="1" si="1490"/>
        <v>60.9375</v>
      </c>
      <c r="DI131" s="1461">
        <f t="shared" ca="1" si="1490"/>
        <v>60.9375</v>
      </c>
      <c r="DJ131" s="1461">
        <f t="shared" ca="1" si="1490"/>
        <v>60.9375</v>
      </c>
      <c r="DK131" s="1461">
        <f t="shared" ca="1" si="1490"/>
        <v>60.9375</v>
      </c>
      <c r="DL131" s="1461">
        <f t="shared" ca="1" si="1490"/>
        <v>60.9375</v>
      </c>
      <c r="DM131" s="1461">
        <f t="shared" ca="1" si="1491"/>
        <v>60.9375</v>
      </c>
      <c r="DN131" s="1461">
        <f t="shared" ca="1" si="1491"/>
        <v>60.9375</v>
      </c>
      <c r="DO131" s="1461">
        <f t="shared" ca="1" si="1491"/>
        <v>60.9375</v>
      </c>
      <c r="DP131" s="1461">
        <f t="shared" ca="1" si="1491"/>
        <v>60.9375</v>
      </c>
      <c r="DQ131" s="1461">
        <f t="shared" ca="1" si="1491"/>
        <v>60.9375</v>
      </c>
      <c r="DR131" s="1461">
        <f t="shared" ca="1" si="1491"/>
        <v>60.9375</v>
      </c>
      <c r="DS131" s="1461">
        <f t="shared" ca="1" si="1491"/>
        <v>60.9375</v>
      </c>
      <c r="DT131" s="1461">
        <f t="shared" ca="1" si="1491"/>
        <v>60.9375</v>
      </c>
      <c r="DU131" s="1461">
        <f t="shared" ca="1" si="1491"/>
        <v>60.9375</v>
      </c>
      <c r="DV131" s="1461">
        <f t="shared" ca="1" si="1491"/>
        <v>60.9375</v>
      </c>
      <c r="DW131" s="1461">
        <f t="shared" ca="1" si="1492"/>
        <v>60.9375</v>
      </c>
      <c r="DX131" s="1461">
        <f t="shared" ca="1" si="1492"/>
        <v>60.9375</v>
      </c>
      <c r="DY131" s="1461">
        <f t="shared" ca="1" si="1492"/>
        <v>60.9375</v>
      </c>
      <c r="DZ131" s="1461">
        <f t="shared" ca="1" si="1492"/>
        <v>60.9375</v>
      </c>
      <c r="EA131" s="1461">
        <f t="shared" ca="1" si="1492"/>
        <v>60.9375</v>
      </c>
      <c r="EB131" s="1461">
        <f t="shared" ca="1" si="1492"/>
        <v>60.9375</v>
      </c>
      <c r="EC131" s="1461">
        <f t="shared" ca="1" si="1492"/>
        <v>60.9375</v>
      </c>
      <c r="ED131" s="1461">
        <f t="shared" ca="1" si="1492"/>
        <v>60.9375</v>
      </c>
      <c r="EE131" s="1461">
        <f t="shared" ca="1" si="1492"/>
        <v>60.9375</v>
      </c>
      <c r="EF131" s="1461">
        <f t="shared" ca="1" si="1492"/>
        <v>60.9375</v>
      </c>
      <c r="EG131" s="1461">
        <f t="shared" ca="1" si="1492"/>
        <v>60.9375</v>
      </c>
    </row>
    <row r="132" spans="1:137">
      <c r="A132" s="595"/>
      <c r="B132" s="598"/>
      <c r="C132" s="599"/>
      <c r="D132" s="1552">
        <v>4</v>
      </c>
      <c r="E132" s="542" t="s">
        <v>257</v>
      </c>
      <c r="F132" s="52" t="s">
        <v>1407</v>
      </c>
      <c r="G132" s="62">
        <f t="shared" ca="1" si="1493"/>
        <v>0</v>
      </c>
      <c r="H132" s="171"/>
      <c r="I132" s="1541"/>
      <c r="J132" s="15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41"/>
      <c r="AL132" s="41"/>
      <c r="AM132" s="41"/>
      <c r="AN132" s="41"/>
      <c r="AO132" s="41"/>
      <c r="AP132" s="41"/>
      <c r="AQ132" s="1461">
        <f t="shared" si="1484"/>
        <v>0</v>
      </c>
      <c r="AR132" s="1461">
        <f t="shared" si="1484"/>
        <v>0</v>
      </c>
      <c r="AS132" s="1461">
        <f t="shared" si="1484"/>
        <v>0</v>
      </c>
      <c r="AT132" s="1461">
        <f t="shared" si="1484"/>
        <v>0</v>
      </c>
      <c r="AU132" s="1461">
        <f t="shared" si="1484"/>
        <v>0</v>
      </c>
      <c r="AV132" s="1461">
        <f t="shared" si="1484"/>
        <v>0</v>
      </c>
      <c r="AW132" s="1461">
        <f t="shared" si="1484"/>
        <v>0</v>
      </c>
      <c r="AX132" s="1461">
        <f t="shared" si="1484"/>
        <v>0</v>
      </c>
      <c r="AY132" s="1461">
        <f t="shared" si="1484"/>
        <v>0</v>
      </c>
      <c r="AZ132" s="1461">
        <f t="shared" si="1484"/>
        <v>0</v>
      </c>
      <c r="BA132" s="1461">
        <f t="shared" si="1485"/>
        <v>0</v>
      </c>
      <c r="BB132" s="1461">
        <f t="shared" si="1485"/>
        <v>0</v>
      </c>
      <c r="BC132" s="1461">
        <f t="shared" si="1485"/>
        <v>0</v>
      </c>
      <c r="BD132" s="1461">
        <f t="shared" si="1485"/>
        <v>0</v>
      </c>
      <c r="BE132" s="1461">
        <f t="shared" si="1485"/>
        <v>0</v>
      </c>
      <c r="BF132" s="1461">
        <f t="shared" si="1485"/>
        <v>0</v>
      </c>
      <c r="BG132" s="1461">
        <f t="shared" si="1485"/>
        <v>0</v>
      </c>
      <c r="BH132" s="1461">
        <f t="shared" si="1485"/>
        <v>0</v>
      </c>
      <c r="BI132" s="1461">
        <f t="shared" si="1485"/>
        <v>0</v>
      </c>
      <c r="BJ132" s="1461">
        <f t="shared" si="1485"/>
        <v>0</v>
      </c>
      <c r="BK132" s="1461">
        <f t="shared" si="1486"/>
        <v>0</v>
      </c>
      <c r="BL132" s="1461">
        <f t="shared" si="1486"/>
        <v>0</v>
      </c>
      <c r="BM132" s="1461">
        <f t="shared" si="1486"/>
        <v>0</v>
      </c>
      <c r="BN132" s="1461">
        <f t="shared" si="1486"/>
        <v>0</v>
      </c>
      <c r="BO132" s="1461">
        <f t="shared" si="1486"/>
        <v>0</v>
      </c>
      <c r="BP132" s="1461">
        <f t="shared" si="1486"/>
        <v>0</v>
      </c>
      <c r="BQ132" s="1461">
        <f t="shared" si="1486"/>
        <v>0</v>
      </c>
      <c r="BR132" s="1461">
        <f t="shared" si="1486"/>
        <v>0</v>
      </c>
      <c r="BS132" s="1461">
        <f t="shared" si="1486"/>
        <v>0</v>
      </c>
      <c r="BT132" s="1461">
        <f t="shared" si="1486"/>
        <v>0</v>
      </c>
      <c r="BU132" s="1461">
        <f t="shared" si="1486"/>
        <v>0</v>
      </c>
      <c r="BV132" s="63"/>
      <c r="BW132" s="1461">
        <f t="shared" ca="1" si="1487"/>
        <v>0</v>
      </c>
      <c r="BX132" s="1461">
        <f t="shared" ca="1" si="1487"/>
        <v>0</v>
      </c>
      <c r="BY132" s="1461">
        <f t="shared" ca="1" si="1487"/>
        <v>0</v>
      </c>
      <c r="BZ132" s="1461">
        <f t="shared" ca="1" si="1487"/>
        <v>0</v>
      </c>
      <c r="CA132" s="1461">
        <f t="shared" ca="1" si="1487"/>
        <v>0</v>
      </c>
      <c r="CB132" s="1461">
        <f t="shared" ca="1" si="1487"/>
        <v>0</v>
      </c>
      <c r="CC132" s="1461">
        <f t="shared" ca="1" si="1487"/>
        <v>0</v>
      </c>
      <c r="CD132" s="1461">
        <f t="shared" ca="1" si="1487"/>
        <v>0</v>
      </c>
      <c r="CE132" s="1461">
        <f t="shared" ca="1" si="1487"/>
        <v>0</v>
      </c>
      <c r="CF132" s="1461">
        <f t="shared" ca="1" si="1487"/>
        <v>0</v>
      </c>
      <c r="CG132" s="1461">
        <f t="shared" ca="1" si="1488"/>
        <v>0</v>
      </c>
      <c r="CH132" s="1461">
        <f t="shared" ca="1" si="1488"/>
        <v>0</v>
      </c>
      <c r="CI132" s="1461">
        <f t="shared" ca="1" si="1488"/>
        <v>0</v>
      </c>
      <c r="CJ132" s="1461">
        <f t="shared" ca="1" si="1488"/>
        <v>0</v>
      </c>
      <c r="CK132" s="1461">
        <f t="shared" ca="1" si="1488"/>
        <v>0</v>
      </c>
      <c r="CL132" s="1461">
        <f t="shared" ca="1" si="1488"/>
        <v>0</v>
      </c>
      <c r="CM132" s="1461">
        <f t="shared" ca="1" si="1488"/>
        <v>0</v>
      </c>
      <c r="CN132" s="1461">
        <f t="shared" ca="1" si="1488"/>
        <v>0</v>
      </c>
      <c r="CO132" s="1461">
        <f t="shared" ca="1" si="1488"/>
        <v>0</v>
      </c>
      <c r="CP132" s="1461">
        <f t="shared" ca="1" si="1488"/>
        <v>0</v>
      </c>
      <c r="CQ132" s="1461">
        <f t="shared" ca="1" si="1489"/>
        <v>0</v>
      </c>
      <c r="CR132" s="1461">
        <f t="shared" ca="1" si="1489"/>
        <v>0</v>
      </c>
      <c r="CS132" s="1461">
        <f t="shared" ca="1" si="1489"/>
        <v>0</v>
      </c>
      <c r="CT132" s="1461">
        <f t="shared" ca="1" si="1489"/>
        <v>0</v>
      </c>
      <c r="CU132" s="1461">
        <f t="shared" ca="1" si="1489"/>
        <v>0</v>
      </c>
      <c r="CV132" s="1461">
        <f t="shared" ca="1" si="1489"/>
        <v>0</v>
      </c>
      <c r="CW132" s="1461">
        <f t="shared" ca="1" si="1489"/>
        <v>0</v>
      </c>
      <c r="CX132" s="1461">
        <f t="shared" ca="1" si="1489"/>
        <v>0</v>
      </c>
      <c r="CY132" s="1461">
        <f t="shared" ca="1" si="1489"/>
        <v>0</v>
      </c>
      <c r="CZ132" s="1461">
        <f t="shared" ca="1" si="1489"/>
        <v>0</v>
      </c>
      <c r="DA132" s="1461">
        <f t="shared" ca="1" si="1489"/>
        <v>0</v>
      </c>
      <c r="DB132" s="41"/>
      <c r="DC132" s="1461">
        <f t="shared" ca="1" si="1490"/>
        <v>0</v>
      </c>
      <c r="DD132" s="1461">
        <f t="shared" ca="1" si="1490"/>
        <v>0</v>
      </c>
      <c r="DE132" s="1461">
        <f t="shared" ca="1" si="1490"/>
        <v>0</v>
      </c>
      <c r="DF132" s="1461">
        <f t="shared" ca="1" si="1490"/>
        <v>0</v>
      </c>
      <c r="DG132" s="1461">
        <f t="shared" ca="1" si="1490"/>
        <v>0</v>
      </c>
      <c r="DH132" s="1461">
        <f t="shared" ca="1" si="1490"/>
        <v>0</v>
      </c>
      <c r="DI132" s="1461">
        <f t="shared" ca="1" si="1490"/>
        <v>0</v>
      </c>
      <c r="DJ132" s="1461">
        <f t="shared" ca="1" si="1490"/>
        <v>0</v>
      </c>
      <c r="DK132" s="1461">
        <f t="shared" ca="1" si="1490"/>
        <v>0</v>
      </c>
      <c r="DL132" s="1461">
        <f t="shared" ca="1" si="1490"/>
        <v>0</v>
      </c>
      <c r="DM132" s="1461">
        <f t="shared" ca="1" si="1491"/>
        <v>0</v>
      </c>
      <c r="DN132" s="1461">
        <f t="shared" ca="1" si="1491"/>
        <v>0</v>
      </c>
      <c r="DO132" s="1461">
        <f t="shared" ca="1" si="1491"/>
        <v>0</v>
      </c>
      <c r="DP132" s="1461">
        <f t="shared" ca="1" si="1491"/>
        <v>0</v>
      </c>
      <c r="DQ132" s="1461">
        <f t="shared" ca="1" si="1491"/>
        <v>0</v>
      </c>
      <c r="DR132" s="1461">
        <f t="shared" ca="1" si="1491"/>
        <v>0</v>
      </c>
      <c r="DS132" s="1461">
        <f t="shared" ca="1" si="1491"/>
        <v>0</v>
      </c>
      <c r="DT132" s="1461">
        <f t="shared" ca="1" si="1491"/>
        <v>0</v>
      </c>
      <c r="DU132" s="1461">
        <f t="shared" ca="1" si="1491"/>
        <v>0</v>
      </c>
      <c r="DV132" s="1461">
        <f t="shared" ca="1" si="1491"/>
        <v>0</v>
      </c>
      <c r="DW132" s="1461">
        <f t="shared" ca="1" si="1492"/>
        <v>0</v>
      </c>
      <c r="DX132" s="1461">
        <f t="shared" ca="1" si="1492"/>
        <v>0</v>
      </c>
      <c r="DY132" s="1461">
        <f t="shared" ca="1" si="1492"/>
        <v>0</v>
      </c>
      <c r="DZ132" s="1461">
        <f t="shared" ca="1" si="1492"/>
        <v>0</v>
      </c>
      <c r="EA132" s="1461">
        <f t="shared" ca="1" si="1492"/>
        <v>0</v>
      </c>
      <c r="EB132" s="1461">
        <f t="shared" ca="1" si="1492"/>
        <v>0</v>
      </c>
      <c r="EC132" s="1461">
        <f t="shared" ca="1" si="1492"/>
        <v>0</v>
      </c>
      <c r="ED132" s="1461">
        <f t="shared" ca="1" si="1492"/>
        <v>0</v>
      </c>
      <c r="EE132" s="1461">
        <f t="shared" ca="1" si="1492"/>
        <v>0</v>
      </c>
      <c r="EF132" s="1461">
        <f t="shared" ca="1" si="1492"/>
        <v>0</v>
      </c>
      <c r="EG132" s="1461">
        <f t="shared" ca="1" si="1492"/>
        <v>0</v>
      </c>
    </row>
    <row r="133" spans="1:137">
      <c r="A133" s="595"/>
      <c r="B133" s="598"/>
      <c r="C133" s="599"/>
      <c r="D133" s="1552">
        <v>5</v>
      </c>
      <c r="E133" s="542" t="s">
        <v>258</v>
      </c>
      <c r="F133" s="52" t="s">
        <v>1408</v>
      </c>
      <c r="G133" s="62">
        <f t="shared" ca="1" si="1493"/>
        <v>49.637279249999999</v>
      </c>
      <c r="H133" s="171"/>
      <c r="I133" s="1541"/>
      <c r="J133" s="15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41"/>
      <c r="AM133" s="41"/>
      <c r="AN133" s="41"/>
      <c r="AO133" s="41"/>
      <c r="AP133" s="41"/>
      <c r="AQ133" s="1461">
        <f t="shared" si="1484"/>
        <v>49.637279249999999</v>
      </c>
      <c r="AR133" s="1461">
        <f t="shared" si="1484"/>
        <v>1.654575975</v>
      </c>
      <c r="AS133" s="1461">
        <f t="shared" si="1484"/>
        <v>1.654575975</v>
      </c>
      <c r="AT133" s="1461">
        <f t="shared" si="1484"/>
        <v>1.654575975</v>
      </c>
      <c r="AU133" s="1461">
        <f t="shared" si="1484"/>
        <v>1.654575975</v>
      </c>
      <c r="AV133" s="1461">
        <f t="shared" si="1484"/>
        <v>1.654575975</v>
      </c>
      <c r="AW133" s="1461">
        <f t="shared" si="1484"/>
        <v>1.654575975</v>
      </c>
      <c r="AX133" s="1461">
        <f t="shared" si="1484"/>
        <v>1.654575975</v>
      </c>
      <c r="AY133" s="1461">
        <f t="shared" si="1484"/>
        <v>1.654575975</v>
      </c>
      <c r="AZ133" s="1461">
        <f t="shared" si="1484"/>
        <v>1.654575975</v>
      </c>
      <c r="BA133" s="1461">
        <f t="shared" si="1485"/>
        <v>1.654575975</v>
      </c>
      <c r="BB133" s="1461">
        <f t="shared" si="1485"/>
        <v>1.654575975</v>
      </c>
      <c r="BC133" s="1461">
        <f t="shared" si="1485"/>
        <v>1.654575975</v>
      </c>
      <c r="BD133" s="1461">
        <f t="shared" si="1485"/>
        <v>1.654575975</v>
      </c>
      <c r="BE133" s="1461">
        <f t="shared" si="1485"/>
        <v>1.654575975</v>
      </c>
      <c r="BF133" s="1461">
        <f t="shared" si="1485"/>
        <v>1.654575975</v>
      </c>
      <c r="BG133" s="1461">
        <f t="shared" si="1485"/>
        <v>1.654575975</v>
      </c>
      <c r="BH133" s="1461">
        <f t="shared" si="1485"/>
        <v>1.654575975</v>
      </c>
      <c r="BI133" s="1461">
        <f t="shared" si="1485"/>
        <v>1.654575975</v>
      </c>
      <c r="BJ133" s="1461">
        <f t="shared" si="1485"/>
        <v>1.654575975</v>
      </c>
      <c r="BK133" s="1461">
        <f t="shared" si="1486"/>
        <v>1.654575975</v>
      </c>
      <c r="BL133" s="1461">
        <f t="shared" si="1486"/>
        <v>1.654575975</v>
      </c>
      <c r="BM133" s="1461">
        <f t="shared" si="1486"/>
        <v>1.654575975</v>
      </c>
      <c r="BN133" s="1461">
        <f t="shared" si="1486"/>
        <v>1.654575975</v>
      </c>
      <c r="BO133" s="1461">
        <f t="shared" si="1486"/>
        <v>1.654575975</v>
      </c>
      <c r="BP133" s="1461">
        <f t="shared" si="1486"/>
        <v>1.654575975</v>
      </c>
      <c r="BQ133" s="1461">
        <f t="shared" si="1486"/>
        <v>1.654575975</v>
      </c>
      <c r="BR133" s="1461">
        <f t="shared" si="1486"/>
        <v>1.654575975</v>
      </c>
      <c r="BS133" s="1461">
        <f t="shared" si="1486"/>
        <v>1.654575975</v>
      </c>
      <c r="BT133" s="1461">
        <f t="shared" si="1486"/>
        <v>1.654575975</v>
      </c>
      <c r="BU133" s="1461">
        <f t="shared" si="1486"/>
        <v>1.654575975</v>
      </c>
      <c r="BV133" s="63"/>
      <c r="BW133" s="1461">
        <f t="shared" ca="1" si="1487"/>
        <v>0</v>
      </c>
      <c r="BX133" s="1461">
        <f t="shared" ca="1" si="1487"/>
        <v>0</v>
      </c>
      <c r="BY133" s="1461">
        <f t="shared" ca="1" si="1487"/>
        <v>0</v>
      </c>
      <c r="BZ133" s="1461">
        <f t="shared" ca="1" si="1487"/>
        <v>0</v>
      </c>
      <c r="CA133" s="1461">
        <f t="shared" ca="1" si="1487"/>
        <v>0</v>
      </c>
      <c r="CB133" s="1461">
        <f t="shared" ca="1" si="1487"/>
        <v>0</v>
      </c>
      <c r="CC133" s="1461">
        <f t="shared" ca="1" si="1487"/>
        <v>0</v>
      </c>
      <c r="CD133" s="1461">
        <f t="shared" ca="1" si="1487"/>
        <v>0</v>
      </c>
      <c r="CE133" s="1461">
        <f t="shared" ca="1" si="1487"/>
        <v>0</v>
      </c>
      <c r="CF133" s="1461">
        <f t="shared" ca="1" si="1487"/>
        <v>0</v>
      </c>
      <c r="CG133" s="1461">
        <f t="shared" ca="1" si="1488"/>
        <v>0</v>
      </c>
      <c r="CH133" s="1461">
        <f t="shared" ca="1" si="1488"/>
        <v>0</v>
      </c>
      <c r="CI133" s="1461">
        <f t="shared" ca="1" si="1488"/>
        <v>0</v>
      </c>
      <c r="CJ133" s="1461">
        <f t="shared" ca="1" si="1488"/>
        <v>0</v>
      </c>
      <c r="CK133" s="1461">
        <f t="shared" ca="1" si="1488"/>
        <v>0</v>
      </c>
      <c r="CL133" s="1461">
        <f t="shared" ca="1" si="1488"/>
        <v>0</v>
      </c>
      <c r="CM133" s="1461">
        <f t="shared" ca="1" si="1488"/>
        <v>0</v>
      </c>
      <c r="CN133" s="1461">
        <f t="shared" ca="1" si="1488"/>
        <v>0</v>
      </c>
      <c r="CO133" s="1461">
        <f t="shared" ca="1" si="1488"/>
        <v>0</v>
      </c>
      <c r="CP133" s="1461">
        <f t="shared" ca="1" si="1488"/>
        <v>0</v>
      </c>
      <c r="CQ133" s="1461">
        <f t="shared" ca="1" si="1489"/>
        <v>0</v>
      </c>
      <c r="CR133" s="1461">
        <f t="shared" ca="1" si="1489"/>
        <v>0</v>
      </c>
      <c r="CS133" s="1461">
        <f t="shared" ca="1" si="1489"/>
        <v>0</v>
      </c>
      <c r="CT133" s="1461">
        <f t="shared" ca="1" si="1489"/>
        <v>0</v>
      </c>
      <c r="CU133" s="1461">
        <f t="shared" ca="1" si="1489"/>
        <v>0</v>
      </c>
      <c r="CV133" s="1461">
        <f t="shared" ca="1" si="1489"/>
        <v>0</v>
      </c>
      <c r="CW133" s="1461">
        <f t="shared" ca="1" si="1489"/>
        <v>0</v>
      </c>
      <c r="CX133" s="1461">
        <f t="shared" ca="1" si="1489"/>
        <v>0</v>
      </c>
      <c r="CY133" s="1461">
        <f t="shared" ca="1" si="1489"/>
        <v>0</v>
      </c>
      <c r="CZ133" s="1461">
        <f t="shared" ca="1" si="1489"/>
        <v>0</v>
      </c>
      <c r="DA133" s="1461">
        <f t="shared" ca="1" si="1489"/>
        <v>0</v>
      </c>
      <c r="DB133" s="41"/>
      <c r="DC133" s="1461">
        <f t="shared" ca="1" si="1490"/>
        <v>49.637279249999999</v>
      </c>
      <c r="DD133" s="1461">
        <f t="shared" ca="1" si="1490"/>
        <v>1.654575975</v>
      </c>
      <c r="DE133" s="1461">
        <f t="shared" ca="1" si="1490"/>
        <v>1.654575975</v>
      </c>
      <c r="DF133" s="1461">
        <f t="shared" ca="1" si="1490"/>
        <v>1.654575975</v>
      </c>
      <c r="DG133" s="1461">
        <f t="shared" ca="1" si="1490"/>
        <v>1.654575975</v>
      </c>
      <c r="DH133" s="1461">
        <f t="shared" ca="1" si="1490"/>
        <v>1.654575975</v>
      </c>
      <c r="DI133" s="1461">
        <f t="shared" ca="1" si="1490"/>
        <v>1.654575975</v>
      </c>
      <c r="DJ133" s="1461">
        <f t="shared" ca="1" si="1490"/>
        <v>1.654575975</v>
      </c>
      <c r="DK133" s="1461">
        <f t="shared" ca="1" si="1490"/>
        <v>1.654575975</v>
      </c>
      <c r="DL133" s="1461">
        <f t="shared" ca="1" si="1490"/>
        <v>1.654575975</v>
      </c>
      <c r="DM133" s="1461">
        <f t="shared" ca="1" si="1491"/>
        <v>1.654575975</v>
      </c>
      <c r="DN133" s="1461">
        <f t="shared" ca="1" si="1491"/>
        <v>1.654575975</v>
      </c>
      <c r="DO133" s="1461">
        <f t="shared" ca="1" si="1491"/>
        <v>1.654575975</v>
      </c>
      <c r="DP133" s="1461">
        <f t="shared" ca="1" si="1491"/>
        <v>1.654575975</v>
      </c>
      <c r="DQ133" s="1461">
        <f t="shared" ca="1" si="1491"/>
        <v>1.654575975</v>
      </c>
      <c r="DR133" s="1461">
        <f t="shared" ca="1" si="1491"/>
        <v>1.654575975</v>
      </c>
      <c r="DS133" s="1461">
        <f t="shared" ca="1" si="1491"/>
        <v>1.654575975</v>
      </c>
      <c r="DT133" s="1461">
        <f t="shared" ca="1" si="1491"/>
        <v>1.654575975</v>
      </c>
      <c r="DU133" s="1461">
        <f t="shared" ca="1" si="1491"/>
        <v>1.654575975</v>
      </c>
      <c r="DV133" s="1461">
        <f t="shared" ca="1" si="1491"/>
        <v>1.654575975</v>
      </c>
      <c r="DW133" s="1461">
        <f t="shared" ca="1" si="1492"/>
        <v>1.654575975</v>
      </c>
      <c r="DX133" s="1461">
        <f t="shared" ca="1" si="1492"/>
        <v>1.654575975</v>
      </c>
      <c r="DY133" s="1461">
        <f t="shared" ca="1" si="1492"/>
        <v>1.654575975</v>
      </c>
      <c r="DZ133" s="1461">
        <f t="shared" ca="1" si="1492"/>
        <v>1.654575975</v>
      </c>
      <c r="EA133" s="1461">
        <f t="shared" ca="1" si="1492"/>
        <v>1.654575975</v>
      </c>
      <c r="EB133" s="1461">
        <f t="shared" ca="1" si="1492"/>
        <v>1.654575975</v>
      </c>
      <c r="EC133" s="1461">
        <f t="shared" ca="1" si="1492"/>
        <v>1.654575975</v>
      </c>
      <c r="ED133" s="1461">
        <f t="shared" ca="1" si="1492"/>
        <v>1.654575975</v>
      </c>
      <c r="EE133" s="1461">
        <f t="shared" ca="1" si="1492"/>
        <v>1.654575975</v>
      </c>
      <c r="EF133" s="1461">
        <f t="shared" ca="1" si="1492"/>
        <v>1.654575975</v>
      </c>
      <c r="EG133" s="1461">
        <f t="shared" ca="1" si="1492"/>
        <v>1.654575975</v>
      </c>
    </row>
    <row r="134" spans="1:137">
      <c r="A134" s="595"/>
      <c r="B134" s="598"/>
      <c r="C134" s="599"/>
      <c r="D134" s="1552">
        <v>6</v>
      </c>
      <c r="E134" s="542" t="s">
        <v>259</v>
      </c>
      <c r="F134" s="52" t="s">
        <v>1409</v>
      </c>
      <c r="G134" s="62">
        <f t="shared" ca="1" si="1493"/>
        <v>187.5</v>
      </c>
      <c r="H134" s="171"/>
      <c r="I134" s="1541"/>
      <c r="J134" s="15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41"/>
      <c r="AL134" s="41"/>
      <c r="AM134" s="41"/>
      <c r="AN134" s="41"/>
      <c r="AO134" s="41"/>
      <c r="AP134" s="41"/>
      <c r="AQ134" s="1461">
        <f t="shared" si="1484"/>
        <v>0</v>
      </c>
      <c r="AR134" s="1461">
        <f t="shared" si="1484"/>
        <v>0</v>
      </c>
      <c r="AS134" s="1461">
        <f t="shared" si="1484"/>
        <v>0</v>
      </c>
      <c r="AT134" s="1461">
        <f t="shared" si="1484"/>
        <v>0</v>
      </c>
      <c r="AU134" s="1461">
        <f t="shared" si="1484"/>
        <v>0</v>
      </c>
      <c r="AV134" s="1461">
        <f t="shared" si="1484"/>
        <v>0</v>
      </c>
      <c r="AW134" s="1461">
        <f t="shared" si="1484"/>
        <v>0</v>
      </c>
      <c r="AX134" s="1461">
        <f t="shared" si="1484"/>
        <v>0</v>
      </c>
      <c r="AY134" s="1461">
        <f t="shared" si="1484"/>
        <v>0</v>
      </c>
      <c r="AZ134" s="1461">
        <f t="shared" si="1484"/>
        <v>0</v>
      </c>
      <c r="BA134" s="1461">
        <f t="shared" si="1485"/>
        <v>0</v>
      </c>
      <c r="BB134" s="1461">
        <f t="shared" si="1485"/>
        <v>0</v>
      </c>
      <c r="BC134" s="1461">
        <f t="shared" si="1485"/>
        <v>0</v>
      </c>
      <c r="BD134" s="1461">
        <f t="shared" si="1485"/>
        <v>0</v>
      </c>
      <c r="BE134" s="1461">
        <f t="shared" si="1485"/>
        <v>0</v>
      </c>
      <c r="BF134" s="1461">
        <f t="shared" si="1485"/>
        <v>0</v>
      </c>
      <c r="BG134" s="1461">
        <f t="shared" si="1485"/>
        <v>0</v>
      </c>
      <c r="BH134" s="1461">
        <f t="shared" si="1485"/>
        <v>0</v>
      </c>
      <c r="BI134" s="1461">
        <f t="shared" si="1485"/>
        <v>0</v>
      </c>
      <c r="BJ134" s="1461">
        <f t="shared" si="1485"/>
        <v>0</v>
      </c>
      <c r="BK134" s="1461">
        <f t="shared" si="1486"/>
        <v>0</v>
      </c>
      <c r="BL134" s="1461">
        <f t="shared" si="1486"/>
        <v>0</v>
      </c>
      <c r="BM134" s="1461">
        <f t="shared" si="1486"/>
        <v>0</v>
      </c>
      <c r="BN134" s="1461">
        <f t="shared" si="1486"/>
        <v>0</v>
      </c>
      <c r="BO134" s="1461">
        <f t="shared" si="1486"/>
        <v>0</v>
      </c>
      <c r="BP134" s="1461">
        <f t="shared" si="1486"/>
        <v>0</v>
      </c>
      <c r="BQ134" s="1461">
        <f t="shared" si="1486"/>
        <v>0</v>
      </c>
      <c r="BR134" s="1461">
        <f t="shared" si="1486"/>
        <v>0</v>
      </c>
      <c r="BS134" s="1461">
        <f t="shared" si="1486"/>
        <v>0</v>
      </c>
      <c r="BT134" s="1461">
        <f t="shared" si="1486"/>
        <v>0</v>
      </c>
      <c r="BU134" s="1461">
        <f t="shared" si="1486"/>
        <v>0</v>
      </c>
      <c r="BV134" s="63"/>
      <c r="BW134" s="1461">
        <f t="shared" ca="1" si="1487"/>
        <v>187.5</v>
      </c>
      <c r="BX134" s="1461">
        <f t="shared" ca="1" si="1487"/>
        <v>6.25</v>
      </c>
      <c r="BY134" s="1461">
        <f t="shared" ca="1" si="1487"/>
        <v>6.25</v>
      </c>
      <c r="BZ134" s="1461">
        <f t="shared" ca="1" si="1487"/>
        <v>6.25</v>
      </c>
      <c r="CA134" s="1461">
        <f t="shared" ca="1" si="1487"/>
        <v>6.25</v>
      </c>
      <c r="CB134" s="1461">
        <f t="shared" ca="1" si="1487"/>
        <v>6.25</v>
      </c>
      <c r="CC134" s="1461">
        <f t="shared" ca="1" si="1487"/>
        <v>6.25</v>
      </c>
      <c r="CD134" s="1461">
        <f t="shared" ca="1" si="1487"/>
        <v>6.25</v>
      </c>
      <c r="CE134" s="1461">
        <f t="shared" ca="1" si="1487"/>
        <v>6.25</v>
      </c>
      <c r="CF134" s="1461">
        <f t="shared" ca="1" si="1487"/>
        <v>6.25</v>
      </c>
      <c r="CG134" s="1461">
        <f t="shared" ca="1" si="1488"/>
        <v>6.25</v>
      </c>
      <c r="CH134" s="1461">
        <f t="shared" ca="1" si="1488"/>
        <v>6.25</v>
      </c>
      <c r="CI134" s="1461">
        <f t="shared" ca="1" si="1488"/>
        <v>6.25</v>
      </c>
      <c r="CJ134" s="1461">
        <f t="shared" ca="1" si="1488"/>
        <v>6.25</v>
      </c>
      <c r="CK134" s="1461">
        <f t="shared" ca="1" si="1488"/>
        <v>6.25</v>
      </c>
      <c r="CL134" s="1461">
        <f t="shared" ca="1" si="1488"/>
        <v>6.25</v>
      </c>
      <c r="CM134" s="1461">
        <f t="shared" ca="1" si="1488"/>
        <v>6.25</v>
      </c>
      <c r="CN134" s="1461">
        <f t="shared" ca="1" si="1488"/>
        <v>6.25</v>
      </c>
      <c r="CO134" s="1461">
        <f t="shared" ca="1" si="1488"/>
        <v>6.25</v>
      </c>
      <c r="CP134" s="1461">
        <f t="shared" ca="1" si="1488"/>
        <v>6.25</v>
      </c>
      <c r="CQ134" s="1461">
        <f t="shared" ca="1" si="1489"/>
        <v>6.25</v>
      </c>
      <c r="CR134" s="1461">
        <f t="shared" ca="1" si="1489"/>
        <v>6.25</v>
      </c>
      <c r="CS134" s="1461">
        <f t="shared" ca="1" si="1489"/>
        <v>6.25</v>
      </c>
      <c r="CT134" s="1461">
        <f t="shared" ca="1" si="1489"/>
        <v>6.25</v>
      </c>
      <c r="CU134" s="1461">
        <f t="shared" ca="1" si="1489"/>
        <v>6.25</v>
      </c>
      <c r="CV134" s="1461">
        <f t="shared" ca="1" si="1489"/>
        <v>6.25</v>
      </c>
      <c r="CW134" s="1461">
        <f t="shared" ca="1" si="1489"/>
        <v>6.25</v>
      </c>
      <c r="CX134" s="1461">
        <f t="shared" ca="1" si="1489"/>
        <v>6.25</v>
      </c>
      <c r="CY134" s="1461">
        <f t="shared" ca="1" si="1489"/>
        <v>6.25</v>
      </c>
      <c r="CZ134" s="1461">
        <f t="shared" ca="1" si="1489"/>
        <v>6.25</v>
      </c>
      <c r="DA134" s="1461">
        <f t="shared" ca="1" si="1489"/>
        <v>6.25</v>
      </c>
      <c r="DB134" s="41"/>
      <c r="DC134" s="1461">
        <f t="shared" ca="1" si="1490"/>
        <v>187.5</v>
      </c>
      <c r="DD134" s="1461">
        <f t="shared" ca="1" si="1490"/>
        <v>6.25</v>
      </c>
      <c r="DE134" s="1461">
        <f t="shared" ca="1" si="1490"/>
        <v>6.25</v>
      </c>
      <c r="DF134" s="1461">
        <f t="shared" ca="1" si="1490"/>
        <v>6.25</v>
      </c>
      <c r="DG134" s="1461">
        <f t="shared" ca="1" si="1490"/>
        <v>6.25</v>
      </c>
      <c r="DH134" s="1461">
        <f t="shared" ca="1" si="1490"/>
        <v>6.25</v>
      </c>
      <c r="DI134" s="1461">
        <f t="shared" ca="1" si="1490"/>
        <v>6.25</v>
      </c>
      <c r="DJ134" s="1461">
        <f t="shared" ca="1" si="1490"/>
        <v>6.25</v>
      </c>
      <c r="DK134" s="1461">
        <f t="shared" ca="1" si="1490"/>
        <v>6.25</v>
      </c>
      <c r="DL134" s="1461">
        <f t="shared" ca="1" si="1490"/>
        <v>6.25</v>
      </c>
      <c r="DM134" s="1461">
        <f t="shared" ca="1" si="1491"/>
        <v>6.25</v>
      </c>
      <c r="DN134" s="1461">
        <f t="shared" ca="1" si="1491"/>
        <v>6.25</v>
      </c>
      <c r="DO134" s="1461">
        <f t="shared" ca="1" si="1491"/>
        <v>6.25</v>
      </c>
      <c r="DP134" s="1461">
        <f t="shared" ca="1" si="1491"/>
        <v>6.25</v>
      </c>
      <c r="DQ134" s="1461">
        <f t="shared" ca="1" si="1491"/>
        <v>6.25</v>
      </c>
      <c r="DR134" s="1461">
        <f t="shared" ca="1" si="1491"/>
        <v>6.25</v>
      </c>
      <c r="DS134" s="1461">
        <f t="shared" ca="1" si="1491"/>
        <v>6.25</v>
      </c>
      <c r="DT134" s="1461">
        <f t="shared" ca="1" si="1491"/>
        <v>6.25</v>
      </c>
      <c r="DU134" s="1461">
        <f t="shared" ca="1" si="1491"/>
        <v>6.25</v>
      </c>
      <c r="DV134" s="1461">
        <f t="shared" ca="1" si="1491"/>
        <v>6.25</v>
      </c>
      <c r="DW134" s="1461">
        <f t="shared" ca="1" si="1492"/>
        <v>6.25</v>
      </c>
      <c r="DX134" s="1461">
        <f t="shared" ca="1" si="1492"/>
        <v>6.25</v>
      </c>
      <c r="DY134" s="1461">
        <f t="shared" ca="1" si="1492"/>
        <v>6.25</v>
      </c>
      <c r="DZ134" s="1461">
        <f t="shared" ca="1" si="1492"/>
        <v>6.25</v>
      </c>
      <c r="EA134" s="1461">
        <f t="shared" ca="1" si="1492"/>
        <v>6.25</v>
      </c>
      <c r="EB134" s="1461">
        <f t="shared" ca="1" si="1492"/>
        <v>6.25</v>
      </c>
      <c r="EC134" s="1461">
        <f t="shared" ca="1" si="1492"/>
        <v>6.25</v>
      </c>
      <c r="ED134" s="1461">
        <f t="shared" ca="1" si="1492"/>
        <v>6.25</v>
      </c>
      <c r="EE134" s="1461">
        <f t="shared" ca="1" si="1492"/>
        <v>6.25</v>
      </c>
      <c r="EF134" s="1461">
        <f t="shared" ca="1" si="1492"/>
        <v>6.25</v>
      </c>
      <c r="EG134" s="1461">
        <f t="shared" ca="1" si="1492"/>
        <v>6.25</v>
      </c>
    </row>
    <row r="135" spans="1:137">
      <c r="A135" s="595"/>
      <c r="B135" s="598"/>
      <c r="C135" s="599"/>
      <c r="D135" s="1552">
        <v>7</v>
      </c>
      <c r="E135" s="542" t="s">
        <v>260</v>
      </c>
      <c r="F135" s="52" t="s">
        <v>1410</v>
      </c>
      <c r="G135" s="62">
        <f t="shared" ca="1" si="1493"/>
        <v>1549.9999999999998</v>
      </c>
      <c r="H135" s="171"/>
      <c r="I135" s="1541"/>
      <c r="J135" s="15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  <c r="AL135" s="41"/>
      <c r="AM135" s="41"/>
      <c r="AN135" s="41"/>
      <c r="AO135" s="41"/>
      <c r="AP135" s="41"/>
      <c r="AQ135" s="1461">
        <f t="shared" si="1484"/>
        <v>0</v>
      </c>
      <c r="AR135" s="1461">
        <f t="shared" si="1484"/>
        <v>0</v>
      </c>
      <c r="AS135" s="1461">
        <f t="shared" si="1484"/>
        <v>0</v>
      </c>
      <c r="AT135" s="1461">
        <f t="shared" si="1484"/>
        <v>0</v>
      </c>
      <c r="AU135" s="1461">
        <f t="shared" si="1484"/>
        <v>0</v>
      </c>
      <c r="AV135" s="1461">
        <f t="shared" si="1484"/>
        <v>0</v>
      </c>
      <c r="AW135" s="1461">
        <f t="shared" si="1484"/>
        <v>0</v>
      </c>
      <c r="AX135" s="1461">
        <f t="shared" si="1484"/>
        <v>0</v>
      </c>
      <c r="AY135" s="1461">
        <f t="shared" si="1484"/>
        <v>0</v>
      </c>
      <c r="AZ135" s="1461">
        <f t="shared" si="1484"/>
        <v>0</v>
      </c>
      <c r="BA135" s="1461">
        <f t="shared" si="1485"/>
        <v>0</v>
      </c>
      <c r="BB135" s="1461">
        <f t="shared" si="1485"/>
        <v>0</v>
      </c>
      <c r="BC135" s="1461">
        <f t="shared" si="1485"/>
        <v>0</v>
      </c>
      <c r="BD135" s="1461">
        <f t="shared" si="1485"/>
        <v>0</v>
      </c>
      <c r="BE135" s="1461">
        <f t="shared" si="1485"/>
        <v>0</v>
      </c>
      <c r="BF135" s="1461">
        <f t="shared" si="1485"/>
        <v>0</v>
      </c>
      <c r="BG135" s="1461">
        <f t="shared" si="1485"/>
        <v>0</v>
      </c>
      <c r="BH135" s="1461">
        <f t="shared" si="1485"/>
        <v>0</v>
      </c>
      <c r="BI135" s="1461">
        <f t="shared" si="1485"/>
        <v>0</v>
      </c>
      <c r="BJ135" s="1461">
        <f t="shared" si="1485"/>
        <v>0</v>
      </c>
      <c r="BK135" s="1461">
        <f t="shared" si="1486"/>
        <v>0</v>
      </c>
      <c r="BL135" s="1461">
        <f t="shared" si="1486"/>
        <v>0</v>
      </c>
      <c r="BM135" s="1461">
        <f t="shared" si="1486"/>
        <v>0</v>
      </c>
      <c r="BN135" s="1461">
        <f t="shared" si="1486"/>
        <v>0</v>
      </c>
      <c r="BO135" s="1461">
        <f t="shared" si="1486"/>
        <v>0</v>
      </c>
      <c r="BP135" s="1461">
        <f t="shared" si="1486"/>
        <v>0</v>
      </c>
      <c r="BQ135" s="1461">
        <f t="shared" si="1486"/>
        <v>0</v>
      </c>
      <c r="BR135" s="1461">
        <f t="shared" si="1486"/>
        <v>0</v>
      </c>
      <c r="BS135" s="1461">
        <f t="shared" si="1486"/>
        <v>0</v>
      </c>
      <c r="BT135" s="1461">
        <f t="shared" si="1486"/>
        <v>0</v>
      </c>
      <c r="BU135" s="1461">
        <f t="shared" si="1486"/>
        <v>0</v>
      </c>
      <c r="BV135" s="63"/>
      <c r="BW135" s="1461">
        <f t="shared" ca="1" si="1487"/>
        <v>1549.9999999999998</v>
      </c>
      <c r="BX135" s="1461">
        <f t="shared" ca="1" si="1487"/>
        <v>51.666666666666671</v>
      </c>
      <c r="BY135" s="1461">
        <f t="shared" ca="1" si="1487"/>
        <v>51.666666666666671</v>
      </c>
      <c r="BZ135" s="1461">
        <f t="shared" ca="1" si="1487"/>
        <v>51.666666666666671</v>
      </c>
      <c r="CA135" s="1461">
        <f t="shared" ca="1" si="1487"/>
        <v>51.666666666666671</v>
      </c>
      <c r="CB135" s="1461">
        <f t="shared" ca="1" si="1487"/>
        <v>51.666666666666671</v>
      </c>
      <c r="CC135" s="1461">
        <f t="shared" ca="1" si="1487"/>
        <v>51.666666666666671</v>
      </c>
      <c r="CD135" s="1461">
        <f t="shared" ca="1" si="1487"/>
        <v>51.666666666666671</v>
      </c>
      <c r="CE135" s="1461">
        <f t="shared" ca="1" si="1487"/>
        <v>51.666666666666671</v>
      </c>
      <c r="CF135" s="1461">
        <f t="shared" ca="1" si="1487"/>
        <v>51.666666666666671</v>
      </c>
      <c r="CG135" s="1461">
        <f t="shared" ca="1" si="1488"/>
        <v>51.666666666666671</v>
      </c>
      <c r="CH135" s="1461">
        <f t="shared" ca="1" si="1488"/>
        <v>51.666666666666671</v>
      </c>
      <c r="CI135" s="1461">
        <f t="shared" ca="1" si="1488"/>
        <v>51.666666666666671</v>
      </c>
      <c r="CJ135" s="1461">
        <f t="shared" ca="1" si="1488"/>
        <v>51.666666666666671</v>
      </c>
      <c r="CK135" s="1461">
        <f t="shared" ca="1" si="1488"/>
        <v>51.666666666666671</v>
      </c>
      <c r="CL135" s="1461">
        <f t="shared" ca="1" si="1488"/>
        <v>51.666666666666671</v>
      </c>
      <c r="CM135" s="1461">
        <f t="shared" ca="1" si="1488"/>
        <v>51.666666666666671</v>
      </c>
      <c r="CN135" s="1461">
        <f t="shared" ca="1" si="1488"/>
        <v>51.666666666666671</v>
      </c>
      <c r="CO135" s="1461">
        <f t="shared" ca="1" si="1488"/>
        <v>51.666666666666671</v>
      </c>
      <c r="CP135" s="1461">
        <f t="shared" ca="1" si="1488"/>
        <v>51.666666666666671</v>
      </c>
      <c r="CQ135" s="1461">
        <f t="shared" ca="1" si="1489"/>
        <v>51.666666666666671</v>
      </c>
      <c r="CR135" s="1461">
        <f t="shared" ca="1" si="1489"/>
        <v>51.666666666666671</v>
      </c>
      <c r="CS135" s="1461">
        <f t="shared" ca="1" si="1489"/>
        <v>51.666666666666671</v>
      </c>
      <c r="CT135" s="1461">
        <f t="shared" ca="1" si="1489"/>
        <v>51.666666666666671</v>
      </c>
      <c r="CU135" s="1461">
        <f t="shared" ca="1" si="1489"/>
        <v>51.666666666666671</v>
      </c>
      <c r="CV135" s="1461">
        <f t="shared" ca="1" si="1489"/>
        <v>51.666666666666671</v>
      </c>
      <c r="CW135" s="1461">
        <f t="shared" ca="1" si="1489"/>
        <v>51.666666666666671</v>
      </c>
      <c r="CX135" s="1461">
        <f t="shared" ca="1" si="1489"/>
        <v>51.666666666666671</v>
      </c>
      <c r="CY135" s="1461">
        <f t="shared" ca="1" si="1489"/>
        <v>51.666666666666671</v>
      </c>
      <c r="CZ135" s="1461">
        <f t="shared" ca="1" si="1489"/>
        <v>51.666666666666671</v>
      </c>
      <c r="DA135" s="1461">
        <f t="shared" ca="1" si="1489"/>
        <v>51.666666666666671</v>
      </c>
      <c r="DB135" s="41"/>
      <c r="DC135" s="1461">
        <f t="shared" ca="1" si="1490"/>
        <v>1549.9999999999998</v>
      </c>
      <c r="DD135" s="1461">
        <f t="shared" ca="1" si="1490"/>
        <v>51.666666666666671</v>
      </c>
      <c r="DE135" s="1461">
        <f t="shared" ca="1" si="1490"/>
        <v>51.666666666666671</v>
      </c>
      <c r="DF135" s="1461">
        <f t="shared" ca="1" si="1490"/>
        <v>51.666666666666671</v>
      </c>
      <c r="DG135" s="1461">
        <f t="shared" ca="1" si="1490"/>
        <v>51.666666666666671</v>
      </c>
      <c r="DH135" s="1461">
        <f t="shared" ca="1" si="1490"/>
        <v>51.666666666666671</v>
      </c>
      <c r="DI135" s="1461">
        <f t="shared" ca="1" si="1490"/>
        <v>51.666666666666671</v>
      </c>
      <c r="DJ135" s="1461">
        <f t="shared" ca="1" si="1490"/>
        <v>51.666666666666671</v>
      </c>
      <c r="DK135" s="1461">
        <f t="shared" ca="1" si="1490"/>
        <v>51.666666666666671</v>
      </c>
      <c r="DL135" s="1461">
        <f t="shared" ca="1" si="1490"/>
        <v>51.666666666666671</v>
      </c>
      <c r="DM135" s="1461">
        <f t="shared" ca="1" si="1491"/>
        <v>51.666666666666671</v>
      </c>
      <c r="DN135" s="1461">
        <f t="shared" ca="1" si="1491"/>
        <v>51.666666666666671</v>
      </c>
      <c r="DO135" s="1461">
        <f t="shared" ca="1" si="1491"/>
        <v>51.666666666666671</v>
      </c>
      <c r="DP135" s="1461">
        <f t="shared" ca="1" si="1491"/>
        <v>51.666666666666671</v>
      </c>
      <c r="DQ135" s="1461">
        <f t="shared" ca="1" si="1491"/>
        <v>51.666666666666671</v>
      </c>
      <c r="DR135" s="1461">
        <f t="shared" ca="1" si="1491"/>
        <v>51.666666666666671</v>
      </c>
      <c r="DS135" s="1461">
        <f t="shared" ca="1" si="1491"/>
        <v>51.666666666666671</v>
      </c>
      <c r="DT135" s="1461">
        <f t="shared" ca="1" si="1491"/>
        <v>51.666666666666671</v>
      </c>
      <c r="DU135" s="1461">
        <f t="shared" ca="1" si="1491"/>
        <v>51.666666666666671</v>
      </c>
      <c r="DV135" s="1461">
        <f t="shared" ca="1" si="1491"/>
        <v>51.666666666666671</v>
      </c>
      <c r="DW135" s="1461">
        <f t="shared" ca="1" si="1492"/>
        <v>51.666666666666671</v>
      </c>
      <c r="DX135" s="1461">
        <f t="shared" ca="1" si="1492"/>
        <v>51.666666666666671</v>
      </c>
      <c r="DY135" s="1461">
        <f t="shared" ca="1" si="1492"/>
        <v>51.666666666666671</v>
      </c>
      <c r="DZ135" s="1461">
        <f t="shared" ca="1" si="1492"/>
        <v>51.666666666666671</v>
      </c>
      <c r="EA135" s="1461">
        <f t="shared" ca="1" si="1492"/>
        <v>51.666666666666671</v>
      </c>
      <c r="EB135" s="1461">
        <f t="shared" ca="1" si="1492"/>
        <v>51.666666666666671</v>
      </c>
      <c r="EC135" s="1461">
        <f t="shared" ca="1" si="1492"/>
        <v>51.666666666666671</v>
      </c>
      <c r="ED135" s="1461">
        <f t="shared" ca="1" si="1492"/>
        <v>51.666666666666671</v>
      </c>
      <c r="EE135" s="1461">
        <f t="shared" ca="1" si="1492"/>
        <v>51.666666666666671</v>
      </c>
      <c r="EF135" s="1461">
        <f t="shared" ca="1" si="1492"/>
        <v>51.666666666666671</v>
      </c>
      <c r="EG135" s="1461">
        <f t="shared" ca="1" si="1492"/>
        <v>51.666666666666671</v>
      </c>
    </row>
    <row r="136" spans="1:137">
      <c r="A136" s="595"/>
      <c r="B136" s="598"/>
      <c r="C136" s="599"/>
      <c r="D136" s="1552">
        <v>8</v>
      </c>
      <c r="E136" s="542" t="s">
        <v>261</v>
      </c>
      <c r="F136" s="52" t="s">
        <v>1411</v>
      </c>
      <c r="G136" s="62">
        <f t="shared" ca="1" si="1493"/>
        <v>480</v>
      </c>
      <c r="H136" s="171"/>
      <c r="I136" s="1541"/>
      <c r="J136" s="15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  <c r="AL136" s="41"/>
      <c r="AM136" s="41"/>
      <c r="AN136" s="41"/>
      <c r="AO136" s="41"/>
      <c r="AP136" s="41"/>
      <c r="AQ136" s="1461">
        <f t="shared" si="1484"/>
        <v>0</v>
      </c>
      <c r="AR136" s="1461">
        <f t="shared" si="1484"/>
        <v>0</v>
      </c>
      <c r="AS136" s="1461">
        <f t="shared" si="1484"/>
        <v>0</v>
      </c>
      <c r="AT136" s="1461">
        <f t="shared" si="1484"/>
        <v>0</v>
      </c>
      <c r="AU136" s="1461">
        <f t="shared" si="1484"/>
        <v>0</v>
      </c>
      <c r="AV136" s="1461">
        <f t="shared" si="1484"/>
        <v>0</v>
      </c>
      <c r="AW136" s="1461">
        <f t="shared" si="1484"/>
        <v>0</v>
      </c>
      <c r="AX136" s="1461">
        <f t="shared" si="1484"/>
        <v>0</v>
      </c>
      <c r="AY136" s="1461">
        <f t="shared" si="1484"/>
        <v>0</v>
      </c>
      <c r="AZ136" s="1461">
        <f t="shared" si="1484"/>
        <v>0</v>
      </c>
      <c r="BA136" s="1461">
        <f t="shared" si="1485"/>
        <v>0</v>
      </c>
      <c r="BB136" s="1461">
        <f t="shared" si="1485"/>
        <v>0</v>
      </c>
      <c r="BC136" s="1461">
        <f t="shared" si="1485"/>
        <v>0</v>
      </c>
      <c r="BD136" s="1461">
        <f t="shared" si="1485"/>
        <v>0</v>
      </c>
      <c r="BE136" s="1461">
        <f t="shared" si="1485"/>
        <v>0</v>
      </c>
      <c r="BF136" s="1461">
        <f t="shared" si="1485"/>
        <v>0</v>
      </c>
      <c r="BG136" s="1461">
        <f t="shared" si="1485"/>
        <v>0</v>
      </c>
      <c r="BH136" s="1461">
        <f t="shared" si="1485"/>
        <v>0</v>
      </c>
      <c r="BI136" s="1461">
        <f t="shared" si="1485"/>
        <v>0</v>
      </c>
      <c r="BJ136" s="1461">
        <f t="shared" si="1485"/>
        <v>0</v>
      </c>
      <c r="BK136" s="1461">
        <f t="shared" si="1486"/>
        <v>0</v>
      </c>
      <c r="BL136" s="1461">
        <f t="shared" si="1486"/>
        <v>0</v>
      </c>
      <c r="BM136" s="1461">
        <f t="shared" si="1486"/>
        <v>0</v>
      </c>
      <c r="BN136" s="1461">
        <f t="shared" si="1486"/>
        <v>0</v>
      </c>
      <c r="BO136" s="1461">
        <f t="shared" si="1486"/>
        <v>0</v>
      </c>
      <c r="BP136" s="1461">
        <f t="shared" si="1486"/>
        <v>0</v>
      </c>
      <c r="BQ136" s="1461">
        <f t="shared" si="1486"/>
        <v>0</v>
      </c>
      <c r="BR136" s="1461">
        <f t="shared" si="1486"/>
        <v>0</v>
      </c>
      <c r="BS136" s="1461">
        <f t="shared" si="1486"/>
        <v>0</v>
      </c>
      <c r="BT136" s="1461">
        <f t="shared" si="1486"/>
        <v>0</v>
      </c>
      <c r="BU136" s="1461">
        <f t="shared" si="1486"/>
        <v>0</v>
      </c>
      <c r="BV136" s="63"/>
      <c r="BW136" s="1461">
        <f t="shared" ca="1" si="1487"/>
        <v>480</v>
      </c>
      <c r="BX136" s="1461">
        <f t="shared" ca="1" si="1487"/>
        <v>16</v>
      </c>
      <c r="BY136" s="1461">
        <f t="shared" ca="1" si="1487"/>
        <v>16</v>
      </c>
      <c r="BZ136" s="1461">
        <f t="shared" ca="1" si="1487"/>
        <v>16</v>
      </c>
      <c r="CA136" s="1461">
        <f t="shared" ca="1" si="1487"/>
        <v>16</v>
      </c>
      <c r="CB136" s="1461">
        <f t="shared" ca="1" si="1487"/>
        <v>16</v>
      </c>
      <c r="CC136" s="1461">
        <f t="shared" ca="1" si="1487"/>
        <v>16</v>
      </c>
      <c r="CD136" s="1461">
        <f t="shared" ca="1" si="1487"/>
        <v>16</v>
      </c>
      <c r="CE136" s="1461">
        <f t="shared" ca="1" si="1487"/>
        <v>16</v>
      </c>
      <c r="CF136" s="1461">
        <f t="shared" ca="1" si="1487"/>
        <v>16</v>
      </c>
      <c r="CG136" s="1461">
        <f t="shared" ca="1" si="1488"/>
        <v>16</v>
      </c>
      <c r="CH136" s="1461">
        <f t="shared" ca="1" si="1488"/>
        <v>16</v>
      </c>
      <c r="CI136" s="1461">
        <f t="shared" ca="1" si="1488"/>
        <v>16</v>
      </c>
      <c r="CJ136" s="1461">
        <f t="shared" ca="1" si="1488"/>
        <v>16</v>
      </c>
      <c r="CK136" s="1461">
        <f t="shared" ca="1" si="1488"/>
        <v>16</v>
      </c>
      <c r="CL136" s="1461">
        <f t="shared" ca="1" si="1488"/>
        <v>16</v>
      </c>
      <c r="CM136" s="1461">
        <f t="shared" ca="1" si="1488"/>
        <v>16</v>
      </c>
      <c r="CN136" s="1461">
        <f t="shared" ca="1" si="1488"/>
        <v>16</v>
      </c>
      <c r="CO136" s="1461">
        <f t="shared" ca="1" si="1488"/>
        <v>16</v>
      </c>
      <c r="CP136" s="1461">
        <f t="shared" ca="1" si="1488"/>
        <v>16</v>
      </c>
      <c r="CQ136" s="1461">
        <f t="shared" ca="1" si="1489"/>
        <v>16</v>
      </c>
      <c r="CR136" s="1461">
        <f t="shared" ca="1" si="1489"/>
        <v>16</v>
      </c>
      <c r="CS136" s="1461">
        <f t="shared" ca="1" si="1489"/>
        <v>16</v>
      </c>
      <c r="CT136" s="1461">
        <f t="shared" ca="1" si="1489"/>
        <v>16</v>
      </c>
      <c r="CU136" s="1461">
        <f t="shared" ca="1" si="1489"/>
        <v>16</v>
      </c>
      <c r="CV136" s="1461">
        <f t="shared" ca="1" si="1489"/>
        <v>16</v>
      </c>
      <c r="CW136" s="1461">
        <f t="shared" ca="1" si="1489"/>
        <v>16</v>
      </c>
      <c r="CX136" s="1461">
        <f t="shared" ca="1" si="1489"/>
        <v>16</v>
      </c>
      <c r="CY136" s="1461">
        <f t="shared" ca="1" si="1489"/>
        <v>16</v>
      </c>
      <c r="CZ136" s="1461">
        <f t="shared" ca="1" si="1489"/>
        <v>16</v>
      </c>
      <c r="DA136" s="1461">
        <f t="shared" ca="1" si="1489"/>
        <v>16</v>
      </c>
      <c r="DB136" s="41"/>
      <c r="DC136" s="1461">
        <f t="shared" ca="1" si="1490"/>
        <v>480</v>
      </c>
      <c r="DD136" s="1461">
        <f t="shared" ca="1" si="1490"/>
        <v>16</v>
      </c>
      <c r="DE136" s="1461">
        <f t="shared" ca="1" si="1490"/>
        <v>16</v>
      </c>
      <c r="DF136" s="1461">
        <f t="shared" ca="1" si="1490"/>
        <v>16</v>
      </c>
      <c r="DG136" s="1461">
        <f t="shared" ca="1" si="1490"/>
        <v>16</v>
      </c>
      <c r="DH136" s="1461">
        <f t="shared" ca="1" si="1490"/>
        <v>16</v>
      </c>
      <c r="DI136" s="1461">
        <f t="shared" ca="1" si="1490"/>
        <v>16</v>
      </c>
      <c r="DJ136" s="1461">
        <f t="shared" ca="1" si="1490"/>
        <v>16</v>
      </c>
      <c r="DK136" s="1461">
        <f t="shared" ca="1" si="1490"/>
        <v>16</v>
      </c>
      <c r="DL136" s="1461">
        <f t="shared" ca="1" si="1490"/>
        <v>16</v>
      </c>
      <c r="DM136" s="1461">
        <f t="shared" ca="1" si="1491"/>
        <v>16</v>
      </c>
      <c r="DN136" s="1461">
        <f t="shared" ca="1" si="1491"/>
        <v>16</v>
      </c>
      <c r="DO136" s="1461">
        <f t="shared" ca="1" si="1491"/>
        <v>16</v>
      </c>
      <c r="DP136" s="1461">
        <f t="shared" ca="1" si="1491"/>
        <v>16</v>
      </c>
      <c r="DQ136" s="1461">
        <f t="shared" ca="1" si="1491"/>
        <v>16</v>
      </c>
      <c r="DR136" s="1461">
        <f t="shared" ca="1" si="1491"/>
        <v>16</v>
      </c>
      <c r="DS136" s="1461">
        <f t="shared" ca="1" si="1491"/>
        <v>16</v>
      </c>
      <c r="DT136" s="1461">
        <f t="shared" ca="1" si="1491"/>
        <v>16</v>
      </c>
      <c r="DU136" s="1461">
        <f t="shared" ca="1" si="1491"/>
        <v>16</v>
      </c>
      <c r="DV136" s="1461">
        <f t="shared" ca="1" si="1491"/>
        <v>16</v>
      </c>
      <c r="DW136" s="1461">
        <f t="shared" ca="1" si="1492"/>
        <v>16</v>
      </c>
      <c r="DX136" s="1461">
        <f t="shared" ca="1" si="1492"/>
        <v>16</v>
      </c>
      <c r="DY136" s="1461">
        <f t="shared" ca="1" si="1492"/>
        <v>16</v>
      </c>
      <c r="DZ136" s="1461">
        <f t="shared" ca="1" si="1492"/>
        <v>16</v>
      </c>
      <c r="EA136" s="1461">
        <f t="shared" ca="1" si="1492"/>
        <v>16</v>
      </c>
      <c r="EB136" s="1461">
        <f t="shared" ca="1" si="1492"/>
        <v>16</v>
      </c>
      <c r="EC136" s="1461">
        <f t="shared" ca="1" si="1492"/>
        <v>16</v>
      </c>
      <c r="ED136" s="1461">
        <f t="shared" ca="1" si="1492"/>
        <v>16</v>
      </c>
      <c r="EE136" s="1461">
        <f t="shared" ca="1" si="1492"/>
        <v>16</v>
      </c>
      <c r="EF136" s="1461">
        <f t="shared" ca="1" si="1492"/>
        <v>16</v>
      </c>
      <c r="EG136" s="1461">
        <f t="shared" ca="1" si="1492"/>
        <v>16</v>
      </c>
    </row>
    <row r="137" spans="1:137">
      <c r="A137" s="595"/>
      <c r="B137" s="598"/>
      <c r="C137" s="599"/>
      <c r="D137" s="1552">
        <v>9</v>
      </c>
      <c r="E137" s="542" t="s">
        <v>262</v>
      </c>
      <c r="F137" s="52" t="s">
        <v>1412</v>
      </c>
      <c r="G137" s="62">
        <f t="shared" si="1493"/>
        <v>0</v>
      </c>
      <c r="H137" s="171"/>
      <c r="I137" s="1541"/>
      <c r="J137" s="15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41"/>
      <c r="AL137" s="41"/>
      <c r="AM137" s="41"/>
      <c r="AN137" s="41"/>
      <c r="AO137" s="41"/>
      <c r="AP137" s="41"/>
      <c r="AQ137" s="1461">
        <f t="shared" si="1484"/>
        <v>0</v>
      </c>
      <c r="AR137" s="1461">
        <f t="shared" si="1484"/>
        <v>0</v>
      </c>
      <c r="AS137" s="1461">
        <f t="shared" si="1484"/>
        <v>0</v>
      </c>
      <c r="AT137" s="1461">
        <f t="shared" si="1484"/>
        <v>0</v>
      </c>
      <c r="AU137" s="1461">
        <f t="shared" si="1484"/>
        <v>0</v>
      </c>
      <c r="AV137" s="1461">
        <f t="shared" si="1484"/>
        <v>0</v>
      </c>
      <c r="AW137" s="1461">
        <f t="shared" si="1484"/>
        <v>0</v>
      </c>
      <c r="AX137" s="1461">
        <f t="shared" si="1484"/>
        <v>0</v>
      </c>
      <c r="AY137" s="1461">
        <f t="shared" si="1484"/>
        <v>0</v>
      </c>
      <c r="AZ137" s="1461">
        <f t="shared" si="1484"/>
        <v>0</v>
      </c>
      <c r="BA137" s="1461">
        <f t="shared" si="1485"/>
        <v>0</v>
      </c>
      <c r="BB137" s="1461">
        <f t="shared" si="1485"/>
        <v>0</v>
      </c>
      <c r="BC137" s="1461">
        <f t="shared" si="1485"/>
        <v>0</v>
      </c>
      <c r="BD137" s="1461">
        <f t="shared" si="1485"/>
        <v>0</v>
      </c>
      <c r="BE137" s="1461">
        <f t="shared" si="1485"/>
        <v>0</v>
      </c>
      <c r="BF137" s="1461">
        <f t="shared" si="1485"/>
        <v>0</v>
      </c>
      <c r="BG137" s="1461">
        <f t="shared" si="1485"/>
        <v>0</v>
      </c>
      <c r="BH137" s="1461">
        <f t="shared" si="1485"/>
        <v>0</v>
      </c>
      <c r="BI137" s="1461">
        <f t="shared" si="1485"/>
        <v>0</v>
      </c>
      <c r="BJ137" s="1461">
        <f t="shared" si="1485"/>
        <v>0</v>
      </c>
      <c r="BK137" s="1461">
        <f t="shared" si="1486"/>
        <v>0</v>
      </c>
      <c r="BL137" s="1461">
        <f t="shared" si="1486"/>
        <v>0</v>
      </c>
      <c r="BM137" s="1461">
        <f t="shared" si="1486"/>
        <v>0</v>
      </c>
      <c r="BN137" s="1461">
        <f t="shared" si="1486"/>
        <v>0</v>
      </c>
      <c r="BO137" s="1461">
        <f t="shared" si="1486"/>
        <v>0</v>
      </c>
      <c r="BP137" s="1461">
        <f t="shared" si="1486"/>
        <v>0</v>
      </c>
      <c r="BQ137" s="1461">
        <f t="shared" si="1486"/>
        <v>0</v>
      </c>
      <c r="BR137" s="1461">
        <f t="shared" si="1486"/>
        <v>0</v>
      </c>
      <c r="BS137" s="1461">
        <f t="shared" si="1486"/>
        <v>0</v>
      </c>
      <c r="BT137" s="1461">
        <f t="shared" si="1486"/>
        <v>0</v>
      </c>
      <c r="BU137" s="1461">
        <f t="shared" si="1486"/>
        <v>0</v>
      </c>
      <c r="BV137" s="63"/>
      <c r="BW137" s="1461">
        <f t="shared" si="1487"/>
        <v>0</v>
      </c>
      <c r="BX137" s="1461">
        <f t="shared" si="1487"/>
        <v>0</v>
      </c>
      <c r="BY137" s="1461">
        <f t="shared" si="1487"/>
        <v>0</v>
      </c>
      <c r="BZ137" s="1461">
        <f t="shared" si="1487"/>
        <v>0</v>
      </c>
      <c r="CA137" s="1461">
        <f t="shared" si="1487"/>
        <v>0</v>
      </c>
      <c r="CB137" s="1461">
        <f t="shared" si="1487"/>
        <v>0</v>
      </c>
      <c r="CC137" s="1461">
        <f t="shared" si="1487"/>
        <v>0</v>
      </c>
      <c r="CD137" s="1461">
        <f t="shared" si="1487"/>
        <v>0</v>
      </c>
      <c r="CE137" s="1461">
        <f t="shared" si="1487"/>
        <v>0</v>
      </c>
      <c r="CF137" s="1461">
        <f t="shared" si="1487"/>
        <v>0</v>
      </c>
      <c r="CG137" s="1461">
        <f t="shared" si="1488"/>
        <v>0</v>
      </c>
      <c r="CH137" s="1461">
        <f t="shared" si="1488"/>
        <v>0</v>
      </c>
      <c r="CI137" s="1461">
        <f t="shared" si="1488"/>
        <v>0</v>
      </c>
      <c r="CJ137" s="1461">
        <f t="shared" si="1488"/>
        <v>0</v>
      </c>
      <c r="CK137" s="1461">
        <f t="shared" si="1488"/>
        <v>0</v>
      </c>
      <c r="CL137" s="1461">
        <f t="shared" si="1488"/>
        <v>0</v>
      </c>
      <c r="CM137" s="1461">
        <f t="shared" si="1488"/>
        <v>0</v>
      </c>
      <c r="CN137" s="1461">
        <f t="shared" si="1488"/>
        <v>0</v>
      </c>
      <c r="CO137" s="1461">
        <f t="shared" si="1488"/>
        <v>0</v>
      </c>
      <c r="CP137" s="1461">
        <f t="shared" si="1488"/>
        <v>0</v>
      </c>
      <c r="CQ137" s="1461">
        <f t="shared" si="1489"/>
        <v>0</v>
      </c>
      <c r="CR137" s="1461">
        <f t="shared" si="1489"/>
        <v>0</v>
      </c>
      <c r="CS137" s="1461">
        <f t="shared" si="1489"/>
        <v>0</v>
      </c>
      <c r="CT137" s="1461">
        <f t="shared" si="1489"/>
        <v>0</v>
      </c>
      <c r="CU137" s="1461">
        <f t="shared" si="1489"/>
        <v>0</v>
      </c>
      <c r="CV137" s="1461">
        <f t="shared" si="1489"/>
        <v>0</v>
      </c>
      <c r="CW137" s="1461">
        <f t="shared" si="1489"/>
        <v>0</v>
      </c>
      <c r="CX137" s="1461">
        <f t="shared" si="1489"/>
        <v>0</v>
      </c>
      <c r="CY137" s="1461">
        <f t="shared" si="1489"/>
        <v>0</v>
      </c>
      <c r="CZ137" s="1461">
        <f t="shared" si="1489"/>
        <v>0</v>
      </c>
      <c r="DA137" s="1461">
        <f t="shared" si="1489"/>
        <v>0</v>
      </c>
      <c r="DB137" s="41"/>
      <c r="DC137" s="1461">
        <f t="shared" si="1490"/>
        <v>0</v>
      </c>
      <c r="DD137" s="1461">
        <f t="shared" si="1490"/>
        <v>0</v>
      </c>
      <c r="DE137" s="1461">
        <f t="shared" si="1490"/>
        <v>0</v>
      </c>
      <c r="DF137" s="1461">
        <f t="shared" si="1490"/>
        <v>0</v>
      </c>
      <c r="DG137" s="1461">
        <f t="shared" si="1490"/>
        <v>0</v>
      </c>
      <c r="DH137" s="1461">
        <f t="shared" si="1490"/>
        <v>0</v>
      </c>
      <c r="DI137" s="1461">
        <f t="shared" si="1490"/>
        <v>0</v>
      </c>
      <c r="DJ137" s="1461">
        <f t="shared" si="1490"/>
        <v>0</v>
      </c>
      <c r="DK137" s="1461">
        <f t="shared" si="1490"/>
        <v>0</v>
      </c>
      <c r="DL137" s="1461">
        <f t="shared" si="1490"/>
        <v>0</v>
      </c>
      <c r="DM137" s="1461">
        <f t="shared" si="1491"/>
        <v>0</v>
      </c>
      <c r="DN137" s="1461">
        <f t="shared" si="1491"/>
        <v>0</v>
      </c>
      <c r="DO137" s="1461">
        <f t="shared" si="1491"/>
        <v>0</v>
      </c>
      <c r="DP137" s="1461">
        <f t="shared" si="1491"/>
        <v>0</v>
      </c>
      <c r="DQ137" s="1461">
        <f t="shared" si="1491"/>
        <v>0</v>
      </c>
      <c r="DR137" s="1461">
        <f t="shared" si="1491"/>
        <v>0</v>
      </c>
      <c r="DS137" s="1461">
        <f t="shared" si="1491"/>
        <v>0</v>
      </c>
      <c r="DT137" s="1461">
        <f t="shared" si="1491"/>
        <v>0</v>
      </c>
      <c r="DU137" s="1461">
        <f t="shared" si="1491"/>
        <v>0</v>
      </c>
      <c r="DV137" s="1461">
        <f t="shared" si="1491"/>
        <v>0</v>
      </c>
      <c r="DW137" s="1461">
        <f t="shared" si="1492"/>
        <v>0</v>
      </c>
      <c r="DX137" s="1461">
        <f t="shared" si="1492"/>
        <v>0</v>
      </c>
      <c r="DY137" s="1461">
        <f t="shared" si="1492"/>
        <v>0</v>
      </c>
      <c r="DZ137" s="1461">
        <f t="shared" si="1492"/>
        <v>0</v>
      </c>
      <c r="EA137" s="1461">
        <f t="shared" si="1492"/>
        <v>0</v>
      </c>
      <c r="EB137" s="1461">
        <f t="shared" si="1492"/>
        <v>0</v>
      </c>
      <c r="EC137" s="1461">
        <f t="shared" si="1492"/>
        <v>0</v>
      </c>
      <c r="ED137" s="1461">
        <f t="shared" si="1492"/>
        <v>0</v>
      </c>
      <c r="EE137" s="1461">
        <f t="shared" si="1492"/>
        <v>0</v>
      </c>
      <c r="EF137" s="1461">
        <f t="shared" si="1492"/>
        <v>0</v>
      </c>
      <c r="EG137" s="1461">
        <f t="shared" si="1492"/>
        <v>0</v>
      </c>
    </row>
    <row r="138" spans="1:137">
      <c r="A138" s="595"/>
      <c r="B138" s="598"/>
      <c r="C138" s="599"/>
      <c r="D138" s="1552">
        <v>10</v>
      </c>
      <c r="E138" s="542" t="s">
        <v>263</v>
      </c>
      <c r="F138" s="52" t="s">
        <v>1413</v>
      </c>
      <c r="G138" s="62">
        <f t="shared" si="1493"/>
        <v>0</v>
      </c>
      <c r="H138" s="171"/>
      <c r="I138" s="1541"/>
      <c r="J138" s="15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41"/>
      <c r="AL138" s="41"/>
      <c r="AM138" s="41"/>
      <c r="AN138" s="41"/>
      <c r="AO138" s="41"/>
      <c r="AP138" s="41"/>
      <c r="AQ138" s="1461">
        <f t="shared" si="1484"/>
        <v>0</v>
      </c>
      <c r="AR138" s="1461">
        <f t="shared" si="1484"/>
        <v>0</v>
      </c>
      <c r="AS138" s="1461">
        <f t="shared" si="1484"/>
        <v>0</v>
      </c>
      <c r="AT138" s="1461">
        <f t="shared" si="1484"/>
        <v>0</v>
      </c>
      <c r="AU138" s="1461">
        <f t="shared" si="1484"/>
        <v>0</v>
      </c>
      <c r="AV138" s="1461">
        <f t="shared" si="1484"/>
        <v>0</v>
      </c>
      <c r="AW138" s="1461">
        <f t="shared" si="1484"/>
        <v>0</v>
      </c>
      <c r="AX138" s="1461">
        <f t="shared" si="1484"/>
        <v>0</v>
      </c>
      <c r="AY138" s="1461">
        <f t="shared" si="1484"/>
        <v>0</v>
      </c>
      <c r="AZ138" s="1461">
        <f t="shared" si="1484"/>
        <v>0</v>
      </c>
      <c r="BA138" s="1461">
        <f t="shared" si="1485"/>
        <v>0</v>
      </c>
      <c r="BB138" s="1461">
        <f t="shared" si="1485"/>
        <v>0</v>
      </c>
      <c r="BC138" s="1461">
        <f t="shared" si="1485"/>
        <v>0</v>
      </c>
      <c r="BD138" s="1461">
        <f t="shared" si="1485"/>
        <v>0</v>
      </c>
      <c r="BE138" s="1461">
        <f t="shared" si="1485"/>
        <v>0</v>
      </c>
      <c r="BF138" s="1461">
        <f t="shared" si="1485"/>
        <v>0</v>
      </c>
      <c r="BG138" s="1461">
        <f t="shared" si="1485"/>
        <v>0</v>
      </c>
      <c r="BH138" s="1461">
        <f t="shared" si="1485"/>
        <v>0</v>
      </c>
      <c r="BI138" s="1461">
        <f t="shared" si="1485"/>
        <v>0</v>
      </c>
      <c r="BJ138" s="1461">
        <f t="shared" si="1485"/>
        <v>0</v>
      </c>
      <c r="BK138" s="1461">
        <f t="shared" si="1486"/>
        <v>0</v>
      </c>
      <c r="BL138" s="1461">
        <f t="shared" si="1486"/>
        <v>0</v>
      </c>
      <c r="BM138" s="1461">
        <f t="shared" si="1486"/>
        <v>0</v>
      </c>
      <c r="BN138" s="1461">
        <f t="shared" si="1486"/>
        <v>0</v>
      </c>
      <c r="BO138" s="1461">
        <f t="shared" si="1486"/>
        <v>0</v>
      </c>
      <c r="BP138" s="1461">
        <f t="shared" si="1486"/>
        <v>0</v>
      </c>
      <c r="BQ138" s="1461">
        <f t="shared" si="1486"/>
        <v>0</v>
      </c>
      <c r="BR138" s="1461">
        <f t="shared" si="1486"/>
        <v>0</v>
      </c>
      <c r="BS138" s="1461">
        <f t="shared" si="1486"/>
        <v>0</v>
      </c>
      <c r="BT138" s="1461">
        <f t="shared" si="1486"/>
        <v>0</v>
      </c>
      <c r="BU138" s="1461">
        <f t="shared" si="1486"/>
        <v>0</v>
      </c>
      <c r="BV138" s="63"/>
      <c r="BW138" s="1461">
        <f t="shared" si="1487"/>
        <v>0</v>
      </c>
      <c r="BX138" s="1461">
        <f t="shared" si="1487"/>
        <v>0</v>
      </c>
      <c r="BY138" s="1461">
        <f t="shared" si="1487"/>
        <v>0</v>
      </c>
      <c r="BZ138" s="1461">
        <f t="shared" si="1487"/>
        <v>0</v>
      </c>
      <c r="CA138" s="1461">
        <f t="shared" si="1487"/>
        <v>0</v>
      </c>
      <c r="CB138" s="1461">
        <f t="shared" si="1487"/>
        <v>0</v>
      </c>
      <c r="CC138" s="1461">
        <f t="shared" si="1487"/>
        <v>0</v>
      </c>
      <c r="CD138" s="1461">
        <f t="shared" si="1487"/>
        <v>0</v>
      </c>
      <c r="CE138" s="1461">
        <f t="shared" si="1487"/>
        <v>0</v>
      </c>
      <c r="CF138" s="1461">
        <f t="shared" si="1487"/>
        <v>0</v>
      </c>
      <c r="CG138" s="1461">
        <f t="shared" si="1488"/>
        <v>0</v>
      </c>
      <c r="CH138" s="1461">
        <f t="shared" si="1488"/>
        <v>0</v>
      </c>
      <c r="CI138" s="1461">
        <f t="shared" si="1488"/>
        <v>0</v>
      </c>
      <c r="CJ138" s="1461">
        <f t="shared" si="1488"/>
        <v>0</v>
      </c>
      <c r="CK138" s="1461">
        <f t="shared" si="1488"/>
        <v>0</v>
      </c>
      <c r="CL138" s="1461">
        <f t="shared" si="1488"/>
        <v>0</v>
      </c>
      <c r="CM138" s="1461">
        <f t="shared" si="1488"/>
        <v>0</v>
      </c>
      <c r="CN138" s="1461">
        <f t="shared" si="1488"/>
        <v>0</v>
      </c>
      <c r="CO138" s="1461">
        <f t="shared" si="1488"/>
        <v>0</v>
      </c>
      <c r="CP138" s="1461">
        <f t="shared" si="1488"/>
        <v>0</v>
      </c>
      <c r="CQ138" s="1461">
        <f t="shared" si="1489"/>
        <v>0</v>
      </c>
      <c r="CR138" s="1461">
        <f t="shared" si="1489"/>
        <v>0</v>
      </c>
      <c r="CS138" s="1461">
        <f t="shared" si="1489"/>
        <v>0</v>
      </c>
      <c r="CT138" s="1461">
        <f t="shared" si="1489"/>
        <v>0</v>
      </c>
      <c r="CU138" s="1461">
        <f t="shared" si="1489"/>
        <v>0</v>
      </c>
      <c r="CV138" s="1461">
        <f t="shared" si="1489"/>
        <v>0</v>
      </c>
      <c r="CW138" s="1461">
        <f t="shared" si="1489"/>
        <v>0</v>
      </c>
      <c r="CX138" s="1461">
        <f t="shared" si="1489"/>
        <v>0</v>
      </c>
      <c r="CY138" s="1461">
        <f t="shared" si="1489"/>
        <v>0</v>
      </c>
      <c r="CZ138" s="1461">
        <f t="shared" si="1489"/>
        <v>0</v>
      </c>
      <c r="DA138" s="1461">
        <f t="shared" si="1489"/>
        <v>0</v>
      </c>
      <c r="DB138" s="41"/>
      <c r="DC138" s="1461">
        <f t="shared" si="1490"/>
        <v>0</v>
      </c>
      <c r="DD138" s="1461">
        <f t="shared" si="1490"/>
        <v>0</v>
      </c>
      <c r="DE138" s="1461">
        <f t="shared" si="1490"/>
        <v>0</v>
      </c>
      <c r="DF138" s="1461">
        <f t="shared" si="1490"/>
        <v>0</v>
      </c>
      <c r="DG138" s="1461">
        <f t="shared" si="1490"/>
        <v>0</v>
      </c>
      <c r="DH138" s="1461">
        <f t="shared" si="1490"/>
        <v>0</v>
      </c>
      <c r="DI138" s="1461">
        <f t="shared" si="1490"/>
        <v>0</v>
      </c>
      <c r="DJ138" s="1461">
        <f t="shared" si="1490"/>
        <v>0</v>
      </c>
      <c r="DK138" s="1461">
        <f t="shared" si="1490"/>
        <v>0</v>
      </c>
      <c r="DL138" s="1461">
        <f t="shared" si="1490"/>
        <v>0</v>
      </c>
      <c r="DM138" s="1461">
        <f t="shared" si="1491"/>
        <v>0</v>
      </c>
      <c r="DN138" s="1461">
        <f t="shared" si="1491"/>
        <v>0</v>
      </c>
      <c r="DO138" s="1461">
        <f t="shared" si="1491"/>
        <v>0</v>
      </c>
      <c r="DP138" s="1461">
        <f t="shared" si="1491"/>
        <v>0</v>
      </c>
      <c r="DQ138" s="1461">
        <f t="shared" si="1491"/>
        <v>0</v>
      </c>
      <c r="DR138" s="1461">
        <f t="shared" si="1491"/>
        <v>0</v>
      </c>
      <c r="DS138" s="1461">
        <f t="shared" si="1491"/>
        <v>0</v>
      </c>
      <c r="DT138" s="1461">
        <f t="shared" si="1491"/>
        <v>0</v>
      </c>
      <c r="DU138" s="1461">
        <f t="shared" si="1491"/>
        <v>0</v>
      </c>
      <c r="DV138" s="1461">
        <f t="shared" si="1491"/>
        <v>0</v>
      </c>
      <c r="DW138" s="1461">
        <f t="shared" si="1492"/>
        <v>0</v>
      </c>
      <c r="DX138" s="1461">
        <f t="shared" si="1492"/>
        <v>0</v>
      </c>
      <c r="DY138" s="1461">
        <f t="shared" si="1492"/>
        <v>0</v>
      </c>
      <c r="DZ138" s="1461">
        <f t="shared" si="1492"/>
        <v>0</v>
      </c>
      <c r="EA138" s="1461">
        <f t="shared" si="1492"/>
        <v>0</v>
      </c>
      <c r="EB138" s="1461">
        <f t="shared" si="1492"/>
        <v>0</v>
      </c>
      <c r="EC138" s="1461">
        <f t="shared" si="1492"/>
        <v>0</v>
      </c>
      <c r="ED138" s="1461">
        <f t="shared" si="1492"/>
        <v>0</v>
      </c>
      <c r="EE138" s="1461">
        <f t="shared" si="1492"/>
        <v>0</v>
      </c>
      <c r="EF138" s="1461">
        <f t="shared" si="1492"/>
        <v>0</v>
      </c>
      <c r="EG138" s="1461">
        <f t="shared" si="1492"/>
        <v>0</v>
      </c>
    </row>
    <row r="139" spans="1:137">
      <c r="A139" s="595"/>
      <c r="B139" s="598"/>
      <c r="C139" s="599"/>
      <c r="D139" s="1552">
        <v>11</v>
      </c>
      <c r="E139" s="542" t="s">
        <v>264</v>
      </c>
      <c r="F139" s="52" t="s">
        <v>1414</v>
      </c>
      <c r="G139" s="62">
        <f t="shared" si="1493"/>
        <v>599.24627931783311</v>
      </c>
      <c r="H139" s="171"/>
      <c r="I139" s="1541"/>
      <c r="J139" s="15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41"/>
      <c r="AL139" s="41"/>
      <c r="AM139" s="41"/>
      <c r="AN139" s="41"/>
      <c r="AO139" s="41"/>
      <c r="AP139" s="41"/>
      <c r="AQ139" s="1461">
        <f t="shared" ref="AQ139:AZ146" si="1494">SUMIF($D$7:$D$117,$D139,AQ$7:AQ$117)</f>
        <v>599.24627931783311</v>
      </c>
      <c r="AR139" s="1461">
        <f t="shared" si="1494"/>
        <v>19.974875977261096</v>
      </c>
      <c r="AS139" s="1461">
        <f t="shared" si="1494"/>
        <v>19.974875977261096</v>
      </c>
      <c r="AT139" s="1461">
        <f t="shared" si="1494"/>
        <v>19.974875977261096</v>
      </c>
      <c r="AU139" s="1461">
        <f t="shared" si="1494"/>
        <v>19.974875977261096</v>
      </c>
      <c r="AV139" s="1461">
        <f t="shared" si="1494"/>
        <v>19.974875977261096</v>
      </c>
      <c r="AW139" s="1461">
        <f t="shared" si="1494"/>
        <v>19.974875977261096</v>
      </c>
      <c r="AX139" s="1461">
        <f t="shared" si="1494"/>
        <v>19.974875977261096</v>
      </c>
      <c r="AY139" s="1461">
        <f t="shared" si="1494"/>
        <v>19.974875977261096</v>
      </c>
      <c r="AZ139" s="1461">
        <f t="shared" si="1494"/>
        <v>19.974875977261096</v>
      </c>
      <c r="BA139" s="1461">
        <f t="shared" ref="BA139:BJ146" si="1495">SUMIF($D$7:$D$117,$D139,BA$7:BA$117)</f>
        <v>19.974875977261096</v>
      </c>
      <c r="BB139" s="1461">
        <f t="shared" si="1495"/>
        <v>19.974875977261096</v>
      </c>
      <c r="BC139" s="1461">
        <f t="shared" si="1495"/>
        <v>19.974875977261096</v>
      </c>
      <c r="BD139" s="1461">
        <f t="shared" si="1495"/>
        <v>19.974875977261096</v>
      </c>
      <c r="BE139" s="1461">
        <f t="shared" si="1495"/>
        <v>19.974875977261096</v>
      </c>
      <c r="BF139" s="1461">
        <f t="shared" si="1495"/>
        <v>19.974875977261096</v>
      </c>
      <c r="BG139" s="1461">
        <f t="shared" si="1495"/>
        <v>19.974875977261096</v>
      </c>
      <c r="BH139" s="1461">
        <f t="shared" si="1495"/>
        <v>19.974875977261096</v>
      </c>
      <c r="BI139" s="1461">
        <f t="shared" si="1495"/>
        <v>19.974875977261096</v>
      </c>
      <c r="BJ139" s="1461">
        <f t="shared" si="1495"/>
        <v>19.974875977261096</v>
      </c>
      <c r="BK139" s="1461">
        <f t="shared" ref="BK139:BU146" si="1496">SUMIF($D$7:$D$117,$D139,BK$7:BK$117)</f>
        <v>19.974875977261096</v>
      </c>
      <c r="BL139" s="1461">
        <f t="shared" si="1496"/>
        <v>19.974875977261096</v>
      </c>
      <c r="BM139" s="1461">
        <f t="shared" si="1496"/>
        <v>19.974875977261096</v>
      </c>
      <c r="BN139" s="1461">
        <f t="shared" si="1496"/>
        <v>19.974875977261096</v>
      </c>
      <c r="BO139" s="1461">
        <f t="shared" si="1496"/>
        <v>19.974875977261096</v>
      </c>
      <c r="BP139" s="1461">
        <f t="shared" si="1496"/>
        <v>19.974875977261096</v>
      </c>
      <c r="BQ139" s="1461">
        <f t="shared" si="1496"/>
        <v>19.974875977261096</v>
      </c>
      <c r="BR139" s="1461">
        <f t="shared" si="1496"/>
        <v>19.974875977261096</v>
      </c>
      <c r="BS139" s="1461">
        <f t="shared" si="1496"/>
        <v>19.974875977261096</v>
      </c>
      <c r="BT139" s="1461">
        <f t="shared" si="1496"/>
        <v>19.974875977261096</v>
      </c>
      <c r="BU139" s="1461">
        <f t="shared" si="1496"/>
        <v>19.974875977261096</v>
      </c>
      <c r="BV139" s="63"/>
      <c r="BW139" s="1461">
        <f t="shared" ref="BW139:CF146" si="1497">SUMIF($D$7:$D$117,$D139,BW$7:BW$117)</f>
        <v>0</v>
      </c>
      <c r="BX139" s="1461">
        <f t="shared" si="1497"/>
        <v>0</v>
      </c>
      <c r="BY139" s="1461">
        <f t="shared" si="1497"/>
        <v>0</v>
      </c>
      <c r="BZ139" s="1461">
        <f t="shared" si="1497"/>
        <v>0</v>
      </c>
      <c r="CA139" s="1461">
        <f t="shared" si="1497"/>
        <v>0</v>
      </c>
      <c r="CB139" s="1461">
        <f t="shared" si="1497"/>
        <v>0</v>
      </c>
      <c r="CC139" s="1461">
        <f t="shared" si="1497"/>
        <v>0</v>
      </c>
      <c r="CD139" s="1461">
        <f t="shared" si="1497"/>
        <v>0</v>
      </c>
      <c r="CE139" s="1461">
        <f t="shared" si="1497"/>
        <v>0</v>
      </c>
      <c r="CF139" s="1461">
        <f t="shared" si="1497"/>
        <v>0</v>
      </c>
      <c r="CG139" s="1461">
        <f t="shared" ref="CG139:CP146" si="1498">SUMIF($D$7:$D$117,$D139,CG$7:CG$117)</f>
        <v>0</v>
      </c>
      <c r="CH139" s="1461">
        <f t="shared" si="1498"/>
        <v>0</v>
      </c>
      <c r="CI139" s="1461">
        <f t="shared" si="1498"/>
        <v>0</v>
      </c>
      <c r="CJ139" s="1461">
        <f t="shared" si="1498"/>
        <v>0</v>
      </c>
      <c r="CK139" s="1461">
        <f t="shared" si="1498"/>
        <v>0</v>
      </c>
      <c r="CL139" s="1461">
        <f t="shared" si="1498"/>
        <v>0</v>
      </c>
      <c r="CM139" s="1461">
        <f t="shared" si="1498"/>
        <v>0</v>
      </c>
      <c r="CN139" s="1461">
        <f t="shared" si="1498"/>
        <v>0</v>
      </c>
      <c r="CO139" s="1461">
        <f t="shared" si="1498"/>
        <v>0</v>
      </c>
      <c r="CP139" s="1461">
        <f t="shared" si="1498"/>
        <v>0</v>
      </c>
      <c r="CQ139" s="1461">
        <f t="shared" ref="CQ139:DA146" si="1499">SUMIF($D$7:$D$117,$D139,CQ$7:CQ$117)</f>
        <v>0</v>
      </c>
      <c r="CR139" s="1461">
        <f t="shared" si="1499"/>
        <v>0</v>
      </c>
      <c r="CS139" s="1461">
        <f t="shared" si="1499"/>
        <v>0</v>
      </c>
      <c r="CT139" s="1461">
        <f t="shared" si="1499"/>
        <v>0</v>
      </c>
      <c r="CU139" s="1461">
        <f t="shared" si="1499"/>
        <v>0</v>
      </c>
      <c r="CV139" s="1461">
        <f t="shared" si="1499"/>
        <v>0</v>
      </c>
      <c r="CW139" s="1461">
        <f t="shared" si="1499"/>
        <v>0</v>
      </c>
      <c r="CX139" s="1461">
        <f t="shared" si="1499"/>
        <v>0</v>
      </c>
      <c r="CY139" s="1461">
        <f t="shared" si="1499"/>
        <v>0</v>
      </c>
      <c r="CZ139" s="1461">
        <f t="shared" si="1499"/>
        <v>0</v>
      </c>
      <c r="DA139" s="1461">
        <f t="shared" si="1499"/>
        <v>0</v>
      </c>
      <c r="DB139" s="41"/>
      <c r="DC139" s="1461">
        <f t="shared" ref="DC139:DL146" si="1500">SUMIF($D$7:$D$117,$D139,DC$7:DC$117)</f>
        <v>599.24627931783311</v>
      </c>
      <c r="DD139" s="1461">
        <f t="shared" si="1500"/>
        <v>19.974875977261096</v>
      </c>
      <c r="DE139" s="1461">
        <f t="shared" si="1500"/>
        <v>19.974875977261096</v>
      </c>
      <c r="DF139" s="1461">
        <f t="shared" si="1500"/>
        <v>19.974875977261096</v>
      </c>
      <c r="DG139" s="1461">
        <f t="shared" si="1500"/>
        <v>19.974875977261096</v>
      </c>
      <c r="DH139" s="1461">
        <f t="shared" si="1500"/>
        <v>19.974875977261096</v>
      </c>
      <c r="DI139" s="1461">
        <f t="shared" si="1500"/>
        <v>19.974875977261096</v>
      </c>
      <c r="DJ139" s="1461">
        <f t="shared" si="1500"/>
        <v>19.974875977261096</v>
      </c>
      <c r="DK139" s="1461">
        <f t="shared" si="1500"/>
        <v>19.974875977261096</v>
      </c>
      <c r="DL139" s="1461">
        <f t="shared" si="1500"/>
        <v>19.974875977261096</v>
      </c>
      <c r="DM139" s="1461">
        <f t="shared" ref="DM139:DV146" si="1501">SUMIF($D$7:$D$117,$D139,DM$7:DM$117)</f>
        <v>19.974875977261096</v>
      </c>
      <c r="DN139" s="1461">
        <f t="shared" si="1501"/>
        <v>19.974875977261096</v>
      </c>
      <c r="DO139" s="1461">
        <f t="shared" si="1501"/>
        <v>19.974875977261096</v>
      </c>
      <c r="DP139" s="1461">
        <f t="shared" si="1501"/>
        <v>19.974875977261096</v>
      </c>
      <c r="DQ139" s="1461">
        <f t="shared" si="1501"/>
        <v>19.974875977261096</v>
      </c>
      <c r="DR139" s="1461">
        <f t="shared" si="1501"/>
        <v>19.974875977261096</v>
      </c>
      <c r="DS139" s="1461">
        <f t="shared" si="1501"/>
        <v>19.974875977261096</v>
      </c>
      <c r="DT139" s="1461">
        <f t="shared" si="1501"/>
        <v>19.974875977261096</v>
      </c>
      <c r="DU139" s="1461">
        <f t="shared" si="1501"/>
        <v>19.974875977261096</v>
      </c>
      <c r="DV139" s="1461">
        <f t="shared" si="1501"/>
        <v>19.974875977261096</v>
      </c>
      <c r="DW139" s="1461">
        <f t="shared" ref="DW139:EG146" si="1502">SUMIF($D$7:$D$117,$D139,DW$7:DW$117)</f>
        <v>19.974875977261096</v>
      </c>
      <c r="DX139" s="1461">
        <f t="shared" si="1502"/>
        <v>19.974875977261096</v>
      </c>
      <c r="DY139" s="1461">
        <f t="shared" si="1502"/>
        <v>19.974875977261096</v>
      </c>
      <c r="DZ139" s="1461">
        <f t="shared" si="1502"/>
        <v>19.974875977261096</v>
      </c>
      <c r="EA139" s="1461">
        <f t="shared" si="1502"/>
        <v>19.974875977261096</v>
      </c>
      <c r="EB139" s="1461">
        <f t="shared" si="1502"/>
        <v>19.974875977261096</v>
      </c>
      <c r="EC139" s="1461">
        <f t="shared" si="1502"/>
        <v>19.974875977261096</v>
      </c>
      <c r="ED139" s="1461">
        <f t="shared" si="1502"/>
        <v>19.974875977261096</v>
      </c>
      <c r="EE139" s="1461">
        <f t="shared" si="1502"/>
        <v>19.974875977261096</v>
      </c>
      <c r="EF139" s="1461">
        <f t="shared" si="1502"/>
        <v>19.974875977261096</v>
      </c>
      <c r="EG139" s="1461">
        <f t="shared" si="1502"/>
        <v>19.974875977261096</v>
      </c>
    </row>
    <row r="140" spans="1:137">
      <c r="A140" s="595"/>
      <c r="B140" s="598"/>
      <c r="C140" s="599"/>
      <c r="D140" s="1552">
        <v>12</v>
      </c>
      <c r="E140" s="542" t="s">
        <v>265</v>
      </c>
      <c r="F140" s="52" t="s">
        <v>1418</v>
      </c>
      <c r="G140" s="62">
        <f t="shared" si="1493"/>
        <v>0</v>
      </c>
      <c r="H140" s="171"/>
      <c r="I140" s="1541"/>
      <c r="J140" s="15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41"/>
      <c r="AL140" s="41"/>
      <c r="AM140" s="41"/>
      <c r="AN140" s="41"/>
      <c r="AO140" s="41"/>
      <c r="AP140" s="41"/>
      <c r="AQ140" s="1461">
        <f t="shared" si="1494"/>
        <v>0</v>
      </c>
      <c r="AR140" s="1461">
        <f t="shared" si="1494"/>
        <v>0</v>
      </c>
      <c r="AS140" s="1461">
        <f t="shared" si="1494"/>
        <v>0</v>
      </c>
      <c r="AT140" s="1461">
        <f t="shared" si="1494"/>
        <v>0</v>
      </c>
      <c r="AU140" s="1461">
        <f t="shared" si="1494"/>
        <v>0</v>
      </c>
      <c r="AV140" s="1461">
        <f t="shared" si="1494"/>
        <v>0</v>
      </c>
      <c r="AW140" s="1461">
        <f t="shared" si="1494"/>
        <v>0</v>
      </c>
      <c r="AX140" s="1461">
        <f t="shared" si="1494"/>
        <v>0</v>
      </c>
      <c r="AY140" s="1461">
        <f t="shared" si="1494"/>
        <v>0</v>
      </c>
      <c r="AZ140" s="1461">
        <f t="shared" si="1494"/>
        <v>0</v>
      </c>
      <c r="BA140" s="1461">
        <f t="shared" si="1495"/>
        <v>0</v>
      </c>
      <c r="BB140" s="1461">
        <f t="shared" si="1495"/>
        <v>0</v>
      </c>
      <c r="BC140" s="1461">
        <f t="shared" si="1495"/>
        <v>0</v>
      </c>
      <c r="BD140" s="1461">
        <f t="shared" si="1495"/>
        <v>0</v>
      </c>
      <c r="BE140" s="1461">
        <f t="shared" si="1495"/>
        <v>0</v>
      </c>
      <c r="BF140" s="1461">
        <f t="shared" si="1495"/>
        <v>0</v>
      </c>
      <c r="BG140" s="1461">
        <f t="shared" si="1495"/>
        <v>0</v>
      </c>
      <c r="BH140" s="1461">
        <f t="shared" si="1495"/>
        <v>0</v>
      </c>
      <c r="BI140" s="1461">
        <f t="shared" si="1495"/>
        <v>0</v>
      </c>
      <c r="BJ140" s="1461">
        <f t="shared" si="1495"/>
        <v>0</v>
      </c>
      <c r="BK140" s="1461">
        <f t="shared" si="1496"/>
        <v>0</v>
      </c>
      <c r="BL140" s="1461">
        <f t="shared" si="1496"/>
        <v>0</v>
      </c>
      <c r="BM140" s="1461">
        <f t="shared" si="1496"/>
        <v>0</v>
      </c>
      <c r="BN140" s="1461">
        <f t="shared" si="1496"/>
        <v>0</v>
      </c>
      <c r="BO140" s="1461">
        <f t="shared" si="1496"/>
        <v>0</v>
      </c>
      <c r="BP140" s="1461">
        <f t="shared" si="1496"/>
        <v>0</v>
      </c>
      <c r="BQ140" s="1461">
        <f t="shared" si="1496"/>
        <v>0</v>
      </c>
      <c r="BR140" s="1461">
        <f t="shared" si="1496"/>
        <v>0</v>
      </c>
      <c r="BS140" s="1461">
        <f t="shared" si="1496"/>
        <v>0</v>
      </c>
      <c r="BT140" s="1461">
        <f t="shared" si="1496"/>
        <v>0</v>
      </c>
      <c r="BU140" s="1461">
        <f t="shared" si="1496"/>
        <v>0</v>
      </c>
      <c r="BV140" s="63"/>
      <c r="BW140" s="1461">
        <f t="shared" si="1497"/>
        <v>0</v>
      </c>
      <c r="BX140" s="1461">
        <f t="shared" si="1497"/>
        <v>0</v>
      </c>
      <c r="BY140" s="1461">
        <f t="shared" si="1497"/>
        <v>0</v>
      </c>
      <c r="BZ140" s="1461">
        <f t="shared" si="1497"/>
        <v>0</v>
      </c>
      <c r="CA140" s="1461">
        <f t="shared" si="1497"/>
        <v>0</v>
      </c>
      <c r="CB140" s="1461">
        <f t="shared" si="1497"/>
        <v>0</v>
      </c>
      <c r="CC140" s="1461">
        <f t="shared" si="1497"/>
        <v>0</v>
      </c>
      <c r="CD140" s="1461">
        <f t="shared" si="1497"/>
        <v>0</v>
      </c>
      <c r="CE140" s="1461">
        <f t="shared" si="1497"/>
        <v>0</v>
      </c>
      <c r="CF140" s="1461">
        <f t="shared" si="1497"/>
        <v>0</v>
      </c>
      <c r="CG140" s="1461">
        <f t="shared" si="1498"/>
        <v>0</v>
      </c>
      <c r="CH140" s="1461">
        <f t="shared" si="1498"/>
        <v>0</v>
      </c>
      <c r="CI140" s="1461">
        <f t="shared" si="1498"/>
        <v>0</v>
      </c>
      <c r="CJ140" s="1461">
        <f t="shared" si="1498"/>
        <v>0</v>
      </c>
      <c r="CK140" s="1461">
        <f t="shared" si="1498"/>
        <v>0</v>
      </c>
      <c r="CL140" s="1461">
        <f t="shared" si="1498"/>
        <v>0</v>
      </c>
      <c r="CM140" s="1461">
        <f t="shared" si="1498"/>
        <v>0</v>
      </c>
      <c r="CN140" s="1461">
        <f t="shared" si="1498"/>
        <v>0</v>
      </c>
      <c r="CO140" s="1461">
        <f t="shared" si="1498"/>
        <v>0</v>
      </c>
      <c r="CP140" s="1461">
        <f t="shared" si="1498"/>
        <v>0</v>
      </c>
      <c r="CQ140" s="1461">
        <f t="shared" si="1499"/>
        <v>0</v>
      </c>
      <c r="CR140" s="1461">
        <f t="shared" si="1499"/>
        <v>0</v>
      </c>
      <c r="CS140" s="1461">
        <f t="shared" si="1499"/>
        <v>0</v>
      </c>
      <c r="CT140" s="1461">
        <f t="shared" si="1499"/>
        <v>0</v>
      </c>
      <c r="CU140" s="1461">
        <f t="shared" si="1499"/>
        <v>0</v>
      </c>
      <c r="CV140" s="1461">
        <f t="shared" si="1499"/>
        <v>0</v>
      </c>
      <c r="CW140" s="1461">
        <f t="shared" si="1499"/>
        <v>0</v>
      </c>
      <c r="CX140" s="1461">
        <f t="shared" si="1499"/>
        <v>0</v>
      </c>
      <c r="CY140" s="1461">
        <f t="shared" si="1499"/>
        <v>0</v>
      </c>
      <c r="CZ140" s="1461">
        <f t="shared" si="1499"/>
        <v>0</v>
      </c>
      <c r="DA140" s="1461">
        <f t="shared" si="1499"/>
        <v>0</v>
      </c>
      <c r="DB140" s="41"/>
      <c r="DC140" s="1461">
        <f t="shared" si="1500"/>
        <v>0</v>
      </c>
      <c r="DD140" s="1461">
        <f t="shared" si="1500"/>
        <v>0</v>
      </c>
      <c r="DE140" s="1461">
        <f t="shared" si="1500"/>
        <v>0</v>
      </c>
      <c r="DF140" s="1461">
        <f t="shared" si="1500"/>
        <v>0</v>
      </c>
      <c r="DG140" s="1461">
        <f t="shared" si="1500"/>
        <v>0</v>
      </c>
      <c r="DH140" s="1461">
        <f t="shared" si="1500"/>
        <v>0</v>
      </c>
      <c r="DI140" s="1461">
        <f t="shared" si="1500"/>
        <v>0</v>
      </c>
      <c r="DJ140" s="1461">
        <f t="shared" si="1500"/>
        <v>0</v>
      </c>
      <c r="DK140" s="1461">
        <f t="shared" si="1500"/>
        <v>0</v>
      </c>
      <c r="DL140" s="1461">
        <f t="shared" si="1500"/>
        <v>0</v>
      </c>
      <c r="DM140" s="1461">
        <f t="shared" si="1501"/>
        <v>0</v>
      </c>
      <c r="DN140" s="1461">
        <f t="shared" si="1501"/>
        <v>0</v>
      </c>
      <c r="DO140" s="1461">
        <f t="shared" si="1501"/>
        <v>0</v>
      </c>
      <c r="DP140" s="1461">
        <f t="shared" si="1501"/>
        <v>0</v>
      </c>
      <c r="DQ140" s="1461">
        <f t="shared" si="1501"/>
        <v>0</v>
      </c>
      <c r="DR140" s="1461">
        <f t="shared" si="1501"/>
        <v>0</v>
      </c>
      <c r="DS140" s="1461">
        <f t="shared" si="1501"/>
        <v>0</v>
      </c>
      <c r="DT140" s="1461">
        <f t="shared" si="1501"/>
        <v>0</v>
      </c>
      <c r="DU140" s="1461">
        <f t="shared" si="1501"/>
        <v>0</v>
      </c>
      <c r="DV140" s="1461">
        <f t="shared" si="1501"/>
        <v>0</v>
      </c>
      <c r="DW140" s="1461">
        <f t="shared" si="1502"/>
        <v>0</v>
      </c>
      <c r="DX140" s="1461">
        <f t="shared" si="1502"/>
        <v>0</v>
      </c>
      <c r="DY140" s="1461">
        <f t="shared" si="1502"/>
        <v>0</v>
      </c>
      <c r="DZ140" s="1461">
        <f t="shared" si="1502"/>
        <v>0</v>
      </c>
      <c r="EA140" s="1461">
        <f t="shared" si="1502"/>
        <v>0</v>
      </c>
      <c r="EB140" s="1461">
        <f t="shared" si="1502"/>
        <v>0</v>
      </c>
      <c r="EC140" s="1461">
        <f t="shared" si="1502"/>
        <v>0</v>
      </c>
      <c r="ED140" s="1461">
        <f t="shared" si="1502"/>
        <v>0</v>
      </c>
      <c r="EE140" s="1461">
        <f t="shared" si="1502"/>
        <v>0</v>
      </c>
      <c r="EF140" s="1461">
        <f t="shared" si="1502"/>
        <v>0</v>
      </c>
      <c r="EG140" s="1461">
        <f t="shared" si="1502"/>
        <v>0</v>
      </c>
    </row>
    <row r="141" spans="1:137">
      <c r="A141" s="595"/>
      <c r="B141" s="598"/>
      <c r="C141" s="599"/>
      <c r="D141" s="1552">
        <v>13</v>
      </c>
      <c r="E141" s="542" t="s">
        <v>266</v>
      </c>
      <c r="F141" s="52" t="s">
        <v>1419</v>
      </c>
      <c r="G141" s="62">
        <f t="shared" si="1493"/>
        <v>0</v>
      </c>
      <c r="H141" s="171"/>
      <c r="I141" s="1541"/>
      <c r="J141" s="15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41"/>
      <c r="AM141" s="41"/>
      <c r="AN141" s="41"/>
      <c r="AO141" s="41"/>
      <c r="AP141" s="41"/>
      <c r="AQ141" s="1461">
        <f t="shared" si="1494"/>
        <v>0</v>
      </c>
      <c r="AR141" s="1461">
        <f t="shared" si="1494"/>
        <v>0</v>
      </c>
      <c r="AS141" s="1461">
        <f t="shared" si="1494"/>
        <v>0</v>
      </c>
      <c r="AT141" s="1461">
        <f t="shared" si="1494"/>
        <v>0</v>
      </c>
      <c r="AU141" s="1461">
        <f t="shared" si="1494"/>
        <v>0</v>
      </c>
      <c r="AV141" s="1461">
        <f t="shared" si="1494"/>
        <v>0</v>
      </c>
      <c r="AW141" s="1461">
        <f t="shared" si="1494"/>
        <v>0</v>
      </c>
      <c r="AX141" s="1461">
        <f t="shared" si="1494"/>
        <v>0</v>
      </c>
      <c r="AY141" s="1461">
        <f t="shared" si="1494"/>
        <v>0</v>
      </c>
      <c r="AZ141" s="1461">
        <f t="shared" si="1494"/>
        <v>0</v>
      </c>
      <c r="BA141" s="1461">
        <f t="shared" si="1495"/>
        <v>0</v>
      </c>
      <c r="BB141" s="1461">
        <f t="shared" si="1495"/>
        <v>0</v>
      </c>
      <c r="BC141" s="1461">
        <f t="shared" si="1495"/>
        <v>0</v>
      </c>
      <c r="BD141" s="1461">
        <f t="shared" si="1495"/>
        <v>0</v>
      </c>
      <c r="BE141" s="1461">
        <f t="shared" si="1495"/>
        <v>0</v>
      </c>
      <c r="BF141" s="1461">
        <f t="shared" si="1495"/>
        <v>0</v>
      </c>
      <c r="BG141" s="1461">
        <f t="shared" si="1495"/>
        <v>0</v>
      </c>
      <c r="BH141" s="1461">
        <f t="shared" si="1495"/>
        <v>0</v>
      </c>
      <c r="BI141" s="1461">
        <f t="shared" si="1495"/>
        <v>0</v>
      </c>
      <c r="BJ141" s="1461">
        <f t="shared" si="1495"/>
        <v>0</v>
      </c>
      <c r="BK141" s="1461">
        <f t="shared" si="1496"/>
        <v>0</v>
      </c>
      <c r="BL141" s="1461">
        <f t="shared" si="1496"/>
        <v>0</v>
      </c>
      <c r="BM141" s="1461">
        <f t="shared" si="1496"/>
        <v>0</v>
      </c>
      <c r="BN141" s="1461">
        <f t="shared" si="1496"/>
        <v>0</v>
      </c>
      <c r="BO141" s="1461">
        <f t="shared" si="1496"/>
        <v>0</v>
      </c>
      <c r="BP141" s="1461">
        <f t="shared" si="1496"/>
        <v>0</v>
      </c>
      <c r="BQ141" s="1461">
        <f t="shared" si="1496"/>
        <v>0</v>
      </c>
      <c r="BR141" s="1461">
        <f t="shared" si="1496"/>
        <v>0</v>
      </c>
      <c r="BS141" s="1461">
        <f t="shared" si="1496"/>
        <v>0</v>
      </c>
      <c r="BT141" s="1461">
        <f t="shared" si="1496"/>
        <v>0</v>
      </c>
      <c r="BU141" s="1461">
        <f t="shared" si="1496"/>
        <v>0</v>
      </c>
      <c r="BV141" s="63"/>
      <c r="BW141" s="1461">
        <f t="shared" si="1497"/>
        <v>0</v>
      </c>
      <c r="BX141" s="1461">
        <f t="shared" si="1497"/>
        <v>0</v>
      </c>
      <c r="BY141" s="1461">
        <f t="shared" si="1497"/>
        <v>0</v>
      </c>
      <c r="BZ141" s="1461">
        <f t="shared" si="1497"/>
        <v>0</v>
      </c>
      <c r="CA141" s="1461">
        <f t="shared" si="1497"/>
        <v>0</v>
      </c>
      <c r="CB141" s="1461">
        <f t="shared" si="1497"/>
        <v>0</v>
      </c>
      <c r="CC141" s="1461">
        <f t="shared" si="1497"/>
        <v>0</v>
      </c>
      <c r="CD141" s="1461">
        <f t="shared" si="1497"/>
        <v>0</v>
      </c>
      <c r="CE141" s="1461">
        <f t="shared" si="1497"/>
        <v>0</v>
      </c>
      <c r="CF141" s="1461">
        <f t="shared" si="1497"/>
        <v>0</v>
      </c>
      <c r="CG141" s="1461">
        <f t="shared" si="1498"/>
        <v>0</v>
      </c>
      <c r="CH141" s="1461">
        <f t="shared" si="1498"/>
        <v>0</v>
      </c>
      <c r="CI141" s="1461">
        <f t="shared" si="1498"/>
        <v>0</v>
      </c>
      <c r="CJ141" s="1461">
        <f t="shared" si="1498"/>
        <v>0</v>
      </c>
      <c r="CK141" s="1461">
        <f t="shared" si="1498"/>
        <v>0</v>
      </c>
      <c r="CL141" s="1461">
        <f t="shared" si="1498"/>
        <v>0</v>
      </c>
      <c r="CM141" s="1461">
        <f t="shared" si="1498"/>
        <v>0</v>
      </c>
      <c r="CN141" s="1461">
        <f t="shared" si="1498"/>
        <v>0</v>
      </c>
      <c r="CO141" s="1461">
        <f t="shared" si="1498"/>
        <v>0</v>
      </c>
      <c r="CP141" s="1461">
        <f t="shared" si="1498"/>
        <v>0</v>
      </c>
      <c r="CQ141" s="1461">
        <f t="shared" si="1499"/>
        <v>0</v>
      </c>
      <c r="CR141" s="1461">
        <f t="shared" si="1499"/>
        <v>0</v>
      </c>
      <c r="CS141" s="1461">
        <f t="shared" si="1499"/>
        <v>0</v>
      </c>
      <c r="CT141" s="1461">
        <f t="shared" si="1499"/>
        <v>0</v>
      </c>
      <c r="CU141" s="1461">
        <f t="shared" si="1499"/>
        <v>0</v>
      </c>
      <c r="CV141" s="1461">
        <f t="shared" si="1499"/>
        <v>0</v>
      </c>
      <c r="CW141" s="1461">
        <f t="shared" si="1499"/>
        <v>0</v>
      </c>
      <c r="CX141" s="1461">
        <f t="shared" si="1499"/>
        <v>0</v>
      </c>
      <c r="CY141" s="1461">
        <f t="shared" si="1499"/>
        <v>0</v>
      </c>
      <c r="CZ141" s="1461">
        <f t="shared" si="1499"/>
        <v>0</v>
      </c>
      <c r="DA141" s="1461">
        <f t="shared" si="1499"/>
        <v>0</v>
      </c>
      <c r="DB141" s="41"/>
      <c r="DC141" s="1461">
        <f t="shared" si="1500"/>
        <v>0</v>
      </c>
      <c r="DD141" s="1461">
        <f t="shared" si="1500"/>
        <v>0</v>
      </c>
      <c r="DE141" s="1461">
        <f t="shared" si="1500"/>
        <v>0</v>
      </c>
      <c r="DF141" s="1461">
        <f t="shared" si="1500"/>
        <v>0</v>
      </c>
      <c r="DG141" s="1461">
        <f t="shared" si="1500"/>
        <v>0</v>
      </c>
      <c r="DH141" s="1461">
        <f t="shared" si="1500"/>
        <v>0</v>
      </c>
      <c r="DI141" s="1461">
        <f t="shared" si="1500"/>
        <v>0</v>
      </c>
      <c r="DJ141" s="1461">
        <f t="shared" si="1500"/>
        <v>0</v>
      </c>
      <c r="DK141" s="1461">
        <f t="shared" si="1500"/>
        <v>0</v>
      </c>
      <c r="DL141" s="1461">
        <f t="shared" si="1500"/>
        <v>0</v>
      </c>
      <c r="DM141" s="1461">
        <f t="shared" si="1501"/>
        <v>0</v>
      </c>
      <c r="DN141" s="1461">
        <f t="shared" si="1501"/>
        <v>0</v>
      </c>
      <c r="DO141" s="1461">
        <f t="shared" si="1501"/>
        <v>0</v>
      </c>
      <c r="DP141" s="1461">
        <f t="shared" si="1501"/>
        <v>0</v>
      </c>
      <c r="DQ141" s="1461">
        <f t="shared" si="1501"/>
        <v>0</v>
      </c>
      <c r="DR141" s="1461">
        <f t="shared" si="1501"/>
        <v>0</v>
      </c>
      <c r="DS141" s="1461">
        <f t="shared" si="1501"/>
        <v>0</v>
      </c>
      <c r="DT141" s="1461">
        <f t="shared" si="1501"/>
        <v>0</v>
      </c>
      <c r="DU141" s="1461">
        <f t="shared" si="1501"/>
        <v>0</v>
      </c>
      <c r="DV141" s="1461">
        <f t="shared" si="1501"/>
        <v>0</v>
      </c>
      <c r="DW141" s="1461">
        <f t="shared" si="1502"/>
        <v>0</v>
      </c>
      <c r="DX141" s="1461">
        <f t="shared" si="1502"/>
        <v>0</v>
      </c>
      <c r="DY141" s="1461">
        <f t="shared" si="1502"/>
        <v>0</v>
      </c>
      <c r="DZ141" s="1461">
        <f t="shared" si="1502"/>
        <v>0</v>
      </c>
      <c r="EA141" s="1461">
        <f t="shared" si="1502"/>
        <v>0</v>
      </c>
      <c r="EB141" s="1461">
        <f t="shared" si="1502"/>
        <v>0</v>
      </c>
      <c r="EC141" s="1461">
        <f t="shared" si="1502"/>
        <v>0</v>
      </c>
      <c r="ED141" s="1461">
        <f t="shared" si="1502"/>
        <v>0</v>
      </c>
      <c r="EE141" s="1461">
        <f t="shared" si="1502"/>
        <v>0</v>
      </c>
      <c r="EF141" s="1461">
        <f t="shared" si="1502"/>
        <v>0</v>
      </c>
      <c r="EG141" s="1461">
        <f t="shared" si="1502"/>
        <v>0</v>
      </c>
    </row>
    <row r="142" spans="1:137">
      <c r="A142" s="595"/>
      <c r="B142" s="598"/>
      <c r="C142" s="599"/>
      <c r="D142" s="1552">
        <v>14</v>
      </c>
      <c r="E142" s="542" t="s">
        <v>267</v>
      </c>
      <c r="F142" s="52" t="s">
        <v>1420</v>
      </c>
      <c r="G142" s="62">
        <f t="shared" ca="1" si="1493"/>
        <v>0</v>
      </c>
      <c r="H142" s="171"/>
      <c r="I142" s="1541"/>
      <c r="J142" s="15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41"/>
      <c r="AM142" s="41"/>
      <c r="AN142" s="41"/>
      <c r="AO142" s="41"/>
      <c r="AP142" s="41"/>
      <c r="AQ142" s="1461">
        <f t="shared" si="1494"/>
        <v>0</v>
      </c>
      <c r="AR142" s="1461">
        <f t="shared" si="1494"/>
        <v>0</v>
      </c>
      <c r="AS142" s="1461">
        <f t="shared" si="1494"/>
        <v>0</v>
      </c>
      <c r="AT142" s="1461">
        <f t="shared" si="1494"/>
        <v>0</v>
      </c>
      <c r="AU142" s="1461">
        <f t="shared" si="1494"/>
        <v>0</v>
      </c>
      <c r="AV142" s="1461">
        <f t="shared" si="1494"/>
        <v>0</v>
      </c>
      <c r="AW142" s="1461">
        <f t="shared" si="1494"/>
        <v>0</v>
      </c>
      <c r="AX142" s="1461">
        <f t="shared" si="1494"/>
        <v>0</v>
      </c>
      <c r="AY142" s="1461">
        <f t="shared" si="1494"/>
        <v>0</v>
      </c>
      <c r="AZ142" s="1461">
        <f t="shared" si="1494"/>
        <v>0</v>
      </c>
      <c r="BA142" s="1461">
        <f t="shared" si="1495"/>
        <v>0</v>
      </c>
      <c r="BB142" s="1461">
        <f t="shared" si="1495"/>
        <v>0</v>
      </c>
      <c r="BC142" s="1461">
        <f t="shared" si="1495"/>
        <v>0</v>
      </c>
      <c r="BD142" s="1461">
        <f t="shared" si="1495"/>
        <v>0</v>
      </c>
      <c r="BE142" s="1461">
        <f t="shared" si="1495"/>
        <v>0</v>
      </c>
      <c r="BF142" s="1461">
        <f t="shared" si="1495"/>
        <v>0</v>
      </c>
      <c r="BG142" s="1461">
        <f t="shared" si="1495"/>
        <v>0</v>
      </c>
      <c r="BH142" s="1461">
        <f t="shared" si="1495"/>
        <v>0</v>
      </c>
      <c r="BI142" s="1461">
        <f t="shared" si="1495"/>
        <v>0</v>
      </c>
      <c r="BJ142" s="1461">
        <f t="shared" si="1495"/>
        <v>0</v>
      </c>
      <c r="BK142" s="1461">
        <f t="shared" si="1496"/>
        <v>0</v>
      </c>
      <c r="BL142" s="1461">
        <f t="shared" si="1496"/>
        <v>0</v>
      </c>
      <c r="BM142" s="1461">
        <f t="shared" si="1496"/>
        <v>0</v>
      </c>
      <c r="BN142" s="1461">
        <f t="shared" si="1496"/>
        <v>0</v>
      </c>
      <c r="BO142" s="1461">
        <f t="shared" si="1496"/>
        <v>0</v>
      </c>
      <c r="BP142" s="1461">
        <f t="shared" si="1496"/>
        <v>0</v>
      </c>
      <c r="BQ142" s="1461">
        <f t="shared" si="1496"/>
        <v>0</v>
      </c>
      <c r="BR142" s="1461">
        <f t="shared" si="1496"/>
        <v>0</v>
      </c>
      <c r="BS142" s="1461">
        <f t="shared" si="1496"/>
        <v>0</v>
      </c>
      <c r="BT142" s="1461">
        <f t="shared" si="1496"/>
        <v>0</v>
      </c>
      <c r="BU142" s="1461">
        <f t="shared" si="1496"/>
        <v>0</v>
      </c>
      <c r="BV142" s="63"/>
      <c r="BW142" s="1461">
        <f t="shared" ca="1" si="1497"/>
        <v>0</v>
      </c>
      <c r="BX142" s="1461">
        <f t="shared" ca="1" si="1497"/>
        <v>0</v>
      </c>
      <c r="BY142" s="1461">
        <f t="shared" ca="1" si="1497"/>
        <v>0</v>
      </c>
      <c r="BZ142" s="1461">
        <f t="shared" ca="1" si="1497"/>
        <v>0</v>
      </c>
      <c r="CA142" s="1461">
        <f t="shared" ca="1" si="1497"/>
        <v>0</v>
      </c>
      <c r="CB142" s="1461">
        <f t="shared" ca="1" si="1497"/>
        <v>0</v>
      </c>
      <c r="CC142" s="1461">
        <f t="shared" ca="1" si="1497"/>
        <v>0</v>
      </c>
      <c r="CD142" s="1461">
        <f t="shared" ca="1" si="1497"/>
        <v>0</v>
      </c>
      <c r="CE142" s="1461">
        <f t="shared" ca="1" si="1497"/>
        <v>0</v>
      </c>
      <c r="CF142" s="1461">
        <f t="shared" ca="1" si="1497"/>
        <v>0</v>
      </c>
      <c r="CG142" s="1461">
        <f t="shared" ca="1" si="1498"/>
        <v>0</v>
      </c>
      <c r="CH142" s="1461">
        <f t="shared" ca="1" si="1498"/>
        <v>0</v>
      </c>
      <c r="CI142" s="1461">
        <f t="shared" ca="1" si="1498"/>
        <v>0</v>
      </c>
      <c r="CJ142" s="1461">
        <f t="shared" ca="1" si="1498"/>
        <v>0</v>
      </c>
      <c r="CK142" s="1461">
        <f t="shared" ca="1" si="1498"/>
        <v>0</v>
      </c>
      <c r="CL142" s="1461">
        <f t="shared" ca="1" si="1498"/>
        <v>0</v>
      </c>
      <c r="CM142" s="1461">
        <f t="shared" ca="1" si="1498"/>
        <v>0</v>
      </c>
      <c r="CN142" s="1461">
        <f t="shared" ca="1" si="1498"/>
        <v>0</v>
      </c>
      <c r="CO142" s="1461">
        <f t="shared" ca="1" si="1498"/>
        <v>0</v>
      </c>
      <c r="CP142" s="1461">
        <f t="shared" ca="1" si="1498"/>
        <v>0</v>
      </c>
      <c r="CQ142" s="1461">
        <f t="shared" ca="1" si="1499"/>
        <v>0</v>
      </c>
      <c r="CR142" s="1461">
        <f t="shared" ca="1" si="1499"/>
        <v>0</v>
      </c>
      <c r="CS142" s="1461">
        <f t="shared" ca="1" si="1499"/>
        <v>0</v>
      </c>
      <c r="CT142" s="1461">
        <f t="shared" ca="1" si="1499"/>
        <v>0</v>
      </c>
      <c r="CU142" s="1461">
        <f t="shared" ca="1" si="1499"/>
        <v>0</v>
      </c>
      <c r="CV142" s="1461">
        <f t="shared" ca="1" si="1499"/>
        <v>0</v>
      </c>
      <c r="CW142" s="1461">
        <f t="shared" ca="1" si="1499"/>
        <v>0</v>
      </c>
      <c r="CX142" s="1461">
        <f t="shared" ca="1" si="1499"/>
        <v>0</v>
      </c>
      <c r="CY142" s="1461">
        <f t="shared" ca="1" si="1499"/>
        <v>0</v>
      </c>
      <c r="CZ142" s="1461">
        <f t="shared" ca="1" si="1499"/>
        <v>0</v>
      </c>
      <c r="DA142" s="1461">
        <f t="shared" ca="1" si="1499"/>
        <v>0</v>
      </c>
      <c r="DB142" s="41"/>
      <c r="DC142" s="1461">
        <f t="shared" ca="1" si="1500"/>
        <v>0</v>
      </c>
      <c r="DD142" s="1461">
        <f t="shared" ca="1" si="1500"/>
        <v>0</v>
      </c>
      <c r="DE142" s="1461">
        <f t="shared" ca="1" si="1500"/>
        <v>0</v>
      </c>
      <c r="DF142" s="1461">
        <f t="shared" ca="1" si="1500"/>
        <v>0</v>
      </c>
      <c r="DG142" s="1461">
        <f t="shared" ca="1" si="1500"/>
        <v>0</v>
      </c>
      <c r="DH142" s="1461">
        <f t="shared" ca="1" si="1500"/>
        <v>0</v>
      </c>
      <c r="DI142" s="1461">
        <f t="shared" ca="1" si="1500"/>
        <v>0</v>
      </c>
      <c r="DJ142" s="1461">
        <f t="shared" ca="1" si="1500"/>
        <v>0</v>
      </c>
      <c r="DK142" s="1461">
        <f t="shared" ca="1" si="1500"/>
        <v>0</v>
      </c>
      <c r="DL142" s="1461">
        <f t="shared" ca="1" si="1500"/>
        <v>0</v>
      </c>
      <c r="DM142" s="1461">
        <f t="shared" ca="1" si="1501"/>
        <v>0</v>
      </c>
      <c r="DN142" s="1461">
        <f t="shared" ca="1" si="1501"/>
        <v>0</v>
      </c>
      <c r="DO142" s="1461">
        <f t="shared" ca="1" si="1501"/>
        <v>0</v>
      </c>
      <c r="DP142" s="1461">
        <f t="shared" ca="1" si="1501"/>
        <v>0</v>
      </c>
      <c r="DQ142" s="1461">
        <f t="shared" ca="1" si="1501"/>
        <v>0</v>
      </c>
      <c r="DR142" s="1461">
        <f t="shared" ca="1" si="1501"/>
        <v>0</v>
      </c>
      <c r="DS142" s="1461">
        <f t="shared" ca="1" si="1501"/>
        <v>0</v>
      </c>
      <c r="DT142" s="1461">
        <f t="shared" ca="1" si="1501"/>
        <v>0</v>
      </c>
      <c r="DU142" s="1461">
        <f t="shared" ca="1" si="1501"/>
        <v>0</v>
      </c>
      <c r="DV142" s="1461">
        <f t="shared" ca="1" si="1501"/>
        <v>0</v>
      </c>
      <c r="DW142" s="1461">
        <f t="shared" ca="1" si="1502"/>
        <v>0</v>
      </c>
      <c r="DX142" s="1461">
        <f t="shared" ca="1" si="1502"/>
        <v>0</v>
      </c>
      <c r="DY142" s="1461">
        <f t="shared" ca="1" si="1502"/>
        <v>0</v>
      </c>
      <c r="DZ142" s="1461">
        <f t="shared" ca="1" si="1502"/>
        <v>0</v>
      </c>
      <c r="EA142" s="1461">
        <f t="shared" ca="1" si="1502"/>
        <v>0</v>
      </c>
      <c r="EB142" s="1461">
        <f t="shared" ca="1" si="1502"/>
        <v>0</v>
      </c>
      <c r="EC142" s="1461">
        <f t="shared" ca="1" si="1502"/>
        <v>0</v>
      </c>
      <c r="ED142" s="1461">
        <f t="shared" ca="1" si="1502"/>
        <v>0</v>
      </c>
      <c r="EE142" s="1461">
        <f t="shared" ca="1" si="1502"/>
        <v>0</v>
      </c>
      <c r="EF142" s="1461">
        <f t="shared" ca="1" si="1502"/>
        <v>0</v>
      </c>
      <c r="EG142" s="1461">
        <f t="shared" ca="1" si="1502"/>
        <v>0</v>
      </c>
    </row>
    <row r="143" spans="1:137">
      <c r="A143" s="595"/>
      <c r="B143" s="598"/>
      <c r="C143" s="599"/>
      <c r="D143" s="1552">
        <v>15</v>
      </c>
      <c r="E143" s="542" t="s">
        <v>268</v>
      </c>
      <c r="F143" s="52" t="s">
        <v>1422</v>
      </c>
      <c r="G143" s="62">
        <f t="shared" si="1493"/>
        <v>0</v>
      </c>
      <c r="H143" s="171"/>
      <c r="I143" s="1541"/>
      <c r="J143" s="15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41"/>
      <c r="AL143" s="41"/>
      <c r="AM143" s="41"/>
      <c r="AN143" s="41"/>
      <c r="AO143" s="41"/>
      <c r="AP143" s="41"/>
      <c r="AQ143" s="1461">
        <f t="shared" si="1494"/>
        <v>0</v>
      </c>
      <c r="AR143" s="1461">
        <f t="shared" si="1494"/>
        <v>0</v>
      </c>
      <c r="AS143" s="1461">
        <f t="shared" si="1494"/>
        <v>0</v>
      </c>
      <c r="AT143" s="1461">
        <f t="shared" si="1494"/>
        <v>0</v>
      </c>
      <c r="AU143" s="1461">
        <f t="shared" si="1494"/>
        <v>0</v>
      </c>
      <c r="AV143" s="1461">
        <f t="shared" si="1494"/>
        <v>0</v>
      </c>
      <c r="AW143" s="1461">
        <f t="shared" si="1494"/>
        <v>0</v>
      </c>
      <c r="AX143" s="1461">
        <f t="shared" si="1494"/>
        <v>0</v>
      </c>
      <c r="AY143" s="1461">
        <f t="shared" si="1494"/>
        <v>0</v>
      </c>
      <c r="AZ143" s="1461">
        <f t="shared" si="1494"/>
        <v>0</v>
      </c>
      <c r="BA143" s="1461">
        <f t="shared" si="1495"/>
        <v>0</v>
      </c>
      <c r="BB143" s="1461">
        <f t="shared" si="1495"/>
        <v>0</v>
      </c>
      <c r="BC143" s="1461">
        <f t="shared" si="1495"/>
        <v>0</v>
      </c>
      <c r="BD143" s="1461">
        <f t="shared" si="1495"/>
        <v>0</v>
      </c>
      <c r="BE143" s="1461">
        <f t="shared" si="1495"/>
        <v>0</v>
      </c>
      <c r="BF143" s="1461">
        <f t="shared" si="1495"/>
        <v>0</v>
      </c>
      <c r="BG143" s="1461">
        <f t="shared" si="1495"/>
        <v>0</v>
      </c>
      <c r="BH143" s="1461">
        <f t="shared" si="1495"/>
        <v>0</v>
      </c>
      <c r="BI143" s="1461">
        <f t="shared" si="1495"/>
        <v>0</v>
      </c>
      <c r="BJ143" s="1461">
        <f t="shared" si="1495"/>
        <v>0</v>
      </c>
      <c r="BK143" s="1461">
        <f t="shared" si="1496"/>
        <v>0</v>
      </c>
      <c r="BL143" s="1461">
        <f t="shared" si="1496"/>
        <v>0</v>
      </c>
      <c r="BM143" s="1461">
        <f t="shared" si="1496"/>
        <v>0</v>
      </c>
      <c r="BN143" s="1461">
        <f t="shared" si="1496"/>
        <v>0</v>
      </c>
      <c r="BO143" s="1461">
        <f t="shared" si="1496"/>
        <v>0</v>
      </c>
      <c r="BP143" s="1461">
        <f t="shared" si="1496"/>
        <v>0</v>
      </c>
      <c r="BQ143" s="1461">
        <f t="shared" si="1496"/>
        <v>0</v>
      </c>
      <c r="BR143" s="1461">
        <f t="shared" si="1496"/>
        <v>0</v>
      </c>
      <c r="BS143" s="1461">
        <f t="shared" si="1496"/>
        <v>0</v>
      </c>
      <c r="BT143" s="1461">
        <f t="shared" si="1496"/>
        <v>0</v>
      </c>
      <c r="BU143" s="1461">
        <f t="shared" si="1496"/>
        <v>0</v>
      </c>
      <c r="BV143" s="63"/>
      <c r="BW143" s="1461">
        <f t="shared" si="1497"/>
        <v>0</v>
      </c>
      <c r="BX143" s="1461">
        <f t="shared" si="1497"/>
        <v>0</v>
      </c>
      <c r="BY143" s="1461">
        <f t="shared" si="1497"/>
        <v>0</v>
      </c>
      <c r="BZ143" s="1461">
        <f t="shared" si="1497"/>
        <v>0</v>
      </c>
      <c r="CA143" s="1461">
        <f t="shared" si="1497"/>
        <v>0</v>
      </c>
      <c r="CB143" s="1461">
        <f t="shared" si="1497"/>
        <v>0</v>
      </c>
      <c r="CC143" s="1461">
        <f t="shared" si="1497"/>
        <v>0</v>
      </c>
      <c r="CD143" s="1461">
        <f t="shared" si="1497"/>
        <v>0</v>
      </c>
      <c r="CE143" s="1461">
        <f t="shared" si="1497"/>
        <v>0</v>
      </c>
      <c r="CF143" s="1461">
        <f t="shared" si="1497"/>
        <v>0</v>
      </c>
      <c r="CG143" s="1461">
        <f t="shared" si="1498"/>
        <v>0</v>
      </c>
      <c r="CH143" s="1461">
        <f t="shared" si="1498"/>
        <v>0</v>
      </c>
      <c r="CI143" s="1461">
        <f t="shared" si="1498"/>
        <v>0</v>
      </c>
      <c r="CJ143" s="1461">
        <f t="shared" si="1498"/>
        <v>0</v>
      </c>
      <c r="CK143" s="1461">
        <f t="shared" si="1498"/>
        <v>0</v>
      </c>
      <c r="CL143" s="1461">
        <f t="shared" si="1498"/>
        <v>0</v>
      </c>
      <c r="CM143" s="1461">
        <f t="shared" si="1498"/>
        <v>0</v>
      </c>
      <c r="CN143" s="1461">
        <f t="shared" si="1498"/>
        <v>0</v>
      </c>
      <c r="CO143" s="1461">
        <f t="shared" si="1498"/>
        <v>0</v>
      </c>
      <c r="CP143" s="1461">
        <f t="shared" si="1498"/>
        <v>0</v>
      </c>
      <c r="CQ143" s="1461">
        <f t="shared" si="1499"/>
        <v>0</v>
      </c>
      <c r="CR143" s="1461">
        <f t="shared" si="1499"/>
        <v>0</v>
      </c>
      <c r="CS143" s="1461">
        <f t="shared" si="1499"/>
        <v>0</v>
      </c>
      <c r="CT143" s="1461">
        <f t="shared" si="1499"/>
        <v>0</v>
      </c>
      <c r="CU143" s="1461">
        <f t="shared" si="1499"/>
        <v>0</v>
      </c>
      <c r="CV143" s="1461">
        <f t="shared" si="1499"/>
        <v>0</v>
      </c>
      <c r="CW143" s="1461">
        <f t="shared" si="1499"/>
        <v>0</v>
      </c>
      <c r="CX143" s="1461">
        <f t="shared" si="1499"/>
        <v>0</v>
      </c>
      <c r="CY143" s="1461">
        <f t="shared" si="1499"/>
        <v>0</v>
      </c>
      <c r="CZ143" s="1461">
        <f t="shared" si="1499"/>
        <v>0</v>
      </c>
      <c r="DA143" s="1461">
        <f t="shared" si="1499"/>
        <v>0</v>
      </c>
      <c r="DB143" s="41"/>
      <c r="DC143" s="1461">
        <f t="shared" si="1500"/>
        <v>0</v>
      </c>
      <c r="DD143" s="1461">
        <f t="shared" si="1500"/>
        <v>0</v>
      </c>
      <c r="DE143" s="1461">
        <f t="shared" si="1500"/>
        <v>0</v>
      </c>
      <c r="DF143" s="1461">
        <f t="shared" si="1500"/>
        <v>0</v>
      </c>
      <c r="DG143" s="1461">
        <f t="shared" si="1500"/>
        <v>0</v>
      </c>
      <c r="DH143" s="1461">
        <f t="shared" si="1500"/>
        <v>0</v>
      </c>
      <c r="DI143" s="1461">
        <f t="shared" si="1500"/>
        <v>0</v>
      </c>
      <c r="DJ143" s="1461">
        <f t="shared" si="1500"/>
        <v>0</v>
      </c>
      <c r="DK143" s="1461">
        <f t="shared" si="1500"/>
        <v>0</v>
      </c>
      <c r="DL143" s="1461">
        <f t="shared" si="1500"/>
        <v>0</v>
      </c>
      <c r="DM143" s="1461">
        <f t="shared" si="1501"/>
        <v>0</v>
      </c>
      <c r="DN143" s="1461">
        <f t="shared" si="1501"/>
        <v>0</v>
      </c>
      <c r="DO143" s="1461">
        <f t="shared" si="1501"/>
        <v>0</v>
      </c>
      <c r="DP143" s="1461">
        <f t="shared" si="1501"/>
        <v>0</v>
      </c>
      <c r="DQ143" s="1461">
        <f t="shared" si="1501"/>
        <v>0</v>
      </c>
      <c r="DR143" s="1461">
        <f t="shared" si="1501"/>
        <v>0</v>
      </c>
      <c r="DS143" s="1461">
        <f t="shared" si="1501"/>
        <v>0</v>
      </c>
      <c r="DT143" s="1461">
        <f t="shared" si="1501"/>
        <v>0</v>
      </c>
      <c r="DU143" s="1461">
        <f t="shared" si="1501"/>
        <v>0</v>
      </c>
      <c r="DV143" s="1461">
        <f t="shared" si="1501"/>
        <v>0</v>
      </c>
      <c r="DW143" s="1461">
        <f t="shared" si="1502"/>
        <v>0</v>
      </c>
      <c r="DX143" s="1461">
        <f t="shared" si="1502"/>
        <v>0</v>
      </c>
      <c r="DY143" s="1461">
        <f t="shared" si="1502"/>
        <v>0</v>
      </c>
      <c r="DZ143" s="1461">
        <f t="shared" si="1502"/>
        <v>0</v>
      </c>
      <c r="EA143" s="1461">
        <f t="shared" si="1502"/>
        <v>0</v>
      </c>
      <c r="EB143" s="1461">
        <f t="shared" si="1502"/>
        <v>0</v>
      </c>
      <c r="EC143" s="1461">
        <f t="shared" si="1502"/>
        <v>0</v>
      </c>
      <c r="ED143" s="1461">
        <f t="shared" si="1502"/>
        <v>0</v>
      </c>
      <c r="EE143" s="1461">
        <f t="shared" si="1502"/>
        <v>0</v>
      </c>
      <c r="EF143" s="1461">
        <f t="shared" si="1502"/>
        <v>0</v>
      </c>
      <c r="EG143" s="1461">
        <f t="shared" si="1502"/>
        <v>0</v>
      </c>
    </row>
    <row r="144" spans="1:137">
      <c r="A144" s="595"/>
      <c r="B144" s="598"/>
      <c r="C144" s="599"/>
      <c r="D144" s="1552">
        <v>16</v>
      </c>
      <c r="E144" s="542" t="s">
        <v>269</v>
      </c>
      <c r="F144" s="52" t="s">
        <v>1423</v>
      </c>
      <c r="G144" s="62">
        <f t="shared" si="1493"/>
        <v>0</v>
      </c>
      <c r="H144" s="171"/>
      <c r="I144" s="1541"/>
      <c r="J144" s="15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41"/>
      <c r="AL144" s="41"/>
      <c r="AM144" s="41"/>
      <c r="AN144" s="41"/>
      <c r="AO144" s="41"/>
      <c r="AP144" s="41"/>
      <c r="AQ144" s="1461">
        <f t="shared" si="1494"/>
        <v>0</v>
      </c>
      <c r="AR144" s="1461">
        <f t="shared" si="1494"/>
        <v>0</v>
      </c>
      <c r="AS144" s="1461">
        <f t="shared" si="1494"/>
        <v>0</v>
      </c>
      <c r="AT144" s="1461">
        <f t="shared" si="1494"/>
        <v>0</v>
      </c>
      <c r="AU144" s="1461">
        <f t="shared" si="1494"/>
        <v>0</v>
      </c>
      <c r="AV144" s="1461">
        <f t="shared" si="1494"/>
        <v>0</v>
      </c>
      <c r="AW144" s="1461">
        <f t="shared" si="1494"/>
        <v>0</v>
      </c>
      <c r="AX144" s="1461">
        <f t="shared" si="1494"/>
        <v>0</v>
      </c>
      <c r="AY144" s="1461">
        <f t="shared" si="1494"/>
        <v>0</v>
      </c>
      <c r="AZ144" s="1461">
        <f t="shared" si="1494"/>
        <v>0</v>
      </c>
      <c r="BA144" s="1461">
        <f t="shared" si="1495"/>
        <v>0</v>
      </c>
      <c r="BB144" s="1461">
        <f t="shared" si="1495"/>
        <v>0</v>
      </c>
      <c r="BC144" s="1461">
        <f t="shared" si="1495"/>
        <v>0</v>
      </c>
      <c r="BD144" s="1461">
        <f t="shared" si="1495"/>
        <v>0</v>
      </c>
      <c r="BE144" s="1461">
        <f t="shared" si="1495"/>
        <v>0</v>
      </c>
      <c r="BF144" s="1461">
        <f t="shared" si="1495"/>
        <v>0</v>
      </c>
      <c r="BG144" s="1461">
        <f t="shared" si="1495"/>
        <v>0</v>
      </c>
      <c r="BH144" s="1461">
        <f t="shared" si="1495"/>
        <v>0</v>
      </c>
      <c r="BI144" s="1461">
        <f t="shared" si="1495"/>
        <v>0</v>
      </c>
      <c r="BJ144" s="1461">
        <f t="shared" si="1495"/>
        <v>0</v>
      </c>
      <c r="BK144" s="1461">
        <f t="shared" si="1496"/>
        <v>0</v>
      </c>
      <c r="BL144" s="1461">
        <f t="shared" si="1496"/>
        <v>0</v>
      </c>
      <c r="BM144" s="1461">
        <f t="shared" si="1496"/>
        <v>0</v>
      </c>
      <c r="BN144" s="1461">
        <f t="shared" si="1496"/>
        <v>0</v>
      </c>
      <c r="BO144" s="1461">
        <f t="shared" si="1496"/>
        <v>0</v>
      </c>
      <c r="BP144" s="1461">
        <f t="shared" si="1496"/>
        <v>0</v>
      </c>
      <c r="BQ144" s="1461">
        <f t="shared" si="1496"/>
        <v>0</v>
      </c>
      <c r="BR144" s="1461">
        <f t="shared" si="1496"/>
        <v>0</v>
      </c>
      <c r="BS144" s="1461">
        <f t="shared" si="1496"/>
        <v>0</v>
      </c>
      <c r="BT144" s="1461">
        <f t="shared" si="1496"/>
        <v>0</v>
      </c>
      <c r="BU144" s="1461">
        <f t="shared" si="1496"/>
        <v>0</v>
      </c>
      <c r="BV144" s="63"/>
      <c r="BW144" s="1461">
        <f t="shared" si="1497"/>
        <v>0</v>
      </c>
      <c r="BX144" s="1461">
        <f t="shared" si="1497"/>
        <v>0</v>
      </c>
      <c r="BY144" s="1461">
        <f t="shared" si="1497"/>
        <v>0</v>
      </c>
      <c r="BZ144" s="1461">
        <f t="shared" si="1497"/>
        <v>0</v>
      </c>
      <c r="CA144" s="1461">
        <f t="shared" si="1497"/>
        <v>0</v>
      </c>
      <c r="CB144" s="1461">
        <f t="shared" si="1497"/>
        <v>0</v>
      </c>
      <c r="CC144" s="1461">
        <f t="shared" si="1497"/>
        <v>0</v>
      </c>
      <c r="CD144" s="1461">
        <f t="shared" si="1497"/>
        <v>0</v>
      </c>
      <c r="CE144" s="1461">
        <f t="shared" si="1497"/>
        <v>0</v>
      </c>
      <c r="CF144" s="1461">
        <f t="shared" si="1497"/>
        <v>0</v>
      </c>
      <c r="CG144" s="1461">
        <f t="shared" si="1498"/>
        <v>0</v>
      </c>
      <c r="CH144" s="1461">
        <f t="shared" si="1498"/>
        <v>0</v>
      </c>
      <c r="CI144" s="1461">
        <f t="shared" si="1498"/>
        <v>0</v>
      </c>
      <c r="CJ144" s="1461">
        <f t="shared" si="1498"/>
        <v>0</v>
      </c>
      <c r="CK144" s="1461">
        <f t="shared" si="1498"/>
        <v>0</v>
      </c>
      <c r="CL144" s="1461">
        <f t="shared" si="1498"/>
        <v>0</v>
      </c>
      <c r="CM144" s="1461">
        <f t="shared" si="1498"/>
        <v>0</v>
      </c>
      <c r="CN144" s="1461">
        <f t="shared" si="1498"/>
        <v>0</v>
      </c>
      <c r="CO144" s="1461">
        <f t="shared" si="1498"/>
        <v>0</v>
      </c>
      <c r="CP144" s="1461">
        <f t="shared" si="1498"/>
        <v>0</v>
      </c>
      <c r="CQ144" s="1461">
        <f t="shared" si="1499"/>
        <v>0</v>
      </c>
      <c r="CR144" s="1461">
        <f t="shared" si="1499"/>
        <v>0</v>
      </c>
      <c r="CS144" s="1461">
        <f t="shared" si="1499"/>
        <v>0</v>
      </c>
      <c r="CT144" s="1461">
        <f t="shared" si="1499"/>
        <v>0</v>
      </c>
      <c r="CU144" s="1461">
        <f t="shared" si="1499"/>
        <v>0</v>
      </c>
      <c r="CV144" s="1461">
        <f t="shared" si="1499"/>
        <v>0</v>
      </c>
      <c r="CW144" s="1461">
        <f t="shared" si="1499"/>
        <v>0</v>
      </c>
      <c r="CX144" s="1461">
        <f t="shared" si="1499"/>
        <v>0</v>
      </c>
      <c r="CY144" s="1461">
        <f t="shared" si="1499"/>
        <v>0</v>
      </c>
      <c r="CZ144" s="1461">
        <f t="shared" si="1499"/>
        <v>0</v>
      </c>
      <c r="DA144" s="1461">
        <f t="shared" si="1499"/>
        <v>0</v>
      </c>
      <c r="DB144" s="41"/>
      <c r="DC144" s="1461">
        <f t="shared" si="1500"/>
        <v>0</v>
      </c>
      <c r="DD144" s="1461">
        <f t="shared" si="1500"/>
        <v>0</v>
      </c>
      <c r="DE144" s="1461">
        <f t="shared" si="1500"/>
        <v>0</v>
      </c>
      <c r="DF144" s="1461">
        <f t="shared" si="1500"/>
        <v>0</v>
      </c>
      <c r="DG144" s="1461">
        <f t="shared" si="1500"/>
        <v>0</v>
      </c>
      <c r="DH144" s="1461">
        <f t="shared" si="1500"/>
        <v>0</v>
      </c>
      <c r="DI144" s="1461">
        <f t="shared" si="1500"/>
        <v>0</v>
      </c>
      <c r="DJ144" s="1461">
        <f t="shared" si="1500"/>
        <v>0</v>
      </c>
      <c r="DK144" s="1461">
        <f t="shared" si="1500"/>
        <v>0</v>
      </c>
      <c r="DL144" s="1461">
        <f t="shared" si="1500"/>
        <v>0</v>
      </c>
      <c r="DM144" s="1461">
        <f t="shared" si="1501"/>
        <v>0</v>
      </c>
      <c r="DN144" s="1461">
        <f t="shared" si="1501"/>
        <v>0</v>
      </c>
      <c r="DO144" s="1461">
        <f t="shared" si="1501"/>
        <v>0</v>
      </c>
      <c r="DP144" s="1461">
        <f t="shared" si="1501"/>
        <v>0</v>
      </c>
      <c r="DQ144" s="1461">
        <f t="shared" si="1501"/>
        <v>0</v>
      </c>
      <c r="DR144" s="1461">
        <f t="shared" si="1501"/>
        <v>0</v>
      </c>
      <c r="DS144" s="1461">
        <f t="shared" si="1501"/>
        <v>0</v>
      </c>
      <c r="DT144" s="1461">
        <f t="shared" si="1501"/>
        <v>0</v>
      </c>
      <c r="DU144" s="1461">
        <f t="shared" si="1501"/>
        <v>0</v>
      </c>
      <c r="DV144" s="1461">
        <f t="shared" si="1501"/>
        <v>0</v>
      </c>
      <c r="DW144" s="1461">
        <f t="shared" si="1502"/>
        <v>0</v>
      </c>
      <c r="DX144" s="1461">
        <f t="shared" si="1502"/>
        <v>0</v>
      </c>
      <c r="DY144" s="1461">
        <f t="shared" si="1502"/>
        <v>0</v>
      </c>
      <c r="DZ144" s="1461">
        <f t="shared" si="1502"/>
        <v>0</v>
      </c>
      <c r="EA144" s="1461">
        <f t="shared" si="1502"/>
        <v>0</v>
      </c>
      <c r="EB144" s="1461">
        <f t="shared" si="1502"/>
        <v>0</v>
      </c>
      <c r="EC144" s="1461">
        <f t="shared" si="1502"/>
        <v>0</v>
      </c>
      <c r="ED144" s="1461">
        <f t="shared" si="1502"/>
        <v>0</v>
      </c>
      <c r="EE144" s="1461">
        <f t="shared" si="1502"/>
        <v>0</v>
      </c>
      <c r="EF144" s="1461">
        <f t="shared" si="1502"/>
        <v>0</v>
      </c>
      <c r="EG144" s="1461">
        <f t="shared" si="1502"/>
        <v>0</v>
      </c>
    </row>
    <row r="145" spans="1:137">
      <c r="A145" s="595"/>
      <c r="B145" s="598"/>
      <c r="C145" s="599"/>
      <c r="D145" s="1552">
        <v>17</v>
      </c>
      <c r="E145" s="542" t="s">
        <v>270</v>
      </c>
      <c r="F145" s="52" t="s">
        <v>1424</v>
      </c>
      <c r="G145" s="62">
        <f t="shared" si="1493"/>
        <v>0</v>
      </c>
      <c r="H145" s="171"/>
      <c r="I145" s="1541"/>
      <c r="J145" s="15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41"/>
      <c r="AL145" s="41"/>
      <c r="AM145" s="41"/>
      <c r="AN145" s="41"/>
      <c r="AO145" s="41"/>
      <c r="AP145" s="41"/>
      <c r="AQ145" s="1461">
        <f t="shared" si="1494"/>
        <v>0</v>
      </c>
      <c r="AR145" s="1461">
        <f t="shared" si="1494"/>
        <v>0</v>
      </c>
      <c r="AS145" s="1461">
        <f t="shared" si="1494"/>
        <v>0</v>
      </c>
      <c r="AT145" s="1461">
        <f t="shared" si="1494"/>
        <v>0</v>
      </c>
      <c r="AU145" s="1461">
        <f t="shared" si="1494"/>
        <v>0</v>
      </c>
      <c r="AV145" s="1461">
        <f t="shared" si="1494"/>
        <v>0</v>
      </c>
      <c r="AW145" s="1461">
        <f t="shared" si="1494"/>
        <v>0</v>
      </c>
      <c r="AX145" s="1461">
        <f t="shared" si="1494"/>
        <v>0</v>
      </c>
      <c r="AY145" s="1461">
        <f t="shared" si="1494"/>
        <v>0</v>
      </c>
      <c r="AZ145" s="1461">
        <f t="shared" si="1494"/>
        <v>0</v>
      </c>
      <c r="BA145" s="1461">
        <f t="shared" si="1495"/>
        <v>0</v>
      </c>
      <c r="BB145" s="1461">
        <f t="shared" si="1495"/>
        <v>0</v>
      </c>
      <c r="BC145" s="1461">
        <f t="shared" si="1495"/>
        <v>0</v>
      </c>
      <c r="BD145" s="1461">
        <f t="shared" si="1495"/>
        <v>0</v>
      </c>
      <c r="BE145" s="1461">
        <f t="shared" si="1495"/>
        <v>0</v>
      </c>
      <c r="BF145" s="1461">
        <f t="shared" si="1495"/>
        <v>0</v>
      </c>
      <c r="BG145" s="1461">
        <f t="shared" si="1495"/>
        <v>0</v>
      </c>
      <c r="BH145" s="1461">
        <f t="shared" si="1495"/>
        <v>0</v>
      </c>
      <c r="BI145" s="1461">
        <f t="shared" si="1495"/>
        <v>0</v>
      </c>
      <c r="BJ145" s="1461">
        <f t="shared" si="1495"/>
        <v>0</v>
      </c>
      <c r="BK145" s="1461">
        <f t="shared" si="1496"/>
        <v>0</v>
      </c>
      <c r="BL145" s="1461">
        <f t="shared" si="1496"/>
        <v>0</v>
      </c>
      <c r="BM145" s="1461">
        <f t="shared" si="1496"/>
        <v>0</v>
      </c>
      <c r="BN145" s="1461">
        <f t="shared" si="1496"/>
        <v>0</v>
      </c>
      <c r="BO145" s="1461">
        <f t="shared" si="1496"/>
        <v>0</v>
      </c>
      <c r="BP145" s="1461">
        <f t="shared" si="1496"/>
        <v>0</v>
      </c>
      <c r="BQ145" s="1461">
        <f t="shared" si="1496"/>
        <v>0</v>
      </c>
      <c r="BR145" s="1461">
        <f t="shared" si="1496"/>
        <v>0</v>
      </c>
      <c r="BS145" s="1461">
        <f t="shared" si="1496"/>
        <v>0</v>
      </c>
      <c r="BT145" s="1461">
        <f t="shared" si="1496"/>
        <v>0</v>
      </c>
      <c r="BU145" s="1461">
        <f t="shared" si="1496"/>
        <v>0</v>
      </c>
      <c r="BV145" s="63"/>
      <c r="BW145" s="1461">
        <f t="shared" si="1497"/>
        <v>0</v>
      </c>
      <c r="BX145" s="1461">
        <f t="shared" si="1497"/>
        <v>0</v>
      </c>
      <c r="BY145" s="1461">
        <f t="shared" si="1497"/>
        <v>0</v>
      </c>
      <c r="BZ145" s="1461">
        <f t="shared" si="1497"/>
        <v>0</v>
      </c>
      <c r="CA145" s="1461">
        <f t="shared" si="1497"/>
        <v>0</v>
      </c>
      <c r="CB145" s="1461">
        <f t="shared" si="1497"/>
        <v>0</v>
      </c>
      <c r="CC145" s="1461">
        <f t="shared" si="1497"/>
        <v>0</v>
      </c>
      <c r="CD145" s="1461">
        <f t="shared" si="1497"/>
        <v>0</v>
      </c>
      <c r="CE145" s="1461">
        <f t="shared" si="1497"/>
        <v>0</v>
      </c>
      <c r="CF145" s="1461">
        <f t="shared" si="1497"/>
        <v>0</v>
      </c>
      <c r="CG145" s="1461">
        <f t="shared" si="1498"/>
        <v>0</v>
      </c>
      <c r="CH145" s="1461">
        <f t="shared" si="1498"/>
        <v>0</v>
      </c>
      <c r="CI145" s="1461">
        <f t="shared" si="1498"/>
        <v>0</v>
      </c>
      <c r="CJ145" s="1461">
        <f t="shared" si="1498"/>
        <v>0</v>
      </c>
      <c r="CK145" s="1461">
        <f t="shared" si="1498"/>
        <v>0</v>
      </c>
      <c r="CL145" s="1461">
        <f t="shared" si="1498"/>
        <v>0</v>
      </c>
      <c r="CM145" s="1461">
        <f t="shared" si="1498"/>
        <v>0</v>
      </c>
      <c r="CN145" s="1461">
        <f t="shared" si="1498"/>
        <v>0</v>
      </c>
      <c r="CO145" s="1461">
        <f t="shared" si="1498"/>
        <v>0</v>
      </c>
      <c r="CP145" s="1461">
        <f t="shared" si="1498"/>
        <v>0</v>
      </c>
      <c r="CQ145" s="1461">
        <f t="shared" si="1499"/>
        <v>0</v>
      </c>
      <c r="CR145" s="1461">
        <f t="shared" si="1499"/>
        <v>0</v>
      </c>
      <c r="CS145" s="1461">
        <f t="shared" si="1499"/>
        <v>0</v>
      </c>
      <c r="CT145" s="1461">
        <f t="shared" si="1499"/>
        <v>0</v>
      </c>
      <c r="CU145" s="1461">
        <f t="shared" si="1499"/>
        <v>0</v>
      </c>
      <c r="CV145" s="1461">
        <f t="shared" si="1499"/>
        <v>0</v>
      </c>
      <c r="CW145" s="1461">
        <f t="shared" si="1499"/>
        <v>0</v>
      </c>
      <c r="CX145" s="1461">
        <f t="shared" si="1499"/>
        <v>0</v>
      </c>
      <c r="CY145" s="1461">
        <f t="shared" si="1499"/>
        <v>0</v>
      </c>
      <c r="CZ145" s="1461">
        <f t="shared" si="1499"/>
        <v>0</v>
      </c>
      <c r="DA145" s="1461">
        <f t="shared" si="1499"/>
        <v>0</v>
      </c>
      <c r="DB145" s="41"/>
      <c r="DC145" s="1461">
        <f t="shared" si="1500"/>
        <v>0</v>
      </c>
      <c r="DD145" s="1461">
        <f t="shared" si="1500"/>
        <v>0</v>
      </c>
      <c r="DE145" s="1461">
        <f t="shared" si="1500"/>
        <v>0</v>
      </c>
      <c r="DF145" s="1461">
        <f t="shared" si="1500"/>
        <v>0</v>
      </c>
      <c r="DG145" s="1461">
        <f t="shared" si="1500"/>
        <v>0</v>
      </c>
      <c r="DH145" s="1461">
        <f t="shared" si="1500"/>
        <v>0</v>
      </c>
      <c r="DI145" s="1461">
        <f t="shared" si="1500"/>
        <v>0</v>
      </c>
      <c r="DJ145" s="1461">
        <f t="shared" si="1500"/>
        <v>0</v>
      </c>
      <c r="DK145" s="1461">
        <f t="shared" si="1500"/>
        <v>0</v>
      </c>
      <c r="DL145" s="1461">
        <f t="shared" si="1500"/>
        <v>0</v>
      </c>
      <c r="DM145" s="1461">
        <f t="shared" si="1501"/>
        <v>0</v>
      </c>
      <c r="DN145" s="1461">
        <f t="shared" si="1501"/>
        <v>0</v>
      </c>
      <c r="DO145" s="1461">
        <f t="shared" si="1501"/>
        <v>0</v>
      </c>
      <c r="DP145" s="1461">
        <f t="shared" si="1501"/>
        <v>0</v>
      </c>
      <c r="DQ145" s="1461">
        <f t="shared" si="1501"/>
        <v>0</v>
      </c>
      <c r="DR145" s="1461">
        <f t="shared" si="1501"/>
        <v>0</v>
      </c>
      <c r="DS145" s="1461">
        <f t="shared" si="1501"/>
        <v>0</v>
      </c>
      <c r="DT145" s="1461">
        <f t="shared" si="1501"/>
        <v>0</v>
      </c>
      <c r="DU145" s="1461">
        <f t="shared" si="1501"/>
        <v>0</v>
      </c>
      <c r="DV145" s="1461">
        <f t="shared" si="1501"/>
        <v>0</v>
      </c>
      <c r="DW145" s="1461">
        <f t="shared" si="1502"/>
        <v>0</v>
      </c>
      <c r="DX145" s="1461">
        <f t="shared" si="1502"/>
        <v>0</v>
      </c>
      <c r="DY145" s="1461">
        <f t="shared" si="1502"/>
        <v>0</v>
      </c>
      <c r="DZ145" s="1461">
        <f t="shared" si="1502"/>
        <v>0</v>
      </c>
      <c r="EA145" s="1461">
        <f t="shared" si="1502"/>
        <v>0</v>
      </c>
      <c r="EB145" s="1461">
        <f t="shared" si="1502"/>
        <v>0</v>
      </c>
      <c r="EC145" s="1461">
        <f t="shared" si="1502"/>
        <v>0</v>
      </c>
      <c r="ED145" s="1461">
        <f t="shared" si="1502"/>
        <v>0</v>
      </c>
      <c r="EE145" s="1461">
        <f t="shared" si="1502"/>
        <v>0</v>
      </c>
      <c r="EF145" s="1461">
        <f t="shared" si="1502"/>
        <v>0</v>
      </c>
      <c r="EG145" s="1461">
        <f t="shared" si="1502"/>
        <v>0</v>
      </c>
    </row>
    <row r="146" spans="1:137">
      <c r="A146" s="595"/>
      <c r="B146" s="598"/>
      <c r="C146" s="599"/>
      <c r="D146" s="1552"/>
      <c r="E146" s="542"/>
      <c r="F146" s="52"/>
      <c r="G146" s="62">
        <f t="shared" si="1493"/>
        <v>0</v>
      </c>
      <c r="H146" s="171"/>
      <c r="I146" s="1541"/>
      <c r="J146" s="15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41"/>
      <c r="AL146" s="41"/>
      <c r="AM146" s="41"/>
      <c r="AN146" s="41"/>
      <c r="AO146" s="41"/>
      <c r="AP146" s="41"/>
      <c r="AQ146" s="1461">
        <f t="shared" si="1494"/>
        <v>0</v>
      </c>
      <c r="AR146" s="1461">
        <f t="shared" si="1494"/>
        <v>0</v>
      </c>
      <c r="AS146" s="1461">
        <f t="shared" si="1494"/>
        <v>0</v>
      </c>
      <c r="AT146" s="1461">
        <f t="shared" si="1494"/>
        <v>0</v>
      </c>
      <c r="AU146" s="1461">
        <f t="shared" si="1494"/>
        <v>0</v>
      </c>
      <c r="AV146" s="1461">
        <f t="shared" si="1494"/>
        <v>0</v>
      </c>
      <c r="AW146" s="1461">
        <f t="shared" si="1494"/>
        <v>0</v>
      </c>
      <c r="AX146" s="1461">
        <f t="shared" si="1494"/>
        <v>0</v>
      </c>
      <c r="AY146" s="1461">
        <f t="shared" si="1494"/>
        <v>0</v>
      </c>
      <c r="AZ146" s="1461">
        <f t="shared" si="1494"/>
        <v>0</v>
      </c>
      <c r="BA146" s="1461">
        <f t="shared" si="1495"/>
        <v>0</v>
      </c>
      <c r="BB146" s="1461">
        <f t="shared" si="1495"/>
        <v>0</v>
      </c>
      <c r="BC146" s="1461">
        <f t="shared" si="1495"/>
        <v>0</v>
      </c>
      <c r="BD146" s="1461">
        <f t="shared" si="1495"/>
        <v>0</v>
      </c>
      <c r="BE146" s="1461">
        <f t="shared" si="1495"/>
        <v>0</v>
      </c>
      <c r="BF146" s="1461">
        <f t="shared" si="1495"/>
        <v>0</v>
      </c>
      <c r="BG146" s="1461">
        <f t="shared" si="1495"/>
        <v>0</v>
      </c>
      <c r="BH146" s="1461">
        <f t="shared" si="1495"/>
        <v>0</v>
      </c>
      <c r="BI146" s="1461">
        <f t="shared" si="1495"/>
        <v>0</v>
      </c>
      <c r="BJ146" s="1461">
        <f t="shared" si="1495"/>
        <v>0</v>
      </c>
      <c r="BK146" s="1461">
        <f t="shared" si="1496"/>
        <v>0</v>
      </c>
      <c r="BL146" s="1461">
        <f t="shared" si="1496"/>
        <v>0</v>
      </c>
      <c r="BM146" s="1461">
        <f t="shared" si="1496"/>
        <v>0</v>
      </c>
      <c r="BN146" s="1461">
        <f t="shared" si="1496"/>
        <v>0</v>
      </c>
      <c r="BO146" s="1461">
        <f t="shared" si="1496"/>
        <v>0</v>
      </c>
      <c r="BP146" s="1461">
        <f t="shared" si="1496"/>
        <v>0</v>
      </c>
      <c r="BQ146" s="1461">
        <f t="shared" si="1496"/>
        <v>0</v>
      </c>
      <c r="BR146" s="1461">
        <f t="shared" si="1496"/>
        <v>0</v>
      </c>
      <c r="BS146" s="1461">
        <f t="shared" si="1496"/>
        <v>0</v>
      </c>
      <c r="BT146" s="1461">
        <f t="shared" si="1496"/>
        <v>0</v>
      </c>
      <c r="BU146" s="1461">
        <f t="shared" si="1496"/>
        <v>0</v>
      </c>
      <c r="BV146" s="63"/>
      <c r="BW146" s="1461">
        <f t="shared" si="1497"/>
        <v>0</v>
      </c>
      <c r="BX146" s="1461">
        <f t="shared" si="1497"/>
        <v>0</v>
      </c>
      <c r="BY146" s="1461">
        <f t="shared" si="1497"/>
        <v>0</v>
      </c>
      <c r="BZ146" s="1461">
        <f t="shared" si="1497"/>
        <v>0</v>
      </c>
      <c r="CA146" s="1461">
        <f t="shared" si="1497"/>
        <v>0</v>
      </c>
      <c r="CB146" s="1461">
        <f t="shared" si="1497"/>
        <v>0</v>
      </c>
      <c r="CC146" s="1461">
        <f t="shared" si="1497"/>
        <v>0</v>
      </c>
      <c r="CD146" s="1461">
        <f t="shared" si="1497"/>
        <v>0</v>
      </c>
      <c r="CE146" s="1461">
        <f t="shared" si="1497"/>
        <v>0</v>
      </c>
      <c r="CF146" s="1461">
        <f t="shared" si="1497"/>
        <v>0</v>
      </c>
      <c r="CG146" s="1461">
        <f t="shared" si="1498"/>
        <v>0</v>
      </c>
      <c r="CH146" s="1461">
        <f t="shared" si="1498"/>
        <v>0</v>
      </c>
      <c r="CI146" s="1461">
        <f t="shared" si="1498"/>
        <v>0</v>
      </c>
      <c r="CJ146" s="1461">
        <f t="shared" si="1498"/>
        <v>0</v>
      </c>
      <c r="CK146" s="1461">
        <f t="shared" si="1498"/>
        <v>0</v>
      </c>
      <c r="CL146" s="1461">
        <f t="shared" si="1498"/>
        <v>0</v>
      </c>
      <c r="CM146" s="1461">
        <f t="shared" si="1498"/>
        <v>0</v>
      </c>
      <c r="CN146" s="1461">
        <f t="shared" si="1498"/>
        <v>0</v>
      </c>
      <c r="CO146" s="1461">
        <f t="shared" si="1498"/>
        <v>0</v>
      </c>
      <c r="CP146" s="1461">
        <f t="shared" si="1498"/>
        <v>0</v>
      </c>
      <c r="CQ146" s="1461">
        <f t="shared" si="1499"/>
        <v>0</v>
      </c>
      <c r="CR146" s="1461">
        <f t="shared" si="1499"/>
        <v>0</v>
      </c>
      <c r="CS146" s="1461">
        <f t="shared" si="1499"/>
        <v>0</v>
      </c>
      <c r="CT146" s="1461">
        <f t="shared" si="1499"/>
        <v>0</v>
      </c>
      <c r="CU146" s="1461">
        <f t="shared" si="1499"/>
        <v>0</v>
      </c>
      <c r="CV146" s="1461">
        <f t="shared" si="1499"/>
        <v>0</v>
      </c>
      <c r="CW146" s="1461">
        <f t="shared" si="1499"/>
        <v>0</v>
      </c>
      <c r="CX146" s="1461">
        <f t="shared" si="1499"/>
        <v>0</v>
      </c>
      <c r="CY146" s="1461">
        <f t="shared" si="1499"/>
        <v>0</v>
      </c>
      <c r="CZ146" s="1461">
        <f t="shared" si="1499"/>
        <v>0</v>
      </c>
      <c r="DA146" s="1461">
        <f t="shared" si="1499"/>
        <v>0</v>
      </c>
      <c r="DB146" s="41"/>
      <c r="DC146" s="1461">
        <f t="shared" si="1500"/>
        <v>0</v>
      </c>
      <c r="DD146" s="1461">
        <f t="shared" si="1500"/>
        <v>0</v>
      </c>
      <c r="DE146" s="1461">
        <f t="shared" si="1500"/>
        <v>0</v>
      </c>
      <c r="DF146" s="1461">
        <f t="shared" si="1500"/>
        <v>0</v>
      </c>
      <c r="DG146" s="1461">
        <f t="shared" si="1500"/>
        <v>0</v>
      </c>
      <c r="DH146" s="1461">
        <f t="shared" si="1500"/>
        <v>0</v>
      </c>
      <c r="DI146" s="1461">
        <f t="shared" si="1500"/>
        <v>0</v>
      </c>
      <c r="DJ146" s="1461">
        <f t="shared" si="1500"/>
        <v>0</v>
      </c>
      <c r="DK146" s="1461">
        <f t="shared" si="1500"/>
        <v>0</v>
      </c>
      <c r="DL146" s="1461">
        <f t="shared" si="1500"/>
        <v>0</v>
      </c>
      <c r="DM146" s="1461">
        <f t="shared" si="1501"/>
        <v>0</v>
      </c>
      <c r="DN146" s="1461">
        <f t="shared" si="1501"/>
        <v>0</v>
      </c>
      <c r="DO146" s="1461">
        <f t="shared" si="1501"/>
        <v>0</v>
      </c>
      <c r="DP146" s="1461">
        <f t="shared" si="1501"/>
        <v>0</v>
      </c>
      <c r="DQ146" s="1461">
        <f t="shared" si="1501"/>
        <v>0</v>
      </c>
      <c r="DR146" s="1461">
        <f t="shared" si="1501"/>
        <v>0</v>
      </c>
      <c r="DS146" s="1461">
        <f t="shared" si="1501"/>
        <v>0</v>
      </c>
      <c r="DT146" s="1461">
        <f t="shared" si="1501"/>
        <v>0</v>
      </c>
      <c r="DU146" s="1461">
        <f t="shared" si="1501"/>
        <v>0</v>
      </c>
      <c r="DV146" s="1461">
        <f t="shared" si="1501"/>
        <v>0</v>
      </c>
      <c r="DW146" s="1461">
        <f t="shared" si="1502"/>
        <v>0</v>
      </c>
      <c r="DX146" s="1461">
        <f t="shared" si="1502"/>
        <v>0</v>
      </c>
      <c r="DY146" s="1461">
        <f t="shared" si="1502"/>
        <v>0</v>
      </c>
      <c r="DZ146" s="1461">
        <f t="shared" si="1502"/>
        <v>0</v>
      </c>
      <c r="EA146" s="1461">
        <f t="shared" si="1502"/>
        <v>0</v>
      </c>
      <c r="EB146" s="1461">
        <f t="shared" si="1502"/>
        <v>0</v>
      </c>
      <c r="EC146" s="1461">
        <f t="shared" si="1502"/>
        <v>0</v>
      </c>
      <c r="ED146" s="1461">
        <f t="shared" si="1502"/>
        <v>0</v>
      </c>
      <c r="EE146" s="1461">
        <f t="shared" si="1502"/>
        <v>0</v>
      </c>
      <c r="EF146" s="1461">
        <f t="shared" si="1502"/>
        <v>0</v>
      </c>
      <c r="EG146" s="1461">
        <f t="shared" si="1502"/>
        <v>0</v>
      </c>
    </row>
    <row r="147" spans="1:137">
      <c r="A147" s="595"/>
      <c r="B147" s="598"/>
      <c r="C147" s="599"/>
      <c r="D147" s="1552"/>
      <c r="E147" s="1553" t="s">
        <v>38</v>
      </c>
      <c r="F147" s="1526"/>
      <c r="G147" s="66"/>
      <c r="H147" s="171"/>
      <c r="I147" s="1541"/>
      <c r="J147" s="15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41"/>
      <c r="AL147" s="41"/>
      <c r="AM147" s="41"/>
      <c r="AN147" s="41"/>
      <c r="AO147" s="41"/>
      <c r="AP147" s="41"/>
      <c r="AQ147" s="1554">
        <f t="shared" ref="AQ147:BU147" ca="1" si="1503">SUM(AQ129:AQ146)</f>
        <v>3663.9589764505981</v>
      </c>
      <c r="AR147" s="1554">
        <f t="shared" ca="1" si="1503"/>
        <v>116.97165881272517</v>
      </c>
      <c r="AS147" s="1554">
        <f t="shared" ca="1" si="1503"/>
        <v>122.30990750475416</v>
      </c>
      <c r="AT147" s="1554">
        <f t="shared" ca="1" si="1503"/>
        <v>122.30990750475416</v>
      </c>
      <c r="AU147" s="1554">
        <f t="shared" ca="1" si="1503"/>
        <v>122.30990750475416</v>
      </c>
      <c r="AV147" s="1554">
        <f t="shared" ca="1" si="1503"/>
        <v>122.30990750475416</v>
      </c>
      <c r="AW147" s="1554">
        <f t="shared" ca="1" si="1503"/>
        <v>122.30990750475416</v>
      </c>
      <c r="AX147" s="1554">
        <f t="shared" ca="1" si="1503"/>
        <v>122.30990750475416</v>
      </c>
      <c r="AY147" s="1554">
        <f t="shared" ca="1" si="1503"/>
        <v>122.30990750475416</v>
      </c>
      <c r="AZ147" s="1554">
        <f t="shared" ca="1" si="1503"/>
        <v>122.30990750475416</v>
      </c>
      <c r="BA147" s="1554">
        <f t="shared" ca="1" si="1503"/>
        <v>122.30990750475416</v>
      </c>
      <c r="BB147" s="1554">
        <f t="shared" ca="1" si="1503"/>
        <v>122.30990750475416</v>
      </c>
      <c r="BC147" s="1554">
        <f t="shared" ca="1" si="1503"/>
        <v>122.30990750475416</v>
      </c>
      <c r="BD147" s="1554">
        <f t="shared" ca="1" si="1503"/>
        <v>122.30990750475416</v>
      </c>
      <c r="BE147" s="1554">
        <f t="shared" ca="1" si="1503"/>
        <v>122.30990750475416</v>
      </c>
      <c r="BF147" s="1554">
        <f t="shared" ca="1" si="1503"/>
        <v>122.30990750475416</v>
      </c>
      <c r="BG147" s="1554">
        <f t="shared" ca="1" si="1503"/>
        <v>122.30990750475416</v>
      </c>
      <c r="BH147" s="1554">
        <f t="shared" ca="1" si="1503"/>
        <v>122.30990750475416</v>
      </c>
      <c r="BI147" s="1554">
        <f t="shared" ca="1" si="1503"/>
        <v>122.30990750475416</v>
      </c>
      <c r="BJ147" s="1554">
        <f t="shared" ca="1" si="1503"/>
        <v>122.30990750475416</v>
      </c>
      <c r="BK147" s="1554">
        <f t="shared" ca="1" si="1503"/>
        <v>122.30990750475416</v>
      </c>
      <c r="BL147" s="1554">
        <f t="shared" ca="1" si="1503"/>
        <v>122.30990750475416</v>
      </c>
      <c r="BM147" s="1554">
        <f t="shared" ca="1" si="1503"/>
        <v>122.30990750475416</v>
      </c>
      <c r="BN147" s="1554">
        <f t="shared" ca="1" si="1503"/>
        <v>122.30990750475416</v>
      </c>
      <c r="BO147" s="1554">
        <f t="shared" ca="1" si="1503"/>
        <v>122.30990750475416</v>
      </c>
      <c r="BP147" s="1554">
        <f t="shared" ca="1" si="1503"/>
        <v>122.30990750475416</v>
      </c>
      <c r="BQ147" s="1554">
        <f t="shared" ca="1" si="1503"/>
        <v>122.30990750475416</v>
      </c>
      <c r="BR147" s="1554">
        <f t="shared" ca="1" si="1503"/>
        <v>122.30990750475416</v>
      </c>
      <c r="BS147" s="1554">
        <f t="shared" ca="1" si="1503"/>
        <v>122.30990750475416</v>
      </c>
      <c r="BT147" s="1554">
        <f t="shared" ca="1" si="1503"/>
        <v>122.30990750475416</v>
      </c>
      <c r="BU147" s="1554">
        <f t="shared" ca="1" si="1503"/>
        <v>112.58750594225417</v>
      </c>
      <c r="BV147" s="64"/>
      <c r="BW147" s="1554">
        <f t="shared" ref="BW147:DA147" ca="1" si="1504">SUM(BW129:BW146)</f>
        <v>5912.375</v>
      </c>
      <c r="BX147" s="1554">
        <f t="shared" ca="1" si="1504"/>
        <v>197.07916666666665</v>
      </c>
      <c r="BY147" s="1554">
        <f t="shared" ca="1" si="1504"/>
        <v>197.07916666666665</v>
      </c>
      <c r="BZ147" s="1554">
        <f t="shared" ca="1" si="1504"/>
        <v>197.07916666666665</v>
      </c>
      <c r="CA147" s="1554">
        <f t="shared" ca="1" si="1504"/>
        <v>197.07916666666665</v>
      </c>
      <c r="CB147" s="1554">
        <f t="shared" ca="1" si="1504"/>
        <v>197.07916666666665</v>
      </c>
      <c r="CC147" s="1554">
        <f t="shared" ca="1" si="1504"/>
        <v>197.07916666666665</v>
      </c>
      <c r="CD147" s="1554">
        <f t="shared" ca="1" si="1504"/>
        <v>197.07916666666665</v>
      </c>
      <c r="CE147" s="1554">
        <f t="shared" ca="1" si="1504"/>
        <v>197.07916666666665</v>
      </c>
      <c r="CF147" s="1554">
        <f t="shared" ca="1" si="1504"/>
        <v>197.07916666666665</v>
      </c>
      <c r="CG147" s="1554">
        <f t="shared" ca="1" si="1504"/>
        <v>197.07916666666665</v>
      </c>
      <c r="CH147" s="1554">
        <f t="shared" ca="1" si="1504"/>
        <v>197.07916666666665</v>
      </c>
      <c r="CI147" s="1554">
        <f t="shared" ca="1" si="1504"/>
        <v>197.07916666666665</v>
      </c>
      <c r="CJ147" s="1554">
        <f t="shared" ca="1" si="1504"/>
        <v>197.07916666666665</v>
      </c>
      <c r="CK147" s="1554">
        <f t="shared" ca="1" si="1504"/>
        <v>197.07916666666665</v>
      </c>
      <c r="CL147" s="1554">
        <f t="shared" ca="1" si="1504"/>
        <v>197.07916666666665</v>
      </c>
      <c r="CM147" s="1554">
        <f t="shared" ca="1" si="1504"/>
        <v>197.07916666666665</v>
      </c>
      <c r="CN147" s="1554">
        <f t="shared" ca="1" si="1504"/>
        <v>197.07916666666665</v>
      </c>
      <c r="CO147" s="1554">
        <f t="shared" ca="1" si="1504"/>
        <v>197.07916666666665</v>
      </c>
      <c r="CP147" s="1554">
        <f t="shared" ca="1" si="1504"/>
        <v>197.07916666666665</v>
      </c>
      <c r="CQ147" s="1554">
        <f t="shared" ca="1" si="1504"/>
        <v>197.07916666666665</v>
      </c>
      <c r="CR147" s="1554">
        <f t="shared" ca="1" si="1504"/>
        <v>197.07916666666665</v>
      </c>
      <c r="CS147" s="1554">
        <f t="shared" ca="1" si="1504"/>
        <v>197.07916666666665</v>
      </c>
      <c r="CT147" s="1554">
        <f t="shared" ca="1" si="1504"/>
        <v>197.07916666666665</v>
      </c>
      <c r="CU147" s="1554">
        <f t="shared" ca="1" si="1504"/>
        <v>197.07916666666665</v>
      </c>
      <c r="CV147" s="1554">
        <f t="shared" ca="1" si="1504"/>
        <v>197.07916666666665</v>
      </c>
      <c r="CW147" s="1554">
        <f t="shared" ca="1" si="1504"/>
        <v>197.07916666666665</v>
      </c>
      <c r="CX147" s="1554">
        <f t="shared" ca="1" si="1504"/>
        <v>197.07916666666665</v>
      </c>
      <c r="CY147" s="1554">
        <f t="shared" ca="1" si="1504"/>
        <v>197.07916666666665</v>
      </c>
      <c r="CZ147" s="1554">
        <f t="shared" ca="1" si="1504"/>
        <v>197.07916666666665</v>
      </c>
      <c r="DA147" s="1554">
        <f t="shared" ca="1" si="1504"/>
        <v>197.07916666666665</v>
      </c>
      <c r="DB147" s="41"/>
      <c r="DC147" s="1554">
        <f t="shared" ref="DC147:EG147" ca="1" si="1505">SUM(DC129:DC146)</f>
        <v>9576.3339764505963</v>
      </c>
      <c r="DD147" s="1554">
        <f t="shared" ca="1" si="1505"/>
        <v>314.05082547939185</v>
      </c>
      <c r="DE147" s="1554">
        <f t="shared" ca="1" si="1505"/>
        <v>319.38907417142087</v>
      </c>
      <c r="DF147" s="1554">
        <f t="shared" ca="1" si="1505"/>
        <v>319.38907417142087</v>
      </c>
      <c r="DG147" s="1554">
        <f t="shared" ca="1" si="1505"/>
        <v>319.38907417142087</v>
      </c>
      <c r="DH147" s="1554">
        <f t="shared" ca="1" si="1505"/>
        <v>319.38907417142087</v>
      </c>
      <c r="DI147" s="1554">
        <f t="shared" ca="1" si="1505"/>
        <v>319.38907417142087</v>
      </c>
      <c r="DJ147" s="1554">
        <f t="shared" ca="1" si="1505"/>
        <v>319.38907417142087</v>
      </c>
      <c r="DK147" s="1554">
        <f t="shared" ca="1" si="1505"/>
        <v>319.38907417142087</v>
      </c>
      <c r="DL147" s="1554">
        <f t="shared" ca="1" si="1505"/>
        <v>319.38907417142087</v>
      </c>
      <c r="DM147" s="1554">
        <f t="shared" ca="1" si="1505"/>
        <v>319.38907417142087</v>
      </c>
      <c r="DN147" s="1554">
        <f t="shared" ca="1" si="1505"/>
        <v>319.38907417142087</v>
      </c>
      <c r="DO147" s="1554">
        <f t="shared" ca="1" si="1505"/>
        <v>319.38907417142087</v>
      </c>
      <c r="DP147" s="1554">
        <f t="shared" ca="1" si="1505"/>
        <v>319.38907417142087</v>
      </c>
      <c r="DQ147" s="1554">
        <f t="shared" ca="1" si="1505"/>
        <v>319.38907417142087</v>
      </c>
      <c r="DR147" s="1554">
        <f t="shared" ca="1" si="1505"/>
        <v>319.38907417142087</v>
      </c>
      <c r="DS147" s="1554">
        <f t="shared" ca="1" si="1505"/>
        <v>319.38907417142087</v>
      </c>
      <c r="DT147" s="1554">
        <f t="shared" ca="1" si="1505"/>
        <v>319.38907417142087</v>
      </c>
      <c r="DU147" s="1554">
        <f t="shared" ca="1" si="1505"/>
        <v>319.38907417142087</v>
      </c>
      <c r="DV147" s="1554">
        <f t="shared" ca="1" si="1505"/>
        <v>319.38907417142087</v>
      </c>
      <c r="DW147" s="1554">
        <f t="shared" ca="1" si="1505"/>
        <v>319.38907417142087</v>
      </c>
      <c r="DX147" s="1554">
        <f t="shared" ca="1" si="1505"/>
        <v>319.38907417142087</v>
      </c>
      <c r="DY147" s="1554">
        <f t="shared" ca="1" si="1505"/>
        <v>319.38907417142087</v>
      </c>
      <c r="DZ147" s="1554">
        <f t="shared" ca="1" si="1505"/>
        <v>319.38907417142087</v>
      </c>
      <c r="EA147" s="1554">
        <f t="shared" ca="1" si="1505"/>
        <v>319.38907417142087</v>
      </c>
      <c r="EB147" s="1554">
        <f t="shared" ca="1" si="1505"/>
        <v>319.38907417142087</v>
      </c>
      <c r="EC147" s="1554">
        <f t="shared" ca="1" si="1505"/>
        <v>319.38907417142087</v>
      </c>
      <c r="ED147" s="1554">
        <f t="shared" ca="1" si="1505"/>
        <v>319.38907417142087</v>
      </c>
      <c r="EE147" s="1554">
        <f t="shared" ca="1" si="1505"/>
        <v>319.38907417142087</v>
      </c>
      <c r="EF147" s="1554">
        <f t="shared" ca="1" si="1505"/>
        <v>319.38907417142087</v>
      </c>
      <c r="EG147" s="1554">
        <f t="shared" ca="1" si="1505"/>
        <v>309.66667260892086</v>
      </c>
    </row>
    <row r="148" spans="1:137">
      <c r="A148" s="595"/>
      <c r="B148" s="598"/>
      <c r="C148" s="599"/>
      <c r="E148" s="41"/>
      <c r="F148" s="1526"/>
      <c r="G148" s="1540"/>
      <c r="H148" s="41"/>
      <c r="I148" s="1541"/>
      <c r="J148" s="15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41"/>
      <c r="AL148" s="41"/>
      <c r="AM148" s="41"/>
      <c r="AN148" s="41"/>
      <c r="AO148" s="41"/>
      <c r="AP148" s="41"/>
      <c r="AQ148" s="1555">
        <f ca="1">AQ119-AQ147</f>
        <v>308.42993174999992</v>
      </c>
      <c r="AR148" s="41">
        <f>2-2</f>
        <v>0</v>
      </c>
      <c r="AS148" s="41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  <c r="BF148" s="41"/>
      <c r="BG148" s="41"/>
      <c r="BH148" s="41"/>
      <c r="BI148" s="41"/>
      <c r="BJ148" s="41"/>
      <c r="BK148" s="41"/>
      <c r="BL148" s="41"/>
      <c r="BM148" s="41"/>
      <c r="BN148" s="41"/>
      <c r="BO148" s="41"/>
      <c r="BP148" s="41"/>
      <c r="BQ148" s="41"/>
      <c r="BR148" s="41"/>
      <c r="BS148" s="41"/>
      <c r="BT148" s="41"/>
      <c r="BU148" s="41"/>
      <c r="BV148" s="41"/>
      <c r="BW148" s="1525"/>
      <c r="BX148" s="41"/>
      <c r="BY148" s="41"/>
      <c r="BZ148" s="41"/>
      <c r="CA148" s="41"/>
      <c r="CB148" s="41"/>
      <c r="CC148" s="41"/>
      <c r="CD148" s="41"/>
      <c r="CE148" s="41"/>
      <c r="CF148" s="41"/>
      <c r="CG148" s="41"/>
      <c r="CH148" s="41"/>
      <c r="CI148" s="41"/>
      <c r="CJ148" s="41"/>
      <c r="CK148" s="41"/>
      <c r="CL148" s="41"/>
      <c r="CM148" s="41"/>
      <c r="CN148" s="41"/>
      <c r="CO148" s="41"/>
      <c r="CP148" s="41"/>
      <c r="CQ148" s="41"/>
      <c r="CR148" s="41"/>
      <c r="CS148" s="41"/>
      <c r="CT148" s="41"/>
      <c r="CU148" s="41"/>
      <c r="CV148" s="41"/>
      <c r="CW148" s="41"/>
      <c r="CX148" s="41"/>
      <c r="CY148" s="41"/>
      <c r="CZ148" s="41"/>
      <c r="DA148" s="41"/>
      <c r="DB148" s="41"/>
      <c r="DC148" s="41"/>
      <c r="DD148" s="41"/>
      <c r="DE148" s="41"/>
      <c r="DF148" s="41"/>
      <c r="DG148" s="41"/>
      <c r="DH148" s="41"/>
      <c r="DI148" s="41"/>
      <c r="DJ148" s="41"/>
      <c r="DK148" s="41"/>
      <c r="DL148" s="41"/>
      <c r="DM148" s="41"/>
      <c r="DN148" s="41"/>
      <c r="DO148" s="41"/>
      <c r="DP148" s="41"/>
      <c r="DQ148" s="41"/>
      <c r="DR148" s="41"/>
      <c r="DS148" s="41"/>
      <c r="DT148" s="41"/>
      <c r="DU148" s="41"/>
      <c r="DV148" s="41"/>
      <c r="DW148" s="41"/>
      <c r="DX148" s="41"/>
      <c r="DY148" s="41"/>
      <c r="DZ148" s="41"/>
      <c r="EA148" s="41"/>
      <c r="EB148" s="41"/>
      <c r="EC148" s="41"/>
      <c r="ED148" s="41"/>
      <c r="EE148" s="41"/>
      <c r="EF148" s="41"/>
      <c r="EG148" s="41"/>
    </row>
    <row r="149" spans="1:137">
      <c r="A149" s="595"/>
      <c r="B149" s="598"/>
      <c r="C149" s="599"/>
      <c r="E149" s="41"/>
      <c r="F149" s="1526"/>
      <c r="G149" s="1540"/>
      <c r="H149" s="41"/>
      <c r="I149" s="1541"/>
      <c r="J149" s="15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41"/>
      <c r="AL149" s="41"/>
      <c r="AM149" s="41"/>
      <c r="AN149" s="41"/>
      <c r="AO149" s="41"/>
      <c r="AP149" s="41"/>
      <c r="AQ149" s="1525"/>
      <c r="AR149" s="41"/>
      <c r="AS149" s="41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  <c r="BF149" s="41"/>
      <c r="BG149" s="41"/>
      <c r="BH149" s="41"/>
      <c r="BI149" s="41"/>
      <c r="BJ149" s="41"/>
      <c r="BK149" s="41"/>
      <c r="BL149" s="41"/>
      <c r="BM149" s="41"/>
      <c r="BN149" s="41"/>
      <c r="BO149" s="41"/>
      <c r="BP149" s="41"/>
      <c r="BQ149" s="41"/>
      <c r="BR149" s="41"/>
      <c r="BS149" s="41"/>
      <c r="BT149" s="41"/>
      <c r="BU149" s="41"/>
      <c r="BV149" s="41"/>
      <c r="BW149" s="1525"/>
      <c r="BX149" s="41"/>
      <c r="BY149" s="41"/>
      <c r="BZ149" s="41"/>
      <c r="CA149" s="41"/>
      <c r="CB149" s="41"/>
      <c r="CC149" s="41"/>
      <c r="CD149" s="41"/>
      <c r="CE149" s="41"/>
      <c r="CF149" s="41"/>
      <c r="CG149" s="41"/>
      <c r="CH149" s="41"/>
      <c r="CI149" s="41"/>
      <c r="CJ149" s="41"/>
      <c r="CK149" s="41"/>
      <c r="CL149" s="41"/>
      <c r="CM149" s="41"/>
      <c r="CN149" s="41"/>
      <c r="CO149" s="41"/>
      <c r="CP149" s="41"/>
      <c r="CQ149" s="41"/>
      <c r="CR149" s="41"/>
      <c r="CS149" s="41"/>
      <c r="CT149" s="41"/>
      <c r="CU149" s="41"/>
      <c r="CV149" s="41"/>
      <c r="CW149" s="41"/>
      <c r="CX149" s="41"/>
      <c r="CY149" s="41"/>
      <c r="CZ149" s="41"/>
      <c r="DA149" s="41"/>
      <c r="DB149" s="41"/>
      <c r="DC149" s="41"/>
      <c r="DD149" s="41"/>
      <c r="DE149" s="41"/>
      <c r="DF149" s="41"/>
      <c r="DG149" s="41"/>
      <c r="DH149" s="41"/>
      <c r="DI149" s="41"/>
      <c r="DJ149" s="41"/>
      <c r="DK149" s="41"/>
      <c r="DL149" s="41"/>
      <c r="DM149" s="41"/>
      <c r="DN149" s="41"/>
      <c r="DO149" s="41"/>
      <c r="DP149" s="41"/>
      <c r="DQ149" s="41"/>
      <c r="DR149" s="41"/>
      <c r="DS149" s="41"/>
      <c r="DT149" s="41"/>
      <c r="DU149" s="41"/>
      <c r="DV149" s="41"/>
      <c r="DW149" s="41"/>
      <c r="DX149" s="41"/>
      <c r="DY149" s="41"/>
      <c r="DZ149" s="41"/>
      <c r="EA149" s="41"/>
      <c r="EB149" s="41"/>
      <c r="EC149" s="41"/>
      <c r="ED149" s="41"/>
      <c r="EE149" s="41"/>
      <c r="EF149" s="41"/>
      <c r="EG149" s="41"/>
    </row>
    <row r="150" spans="1:137">
      <c r="A150" s="595"/>
      <c r="B150" s="598"/>
      <c r="C150" s="599"/>
      <c r="E150" s="41"/>
      <c r="F150" s="1526"/>
      <c r="G150" s="1540"/>
      <c r="H150" s="41"/>
      <c r="I150" s="1541"/>
      <c r="J150" s="15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41"/>
      <c r="AL150" s="41"/>
      <c r="AM150" s="41"/>
      <c r="AN150" s="41"/>
      <c r="AO150" s="41"/>
      <c r="AP150" s="41"/>
      <c r="AQ150" s="1525"/>
      <c r="AR150" s="41"/>
      <c r="AS150" s="41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  <c r="BF150" s="41"/>
      <c r="BG150" s="41"/>
      <c r="BH150" s="41"/>
      <c r="BI150" s="41"/>
      <c r="BJ150" s="41"/>
      <c r="BK150" s="41"/>
      <c r="BL150" s="41"/>
      <c r="BM150" s="41"/>
      <c r="BN150" s="41"/>
      <c r="BO150" s="41"/>
      <c r="BP150" s="41"/>
      <c r="BQ150" s="41"/>
      <c r="BR150" s="41"/>
      <c r="BS150" s="41"/>
      <c r="BT150" s="41"/>
      <c r="BU150" s="41"/>
      <c r="BV150" s="41"/>
      <c r="BW150" s="1525"/>
      <c r="BX150" s="41"/>
      <c r="BY150" s="41"/>
      <c r="BZ150" s="41"/>
      <c r="CA150" s="41"/>
      <c r="CB150" s="41"/>
      <c r="CC150" s="41"/>
      <c r="CD150" s="41"/>
      <c r="CE150" s="41"/>
      <c r="CF150" s="41"/>
      <c r="CG150" s="41"/>
      <c r="CH150" s="41"/>
      <c r="CI150" s="41"/>
      <c r="CJ150" s="41"/>
      <c r="CK150" s="41"/>
      <c r="CL150" s="41"/>
      <c r="CM150" s="41"/>
      <c r="CN150" s="41"/>
      <c r="CO150" s="41"/>
      <c r="CP150" s="41"/>
      <c r="CQ150" s="41"/>
      <c r="CR150" s="41"/>
      <c r="CS150" s="41"/>
      <c r="CT150" s="41"/>
      <c r="CU150" s="41"/>
      <c r="CV150" s="41"/>
      <c r="CW150" s="41"/>
      <c r="CX150" s="41"/>
      <c r="CY150" s="41"/>
      <c r="CZ150" s="41"/>
      <c r="DA150" s="41"/>
      <c r="DB150" s="41"/>
      <c r="DC150" s="41"/>
      <c r="DD150" s="41"/>
      <c r="DE150" s="41"/>
      <c r="DF150" s="41"/>
      <c r="DG150" s="41"/>
      <c r="DH150" s="41"/>
      <c r="DI150" s="41"/>
      <c r="DJ150" s="41"/>
      <c r="DK150" s="41"/>
      <c r="DL150" s="41"/>
      <c r="DM150" s="41"/>
      <c r="DN150" s="41"/>
      <c r="DO150" s="41"/>
      <c r="DP150" s="41"/>
      <c r="DQ150" s="41"/>
      <c r="DR150" s="41"/>
      <c r="DS150" s="41"/>
      <c r="DT150" s="41"/>
      <c r="DU150" s="41"/>
      <c r="DV150" s="41"/>
      <c r="DW150" s="41"/>
      <c r="DX150" s="41"/>
      <c r="DY150" s="41"/>
      <c r="DZ150" s="41"/>
      <c r="EA150" s="41"/>
      <c r="EB150" s="41"/>
      <c r="EC150" s="41"/>
      <c r="ED150" s="41"/>
      <c r="EE150" s="41"/>
      <c r="EF150" s="41"/>
      <c r="EG150" s="41"/>
    </row>
    <row r="151" spans="1:137">
      <c r="A151" s="595"/>
      <c r="B151" s="598"/>
      <c r="C151" s="599"/>
      <c r="D151" s="1556"/>
      <c r="E151" s="1557"/>
      <c r="F151" s="65"/>
      <c r="G151" s="1540"/>
      <c r="H151" s="41"/>
      <c r="I151" s="1541"/>
      <c r="J151" s="15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41"/>
      <c r="AL151" s="41"/>
      <c r="AM151" s="41"/>
      <c r="AN151" s="41"/>
      <c r="AO151" s="41"/>
      <c r="AP151" s="41"/>
      <c r="AQ151" s="1525"/>
      <c r="AR151" s="41"/>
      <c r="AS151" s="41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  <c r="BF151" s="41"/>
      <c r="BG151" s="41"/>
      <c r="BH151" s="41"/>
      <c r="BI151" s="41"/>
      <c r="BJ151" s="41"/>
      <c r="BK151" s="41"/>
      <c r="BL151" s="41"/>
      <c r="BM151" s="41"/>
      <c r="BN151" s="41"/>
      <c r="BO151" s="41"/>
      <c r="BP151" s="41"/>
      <c r="BQ151" s="41"/>
      <c r="BR151" s="41"/>
      <c r="BS151" s="41"/>
      <c r="BT151" s="41"/>
      <c r="BU151" s="41"/>
      <c r="BV151" s="41"/>
      <c r="BW151" s="1525"/>
      <c r="BX151" s="41"/>
      <c r="BY151" s="41"/>
      <c r="BZ151" s="41"/>
      <c r="CA151" s="41"/>
      <c r="CB151" s="41"/>
      <c r="CC151" s="41"/>
      <c r="CD151" s="41"/>
      <c r="CE151" s="41"/>
      <c r="CF151" s="41"/>
      <c r="CG151" s="41"/>
      <c r="CH151" s="41"/>
      <c r="CI151" s="41"/>
      <c r="CJ151" s="41"/>
      <c r="CK151" s="41"/>
      <c r="CL151" s="41"/>
      <c r="CM151" s="41"/>
      <c r="CN151" s="41"/>
      <c r="CO151" s="41"/>
      <c r="CP151" s="41"/>
      <c r="CQ151" s="41"/>
      <c r="CR151" s="41"/>
      <c r="CS151" s="41"/>
      <c r="CT151" s="41"/>
      <c r="CU151" s="41"/>
      <c r="CV151" s="41"/>
      <c r="CW151" s="41"/>
      <c r="CX151" s="41"/>
      <c r="CY151" s="41"/>
      <c r="CZ151" s="41"/>
      <c r="DA151" s="41"/>
      <c r="DB151" s="41"/>
      <c r="DC151" s="41"/>
      <c r="DD151" s="41"/>
      <c r="DE151" s="41"/>
      <c r="DF151" s="41"/>
      <c r="DG151" s="41"/>
      <c r="DH151" s="41"/>
      <c r="DI151" s="41"/>
      <c r="DJ151" s="41"/>
      <c r="DK151" s="41"/>
      <c r="DL151" s="41"/>
      <c r="DM151" s="41"/>
      <c r="DN151" s="41"/>
      <c r="DO151" s="41"/>
      <c r="DP151" s="41"/>
      <c r="DQ151" s="41"/>
      <c r="DR151" s="41"/>
      <c r="DS151" s="41"/>
      <c r="DT151" s="41"/>
      <c r="DU151" s="41"/>
      <c r="DV151" s="41"/>
      <c r="DW151" s="41"/>
      <c r="DX151" s="41"/>
      <c r="DY151" s="41"/>
      <c r="DZ151" s="41"/>
      <c r="EA151" s="41"/>
      <c r="EB151" s="41"/>
      <c r="EC151" s="41"/>
      <c r="ED151" s="41"/>
      <c r="EE151" s="41"/>
      <c r="EF151" s="41"/>
      <c r="EG151" s="41"/>
    </row>
    <row r="152" spans="1:137">
      <c r="A152" s="595"/>
      <c r="B152" s="598"/>
      <c r="C152" s="599"/>
      <c r="D152" s="1558">
        <v>1</v>
      </c>
      <c r="E152" s="1121" t="s">
        <v>254</v>
      </c>
      <c r="F152" s="328" t="s">
        <v>1706</v>
      </c>
      <c r="G152" s="1540"/>
      <c r="H152" s="41"/>
      <c r="I152" s="1541"/>
      <c r="J152" s="15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41"/>
      <c r="AL152" s="41"/>
      <c r="AM152" s="41"/>
      <c r="AN152" s="41"/>
      <c r="AO152" s="41"/>
      <c r="AP152" s="41"/>
      <c r="AQ152" s="62">
        <f ca="1">SUMIF($F$129:$F$146,$D152,AQ$129:AQ$146)</f>
        <v>0</v>
      </c>
      <c r="AR152" s="62">
        <f t="shared" ref="AQ152:AZ159" ca="1" si="1506">SUMIF($F$129:$F$146,$D152,AR$129:AR$146)</f>
        <v>0</v>
      </c>
      <c r="AS152" s="62">
        <f t="shared" ca="1" si="1506"/>
        <v>0</v>
      </c>
      <c r="AT152" s="62">
        <f t="shared" ca="1" si="1506"/>
        <v>0</v>
      </c>
      <c r="AU152" s="62">
        <f t="shared" ca="1" si="1506"/>
        <v>0</v>
      </c>
      <c r="AV152" s="62">
        <f t="shared" ca="1" si="1506"/>
        <v>0</v>
      </c>
      <c r="AW152" s="62">
        <f t="shared" ca="1" si="1506"/>
        <v>0</v>
      </c>
      <c r="AX152" s="62">
        <f t="shared" ca="1" si="1506"/>
        <v>0</v>
      </c>
      <c r="AY152" s="62">
        <f t="shared" ca="1" si="1506"/>
        <v>0</v>
      </c>
      <c r="AZ152" s="62">
        <f t="shared" ca="1" si="1506"/>
        <v>0</v>
      </c>
      <c r="BA152" s="62">
        <f t="shared" ref="BA152:BJ159" ca="1" si="1507">SUMIF($F$129:$F$146,$D152,BA$129:BA$146)</f>
        <v>0</v>
      </c>
      <c r="BB152" s="62">
        <f t="shared" ca="1" si="1507"/>
        <v>0</v>
      </c>
      <c r="BC152" s="62">
        <f t="shared" ca="1" si="1507"/>
        <v>0</v>
      </c>
      <c r="BD152" s="62">
        <f t="shared" ca="1" si="1507"/>
        <v>0</v>
      </c>
      <c r="BE152" s="62">
        <f t="shared" ca="1" si="1507"/>
        <v>0</v>
      </c>
      <c r="BF152" s="62">
        <f t="shared" ca="1" si="1507"/>
        <v>0</v>
      </c>
      <c r="BG152" s="62">
        <f t="shared" ca="1" si="1507"/>
        <v>0</v>
      </c>
      <c r="BH152" s="62">
        <f t="shared" ca="1" si="1507"/>
        <v>0</v>
      </c>
      <c r="BI152" s="62">
        <f t="shared" ca="1" si="1507"/>
        <v>0</v>
      </c>
      <c r="BJ152" s="62">
        <f t="shared" ca="1" si="1507"/>
        <v>0</v>
      </c>
      <c r="BK152" s="62">
        <f t="shared" ref="BK152:BU159" ca="1" si="1508">SUMIF($F$129:$F$146,$D152,BK$129:BK$146)</f>
        <v>0</v>
      </c>
      <c r="BL152" s="62">
        <f t="shared" ca="1" si="1508"/>
        <v>0</v>
      </c>
      <c r="BM152" s="62">
        <f t="shared" ca="1" si="1508"/>
        <v>0</v>
      </c>
      <c r="BN152" s="62">
        <f t="shared" ca="1" si="1508"/>
        <v>0</v>
      </c>
      <c r="BO152" s="62">
        <f t="shared" ca="1" si="1508"/>
        <v>0</v>
      </c>
      <c r="BP152" s="62">
        <f t="shared" ca="1" si="1508"/>
        <v>0</v>
      </c>
      <c r="BQ152" s="62">
        <f t="shared" ca="1" si="1508"/>
        <v>0</v>
      </c>
      <c r="BR152" s="62">
        <f t="shared" ca="1" si="1508"/>
        <v>0</v>
      </c>
      <c r="BS152" s="62">
        <f t="shared" ca="1" si="1508"/>
        <v>0</v>
      </c>
      <c r="BT152" s="62">
        <f t="shared" ca="1" si="1508"/>
        <v>0</v>
      </c>
      <c r="BU152" s="62">
        <f t="shared" ca="1" si="1508"/>
        <v>0</v>
      </c>
      <c r="BV152" s="62"/>
      <c r="BW152" s="62">
        <f ca="1">SUMIF($F$129:$F$146,$D152,BW$129:BW$146)</f>
        <v>1623</v>
      </c>
      <c r="BX152" s="62">
        <f t="shared" ref="BW152:CF159" ca="1" si="1509">SUMIF($F$129:$F$146,$D152,BX$129:BX$146)</f>
        <v>54.1</v>
      </c>
      <c r="BY152" s="62">
        <f t="shared" ca="1" si="1509"/>
        <v>54.1</v>
      </c>
      <c r="BZ152" s="62">
        <f t="shared" ca="1" si="1509"/>
        <v>54.1</v>
      </c>
      <c r="CA152" s="62">
        <f t="shared" ca="1" si="1509"/>
        <v>54.1</v>
      </c>
      <c r="CB152" s="62">
        <f t="shared" ca="1" si="1509"/>
        <v>54.1</v>
      </c>
      <c r="CC152" s="62">
        <f t="shared" ca="1" si="1509"/>
        <v>54.1</v>
      </c>
      <c r="CD152" s="62">
        <f t="shared" ca="1" si="1509"/>
        <v>54.1</v>
      </c>
      <c r="CE152" s="62">
        <f t="shared" ca="1" si="1509"/>
        <v>54.1</v>
      </c>
      <c r="CF152" s="62">
        <f t="shared" ca="1" si="1509"/>
        <v>54.1</v>
      </c>
      <c r="CG152" s="62">
        <f t="shared" ref="CG152:CP159" ca="1" si="1510">SUMIF($F$129:$F$146,$D152,CG$129:CG$146)</f>
        <v>54.1</v>
      </c>
      <c r="CH152" s="62">
        <f t="shared" ca="1" si="1510"/>
        <v>54.1</v>
      </c>
      <c r="CI152" s="62">
        <f t="shared" ca="1" si="1510"/>
        <v>54.1</v>
      </c>
      <c r="CJ152" s="62">
        <f t="shared" ca="1" si="1510"/>
        <v>54.1</v>
      </c>
      <c r="CK152" s="62">
        <f t="shared" ca="1" si="1510"/>
        <v>54.1</v>
      </c>
      <c r="CL152" s="62">
        <f t="shared" ca="1" si="1510"/>
        <v>54.1</v>
      </c>
      <c r="CM152" s="62">
        <f t="shared" ca="1" si="1510"/>
        <v>54.1</v>
      </c>
      <c r="CN152" s="62">
        <f t="shared" ca="1" si="1510"/>
        <v>54.1</v>
      </c>
      <c r="CO152" s="62">
        <f t="shared" ca="1" si="1510"/>
        <v>54.1</v>
      </c>
      <c r="CP152" s="62">
        <f t="shared" ca="1" si="1510"/>
        <v>54.1</v>
      </c>
      <c r="CQ152" s="62">
        <f t="shared" ref="CQ152:DA159" ca="1" si="1511">SUMIF($F$129:$F$146,$D152,CQ$129:CQ$146)</f>
        <v>54.1</v>
      </c>
      <c r="CR152" s="62">
        <f t="shared" ca="1" si="1511"/>
        <v>54.1</v>
      </c>
      <c r="CS152" s="62">
        <f t="shared" ca="1" si="1511"/>
        <v>54.1</v>
      </c>
      <c r="CT152" s="62">
        <f t="shared" ca="1" si="1511"/>
        <v>54.1</v>
      </c>
      <c r="CU152" s="62">
        <f t="shared" ca="1" si="1511"/>
        <v>54.1</v>
      </c>
      <c r="CV152" s="62">
        <f t="shared" ca="1" si="1511"/>
        <v>54.1</v>
      </c>
      <c r="CW152" s="62">
        <f t="shared" ca="1" si="1511"/>
        <v>54.1</v>
      </c>
      <c r="CX152" s="62">
        <f t="shared" ca="1" si="1511"/>
        <v>54.1</v>
      </c>
      <c r="CY152" s="62">
        <f t="shared" ca="1" si="1511"/>
        <v>54.1</v>
      </c>
      <c r="CZ152" s="62">
        <f t="shared" ca="1" si="1511"/>
        <v>54.1</v>
      </c>
      <c r="DA152" s="62">
        <f t="shared" ca="1" si="1511"/>
        <v>54.1</v>
      </c>
      <c r="DB152" s="41"/>
      <c r="DC152" s="41"/>
      <c r="DD152" s="41"/>
      <c r="DE152" s="41"/>
      <c r="DF152" s="41"/>
      <c r="DG152" s="41"/>
      <c r="DH152" s="41"/>
      <c r="DI152" s="41"/>
      <c r="DJ152" s="41"/>
      <c r="DK152" s="41"/>
      <c r="DL152" s="41"/>
      <c r="DM152" s="41"/>
      <c r="DN152" s="41"/>
      <c r="DO152" s="41"/>
      <c r="DP152" s="41"/>
      <c r="DQ152" s="41"/>
      <c r="DR152" s="41"/>
      <c r="DS152" s="41"/>
      <c r="DT152" s="41"/>
      <c r="DU152" s="41"/>
      <c r="DV152" s="41"/>
      <c r="DW152" s="41"/>
      <c r="DX152" s="41"/>
      <c r="DY152" s="41"/>
      <c r="DZ152" s="41"/>
      <c r="EA152" s="41"/>
      <c r="EB152" s="41"/>
      <c r="EC152" s="41"/>
      <c r="ED152" s="41"/>
      <c r="EE152" s="41"/>
      <c r="EF152" s="41"/>
      <c r="EG152" s="41"/>
    </row>
    <row r="153" spans="1:137">
      <c r="A153" s="595"/>
      <c r="B153" s="598"/>
      <c r="C153" s="599"/>
      <c r="D153" s="1558">
        <v>2</v>
      </c>
      <c r="E153" s="1121" t="s">
        <v>255</v>
      </c>
      <c r="F153" s="328" t="s">
        <v>1707</v>
      </c>
      <c r="G153" s="1540"/>
      <c r="H153" s="41"/>
      <c r="I153" s="1541"/>
      <c r="J153" s="15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41"/>
      <c r="AL153" s="41"/>
      <c r="AM153" s="41"/>
      <c r="AN153" s="41"/>
      <c r="AO153" s="41"/>
      <c r="AP153" s="41"/>
      <c r="AQ153" s="62">
        <f t="shared" si="1506"/>
        <v>3015.0754178827647</v>
      </c>
      <c r="AR153" s="62">
        <f t="shared" si="1506"/>
        <v>95.342206860464074</v>
      </c>
      <c r="AS153" s="62">
        <f t="shared" si="1506"/>
        <v>100.68045555249307</v>
      </c>
      <c r="AT153" s="62">
        <f t="shared" si="1506"/>
        <v>100.68045555249307</v>
      </c>
      <c r="AU153" s="62">
        <f t="shared" si="1506"/>
        <v>100.68045555249307</v>
      </c>
      <c r="AV153" s="62">
        <f t="shared" si="1506"/>
        <v>100.68045555249307</v>
      </c>
      <c r="AW153" s="62">
        <f t="shared" si="1506"/>
        <v>100.68045555249307</v>
      </c>
      <c r="AX153" s="62">
        <f t="shared" si="1506"/>
        <v>100.68045555249307</v>
      </c>
      <c r="AY153" s="62">
        <f t="shared" si="1506"/>
        <v>100.68045555249307</v>
      </c>
      <c r="AZ153" s="62">
        <f t="shared" si="1506"/>
        <v>100.68045555249307</v>
      </c>
      <c r="BA153" s="62">
        <f t="shared" si="1507"/>
        <v>100.68045555249307</v>
      </c>
      <c r="BB153" s="62">
        <f t="shared" si="1507"/>
        <v>100.68045555249307</v>
      </c>
      <c r="BC153" s="62">
        <f t="shared" si="1507"/>
        <v>100.68045555249307</v>
      </c>
      <c r="BD153" s="62">
        <f t="shared" si="1507"/>
        <v>100.68045555249307</v>
      </c>
      <c r="BE153" s="62">
        <f t="shared" si="1507"/>
        <v>100.68045555249307</v>
      </c>
      <c r="BF153" s="62">
        <f t="shared" si="1507"/>
        <v>100.68045555249307</v>
      </c>
      <c r="BG153" s="62">
        <f t="shared" si="1507"/>
        <v>100.68045555249307</v>
      </c>
      <c r="BH153" s="62">
        <f t="shared" si="1507"/>
        <v>100.68045555249307</v>
      </c>
      <c r="BI153" s="62">
        <f t="shared" si="1507"/>
        <v>100.68045555249307</v>
      </c>
      <c r="BJ153" s="62">
        <f t="shared" si="1507"/>
        <v>100.68045555249307</v>
      </c>
      <c r="BK153" s="62">
        <f t="shared" si="1508"/>
        <v>100.68045555249307</v>
      </c>
      <c r="BL153" s="62">
        <f t="shared" si="1508"/>
        <v>100.68045555249307</v>
      </c>
      <c r="BM153" s="62">
        <f t="shared" si="1508"/>
        <v>100.68045555249307</v>
      </c>
      <c r="BN153" s="62">
        <f t="shared" si="1508"/>
        <v>100.68045555249307</v>
      </c>
      <c r="BO153" s="62">
        <f t="shared" si="1508"/>
        <v>100.68045555249307</v>
      </c>
      <c r="BP153" s="62">
        <f t="shared" si="1508"/>
        <v>100.68045555249307</v>
      </c>
      <c r="BQ153" s="62">
        <f t="shared" si="1508"/>
        <v>100.68045555249307</v>
      </c>
      <c r="BR153" s="62">
        <f t="shared" si="1508"/>
        <v>100.68045555249307</v>
      </c>
      <c r="BS153" s="62">
        <f t="shared" si="1508"/>
        <v>100.68045555249307</v>
      </c>
      <c r="BT153" s="62">
        <f t="shared" si="1508"/>
        <v>100.68045555249307</v>
      </c>
      <c r="BU153" s="62">
        <f t="shared" si="1508"/>
        <v>90.958053989993076</v>
      </c>
      <c r="BV153" s="62"/>
      <c r="BW153" s="62">
        <f t="shared" ca="1" si="1509"/>
        <v>243.75</v>
      </c>
      <c r="BX153" s="62">
        <f t="shared" ca="1" si="1509"/>
        <v>8.125</v>
      </c>
      <c r="BY153" s="62">
        <f t="shared" ca="1" si="1509"/>
        <v>8.125</v>
      </c>
      <c r="BZ153" s="62">
        <f t="shared" ca="1" si="1509"/>
        <v>8.125</v>
      </c>
      <c r="CA153" s="62">
        <f t="shared" ca="1" si="1509"/>
        <v>8.125</v>
      </c>
      <c r="CB153" s="62">
        <f t="shared" ca="1" si="1509"/>
        <v>8.125</v>
      </c>
      <c r="CC153" s="62">
        <f t="shared" ca="1" si="1509"/>
        <v>8.125</v>
      </c>
      <c r="CD153" s="62">
        <f t="shared" ca="1" si="1509"/>
        <v>8.125</v>
      </c>
      <c r="CE153" s="62">
        <f t="shared" ca="1" si="1509"/>
        <v>8.125</v>
      </c>
      <c r="CF153" s="62">
        <f t="shared" ca="1" si="1509"/>
        <v>8.125</v>
      </c>
      <c r="CG153" s="62">
        <f t="shared" ca="1" si="1510"/>
        <v>8.125</v>
      </c>
      <c r="CH153" s="62">
        <f t="shared" ca="1" si="1510"/>
        <v>8.125</v>
      </c>
      <c r="CI153" s="62">
        <f t="shared" ca="1" si="1510"/>
        <v>8.125</v>
      </c>
      <c r="CJ153" s="62">
        <f t="shared" ca="1" si="1510"/>
        <v>8.125</v>
      </c>
      <c r="CK153" s="62">
        <f t="shared" ca="1" si="1510"/>
        <v>8.125</v>
      </c>
      <c r="CL153" s="62">
        <f t="shared" ca="1" si="1510"/>
        <v>8.125</v>
      </c>
      <c r="CM153" s="62">
        <f t="shared" ca="1" si="1510"/>
        <v>8.125</v>
      </c>
      <c r="CN153" s="62">
        <f t="shared" ca="1" si="1510"/>
        <v>8.125</v>
      </c>
      <c r="CO153" s="62">
        <f t="shared" ca="1" si="1510"/>
        <v>8.125</v>
      </c>
      <c r="CP153" s="62">
        <f t="shared" ca="1" si="1510"/>
        <v>8.125</v>
      </c>
      <c r="CQ153" s="62">
        <f t="shared" ca="1" si="1511"/>
        <v>8.125</v>
      </c>
      <c r="CR153" s="62">
        <f t="shared" ca="1" si="1511"/>
        <v>8.125</v>
      </c>
      <c r="CS153" s="62">
        <f t="shared" ca="1" si="1511"/>
        <v>8.125</v>
      </c>
      <c r="CT153" s="62">
        <f t="shared" ca="1" si="1511"/>
        <v>8.125</v>
      </c>
      <c r="CU153" s="62">
        <f t="shared" ca="1" si="1511"/>
        <v>8.125</v>
      </c>
      <c r="CV153" s="62">
        <f t="shared" ca="1" si="1511"/>
        <v>8.125</v>
      </c>
      <c r="CW153" s="62">
        <f t="shared" ca="1" si="1511"/>
        <v>8.125</v>
      </c>
      <c r="CX153" s="62">
        <f t="shared" ca="1" si="1511"/>
        <v>8.125</v>
      </c>
      <c r="CY153" s="62">
        <f t="shared" ca="1" si="1511"/>
        <v>8.125</v>
      </c>
      <c r="CZ153" s="62">
        <f t="shared" ca="1" si="1511"/>
        <v>8.125</v>
      </c>
      <c r="DA153" s="62">
        <f t="shared" ca="1" si="1511"/>
        <v>8.125</v>
      </c>
      <c r="DB153" s="41"/>
      <c r="DC153" s="41"/>
      <c r="DD153" s="41"/>
      <c r="DE153" s="41"/>
      <c r="DF153" s="41"/>
      <c r="DG153" s="41"/>
      <c r="DH153" s="41"/>
      <c r="DI153" s="41"/>
      <c r="DJ153" s="41"/>
      <c r="DK153" s="41"/>
      <c r="DL153" s="41"/>
      <c r="DM153" s="41"/>
      <c r="DN153" s="41"/>
      <c r="DO153" s="41"/>
      <c r="DP153" s="41"/>
      <c r="DQ153" s="41"/>
      <c r="DR153" s="41"/>
      <c r="DS153" s="41"/>
      <c r="DT153" s="41"/>
      <c r="DU153" s="41"/>
      <c r="DV153" s="41"/>
      <c r="DW153" s="41"/>
      <c r="DX153" s="41"/>
      <c r="DY153" s="41"/>
      <c r="DZ153" s="41"/>
      <c r="EA153" s="41"/>
      <c r="EB153" s="41"/>
      <c r="EC153" s="41"/>
      <c r="ED153" s="41"/>
      <c r="EE153" s="41"/>
      <c r="EF153" s="41"/>
      <c r="EG153" s="41"/>
    </row>
    <row r="154" spans="1:137">
      <c r="A154" s="595"/>
      <c r="B154" s="598"/>
      <c r="C154" s="599"/>
      <c r="D154" s="1558">
        <v>3</v>
      </c>
      <c r="E154" s="1121" t="s">
        <v>256</v>
      </c>
      <c r="F154" s="328" t="s">
        <v>1406</v>
      </c>
      <c r="G154" s="1540"/>
      <c r="H154" s="41"/>
      <c r="I154" s="1541"/>
      <c r="J154" s="15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  <c r="AK154" s="41"/>
      <c r="AL154" s="41"/>
      <c r="AM154" s="41"/>
      <c r="AN154" s="41"/>
      <c r="AO154" s="41"/>
      <c r="AP154" s="41"/>
      <c r="AQ154" s="62">
        <f t="shared" si="1506"/>
        <v>0</v>
      </c>
      <c r="AR154" s="62">
        <f t="shared" si="1506"/>
        <v>0</v>
      </c>
      <c r="AS154" s="62">
        <f t="shared" si="1506"/>
        <v>0</v>
      </c>
      <c r="AT154" s="62">
        <f t="shared" si="1506"/>
        <v>0</v>
      </c>
      <c r="AU154" s="62">
        <f t="shared" si="1506"/>
        <v>0</v>
      </c>
      <c r="AV154" s="62">
        <f t="shared" si="1506"/>
        <v>0</v>
      </c>
      <c r="AW154" s="62">
        <f t="shared" si="1506"/>
        <v>0</v>
      </c>
      <c r="AX154" s="62">
        <f t="shared" si="1506"/>
        <v>0</v>
      </c>
      <c r="AY154" s="62">
        <f t="shared" si="1506"/>
        <v>0</v>
      </c>
      <c r="AZ154" s="62">
        <f t="shared" si="1506"/>
        <v>0</v>
      </c>
      <c r="BA154" s="62">
        <f t="shared" si="1507"/>
        <v>0</v>
      </c>
      <c r="BB154" s="62">
        <f t="shared" si="1507"/>
        <v>0</v>
      </c>
      <c r="BC154" s="62">
        <f t="shared" si="1507"/>
        <v>0</v>
      </c>
      <c r="BD154" s="62">
        <f t="shared" si="1507"/>
        <v>0</v>
      </c>
      <c r="BE154" s="62">
        <f t="shared" si="1507"/>
        <v>0</v>
      </c>
      <c r="BF154" s="62">
        <f t="shared" si="1507"/>
        <v>0</v>
      </c>
      <c r="BG154" s="62">
        <f t="shared" si="1507"/>
        <v>0</v>
      </c>
      <c r="BH154" s="62">
        <f t="shared" si="1507"/>
        <v>0</v>
      </c>
      <c r="BI154" s="62">
        <f t="shared" si="1507"/>
        <v>0</v>
      </c>
      <c r="BJ154" s="62">
        <f t="shared" si="1507"/>
        <v>0</v>
      </c>
      <c r="BK154" s="62">
        <f t="shared" si="1508"/>
        <v>0</v>
      </c>
      <c r="BL154" s="62">
        <f t="shared" si="1508"/>
        <v>0</v>
      </c>
      <c r="BM154" s="62">
        <f t="shared" si="1508"/>
        <v>0</v>
      </c>
      <c r="BN154" s="62">
        <f t="shared" si="1508"/>
        <v>0</v>
      </c>
      <c r="BO154" s="62">
        <f t="shared" si="1508"/>
        <v>0</v>
      </c>
      <c r="BP154" s="62">
        <f t="shared" si="1508"/>
        <v>0</v>
      </c>
      <c r="BQ154" s="62">
        <f t="shared" si="1508"/>
        <v>0</v>
      </c>
      <c r="BR154" s="62">
        <f t="shared" si="1508"/>
        <v>0</v>
      </c>
      <c r="BS154" s="62">
        <f t="shared" si="1508"/>
        <v>0</v>
      </c>
      <c r="BT154" s="62">
        <f t="shared" si="1508"/>
        <v>0</v>
      </c>
      <c r="BU154" s="62">
        <f t="shared" si="1508"/>
        <v>0</v>
      </c>
      <c r="BV154" s="62"/>
      <c r="BW154" s="62">
        <f t="shared" ca="1" si="1509"/>
        <v>1828.125</v>
      </c>
      <c r="BX154" s="62">
        <f t="shared" ca="1" si="1509"/>
        <v>60.9375</v>
      </c>
      <c r="BY154" s="62">
        <f t="shared" ca="1" si="1509"/>
        <v>60.9375</v>
      </c>
      <c r="BZ154" s="62">
        <f t="shared" ca="1" si="1509"/>
        <v>60.9375</v>
      </c>
      <c r="CA154" s="62">
        <f t="shared" ca="1" si="1509"/>
        <v>60.9375</v>
      </c>
      <c r="CB154" s="62">
        <f t="shared" ca="1" si="1509"/>
        <v>60.9375</v>
      </c>
      <c r="CC154" s="62">
        <f t="shared" ca="1" si="1509"/>
        <v>60.9375</v>
      </c>
      <c r="CD154" s="62">
        <f t="shared" ca="1" si="1509"/>
        <v>60.9375</v>
      </c>
      <c r="CE154" s="62">
        <f t="shared" ca="1" si="1509"/>
        <v>60.9375</v>
      </c>
      <c r="CF154" s="62">
        <f t="shared" ca="1" si="1509"/>
        <v>60.9375</v>
      </c>
      <c r="CG154" s="62">
        <f t="shared" ca="1" si="1510"/>
        <v>60.9375</v>
      </c>
      <c r="CH154" s="62">
        <f t="shared" ca="1" si="1510"/>
        <v>60.9375</v>
      </c>
      <c r="CI154" s="62">
        <f t="shared" ca="1" si="1510"/>
        <v>60.9375</v>
      </c>
      <c r="CJ154" s="62">
        <f t="shared" ca="1" si="1510"/>
        <v>60.9375</v>
      </c>
      <c r="CK154" s="62">
        <f t="shared" ca="1" si="1510"/>
        <v>60.9375</v>
      </c>
      <c r="CL154" s="62">
        <f t="shared" ca="1" si="1510"/>
        <v>60.9375</v>
      </c>
      <c r="CM154" s="62">
        <f t="shared" ca="1" si="1510"/>
        <v>60.9375</v>
      </c>
      <c r="CN154" s="62">
        <f t="shared" ca="1" si="1510"/>
        <v>60.9375</v>
      </c>
      <c r="CO154" s="62">
        <f t="shared" ca="1" si="1510"/>
        <v>60.9375</v>
      </c>
      <c r="CP154" s="62">
        <f t="shared" ca="1" si="1510"/>
        <v>60.9375</v>
      </c>
      <c r="CQ154" s="62">
        <f t="shared" ca="1" si="1511"/>
        <v>60.9375</v>
      </c>
      <c r="CR154" s="62">
        <f t="shared" ca="1" si="1511"/>
        <v>60.9375</v>
      </c>
      <c r="CS154" s="62">
        <f t="shared" ca="1" si="1511"/>
        <v>60.9375</v>
      </c>
      <c r="CT154" s="62">
        <f t="shared" ca="1" si="1511"/>
        <v>60.9375</v>
      </c>
      <c r="CU154" s="62">
        <f t="shared" ca="1" si="1511"/>
        <v>60.9375</v>
      </c>
      <c r="CV154" s="62">
        <f t="shared" ca="1" si="1511"/>
        <v>60.9375</v>
      </c>
      <c r="CW154" s="62">
        <f t="shared" ca="1" si="1511"/>
        <v>60.9375</v>
      </c>
      <c r="CX154" s="62">
        <f t="shared" ca="1" si="1511"/>
        <v>60.9375</v>
      </c>
      <c r="CY154" s="62">
        <f t="shared" ca="1" si="1511"/>
        <v>60.9375</v>
      </c>
      <c r="CZ154" s="62">
        <f t="shared" ca="1" si="1511"/>
        <v>60.9375</v>
      </c>
      <c r="DA154" s="62">
        <f t="shared" ca="1" si="1511"/>
        <v>60.9375</v>
      </c>
      <c r="DB154" s="41"/>
      <c r="DC154" s="41"/>
      <c r="DD154" s="41"/>
      <c r="DE154" s="41"/>
      <c r="DF154" s="41"/>
      <c r="DG154" s="41"/>
      <c r="DH154" s="41"/>
      <c r="DI154" s="41"/>
      <c r="DJ154" s="41"/>
      <c r="DK154" s="41"/>
      <c r="DL154" s="41"/>
      <c r="DM154" s="41"/>
      <c r="DN154" s="41"/>
      <c r="DO154" s="41"/>
      <c r="DP154" s="41"/>
      <c r="DQ154" s="41"/>
      <c r="DR154" s="41"/>
      <c r="DS154" s="41"/>
      <c r="DT154" s="41"/>
      <c r="DU154" s="41"/>
      <c r="DV154" s="41"/>
      <c r="DW154" s="41"/>
      <c r="DX154" s="41"/>
      <c r="DY154" s="41"/>
      <c r="DZ154" s="41"/>
      <c r="EA154" s="41"/>
      <c r="EB154" s="41"/>
      <c r="EC154" s="41"/>
      <c r="ED154" s="41"/>
      <c r="EE154" s="41"/>
      <c r="EF154" s="41"/>
      <c r="EG154" s="41"/>
    </row>
    <row r="155" spans="1:137">
      <c r="A155" s="595"/>
      <c r="B155" s="598"/>
      <c r="C155" s="599"/>
      <c r="D155" s="1558">
        <v>4</v>
      </c>
      <c r="E155" s="1121" t="s">
        <v>257</v>
      </c>
      <c r="F155" s="328" t="s">
        <v>1407</v>
      </c>
      <c r="G155" s="1540"/>
      <c r="H155" s="41"/>
      <c r="I155" s="1541"/>
      <c r="J155" s="15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41"/>
      <c r="AL155" s="41"/>
      <c r="AM155" s="41"/>
      <c r="AN155" s="41"/>
      <c r="AO155" s="41"/>
      <c r="AP155" s="41"/>
      <c r="AQ155" s="62">
        <f t="shared" si="1506"/>
        <v>0</v>
      </c>
      <c r="AR155" s="62">
        <f t="shared" si="1506"/>
        <v>0</v>
      </c>
      <c r="AS155" s="62">
        <f t="shared" si="1506"/>
        <v>0</v>
      </c>
      <c r="AT155" s="62">
        <f t="shared" si="1506"/>
        <v>0</v>
      </c>
      <c r="AU155" s="62">
        <f t="shared" si="1506"/>
        <v>0</v>
      </c>
      <c r="AV155" s="62">
        <f t="shared" si="1506"/>
        <v>0</v>
      </c>
      <c r="AW155" s="62">
        <f t="shared" si="1506"/>
        <v>0</v>
      </c>
      <c r="AX155" s="62">
        <f t="shared" si="1506"/>
        <v>0</v>
      </c>
      <c r="AY155" s="62">
        <f t="shared" si="1506"/>
        <v>0</v>
      </c>
      <c r="AZ155" s="62">
        <f t="shared" si="1506"/>
        <v>0</v>
      </c>
      <c r="BA155" s="62">
        <f t="shared" si="1507"/>
        <v>0</v>
      </c>
      <c r="BB155" s="62">
        <f t="shared" si="1507"/>
        <v>0</v>
      </c>
      <c r="BC155" s="62">
        <f t="shared" si="1507"/>
        <v>0</v>
      </c>
      <c r="BD155" s="62">
        <f t="shared" si="1507"/>
        <v>0</v>
      </c>
      <c r="BE155" s="62">
        <f t="shared" si="1507"/>
        <v>0</v>
      </c>
      <c r="BF155" s="62">
        <f t="shared" si="1507"/>
        <v>0</v>
      </c>
      <c r="BG155" s="62">
        <f t="shared" si="1507"/>
        <v>0</v>
      </c>
      <c r="BH155" s="62">
        <f t="shared" si="1507"/>
        <v>0</v>
      </c>
      <c r="BI155" s="62">
        <f t="shared" si="1507"/>
        <v>0</v>
      </c>
      <c r="BJ155" s="62">
        <f t="shared" si="1507"/>
        <v>0</v>
      </c>
      <c r="BK155" s="62">
        <f t="shared" si="1508"/>
        <v>0</v>
      </c>
      <c r="BL155" s="62">
        <f t="shared" si="1508"/>
        <v>0</v>
      </c>
      <c r="BM155" s="62">
        <f t="shared" si="1508"/>
        <v>0</v>
      </c>
      <c r="BN155" s="62">
        <f t="shared" si="1508"/>
        <v>0</v>
      </c>
      <c r="BO155" s="62">
        <f t="shared" si="1508"/>
        <v>0</v>
      </c>
      <c r="BP155" s="62">
        <f t="shared" si="1508"/>
        <v>0</v>
      </c>
      <c r="BQ155" s="62">
        <f t="shared" si="1508"/>
        <v>0</v>
      </c>
      <c r="BR155" s="62">
        <f t="shared" si="1508"/>
        <v>0</v>
      </c>
      <c r="BS155" s="62">
        <f t="shared" si="1508"/>
        <v>0</v>
      </c>
      <c r="BT155" s="62">
        <f t="shared" si="1508"/>
        <v>0</v>
      </c>
      <c r="BU155" s="62">
        <f t="shared" si="1508"/>
        <v>0</v>
      </c>
      <c r="BV155" s="62"/>
      <c r="BW155" s="62">
        <f t="shared" ca="1" si="1509"/>
        <v>0</v>
      </c>
      <c r="BX155" s="62">
        <f t="shared" ca="1" si="1509"/>
        <v>0</v>
      </c>
      <c r="BY155" s="62">
        <f t="shared" ca="1" si="1509"/>
        <v>0</v>
      </c>
      <c r="BZ155" s="62">
        <f t="shared" ca="1" si="1509"/>
        <v>0</v>
      </c>
      <c r="CA155" s="62">
        <f t="shared" ca="1" si="1509"/>
        <v>0</v>
      </c>
      <c r="CB155" s="62">
        <f t="shared" ca="1" si="1509"/>
        <v>0</v>
      </c>
      <c r="CC155" s="62">
        <f t="shared" ca="1" si="1509"/>
        <v>0</v>
      </c>
      <c r="CD155" s="62">
        <f t="shared" ca="1" si="1509"/>
        <v>0</v>
      </c>
      <c r="CE155" s="62">
        <f t="shared" ca="1" si="1509"/>
        <v>0</v>
      </c>
      <c r="CF155" s="62">
        <f t="shared" ca="1" si="1509"/>
        <v>0</v>
      </c>
      <c r="CG155" s="62">
        <f t="shared" ca="1" si="1510"/>
        <v>0</v>
      </c>
      <c r="CH155" s="62">
        <f t="shared" ca="1" si="1510"/>
        <v>0</v>
      </c>
      <c r="CI155" s="62">
        <f t="shared" ca="1" si="1510"/>
        <v>0</v>
      </c>
      <c r="CJ155" s="62">
        <f t="shared" ca="1" si="1510"/>
        <v>0</v>
      </c>
      <c r="CK155" s="62">
        <f t="shared" ca="1" si="1510"/>
        <v>0</v>
      </c>
      <c r="CL155" s="62">
        <f t="shared" ca="1" si="1510"/>
        <v>0</v>
      </c>
      <c r="CM155" s="62">
        <f t="shared" ca="1" si="1510"/>
        <v>0</v>
      </c>
      <c r="CN155" s="62">
        <f t="shared" ca="1" si="1510"/>
        <v>0</v>
      </c>
      <c r="CO155" s="62">
        <f t="shared" ca="1" si="1510"/>
        <v>0</v>
      </c>
      <c r="CP155" s="62">
        <f t="shared" ca="1" si="1510"/>
        <v>0</v>
      </c>
      <c r="CQ155" s="62">
        <f t="shared" ca="1" si="1511"/>
        <v>0</v>
      </c>
      <c r="CR155" s="62">
        <f t="shared" ca="1" si="1511"/>
        <v>0</v>
      </c>
      <c r="CS155" s="62">
        <f t="shared" ca="1" si="1511"/>
        <v>0</v>
      </c>
      <c r="CT155" s="62">
        <f t="shared" ca="1" si="1511"/>
        <v>0</v>
      </c>
      <c r="CU155" s="62">
        <f t="shared" ca="1" si="1511"/>
        <v>0</v>
      </c>
      <c r="CV155" s="62">
        <f t="shared" ca="1" si="1511"/>
        <v>0</v>
      </c>
      <c r="CW155" s="62">
        <f t="shared" ca="1" si="1511"/>
        <v>0</v>
      </c>
      <c r="CX155" s="62">
        <f t="shared" ca="1" si="1511"/>
        <v>0</v>
      </c>
      <c r="CY155" s="62">
        <f t="shared" ca="1" si="1511"/>
        <v>0</v>
      </c>
      <c r="CZ155" s="62">
        <f t="shared" ca="1" si="1511"/>
        <v>0</v>
      </c>
      <c r="DA155" s="62">
        <f t="shared" ca="1" si="1511"/>
        <v>0</v>
      </c>
      <c r="DB155" s="41"/>
      <c r="DC155" s="41"/>
      <c r="DD155" s="41"/>
      <c r="DE155" s="41"/>
      <c r="DF155" s="41"/>
      <c r="DG155" s="41"/>
      <c r="DH155" s="41"/>
      <c r="DI155" s="41"/>
      <c r="DJ155" s="41"/>
      <c r="DK155" s="41"/>
      <c r="DL155" s="41"/>
      <c r="DM155" s="41"/>
      <c r="DN155" s="41"/>
      <c r="DO155" s="41"/>
      <c r="DP155" s="41"/>
      <c r="DQ155" s="41"/>
      <c r="DR155" s="41"/>
      <c r="DS155" s="41"/>
      <c r="DT155" s="41"/>
      <c r="DU155" s="41"/>
      <c r="DV155" s="41"/>
      <c r="DW155" s="41"/>
      <c r="DX155" s="41"/>
      <c r="DY155" s="41"/>
      <c r="DZ155" s="41"/>
      <c r="EA155" s="41"/>
      <c r="EB155" s="41"/>
      <c r="EC155" s="41"/>
      <c r="ED155" s="41"/>
      <c r="EE155" s="41"/>
      <c r="EF155" s="41"/>
      <c r="EG155" s="41"/>
    </row>
    <row r="156" spans="1:137">
      <c r="A156" s="595"/>
      <c r="B156" s="598"/>
      <c r="C156" s="599"/>
      <c r="D156" s="1558">
        <v>5</v>
      </c>
      <c r="E156" s="1121" t="s">
        <v>258</v>
      </c>
      <c r="F156" s="328" t="s">
        <v>1408</v>
      </c>
      <c r="G156" s="1540"/>
      <c r="H156" s="41"/>
      <c r="I156" s="1541"/>
      <c r="J156" s="15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  <c r="AK156" s="41"/>
      <c r="AL156" s="41"/>
      <c r="AM156" s="41"/>
      <c r="AN156" s="41"/>
      <c r="AO156" s="41"/>
      <c r="AP156" s="41"/>
      <c r="AQ156" s="62">
        <f t="shared" si="1506"/>
        <v>49.637279249999999</v>
      </c>
      <c r="AR156" s="62">
        <f t="shared" si="1506"/>
        <v>1.654575975</v>
      </c>
      <c r="AS156" s="62">
        <f t="shared" si="1506"/>
        <v>1.654575975</v>
      </c>
      <c r="AT156" s="62">
        <f t="shared" si="1506"/>
        <v>1.654575975</v>
      </c>
      <c r="AU156" s="62">
        <f t="shared" si="1506"/>
        <v>1.654575975</v>
      </c>
      <c r="AV156" s="62">
        <f t="shared" si="1506"/>
        <v>1.654575975</v>
      </c>
      <c r="AW156" s="62">
        <f t="shared" si="1506"/>
        <v>1.654575975</v>
      </c>
      <c r="AX156" s="62">
        <f t="shared" si="1506"/>
        <v>1.654575975</v>
      </c>
      <c r="AY156" s="62">
        <f t="shared" si="1506"/>
        <v>1.654575975</v>
      </c>
      <c r="AZ156" s="62">
        <f t="shared" si="1506"/>
        <v>1.654575975</v>
      </c>
      <c r="BA156" s="62">
        <f t="shared" si="1507"/>
        <v>1.654575975</v>
      </c>
      <c r="BB156" s="62">
        <f t="shared" si="1507"/>
        <v>1.654575975</v>
      </c>
      <c r="BC156" s="62">
        <f t="shared" si="1507"/>
        <v>1.654575975</v>
      </c>
      <c r="BD156" s="62">
        <f t="shared" si="1507"/>
        <v>1.654575975</v>
      </c>
      <c r="BE156" s="62">
        <f t="shared" si="1507"/>
        <v>1.654575975</v>
      </c>
      <c r="BF156" s="62">
        <f t="shared" si="1507"/>
        <v>1.654575975</v>
      </c>
      <c r="BG156" s="62">
        <f t="shared" si="1507"/>
        <v>1.654575975</v>
      </c>
      <c r="BH156" s="62">
        <f t="shared" si="1507"/>
        <v>1.654575975</v>
      </c>
      <c r="BI156" s="62">
        <f t="shared" si="1507"/>
        <v>1.654575975</v>
      </c>
      <c r="BJ156" s="62">
        <f t="shared" si="1507"/>
        <v>1.654575975</v>
      </c>
      <c r="BK156" s="62">
        <f t="shared" si="1508"/>
        <v>1.654575975</v>
      </c>
      <c r="BL156" s="62">
        <f t="shared" si="1508"/>
        <v>1.654575975</v>
      </c>
      <c r="BM156" s="62">
        <f t="shared" si="1508"/>
        <v>1.654575975</v>
      </c>
      <c r="BN156" s="62">
        <f t="shared" si="1508"/>
        <v>1.654575975</v>
      </c>
      <c r="BO156" s="62">
        <f t="shared" si="1508"/>
        <v>1.654575975</v>
      </c>
      <c r="BP156" s="62">
        <f t="shared" si="1508"/>
        <v>1.654575975</v>
      </c>
      <c r="BQ156" s="62">
        <f t="shared" si="1508"/>
        <v>1.654575975</v>
      </c>
      <c r="BR156" s="62">
        <f t="shared" si="1508"/>
        <v>1.654575975</v>
      </c>
      <c r="BS156" s="62">
        <f t="shared" si="1508"/>
        <v>1.654575975</v>
      </c>
      <c r="BT156" s="62">
        <f t="shared" si="1508"/>
        <v>1.654575975</v>
      </c>
      <c r="BU156" s="62">
        <f t="shared" si="1508"/>
        <v>1.654575975</v>
      </c>
      <c r="BV156" s="62"/>
      <c r="BW156" s="62">
        <f t="shared" ca="1" si="1509"/>
        <v>0</v>
      </c>
      <c r="BX156" s="62">
        <f t="shared" ca="1" si="1509"/>
        <v>0</v>
      </c>
      <c r="BY156" s="62">
        <f t="shared" ca="1" si="1509"/>
        <v>0</v>
      </c>
      <c r="BZ156" s="62">
        <f t="shared" ca="1" si="1509"/>
        <v>0</v>
      </c>
      <c r="CA156" s="62">
        <f t="shared" ca="1" si="1509"/>
        <v>0</v>
      </c>
      <c r="CB156" s="62">
        <f t="shared" ca="1" si="1509"/>
        <v>0</v>
      </c>
      <c r="CC156" s="62">
        <f t="shared" ca="1" si="1509"/>
        <v>0</v>
      </c>
      <c r="CD156" s="62">
        <f t="shared" ca="1" si="1509"/>
        <v>0</v>
      </c>
      <c r="CE156" s="62">
        <f t="shared" ca="1" si="1509"/>
        <v>0</v>
      </c>
      <c r="CF156" s="62">
        <f t="shared" ca="1" si="1509"/>
        <v>0</v>
      </c>
      <c r="CG156" s="62">
        <f t="shared" ca="1" si="1510"/>
        <v>0</v>
      </c>
      <c r="CH156" s="62">
        <f t="shared" ca="1" si="1510"/>
        <v>0</v>
      </c>
      <c r="CI156" s="62">
        <f t="shared" ca="1" si="1510"/>
        <v>0</v>
      </c>
      <c r="CJ156" s="62">
        <f t="shared" ca="1" si="1510"/>
        <v>0</v>
      </c>
      <c r="CK156" s="62">
        <f t="shared" ca="1" si="1510"/>
        <v>0</v>
      </c>
      <c r="CL156" s="62">
        <f t="shared" ca="1" si="1510"/>
        <v>0</v>
      </c>
      <c r="CM156" s="62">
        <f t="shared" ca="1" si="1510"/>
        <v>0</v>
      </c>
      <c r="CN156" s="62">
        <f t="shared" ca="1" si="1510"/>
        <v>0</v>
      </c>
      <c r="CO156" s="62">
        <f t="shared" ca="1" si="1510"/>
        <v>0</v>
      </c>
      <c r="CP156" s="62">
        <f t="shared" ca="1" si="1510"/>
        <v>0</v>
      </c>
      <c r="CQ156" s="62">
        <f t="shared" ca="1" si="1511"/>
        <v>0</v>
      </c>
      <c r="CR156" s="62">
        <f t="shared" ca="1" si="1511"/>
        <v>0</v>
      </c>
      <c r="CS156" s="62">
        <f t="shared" ca="1" si="1511"/>
        <v>0</v>
      </c>
      <c r="CT156" s="62">
        <f t="shared" ca="1" si="1511"/>
        <v>0</v>
      </c>
      <c r="CU156" s="62">
        <f t="shared" ca="1" si="1511"/>
        <v>0</v>
      </c>
      <c r="CV156" s="62">
        <f t="shared" ca="1" si="1511"/>
        <v>0</v>
      </c>
      <c r="CW156" s="62">
        <f t="shared" ca="1" si="1511"/>
        <v>0</v>
      </c>
      <c r="CX156" s="62">
        <f t="shared" ca="1" si="1511"/>
        <v>0</v>
      </c>
      <c r="CY156" s="62">
        <f t="shared" ca="1" si="1511"/>
        <v>0</v>
      </c>
      <c r="CZ156" s="62">
        <f t="shared" ca="1" si="1511"/>
        <v>0</v>
      </c>
      <c r="DA156" s="62">
        <f t="shared" ca="1" si="1511"/>
        <v>0</v>
      </c>
      <c r="DB156" s="41"/>
      <c r="DC156" s="41"/>
      <c r="DD156" s="41"/>
      <c r="DE156" s="41"/>
      <c r="DF156" s="41"/>
      <c r="DG156" s="41"/>
      <c r="DH156" s="41"/>
      <c r="DI156" s="41"/>
      <c r="DJ156" s="41"/>
      <c r="DK156" s="41"/>
      <c r="DL156" s="41"/>
      <c r="DM156" s="41"/>
      <c r="DN156" s="41"/>
      <c r="DO156" s="41"/>
      <c r="DP156" s="41"/>
      <c r="DQ156" s="41"/>
      <c r="DR156" s="41"/>
      <c r="DS156" s="41"/>
      <c r="DT156" s="41"/>
      <c r="DU156" s="41"/>
      <c r="DV156" s="41"/>
      <c r="DW156" s="41"/>
      <c r="DX156" s="41"/>
      <c r="DY156" s="41"/>
      <c r="DZ156" s="41"/>
      <c r="EA156" s="41"/>
      <c r="EB156" s="41"/>
      <c r="EC156" s="41"/>
      <c r="ED156" s="41"/>
      <c r="EE156" s="41"/>
      <c r="EF156" s="41"/>
      <c r="EG156" s="41"/>
    </row>
    <row r="157" spans="1:137">
      <c r="A157" s="595"/>
      <c r="B157" s="598"/>
      <c r="C157" s="599"/>
      <c r="D157" s="1558">
        <v>6</v>
      </c>
      <c r="E157" s="1121" t="s">
        <v>1426</v>
      </c>
      <c r="F157" s="328" t="s">
        <v>1409</v>
      </c>
      <c r="G157" s="1540"/>
      <c r="H157" s="41"/>
      <c r="I157" s="1541"/>
      <c r="J157" s="15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41"/>
      <c r="AL157" s="41"/>
      <c r="AM157" s="41"/>
      <c r="AN157" s="41"/>
      <c r="AO157" s="41"/>
      <c r="AP157" s="41"/>
      <c r="AQ157" s="62">
        <f t="shared" si="1506"/>
        <v>0</v>
      </c>
      <c r="AR157" s="62">
        <f t="shared" si="1506"/>
        <v>0</v>
      </c>
      <c r="AS157" s="62">
        <f t="shared" si="1506"/>
        <v>0</v>
      </c>
      <c r="AT157" s="62">
        <f t="shared" si="1506"/>
        <v>0</v>
      </c>
      <c r="AU157" s="62">
        <f t="shared" si="1506"/>
        <v>0</v>
      </c>
      <c r="AV157" s="62">
        <f t="shared" si="1506"/>
        <v>0</v>
      </c>
      <c r="AW157" s="62">
        <f t="shared" si="1506"/>
        <v>0</v>
      </c>
      <c r="AX157" s="62">
        <f t="shared" si="1506"/>
        <v>0</v>
      </c>
      <c r="AY157" s="62">
        <f t="shared" si="1506"/>
        <v>0</v>
      </c>
      <c r="AZ157" s="62">
        <f t="shared" si="1506"/>
        <v>0</v>
      </c>
      <c r="BA157" s="62">
        <f t="shared" si="1507"/>
        <v>0</v>
      </c>
      <c r="BB157" s="62">
        <f t="shared" si="1507"/>
        <v>0</v>
      </c>
      <c r="BC157" s="62">
        <f t="shared" si="1507"/>
        <v>0</v>
      </c>
      <c r="BD157" s="62">
        <f t="shared" si="1507"/>
        <v>0</v>
      </c>
      <c r="BE157" s="62">
        <f t="shared" si="1507"/>
        <v>0</v>
      </c>
      <c r="BF157" s="62">
        <f t="shared" si="1507"/>
        <v>0</v>
      </c>
      <c r="BG157" s="62">
        <f t="shared" si="1507"/>
        <v>0</v>
      </c>
      <c r="BH157" s="62">
        <f t="shared" si="1507"/>
        <v>0</v>
      </c>
      <c r="BI157" s="62">
        <f t="shared" si="1507"/>
        <v>0</v>
      </c>
      <c r="BJ157" s="62">
        <f t="shared" si="1507"/>
        <v>0</v>
      </c>
      <c r="BK157" s="62">
        <f t="shared" si="1508"/>
        <v>0</v>
      </c>
      <c r="BL157" s="62">
        <f t="shared" si="1508"/>
        <v>0</v>
      </c>
      <c r="BM157" s="62">
        <f t="shared" si="1508"/>
        <v>0</v>
      </c>
      <c r="BN157" s="62">
        <f t="shared" si="1508"/>
        <v>0</v>
      </c>
      <c r="BO157" s="62">
        <f t="shared" si="1508"/>
        <v>0</v>
      </c>
      <c r="BP157" s="62">
        <f t="shared" si="1508"/>
        <v>0</v>
      </c>
      <c r="BQ157" s="62">
        <f t="shared" si="1508"/>
        <v>0</v>
      </c>
      <c r="BR157" s="62">
        <f t="shared" si="1508"/>
        <v>0</v>
      </c>
      <c r="BS157" s="62">
        <f t="shared" si="1508"/>
        <v>0</v>
      </c>
      <c r="BT157" s="62">
        <f t="shared" si="1508"/>
        <v>0</v>
      </c>
      <c r="BU157" s="62">
        <f t="shared" si="1508"/>
        <v>0</v>
      </c>
      <c r="BV157" s="62"/>
      <c r="BW157" s="62">
        <f t="shared" ca="1" si="1509"/>
        <v>187.5</v>
      </c>
      <c r="BX157" s="62">
        <f t="shared" ca="1" si="1509"/>
        <v>6.25</v>
      </c>
      <c r="BY157" s="62">
        <f t="shared" ca="1" si="1509"/>
        <v>6.25</v>
      </c>
      <c r="BZ157" s="62">
        <f t="shared" ca="1" si="1509"/>
        <v>6.25</v>
      </c>
      <c r="CA157" s="62">
        <f t="shared" ca="1" si="1509"/>
        <v>6.25</v>
      </c>
      <c r="CB157" s="62">
        <f t="shared" ca="1" si="1509"/>
        <v>6.25</v>
      </c>
      <c r="CC157" s="62">
        <f t="shared" ca="1" si="1509"/>
        <v>6.25</v>
      </c>
      <c r="CD157" s="62">
        <f t="shared" ca="1" si="1509"/>
        <v>6.25</v>
      </c>
      <c r="CE157" s="62">
        <f t="shared" ca="1" si="1509"/>
        <v>6.25</v>
      </c>
      <c r="CF157" s="62">
        <f t="shared" ca="1" si="1509"/>
        <v>6.25</v>
      </c>
      <c r="CG157" s="62">
        <f t="shared" ca="1" si="1510"/>
        <v>6.25</v>
      </c>
      <c r="CH157" s="62">
        <f t="shared" ca="1" si="1510"/>
        <v>6.25</v>
      </c>
      <c r="CI157" s="62">
        <f t="shared" ca="1" si="1510"/>
        <v>6.25</v>
      </c>
      <c r="CJ157" s="62">
        <f t="shared" ca="1" si="1510"/>
        <v>6.25</v>
      </c>
      <c r="CK157" s="62">
        <f t="shared" ca="1" si="1510"/>
        <v>6.25</v>
      </c>
      <c r="CL157" s="62">
        <f t="shared" ca="1" si="1510"/>
        <v>6.25</v>
      </c>
      <c r="CM157" s="62">
        <f t="shared" ca="1" si="1510"/>
        <v>6.25</v>
      </c>
      <c r="CN157" s="62">
        <f t="shared" ca="1" si="1510"/>
        <v>6.25</v>
      </c>
      <c r="CO157" s="62">
        <f t="shared" ca="1" si="1510"/>
        <v>6.25</v>
      </c>
      <c r="CP157" s="62">
        <f t="shared" ca="1" si="1510"/>
        <v>6.25</v>
      </c>
      <c r="CQ157" s="62">
        <f t="shared" ca="1" si="1511"/>
        <v>6.25</v>
      </c>
      <c r="CR157" s="62">
        <f t="shared" ca="1" si="1511"/>
        <v>6.25</v>
      </c>
      <c r="CS157" s="62">
        <f t="shared" ca="1" si="1511"/>
        <v>6.25</v>
      </c>
      <c r="CT157" s="62">
        <f t="shared" ca="1" si="1511"/>
        <v>6.25</v>
      </c>
      <c r="CU157" s="62">
        <f t="shared" ca="1" si="1511"/>
        <v>6.25</v>
      </c>
      <c r="CV157" s="62">
        <f t="shared" ca="1" si="1511"/>
        <v>6.25</v>
      </c>
      <c r="CW157" s="62">
        <f t="shared" ca="1" si="1511"/>
        <v>6.25</v>
      </c>
      <c r="CX157" s="62">
        <f t="shared" ca="1" si="1511"/>
        <v>6.25</v>
      </c>
      <c r="CY157" s="62">
        <f t="shared" ca="1" si="1511"/>
        <v>6.25</v>
      </c>
      <c r="CZ157" s="62">
        <f t="shared" ca="1" si="1511"/>
        <v>6.25</v>
      </c>
      <c r="DA157" s="62">
        <f t="shared" ca="1" si="1511"/>
        <v>6.25</v>
      </c>
      <c r="DB157" s="41"/>
      <c r="DC157" s="41"/>
      <c r="DD157" s="41"/>
      <c r="DE157" s="41"/>
      <c r="DF157" s="41"/>
      <c r="DG157" s="41"/>
      <c r="DH157" s="41"/>
      <c r="DI157" s="41"/>
      <c r="DJ157" s="41"/>
      <c r="DK157" s="41"/>
      <c r="DL157" s="41"/>
      <c r="DM157" s="41"/>
      <c r="DN157" s="41"/>
      <c r="DO157" s="41"/>
      <c r="DP157" s="41"/>
      <c r="DQ157" s="41"/>
      <c r="DR157" s="41"/>
      <c r="DS157" s="41"/>
      <c r="DT157" s="41"/>
      <c r="DU157" s="41"/>
      <c r="DV157" s="41"/>
      <c r="DW157" s="41"/>
      <c r="DX157" s="41"/>
      <c r="DY157" s="41"/>
      <c r="DZ157" s="41"/>
      <c r="EA157" s="41"/>
      <c r="EB157" s="41"/>
      <c r="EC157" s="41"/>
      <c r="ED157" s="41"/>
      <c r="EE157" s="41"/>
      <c r="EF157" s="41"/>
      <c r="EG157" s="41"/>
    </row>
    <row r="158" spans="1:137">
      <c r="A158" s="595"/>
      <c r="B158" s="598"/>
      <c r="C158" s="599"/>
      <c r="D158" s="1558">
        <v>7</v>
      </c>
      <c r="E158" s="1121" t="s">
        <v>260</v>
      </c>
      <c r="F158" s="328" t="s">
        <v>1410</v>
      </c>
      <c r="G158" s="1540"/>
      <c r="H158" s="41"/>
      <c r="I158" s="1541"/>
      <c r="J158" s="15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41"/>
      <c r="AL158" s="41"/>
      <c r="AM158" s="41"/>
      <c r="AN158" s="41"/>
      <c r="AO158" s="41"/>
      <c r="AP158" s="41"/>
      <c r="AQ158" s="62">
        <f t="shared" si="1506"/>
        <v>0</v>
      </c>
      <c r="AR158" s="62">
        <f t="shared" si="1506"/>
        <v>0</v>
      </c>
      <c r="AS158" s="62">
        <f t="shared" si="1506"/>
        <v>0</v>
      </c>
      <c r="AT158" s="62">
        <f t="shared" si="1506"/>
        <v>0</v>
      </c>
      <c r="AU158" s="62">
        <f t="shared" si="1506"/>
        <v>0</v>
      </c>
      <c r="AV158" s="62">
        <f t="shared" si="1506"/>
        <v>0</v>
      </c>
      <c r="AW158" s="62">
        <f t="shared" si="1506"/>
        <v>0</v>
      </c>
      <c r="AX158" s="62">
        <f t="shared" si="1506"/>
        <v>0</v>
      </c>
      <c r="AY158" s="62">
        <f t="shared" si="1506"/>
        <v>0</v>
      </c>
      <c r="AZ158" s="62">
        <f t="shared" si="1506"/>
        <v>0</v>
      </c>
      <c r="BA158" s="62">
        <f t="shared" si="1507"/>
        <v>0</v>
      </c>
      <c r="BB158" s="62">
        <f t="shared" si="1507"/>
        <v>0</v>
      </c>
      <c r="BC158" s="62">
        <f t="shared" si="1507"/>
        <v>0</v>
      </c>
      <c r="BD158" s="62">
        <f t="shared" si="1507"/>
        <v>0</v>
      </c>
      <c r="BE158" s="62">
        <f t="shared" si="1507"/>
        <v>0</v>
      </c>
      <c r="BF158" s="62">
        <f t="shared" si="1507"/>
        <v>0</v>
      </c>
      <c r="BG158" s="62">
        <f t="shared" si="1507"/>
        <v>0</v>
      </c>
      <c r="BH158" s="62">
        <f t="shared" si="1507"/>
        <v>0</v>
      </c>
      <c r="BI158" s="62">
        <f t="shared" si="1507"/>
        <v>0</v>
      </c>
      <c r="BJ158" s="62">
        <f t="shared" si="1507"/>
        <v>0</v>
      </c>
      <c r="BK158" s="62">
        <f t="shared" si="1508"/>
        <v>0</v>
      </c>
      <c r="BL158" s="62">
        <f t="shared" si="1508"/>
        <v>0</v>
      </c>
      <c r="BM158" s="62">
        <f t="shared" si="1508"/>
        <v>0</v>
      </c>
      <c r="BN158" s="62">
        <f t="shared" si="1508"/>
        <v>0</v>
      </c>
      <c r="BO158" s="62">
        <f t="shared" si="1508"/>
        <v>0</v>
      </c>
      <c r="BP158" s="62">
        <f t="shared" si="1508"/>
        <v>0</v>
      </c>
      <c r="BQ158" s="62">
        <f t="shared" si="1508"/>
        <v>0</v>
      </c>
      <c r="BR158" s="62">
        <f t="shared" si="1508"/>
        <v>0</v>
      </c>
      <c r="BS158" s="62">
        <f t="shared" si="1508"/>
        <v>0</v>
      </c>
      <c r="BT158" s="62">
        <f t="shared" si="1508"/>
        <v>0</v>
      </c>
      <c r="BU158" s="62">
        <f t="shared" si="1508"/>
        <v>0</v>
      </c>
      <c r="BV158" s="62"/>
      <c r="BW158" s="62">
        <f t="shared" ca="1" si="1509"/>
        <v>1549.9999999999998</v>
      </c>
      <c r="BX158" s="62">
        <f t="shared" ca="1" si="1509"/>
        <v>51.666666666666671</v>
      </c>
      <c r="BY158" s="62">
        <f t="shared" ca="1" si="1509"/>
        <v>51.666666666666671</v>
      </c>
      <c r="BZ158" s="62">
        <f t="shared" ca="1" si="1509"/>
        <v>51.666666666666671</v>
      </c>
      <c r="CA158" s="62">
        <f t="shared" ca="1" si="1509"/>
        <v>51.666666666666671</v>
      </c>
      <c r="CB158" s="62">
        <f t="shared" ca="1" si="1509"/>
        <v>51.666666666666671</v>
      </c>
      <c r="CC158" s="62">
        <f t="shared" ca="1" si="1509"/>
        <v>51.666666666666671</v>
      </c>
      <c r="CD158" s="62">
        <f t="shared" ca="1" si="1509"/>
        <v>51.666666666666671</v>
      </c>
      <c r="CE158" s="62">
        <f t="shared" ca="1" si="1509"/>
        <v>51.666666666666671</v>
      </c>
      <c r="CF158" s="62">
        <f t="shared" ca="1" si="1509"/>
        <v>51.666666666666671</v>
      </c>
      <c r="CG158" s="62">
        <f t="shared" ca="1" si="1510"/>
        <v>51.666666666666671</v>
      </c>
      <c r="CH158" s="62">
        <f t="shared" ca="1" si="1510"/>
        <v>51.666666666666671</v>
      </c>
      <c r="CI158" s="62">
        <f t="shared" ca="1" si="1510"/>
        <v>51.666666666666671</v>
      </c>
      <c r="CJ158" s="62">
        <f t="shared" ca="1" si="1510"/>
        <v>51.666666666666671</v>
      </c>
      <c r="CK158" s="62">
        <f t="shared" ca="1" si="1510"/>
        <v>51.666666666666671</v>
      </c>
      <c r="CL158" s="62">
        <f t="shared" ca="1" si="1510"/>
        <v>51.666666666666671</v>
      </c>
      <c r="CM158" s="62">
        <f t="shared" ca="1" si="1510"/>
        <v>51.666666666666671</v>
      </c>
      <c r="CN158" s="62">
        <f t="shared" ca="1" si="1510"/>
        <v>51.666666666666671</v>
      </c>
      <c r="CO158" s="62">
        <f t="shared" ca="1" si="1510"/>
        <v>51.666666666666671</v>
      </c>
      <c r="CP158" s="62">
        <f t="shared" ca="1" si="1510"/>
        <v>51.666666666666671</v>
      </c>
      <c r="CQ158" s="62">
        <f t="shared" ca="1" si="1511"/>
        <v>51.666666666666671</v>
      </c>
      <c r="CR158" s="62">
        <f t="shared" ca="1" si="1511"/>
        <v>51.666666666666671</v>
      </c>
      <c r="CS158" s="62">
        <f t="shared" ca="1" si="1511"/>
        <v>51.666666666666671</v>
      </c>
      <c r="CT158" s="62">
        <f t="shared" ca="1" si="1511"/>
        <v>51.666666666666671</v>
      </c>
      <c r="CU158" s="62">
        <f t="shared" ca="1" si="1511"/>
        <v>51.666666666666671</v>
      </c>
      <c r="CV158" s="62">
        <f t="shared" ca="1" si="1511"/>
        <v>51.666666666666671</v>
      </c>
      <c r="CW158" s="62">
        <f t="shared" ca="1" si="1511"/>
        <v>51.666666666666671</v>
      </c>
      <c r="CX158" s="62">
        <f t="shared" ca="1" si="1511"/>
        <v>51.666666666666671</v>
      </c>
      <c r="CY158" s="62">
        <f t="shared" ca="1" si="1511"/>
        <v>51.666666666666671</v>
      </c>
      <c r="CZ158" s="62">
        <f t="shared" ca="1" si="1511"/>
        <v>51.666666666666671</v>
      </c>
      <c r="DA158" s="62">
        <f t="shared" ca="1" si="1511"/>
        <v>51.666666666666671</v>
      </c>
      <c r="DB158" s="41"/>
      <c r="DC158" s="41"/>
      <c r="DD158" s="41"/>
      <c r="DE158" s="41"/>
      <c r="DF158" s="41"/>
      <c r="DG158" s="41"/>
      <c r="DH158" s="41"/>
      <c r="DI158" s="41"/>
      <c r="DJ158" s="41"/>
      <c r="DK158" s="41"/>
      <c r="DL158" s="41"/>
      <c r="DM158" s="41"/>
      <c r="DN158" s="41"/>
      <c r="DO158" s="41"/>
      <c r="DP158" s="41"/>
      <c r="DQ158" s="41"/>
      <c r="DR158" s="41"/>
      <c r="DS158" s="41"/>
      <c r="DT158" s="41"/>
      <c r="DU158" s="41"/>
      <c r="DV158" s="41"/>
      <c r="DW158" s="41"/>
      <c r="DX158" s="41"/>
      <c r="DY158" s="41"/>
      <c r="DZ158" s="41"/>
      <c r="EA158" s="41"/>
      <c r="EB158" s="41"/>
      <c r="EC158" s="41"/>
      <c r="ED158" s="41"/>
      <c r="EE158" s="41"/>
      <c r="EF158" s="41"/>
      <c r="EG158" s="41"/>
    </row>
    <row r="159" spans="1:137">
      <c r="A159" s="595"/>
      <c r="B159" s="598"/>
      <c r="C159" s="599"/>
      <c r="D159" s="1558">
        <v>8</v>
      </c>
      <c r="E159" s="1121" t="s">
        <v>261</v>
      </c>
      <c r="F159" s="328" t="s">
        <v>1411</v>
      </c>
      <c r="G159" s="1540"/>
      <c r="H159" s="41"/>
      <c r="I159" s="1541"/>
      <c r="J159" s="15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  <c r="AK159" s="41"/>
      <c r="AL159" s="41"/>
      <c r="AM159" s="41"/>
      <c r="AN159" s="41"/>
      <c r="AO159" s="41"/>
      <c r="AP159" s="41"/>
      <c r="AQ159" s="62">
        <f t="shared" si="1506"/>
        <v>0</v>
      </c>
      <c r="AR159" s="62">
        <f t="shared" si="1506"/>
        <v>0</v>
      </c>
      <c r="AS159" s="62">
        <f t="shared" si="1506"/>
        <v>0</v>
      </c>
      <c r="AT159" s="62">
        <f t="shared" si="1506"/>
        <v>0</v>
      </c>
      <c r="AU159" s="62">
        <f t="shared" si="1506"/>
        <v>0</v>
      </c>
      <c r="AV159" s="62">
        <f t="shared" si="1506"/>
        <v>0</v>
      </c>
      <c r="AW159" s="62">
        <f t="shared" si="1506"/>
        <v>0</v>
      </c>
      <c r="AX159" s="62">
        <f t="shared" si="1506"/>
        <v>0</v>
      </c>
      <c r="AY159" s="62">
        <f t="shared" si="1506"/>
        <v>0</v>
      </c>
      <c r="AZ159" s="62">
        <f t="shared" si="1506"/>
        <v>0</v>
      </c>
      <c r="BA159" s="62">
        <f t="shared" si="1507"/>
        <v>0</v>
      </c>
      <c r="BB159" s="62">
        <f t="shared" si="1507"/>
        <v>0</v>
      </c>
      <c r="BC159" s="62">
        <f t="shared" si="1507"/>
        <v>0</v>
      </c>
      <c r="BD159" s="62">
        <f t="shared" si="1507"/>
        <v>0</v>
      </c>
      <c r="BE159" s="62">
        <f t="shared" si="1507"/>
        <v>0</v>
      </c>
      <c r="BF159" s="62">
        <f t="shared" si="1507"/>
        <v>0</v>
      </c>
      <c r="BG159" s="62">
        <f t="shared" si="1507"/>
        <v>0</v>
      </c>
      <c r="BH159" s="62">
        <f t="shared" si="1507"/>
        <v>0</v>
      </c>
      <c r="BI159" s="62">
        <f t="shared" si="1507"/>
        <v>0</v>
      </c>
      <c r="BJ159" s="62">
        <f t="shared" si="1507"/>
        <v>0</v>
      </c>
      <c r="BK159" s="62">
        <f t="shared" si="1508"/>
        <v>0</v>
      </c>
      <c r="BL159" s="62">
        <f t="shared" si="1508"/>
        <v>0</v>
      </c>
      <c r="BM159" s="62">
        <f t="shared" si="1508"/>
        <v>0</v>
      </c>
      <c r="BN159" s="62">
        <f t="shared" si="1508"/>
        <v>0</v>
      </c>
      <c r="BO159" s="62">
        <f t="shared" si="1508"/>
        <v>0</v>
      </c>
      <c r="BP159" s="62">
        <f t="shared" si="1508"/>
        <v>0</v>
      </c>
      <c r="BQ159" s="62">
        <f t="shared" si="1508"/>
        <v>0</v>
      </c>
      <c r="BR159" s="62">
        <f t="shared" si="1508"/>
        <v>0</v>
      </c>
      <c r="BS159" s="62">
        <f t="shared" si="1508"/>
        <v>0</v>
      </c>
      <c r="BT159" s="62">
        <f t="shared" si="1508"/>
        <v>0</v>
      </c>
      <c r="BU159" s="62">
        <f t="shared" si="1508"/>
        <v>0</v>
      </c>
      <c r="BV159" s="62"/>
      <c r="BW159" s="62">
        <f t="shared" ca="1" si="1509"/>
        <v>480</v>
      </c>
      <c r="BX159" s="62">
        <f t="shared" ca="1" si="1509"/>
        <v>16</v>
      </c>
      <c r="BY159" s="62">
        <f t="shared" ca="1" si="1509"/>
        <v>16</v>
      </c>
      <c r="BZ159" s="62">
        <f t="shared" ca="1" si="1509"/>
        <v>16</v>
      </c>
      <c r="CA159" s="62">
        <f t="shared" ca="1" si="1509"/>
        <v>16</v>
      </c>
      <c r="CB159" s="62">
        <f t="shared" ca="1" si="1509"/>
        <v>16</v>
      </c>
      <c r="CC159" s="62">
        <f t="shared" ca="1" si="1509"/>
        <v>16</v>
      </c>
      <c r="CD159" s="62">
        <f t="shared" ca="1" si="1509"/>
        <v>16</v>
      </c>
      <c r="CE159" s="62">
        <f t="shared" ca="1" si="1509"/>
        <v>16</v>
      </c>
      <c r="CF159" s="62">
        <f t="shared" ca="1" si="1509"/>
        <v>16</v>
      </c>
      <c r="CG159" s="62">
        <f t="shared" ca="1" si="1510"/>
        <v>16</v>
      </c>
      <c r="CH159" s="62">
        <f t="shared" ca="1" si="1510"/>
        <v>16</v>
      </c>
      <c r="CI159" s="62">
        <f t="shared" ca="1" si="1510"/>
        <v>16</v>
      </c>
      <c r="CJ159" s="62">
        <f t="shared" ca="1" si="1510"/>
        <v>16</v>
      </c>
      <c r="CK159" s="62">
        <f t="shared" ca="1" si="1510"/>
        <v>16</v>
      </c>
      <c r="CL159" s="62">
        <f t="shared" ca="1" si="1510"/>
        <v>16</v>
      </c>
      <c r="CM159" s="62">
        <f t="shared" ca="1" si="1510"/>
        <v>16</v>
      </c>
      <c r="CN159" s="62">
        <f t="shared" ca="1" si="1510"/>
        <v>16</v>
      </c>
      <c r="CO159" s="62">
        <f t="shared" ca="1" si="1510"/>
        <v>16</v>
      </c>
      <c r="CP159" s="62">
        <f t="shared" ca="1" si="1510"/>
        <v>16</v>
      </c>
      <c r="CQ159" s="62">
        <f t="shared" ca="1" si="1511"/>
        <v>16</v>
      </c>
      <c r="CR159" s="62">
        <f t="shared" ca="1" si="1511"/>
        <v>16</v>
      </c>
      <c r="CS159" s="62">
        <f t="shared" ca="1" si="1511"/>
        <v>16</v>
      </c>
      <c r="CT159" s="62">
        <f t="shared" ca="1" si="1511"/>
        <v>16</v>
      </c>
      <c r="CU159" s="62">
        <f t="shared" ca="1" si="1511"/>
        <v>16</v>
      </c>
      <c r="CV159" s="62">
        <f t="shared" ca="1" si="1511"/>
        <v>16</v>
      </c>
      <c r="CW159" s="62">
        <f t="shared" ca="1" si="1511"/>
        <v>16</v>
      </c>
      <c r="CX159" s="62">
        <f t="shared" ca="1" si="1511"/>
        <v>16</v>
      </c>
      <c r="CY159" s="62">
        <f t="shared" ca="1" si="1511"/>
        <v>16</v>
      </c>
      <c r="CZ159" s="62">
        <f t="shared" ca="1" si="1511"/>
        <v>16</v>
      </c>
      <c r="DA159" s="62">
        <f t="shared" ca="1" si="1511"/>
        <v>16</v>
      </c>
      <c r="DB159" s="41"/>
      <c r="DC159" s="41"/>
      <c r="DD159" s="41"/>
      <c r="DE159" s="41"/>
      <c r="DF159" s="41"/>
      <c r="DG159" s="41"/>
      <c r="DH159" s="41"/>
      <c r="DI159" s="41"/>
      <c r="DJ159" s="41"/>
      <c r="DK159" s="41"/>
      <c r="DL159" s="41"/>
      <c r="DM159" s="41"/>
      <c r="DN159" s="41"/>
      <c r="DO159" s="41"/>
      <c r="DP159" s="41"/>
      <c r="DQ159" s="41"/>
      <c r="DR159" s="41"/>
      <c r="DS159" s="41"/>
      <c r="DT159" s="41"/>
      <c r="DU159" s="41"/>
      <c r="DV159" s="41"/>
      <c r="DW159" s="41"/>
      <c r="DX159" s="41"/>
      <c r="DY159" s="41"/>
      <c r="DZ159" s="41"/>
      <c r="EA159" s="41"/>
      <c r="EB159" s="41"/>
      <c r="EC159" s="41"/>
      <c r="ED159" s="41"/>
      <c r="EE159" s="41"/>
      <c r="EF159" s="41"/>
      <c r="EG159" s="41"/>
    </row>
    <row r="160" spans="1:137">
      <c r="A160" s="595"/>
      <c r="B160" s="598"/>
      <c r="C160" s="599"/>
      <c r="D160" s="1552">
        <v>9</v>
      </c>
      <c r="E160" s="1102" t="s">
        <v>262</v>
      </c>
      <c r="F160" s="65" t="s">
        <v>1412</v>
      </c>
      <c r="G160" s="1540"/>
      <c r="H160" s="41"/>
      <c r="I160" s="1541"/>
      <c r="J160" s="15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  <c r="AK160" s="41"/>
      <c r="AL160" s="41"/>
      <c r="AM160" s="41"/>
      <c r="AN160" s="41"/>
      <c r="AO160" s="41"/>
      <c r="AP160" s="41"/>
      <c r="AQ160" s="62">
        <f t="shared" ref="AQ160:BF168" si="1512">SUMIF($F$129:$F$146,$D160,AQ$129:AQ$146)</f>
        <v>0</v>
      </c>
      <c r="AR160" s="62">
        <f t="shared" si="1512"/>
        <v>0</v>
      </c>
      <c r="AS160" s="62">
        <f t="shared" si="1512"/>
        <v>0</v>
      </c>
      <c r="AT160" s="62">
        <f t="shared" si="1512"/>
        <v>0</v>
      </c>
      <c r="AU160" s="62">
        <f t="shared" si="1512"/>
        <v>0</v>
      </c>
      <c r="AV160" s="62">
        <f t="shared" si="1512"/>
        <v>0</v>
      </c>
      <c r="AW160" s="62">
        <f t="shared" si="1512"/>
        <v>0</v>
      </c>
      <c r="AX160" s="62">
        <f t="shared" si="1512"/>
        <v>0</v>
      </c>
      <c r="AY160" s="62">
        <f t="shared" si="1512"/>
        <v>0</v>
      </c>
      <c r="AZ160" s="62">
        <f t="shared" si="1512"/>
        <v>0</v>
      </c>
      <c r="BA160" s="62">
        <f t="shared" si="1512"/>
        <v>0</v>
      </c>
      <c r="BB160" s="62">
        <f t="shared" si="1512"/>
        <v>0</v>
      </c>
      <c r="BC160" s="62">
        <f t="shared" si="1512"/>
        <v>0</v>
      </c>
      <c r="BD160" s="62">
        <f t="shared" si="1512"/>
        <v>0</v>
      </c>
      <c r="BE160" s="62">
        <f t="shared" si="1512"/>
        <v>0</v>
      </c>
      <c r="BF160" s="62">
        <f t="shared" si="1512"/>
        <v>0</v>
      </c>
      <c r="BG160" s="62">
        <f t="shared" ref="BG160:BU168" si="1513">SUMIF($F$129:$F$146,$D160,BG$129:BG$146)</f>
        <v>0</v>
      </c>
      <c r="BH160" s="62">
        <f t="shared" si="1513"/>
        <v>0</v>
      </c>
      <c r="BI160" s="62">
        <f t="shared" si="1513"/>
        <v>0</v>
      </c>
      <c r="BJ160" s="62">
        <f t="shared" si="1513"/>
        <v>0</v>
      </c>
      <c r="BK160" s="62">
        <f t="shared" si="1513"/>
        <v>0</v>
      </c>
      <c r="BL160" s="62">
        <f t="shared" si="1513"/>
        <v>0</v>
      </c>
      <c r="BM160" s="62">
        <f t="shared" si="1513"/>
        <v>0</v>
      </c>
      <c r="BN160" s="62">
        <f t="shared" si="1513"/>
        <v>0</v>
      </c>
      <c r="BO160" s="62">
        <f t="shared" si="1513"/>
        <v>0</v>
      </c>
      <c r="BP160" s="62">
        <f t="shared" si="1513"/>
        <v>0</v>
      </c>
      <c r="BQ160" s="62">
        <f t="shared" si="1513"/>
        <v>0</v>
      </c>
      <c r="BR160" s="62">
        <f t="shared" si="1513"/>
        <v>0</v>
      </c>
      <c r="BS160" s="62">
        <f t="shared" si="1513"/>
        <v>0</v>
      </c>
      <c r="BT160" s="62">
        <f t="shared" si="1513"/>
        <v>0</v>
      </c>
      <c r="BU160" s="62">
        <f t="shared" si="1513"/>
        <v>0</v>
      </c>
      <c r="BV160" s="62"/>
      <c r="BW160" s="62">
        <f t="shared" ref="BW160:CL168" si="1514">SUMIF($F$129:$F$146,$D160,BW$129:BW$146)</f>
        <v>0</v>
      </c>
      <c r="BX160" s="62">
        <f t="shared" si="1514"/>
        <v>0</v>
      </c>
      <c r="BY160" s="62">
        <f t="shared" si="1514"/>
        <v>0</v>
      </c>
      <c r="BZ160" s="62">
        <f t="shared" si="1514"/>
        <v>0</v>
      </c>
      <c r="CA160" s="62">
        <f t="shared" si="1514"/>
        <v>0</v>
      </c>
      <c r="CB160" s="62">
        <f t="shared" si="1514"/>
        <v>0</v>
      </c>
      <c r="CC160" s="62">
        <f t="shared" si="1514"/>
        <v>0</v>
      </c>
      <c r="CD160" s="62">
        <f t="shared" si="1514"/>
        <v>0</v>
      </c>
      <c r="CE160" s="62">
        <f t="shared" si="1514"/>
        <v>0</v>
      </c>
      <c r="CF160" s="62">
        <f t="shared" si="1514"/>
        <v>0</v>
      </c>
      <c r="CG160" s="62">
        <f t="shared" si="1514"/>
        <v>0</v>
      </c>
      <c r="CH160" s="62">
        <f t="shared" si="1514"/>
        <v>0</v>
      </c>
      <c r="CI160" s="62">
        <f t="shared" si="1514"/>
        <v>0</v>
      </c>
      <c r="CJ160" s="62">
        <f t="shared" si="1514"/>
        <v>0</v>
      </c>
      <c r="CK160" s="62">
        <f t="shared" si="1514"/>
        <v>0</v>
      </c>
      <c r="CL160" s="62">
        <f t="shared" si="1514"/>
        <v>0</v>
      </c>
      <c r="CM160" s="62">
        <f t="shared" ref="CM160:DA168" si="1515">SUMIF($F$129:$F$146,$D160,CM$129:CM$146)</f>
        <v>0</v>
      </c>
      <c r="CN160" s="62">
        <f t="shared" si="1515"/>
        <v>0</v>
      </c>
      <c r="CO160" s="62">
        <f t="shared" si="1515"/>
        <v>0</v>
      </c>
      <c r="CP160" s="62">
        <f t="shared" si="1515"/>
        <v>0</v>
      </c>
      <c r="CQ160" s="62">
        <f t="shared" si="1515"/>
        <v>0</v>
      </c>
      <c r="CR160" s="62">
        <f t="shared" si="1515"/>
        <v>0</v>
      </c>
      <c r="CS160" s="62">
        <f t="shared" si="1515"/>
        <v>0</v>
      </c>
      <c r="CT160" s="62">
        <f t="shared" si="1515"/>
        <v>0</v>
      </c>
      <c r="CU160" s="62">
        <f t="shared" si="1515"/>
        <v>0</v>
      </c>
      <c r="CV160" s="62">
        <f t="shared" si="1515"/>
        <v>0</v>
      </c>
      <c r="CW160" s="62">
        <f t="shared" si="1515"/>
        <v>0</v>
      </c>
      <c r="CX160" s="62">
        <f t="shared" si="1515"/>
        <v>0</v>
      </c>
      <c r="CY160" s="62">
        <f t="shared" si="1515"/>
        <v>0</v>
      </c>
      <c r="CZ160" s="62">
        <f t="shared" si="1515"/>
        <v>0</v>
      </c>
      <c r="DA160" s="62">
        <f t="shared" si="1515"/>
        <v>0</v>
      </c>
      <c r="DB160" s="41"/>
      <c r="DC160" s="41"/>
      <c r="DD160" s="41"/>
      <c r="DE160" s="41"/>
      <c r="DF160" s="41"/>
      <c r="DG160" s="41"/>
      <c r="DH160" s="41"/>
      <c r="DI160" s="41"/>
      <c r="DJ160" s="41"/>
      <c r="DK160" s="41"/>
      <c r="DL160" s="41"/>
      <c r="DM160" s="41"/>
      <c r="DN160" s="41"/>
      <c r="DO160" s="41"/>
      <c r="DP160" s="41"/>
      <c r="DQ160" s="41"/>
      <c r="DR160" s="41"/>
      <c r="DS160" s="41"/>
      <c r="DT160" s="41"/>
      <c r="DU160" s="41"/>
      <c r="DV160" s="41"/>
      <c r="DW160" s="41"/>
      <c r="DX160" s="41"/>
      <c r="DY160" s="41"/>
      <c r="DZ160" s="41"/>
      <c r="EA160" s="41"/>
      <c r="EB160" s="41"/>
      <c r="EC160" s="41"/>
      <c r="ED160" s="41"/>
      <c r="EE160" s="41"/>
      <c r="EF160" s="41"/>
      <c r="EG160" s="41"/>
    </row>
    <row r="161" spans="1:105">
      <c r="A161" s="595"/>
      <c r="B161" s="598"/>
      <c r="C161" s="599"/>
      <c r="D161" s="1552">
        <v>10</v>
      </c>
      <c r="E161" s="542" t="s">
        <v>263</v>
      </c>
      <c r="F161" s="1559" t="s">
        <v>1413</v>
      </c>
      <c r="G161" s="1540"/>
      <c r="H161" s="41"/>
      <c r="I161" s="1541"/>
      <c r="J161" s="15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41"/>
      <c r="AL161" s="41"/>
      <c r="AM161" s="41"/>
      <c r="AN161" s="41"/>
      <c r="AO161" s="41"/>
      <c r="AP161" s="41"/>
      <c r="AQ161" s="62">
        <f t="shared" si="1512"/>
        <v>0</v>
      </c>
      <c r="AR161" s="62">
        <f t="shared" si="1512"/>
        <v>0</v>
      </c>
      <c r="AS161" s="62">
        <f t="shared" si="1512"/>
        <v>0</v>
      </c>
      <c r="AT161" s="62">
        <f t="shared" si="1512"/>
        <v>0</v>
      </c>
      <c r="AU161" s="62">
        <f t="shared" si="1512"/>
        <v>0</v>
      </c>
      <c r="AV161" s="62">
        <f t="shared" si="1512"/>
        <v>0</v>
      </c>
      <c r="AW161" s="62">
        <f t="shared" si="1512"/>
        <v>0</v>
      </c>
      <c r="AX161" s="62">
        <f t="shared" si="1512"/>
        <v>0</v>
      </c>
      <c r="AY161" s="62">
        <f t="shared" si="1512"/>
        <v>0</v>
      </c>
      <c r="AZ161" s="62">
        <f t="shared" si="1512"/>
        <v>0</v>
      </c>
      <c r="BA161" s="62">
        <f t="shared" si="1512"/>
        <v>0</v>
      </c>
      <c r="BB161" s="62">
        <f t="shared" si="1512"/>
        <v>0</v>
      </c>
      <c r="BC161" s="62">
        <f t="shared" si="1512"/>
        <v>0</v>
      </c>
      <c r="BD161" s="62">
        <f t="shared" si="1512"/>
        <v>0</v>
      </c>
      <c r="BE161" s="62">
        <f t="shared" si="1512"/>
        <v>0</v>
      </c>
      <c r="BF161" s="62">
        <f t="shared" si="1512"/>
        <v>0</v>
      </c>
      <c r="BG161" s="62">
        <f t="shared" si="1513"/>
        <v>0</v>
      </c>
      <c r="BH161" s="62">
        <f t="shared" si="1513"/>
        <v>0</v>
      </c>
      <c r="BI161" s="62">
        <f t="shared" si="1513"/>
        <v>0</v>
      </c>
      <c r="BJ161" s="62">
        <f t="shared" si="1513"/>
        <v>0</v>
      </c>
      <c r="BK161" s="62">
        <f t="shared" si="1513"/>
        <v>0</v>
      </c>
      <c r="BL161" s="62">
        <f t="shared" si="1513"/>
        <v>0</v>
      </c>
      <c r="BM161" s="62">
        <f t="shared" si="1513"/>
        <v>0</v>
      </c>
      <c r="BN161" s="62">
        <f t="shared" si="1513"/>
        <v>0</v>
      </c>
      <c r="BO161" s="62">
        <f t="shared" si="1513"/>
        <v>0</v>
      </c>
      <c r="BP161" s="62">
        <f t="shared" si="1513"/>
        <v>0</v>
      </c>
      <c r="BQ161" s="62">
        <f t="shared" si="1513"/>
        <v>0</v>
      </c>
      <c r="BR161" s="62">
        <f t="shared" si="1513"/>
        <v>0</v>
      </c>
      <c r="BS161" s="62">
        <f t="shared" si="1513"/>
        <v>0</v>
      </c>
      <c r="BT161" s="62">
        <f t="shared" si="1513"/>
        <v>0</v>
      </c>
      <c r="BU161" s="62">
        <f t="shared" si="1513"/>
        <v>0</v>
      </c>
      <c r="BV161" s="62"/>
      <c r="BW161" s="62">
        <f t="shared" si="1514"/>
        <v>0</v>
      </c>
      <c r="BX161" s="62">
        <f t="shared" si="1514"/>
        <v>0</v>
      </c>
      <c r="BY161" s="62">
        <f t="shared" si="1514"/>
        <v>0</v>
      </c>
      <c r="BZ161" s="62">
        <f t="shared" si="1514"/>
        <v>0</v>
      </c>
      <c r="CA161" s="62">
        <f t="shared" si="1514"/>
        <v>0</v>
      </c>
      <c r="CB161" s="62">
        <f t="shared" si="1514"/>
        <v>0</v>
      </c>
      <c r="CC161" s="62">
        <f t="shared" si="1514"/>
        <v>0</v>
      </c>
      <c r="CD161" s="62">
        <f t="shared" si="1514"/>
        <v>0</v>
      </c>
      <c r="CE161" s="62">
        <f t="shared" si="1514"/>
        <v>0</v>
      </c>
      <c r="CF161" s="62">
        <f t="shared" si="1514"/>
        <v>0</v>
      </c>
      <c r="CG161" s="62">
        <f t="shared" si="1514"/>
        <v>0</v>
      </c>
      <c r="CH161" s="62">
        <f t="shared" si="1514"/>
        <v>0</v>
      </c>
      <c r="CI161" s="62">
        <f t="shared" si="1514"/>
        <v>0</v>
      </c>
      <c r="CJ161" s="62">
        <f t="shared" si="1514"/>
        <v>0</v>
      </c>
      <c r="CK161" s="62">
        <f t="shared" si="1514"/>
        <v>0</v>
      </c>
      <c r="CL161" s="62">
        <f t="shared" si="1514"/>
        <v>0</v>
      </c>
      <c r="CM161" s="62">
        <f t="shared" si="1515"/>
        <v>0</v>
      </c>
      <c r="CN161" s="62">
        <f t="shared" si="1515"/>
        <v>0</v>
      </c>
      <c r="CO161" s="62">
        <f t="shared" si="1515"/>
        <v>0</v>
      </c>
      <c r="CP161" s="62">
        <f t="shared" si="1515"/>
        <v>0</v>
      </c>
      <c r="CQ161" s="62">
        <f t="shared" si="1515"/>
        <v>0</v>
      </c>
      <c r="CR161" s="62">
        <f t="shared" si="1515"/>
        <v>0</v>
      </c>
      <c r="CS161" s="62">
        <f t="shared" si="1515"/>
        <v>0</v>
      </c>
      <c r="CT161" s="62">
        <f t="shared" si="1515"/>
        <v>0</v>
      </c>
      <c r="CU161" s="62">
        <f t="shared" si="1515"/>
        <v>0</v>
      </c>
      <c r="CV161" s="62">
        <f t="shared" si="1515"/>
        <v>0</v>
      </c>
      <c r="CW161" s="62">
        <f t="shared" si="1515"/>
        <v>0</v>
      </c>
      <c r="CX161" s="62">
        <f t="shared" si="1515"/>
        <v>0</v>
      </c>
      <c r="CY161" s="62">
        <f t="shared" si="1515"/>
        <v>0</v>
      </c>
      <c r="CZ161" s="62">
        <f t="shared" si="1515"/>
        <v>0</v>
      </c>
      <c r="DA161" s="62">
        <f t="shared" si="1515"/>
        <v>0</v>
      </c>
    </row>
    <row r="162" spans="1:105">
      <c r="A162" s="595"/>
      <c r="B162" s="598"/>
      <c r="C162" s="599"/>
      <c r="D162" s="1552">
        <v>11</v>
      </c>
      <c r="E162" s="542" t="s">
        <v>264</v>
      </c>
      <c r="F162" s="1559" t="s">
        <v>1414</v>
      </c>
      <c r="G162" s="1540"/>
      <c r="H162" s="41"/>
      <c r="I162" s="1541"/>
      <c r="J162" s="15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41"/>
      <c r="AL162" s="41"/>
      <c r="AM162" s="41"/>
      <c r="AN162" s="41"/>
      <c r="AO162" s="41"/>
      <c r="AP162" s="41"/>
      <c r="AQ162" s="62">
        <f t="shared" si="1512"/>
        <v>599.24627931783311</v>
      </c>
      <c r="AR162" s="62">
        <f t="shared" si="1512"/>
        <v>19.974875977261096</v>
      </c>
      <c r="AS162" s="62">
        <f t="shared" si="1512"/>
        <v>19.974875977261096</v>
      </c>
      <c r="AT162" s="62">
        <f t="shared" si="1512"/>
        <v>19.974875977261096</v>
      </c>
      <c r="AU162" s="62">
        <f t="shared" si="1512"/>
        <v>19.974875977261096</v>
      </c>
      <c r="AV162" s="62">
        <f t="shared" si="1512"/>
        <v>19.974875977261096</v>
      </c>
      <c r="AW162" s="62">
        <f t="shared" si="1512"/>
        <v>19.974875977261096</v>
      </c>
      <c r="AX162" s="62">
        <f t="shared" si="1512"/>
        <v>19.974875977261096</v>
      </c>
      <c r="AY162" s="62">
        <f t="shared" si="1512"/>
        <v>19.974875977261096</v>
      </c>
      <c r="AZ162" s="62">
        <f t="shared" si="1512"/>
        <v>19.974875977261096</v>
      </c>
      <c r="BA162" s="62">
        <f t="shared" si="1512"/>
        <v>19.974875977261096</v>
      </c>
      <c r="BB162" s="62">
        <f t="shared" si="1512"/>
        <v>19.974875977261096</v>
      </c>
      <c r="BC162" s="62">
        <f t="shared" si="1512"/>
        <v>19.974875977261096</v>
      </c>
      <c r="BD162" s="62">
        <f t="shared" si="1512"/>
        <v>19.974875977261096</v>
      </c>
      <c r="BE162" s="62">
        <f t="shared" si="1512"/>
        <v>19.974875977261096</v>
      </c>
      <c r="BF162" s="62">
        <f t="shared" si="1512"/>
        <v>19.974875977261096</v>
      </c>
      <c r="BG162" s="62">
        <f t="shared" si="1513"/>
        <v>19.974875977261096</v>
      </c>
      <c r="BH162" s="62">
        <f t="shared" si="1513"/>
        <v>19.974875977261096</v>
      </c>
      <c r="BI162" s="62">
        <f t="shared" si="1513"/>
        <v>19.974875977261096</v>
      </c>
      <c r="BJ162" s="62">
        <f t="shared" si="1513"/>
        <v>19.974875977261096</v>
      </c>
      <c r="BK162" s="62">
        <f t="shared" si="1513"/>
        <v>19.974875977261096</v>
      </c>
      <c r="BL162" s="62">
        <f t="shared" si="1513"/>
        <v>19.974875977261096</v>
      </c>
      <c r="BM162" s="62">
        <f t="shared" si="1513"/>
        <v>19.974875977261096</v>
      </c>
      <c r="BN162" s="62">
        <f t="shared" si="1513"/>
        <v>19.974875977261096</v>
      </c>
      <c r="BO162" s="62">
        <f t="shared" si="1513"/>
        <v>19.974875977261096</v>
      </c>
      <c r="BP162" s="62">
        <f t="shared" si="1513"/>
        <v>19.974875977261096</v>
      </c>
      <c r="BQ162" s="62">
        <f t="shared" si="1513"/>
        <v>19.974875977261096</v>
      </c>
      <c r="BR162" s="62">
        <f t="shared" si="1513"/>
        <v>19.974875977261096</v>
      </c>
      <c r="BS162" s="62">
        <f t="shared" si="1513"/>
        <v>19.974875977261096</v>
      </c>
      <c r="BT162" s="62">
        <f t="shared" si="1513"/>
        <v>19.974875977261096</v>
      </c>
      <c r="BU162" s="62">
        <f t="shared" si="1513"/>
        <v>19.974875977261096</v>
      </c>
      <c r="BV162" s="62"/>
      <c r="BW162" s="62">
        <f t="shared" si="1514"/>
        <v>0</v>
      </c>
      <c r="BX162" s="62">
        <f t="shared" si="1514"/>
        <v>0</v>
      </c>
      <c r="BY162" s="62">
        <f t="shared" si="1514"/>
        <v>0</v>
      </c>
      <c r="BZ162" s="62">
        <f t="shared" si="1514"/>
        <v>0</v>
      </c>
      <c r="CA162" s="62">
        <f t="shared" si="1514"/>
        <v>0</v>
      </c>
      <c r="CB162" s="62">
        <f t="shared" si="1514"/>
        <v>0</v>
      </c>
      <c r="CC162" s="62">
        <f t="shared" si="1514"/>
        <v>0</v>
      </c>
      <c r="CD162" s="62">
        <f t="shared" si="1514"/>
        <v>0</v>
      </c>
      <c r="CE162" s="62">
        <f t="shared" si="1514"/>
        <v>0</v>
      </c>
      <c r="CF162" s="62">
        <f t="shared" si="1514"/>
        <v>0</v>
      </c>
      <c r="CG162" s="62">
        <f t="shared" si="1514"/>
        <v>0</v>
      </c>
      <c r="CH162" s="62">
        <f t="shared" si="1514"/>
        <v>0</v>
      </c>
      <c r="CI162" s="62">
        <f t="shared" si="1514"/>
        <v>0</v>
      </c>
      <c r="CJ162" s="62">
        <f t="shared" si="1514"/>
        <v>0</v>
      </c>
      <c r="CK162" s="62">
        <f t="shared" si="1514"/>
        <v>0</v>
      </c>
      <c r="CL162" s="62">
        <f t="shared" si="1514"/>
        <v>0</v>
      </c>
      <c r="CM162" s="62">
        <f t="shared" si="1515"/>
        <v>0</v>
      </c>
      <c r="CN162" s="62">
        <f t="shared" si="1515"/>
        <v>0</v>
      </c>
      <c r="CO162" s="62">
        <f t="shared" si="1515"/>
        <v>0</v>
      </c>
      <c r="CP162" s="62">
        <f t="shared" si="1515"/>
        <v>0</v>
      </c>
      <c r="CQ162" s="62">
        <f t="shared" si="1515"/>
        <v>0</v>
      </c>
      <c r="CR162" s="62">
        <f t="shared" si="1515"/>
        <v>0</v>
      </c>
      <c r="CS162" s="62">
        <f t="shared" si="1515"/>
        <v>0</v>
      </c>
      <c r="CT162" s="62">
        <f t="shared" si="1515"/>
        <v>0</v>
      </c>
      <c r="CU162" s="62">
        <f t="shared" si="1515"/>
        <v>0</v>
      </c>
      <c r="CV162" s="62">
        <f t="shared" si="1515"/>
        <v>0</v>
      </c>
      <c r="CW162" s="62">
        <f t="shared" si="1515"/>
        <v>0</v>
      </c>
      <c r="CX162" s="62">
        <f t="shared" si="1515"/>
        <v>0</v>
      </c>
      <c r="CY162" s="62">
        <f t="shared" si="1515"/>
        <v>0</v>
      </c>
      <c r="CZ162" s="62">
        <f t="shared" si="1515"/>
        <v>0</v>
      </c>
      <c r="DA162" s="62">
        <f t="shared" si="1515"/>
        <v>0</v>
      </c>
    </row>
    <row r="163" spans="1:105">
      <c r="A163" s="595"/>
      <c r="B163" s="598"/>
      <c r="C163" s="599"/>
      <c r="D163" s="1552">
        <v>12</v>
      </c>
      <c r="E163" s="1072" t="s">
        <v>265</v>
      </c>
      <c r="F163" s="1540" t="s">
        <v>1418</v>
      </c>
      <c r="G163" s="41"/>
      <c r="H163" s="1541"/>
      <c r="I163" s="15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  <c r="AK163" s="41"/>
      <c r="AL163" s="41"/>
      <c r="AM163" s="41"/>
      <c r="AN163" s="41"/>
      <c r="AO163" s="41"/>
      <c r="AP163" s="1525"/>
      <c r="AQ163" s="62">
        <f t="shared" si="1512"/>
        <v>0</v>
      </c>
      <c r="AR163" s="62">
        <f t="shared" si="1512"/>
        <v>0</v>
      </c>
      <c r="AS163" s="62">
        <f t="shared" si="1512"/>
        <v>0</v>
      </c>
      <c r="AT163" s="62">
        <f t="shared" si="1512"/>
        <v>0</v>
      </c>
      <c r="AU163" s="62">
        <f t="shared" si="1512"/>
        <v>0</v>
      </c>
      <c r="AV163" s="62">
        <f t="shared" si="1512"/>
        <v>0</v>
      </c>
      <c r="AW163" s="62">
        <f t="shared" si="1512"/>
        <v>0</v>
      </c>
      <c r="AX163" s="62">
        <f t="shared" si="1512"/>
        <v>0</v>
      </c>
      <c r="AY163" s="62">
        <f t="shared" si="1512"/>
        <v>0</v>
      </c>
      <c r="AZ163" s="62">
        <f t="shared" si="1512"/>
        <v>0</v>
      </c>
      <c r="BA163" s="62">
        <f t="shared" si="1512"/>
        <v>0</v>
      </c>
      <c r="BB163" s="62">
        <f t="shared" si="1512"/>
        <v>0</v>
      </c>
      <c r="BC163" s="62">
        <f t="shared" si="1512"/>
        <v>0</v>
      </c>
      <c r="BD163" s="62">
        <f t="shared" si="1512"/>
        <v>0</v>
      </c>
      <c r="BE163" s="62">
        <f t="shared" si="1512"/>
        <v>0</v>
      </c>
      <c r="BF163" s="62">
        <f t="shared" si="1512"/>
        <v>0</v>
      </c>
      <c r="BG163" s="62">
        <f t="shared" si="1513"/>
        <v>0</v>
      </c>
      <c r="BH163" s="62">
        <f t="shared" si="1513"/>
        <v>0</v>
      </c>
      <c r="BI163" s="62">
        <f t="shared" si="1513"/>
        <v>0</v>
      </c>
      <c r="BJ163" s="62">
        <f t="shared" si="1513"/>
        <v>0</v>
      </c>
      <c r="BK163" s="62">
        <f t="shared" si="1513"/>
        <v>0</v>
      </c>
      <c r="BL163" s="62">
        <f t="shared" si="1513"/>
        <v>0</v>
      </c>
      <c r="BM163" s="62">
        <f t="shared" si="1513"/>
        <v>0</v>
      </c>
      <c r="BN163" s="62">
        <f t="shared" si="1513"/>
        <v>0</v>
      </c>
      <c r="BO163" s="62">
        <f t="shared" si="1513"/>
        <v>0</v>
      </c>
      <c r="BP163" s="62">
        <f t="shared" si="1513"/>
        <v>0</v>
      </c>
      <c r="BQ163" s="62">
        <f t="shared" si="1513"/>
        <v>0</v>
      </c>
      <c r="BR163" s="62">
        <f t="shared" si="1513"/>
        <v>0</v>
      </c>
      <c r="BS163" s="62">
        <f t="shared" si="1513"/>
        <v>0</v>
      </c>
      <c r="BT163" s="62">
        <f t="shared" si="1513"/>
        <v>0</v>
      </c>
      <c r="BU163" s="62">
        <f t="shared" si="1513"/>
        <v>0</v>
      </c>
      <c r="BV163" s="62"/>
      <c r="BW163" s="62">
        <f t="shared" si="1514"/>
        <v>0</v>
      </c>
      <c r="BX163" s="62">
        <f t="shared" si="1514"/>
        <v>0</v>
      </c>
      <c r="BY163" s="62">
        <f t="shared" si="1514"/>
        <v>0</v>
      </c>
      <c r="BZ163" s="62">
        <f t="shared" si="1514"/>
        <v>0</v>
      </c>
      <c r="CA163" s="62">
        <f t="shared" si="1514"/>
        <v>0</v>
      </c>
      <c r="CB163" s="62">
        <f t="shared" si="1514"/>
        <v>0</v>
      </c>
      <c r="CC163" s="62">
        <f t="shared" si="1514"/>
        <v>0</v>
      </c>
      <c r="CD163" s="62">
        <f t="shared" si="1514"/>
        <v>0</v>
      </c>
      <c r="CE163" s="62">
        <f t="shared" si="1514"/>
        <v>0</v>
      </c>
      <c r="CF163" s="62">
        <f t="shared" si="1514"/>
        <v>0</v>
      </c>
      <c r="CG163" s="62">
        <f t="shared" si="1514"/>
        <v>0</v>
      </c>
      <c r="CH163" s="62">
        <f t="shared" si="1514"/>
        <v>0</v>
      </c>
      <c r="CI163" s="62">
        <f t="shared" si="1514"/>
        <v>0</v>
      </c>
      <c r="CJ163" s="62">
        <f t="shared" si="1514"/>
        <v>0</v>
      </c>
      <c r="CK163" s="62">
        <f t="shared" si="1514"/>
        <v>0</v>
      </c>
      <c r="CL163" s="62">
        <f t="shared" si="1514"/>
        <v>0</v>
      </c>
      <c r="CM163" s="62">
        <f t="shared" si="1515"/>
        <v>0</v>
      </c>
      <c r="CN163" s="62">
        <f t="shared" si="1515"/>
        <v>0</v>
      </c>
      <c r="CO163" s="62">
        <f t="shared" si="1515"/>
        <v>0</v>
      </c>
      <c r="CP163" s="62">
        <f t="shared" si="1515"/>
        <v>0</v>
      </c>
      <c r="CQ163" s="62">
        <f t="shared" si="1515"/>
        <v>0</v>
      </c>
      <c r="CR163" s="62">
        <f t="shared" si="1515"/>
        <v>0</v>
      </c>
      <c r="CS163" s="62">
        <f t="shared" si="1515"/>
        <v>0</v>
      </c>
      <c r="CT163" s="62">
        <f t="shared" si="1515"/>
        <v>0</v>
      </c>
      <c r="CU163" s="62">
        <f t="shared" si="1515"/>
        <v>0</v>
      </c>
      <c r="CV163" s="62">
        <f t="shared" si="1515"/>
        <v>0</v>
      </c>
      <c r="CW163" s="62">
        <f t="shared" si="1515"/>
        <v>0</v>
      </c>
      <c r="CX163" s="62">
        <f t="shared" si="1515"/>
        <v>0</v>
      </c>
      <c r="CY163" s="62">
        <f t="shared" si="1515"/>
        <v>0</v>
      </c>
      <c r="CZ163" s="62">
        <f t="shared" si="1515"/>
        <v>0</v>
      </c>
      <c r="DA163" s="62">
        <f t="shared" si="1515"/>
        <v>0</v>
      </c>
    </row>
    <row r="164" spans="1:105">
      <c r="A164" s="595"/>
      <c r="B164" s="598"/>
      <c r="C164" s="599"/>
      <c r="D164" s="1552">
        <v>13</v>
      </c>
      <c r="E164" s="1072" t="s">
        <v>266</v>
      </c>
      <c r="F164" s="1559" t="s">
        <v>1419</v>
      </c>
      <c r="G164" s="41"/>
      <c r="H164" s="1541"/>
      <c r="I164" s="15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  <c r="AK164" s="41"/>
      <c r="AL164" s="41"/>
      <c r="AM164" s="41"/>
      <c r="AN164" s="41"/>
      <c r="AO164" s="41"/>
      <c r="AP164" s="1525"/>
      <c r="AQ164" s="62">
        <f t="shared" si="1512"/>
        <v>0</v>
      </c>
      <c r="AR164" s="62">
        <f t="shared" si="1512"/>
        <v>0</v>
      </c>
      <c r="AS164" s="62">
        <f t="shared" si="1512"/>
        <v>0</v>
      </c>
      <c r="AT164" s="62">
        <f t="shared" si="1512"/>
        <v>0</v>
      </c>
      <c r="AU164" s="62">
        <f t="shared" si="1512"/>
        <v>0</v>
      </c>
      <c r="AV164" s="62">
        <f t="shared" si="1512"/>
        <v>0</v>
      </c>
      <c r="AW164" s="62">
        <f t="shared" si="1512"/>
        <v>0</v>
      </c>
      <c r="AX164" s="62">
        <f t="shared" si="1512"/>
        <v>0</v>
      </c>
      <c r="AY164" s="62">
        <f t="shared" si="1512"/>
        <v>0</v>
      </c>
      <c r="AZ164" s="62">
        <f t="shared" si="1512"/>
        <v>0</v>
      </c>
      <c r="BA164" s="62">
        <f t="shared" si="1512"/>
        <v>0</v>
      </c>
      <c r="BB164" s="62">
        <f t="shared" si="1512"/>
        <v>0</v>
      </c>
      <c r="BC164" s="62">
        <f t="shared" si="1512"/>
        <v>0</v>
      </c>
      <c r="BD164" s="62">
        <f t="shared" si="1512"/>
        <v>0</v>
      </c>
      <c r="BE164" s="62">
        <f t="shared" si="1512"/>
        <v>0</v>
      </c>
      <c r="BF164" s="62">
        <f t="shared" si="1512"/>
        <v>0</v>
      </c>
      <c r="BG164" s="62">
        <f t="shared" si="1513"/>
        <v>0</v>
      </c>
      <c r="BH164" s="62">
        <f t="shared" si="1513"/>
        <v>0</v>
      </c>
      <c r="BI164" s="62">
        <f t="shared" si="1513"/>
        <v>0</v>
      </c>
      <c r="BJ164" s="62">
        <f t="shared" si="1513"/>
        <v>0</v>
      </c>
      <c r="BK164" s="62">
        <f t="shared" si="1513"/>
        <v>0</v>
      </c>
      <c r="BL164" s="62">
        <f t="shared" si="1513"/>
        <v>0</v>
      </c>
      <c r="BM164" s="62">
        <f t="shared" si="1513"/>
        <v>0</v>
      </c>
      <c r="BN164" s="62">
        <f t="shared" si="1513"/>
        <v>0</v>
      </c>
      <c r="BO164" s="62">
        <f t="shared" si="1513"/>
        <v>0</v>
      </c>
      <c r="BP164" s="62">
        <f t="shared" si="1513"/>
        <v>0</v>
      </c>
      <c r="BQ164" s="62">
        <f t="shared" si="1513"/>
        <v>0</v>
      </c>
      <c r="BR164" s="62">
        <f t="shared" si="1513"/>
        <v>0</v>
      </c>
      <c r="BS164" s="62">
        <f t="shared" si="1513"/>
        <v>0</v>
      </c>
      <c r="BT164" s="62">
        <f t="shared" si="1513"/>
        <v>0</v>
      </c>
      <c r="BU164" s="62">
        <f t="shared" si="1513"/>
        <v>0</v>
      </c>
      <c r="BV164" s="62"/>
      <c r="BW164" s="62">
        <f t="shared" si="1514"/>
        <v>0</v>
      </c>
      <c r="BX164" s="62">
        <f t="shared" si="1514"/>
        <v>0</v>
      </c>
      <c r="BY164" s="62">
        <f t="shared" si="1514"/>
        <v>0</v>
      </c>
      <c r="BZ164" s="62">
        <f t="shared" si="1514"/>
        <v>0</v>
      </c>
      <c r="CA164" s="62">
        <f t="shared" si="1514"/>
        <v>0</v>
      </c>
      <c r="CB164" s="62">
        <f t="shared" si="1514"/>
        <v>0</v>
      </c>
      <c r="CC164" s="62">
        <f t="shared" si="1514"/>
        <v>0</v>
      </c>
      <c r="CD164" s="62">
        <f t="shared" si="1514"/>
        <v>0</v>
      </c>
      <c r="CE164" s="62">
        <f t="shared" si="1514"/>
        <v>0</v>
      </c>
      <c r="CF164" s="62">
        <f t="shared" si="1514"/>
        <v>0</v>
      </c>
      <c r="CG164" s="62">
        <f t="shared" si="1514"/>
        <v>0</v>
      </c>
      <c r="CH164" s="62">
        <f t="shared" si="1514"/>
        <v>0</v>
      </c>
      <c r="CI164" s="62">
        <f t="shared" si="1514"/>
        <v>0</v>
      </c>
      <c r="CJ164" s="62">
        <f t="shared" si="1514"/>
        <v>0</v>
      </c>
      <c r="CK164" s="62">
        <f t="shared" si="1514"/>
        <v>0</v>
      </c>
      <c r="CL164" s="62">
        <f t="shared" si="1514"/>
        <v>0</v>
      </c>
      <c r="CM164" s="62">
        <f t="shared" si="1515"/>
        <v>0</v>
      </c>
      <c r="CN164" s="62">
        <f t="shared" si="1515"/>
        <v>0</v>
      </c>
      <c r="CO164" s="62">
        <f t="shared" si="1515"/>
        <v>0</v>
      </c>
      <c r="CP164" s="62">
        <f t="shared" si="1515"/>
        <v>0</v>
      </c>
      <c r="CQ164" s="62">
        <f t="shared" si="1515"/>
        <v>0</v>
      </c>
      <c r="CR164" s="62">
        <f t="shared" si="1515"/>
        <v>0</v>
      </c>
      <c r="CS164" s="62">
        <f t="shared" si="1515"/>
        <v>0</v>
      </c>
      <c r="CT164" s="62">
        <f t="shared" si="1515"/>
        <v>0</v>
      </c>
      <c r="CU164" s="62">
        <f t="shared" si="1515"/>
        <v>0</v>
      </c>
      <c r="CV164" s="62">
        <f t="shared" si="1515"/>
        <v>0</v>
      </c>
      <c r="CW164" s="62">
        <f t="shared" si="1515"/>
        <v>0</v>
      </c>
      <c r="CX164" s="62">
        <f t="shared" si="1515"/>
        <v>0</v>
      </c>
      <c r="CY164" s="62">
        <f t="shared" si="1515"/>
        <v>0</v>
      </c>
      <c r="CZ164" s="62">
        <f t="shared" si="1515"/>
        <v>0</v>
      </c>
      <c r="DA164" s="62">
        <f t="shared" si="1515"/>
        <v>0</v>
      </c>
    </row>
    <row r="165" spans="1:105">
      <c r="A165" s="595"/>
      <c r="B165" s="598"/>
      <c r="C165" s="599"/>
      <c r="D165" s="1552">
        <v>14</v>
      </c>
      <c r="E165" s="1072" t="s">
        <v>267</v>
      </c>
      <c r="F165" s="1559" t="s">
        <v>1420</v>
      </c>
      <c r="G165" s="41"/>
      <c r="H165" s="1541"/>
      <c r="I165" s="15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  <c r="AK165" s="41"/>
      <c r="AL165" s="41"/>
      <c r="AM165" s="41"/>
      <c r="AN165" s="41"/>
      <c r="AO165" s="41"/>
      <c r="AP165" s="1525"/>
      <c r="AQ165" s="62">
        <f t="shared" si="1512"/>
        <v>0</v>
      </c>
      <c r="AR165" s="62">
        <f t="shared" si="1512"/>
        <v>0</v>
      </c>
      <c r="AS165" s="62">
        <f t="shared" si="1512"/>
        <v>0</v>
      </c>
      <c r="AT165" s="62">
        <f t="shared" si="1512"/>
        <v>0</v>
      </c>
      <c r="AU165" s="62">
        <f t="shared" si="1512"/>
        <v>0</v>
      </c>
      <c r="AV165" s="62">
        <f t="shared" si="1512"/>
        <v>0</v>
      </c>
      <c r="AW165" s="62">
        <f t="shared" si="1512"/>
        <v>0</v>
      </c>
      <c r="AX165" s="62">
        <f t="shared" si="1512"/>
        <v>0</v>
      </c>
      <c r="AY165" s="62">
        <f t="shared" si="1512"/>
        <v>0</v>
      </c>
      <c r="AZ165" s="62">
        <f t="shared" si="1512"/>
        <v>0</v>
      </c>
      <c r="BA165" s="62">
        <f t="shared" si="1512"/>
        <v>0</v>
      </c>
      <c r="BB165" s="62">
        <f t="shared" si="1512"/>
        <v>0</v>
      </c>
      <c r="BC165" s="62">
        <f t="shared" si="1512"/>
        <v>0</v>
      </c>
      <c r="BD165" s="62">
        <f t="shared" si="1512"/>
        <v>0</v>
      </c>
      <c r="BE165" s="62">
        <f t="shared" si="1512"/>
        <v>0</v>
      </c>
      <c r="BF165" s="62">
        <f t="shared" si="1512"/>
        <v>0</v>
      </c>
      <c r="BG165" s="62">
        <f t="shared" si="1513"/>
        <v>0</v>
      </c>
      <c r="BH165" s="62">
        <f t="shared" si="1513"/>
        <v>0</v>
      </c>
      <c r="BI165" s="62">
        <f t="shared" si="1513"/>
        <v>0</v>
      </c>
      <c r="BJ165" s="62">
        <f t="shared" si="1513"/>
        <v>0</v>
      </c>
      <c r="BK165" s="62">
        <f t="shared" si="1513"/>
        <v>0</v>
      </c>
      <c r="BL165" s="62">
        <f t="shared" si="1513"/>
        <v>0</v>
      </c>
      <c r="BM165" s="62">
        <f t="shared" si="1513"/>
        <v>0</v>
      </c>
      <c r="BN165" s="62">
        <f t="shared" si="1513"/>
        <v>0</v>
      </c>
      <c r="BO165" s="62">
        <f t="shared" si="1513"/>
        <v>0</v>
      </c>
      <c r="BP165" s="62">
        <f t="shared" si="1513"/>
        <v>0</v>
      </c>
      <c r="BQ165" s="62">
        <f t="shared" si="1513"/>
        <v>0</v>
      </c>
      <c r="BR165" s="62">
        <f t="shared" si="1513"/>
        <v>0</v>
      </c>
      <c r="BS165" s="62">
        <f t="shared" si="1513"/>
        <v>0</v>
      </c>
      <c r="BT165" s="62">
        <f t="shared" si="1513"/>
        <v>0</v>
      </c>
      <c r="BU165" s="62">
        <f t="shared" si="1513"/>
        <v>0</v>
      </c>
      <c r="BV165" s="62"/>
      <c r="BW165" s="62">
        <f t="shared" ca="1" si="1514"/>
        <v>0</v>
      </c>
      <c r="BX165" s="62">
        <f t="shared" ca="1" si="1514"/>
        <v>0</v>
      </c>
      <c r="BY165" s="62">
        <f t="shared" ca="1" si="1514"/>
        <v>0</v>
      </c>
      <c r="BZ165" s="62">
        <f t="shared" ca="1" si="1514"/>
        <v>0</v>
      </c>
      <c r="CA165" s="62">
        <f t="shared" ca="1" si="1514"/>
        <v>0</v>
      </c>
      <c r="CB165" s="62">
        <f t="shared" ca="1" si="1514"/>
        <v>0</v>
      </c>
      <c r="CC165" s="62">
        <f t="shared" ca="1" si="1514"/>
        <v>0</v>
      </c>
      <c r="CD165" s="62">
        <f t="shared" ca="1" si="1514"/>
        <v>0</v>
      </c>
      <c r="CE165" s="62">
        <f t="shared" ca="1" si="1514"/>
        <v>0</v>
      </c>
      <c r="CF165" s="62">
        <f t="shared" ca="1" si="1514"/>
        <v>0</v>
      </c>
      <c r="CG165" s="62">
        <f t="shared" ca="1" si="1514"/>
        <v>0</v>
      </c>
      <c r="CH165" s="62">
        <f t="shared" ca="1" si="1514"/>
        <v>0</v>
      </c>
      <c r="CI165" s="62">
        <f t="shared" ca="1" si="1514"/>
        <v>0</v>
      </c>
      <c r="CJ165" s="62">
        <f t="shared" ca="1" si="1514"/>
        <v>0</v>
      </c>
      <c r="CK165" s="62">
        <f t="shared" ca="1" si="1514"/>
        <v>0</v>
      </c>
      <c r="CL165" s="62">
        <f t="shared" ca="1" si="1514"/>
        <v>0</v>
      </c>
      <c r="CM165" s="62">
        <f t="shared" ca="1" si="1515"/>
        <v>0</v>
      </c>
      <c r="CN165" s="62">
        <f t="shared" ca="1" si="1515"/>
        <v>0</v>
      </c>
      <c r="CO165" s="62">
        <f t="shared" ca="1" si="1515"/>
        <v>0</v>
      </c>
      <c r="CP165" s="62">
        <f t="shared" ca="1" si="1515"/>
        <v>0</v>
      </c>
      <c r="CQ165" s="62">
        <f t="shared" ca="1" si="1515"/>
        <v>0</v>
      </c>
      <c r="CR165" s="62">
        <f t="shared" ca="1" si="1515"/>
        <v>0</v>
      </c>
      <c r="CS165" s="62">
        <f t="shared" ca="1" si="1515"/>
        <v>0</v>
      </c>
      <c r="CT165" s="62">
        <f t="shared" ca="1" si="1515"/>
        <v>0</v>
      </c>
      <c r="CU165" s="62">
        <f t="shared" ca="1" si="1515"/>
        <v>0</v>
      </c>
      <c r="CV165" s="62">
        <f t="shared" ca="1" si="1515"/>
        <v>0</v>
      </c>
      <c r="CW165" s="62">
        <f t="shared" ca="1" si="1515"/>
        <v>0</v>
      </c>
      <c r="CX165" s="62">
        <f t="shared" ca="1" si="1515"/>
        <v>0</v>
      </c>
      <c r="CY165" s="62">
        <f t="shared" ca="1" si="1515"/>
        <v>0</v>
      </c>
      <c r="CZ165" s="62">
        <f t="shared" ca="1" si="1515"/>
        <v>0</v>
      </c>
      <c r="DA165" s="62">
        <f t="shared" ca="1" si="1515"/>
        <v>0</v>
      </c>
    </row>
    <row r="166" spans="1:105">
      <c r="A166" s="595"/>
      <c r="B166" s="598"/>
      <c r="C166" s="599"/>
      <c r="D166" s="1552">
        <v>15</v>
      </c>
      <c r="E166" s="1072" t="s">
        <v>268</v>
      </c>
      <c r="F166" s="1559" t="s">
        <v>1422</v>
      </c>
      <c r="G166" s="41"/>
      <c r="H166" s="1541"/>
      <c r="I166" s="15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41"/>
      <c r="AL166" s="41"/>
      <c r="AM166" s="41"/>
      <c r="AN166" s="41"/>
      <c r="AO166" s="41"/>
      <c r="AP166" s="1525"/>
      <c r="AQ166" s="62">
        <f t="shared" si="1512"/>
        <v>0</v>
      </c>
      <c r="AR166" s="62">
        <f t="shared" si="1512"/>
        <v>0</v>
      </c>
      <c r="AS166" s="62">
        <f t="shared" si="1512"/>
        <v>0</v>
      </c>
      <c r="AT166" s="62">
        <f t="shared" si="1512"/>
        <v>0</v>
      </c>
      <c r="AU166" s="62">
        <f t="shared" si="1512"/>
        <v>0</v>
      </c>
      <c r="AV166" s="62">
        <f t="shared" si="1512"/>
        <v>0</v>
      </c>
      <c r="AW166" s="62">
        <f t="shared" si="1512"/>
        <v>0</v>
      </c>
      <c r="AX166" s="62">
        <f t="shared" si="1512"/>
        <v>0</v>
      </c>
      <c r="AY166" s="62">
        <f t="shared" si="1512"/>
        <v>0</v>
      </c>
      <c r="AZ166" s="62">
        <f t="shared" si="1512"/>
        <v>0</v>
      </c>
      <c r="BA166" s="62">
        <f t="shared" si="1512"/>
        <v>0</v>
      </c>
      <c r="BB166" s="62">
        <f t="shared" si="1512"/>
        <v>0</v>
      </c>
      <c r="BC166" s="62">
        <f t="shared" si="1512"/>
        <v>0</v>
      </c>
      <c r="BD166" s="62">
        <f t="shared" si="1512"/>
        <v>0</v>
      </c>
      <c r="BE166" s="62">
        <f t="shared" si="1512"/>
        <v>0</v>
      </c>
      <c r="BF166" s="62">
        <f t="shared" si="1512"/>
        <v>0</v>
      </c>
      <c r="BG166" s="62">
        <f t="shared" si="1513"/>
        <v>0</v>
      </c>
      <c r="BH166" s="62">
        <f t="shared" si="1513"/>
        <v>0</v>
      </c>
      <c r="BI166" s="62">
        <f t="shared" si="1513"/>
        <v>0</v>
      </c>
      <c r="BJ166" s="62">
        <f t="shared" si="1513"/>
        <v>0</v>
      </c>
      <c r="BK166" s="62">
        <f t="shared" si="1513"/>
        <v>0</v>
      </c>
      <c r="BL166" s="62">
        <f t="shared" si="1513"/>
        <v>0</v>
      </c>
      <c r="BM166" s="62">
        <f t="shared" si="1513"/>
        <v>0</v>
      </c>
      <c r="BN166" s="62">
        <f t="shared" si="1513"/>
        <v>0</v>
      </c>
      <c r="BO166" s="62">
        <f t="shared" si="1513"/>
        <v>0</v>
      </c>
      <c r="BP166" s="62">
        <f t="shared" si="1513"/>
        <v>0</v>
      </c>
      <c r="BQ166" s="62">
        <f t="shared" si="1513"/>
        <v>0</v>
      </c>
      <c r="BR166" s="62">
        <f t="shared" si="1513"/>
        <v>0</v>
      </c>
      <c r="BS166" s="62">
        <f t="shared" si="1513"/>
        <v>0</v>
      </c>
      <c r="BT166" s="62">
        <f t="shared" si="1513"/>
        <v>0</v>
      </c>
      <c r="BU166" s="62">
        <f t="shared" si="1513"/>
        <v>0</v>
      </c>
      <c r="BV166" s="62"/>
      <c r="BW166" s="62">
        <f t="shared" si="1514"/>
        <v>0</v>
      </c>
      <c r="BX166" s="62">
        <f t="shared" si="1514"/>
        <v>0</v>
      </c>
      <c r="BY166" s="62">
        <f t="shared" si="1514"/>
        <v>0</v>
      </c>
      <c r="BZ166" s="62">
        <f t="shared" si="1514"/>
        <v>0</v>
      </c>
      <c r="CA166" s="62">
        <f t="shared" si="1514"/>
        <v>0</v>
      </c>
      <c r="CB166" s="62">
        <f t="shared" si="1514"/>
        <v>0</v>
      </c>
      <c r="CC166" s="62">
        <f t="shared" si="1514"/>
        <v>0</v>
      </c>
      <c r="CD166" s="62">
        <f t="shared" si="1514"/>
        <v>0</v>
      </c>
      <c r="CE166" s="62">
        <f t="shared" si="1514"/>
        <v>0</v>
      </c>
      <c r="CF166" s="62">
        <f t="shared" si="1514"/>
        <v>0</v>
      </c>
      <c r="CG166" s="62">
        <f t="shared" si="1514"/>
        <v>0</v>
      </c>
      <c r="CH166" s="62">
        <f t="shared" si="1514"/>
        <v>0</v>
      </c>
      <c r="CI166" s="62">
        <f t="shared" si="1514"/>
        <v>0</v>
      </c>
      <c r="CJ166" s="62">
        <f t="shared" si="1514"/>
        <v>0</v>
      </c>
      <c r="CK166" s="62">
        <f t="shared" si="1514"/>
        <v>0</v>
      </c>
      <c r="CL166" s="62">
        <f t="shared" si="1514"/>
        <v>0</v>
      </c>
      <c r="CM166" s="62">
        <f t="shared" si="1515"/>
        <v>0</v>
      </c>
      <c r="CN166" s="62">
        <f t="shared" si="1515"/>
        <v>0</v>
      </c>
      <c r="CO166" s="62">
        <f t="shared" si="1515"/>
        <v>0</v>
      </c>
      <c r="CP166" s="62">
        <f t="shared" si="1515"/>
        <v>0</v>
      </c>
      <c r="CQ166" s="62">
        <f t="shared" si="1515"/>
        <v>0</v>
      </c>
      <c r="CR166" s="62">
        <f t="shared" si="1515"/>
        <v>0</v>
      </c>
      <c r="CS166" s="62">
        <f t="shared" si="1515"/>
        <v>0</v>
      </c>
      <c r="CT166" s="62">
        <f t="shared" si="1515"/>
        <v>0</v>
      </c>
      <c r="CU166" s="62">
        <f t="shared" si="1515"/>
        <v>0</v>
      </c>
      <c r="CV166" s="62">
        <f t="shared" si="1515"/>
        <v>0</v>
      </c>
      <c r="CW166" s="62">
        <f t="shared" si="1515"/>
        <v>0</v>
      </c>
      <c r="CX166" s="62">
        <f t="shared" si="1515"/>
        <v>0</v>
      </c>
      <c r="CY166" s="62">
        <f t="shared" si="1515"/>
        <v>0</v>
      </c>
      <c r="CZ166" s="62">
        <f t="shared" si="1515"/>
        <v>0</v>
      </c>
      <c r="DA166" s="62">
        <f t="shared" si="1515"/>
        <v>0</v>
      </c>
    </row>
    <row r="167" spans="1:105">
      <c r="A167" s="595"/>
      <c r="B167" s="598"/>
      <c r="C167" s="599"/>
      <c r="D167" s="1552">
        <v>16</v>
      </c>
      <c r="E167" s="1072" t="s">
        <v>269</v>
      </c>
      <c r="F167" s="1559" t="s">
        <v>1423</v>
      </c>
      <c r="G167" s="41"/>
      <c r="H167" s="1541"/>
      <c r="I167" s="15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41"/>
      <c r="AL167" s="41"/>
      <c r="AM167" s="41"/>
      <c r="AN167" s="41"/>
      <c r="AO167" s="41"/>
      <c r="AP167" s="1525"/>
      <c r="AQ167" s="62">
        <f t="shared" si="1512"/>
        <v>0</v>
      </c>
      <c r="AR167" s="62">
        <f t="shared" si="1512"/>
        <v>0</v>
      </c>
      <c r="AS167" s="62">
        <f t="shared" si="1512"/>
        <v>0</v>
      </c>
      <c r="AT167" s="62">
        <f t="shared" si="1512"/>
        <v>0</v>
      </c>
      <c r="AU167" s="62">
        <f t="shared" si="1512"/>
        <v>0</v>
      </c>
      <c r="AV167" s="62">
        <f t="shared" si="1512"/>
        <v>0</v>
      </c>
      <c r="AW167" s="62">
        <f t="shared" si="1512"/>
        <v>0</v>
      </c>
      <c r="AX167" s="62">
        <f t="shared" si="1512"/>
        <v>0</v>
      </c>
      <c r="AY167" s="62">
        <f t="shared" si="1512"/>
        <v>0</v>
      </c>
      <c r="AZ167" s="62">
        <f t="shared" si="1512"/>
        <v>0</v>
      </c>
      <c r="BA167" s="62">
        <f t="shared" si="1512"/>
        <v>0</v>
      </c>
      <c r="BB167" s="62">
        <f t="shared" si="1512"/>
        <v>0</v>
      </c>
      <c r="BC167" s="62">
        <f t="shared" si="1512"/>
        <v>0</v>
      </c>
      <c r="BD167" s="62">
        <f t="shared" si="1512"/>
        <v>0</v>
      </c>
      <c r="BE167" s="62">
        <f t="shared" si="1512"/>
        <v>0</v>
      </c>
      <c r="BF167" s="62">
        <f t="shared" si="1512"/>
        <v>0</v>
      </c>
      <c r="BG167" s="62">
        <f t="shared" si="1513"/>
        <v>0</v>
      </c>
      <c r="BH167" s="62">
        <f t="shared" si="1513"/>
        <v>0</v>
      </c>
      <c r="BI167" s="62">
        <f t="shared" si="1513"/>
        <v>0</v>
      </c>
      <c r="BJ167" s="62">
        <f t="shared" si="1513"/>
        <v>0</v>
      </c>
      <c r="BK167" s="62">
        <f t="shared" si="1513"/>
        <v>0</v>
      </c>
      <c r="BL167" s="62">
        <f t="shared" si="1513"/>
        <v>0</v>
      </c>
      <c r="BM167" s="62">
        <f t="shared" si="1513"/>
        <v>0</v>
      </c>
      <c r="BN167" s="62">
        <f t="shared" si="1513"/>
        <v>0</v>
      </c>
      <c r="BO167" s="62">
        <f t="shared" si="1513"/>
        <v>0</v>
      </c>
      <c r="BP167" s="62">
        <f t="shared" si="1513"/>
        <v>0</v>
      </c>
      <c r="BQ167" s="62">
        <f t="shared" si="1513"/>
        <v>0</v>
      </c>
      <c r="BR167" s="62">
        <f t="shared" si="1513"/>
        <v>0</v>
      </c>
      <c r="BS167" s="62">
        <f t="shared" si="1513"/>
        <v>0</v>
      </c>
      <c r="BT167" s="62">
        <f t="shared" si="1513"/>
        <v>0</v>
      </c>
      <c r="BU167" s="62">
        <f t="shared" si="1513"/>
        <v>0</v>
      </c>
      <c r="BV167" s="62"/>
      <c r="BW167" s="62">
        <f t="shared" si="1514"/>
        <v>0</v>
      </c>
      <c r="BX167" s="62">
        <f t="shared" si="1514"/>
        <v>0</v>
      </c>
      <c r="BY167" s="62">
        <f t="shared" si="1514"/>
        <v>0</v>
      </c>
      <c r="BZ167" s="62">
        <f t="shared" si="1514"/>
        <v>0</v>
      </c>
      <c r="CA167" s="62">
        <f t="shared" si="1514"/>
        <v>0</v>
      </c>
      <c r="CB167" s="62">
        <f t="shared" si="1514"/>
        <v>0</v>
      </c>
      <c r="CC167" s="62">
        <f t="shared" si="1514"/>
        <v>0</v>
      </c>
      <c r="CD167" s="62">
        <f t="shared" si="1514"/>
        <v>0</v>
      </c>
      <c r="CE167" s="62">
        <f t="shared" si="1514"/>
        <v>0</v>
      </c>
      <c r="CF167" s="62">
        <f t="shared" si="1514"/>
        <v>0</v>
      </c>
      <c r="CG167" s="62">
        <f t="shared" si="1514"/>
        <v>0</v>
      </c>
      <c r="CH167" s="62">
        <f t="shared" si="1514"/>
        <v>0</v>
      </c>
      <c r="CI167" s="62">
        <f t="shared" si="1514"/>
        <v>0</v>
      </c>
      <c r="CJ167" s="62">
        <f t="shared" si="1514"/>
        <v>0</v>
      </c>
      <c r="CK167" s="62">
        <f t="shared" si="1514"/>
        <v>0</v>
      </c>
      <c r="CL167" s="62">
        <f t="shared" si="1514"/>
        <v>0</v>
      </c>
      <c r="CM167" s="62">
        <f t="shared" si="1515"/>
        <v>0</v>
      </c>
      <c r="CN167" s="62">
        <f t="shared" si="1515"/>
        <v>0</v>
      </c>
      <c r="CO167" s="62">
        <f t="shared" si="1515"/>
        <v>0</v>
      </c>
      <c r="CP167" s="62">
        <f t="shared" si="1515"/>
        <v>0</v>
      </c>
      <c r="CQ167" s="62">
        <f t="shared" si="1515"/>
        <v>0</v>
      </c>
      <c r="CR167" s="62">
        <f t="shared" si="1515"/>
        <v>0</v>
      </c>
      <c r="CS167" s="62">
        <f t="shared" si="1515"/>
        <v>0</v>
      </c>
      <c r="CT167" s="62">
        <f t="shared" si="1515"/>
        <v>0</v>
      </c>
      <c r="CU167" s="62">
        <f t="shared" si="1515"/>
        <v>0</v>
      </c>
      <c r="CV167" s="62">
        <f t="shared" si="1515"/>
        <v>0</v>
      </c>
      <c r="CW167" s="62">
        <f t="shared" si="1515"/>
        <v>0</v>
      </c>
      <c r="CX167" s="62">
        <f t="shared" si="1515"/>
        <v>0</v>
      </c>
      <c r="CY167" s="62">
        <f t="shared" si="1515"/>
        <v>0</v>
      </c>
      <c r="CZ167" s="62">
        <f t="shared" si="1515"/>
        <v>0</v>
      </c>
      <c r="DA167" s="62">
        <f t="shared" si="1515"/>
        <v>0</v>
      </c>
    </row>
    <row r="168" spans="1:105">
      <c r="A168" s="595"/>
      <c r="B168" s="598"/>
      <c r="C168" s="599"/>
      <c r="D168" s="1552">
        <v>17</v>
      </c>
      <c r="E168" s="1072" t="s">
        <v>270</v>
      </c>
      <c r="F168" s="1559" t="s">
        <v>1424</v>
      </c>
      <c r="G168" s="41"/>
      <c r="H168" s="1541"/>
      <c r="I168" s="15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41"/>
      <c r="AL168" s="41"/>
      <c r="AM168" s="41"/>
      <c r="AN168" s="41"/>
      <c r="AO168" s="41"/>
      <c r="AP168" s="1525"/>
      <c r="AQ168" s="62">
        <f t="shared" si="1512"/>
        <v>0</v>
      </c>
      <c r="AR168" s="62">
        <f t="shared" si="1512"/>
        <v>0</v>
      </c>
      <c r="AS168" s="62">
        <f t="shared" si="1512"/>
        <v>0</v>
      </c>
      <c r="AT168" s="62">
        <f t="shared" si="1512"/>
        <v>0</v>
      </c>
      <c r="AU168" s="62">
        <f t="shared" si="1512"/>
        <v>0</v>
      </c>
      <c r="AV168" s="62">
        <f t="shared" si="1512"/>
        <v>0</v>
      </c>
      <c r="AW168" s="62">
        <f t="shared" si="1512"/>
        <v>0</v>
      </c>
      <c r="AX168" s="62">
        <f t="shared" si="1512"/>
        <v>0</v>
      </c>
      <c r="AY168" s="62">
        <f t="shared" si="1512"/>
        <v>0</v>
      </c>
      <c r="AZ168" s="62">
        <f t="shared" si="1512"/>
        <v>0</v>
      </c>
      <c r="BA168" s="62">
        <f t="shared" si="1512"/>
        <v>0</v>
      </c>
      <c r="BB168" s="62">
        <f t="shared" si="1512"/>
        <v>0</v>
      </c>
      <c r="BC168" s="62">
        <f t="shared" si="1512"/>
        <v>0</v>
      </c>
      <c r="BD168" s="62">
        <f t="shared" si="1512"/>
        <v>0</v>
      </c>
      <c r="BE168" s="62">
        <f t="shared" si="1512"/>
        <v>0</v>
      </c>
      <c r="BF168" s="62">
        <f t="shared" si="1512"/>
        <v>0</v>
      </c>
      <c r="BG168" s="62">
        <f t="shared" si="1513"/>
        <v>0</v>
      </c>
      <c r="BH168" s="62">
        <f t="shared" si="1513"/>
        <v>0</v>
      </c>
      <c r="BI168" s="62">
        <f t="shared" si="1513"/>
        <v>0</v>
      </c>
      <c r="BJ168" s="62">
        <f t="shared" si="1513"/>
        <v>0</v>
      </c>
      <c r="BK168" s="62">
        <f t="shared" si="1513"/>
        <v>0</v>
      </c>
      <c r="BL168" s="62">
        <f t="shared" si="1513"/>
        <v>0</v>
      </c>
      <c r="BM168" s="62">
        <f t="shared" si="1513"/>
        <v>0</v>
      </c>
      <c r="BN168" s="62">
        <f t="shared" si="1513"/>
        <v>0</v>
      </c>
      <c r="BO168" s="62">
        <f t="shared" si="1513"/>
        <v>0</v>
      </c>
      <c r="BP168" s="62">
        <f t="shared" si="1513"/>
        <v>0</v>
      </c>
      <c r="BQ168" s="62">
        <f t="shared" si="1513"/>
        <v>0</v>
      </c>
      <c r="BR168" s="62">
        <f t="shared" si="1513"/>
        <v>0</v>
      </c>
      <c r="BS168" s="62">
        <f t="shared" si="1513"/>
        <v>0</v>
      </c>
      <c r="BT168" s="62">
        <f t="shared" si="1513"/>
        <v>0</v>
      </c>
      <c r="BU168" s="62">
        <f t="shared" si="1513"/>
        <v>0</v>
      </c>
      <c r="BV168" s="62"/>
      <c r="BW168" s="62">
        <f t="shared" si="1514"/>
        <v>0</v>
      </c>
      <c r="BX168" s="62">
        <f t="shared" si="1514"/>
        <v>0</v>
      </c>
      <c r="BY168" s="62">
        <f t="shared" si="1514"/>
        <v>0</v>
      </c>
      <c r="BZ168" s="62">
        <f t="shared" si="1514"/>
        <v>0</v>
      </c>
      <c r="CA168" s="62">
        <f t="shared" si="1514"/>
        <v>0</v>
      </c>
      <c r="CB168" s="62">
        <f t="shared" si="1514"/>
        <v>0</v>
      </c>
      <c r="CC168" s="62">
        <f t="shared" si="1514"/>
        <v>0</v>
      </c>
      <c r="CD168" s="62">
        <f t="shared" si="1514"/>
        <v>0</v>
      </c>
      <c r="CE168" s="62">
        <f t="shared" si="1514"/>
        <v>0</v>
      </c>
      <c r="CF168" s="62">
        <f t="shared" si="1514"/>
        <v>0</v>
      </c>
      <c r="CG168" s="62">
        <f t="shared" si="1514"/>
        <v>0</v>
      </c>
      <c r="CH168" s="62">
        <f t="shared" si="1514"/>
        <v>0</v>
      </c>
      <c r="CI168" s="62">
        <f t="shared" si="1514"/>
        <v>0</v>
      </c>
      <c r="CJ168" s="62">
        <f t="shared" si="1514"/>
        <v>0</v>
      </c>
      <c r="CK168" s="62">
        <f t="shared" si="1514"/>
        <v>0</v>
      </c>
      <c r="CL168" s="62">
        <f t="shared" si="1514"/>
        <v>0</v>
      </c>
      <c r="CM168" s="62">
        <f t="shared" si="1515"/>
        <v>0</v>
      </c>
      <c r="CN168" s="62">
        <f t="shared" si="1515"/>
        <v>0</v>
      </c>
      <c r="CO168" s="62">
        <f t="shared" si="1515"/>
        <v>0</v>
      </c>
      <c r="CP168" s="62">
        <f t="shared" si="1515"/>
        <v>0</v>
      </c>
      <c r="CQ168" s="62">
        <f t="shared" si="1515"/>
        <v>0</v>
      </c>
      <c r="CR168" s="62">
        <f t="shared" si="1515"/>
        <v>0</v>
      </c>
      <c r="CS168" s="62">
        <f t="shared" si="1515"/>
        <v>0</v>
      </c>
      <c r="CT168" s="62">
        <f t="shared" si="1515"/>
        <v>0</v>
      </c>
      <c r="CU168" s="62">
        <f t="shared" si="1515"/>
        <v>0</v>
      </c>
      <c r="CV168" s="62">
        <f t="shared" si="1515"/>
        <v>0</v>
      </c>
      <c r="CW168" s="62">
        <f t="shared" si="1515"/>
        <v>0</v>
      </c>
      <c r="CX168" s="62">
        <f t="shared" si="1515"/>
        <v>0</v>
      </c>
      <c r="CY168" s="62">
        <f t="shared" si="1515"/>
        <v>0</v>
      </c>
      <c r="CZ168" s="62">
        <f t="shared" si="1515"/>
        <v>0</v>
      </c>
      <c r="DA168" s="62">
        <f t="shared" si="1515"/>
        <v>0</v>
      </c>
    </row>
    <row r="169" spans="1:105">
      <c r="A169" s="595"/>
      <c r="B169" s="598"/>
      <c r="C169" s="599"/>
      <c r="D169" s="542"/>
      <c r="E169" s="1560" t="s">
        <v>38</v>
      </c>
      <c r="F169" s="1526"/>
      <c r="G169" s="41"/>
      <c r="H169" s="1541"/>
      <c r="I169" s="15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41"/>
      <c r="AL169" s="41"/>
      <c r="AM169" s="41"/>
      <c r="AN169" s="41"/>
      <c r="AO169" s="41"/>
      <c r="AP169" s="1525"/>
      <c r="AQ169" s="1561">
        <f ca="1">SUM(AQ152:AQ168)</f>
        <v>3663.9589764505981</v>
      </c>
      <c r="AR169" s="1561">
        <f t="shared" ref="AR169:BW169" ca="1" si="1516">SUM(AR152:AR168)</f>
        <v>116.97165881272517</v>
      </c>
      <c r="AS169" s="1561">
        <f t="shared" ca="1" si="1516"/>
        <v>122.30990750475416</v>
      </c>
      <c r="AT169" s="1561">
        <f t="shared" ca="1" si="1516"/>
        <v>122.30990750475416</v>
      </c>
      <c r="AU169" s="1561">
        <f t="shared" ca="1" si="1516"/>
        <v>122.30990750475416</v>
      </c>
      <c r="AV169" s="1561">
        <f t="shared" ca="1" si="1516"/>
        <v>122.30990750475416</v>
      </c>
      <c r="AW169" s="1561">
        <f t="shared" ca="1" si="1516"/>
        <v>122.30990750475416</v>
      </c>
      <c r="AX169" s="1561">
        <f t="shared" ca="1" si="1516"/>
        <v>122.30990750475416</v>
      </c>
      <c r="AY169" s="1561">
        <f t="shared" ca="1" si="1516"/>
        <v>122.30990750475416</v>
      </c>
      <c r="AZ169" s="1561">
        <f t="shared" ca="1" si="1516"/>
        <v>122.30990750475416</v>
      </c>
      <c r="BA169" s="1561">
        <f t="shared" ca="1" si="1516"/>
        <v>122.30990750475416</v>
      </c>
      <c r="BB169" s="1561">
        <f t="shared" ca="1" si="1516"/>
        <v>122.30990750475416</v>
      </c>
      <c r="BC169" s="1561">
        <f t="shared" ca="1" si="1516"/>
        <v>122.30990750475416</v>
      </c>
      <c r="BD169" s="1561">
        <f t="shared" ca="1" si="1516"/>
        <v>122.30990750475416</v>
      </c>
      <c r="BE169" s="1561">
        <f t="shared" ca="1" si="1516"/>
        <v>122.30990750475416</v>
      </c>
      <c r="BF169" s="1561">
        <f t="shared" ca="1" si="1516"/>
        <v>122.30990750475416</v>
      </c>
      <c r="BG169" s="1561">
        <f t="shared" ca="1" si="1516"/>
        <v>122.30990750475416</v>
      </c>
      <c r="BH169" s="1561">
        <f t="shared" ca="1" si="1516"/>
        <v>122.30990750475416</v>
      </c>
      <c r="BI169" s="1561">
        <f t="shared" ca="1" si="1516"/>
        <v>122.30990750475416</v>
      </c>
      <c r="BJ169" s="1561">
        <f t="shared" ca="1" si="1516"/>
        <v>122.30990750475416</v>
      </c>
      <c r="BK169" s="1561">
        <f t="shared" ca="1" si="1516"/>
        <v>122.30990750475416</v>
      </c>
      <c r="BL169" s="1561">
        <f t="shared" ca="1" si="1516"/>
        <v>122.30990750475416</v>
      </c>
      <c r="BM169" s="1561">
        <f t="shared" ca="1" si="1516"/>
        <v>122.30990750475416</v>
      </c>
      <c r="BN169" s="1561">
        <f t="shared" ca="1" si="1516"/>
        <v>122.30990750475416</v>
      </c>
      <c r="BO169" s="1561">
        <f t="shared" ca="1" si="1516"/>
        <v>122.30990750475416</v>
      </c>
      <c r="BP169" s="1561">
        <f t="shared" ca="1" si="1516"/>
        <v>122.30990750475416</v>
      </c>
      <c r="BQ169" s="1561">
        <f t="shared" ca="1" si="1516"/>
        <v>122.30990750475416</v>
      </c>
      <c r="BR169" s="1561">
        <f t="shared" ca="1" si="1516"/>
        <v>122.30990750475416</v>
      </c>
      <c r="BS169" s="1561">
        <f t="shared" ca="1" si="1516"/>
        <v>122.30990750475416</v>
      </c>
      <c r="BT169" s="1561">
        <f t="shared" ca="1" si="1516"/>
        <v>122.30990750475416</v>
      </c>
      <c r="BU169" s="1561">
        <f t="shared" ca="1" si="1516"/>
        <v>112.58750594225417</v>
      </c>
      <c r="BV169" s="1525"/>
      <c r="BW169" s="1561">
        <f t="shared" ca="1" si="1516"/>
        <v>5912.375</v>
      </c>
      <c r="BX169" s="1561">
        <f t="shared" ref="BX169" ca="1" si="1517">SUM(BX152:BX168)</f>
        <v>197.07916666666665</v>
      </c>
      <c r="BY169" s="1561">
        <f t="shared" ref="BY169" ca="1" si="1518">SUM(BY152:BY168)</f>
        <v>197.07916666666665</v>
      </c>
      <c r="BZ169" s="1561">
        <f t="shared" ref="BZ169" ca="1" si="1519">SUM(BZ152:BZ168)</f>
        <v>197.07916666666665</v>
      </c>
      <c r="CA169" s="1561">
        <f t="shared" ref="CA169" ca="1" si="1520">SUM(CA152:CA168)</f>
        <v>197.07916666666665</v>
      </c>
      <c r="CB169" s="1561">
        <f t="shared" ref="CB169" ca="1" si="1521">SUM(CB152:CB168)</f>
        <v>197.07916666666665</v>
      </c>
      <c r="CC169" s="1561">
        <f t="shared" ref="CC169" ca="1" si="1522">SUM(CC152:CC168)</f>
        <v>197.07916666666665</v>
      </c>
      <c r="CD169" s="1561">
        <f t="shared" ref="CD169" ca="1" si="1523">SUM(CD152:CD168)</f>
        <v>197.07916666666665</v>
      </c>
      <c r="CE169" s="1561">
        <f t="shared" ref="CE169" ca="1" si="1524">SUM(CE152:CE168)</f>
        <v>197.07916666666665</v>
      </c>
      <c r="CF169" s="1561">
        <f t="shared" ref="CF169" ca="1" si="1525">SUM(CF152:CF168)</f>
        <v>197.07916666666665</v>
      </c>
      <c r="CG169" s="1561">
        <f t="shared" ref="CG169" ca="1" si="1526">SUM(CG152:CG168)</f>
        <v>197.07916666666665</v>
      </c>
      <c r="CH169" s="1561">
        <f t="shared" ref="CH169" ca="1" si="1527">SUM(CH152:CH168)</f>
        <v>197.07916666666665</v>
      </c>
      <c r="CI169" s="1561">
        <f t="shared" ref="CI169" ca="1" si="1528">SUM(CI152:CI168)</f>
        <v>197.07916666666665</v>
      </c>
      <c r="CJ169" s="1561">
        <f t="shared" ref="CJ169" ca="1" si="1529">SUM(CJ152:CJ168)</f>
        <v>197.07916666666665</v>
      </c>
      <c r="CK169" s="1561">
        <f t="shared" ref="CK169" ca="1" si="1530">SUM(CK152:CK168)</f>
        <v>197.07916666666665</v>
      </c>
      <c r="CL169" s="1561">
        <f t="shared" ref="CL169" ca="1" si="1531">SUM(CL152:CL168)</f>
        <v>197.07916666666665</v>
      </c>
      <c r="CM169" s="1561">
        <f t="shared" ref="CM169" ca="1" si="1532">SUM(CM152:CM168)</f>
        <v>197.07916666666665</v>
      </c>
      <c r="CN169" s="1561">
        <f t="shared" ref="CN169" ca="1" si="1533">SUM(CN152:CN168)</f>
        <v>197.07916666666665</v>
      </c>
      <c r="CO169" s="1561">
        <f t="shared" ref="CO169" ca="1" si="1534">SUM(CO152:CO168)</f>
        <v>197.07916666666665</v>
      </c>
      <c r="CP169" s="1561">
        <f t="shared" ref="CP169" ca="1" si="1535">SUM(CP152:CP168)</f>
        <v>197.07916666666665</v>
      </c>
      <c r="CQ169" s="1561">
        <f t="shared" ref="CQ169" ca="1" si="1536">SUM(CQ152:CQ168)</f>
        <v>197.07916666666665</v>
      </c>
      <c r="CR169" s="1561">
        <f t="shared" ref="CR169" ca="1" si="1537">SUM(CR152:CR168)</f>
        <v>197.07916666666665</v>
      </c>
      <c r="CS169" s="1561">
        <f t="shared" ref="CS169" ca="1" si="1538">SUM(CS152:CS168)</f>
        <v>197.07916666666665</v>
      </c>
      <c r="CT169" s="1561">
        <f t="shared" ref="CT169" ca="1" si="1539">SUM(CT152:CT168)</f>
        <v>197.07916666666665</v>
      </c>
      <c r="CU169" s="1561">
        <f t="shared" ref="CU169" ca="1" si="1540">SUM(CU152:CU168)</f>
        <v>197.07916666666665</v>
      </c>
      <c r="CV169" s="1561">
        <f t="shared" ref="CV169" ca="1" si="1541">SUM(CV152:CV168)</f>
        <v>197.07916666666665</v>
      </c>
      <c r="CW169" s="1561">
        <f t="shared" ref="CW169" ca="1" si="1542">SUM(CW152:CW168)</f>
        <v>197.07916666666665</v>
      </c>
      <c r="CX169" s="1561">
        <f t="shared" ref="CX169" ca="1" si="1543">SUM(CX152:CX168)</f>
        <v>197.07916666666665</v>
      </c>
      <c r="CY169" s="1561">
        <f t="shared" ref="CY169" ca="1" si="1544">SUM(CY152:CY168)</f>
        <v>197.07916666666665</v>
      </c>
      <c r="CZ169" s="1561">
        <f t="shared" ref="CZ169" ca="1" si="1545">SUM(CZ152:CZ168)</f>
        <v>197.07916666666665</v>
      </c>
      <c r="DA169" s="1561">
        <f t="shared" ref="DA169" ca="1" si="1546">SUM(DA152:DA168)</f>
        <v>197.07916666666665</v>
      </c>
    </row>
    <row r="170" spans="1:105">
      <c r="A170" s="595"/>
      <c r="B170" s="598"/>
      <c r="C170" s="599"/>
      <c r="D170" s="41"/>
      <c r="E170" s="1526"/>
      <c r="F170" s="1526"/>
      <c r="G170" s="41"/>
      <c r="H170" s="1541"/>
      <c r="I170" s="15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41"/>
      <c r="AL170" s="41"/>
      <c r="AM170" s="41"/>
      <c r="AN170" s="41"/>
      <c r="AO170" s="41"/>
      <c r="AP170" s="1525"/>
      <c r="AQ170" s="41"/>
      <c r="AR170" s="41"/>
      <c r="AS170" s="41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  <c r="BF170" s="41"/>
      <c r="BG170" s="41"/>
      <c r="BH170" s="41"/>
      <c r="BI170" s="41"/>
      <c r="BJ170" s="41"/>
      <c r="BK170" s="41"/>
      <c r="BL170" s="41"/>
      <c r="BM170" s="41"/>
      <c r="BN170" s="41"/>
      <c r="BO170" s="41"/>
      <c r="BP170" s="41"/>
      <c r="BQ170" s="41"/>
      <c r="BR170" s="41"/>
      <c r="BS170" s="41"/>
      <c r="BT170" s="41"/>
      <c r="BU170" s="41"/>
      <c r="BV170" s="1525"/>
      <c r="BW170" s="41"/>
      <c r="BX170" s="41"/>
      <c r="BY170" s="41"/>
      <c r="BZ170" s="41"/>
      <c r="CA170" s="41"/>
      <c r="CB170" s="41"/>
      <c r="CC170" s="41"/>
      <c r="CD170" s="41"/>
      <c r="CE170" s="41"/>
      <c r="CF170" s="41"/>
      <c r="CG170" s="41"/>
      <c r="CH170" s="41"/>
      <c r="CI170" s="41"/>
      <c r="CJ170" s="41"/>
      <c r="CK170" s="41"/>
      <c r="CL170" s="41"/>
      <c r="CM170" s="41"/>
      <c r="CN170" s="41"/>
      <c r="CO170" s="41"/>
      <c r="CP170" s="41"/>
      <c r="CQ170" s="41"/>
      <c r="CR170" s="41"/>
      <c r="CS170" s="41"/>
      <c r="CT170" s="41"/>
      <c r="CU170" s="41"/>
      <c r="CV170" s="41"/>
      <c r="CW170" s="41"/>
      <c r="CX170" s="41"/>
      <c r="CY170" s="41"/>
      <c r="CZ170" s="41"/>
      <c r="DA170" s="41"/>
    </row>
    <row r="171" spans="1:105">
      <c r="A171" s="595"/>
      <c r="B171" s="598"/>
      <c r="C171" s="599"/>
      <c r="D171" s="41"/>
      <c r="E171" s="1526"/>
      <c r="F171" s="1526"/>
      <c r="G171" s="41"/>
      <c r="H171" s="1541"/>
      <c r="I171" s="15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  <c r="AK171" s="41"/>
      <c r="AL171" s="41"/>
      <c r="AM171" s="41"/>
      <c r="AN171" s="41"/>
      <c r="AO171" s="41"/>
      <c r="AP171" s="1525"/>
      <c r="AQ171" s="41"/>
      <c r="AR171" s="41"/>
      <c r="AS171" s="41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  <c r="BF171" s="41"/>
      <c r="BG171" s="41"/>
      <c r="BH171" s="41"/>
      <c r="BI171" s="41"/>
      <c r="BJ171" s="41"/>
      <c r="BK171" s="41"/>
      <c r="BL171" s="41"/>
      <c r="BM171" s="41"/>
      <c r="BN171" s="41"/>
      <c r="BO171" s="41"/>
      <c r="BP171" s="41"/>
      <c r="BQ171" s="41"/>
      <c r="BR171" s="41"/>
      <c r="BS171" s="41"/>
      <c r="BT171" s="41"/>
      <c r="BU171" s="41"/>
      <c r="BV171" s="1525"/>
      <c r="BW171" s="41"/>
      <c r="BX171" s="41"/>
      <c r="BY171" s="41"/>
      <c r="BZ171" s="41"/>
      <c r="CA171" s="41"/>
      <c r="CB171" s="41"/>
      <c r="CC171" s="41"/>
      <c r="CD171" s="41"/>
      <c r="CE171" s="41"/>
      <c r="CF171" s="41"/>
      <c r="CG171" s="41"/>
      <c r="CH171" s="41"/>
      <c r="CI171" s="41"/>
      <c r="CJ171" s="41"/>
      <c r="CK171" s="41"/>
      <c r="CL171" s="41"/>
      <c r="CM171" s="41"/>
      <c r="CN171" s="41"/>
      <c r="CO171" s="41"/>
      <c r="CP171" s="41"/>
      <c r="CQ171" s="41"/>
      <c r="CR171" s="41"/>
      <c r="CS171" s="41"/>
      <c r="CT171" s="41"/>
      <c r="CU171" s="41"/>
      <c r="CV171" s="41"/>
      <c r="CW171" s="41"/>
      <c r="CX171" s="41"/>
      <c r="CY171" s="41"/>
      <c r="CZ171" s="41"/>
      <c r="DA171" s="41"/>
    </row>
    <row r="172" spans="1:105">
      <c r="A172" s="595"/>
      <c r="B172" s="598"/>
      <c r="C172" s="599"/>
      <c r="D172" s="41"/>
      <c r="E172" s="1526"/>
      <c r="F172" s="1526"/>
      <c r="G172" s="41"/>
      <c r="H172" s="1541"/>
      <c r="I172" s="15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41"/>
      <c r="AL172" s="41"/>
      <c r="AM172" s="41"/>
      <c r="AN172" s="41"/>
      <c r="AO172" s="41"/>
      <c r="AP172" s="1525"/>
      <c r="AQ172" s="41"/>
      <c r="AR172" s="41"/>
      <c r="AS172" s="41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  <c r="BF172" s="41"/>
      <c r="BG172" s="41"/>
      <c r="BH172" s="41"/>
      <c r="BI172" s="41"/>
      <c r="BJ172" s="41"/>
      <c r="BK172" s="41"/>
      <c r="BL172" s="41"/>
      <c r="BM172" s="41"/>
      <c r="BN172" s="41"/>
      <c r="BO172" s="41"/>
      <c r="BP172" s="41"/>
      <c r="BQ172" s="41"/>
      <c r="BR172" s="41"/>
      <c r="BS172" s="41"/>
      <c r="BT172" s="41"/>
      <c r="BU172" s="41"/>
      <c r="BV172" s="1525"/>
      <c r="BW172" s="41"/>
      <c r="BX172" s="41"/>
      <c r="BY172" s="41"/>
      <c r="BZ172" s="41"/>
      <c r="CA172" s="41"/>
      <c r="CB172" s="41"/>
      <c r="CC172" s="41"/>
      <c r="CD172" s="41"/>
      <c r="CE172" s="41"/>
      <c r="CF172" s="41"/>
      <c r="CG172" s="41"/>
      <c r="CH172" s="41"/>
      <c r="CI172" s="41"/>
      <c r="CJ172" s="41"/>
      <c r="CK172" s="41"/>
      <c r="CL172" s="41"/>
      <c r="CM172" s="41"/>
      <c r="CN172" s="41"/>
      <c r="CO172" s="41"/>
      <c r="CP172" s="41"/>
      <c r="CQ172" s="41"/>
      <c r="CR172" s="41"/>
      <c r="CS172" s="41"/>
      <c r="CT172" s="41"/>
      <c r="CU172" s="41"/>
      <c r="CV172" s="41"/>
      <c r="CW172" s="41"/>
      <c r="CX172" s="41"/>
      <c r="CY172" s="41"/>
      <c r="CZ172" s="41"/>
      <c r="DA172" s="41"/>
    </row>
    <row r="173" spans="1:105">
      <c r="A173" s="595"/>
      <c r="B173" s="598"/>
      <c r="C173" s="599"/>
      <c r="D173" s="41"/>
      <c r="E173" s="1526"/>
      <c r="F173" s="1526"/>
      <c r="G173" s="41"/>
      <c r="H173" s="1541"/>
      <c r="I173" s="15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41"/>
      <c r="AL173" s="41"/>
      <c r="AM173" s="41"/>
      <c r="AN173" s="41"/>
      <c r="AO173" s="41"/>
      <c r="AP173" s="1525"/>
      <c r="AQ173" s="41"/>
      <c r="AR173" s="41"/>
      <c r="AS173" s="41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  <c r="BF173" s="41"/>
      <c r="BG173" s="41"/>
      <c r="BH173" s="41"/>
      <c r="BI173" s="41"/>
      <c r="BJ173" s="41"/>
      <c r="BK173" s="41"/>
      <c r="BL173" s="41"/>
      <c r="BM173" s="41"/>
      <c r="BN173" s="41"/>
      <c r="BO173" s="41"/>
      <c r="BP173" s="41"/>
      <c r="BQ173" s="41"/>
      <c r="BR173" s="41"/>
      <c r="BS173" s="41"/>
      <c r="BT173" s="41"/>
      <c r="BU173" s="41"/>
      <c r="BV173" s="1525"/>
      <c r="BW173" s="41"/>
      <c r="BX173" s="41"/>
      <c r="BY173" s="41"/>
      <c r="BZ173" s="41"/>
      <c r="CA173" s="41"/>
      <c r="CB173" s="41"/>
      <c r="CC173" s="41"/>
      <c r="CD173" s="41"/>
      <c r="CE173" s="41"/>
      <c r="CF173" s="41"/>
      <c r="CG173" s="41"/>
      <c r="CH173" s="41"/>
      <c r="CI173" s="41"/>
      <c r="CJ173" s="41"/>
      <c r="CK173" s="41"/>
      <c r="CL173" s="41"/>
      <c r="CM173" s="41"/>
      <c r="CN173" s="41"/>
      <c r="CO173" s="41"/>
      <c r="CP173" s="41"/>
      <c r="CQ173" s="41"/>
      <c r="CR173" s="41"/>
      <c r="CS173" s="41"/>
      <c r="CT173" s="41"/>
      <c r="CU173" s="41"/>
      <c r="CV173" s="41"/>
      <c r="CW173" s="41"/>
      <c r="CX173" s="41"/>
      <c r="CY173" s="41"/>
      <c r="CZ173" s="41"/>
      <c r="DA173" s="41"/>
    </row>
    <row r="174" spans="1:105">
      <c r="A174" s="595"/>
      <c r="B174" s="598"/>
      <c r="C174" s="599"/>
      <c r="D174" s="41"/>
      <c r="E174" s="1526"/>
      <c r="F174" s="1526"/>
      <c r="G174" s="41"/>
      <c r="H174" s="1541"/>
      <c r="I174" s="15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41"/>
      <c r="AL174" s="41"/>
      <c r="AM174" s="41"/>
      <c r="AN174" s="41"/>
      <c r="AO174" s="41"/>
      <c r="AP174" s="1525"/>
      <c r="AQ174" s="41"/>
      <c r="AR174" s="41"/>
      <c r="AS174" s="41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  <c r="BF174" s="41"/>
      <c r="BG174" s="41"/>
      <c r="BH174" s="41"/>
      <c r="BI174" s="41"/>
      <c r="BJ174" s="41"/>
      <c r="BK174" s="41"/>
      <c r="BL174" s="41"/>
      <c r="BM174" s="41"/>
      <c r="BN174" s="41"/>
      <c r="BO174" s="41"/>
      <c r="BP174" s="41"/>
      <c r="BQ174" s="41"/>
      <c r="BR174" s="41"/>
      <c r="BS174" s="41"/>
      <c r="BT174" s="41"/>
      <c r="BU174" s="41"/>
      <c r="BV174" s="1525"/>
      <c r="BW174" s="41"/>
      <c r="BX174" s="41"/>
      <c r="BY174" s="41"/>
      <c r="BZ174" s="41"/>
      <c r="CA174" s="41"/>
      <c r="CB174" s="41"/>
      <c r="CC174" s="41"/>
      <c r="CD174" s="41"/>
      <c r="CE174" s="41"/>
      <c r="CF174" s="41"/>
      <c r="CG174" s="41"/>
      <c r="CH174" s="41"/>
      <c r="CI174" s="41"/>
      <c r="CJ174" s="41"/>
      <c r="CK174" s="41"/>
      <c r="CL174" s="41"/>
      <c r="CM174" s="41"/>
      <c r="CN174" s="41"/>
      <c r="CO174" s="41"/>
      <c r="CP174" s="41"/>
      <c r="CQ174" s="41"/>
      <c r="CR174" s="41"/>
      <c r="CS174" s="41"/>
      <c r="CT174" s="41"/>
      <c r="CU174" s="41"/>
      <c r="CV174" s="41"/>
      <c r="CW174" s="41"/>
      <c r="CX174" s="41"/>
      <c r="CY174" s="41"/>
      <c r="CZ174" s="41"/>
      <c r="DA174" s="41"/>
    </row>
    <row r="175" spans="1:105">
      <c r="A175" s="595"/>
      <c r="B175" s="598"/>
      <c r="C175" s="599"/>
      <c r="D175" s="41"/>
      <c r="E175" s="1526"/>
      <c r="F175" s="1526"/>
      <c r="G175" s="41"/>
      <c r="H175" s="1541"/>
      <c r="I175" s="15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1525"/>
      <c r="AQ175" s="41"/>
      <c r="AR175" s="41"/>
      <c r="AS175" s="41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  <c r="BF175" s="41"/>
      <c r="BG175" s="41"/>
      <c r="BH175" s="41"/>
      <c r="BI175" s="41"/>
      <c r="BJ175" s="41"/>
      <c r="BK175" s="41"/>
      <c r="BL175" s="41"/>
      <c r="BM175" s="41"/>
      <c r="BN175" s="41"/>
      <c r="BO175" s="41"/>
      <c r="BP175" s="41"/>
      <c r="BQ175" s="41"/>
      <c r="BR175" s="41"/>
      <c r="BS175" s="41"/>
      <c r="BT175" s="41"/>
      <c r="BU175" s="41"/>
      <c r="BV175" s="1525"/>
      <c r="BW175" s="41"/>
      <c r="BX175" s="41"/>
      <c r="BY175" s="41"/>
      <c r="BZ175" s="41"/>
      <c r="CA175" s="41"/>
      <c r="CB175" s="41"/>
      <c r="CC175" s="41"/>
      <c r="CD175" s="41"/>
      <c r="CE175" s="41"/>
      <c r="CF175" s="41"/>
      <c r="CG175" s="41"/>
      <c r="CH175" s="41"/>
      <c r="CI175" s="41"/>
      <c r="CJ175" s="41"/>
      <c r="CK175" s="41"/>
      <c r="CL175" s="41"/>
      <c r="CM175" s="41"/>
      <c r="CN175" s="41"/>
      <c r="CO175" s="41"/>
      <c r="CP175" s="41"/>
      <c r="CQ175" s="41"/>
      <c r="CR175" s="41"/>
      <c r="CS175" s="41"/>
      <c r="CT175" s="41"/>
      <c r="CU175" s="41"/>
      <c r="CV175" s="41"/>
      <c r="CW175" s="41"/>
      <c r="CX175" s="41"/>
      <c r="CY175" s="41"/>
      <c r="CZ175" s="41"/>
      <c r="DA175" s="41"/>
    </row>
    <row r="176" spans="1:105">
      <c r="A176" s="595"/>
      <c r="B176" s="598"/>
      <c r="C176" s="599"/>
      <c r="D176" s="41"/>
      <c r="E176" s="1526"/>
      <c r="F176" s="1526"/>
      <c r="G176" s="41"/>
      <c r="H176" s="1541"/>
      <c r="I176" s="15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41"/>
      <c r="AL176" s="41"/>
      <c r="AM176" s="41"/>
      <c r="AN176" s="41"/>
      <c r="AO176" s="41"/>
      <c r="AP176" s="1525"/>
      <c r="AQ176" s="41"/>
      <c r="AR176" s="41"/>
      <c r="AS176" s="41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  <c r="BF176" s="41"/>
      <c r="BG176" s="41"/>
      <c r="BH176" s="41"/>
      <c r="BI176" s="41"/>
      <c r="BJ176" s="41"/>
      <c r="BK176" s="41"/>
      <c r="BL176" s="41"/>
      <c r="BM176" s="41"/>
      <c r="BN176" s="41"/>
      <c r="BO176" s="41"/>
      <c r="BP176" s="41"/>
      <c r="BQ176" s="41"/>
      <c r="BR176" s="41"/>
      <c r="BS176" s="41"/>
      <c r="BT176" s="41"/>
      <c r="BU176" s="41"/>
      <c r="BV176" s="1525"/>
      <c r="BW176" s="41"/>
      <c r="BX176" s="41"/>
      <c r="BY176" s="41"/>
      <c r="BZ176" s="41"/>
      <c r="CA176" s="41"/>
      <c r="CB176" s="41"/>
      <c r="CC176" s="41"/>
      <c r="CD176" s="41"/>
      <c r="CE176" s="41"/>
      <c r="CF176" s="41"/>
      <c r="CG176" s="41"/>
      <c r="CH176" s="41"/>
      <c r="CI176" s="41"/>
      <c r="CJ176" s="41"/>
      <c r="CK176" s="41"/>
      <c r="CL176" s="41"/>
      <c r="CM176" s="41"/>
      <c r="CN176" s="41"/>
      <c r="CO176" s="41"/>
      <c r="CP176" s="41"/>
      <c r="CQ176" s="41"/>
      <c r="CR176" s="41"/>
      <c r="CS176" s="41"/>
      <c r="CT176" s="41"/>
      <c r="CU176" s="41"/>
      <c r="CV176" s="41"/>
      <c r="CW176" s="41"/>
      <c r="CX176" s="41"/>
      <c r="CY176" s="41"/>
      <c r="CZ176" s="41"/>
      <c r="DA176" s="41"/>
    </row>
    <row r="177" spans="1:75">
      <c r="A177" s="595"/>
      <c r="B177" s="598"/>
      <c r="C177" s="599"/>
      <c r="D177" s="41"/>
      <c r="E177" s="1526"/>
      <c r="F177" s="1526"/>
      <c r="G177" s="41"/>
      <c r="H177" s="1541"/>
      <c r="I177" s="15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41"/>
      <c r="AL177" s="41"/>
      <c r="AM177" s="41"/>
      <c r="AN177" s="41"/>
      <c r="AO177" s="41"/>
      <c r="AP177" s="1525"/>
      <c r="AQ177" s="41"/>
      <c r="AR177" s="41"/>
      <c r="AS177" s="41"/>
      <c r="AT177" s="41"/>
      <c r="AU177" s="41"/>
      <c r="AV177" s="41"/>
      <c r="AW177" s="41"/>
      <c r="AX177" s="41"/>
      <c r="AY177" s="41"/>
      <c r="AZ177" s="41"/>
      <c r="BA177" s="41"/>
      <c r="BB177" s="41"/>
      <c r="BC177" s="41"/>
      <c r="BD177" s="41"/>
      <c r="BE177" s="41"/>
      <c r="BF177" s="41"/>
      <c r="BG177" s="41"/>
      <c r="BH177" s="41"/>
      <c r="BI177" s="41"/>
      <c r="BJ177" s="41"/>
      <c r="BK177" s="41"/>
      <c r="BL177" s="41"/>
      <c r="BM177" s="41"/>
      <c r="BN177" s="41"/>
      <c r="BO177" s="41"/>
      <c r="BP177" s="41"/>
      <c r="BQ177" s="41"/>
      <c r="BR177" s="41"/>
      <c r="BS177" s="41"/>
      <c r="BT177" s="41"/>
      <c r="BU177" s="41"/>
      <c r="BV177" s="1525"/>
      <c r="BW177" s="41"/>
    </row>
    <row r="178" spans="1:75">
      <c r="A178" s="595"/>
      <c r="B178" s="598"/>
      <c r="C178" s="599"/>
      <c r="D178" s="41"/>
      <c r="E178" s="1526"/>
      <c r="F178" s="1526"/>
      <c r="G178" s="41"/>
      <c r="H178" s="1541"/>
      <c r="I178" s="15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41"/>
      <c r="AL178" s="41"/>
      <c r="AM178" s="41"/>
      <c r="AN178" s="41"/>
      <c r="AO178" s="41"/>
      <c r="AP178" s="1525"/>
      <c r="AQ178" s="41"/>
      <c r="AR178" s="41"/>
      <c r="AS178" s="41"/>
      <c r="AT178" s="41"/>
      <c r="AU178" s="41"/>
      <c r="AV178" s="41"/>
      <c r="AW178" s="41"/>
      <c r="AX178" s="41"/>
      <c r="AY178" s="41"/>
      <c r="AZ178" s="41"/>
      <c r="BA178" s="41"/>
      <c r="BB178" s="41"/>
      <c r="BC178" s="41"/>
      <c r="BD178" s="41"/>
      <c r="BE178" s="41"/>
      <c r="BF178" s="41"/>
      <c r="BG178" s="41"/>
      <c r="BH178" s="41"/>
      <c r="BI178" s="41"/>
      <c r="BJ178" s="41"/>
      <c r="BK178" s="41"/>
      <c r="BL178" s="41"/>
      <c r="BM178" s="41"/>
      <c r="BN178" s="41"/>
      <c r="BO178" s="41"/>
      <c r="BP178" s="41"/>
      <c r="BQ178" s="41"/>
      <c r="BR178" s="41"/>
      <c r="BS178" s="41"/>
      <c r="BT178" s="41"/>
      <c r="BU178" s="41"/>
      <c r="BV178" s="1525"/>
      <c r="BW178" s="41"/>
    </row>
    <row r="179" spans="1:75">
      <c r="A179" s="595"/>
      <c r="B179" s="598"/>
      <c r="C179" s="599"/>
      <c r="D179" s="41"/>
      <c r="E179" s="1526"/>
      <c r="F179" s="1526"/>
      <c r="G179" s="41"/>
      <c r="H179" s="1541"/>
      <c r="I179" s="15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41"/>
      <c r="AL179" s="41"/>
      <c r="AM179" s="41"/>
      <c r="AN179" s="41"/>
      <c r="AO179" s="41"/>
      <c r="AP179" s="1525"/>
      <c r="AQ179" s="41"/>
      <c r="AR179" s="41"/>
      <c r="AS179" s="41"/>
      <c r="AT179" s="41"/>
      <c r="AU179" s="41"/>
      <c r="AV179" s="41"/>
      <c r="AW179" s="41"/>
      <c r="AX179" s="41"/>
      <c r="AY179" s="41"/>
      <c r="AZ179" s="41"/>
      <c r="BA179" s="41"/>
      <c r="BB179" s="41"/>
      <c r="BC179" s="41"/>
      <c r="BD179" s="41"/>
      <c r="BE179" s="41"/>
      <c r="BF179" s="41"/>
      <c r="BG179" s="41"/>
      <c r="BH179" s="41"/>
      <c r="BI179" s="41"/>
      <c r="BJ179" s="41"/>
      <c r="BK179" s="41"/>
      <c r="BL179" s="41"/>
      <c r="BM179" s="41"/>
      <c r="BN179" s="41"/>
      <c r="BO179" s="41"/>
      <c r="BP179" s="41"/>
      <c r="BQ179" s="41"/>
      <c r="BR179" s="41"/>
      <c r="BS179" s="41"/>
      <c r="BT179" s="41"/>
      <c r="BU179" s="41"/>
      <c r="BV179" s="1525"/>
      <c r="BW179" s="41"/>
    </row>
    <row r="180" spans="1:75">
      <c r="A180" s="595"/>
      <c r="B180" s="598"/>
      <c r="C180" s="599"/>
      <c r="D180" s="41"/>
      <c r="E180" s="1526"/>
      <c r="F180" s="1526"/>
      <c r="G180" s="41"/>
      <c r="H180" s="1541"/>
      <c r="I180" s="15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41"/>
      <c r="AL180" s="41"/>
      <c r="AM180" s="41"/>
      <c r="AN180" s="41"/>
      <c r="AO180" s="41"/>
      <c r="AP180" s="1525"/>
      <c r="AQ180" s="41"/>
      <c r="AR180" s="41"/>
      <c r="AS180" s="41"/>
      <c r="AT180" s="41"/>
      <c r="AU180" s="41"/>
      <c r="AV180" s="41"/>
      <c r="AW180" s="41"/>
      <c r="AX180" s="41"/>
      <c r="AY180" s="41"/>
      <c r="AZ180" s="41"/>
      <c r="BA180" s="41"/>
      <c r="BB180" s="41"/>
      <c r="BC180" s="41"/>
      <c r="BD180" s="41"/>
      <c r="BE180" s="41"/>
      <c r="BF180" s="41"/>
      <c r="BG180" s="41"/>
      <c r="BH180" s="41"/>
      <c r="BI180" s="41"/>
      <c r="BJ180" s="41"/>
      <c r="BK180" s="41"/>
      <c r="BL180" s="41"/>
      <c r="BM180" s="41"/>
      <c r="BN180" s="41"/>
      <c r="BO180" s="41"/>
      <c r="BP180" s="41"/>
      <c r="BQ180" s="41"/>
      <c r="BR180" s="41"/>
      <c r="BS180" s="41"/>
      <c r="BT180" s="41"/>
      <c r="BU180" s="41"/>
      <c r="BV180" s="1525"/>
      <c r="BW180" s="41"/>
    </row>
    <row r="181" spans="1:75">
      <c r="A181" s="595"/>
      <c r="B181" s="598"/>
      <c r="C181" s="599"/>
      <c r="D181" s="41"/>
      <c r="E181" s="1526"/>
      <c r="F181" s="1526"/>
      <c r="G181" s="41"/>
      <c r="H181" s="1541"/>
      <c r="I181" s="15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41"/>
      <c r="AL181" s="41"/>
      <c r="AM181" s="41"/>
      <c r="AN181" s="41"/>
      <c r="AO181" s="41"/>
      <c r="AP181" s="1525"/>
      <c r="AQ181" s="41"/>
      <c r="AR181" s="41"/>
      <c r="AS181" s="41"/>
      <c r="AT181" s="41"/>
      <c r="AU181" s="41"/>
      <c r="AV181" s="41"/>
      <c r="AW181" s="41"/>
      <c r="AX181" s="41"/>
      <c r="AY181" s="41"/>
      <c r="AZ181" s="41"/>
      <c r="BA181" s="41"/>
      <c r="BB181" s="41"/>
      <c r="BC181" s="41"/>
      <c r="BD181" s="41"/>
      <c r="BE181" s="41"/>
      <c r="BF181" s="41"/>
      <c r="BG181" s="41"/>
      <c r="BH181" s="41"/>
      <c r="BI181" s="41"/>
      <c r="BJ181" s="41"/>
      <c r="BK181" s="41"/>
      <c r="BL181" s="41"/>
      <c r="BM181" s="41"/>
      <c r="BN181" s="41"/>
      <c r="BO181" s="41"/>
      <c r="BP181" s="41"/>
      <c r="BQ181" s="41"/>
      <c r="BR181" s="41"/>
      <c r="BS181" s="41"/>
      <c r="BT181" s="41"/>
      <c r="BU181" s="41"/>
      <c r="BV181" s="1525"/>
      <c r="BW181" s="41"/>
    </row>
    <row r="182" spans="1:75">
      <c r="A182" s="595"/>
      <c r="B182" s="598"/>
      <c r="C182" s="599"/>
      <c r="D182" s="41"/>
      <c r="E182" s="1526"/>
      <c r="F182" s="1526"/>
      <c r="G182" s="41"/>
      <c r="H182" s="1541"/>
      <c r="I182" s="15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  <c r="AK182" s="41"/>
      <c r="AL182" s="41"/>
      <c r="AM182" s="41"/>
      <c r="AN182" s="41"/>
      <c r="AO182" s="41"/>
      <c r="AP182" s="1525"/>
      <c r="AQ182" s="41"/>
      <c r="AR182" s="41"/>
      <c r="AS182" s="41"/>
      <c r="AT182" s="41"/>
      <c r="AU182" s="41"/>
      <c r="AV182" s="41"/>
      <c r="AW182" s="41"/>
      <c r="AX182" s="41"/>
      <c r="AY182" s="41"/>
      <c r="AZ182" s="41"/>
      <c r="BA182" s="41"/>
      <c r="BB182" s="41"/>
      <c r="BC182" s="41"/>
      <c r="BD182" s="41"/>
      <c r="BE182" s="41"/>
      <c r="BF182" s="41"/>
      <c r="BG182" s="41"/>
      <c r="BH182" s="41"/>
      <c r="BI182" s="41"/>
      <c r="BJ182" s="41"/>
      <c r="BK182" s="41"/>
      <c r="BL182" s="41"/>
      <c r="BM182" s="41"/>
      <c r="BN182" s="41"/>
      <c r="BO182" s="41"/>
      <c r="BP182" s="41"/>
      <c r="BQ182" s="41"/>
      <c r="BR182" s="41"/>
      <c r="BS182" s="41"/>
      <c r="BT182" s="41"/>
      <c r="BU182" s="41"/>
      <c r="BV182" s="1525"/>
      <c r="BW182" s="41"/>
    </row>
    <row r="183" spans="1:75">
      <c r="A183" s="595"/>
      <c r="B183" s="598"/>
      <c r="C183" s="599"/>
      <c r="D183" s="41"/>
      <c r="E183" s="1526"/>
      <c r="F183" s="1526"/>
      <c r="G183" s="41"/>
      <c r="H183" s="1541"/>
      <c r="I183" s="15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  <c r="AK183" s="41"/>
      <c r="AL183" s="41"/>
      <c r="AM183" s="41"/>
      <c r="AN183" s="41"/>
      <c r="AO183" s="41"/>
      <c r="AP183" s="1525"/>
      <c r="AQ183" s="41"/>
      <c r="AR183" s="41"/>
      <c r="AS183" s="41"/>
      <c r="AT183" s="41"/>
      <c r="AU183" s="41"/>
      <c r="AV183" s="41"/>
      <c r="AW183" s="41"/>
      <c r="AX183" s="41"/>
      <c r="AY183" s="41"/>
      <c r="AZ183" s="41"/>
      <c r="BA183" s="41"/>
      <c r="BB183" s="41"/>
      <c r="BC183" s="41"/>
      <c r="BD183" s="41"/>
      <c r="BE183" s="41"/>
      <c r="BF183" s="41"/>
      <c r="BG183" s="41"/>
      <c r="BH183" s="41"/>
      <c r="BI183" s="41"/>
      <c r="BJ183" s="41"/>
      <c r="BK183" s="41"/>
      <c r="BL183" s="41"/>
      <c r="BM183" s="41"/>
      <c r="BN183" s="41"/>
      <c r="BO183" s="41"/>
      <c r="BP183" s="41"/>
      <c r="BQ183" s="41"/>
      <c r="BR183" s="41"/>
      <c r="BS183" s="41"/>
      <c r="BT183" s="41"/>
      <c r="BU183" s="41"/>
      <c r="BV183" s="1525"/>
      <c r="BW183" s="41"/>
    </row>
    <row r="184" spans="1:75">
      <c r="A184" s="595"/>
      <c r="B184" s="598"/>
      <c r="C184" s="599"/>
      <c r="D184" s="41"/>
      <c r="E184" s="1526"/>
      <c r="F184" s="1526"/>
      <c r="G184" s="41"/>
      <c r="H184" s="1541"/>
      <c r="I184" s="15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  <c r="AK184" s="41"/>
      <c r="AL184" s="41"/>
      <c r="AM184" s="41"/>
      <c r="AN184" s="41"/>
      <c r="AO184" s="41"/>
      <c r="AP184" s="1525"/>
      <c r="AQ184" s="41"/>
      <c r="AR184" s="41"/>
      <c r="AS184" s="41"/>
      <c r="AT184" s="41"/>
      <c r="AU184" s="41"/>
      <c r="AV184" s="41"/>
      <c r="AW184" s="41"/>
      <c r="AX184" s="41"/>
      <c r="AY184" s="41"/>
      <c r="AZ184" s="41"/>
      <c r="BA184" s="41"/>
      <c r="BB184" s="41"/>
      <c r="BC184" s="41"/>
      <c r="BD184" s="41"/>
      <c r="BE184" s="41"/>
      <c r="BF184" s="41"/>
      <c r="BG184" s="41"/>
      <c r="BH184" s="41"/>
      <c r="BI184" s="41"/>
      <c r="BJ184" s="41"/>
      <c r="BK184" s="41"/>
      <c r="BL184" s="41"/>
      <c r="BM184" s="41"/>
      <c r="BN184" s="41"/>
      <c r="BO184" s="41"/>
      <c r="BP184" s="41"/>
      <c r="BQ184" s="41"/>
      <c r="BR184" s="41"/>
      <c r="BS184" s="41"/>
      <c r="BT184" s="41"/>
      <c r="BU184" s="41"/>
      <c r="BV184" s="1525"/>
      <c r="BW184" s="41"/>
    </row>
    <row r="185" spans="1:75">
      <c r="A185" s="595"/>
      <c r="B185" s="598"/>
      <c r="C185" s="599"/>
      <c r="D185" s="41"/>
      <c r="E185" s="1526"/>
      <c r="F185" s="1526"/>
      <c r="G185" s="41"/>
      <c r="H185" s="1541"/>
      <c r="I185" s="15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  <c r="AK185" s="41"/>
      <c r="AL185" s="41"/>
      <c r="AM185" s="41"/>
      <c r="AN185" s="41"/>
      <c r="AO185" s="41"/>
      <c r="AP185" s="1525"/>
      <c r="AQ185" s="41"/>
      <c r="AR185" s="41"/>
      <c r="AS185" s="41"/>
      <c r="AT185" s="41"/>
      <c r="AU185" s="41"/>
      <c r="AV185" s="41"/>
      <c r="AW185" s="41"/>
      <c r="AX185" s="41"/>
      <c r="AY185" s="41"/>
      <c r="AZ185" s="41"/>
      <c r="BA185" s="41"/>
      <c r="BB185" s="41"/>
      <c r="BC185" s="41"/>
      <c r="BD185" s="41"/>
      <c r="BE185" s="41"/>
      <c r="BF185" s="41"/>
      <c r="BG185" s="41"/>
      <c r="BH185" s="41"/>
      <c r="BI185" s="41"/>
      <c r="BJ185" s="41"/>
      <c r="BK185" s="41"/>
      <c r="BL185" s="41"/>
      <c r="BM185" s="41"/>
      <c r="BN185" s="41"/>
      <c r="BO185" s="41"/>
      <c r="BP185" s="41"/>
      <c r="BQ185" s="41"/>
      <c r="BR185" s="41"/>
      <c r="BS185" s="41"/>
      <c r="BT185" s="41"/>
      <c r="BU185" s="41"/>
      <c r="BV185" s="1525"/>
      <c r="BW185" s="41"/>
    </row>
    <row r="186" spans="1:75">
      <c r="A186" s="595"/>
      <c r="B186" s="598"/>
      <c r="C186" s="599"/>
      <c r="D186" s="41"/>
      <c r="E186" s="1526"/>
      <c r="F186" s="1526"/>
      <c r="G186" s="41"/>
      <c r="H186" s="1541"/>
      <c r="I186" s="15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  <c r="AK186" s="41"/>
      <c r="AL186" s="41"/>
      <c r="AM186" s="41"/>
      <c r="AN186" s="41"/>
      <c r="AO186" s="41"/>
      <c r="AP186" s="1525"/>
      <c r="AQ186" s="41"/>
      <c r="AR186" s="41"/>
      <c r="AS186" s="41"/>
      <c r="AT186" s="41"/>
      <c r="AU186" s="41"/>
      <c r="AV186" s="41"/>
      <c r="AW186" s="41"/>
      <c r="AX186" s="41"/>
      <c r="AY186" s="41"/>
      <c r="AZ186" s="41"/>
      <c r="BA186" s="41"/>
      <c r="BB186" s="41"/>
      <c r="BC186" s="41"/>
      <c r="BD186" s="41"/>
      <c r="BE186" s="41"/>
      <c r="BF186" s="41"/>
      <c r="BG186" s="41"/>
      <c r="BH186" s="41"/>
      <c r="BI186" s="41"/>
      <c r="BJ186" s="41"/>
      <c r="BK186" s="41"/>
      <c r="BL186" s="41"/>
      <c r="BM186" s="41"/>
      <c r="BN186" s="41"/>
      <c r="BO186" s="41"/>
      <c r="BP186" s="41"/>
      <c r="BQ186" s="41"/>
      <c r="BR186" s="41"/>
      <c r="BS186" s="41"/>
      <c r="BT186" s="41"/>
      <c r="BU186" s="41"/>
      <c r="BV186" s="1525"/>
      <c r="BW186" s="41"/>
    </row>
    <row r="187" spans="1:75">
      <c r="A187" s="595"/>
      <c r="B187" s="598"/>
      <c r="C187" s="599"/>
      <c r="D187" s="41"/>
      <c r="E187" s="1526"/>
      <c r="F187" s="1526"/>
      <c r="G187" s="41"/>
      <c r="H187" s="1541"/>
      <c r="I187" s="15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  <c r="AK187" s="41"/>
      <c r="AL187" s="41"/>
      <c r="AM187" s="41"/>
      <c r="AN187" s="41"/>
      <c r="AO187" s="41"/>
      <c r="AP187" s="1525"/>
      <c r="AQ187" s="41"/>
      <c r="AR187" s="41"/>
      <c r="AS187" s="41"/>
      <c r="AT187" s="41"/>
      <c r="AU187" s="41"/>
      <c r="AV187" s="41"/>
      <c r="AW187" s="41"/>
      <c r="AX187" s="41"/>
      <c r="AY187" s="41"/>
      <c r="AZ187" s="41"/>
      <c r="BA187" s="41"/>
      <c r="BB187" s="41"/>
      <c r="BC187" s="41"/>
      <c r="BD187" s="41"/>
      <c r="BE187" s="41"/>
      <c r="BF187" s="41"/>
      <c r="BG187" s="41"/>
      <c r="BH187" s="41"/>
      <c r="BI187" s="41"/>
      <c r="BJ187" s="41"/>
      <c r="BK187" s="41"/>
      <c r="BL187" s="41"/>
      <c r="BM187" s="41"/>
      <c r="BN187" s="41"/>
      <c r="BO187" s="41"/>
      <c r="BP187" s="41"/>
      <c r="BQ187" s="41"/>
      <c r="BR187" s="41"/>
      <c r="BS187" s="41"/>
      <c r="BT187" s="41"/>
      <c r="BU187" s="41"/>
      <c r="BV187" s="1525"/>
      <c r="BW187" s="41"/>
    </row>
    <row r="188" spans="1:75">
      <c r="A188" s="595"/>
      <c r="B188" s="598"/>
      <c r="C188" s="599"/>
      <c r="D188" s="41"/>
      <c r="E188" s="1526"/>
      <c r="F188" s="1526"/>
      <c r="G188" s="41"/>
      <c r="H188" s="1541"/>
      <c r="I188" s="15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  <c r="AK188" s="41"/>
      <c r="AL188" s="41"/>
      <c r="AM188" s="41"/>
      <c r="AN188" s="41"/>
      <c r="AO188" s="41"/>
      <c r="AP188" s="1525"/>
      <c r="AQ188" s="41"/>
      <c r="AR188" s="41"/>
      <c r="AS188" s="41"/>
      <c r="AT188" s="41"/>
      <c r="AU188" s="41"/>
      <c r="AV188" s="41"/>
      <c r="AW188" s="41"/>
      <c r="AX188" s="41"/>
      <c r="AY188" s="41"/>
      <c r="AZ188" s="41"/>
      <c r="BA188" s="41"/>
      <c r="BB188" s="41"/>
      <c r="BC188" s="41"/>
      <c r="BD188" s="41"/>
      <c r="BE188" s="41"/>
      <c r="BF188" s="41"/>
      <c r="BG188" s="41"/>
      <c r="BH188" s="41"/>
      <c r="BI188" s="41"/>
      <c r="BJ188" s="41"/>
      <c r="BK188" s="41"/>
      <c r="BL188" s="41"/>
      <c r="BM188" s="41"/>
      <c r="BN188" s="41"/>
      <c r="BO188" s="41"/>
      <c r="BP188" s="41"/>
      <c r="BQ188" s="41"/>
      <c r="BR188" s="41"/>
      <c r="BS188" s="41"/>
      <c r="BT188" s="41"/>
      <c r="BU188" s="41"/>
      <c r="BV188" s="1525"/>
      <c r="BW188" s="41"/>
    </row>
    <row r="189" spans="1:75">
      <c r="A189" s="595"/>
      <c r="B189" s="598"/>
      <c r="C189" s="599"/>
      <c r="D189" s="41"/>
      <c r="E189" s="1526"/>
      <c r="F189" s="1526"/>
      <c r="G189" s="41"/>
      <c r="H189" s="1541"/>
      <c r="I189" s="15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  <c r="AK189" s="41"/>
      <c r="AL189" s="41"/>
      <c r="AM189" s="41"/>
      <c r="AN189" s="41"/>
      <c r="AO189" s="41"/>
      <c r="AP189" s="1525"/>
      <c r="AQ189" s="41"/>
      <c r="AR189" s="41"/>
      <c r="AS189" s="41"/>
      <c r="AT189" s="41"/>
      <c r="AU189" s="41"/>
      <c r="AV189" s="41"/>
      <c r="AW189" s="41"/>
      <c r="AX189" s="41"/>
      <c r="AY189" s="41"/>
      <c r="AZ189" s="41"/>
      <c r="BA189" s="41"/>
      <c r="BB189" s="41"/>
      <c r="BC189" s="41"/>
      <c r="BD189" s="41"/>
      <c r="BE189" s="41"/>
      <c r="BF189" s="41"/>
      <c r="BG189" s="41"/>
      <c r="BH189" s="41"/>
      <c r="BI189" s="41"/>
      <c r="BJ189" s="41"/>
      <c r="BK189" s="41"/>
      <c r="BL189" s="41"/>
      <c r="BM189" s="41"/>
      <c r="BN189" s="41"/>
      <c r="BO189" s="41"/>
      <c r="BP189" s="41"/>
      <c r="BQ189" s="41"/>
      <c r="BR189" s="41"/>
      <c r="BS189" s="41"/>
      <c r="BT189" s="41"/>
      <c r="BU189" s="41"/>
      <c r="BV189" s="1525"/>
      <c r="BW189" s="41"/>
    </row>
    <row r="190" spans="1:75">
      <c r="A190" s="595"/>
      <c r="B190" s="598"/>
      <c r="C190" s="599"/>
      <c r="D190" s="41"/>
      <c r="E190" s="1526"/>
      <c r="F190" s="1526"/>
      <c r="G190" s="41"/>
      <c r="H190" s="1541"/>
      <c r="I190" s="15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 s="41"/>
      <c r="AL190" s="41"/>
      <c r="AM190" s="41"/>
      <c r="AN190" s="41"/>
      <c r="AO190" s="41"/>
      <c r="AP190" s="1525"/>
      <c r="AQ190" s="41"/>
      <c r="AR190" s="41"/>
      <c r="AS190" s="41"/>
      <c r="AT190" s="41"/>
      <c r="AU190" s="41"/>
      <c r="AV190" s="41"/>
      <c r="AW190" s="41"/>
      <c r="AX190" s="41"/>
      <c r="AY190" s="41"/>
      <c r="AZ190" s="41"/>
      <c r="BA190" s="41"/>
      <c r="BB190" s="41"/>
      <c r="BC190" s="41"/>
      <c r="BD190" s="41"/>
      <c r="BE190" s="41"/>
      <c r="BF190" s="41"/>
      <c r="BG190" s="41"/>
      <c r="BH190" s="41"/>
      <c r="BI190" s="41"/>
      <c r="BJ190" s="41"/>
      <c r="BK190" s="41"/>
      <c r="BL190" s="41"/>
      <c r="BM190" s="41"/>
      <c r="BN190" s="41"/>
      <c r="BO190" s="41"/>
      <c r="BP190" s="41"/>
      <c r="BQ190" s="41"/>
      <c r="BR190" s="41"/>
      <c r="BS190" s="41"/>
      <c r="BT190" s="41"/>
      <c r="BU190" s="41"/>
      <c r="BV190" s="1525"/>
      <c r="BW190" s="41"/>
    </row>
    <row r="191" spans="1:75">
      <c r="A191" s="595"/>
      <c r="B191" s="598"/>
      <c r="C191" s="599"/>
      <c r="D191" s="41"/>
      <c r="E191" s="1526"/>
      <c r="F191" s="1526"/>
      <c r="G191" s="41"/>
      <c r="H191" s="1541"/>
      <c r="I191" s="15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 s="41"/>
      <c r="AL191" s="41"/>
      <c r="AM191" s="41"/>
      <c r="AN191" s="41"/>
      <c r="AO191" s="41"/>
      <c r="AP191" s="1525"/>
      <c r="AQ191" s="41"/>
      <c r="AR191" s="41"/>
      <c r="AS191" s="41"/>
      <c r="AT191" s="41"/>
      <c r="AU191" s="41"/>
      <c r="AV191" s="41"/>
      <c r="AW191" s="41"/>
      <c r="AX191" s="41"/>
      <c r="AY191" s="41"/>
      <c r="AZ191" s="41"/>
      <c r="BA191" s="41"/>
      <c r="BB191" s="41"/>
      <c r="BC191" s="41"/>
      <c r="BD191" s="41"/>
      <c r="BE191" s="41"/>
      <c r="BF191" s="41"/>
      <c r="BG191" s="41"/>
      <c r="BH191" s="41"/>
      <c r="BI191" s="41"/>
      <c r="BJ191" s="41"/>
      <c r="BK191" s="41"/>
      <c r="BL191" s="41"/>
      <c r="BM191" s="41"/>
      <c r="BN191" s="41"/>
      <c r="BO191" s="41"/>
      <c r="BP191" s="41"/>
      <c r="BQ191" s="41"/>
      <c r="BR191" s="41"/>
      <c r="BS191" s="41"/>
      <c r="BT191" s="41"/>
      <c r="BU191" s="41"/>
      <c r="BV191" s="1525"/>
      <c r="BW191" s="41"/>
    </row>
    <row r="192" spans="1:75">
      <c r="A192" s="595"/>
      <c r="B192" s="598"/>
      <c r="C192" s="599"/>
      <c r="D192" s="41"/>
      <c r="E192" s="1526"/>
      <c r="F192" s="1526"/>
      <c r="G192" s="41"/>
      <c r="H192" s="1541"/>
      <c r="I192" s="15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 s="41"/>
      <c r="AL192" s="41"/>
      <c r="AM192" s="41"/>
      <c r="AN192" s="41"/>
      <c r="AO192" s="41"/>
      <c r="AP192" s="1525"/>
      <c r="AQ192" s="41"/>
      <c r="AR192" s="41"/>
      <c r="AS192" s="41"/>
      <c r="AT192" s="41"/>
      <c r="AU192" s="41"/>
      <c r="AV192" s="41"/>
      <c r="AW192" s="41"/>
      <c r="AX192" s="41"/>
      <c r="AY192" s="41"/>
      <c r="AZ192" s="41"/>
      <c r="BA192" s="41"/>
      <c r="BB192" s="41"/>
      <c r="BC192" s="41"/>
      <c r="BD192" s="41"/>
      <c r="BE192" s="41"/>
      <c r="BF192" s="41"/>
      <c r="BG192" s="41"/>
      <c r="BH192" s="41"/>
      <c r="BI192" s="41"/>
      <c r="BJ192" s="41"/>
      <c r="BK192" s="41"/>
      <c r="BL192" s="41"/>
      <c r="BM192" s="41"/>
      <c r="BN192" s="41"/>
      <c r="BO192" s="41"/>
      <c r="BP192" s="41"/>
      <c r="BQ192" s="41"/>
      <c r="BR192" s="41"/>
      <c r="BS192" s="41"/>
      <c r="BT192" s="41"/>
      <c r="BU192" s="41"/>
      <c r="BV192" s="1525"/>
      <c r="BW192" s="41"/>
    </row>
    <row r="193" spans="1:75">
      <c r="A193" s="595"/>
      <c r="B193" s="598"/>
      <c r="C193" s="599"/>
      <c r="D193" s="41"/>
      <c r="E193" s="1526"/>
      <c r="F193" s="1526"/>
      <c r="G193" s="41"/>
      <c r="H193" s="1541"/>
      <c r="I193" s="15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1"/>
      <c r="AK193" s="41"/>
      <c r="AL193" s="41"/>
      <c r="AM193" s="41"/>
      <c r="AN193" s="41"/>
      <c r="AO193" s="41"/>
      <c r="AP193" s="1525"/>
      <c r="AQ193" s="41"/>
      <c r="AR193" s="41"/>
      <c r="AS193" s="41"/>
      <c r="AT193" s="41"/>
      <c r="AU193" s="41"/>
      <c r="AV193" s="41"/>
      <c r="AW193" s="41"/>
      <c r="AX193" s="41"/>
      <c r="AY193" s="41"/>
      <c r="AZ193" s="41"/>
      <c r="BA193" s="41"/>
      <c r="BB193" s="41"/>
      <c r="BC193" s="41"/>
      <c r="BD193" s="41"/>
      <c r="BE193" s="41"/>
      <c r="BF193" s="41"/>
      <c r="BG193" s="41"/>
      <c r="BH193" s="41"/>
      <c r="BI193" s="41"/>
      <c r="BJ193" s="41"/>
      <c r="BK193" s="41"/>
      <c r="BL193" s="41"/>
      <c r="BM193" s="41"/>
      <c r="BN193" s="41"/>
      <c r="BO193" s="41"/>
      <c r="BP193" s="41"/>
      <c r="BQ193" s="41"/>
      <c r="BR193" s="41"/>
      <c r="BS193" s="41"/>
      <c r="BT193" s="41"/>
      <c r="BU193" s="41"/>
      <c r="BV193" s="1525"/>
      <c r="BW193" s="41"/>
    </row>
    <row r="194" spans="1:75">
      <c r="A194" s="595"/>
      <c r="B194" s="598"/>
      <c r="C194" s="599"/>
      <c r="D194" s="41"/>
      <c r="E194" s="1526"/>
      <c r="F194" s="1526"/>
      <c r="G194" s="41"/>
      <c r="H194" s="1541"/>
      <c r="I194" s="15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  <c r="AK194" s="41"/>
      <c r="AL194" s="41"/>
      <c r="AM194" s="41"/>
      <c r="AN194" s="41"/>
      <c r="AO194" s="41"/>
      <c r="AP194" s="1525"/>
      <c r="AQ194" s="41"/>
      <c r="AR194" s="41"/>
      <c r="AS194" s="41"/>
      <c r="AT194" s="41"/>
      <c r="AU194" s="41"/>
      <c r="AV194" s="41"/>
      <c r="AW194" s="41"/>
      <c r="AX194" s="41"/>
      <c r="AY194" s="41"/>
      <c r="AZ194" s="41"/>
      <c r="BA194" s="41"/>
      <c r="BB194" s="41"/>
      <c r="BC194" s="41"/>
      <c r="BD194" s="41"/>
      <c r="BE194" s="41"/>
      <c r="BF194" s="41"/>
      <c r="BG194" s="41"/>
      <c r="BH194" s="41"/>
      <c r="BI194" s="41"/>
      <c r="BJ194" s="41"/>
      <c r="BK194" s="41"/>
      <c r="BL194" s="41"/>
      <c r="BM194" s="41"/>
      <c r="BN194" s="41"/>
      <c r="BO194" s="41"/>
      <c r="BP194" s="41"/>
      <c r="BQ194" s="41"/>
      <c r="BR194" s="41"/>
      <c r="BS194" s="41"/>
      <c r="BT194" s="41"/>
      <c r="BU194" s="41"/>
      <c r="BV194" s="1525"/>
      <c r="BW194" s="41"/>
    </row>
    <row r="195" spans="1:75">
      <c r="A195" s="615"/>
      <c r="B195" s="1562"/>
      <c r="C195" s="41"/>
      <c r="E195" s="41"/>
      <c r="F195" s="1526"/>
      <c r="G195" s="1540"/>
      <c r="H195" s="41"/>
      <c r="I195" s="1541"/>
      <c r="J195" s="15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 s="41"/>
      <c r="AL195" s="41"/>
      <c r="AM195" s="41"/>
      <c r="AN195" s="41"/>
      <c r="AO195" s="41"/>
      <c r="AP195" s="41"/>
      <c r="AQ195" s="1525"/>
      <c r="AR195" s="41"/>
      <c r="AS195" s="41"/>
      <c r="AT195" s="41"/>
      <c r="AU195" s="41"/>
      <c r="AV195" s="41"/>
      <c r="AW195" s="41"/>
      <c r="AX195" s="41"/>
      <c r="AY195" s="41"/>
      <c r="AZ195" s="41"/>
      <c r="BA195" s="41"/>
      <c r="BB195" s="41"/>
      <c r="BC195" s="41"/>
      <c r="BD195" s="41"/>
      <c r="BE195" s="41"/>
      <c r="BF195" s="41"/>
      <c r="BG195" s="41"/>
      <c r="BH195" s="41"/>
      <c r="BI195" s="41"/>
      <c r="BJ195" s="41"/>
      <c r="BK195" s="41"/>
      <c r="BL195" s="41"/>
      <c r="BM195" s="41"/>
      <c r="BN195" s="41"/>
      <c r="BO195" s="41"/>
      <c r="BP195" s="41"/>
      <c r="BQ195" s="41"/>
      <c r="BR195" s="41"/>
      <c r="BS195" s="41"/>
      <c r="BT195" s="41"/>
      <c r="BU195" s="41"/>
      <c r="BV195" s="41"/>
      <c r="BW195" s="1525"/>
    </row>
  </sheetData>
  <mergeCells count="12">
    <mergeCell ref="DC5:DC6"/>
    <mergeCell ref="DC126:DC127"/>
    <mergeCell ref="AQ126:AQ127"/>
    <mergeCell ref="BW126:BW127"/>
    <mergeCell ref="E5:E6"/>
    <mergeCell ref="H5:H6"/>
    <mergeCell ref="I5:I6"/>
    <mergeCell ref="BW5:BW6"/>
    <mergeCell ref="J5:J6"/>
    <mergeCell ref="AQ5:AQ6"/>
    <mergeCell ref="F5:F6"/>
    <mergeCell ref="G5:G6"/>
  </mergeCells>
  <phoneticPr fontId="0" type="noConversion"/>
  <conditionalFormatting sqref="K39 K79 K93 K106 K114 K119">
    <cfRule type="expression" dxfId="1" priority="6" stopIfTrue="1">
      <formula>AND(#REF!&gt;0,#REF!=0)</formula>
    </cfRule>
  </conditionalFormatting>
  <printOptions horizontalCentered="1" verticalCentered="1"/>
  <pageMargins left="0.78740157480314965" right="0.78740157480314965" top="0.98425196850393704" bottom="0.39370078740157483" header="0.51181102362204722" footer="0.51181102362204722"/>
  <pageSetup paperSize="9" scale="40" fitToHeight="0" orientation="landscape" horizontalDpi="300" verticalDpi="300" r:id="rId1"/>
  <headerFooter alignWithMargins="0"/>
  <colBreaks count="1" manualBreakCount="1">
    <brk id="41" min="3" max="84" man="1"/>
  </colBreaks>
  <ignoredErrors>
    <ignoredError sqref="F152:F168 F129:F145" numberStoredAsText="1"/>
    <ignoredError sqref="AM96:AP96 AQ25:DB26 BT52:DA53 BV54:DA54 AQ28:DB43 DB27 AQ46:DB48 BV44:DB44 BV96:BW96 BU45:DB45" formula="1"/>
  </ignoredError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Plan181">
    <tabColor rgb="FFFFFF00"/>
  </sheetPr>
  <dimension ref="A1:GF271"/>
  <sheetViews>
    <sheetView showGridLines="0" showZeros="0" topLeftCell="A16" zoomScaleNormal="100" zoomScaleSheetLayoutView="100" workbookViewId="0">
      <pane xSplit="10" topLeftCell="K1" activePane="topRight" state="frozen"/>
      <selection activeCell="D4" sqref="D4:J36"/>
      <selection pane="topRight" activeCell="D4" sqref="D4:J36"/>
    </sheetView>
  </sheetViews>
  <sheetFormatPr defaultRowHeight="12.75"/>
  <cols>
    <col min="1" max="1" width="2" style="638" customWidth="1"/>
    <col min="2" max="3" width="2" style="67" customWidth="1"/>
    <col min="4" max="5" width="7" style="68" hidden="1" customWidth="1"/>
    <col min="6" max="6" width="62.85546875" style="67" customWidth="1"/>
    <col min="7" max="7" width="8.7109375" style="68" customWidth="1"/>
    <col min="8" max="9" width="10.85546875" style="94" customWidth="1"/>
    <col min="10" max="10" width="7.42578125" style="67" customWidth="1"/>
    <col min="11" max="11" width="1" style="67" customWidth="1"/>
    <col min="12" max="13" width="3.5703125" style="67" bestFit="1" customWidth="1"/>
    <col min="14" max="14" width="3.5703125" style="67" customWidth="1"/>
    <col min="15" max="35" width="3.5703125" style="67" bestFit="1" customWidth="1"/>
    <col min="36" max="40" width="3.5703125" style="67" customWidth="1"/>
    <col min="41" max="41" width="3.5703125" style="67" bestFit="1" customWidth="1"/>
    <col min="42" max="42" width="1" style="67" customWidth="1"/>
    <col min="43" max="66" width="3.5703125" style="67" bestFit="1" customWidth="1"/>
    <col min="67" max="71" width="3.5703125" style="67" customWidth="1"/>
    <col min="72" max="72" width="3.5703125" style="67" bestFit="1" customWidth="1"/>
    <col min="73" max="73" width="1" style="67" customWidth="1"/>
    <col min="74" max="74" width="3.5703125" style="67" customWidth="1"/>
    <col min="75" max="97" width="3.5703125" style="67" bestFit="1" customWidth="1"/>
    <col min="98" max="102" width="3.5703125" style="67" customWidth="1"/>
    <col min="103" max="103" width="3.5703125" style="67" bestFit="1" customWidth="1"/>
    <col min="104" max="104" width="13.85546875" style="67" customWidth="1"/>
    <col min="105" max="105" width="11.7109375" style="67" customWidth="1"/>
    <col min="106" max="106" width="12.5703125" style="67" customWidth="1"/>
    <col min="107" max="109" width="9.5703125" style="67" bestFit="1" customWidth="1"/>
    <col min="110" max="114" width="8.85546875" style="67" bestFit="1" customWidth="1"/>
    <col min="115" max="115" width="9.140625" style="67" bestFit="1" customWidth="1"/>
    <col min="116" max="128" width="8.85546875" style="67" bestFit="1" customWidth="1"/>
    <col min="129" max="133" width="8.7109375" style="67" customWidth="1"/>
    <col min="134" max="134" width="8.85546875" style="67" bestFit="1" customWidth="1"/>
    <col min="135" max="135" width="2.140625" style="67" customWidth="1"/>
    <col min="136" max="150" width="8.7109375" style="67" bestFit="1" customWidth="1"/>
    <col min="151" max="151" width="10.42578125" style="67" customWidth="1"/>
    <col min="152" max="159" width="8.7109375" style="67" bestFit="1" customWidth="1"/>
    <col min="160" max="164" width="8.7109375" style="67" customWidth="1"/>
    <col min="165" max="165" width="8.7109375" style="67" bestFit="1" customWidth="1"/>
    <col min="166" max="285" width="9.140625" style="67"/>
    <col min="286" max="287" width="7" style="67" bestFit="1" customWidth="1"/>
    <col min="288" max="288" width="49.140625" style="67" bestFit="1" customWidth="1"/>
    <col min="289" max="290" width="10.85546875" style="67" bestFit="1" customWidth="1"/>
    <col min="291" max="291" width="6" style="67" customWidth="1"/>
    <col min="292" max="292" width="4.7109375" style="67" customWidth="1"/>
    <col min="293" max="317" width="3.5703125" style="67" bestFit="1" customWidth="1"/>
    <col min="318" max="318" width="1" style="67" customWidth="1"/>
    <col min="319" max="343" width="3.5703125" style="67" bestFit="1" customWidth="1"/>
    <col min="344" max="344" width="1" style="67" customWidth="1"/>
    <col min="345" max="369" width="3.5703125" style="67" bestFit="1" customWidth="1"/>
    <col min="370" max="370" width="1.28515625" style="67" customWidth="1"/>
    <col min="371" max="395" width="8.7109375" style="67" bestFit="1" customWidth="1"/>
    <col min="396" max="396" width="2.140625" style="67" customWidth="1"/>
    <col min="397" max="421" width="8.7109375" style="67" bestFit="1" customWidth="1"/>
    <col min="422" max="541" width="9.140625" style="67"/>
    <col min="542" max="543" width="7" style="67" bestFit="1" customWidth="1"/>
    <col min="544" max="544" width="49.140625" style="67" bestFit="1" customWidth="1"/>
    <col min="545" max="546" width="10.85546875" style="67" bestFit="1" customWidth="1"/>
    <col min="547" max="547" width="6" style="67" customWidth="1"/>
    <col min="548" max="548" width="4.7109375" style="67" customWidth="1"/>
    <col min="549" max="573" width="3.5703125" style="67" bestFit="1" customWidth="1"/>
    <col min="574" max="574" width="1" style="67" customWidth="1"/>
    <col min="575" max="599" width="3.5703125" style="67" bestFit="1" customWidth="1"/>
    <col min="600" max="600" width="1" style="67" customWidth="1"/>
    <col min="601" max="625" width="3.5703125" style="67" bestFit="1" customWidth="1"/>
    <col min="626" max="626" width="1.28515625" style="67" customWidth="1"/>
    <col min="627" max="651" width="8.7109375" style="67" bestFit="1" customWidth="1"/>
    <col min="652" max="652" width="2.140625" style="67" customWidth="1"/>
    <col min="653" max="677" width="8.7109375" style="67" bestFit="1" customWidth="1"/>
    <col min="678" max="797" width="9.140625" style="67"/>
    <col min="798" max="799" width="7" style="67" bestFit="1" customWidth="1"/>
    <col min="800" max="800" width="49.140625" style="67" bestFit="1" customWidth="1"/>
    <col min="801" max="802" width="10.85546875" style="67" bestFit="1" customWidth="1"/>
    <col min="803" max="803" width="6" style="67" customWidth="1"/>
    <col min="804" max="804" width="4.7109375" style="67" customWidth="1"/>
    <col min="805" max="829" width="3.5703125" style="67" bestFit="1" customWidth="1"/>
    <col min="830" max="830" width="1" style="67" customWidth="1"/>
    <col min="831" max="855" width="3.5703125" style="67" bestFit="1" customWidth="1"/>
    <col min="856" max="856" width="1" style="67" customWidth="1"/>
    <col min="857" max="881" width="3.5703125" style="67" bestFit="1" customWidth="1"/>
    <col min="882" max="882" width="1.28515625" style="67" customWidth="1"/>
    <col min="883" max="907" width="8.7109375" style="67" bestFit="1" customWidth="1"/>
    <col min="908" max="908" width="2.140625" style="67" customWidth="1"/>
    <col min="909" max="933" width="8.7109375" style="67" bestFit="1" customWidth="1"/>
    <col min="934" max="1053" width="9.140625" style="67"/>
    <col min="1054" max="1055" width="7" style="67" bestFit="1" customWidth="1"/>
    <col min="1056" max="1056" width="49.140625" style="67" bestFit="1" customWidth="1"/>
    <col min="1057" max="1058" width="10.85546875" style="67" bestFit="1" customWidth="1"/>
    <col min="1059" max="1059" width="6" style="67" customWidth="1"/>
    <col min="1060" max="1060" width="4.7109375" style="67" customWidth="1"/>
    <col min="1061" max="1085" width="3.5703125" style="67" bestFit="1" customWidth="1"/>
    <col min="1086" max="1086" width="1" style="67" customWidth="1"/>
    <col min="1087" max="1111" width="3.5703125" style="67" bestFit="1" customWidth="1"/>
    <col min="1112" max="1112" width="1" style="67" customWidth="1"/>
    <col min="1113" max="1137" width="3.5703125" style="67" bestFit="1" customWidth="1"/>
    <col min="1138" max="1138" width="1.28515625" style="67" customWidth="1"/>
    <col min="1139" max="1163" width="8.7109375" style="67" bestFit="1" customWidth="1"/>
    <col min="1164" max="1164" width="2.140625" style="67" customWidth="1"/>
    <col min="1165" max="1189" width="8.7109375" style="67" bestFit="1" customWidth="1"/>
    <col min="1190" max="1309" width="9.140625" style="67"/>
    <col min="1310" max="1311" width="7" style="67" bestFit="1" customWidth="1"/>
    <col min="1312" max="1312" width="49.140625" style="67" bestFit="1" customWidth="1"/>
    <col min="1313" max="1314" width="10.85546875" style="67" bestFit="1" customWidth="1"/>
    <col min="1315" max="1315" width="6" style="67" customWidth="1"/>
    <col min="1316" max="1316" width="4.7109375" style="67" customWidth="1"/>
    <col min="1317" max="1341" width="3.5703125" style="67" bestFit="1" customWidth="1"/>
    <col min="1342" max="1342" width="1" style="67" customWidth="1"/>
    <col min="1343" max="1367" width="3.5703125" style="67" bestFit="1" customWidth="1"/>
    <col min="1368" max="1368" width="1" style="67" customWidth="1"/>
    <col min="1369" max="1393" width="3.5703125" style="67" bestFit="1" customWidth="1"/>
    <col min="1394" max="1394" width="1.28515625" style="67" customWidth="1"/>
    <col min="1395" max="1419" width="8.7109375" style="67" bestFit="1" customWidth="1"/>
    <col min="1420" max="1420" width="2.140625" style="67" customWidth="1"/>
    <col min="1421" max="1445" width="8.7109375" style="67" bestFit="1" customWidth="1"/>
    <col min="1446" max="1565" width="9.140625" style="67"/>
    <col min="1566" max="1567" width="7" style="67" bestFit="1" customWidth="1"/>
    <col min="1568" max="1568" width="49.140625" style="67" bestFit="1" customWidth="1"/>
    <col min="1569" max="1570" width="10.85546875" style="67" bestFit="1" customWidth="1"/>
    <col min="1571" max="1571" width="6" style="67" customWidth="1"/>
    <col min="1572" max="1572" width="4.7109375" style="67" customWidth="1"/>
    <col min="1573" max="1597" width="3.5703125" style="67" bestFit="1" customWidth="1"/>
    <col min="1598" max="1598" width="1" style="67" customWidth="1"/>
    <col min="1599" max="1623" width="3.5703125" style="67" bestFit="1" customWidth="1"/>
    <col min="1624" max="1624" width="1" style="67" customWidth="1"/>
    <col min="1625" max="1649" width="3.5703125" style="67" bestFit="1" customWidth="1"/>
    <col min="1650" max="1650" width="1.28515625" style="67" customWidth="1"/>
    <col min="1651" max="1675" width="8.7109375" style="67" bestFit="1" customWidth="1"/>
    <col min="1676" max="1676" width="2.140625" style="67" customWidth="1"/>
    <col min="1677" max="1701" width="8.7109375" style="67" bestFit="1" customWidth="1"/>
    <col min="1702" max="1821" width="9.140625" style="67"/>
    <col min="1822" max="1823" width="7" style="67" bestFit="1" customWidth="1"/>
    <col min="1824" max="1824" width="49.140625" style="67" bestFit="1" customWidth="1"/>
    <col min="1825" max="1826" width="10.85546875" style="67" bestFit="1" customWidth="1"/>
    <col min="1827" max="1827" width="6" style="67" customWidth="1"/>
    <col min="1828" max="1828" width="4.7109375" style="67" customWidth="1"/>
    <col min="1829" max="1853" width="3.5703125" style="67" bestFit="1" customWidth="1"/>
    <col min="1854" max="1854" width="1" style="67" customWidth="1"/>
    <col min="1855" max="1879" width="3.5703125" style="67" bestFit="1" customWidth="1"/>
    <col min="1880" max="1880" width="1" style="67" customWidth="1"/>
    <col min="1881" max="1905" width="3.5703125" style="67" bestFit="1" customWidth="1"/>
    <col min="1906" max="1906" width="1.28515625" style="67" customWidth="1"/>
    <col min="1907" max="1931" width="8.7109375" style="67" bestFit="1" customWidth="1"/>
    <col min="1932" max="1932" width="2.140625" style="67" customWidth="1"/>
    <col min="1933" max="1957" width="8.7109375" style="67" bestFit="1" customWidth="1"/>
    <col min="1958" max="2077" width="9.140625" style="67"/>
    <col min="2078" max="2079" width="7" style="67" bestFit="1" customWidth="1"/>
    <col min="2080" max="2080" width="49.140625" style="67" bestFit="1" customWidth="1"/>
    <col min="2081" max="2082" width="10.85546875" style="67" bestFit="1" customWidth="1"/>
    <col min="2083" max="2083" width="6" style="67" customWidth="1"/>
    <col min="2084" max="2084" width="4.7109375" style="67" customWidth="1"/>
    <col min="2085" max="2109" width="3.5703125" style="67" bestFit="1" customWidth="1"/>
    <col min="2110" max="2110" width="1" style="67" customWidth="1"/>
    <col min="2111" max="2135" width="3.5703125" style="67" bestFit="1" customWidth="1"/>
    <col min="2136" max="2136" width="1" style="67" customWidth="1"/>
    <col min="2137" max="2161" width="3.5703125" style="67" bestFit="1" customWidth="1"/>
    <col min="2162" max="2162" width="1.28515625" style="67" customWidth="1"/>
    <col min="2163" max="2187" width="8.7109375" style="67" bestFit="1" customWidth="1"/>
    <col min="2188" max="2188" width="2.140625" style="67" customWidth="1"/>
    <col min="2189" max="2213" width="8.7109375" style="67" bestFit="1" customWidth="1"/>
    <col min="2214" max="2333" width="9.140625" style="67"/>
    <col min="2334" max="2335" width="7" style="67" bestFit="1" customWidth="1"/>
    <col min="2336" max="2336" width="49.140625" style="67" bestFit="1" customWidth="1"/>
    <col min="2337" max="2338" width="10.85546875" style="67" bestFit="1" customWidth="1"/>
    <col min="2339" max="2339" width="6" style="67" customWidth="1"/>
    <col min="2340" max="2340" width="4.7109375" style="67" customWidth="1"/>
    <col min="2341" max="2365" width="3.5703125" style="67" bestFit="1" customWidth="1"/>
    <col min="2366" max="2366" width="1" style="67" customWidth="1"/>
    <col min="2367" max="2391" width="3.5703125" style="67" bestFit="1" customWidth="1"/>
    <col min="2392" max="2392" width="1" style="67" customWidth="1"/>
    <col min="2393" max="2417" width="3.5703125" style="67" bestFit="1" customWidth="1"/>
    <col min="2418" max="2418" width="1.28515625" style="67" customWidth="1"/>
    <col min="2419" max="2443" width="8.7109375" style="67" bestFit="1" customWidth="1"/>
    <col min="2444" max="2444" width="2.140625" style="67" customWidth="1"/>
    <col min="2445" max="2469" width="8.7109375" style="67" bestFit="1" customWidth="1"/>
    <col min="2470" max="2589" width="9.140625" style="67"/>
    <col min="2590" max="2591" width="7" style="67" bestFit="1" customWidth="1"/>
    <col min="2592" max="2592" width="49.140625" style="67" bestFit="1" customWidth="1"/>
    <col min="2593" max="2594" width="10.85546875" style="67" bestFit="1" customWidth="1"/>
    <col min="2595" max="2595" width="6" style="67" customWidth="1"/>
    <col min="2596" max="2596" width="4.7109375" style="67" customWidth="1"/>
    <col min="2597" max="2621" width="3.5703125" style="67" bestFit="1" customWidth="1"/>
    <col min="2622" max="2622" width="1" style="67" customWidth="1"/>
    <col min="2623" max="2647" width="3.5703125" style="67" bestFit="1" customWidth="1"/>
    <col min="2648" max="2648" width="1" style="67" customWidth="1"/>
    <col min="2649" max="2673" width="3.5703125" style="67" bestFit="1" customWidth="1"/>
    <col min="2674" max="2674" width="1.28515625" style="67" customWidth="1"/>
    <col min="2675" max="2699" width="8.7109375" style="67" bestFit="1" customWidth="1"/>
    <col min="2700" max="2700" width="2.140625" style="67" customWidth="1"/>
    <col min="2701" max="2725" width="8.7109375" style="67" bestFit="1" customWidth="1"/>
    <col min="2726" max="2845" width="9.140625" style="67"/>
    <col min="2846" max="2847" width="7" style="67" bestFit="1" customWidth="1"/>
    <col min="2848" max="2848" width="49.140625" style="67" bestFit="1" customWidth="1"/>
    <col min="2849" max="2850" width="10.85546875" style="67" bestFit="1" customWidth="1"/>
    <col min="2851" max="2851" width="6" style="67" customWidth="1"/>
    <col min="2852" max="2852" width="4.7109375" style="67" customWidth="1"/>
    <col min="2853" max="2877" width="3.5703125" style="67" bestFit="1" customWidth="1"/>
    <col min="2878" max="2878" width="1" style="67" customWidth="1"/>
    <col min="2879" max="2903" width="3.5703125" style="67" bestFit="1" customWidth="1"/>
    <col min="2904" max="2904" width="1" style="67" customWidth="1"/>
    <col min="2905" max="2929" width="3.5703125" style="67" bestFit="1" customWidth="1"/>
    <col min="2930" max="2930" width="1.28515625" style="67" customWidth="1"/>
    <col min="2931" max="2955" width="8.7109375" style="67" bestFit="1" customWidth="1"/>
    <col min="2956" max="2956" width="2.140625" style="67" customWidth="1"/>
    <col min="2957" max="2981" width="8.7109375" style="67" bestFit="1" customWidth="1"/>
    <col min="2982" max="3101" width="9.140625" style="67"/>
    <col min="3102" max="3103" width="7" style="67" bestFit="1" customWidth="1"/>
    <col min="3104" max="3104" width="49.140625" style="67" bestFit="1" customWidth="1"/>
    <col min="3105" max="3106" width="10.85546875" style="67" bestFit="1" customWidth="1"/>
    <col min="3107" max="3107" width="6" style="67" customWidth="1"/>
    <col min="3108" max="3108" width="4.7109375" style="67" customWidth="1"/>
    <col min="3109" max="3133" width="3.5703125" style="67" bestFit="1" customWidth="1"/>
    <col min="3134" max="3134" width="1" style="67" customWidth="1"/>
    <col min="3135" max="3159" width="3.5703125" style="67" bestFit="1" customWidth="1"/>
    <col min="3160" max="3160" width="1" style="67" customWidth="1"/>
    <col min="3161" max="3185" width="3.5703125" style="67" bestFit="1" customWidth="1"/>
    <col min="3186" max="3186" width="1.28515625" style="67" customWidth="1"/>
    <col min="3187" max="3211" width="8.7109375" style="67" bestFit="1" customWidth="1"/>
    <col min="3212" max="3212" width="2.140625" style="67" customWidth="1"/>
    <col min="3213" max="3237" width="8.7109375" style="67" bestFit="1" customWidth="1"/>
    <col min="3238" max="3357" width="9.140625" style="67"/>
    <col min="3358" max="3359" width="7" style="67" bestFit="1" customWidth="1"/>
    <col min="3360" max="3360" width="49.140625" style="67" bestFit="1" customWidth="1"/>
    <col min="3361" max="3362" width="10.85546875" style="67" bestFit="1" customWidth="1"/>
    <col min="3363" max="3363" width="6" style="67" customWidth="1"/>
    <col min="3364" max="3364" width="4.7109375" style="67" customWidth="1"/>
    <col min="3365" max="3389" width="3.5703125" style="67" bestFit="1" customWidth="1"/>
    <col min="3390" max="3390" width="1" style="67" customWidth="1"/>
    <col min="3391" max="3415" width="3.5703125" style="67" bestFit="1" customWidth="1"/>
    <col min="3416" max="3416" width="1" style="67" customWidth="1"/>
    <col min="3417" max="3441" width="3.5703125" style="67" bestFit="1" customWidth="1"/>
    <col min="3442" max="3442" width="1.28515625" style="67" customWidth="1"/>
    <col min="3443" max="3467" width="8.7109375" style="67" bestFit="1" customWidth="1"/>
    <col min="3468" max="3468" width="2.140625" style="67" customWidth="1"/>
    <col min="3469" max="3493" width="8.7109375" style="67" bestFit="1" customWidth="1"/>
    <col min="3494" max="3613" width="9.140625" style="67"/>
    <col min="3614" max="3615" width="7" style="67" bestFit="1" customWidth="1"/>
    <col min="3616" max="3616" width="49.140625" style="67" bestFit="1" customWidth="1"/>
    <col min="3617" max="3618" width="10.85546875" style="67" bestFit="1" customWidth="1"/>
    <col min="3619" max="3619" width="6" style="67" customWidth="1"/>
    <col min="3620" max="3620" width="4.7109375" style="67" customWidth="1"/>
    <col min="3621" max="3645" width="3.5703125" style="67" bestFit="1" customWidth="1"/>
    <col min="3646" max="3646" width="1" style="67" customWidth="1"/>
    <col min="3647" max="3671" width="3.5703125" style="67" bestFit="1" customWidth="1"/>
    <col min="3672" max="3672" width="1" style="67" customWidth="1"/>
    <col min="3673" max="3697" width="3.5703125" style="67" bestFit="1" customWidth="1"/>
    <col min="3698" max="3698" width="1.28515625" style="67" customWidth="1"/>
    <col min="3699" max="3723" width="8.7109375" style="67" bestFit="1" customWidth="1"/>
    <col min="3724" max="3724" width="2.140625" style="67" customWidth="1"/>
    <col min="3725" max="3749" width="8.7109375" style="67" bestFit="1" customWidth="1"/>
    <col min="3750" max="3869" width="9.140625" style="67"/>
    <col min="3870" max="3871" width="7" style="67" bestFit="1" customWidth="1"/>
    <col min="3872" max="3872" width="49.140625" style="67" bestFit="1" customWidth="1"/>
    <col min="3873" max="3874" width="10.85546875" style="67" bestFit="1" customWidth="1"/>
    <col min="3875" max="3875" width="6" style="67" customWidth="1"/>
    <col min="3876" max="3876" width="4.7109375" style="67" customWidth="1"/>
    <col min="3877" max="3901" width="3.5703125" style="67" bestFit="1" customWidth="1"/>
    <col min="3902" max="3902" width="1" style="67" customWidth="1"/>
    <col min="3903" max="3927" width="3.5703125" style="67" bestFit="1" customWidth="1"/>
    <col min="3928" max="3928" width="1" style="67" customWidth="1"/>
    <col min="3929" max="3953" width="3.5703125" style="67" bestFit="1" customWidth="1"/>
    <col min="3954" max="3954" width="1.28515625" style="67" customWidth="1"/>
    <col min="3955" max="3979" width="8.7109375" style="67" bestFit="1" customWidth="1"/>
    <col min="3980" max="3980" width="2.140625" style="67" customWidth="1"/>
    <col min="3981" max="4005" width="8.7109375" style="67" bestFit="1" customWidth="1"/>
    <col min="4006" max="4125" width="9.140625" style="67"/>
    <col min="4126" max="4127" width="7" style="67" bestFit="1" customWidth="1"/>
    <col min="4128" max="4128" width="49.140625" style="67" bestFit="1" customWidth="1"/>
    <col min="4129" max="4130" width="10.85546875" style="67" bestFit="1" customWidth="1"/>
    <col min="4131" max="4131" width="6" style="67" customWidth="1"/>
    <col min="4132" max="4132" width="4.7109375" style="67" customWidth="1"/>
    <col min="4133" max="4157" width="3.5703125" style="67" bestFit="1" customWidth="1"/>
    <col min="4158" max="4158" width="1" style="67" customWidth="1"/>
    <col min="4159" max="4183" width="3.5703125" style="67" bestFit="1" customWidth="1"/>
    <col min="4184" max="4184" width="1" style="67" customWidth="1"/>
    <col min="4185" max="4209" width="3.5703125" style="67" bestFit="1" customWidth="1"/>
    <col min="4210" max="4210" width="1.28515625" style="67" customWidth="1"/>
    <col min="4211" max="4235" width="8.7109375" style="67" bestFit="1" customWidth="1"/>
    <col min="4236" max="4236" width="2.140625" style="67" customWidth="1"/>
    <col min="4237" max="4261" width="8.7109375" style="67" bestFit="1" customWidth="1"/>
    <col min="4262" max="4381" width="9.140625" style="67"/>
    <col min="4382" max="4383" width="7" style="67" bestFit="1" customWidth="1"/>
    <col min="4384" max="4384" width="49.140625" style="67" bestFit="1" customWidth="1"/>
    <col min="4385" max="4386" width="10.85546875" style="67" bestFit="1" customWidth="1"/>
    <col min="4387" max="4387" width="6" style="67" customWidth="1"/>
    <col min="4388" max="4388" width="4.7109375" style="67" customWidth="1"/>
    <col min="4389" max="4413" width="3.5703125" style="67" bestFit="1" customWidth="1"/>
    <col min="4414" max="4414" width="1" style="67" customWidth="1"/>
    <col min="4415" max="4439" width="3.5703125" style="67" bestFit="1" customWidth="1"/>
    <col min="4440" max="4440" width="1" style="67" customWidth="1"/>
    <col min="4441" max="4465" width="3.5703125" style="67" bestFit="1" customWidth="1"/>
    <col min="4466" max="4466" width="1.28515625" style="67" customWidth="1"/>
    <col min="4467" max="4491" width="8.7109375" style="67" bestFit="1" customWidth="1"/>
    <col min="4492" max="4492" width="2.140625" style="67" customWidth="1"/>
    <col min="4493" max="4517" width="8.7109375" style="67" bestFit="1" customWidth="1"/>
    <col min="4518" max="4637" width="9.140625" style="67"/>
    <col min="4638" max="4639" width="7" style="67" bestFit="1" customWidth="1"/>
    <col min="4640" max="4640" width="49.140625" style="67" bestFit="1" customWidth="1"/>
    <col min="4641" max="4642" width="10.85546875" style="67" bestFit="1" customWidth="1"/>
    <col min="4643" max="4643" width="6" style="67" customWidth="1"/>
    <col min="4644" max="4644" width="4.7109375" style="67" customWidth="1"/>
    <col min="4645" max="4669" width="3.5703125" style="67" bestFit="1" customWidth="1"/>
    <col min="4670" max="4670" width="1" style="67" customWidth="1"/>
    <col min="4671" max="4695" width="3.5703125" style="67" bestFit="1" customWidth="1"/>
    <col min="4696" max="4696" width="1" style="67" customWidth="1"/>
    <col min="4697" max="4721" width="3.5703125" style="67" bestFit="1" customWidth="1"/>
    <col min="4722" max="4722" width="1.28515625" style="67" customWidth="1"/>
    <col min="4723" max="4747" width="8.7109375" style="67" bestFit="1" customWidth="1"/>
    <col min="4748" max="4748" width="2.140625" style="67" customWidth="1"/>
    <col min="4749" max="4773" width="8.7109375" style="67" bestFit="1" customWidth="1"/>
    <col min="4774" max="4893" width="9.140625" style="67"/>
    <col min="4894" max="4895" width="7" style="67" bestFit="1" customWidth="1"/>
    <col min="4896" max="4896" width="49.140625" style="67" bestFit="1" customWidth="1"/>
    <col min="4897" max="4898" width="10.85546875" style="67" bestFit="1" customWidth="1"/>
    <col min="4899" max="4899" width="6" style="67" customWidth="1"/>
    <col min="4900" max="4900" width="4.7109375" style="67" customWidth="1"/>
    <col min="4901" max="4925" width="3.5703125" style="67" bestFit="1" customWidth="1"/>
    <col min="4926" max="4926" width="1" style="67" customWidth="1"/>
    <col min="4927" max="4951" width="3.5703125" style="67" bestFit="1" customWidth="1"/>
    <col min="4952" max="4952" width="1" style="67" customWidth="1"/>
    <col min="4953" max="4977" width="3.5703125" style="67" bestFit="1" customWidth="1"/>
    <col min="4978" max="4978" width="1.28515625" style="67" customWidth="1"/>
    <col min="4979" max="5003" width="8.7109375" style="67" bestFit="1" customWidth="1"/>
    <col min="5004" max="5004" width="2.140625" style="67" customWidth="1"/>
    <col min="5005" max="5029" width="8.7109375" style="67" bestFit="1" customWidth="1"/>
    <col min="5030" max="5149" width="9.140625" style="67"/>
    <col min="5150" max="5151" width="7" style="67" bestFit="1" customWidth="1"/>
    <col min="5152" max="5152" width="49.140625" style="67" bestFit="1" customWidth="1"/>
    <col min="5153" max="5154" width="10.85546875" style="67" bestFit="1" customWidth="1"/>
    <col min="5155" max="5155" width="6" style="67" customWidth="1"/>
    <col min="5156" max="5156" width="4.7109375" style="67" customWidth="1"/>
    <col min="5157" max="5181" width="3.5703125" style="67" bestFit="1" customWidth="1"/>
    <col min="5182" max="5182" width="1" style="67" customWidth="1"/>
    <col min="5183" max="5207" width="3.5703125" style="67" bestFit="1" customWidth="1"/>
    <col min="5208" max="5208" width="1" style="67" customWidth="1"/>
    <col min="5209" max="5233" width="3.5703125" style="67" bestFit="1" customWidth="1"/>
    <col min="5234" max="5234" width="1.28515625" style="67" customWidth="1"/>
    <col min="5235" max="5259" width="8.7109375" style="67" bestFit="1" customWidth="1"/>
    <col min="5260" max="5260" width="2.140625" style="67" customWidth="1"/>
    <col min="5261" max="5285" width="8.7109375" style="67" bestFit="1" customWidth="1"/>
    <col min="5286" max="5405" width="9.140625" style="67"/>
    <col min="5406" max="5407" width="7" style="67" bestFit="1" customWidth="1"/>
    <col min="5408" max="5408" width="49.140625" style="67" bestFit="1" customWidth="1"/>
    <col min="5409" max="5410" width="10.85546875" style="67" bestFit="1" customWidth="1"/>
    <col min="5411" max="5411" width="6" style="67" customWidth="1"/>
    <col min="5412" max="5412" width="4.7109375" style="67" customWidth="1"/>
    <col min="5413" max="5437" width="3.5703125" style="67" bestFit="1" customWidth="1"/>
    <col min="5438" max="5438" width="1" style="67" customWidth="1"/>
    <col min="5439" max="5463" width="3.5703125" style="67" bestFit="1" customWidth="1"/>
    <col min="5464" max="5464" width="1" style="67" customWidth="1"/>
    <col min="5465" max="5489" width="3.5703125" style="67" bestFit="1" customWidth="1"/>
    <col min="5490" max="5490" width="1.28515625" style="67" customWidth="1"/>
    <col min="5491" max="5515" width="8.7109375" style="67" bestFit="1" customWidth="1"/>
    <col min="5516" max="5516" width="2.140625" style="67" customWidth="1"/>
    <col min="5517" max="5541" width="8.7109375" style="67" bestFit="1" customWidth="1"/>
    <col min="5542" max="5661" width="9.140625" style="67"/>
    <col min="5662" max="5663" width="7" style="67" bestFit="1" customWidth="1"/>
    <col min="5664" max="5664" width="49.140625" style="67" bestFit="1" customWidth="1"/>
    <col min="5665" max="5666" width="10.85546875" style="67" bestFit="1" customWidth="1"/>
    <col min="5667" max="5667" width="6" style="67" customWidth="1"/>
    <col min="5668" max="5668" width="4.7109375" style="67" customWidth="1"/>
    <col min="5669" max="5693" width="3.5703125" style="67" bestFit="1" customWidth="1"/>
    <col min="5694" max="5694" width="1" style="67" customWidth="1"/>
    <col min="5695" max="5719" width="3.5703125" style="67" bestFit="1" customWidth="1"/>
    <col min="5720" max="5720" width="1" style="67" customWidth="1"/>
    <col min="5721" max="5745" width="3.5703125" style="67" bestFit="1" customWidth="1"/>
    <col min="5746" max="5746" width="1.28515625" style="67" customWidth="1"/>
    <col min="5747" max="5771" width="8.7109375" style="67" bestFit="1" customWidth="1"/>
    <col min="5772" max="5772" width="2.140625" style="67" customWidth="1"/>
    <col min="5773" max="5797" width="8.7109375" style="67" bestFit="1" customWidth="1"/>
    <col min="5798" max="5917" width="9.140625" style="67"/>
    <col min="5918" max="5919" width="7" style="67" bestFit="1" customWidth="1"/>
    <col min="5920" max="5920" width="49.140625" style="67" bestFit="1" customWidth="1"/>
    <col min="5921" max="5922" width="10.85546875" style="67" bestFit="1" customWidth="1"/>
    <col min="5923" max="5923" width="6" style="67" customWidth="1"/>
    <col min="5924" max="5924" width="4.7109375" style="67" customWidth="1"/>
    <col min="5925" max="5949" width="3.5703125" style="67" bestFit="1" customWidth="1"/>
    <col min="5950" max="5950" width="1" style="67" customWidth="1"/>
    <col min="5951" max="5975" width="3.5703125" style="67" bestFit="1" customWidth="1"/>
    <col min="5976" max="5976" width="1" style="67" customWidth="1"/>
    <col min="5977" max="6001" width="3.5703125" style="67" bestFit="1" customWidth="1"/>
    <col min="6002" max="6002" width="1.28515625" style="67" customWidth="1"/>
    <col min="6003" max="6027" width="8.7109375" style="67" bestFit="1" customWidth="1"/>
    <col min="6028" max="6028" width="2.140625" style="67" customWidth="1"/>
    <col min="6029" max="6053" width="8.7109375" style="67" bestFit="1" customWidth="1"/>
    <col min="6054" max="6173" width="9.140625" style="67"/>
    <col min="6174" max="6175" width="7" style="67" bestFit="1" customWidth="1"/>
    <col min="6176" max="6176" width="49.140625" style="67" bestFit="1" customWidth="1"/>
    <col min="6177" max="6178" width="10.85546875" style="67" bestFit="1" customWidth="1"/>
    <col min="6179" max="6179" width="6" style="67" customWidth="1"/>
    <col min="6180" max="6180" width="4.7109375" style="67" customWidth="1"/>
    <col min="6181" max="6205" width="3.5703125" style="67" bestFit="1" customWidth="1"/>
    <col min="6206" max="6206" width="1" style="67" customWidth="1"/>
    <col min="6207" max="6231" width="3.5703125" style="67" bestFit="1" customWidth="1"/>
    <col min="6232" max="6232" width="1" style="67" customWidth="1"/>
    <col min="6233" max="6257" width="3.5703125" style="67" bestFit="1" customWidth="1"/>
    <col min="6258" max="6258" width="1.28515625" style="67" customWidth="1"/>
    <col min="6259" max="6283" width="8.7109375" style="67" bestFit="1" customWidth="1"/>
    <col min="6284" max="6284" width="2.140625" style="67" customWidth="1"/>
    <col min="6285" max="6309" width="8.7109375" style="67" bestFit="1" customWidth="1"/>
    <col min="6310" max="6429" width="9.140625" style="67"/>
    <col min="6430" max="6431" width="7" style="67" bestFit="1" customWidth="1"/>
    <col min="6432" max="6432" width="49.140625" style="67" bestFit="1" customWidth="1"/>
    <col min="6433" max="6434" width="10.85546875" style="67" bestFit="1" customWidth="1"/>
    <col min="6435" max="6435" width="6" style="67" customWidth="1"/>
    <col min="6436" max="6436" width="4.7109375" style="67" customWidth="1"/>
    <col min="6437" max="6461" width="3.5703125" style="67" bestFit="1" customWidth="1"/>
    <col min="6462" max="6462" width="1" style="67" customWidth="1"/>
    <col min="6463" max="6487" width="3.5703125" style="67" bestFit="1" customWidth="1"/>
    <col min="6488" max="6488" width="1" style="67" customWidth="1"/>
    <col min="6489" max="6513" width="3.5703125" style="67" bestFit="1" customWidth="1"/>
    <col min="6514" max="6514" width="1.28515625" style="67" customWidth="1"/>
    <col min="6515" max="6539" width="8.7109375" style="67" bestFit="1" customWidth="1"/>
    <col min="6540" max="6540" width="2.140625" style="67" customWidth="1"/>
    <col min="6541" max="6565" width="8.7109375" style="67" bestFit="1" customWidth="1"/>
    <col min="6566" max="6685" width="9.140625" style="67"/>
    <col min="6686" max="6687" width="7" style="67" bestFit="1" customWidth="1"/>
    <col min="6688" max="6688" width="49.140625" style="67" bestFit="1" customWidth="1"/>
    <col min="6689" max="6690" width="10.85546875" style="67" bestFit="1" customWidth="1"/>
    <col min="6691" max="6691" width="6" style="67" customWidth="1"/>
    <col min="6692" max="6692" width="4.7109375" style="67" customWidth="1"/>
    <col min="6693" max="6717" width="3.5703125" style="67" bestFit="1" customWidth="1"/>
    <col min="6718" max="6718" width="1" style="67" customWidth="1"/>
    <col min="6719" max="6743" width="3.5703125" style="67" bestFit="1" customWidth="1"/>
    <col min="6744" max="6744" width="1" style="67" customWidth="1"/>
    <col min="6745" max="6769" width="3.5703125" style="67" bestFit="1" customWidth="1"/>
    <col min="6770" max="6770" width="1.28515625" style="67" customWidth="1"/>
    <col min="6771" max="6795" width="8.7109375" style="67" bestFit="1" customWidth="1"/>
    <col min="6796" max="6796" width="2.140625" style="67" customWidth="1"/>
    <col min="6797" max="6821" width="8.7109375" style="67" bestFit="1" customWidth="1"/>
    <col min="6822" max="6941" width="9.140625" style="67"/>
    <col min="6942" max="6943" width="7" style="67" bestFit="1" customWidth="1"/>
    <col min="6944" max="6944" width="49.140625" style="67" bestFit="1" customWidth="1"/>
    <col min="6945" max="6946" width="10.85546875" style="67" bestFit="1" customWidth="1"/>
    <col min="6947" max="6947" width="6" style="67" customWidth="1"/>
    <col min="6948" max="6948" width="4.7109375" style="67" customWidth="1"/>
    <col min="6949" max="6973" width="3.5703125" style="67" bestFit="1" customWidth="1"/>
    <col min="6974" max="6974" width="1" style="67" customWidth="1"/>
    <col min="6975" max="6999" width="3.5703125" style="67" bestFit="1" customWidth="1"/>
    <col min="7000" max="7000" width="1" style="67" customWidth="1"/>
    <col min="7001" max="7025" width="3.5703125" style="67" bestFit="1" customWidth="1"/>
    <col min="7026" max="7026" width="1.28515625" style="67" customWidth="1"/>
    <col min="7027" max="7051" width="8.7109375" style="67" bestFit="1" customWidth="1"/>
    <col min="7052" max="7052" width="2.140625" style="67" customWidth="1"/>
    <col min="7053" max="7077" width="8.7109375" style="67" bestFit="1" customWidth="1"/>
    <col min="7078" max="7197" width="9.140625" style="67"/>
    <col min="7198" max="7199" width="7" style="67" bestFit="1" customWidth="1"/>
    <col min="7200" max="7200" width="49.140625" style="67" bestFit="1" customWidth="1"/>
    <col min="7201" max="7202" width="10.85546875" style="67" bestFit="1" customWidth="1"/>
    <col min="7203" max="7203" width="6" style="67" customWidth="1"/>
    <col min="7204" max="7204" width="4.7109375" style="67" customWidth="1"/>
    <col min="7205" max="7229" width="3.5703125" style="67" bestFit="1" customWidth="1"/>
    <col min="7230" max="7230" width="1" style="67" customWidth="1"/>
    <col min="7231" max="7255" width="3.5703125" style="67" bestFit="1" customWidth="1"/>
    <col min="7256" max="7256" width="1" style="67" customWidth="1"/>
    <col min="7257" max="7281" width="3.5703125" style="67" bestFit="1" customWidth="1"/>
    <col min="7282" max="7282" width="1.28515625" style="67" customWidth="1"/>
    <col min="7283" max="7307" width="8.7109375" style="67" bestFit="1" customWidth="1"/>
    <col min="7308" max="7308" width="2.140625" style="67" customWidth="1"/>
    <col min="7309" max="7333" width="8.7109375" style="67" bestFit="1" customWidth="1"/>
    <col min="7334" max="7453" width="9.140625" style="67"/>
    <col min="7454" max="7455" width="7" style="67" bestFit="1" customWidth="1"/>
    <col min="7456" max="7456" width="49.140625" style="67" bestFit="1" customWidth="1"/>
    <col min="7457" max="7458" width="10.85546875" style="67" bestFit="1" customWidth="1"/>
    <col min="7459" max="7459" width="6" style="67" customWidth="1"/>
    <col min="7460" max="7460" width="4.7109375" style="67" customWidth="1"/>
    <col min="7461" max="7485" width="3.5703125" style="67" bestFit="1" customWidth="1"/>
    <col min="7486" max="7486" width="1" style="67" customWidth="1"/>
    <col min="7487" max="7511" width="3.5703125" style="67" bestFit="1" customWidth="1"/>
    <col min="7512" max="7512" width="1" style="67" customWidth="1"/>
    <col min="7513" max="7537" width="3.5703125" style="67" bestFit="1" customWidth="1"/>
    <col min="7538" max="7538" width="1.28515625" style="67" customWidth="1"/>
    <col min="7539" max="7563" width="8.7109375" style="67" bestFit="1" customWidth="1"/>
    <col min="7564" max="7564" width="2.140625" style="67" customWidth="1"/>
    <col min="7565" max="7589" width="8.7109375" style="67" bestFit="1" customWidth="1"/>
    <col min="7590" max="7709" width="9.140625" style="67"/>
    <col min="7710" max="7711" width="7" style="67" bestFit="1" customWidth="1"/>
    <col min="7712" max="7712" width="49.140625" style="67" bestFit="1" customWidth="1"/>
    <col min="7713" max="7714" width="10.85546875" style="67" bestFit="1" customWidth="1"/>
    <col min="7715" max="7715" width="6" style="67" customWidth="1"/>
    <col min="7716" max="7716" width="4.7109375" style="67" customWidth="1"/>
    <col min="7717" max="7741" width="3.5703125" style="67" bestFit="1" customWidth="1"/>
    <col min="7742" max="7742" width="1" style="67" customWidth="1"/>
    <col min="7743" max="7767" width="3.5703125" style="67" bestFit="1" customWidth="1"/>
    <col min="7768" max="7768" width="1" style="67" customWidth="1"/>
    <col min="7769" max="7793" width="3.5703125" style="67" bestFit="1" customWidth="1"/>
    <col min="7794" max="7794" width="1.28515625" style="67" customWidth="1"/>
    <col min="7795" max="7819" width="8.7109375" style="67" bestFit="1" customWidth="1"/>
    <col min="7820" max="7820" width="2.140625" style="67" customWidth="1"/>
    <col min="7821" max="7845" width="8.7109375" style="67" bestFit="1" customWidth="1"/>
    <col min="7846" max="7965" width="9.140625" style="67"/>
    <col min="7966" max="7967" width="7" style="67" bestFit="1" customWidth="1"/>
    <col min="7968" max="7968" width="49.140625" style="67" bestFit="1" customWidth="1"/>
    <col min="7969" max="7970" width="10.85546875" style="67" bestFit="1" customWidth="1"/>
    <col min="7971" max="7971" width="6" style="67" customWidth="1"/>
    <col min="7972" max="7972" width="4.7109375" style="67" customWidth="1"/>
    <col min="7973" max="7997" width="3.5703125" style="67" bestFit="1" customWidth="1"/>
    <col min="7998" max="7998" width="1" style="67" customWidth="1"/>
    <col min="7999" max="8023" width="3.5703125" style="67" bestFit="1" customWidth="1"/>
    <col min="8024" max="8024" width="1" style="67" customWidth="1"/>
    <col min="8025" max="8049" width="3.5703125" style="67" bestFit="1" customWidth="1"/>
    <col min="8050" max="8050" width="1.28515625" style="67" customWidth="1"/>
    <col min="8051" max="8075" width="8.7109375" style="67" bestFit="1" customWidth="1"/>
    <col min="8076" max="8076" width="2.140625" style="67" customWidth="1"/>
    <col min="8077" max="8101" width="8.7109375" style="67" bestFit="1" customWidth="1"/>
    <col min="8102" max="8221" width="9.140625" style="67"/>
    <col min="8222" max="8223" width="7" style="67" bestFit="1" customWidth="1"/>
    <col min="8224" max="8224" width="49.140625" style="67" bestFit="1" customWidth="1"/>
    <col min="8225" max="8226" width="10.85546875" style="67" bestFit="1" customWidth="1"/>
    <col min="8227" max="8227" width="6" style="67" customWidth="1"/>
    <col min="8228" max="8228" width="4.7109375" style="67" customWidth="1"/>
    <col min="8229" max="8253" width="3.5703125" style="67" bestFit="1" customWidth="1"/>
    <col min="8254" max="8254" width="1" style="67" customWidth="1"/>
    <col min="8255" max="8279" width="3.5703125" style="67" bestFit="1" customWidth="1"/>
    <col min="8280" max="8280" width="1" style="67" customWidth="1"/>
    <col min="8281" max="8305" width="3.5703125" style="67" bestFit="1" customWidth="1"/>
    <col min="8306" max="8306" width="1.28515625" style="67" customWidth="1"/>
    <col min="8307" max="8331" width="8.7109375" style="67" bestFit="1" customWidth="1"/>
    <col min="8332" max="8332" width="2.140625" style="67" customWidth="1"/>
    <col min="8333" max="8357" width="8.7109375" style="67" bestFit="1" customWidth="1"/>
    <col min="8358" max="8477" width="9.140625" style="67"/>
    <col min="8478" max="8479" width="7" style="67" bestFit="1" customWidth="1"/>
    <col min="8480" max="8480" width="49.140625" style="67" bestFit="1" customWidth="1"/>
    <col min="8481" max="8482" width="10.85546875" style="67" bestFit="1" customWidth="1"/>
    <col min="8483" max="8483" width="6" style="67" customWidth="1"/>
    <col min="8484" max="8484" width="4.7109375" style="67" customWidth="1"/>
    <col min="8485" max="8509" width="3.5703125" style="67" bestFit="1" customWidth="1"/>
    <col min="8510" max="8510" width="1" style="67" customWidth="1"/>
    <col min="8511" max="8535" width="3.5703125" style="67" bestFit="1" customWidth="1"/>
    <col min="8536" max="8536" width="1" style="67" customWidth="1"/>
    <col min="8537" max="8561" width="3.5703125" style="67" bestFit="1" customWidth="1"/>
    <col min="8562" max="8562" width="1.28515625" style="67" customWidth="1"/>
    <col min="8563" max="8587" width="8.7109375" style="67" bestFit="1" customWidth="1"/>
    <col min="8588" max="8588" width="2.140625" style="67" customWidth="1"/>
    <col min="8589" max="8613" width="8.7109375" style="67" bestFit="1" customWidth="1"/>
    <col min="8614" max="8733" width="9.140625" style="67"/>
    <col min="8734" max="8735" width="7" style="67" bestFit="1" customWidth="1"/>
    <col min="8736" max="8736" width="49.140625" style="67" bestFit="1" customWidth="1"/>
    <col min="8737" max="8738" width="10.85546875" style="67" bestFit="1" customWidth="1"/>
    <col min="8739" max="8739" width="6" style="67" customWidth="1"/>
    <col min="8740" max="8740" width="4.7109375" style="67" customWidth="1"/>
    <col min="8741" max="8765" width="3.5703125" style="67" bestFit="1" customWidth="1"/>
    <col min="8766" max="8766" width="1" style="67" customWidth="1"/>
    <col min="8767" max="8791" width="3.5703125" style="67" bestFit="1" customWidth="1"/>
    <col min="8792" max="8792" width="1" style="67" customWidth="1"/>
    <col min="8793" max="8817" width="3.5703125" style="67" bestFit="1" customWidth="1"/>
    <col min="8818" max="8818" width="1.28515625" style="67" customWidth="1"/>
    <col min="8819" max="8843" width="8.7109375" style="67" bestFit="1" customWidth="1"/>
    <col min="8844" max="8844" width="2.140625" style="67" customWidth="1"/>
    <col min="8845" max="8869" width="8.7109375" style="67" bestFit="1" customWidth="1"/>
    <col min="8870" max="8989" width="9.140625" style="67"/>
    <col min="8990" max="8991" width="7" style="67" bestFit="1" customWidth="1"/>
    <col min="8992" max="8992" width="49.140625" style="67" bestFit="1" customWidth="1"/>
    <col min="8993" max="8994" width="10.85546875" style="67" bestFit="1" customWidth="1"/>
    <col min="8995" max="8995" width="6" style="67" customWidth="1"/>
    <col min="8996" max="8996" width="4.7109375" style="67" customWidth="1"/>
    <col min="8997" max="9021" width="3.5703125" style="67" bestFit="1" customWidth="1"/>
    <col min="9022" max="9022" width="1" style="67" customWidth="1"/>
    <col min="9023" max="9047" width="3.5703125" style="67" bestFit="1" customWidth="1"/>
    <col min="9048" max="9048" width="1" style="67" customWidth="1"/>
    <col min="9049" max="9073" width="3.5703125" style="67" bestFit="1" customWidth="1"/>
    <col min="9074" max="9074" width="1.28515625" style="67" customWidth="1"/>
    <col min="9075" max="9099" width="8.7109375" style="67" bestFit="1" customWidth="1"/>
    <col min="9100" max="9100" width="2.140625" style="67" customWidth="1"/>
    <col min="9101" max="9125" width="8.7109375" style="67" bestFit="1" customWidth="1"/>
    <col min="9126" max="9245" width="9.140625" style="67"/>
    <col min="9246" max="9247" width="7" style="67" bestFit="1" customWidth="1"/>
    <col min="9248" max="9248" width="49.140625" style="67" bestFit="1" customWidth="1"/>
    <col min="9249" max="9250" width="10.85546875" style="67" bestFit="1" customWidth="1"/>
    <col min="9251" max="9251" width="6" style="67" customWidth="1"/>
    <col min="9252" max="9252" width="4.7109375" style="67" customWidth="1"/>
    <col min="9253" max="9277" width="3.5703125" style="67" bestFit="1" customWidth="1"/>
    <col min="9278" max="9278" width="1" style="67" customWidth="1"/>
    <col min="9279" max="9303" width="3.5703125" style="67" bestFit="1" customWidth="1"/>
    <col min="9304" max="9304" width="1" style="67" customWidth="1"/>
    <col min="9305" max="9329" width="3.5703125" style="67" bestFit="1" customWidth="1"/>
    <col min="9330" max="9330" width="1.28515625" style="67" customWidth="1"/>
    <col min="9331" max="9355" width="8.7109375" style="67" bestFit="1" customWidth="1"/>
    <col min="9356" max="9356" width="2.140625" style="67" customWidth="1"/>
    <col min="9357" max="9381" width="8.7109375" style="67" bestFit="1" customWidth="1"/>
    <col min="9382" max="9501" width="9.140625" style="67"/>
    <col min="9502" max="9503" width="7" style="67" bestFit="1" customWidth="1"/>
    <col min="9504" max="9504" width="49.140625" style="67" bestFit="1" customWidth="1"/>
    <col min="9505" max="9506" width="10.85546875" style="67" bestFit="1" customWidth="1"/>
    <col min="9507" max="9507" width="6" style="67" customWidth="1"/>
    <col min="9508" max="9508" width="4.7109375" style="67" customWidth="1"/>
    <col min="9509" max="9533" width="3.5703125" style="67" bestFit="1" customWidth="1"/>
    <col min="9534" max="9534" width="1" style="67" customWidth="1"/>
    <col min="9535" max="9559" width="3.5703125" style="67" bestFit="1" customWidth="1"/>
    <col min="9560" max="9560" width="1" style="67" customWidth="1"/>
    <col min="9561" max="9585" width="3.5703125" style="67" bestFit="1" customWidth="1"/>
    <col min="9586" max="9586" width="1.28515625" style="67" customWidth="1"/>
    <col min="9587" max="9611" width="8.7109375" style="67" bestFit="1" customWidth="1"/>
    <col min="9612" max="9612" width="2.140625" style="67" customWidth="1"/>
    <col min="9613" max="9637" width="8.7109375" style="67" bestFit="1" customWidth="1"/>
    <col min="9638" max="9757" width="9.140625" style="67"/>
    <col min="9758" max="9759" width="7" style="67" bestFit="1" customWidth="1"/>
    <col min="9760" max="9760" width="49.140625" style="67" bestFit="1" customWidth="1"/>
    <col min="9761" max="9762" width="10.85546875" style="67" bestFit="1" customWidth="1"/>
    <col min="9763" max="9763" width="6" style="67" customWidth="1"/>
    <col min="9764" max="9764" width="4.7109375" style="67" customWidth="1"/>
    <col min="9765" max="9789" width="3.5703125" style="67" bestFit="1" customWidth="1"/>
    <col min="9790" max="9790" width="1" style="67" customWidth="1"/>
    <col min="9791" max="9815" width="3.5703125" style="67" bestFit="1" customWidth="1"/>
    <col min="9816" max="9816" width="1" style="67" customWidth="1"/>
    <col min="9817" max="9841" width="3.5703125" style="67" bestFit="1" customWidth="1"/>
    <col min="9842" max="9842" width="1.28515625" style="67" customWidth="1"/>
    <col min="9843" max="9867" width="8.7109375" style="67" bestFit="1" customWidth="1"/>
    <col min="9868" max="9868" width="2.140625" style="67" customWidth="1"/>
    <col min="9869" max="9893" width="8.7109375" style="67" bestFit="1" customWidth="1"/>
    <col min="9894" max="10013" width="9.140625" style="67"/>
    <col min="10014" max="10015" width="7" style="67" bestFit="1" customWidth="1"/>
    <col min="10016" max="10016" width="49.140625" style="67" bestFit="1" customWidth="1"/>
    <col min="10017" max="10018" width="10.85546875" style="67" bestFit="1" customWidth="1"/>
    <col min="10019" max="10019" width="6" style="67" customWidth="1"/>
    <col min="10020" max="10020" width="4.7109375" style="67" customWidth="1"/>
    <col min="10021" max="10045" width="3.5703125" style="67" bestFit="1" customWidth="1"/>
    <col min="10046" max="10046" width="1" style="67" customWidth="1"/>
    <col min="10047" max="10071" width="3.5703125" style="67" bestFit="1" customWidth="1"/>
    <col min="10072" max="10072" width="1" style="67" customWidth="1"/>
    <col min="10073" max="10097" width="3.5703125" style="67" bestFit="1" customWidth="1"/>
    <col min="10098" max="10098" width="1.28515625" style="67" customWidth="1"/>
    <col min="10099" max="10123" width="8.7109375" style="67" bestFit="1" customWidth="1"/>
    <col min="10124" max="10124" width="2.140625" style="67" customWidth="1"/>
    <col min="10125" max="10149" width="8.7109375" style="67" bestFit="1" customWidth="1"/>
    <col min="10150" max="10269" width="9.140625" style="67"/>
    <col min="10270" max="10271" width="7" style="67" bestFit="1" customWidth="1"/>
    <col min="10272" max="10272" width="49.140625" style="67" bestFit="1" customWidth="1"/>
    <col min="10273" max="10274" width="10.85546875" style="67" bestFit="1" customWidth="1"/>
    <col min="10275" max="10275" width="6" style="67" customWidth="1"/>
    <col min="10276" max="10276" width="4.7109375" style="67" customWidth="1"/>
    <col min="10277" max="10301" width="3.5703125" style="67" bestFit="1" customWidth="1"/>
    <col min="10302" max="10302" width="1" style="67" customWidth="1"/>
    <col min="10303" max="10327" width="3.5703125" style="67" bestFit="1" customWidth="1"/>
    <col min="10328" max="10328" width="1" style="67" customWidth="1"/>
    <col min="10329" max="10353" width="3.5703125" style="67" bestFit="1" customWidth="1"/>
    <col min="10354" max="10354" width="1.28515625" style="67" customWidth="1"/>
    <col min="10355" max="10379" width="8.7109375" style="67" bestFit="1" customWidth="1"/>
    <col min="10380" max="10380" width="2.140625" style="67" customWidth="1"/>
    <col min="10381" max="10405" width="8.7109375" style="67" bestFit="1" customWidth="1"/>
    <col min="10406" max="10525" width="9.140625" style="67"/>
    <col min="10526" max="10527" width="7" style="67" bestFit="1" customWidth="1"/>
    <col min="10528" max="10528" width="49.140625" style="67" bestFit="1" customWidth="1"/>
    <col min="10529" max="10530" width="10.85546875" style="67" bestFit="1" customWidth="1"/>
    <col min="10531" max="10531" width="6" style="67" customWidth="1"/>
    <col min="10532" max="10532" width="4.7109375" style="67" customWidth="1"/>
    <col min="10533" max="10557" width="3.5703125" style="67" bestFit="1" customWidth="1"/>
    <col min="10558" max="10558" width="1" style="67" customWidth="1"/>
    <col min="10559" max="10583" width="3.5703125" style="67" bestFit="1" customWidth="1"/>
    <col min="10584" max="10584" width="1" style="67" customWidth="1"/>
    <col min="10585" max="10609" width="3.5703125" style="67" bestFit="1" customWidth="1"/>
    <col min="10610" max="10610" width="1.28515625" style="67" customWidth="1"/>
    <col min="10611" max="10635" width="8.7109375" style="67" bestFit="1" customWidth="1"/>
    <col min="10636" max="10636" width="2.140625" style="67" customWidth="1"/>
    <col min="10637" max="10661" width="8.7109375" style="67" bestFit="1" customWidth="1"/>
    <col min="10662" max="10781" width="9.140625" style="67"/>
    <col min="10782" max="10783" width="7" style="67" bestFit="1" customWidth="1"/>
    <col min="10784" max="10784" width="49.140625" style="67" bestFit="1" customWidth="1"/>
    <col min="10785" max="10786" width="10.85546875" style="67" bestFit="1" customWidth="1"/>
    <col min="10787" max="10787" width="6" style="67" customWidth="1"/>
    <col min="10788" max="10788" width="4.7109375" style="67" customWidth="1"/>
    <col min="10789" max="10813" width="3.5703125" style="67" bestFit="1" customWidth="1"/>
    <col min="10814" max="10814" width="1" style="67" customWidth="1"/>
    <col min="10815" max="10839" width="3.5703125" style="67" bestFit="1" customWidth="1"/>
    <col min="10840" max="10840" width="1" style="67" customWidth="1"/>
    <col min="10841" max="10865" width="3.5703125" style="67" bestFit="1" customWidth="1"/>
    <col min="10866" max="10866" width="1.28515625" style="67" customWidth="1"/>
    <col min="10867" max="10891" width="8.7109375" style="67" bestFit="1" customWidth="1"/>
    <col min="10892" max="10892" width="2.140625" style="67" customWidth="1"/>
    <col min="10893" max="10917" width="8.7109375" style="67" bestFit="1" customWidth="1"/>
    <col min="10918" max="11037" width="9.140625" style="67"/>
    <col min="11038" max="11039" width="7" style="67" bestFit="1" customWidth="1"/>
    <col min="11040" max="11040" width="49.140625" style="67" bestFit="1" customWidth="1"/>
    <col min="11041" max="11042" width="10.85546875" style="67" bestFit="1" customWidth="1"/>
    <col min="11043" max="11043" width="6" style="67" customWidth="1"/>
    <col min="11044" max="11044" width="4.7109375" style="67" customWidth="1"/>
    <col min="11045" max="11069" width="3.5703125" style="67" bestFit="1" customWidth="1"/>
    <col min="11070" max="11070" width="1" style="67" customWidth="1"/>
    <col min="11071" max="11095" width="3.5703125" style="67" bestFit="1" customWidth="1"/>
    <col min="11096" max="11096" width="1" style="67" customWidth="1"/>
    <col min="11097" max="11121" width="3.5703125" style="67" bestFit="1" customWidth="1"/>
    <col min="11122" max="11122" width="1.28515625" style="67" customWidth="1"/>
    <col min="11123" max="11147" width="8.7109375" style="67" bestFit="1" customWidth="1"/>
    <col min="11148" max="11148" width="2.140625" style="67" customWidth="1"/>
    <col min="11149" max="11173" width="8.7109375" style="67" bestFit="1" customWidth="1"/>
    <col min="11174" max="11293" width="9.140625" style="67"/>
    <col min="11294" max="11295" width="7" style="67" bestFit="1" customWidth="1"/>
    <col min="11296" max="11296" width="49.140625" style="67" bestFit="1" customWidth="1"/>
    <col min="11297" max="11298" width="10.85546875" style="67" bestFit="1" customWidth="1"/>
    <col min="11299" max="11299" width="6" style="67" customWidth="1"/>
    <col min="11300" max="11300" width="4.7109375" style="67" customWidth="1"/>
    <col min="11301" max="11325" width="3.5703125" style="67" bestFit="1" customWidth="1"/>
    <col min="11326" max="11326" width="1" style="67" customWidth="1"/>
    <col min="11327" max="11351" width="3.5703125" style="67" bestFit="1" customWidth="1"/>
    <col min="11352" max="11352" width="1" style="67" customWidth="1"/>
    <col min="11353" max="11377" width="3.5703125" style="67" bestFit="1" customWidth="1"/>
    <col min="11378" max="11378" width="1.28515625" style="67" customWidth="1"/>
    <col min="11379" max="11403" width="8.7109375" style="67" bestFit="1" customWidth="1"/>
    <col min="11404" max="11404" width="2.140625" style="67" customWidth="1"/>
    <col min="11405" max="11429" width="8.7109375" style="67" bestFit="1" customWidth="1"/>
    <col min="11430" max="11549" width="9.140625" style="67"/>
    <col min="11550" max="11551" width="7" style="67" bestFit="1" customWidth="1"/>
    <col min="11552" max="11552" width="49.140625" style="67" bestFit="1" customWidth="1"/>
    <col min="11553" max="11554" width="10.85546875" style="67" bestFit="1" customWidth="1"/>
    <col min="11555" max="11555" width="6" style="67" customWidth="1"/>
    <col min="11556" max="11556" width="4.7109375" style="67" customWidth="1"/>
    <col min="11557" max="11581" width="3.5703125" style="67" bestFit="1" customWidth="1"/>
    <col min="11582" max="11582" width="1" style="67" customWidth="1"/>
    <col min="11583" max="11607" width="3.5703125" style="67" bestFit="1" customWidth="1"/>
    <col min="11608" max="11608" width="1" style="67" customWidth="1"/>
    <col min="11609" max="11633" width="3.5703125" style="67" bestFit="1" customWidth="1"/>
    <col min="11634" max="11634" width="1.28515625" style="67" customWidth="1"/>
    <col min="11635" max="11659" width="8.7109375" style="67" bestFit="1" customWidth="1"/>
    <col min="11660" max="11660" width="2.140625" style="67" customWidth="1"/>
    <col min="11661" max="11685" width="8.7109375" style="67" bestFit="1" customWidth="1"/>
    <col min="11686" max="11805" width="9.140625" style="67"/>
    <col min="11806" max="11807" width="7" style="67" bestFit="1" customWidth="1"/>
    <col min="11808" max="11808" width="49.140625" style="67" bestFit="1" customWidth="1"/>
    <col min="11809" max="11810" width="10.85546875" style="67" bestFit="1" customWidth="1"/>
    <col min="11811" max="11811" width="6" style="67" customWidth="1"/>
    <col min="11812" max="11812" width="4.7109375" style="67" customWidth="1"/>
    <col min="11813" max="11837" width="3.5703125" style="67" bestFit="1" customWidth="1"/>
    <col min="11838" max="11838" width="1" style="67" customWidth="1"/>
    <col min="11839" max="11863" width="3.5703125" style="67" bestFit="1" customWidth="1"/>
    <col min="11864" max="11864" width="1" style="67" customWidth="1"/>
    <col min="11865" max="11889" width="3.5703125" style="67" bestFit="1" customWidth="1"/>
    <col min="11890" max="11890" width="1.28515625" style="67" customWidth="1"/>
    <col min="11891" max="11915" width="8.7109375" style="67" bestFit="1" customWidth="1"/>
    <col min="11916" max="11916" width="2.140625" style="67" customWidth="1"/>
    <col min="11917" max="11941" width="8.7109375" style="67" bestFit="1" customWidth="1"/>
    <col min="11942" max="12061" width="9.140625" style="67"/>
    <col min="12062" max="12063" width="7" style="67" bestFit="1" customWidth="1"/>
    <col min="12064" max="12064" width="49.140625" style="67" bestFit="1" customWidth="1"/>
    <col min="12065" max="12066" width="10.85546875" style="67" bestFit="1" customWidth="1"/>
    <col min="12067" max="12067" width="6" style="67" customWidth="1"/>
    <col min="12068" max="12068" width="4.7109375" style="67" customWidth="1"/>
    <col min="12069" max="12093" width="3.5703125" style="67" bestFit="1" customWidth="1"/>
    <col min="12094" max="12094" width="1" style="67" customWidth="1"/>
    <col min="12095" max="12119" width="3.5703125" style="67" bestFit="1" customWidth="1"/>
    <col min="12120" max="12120" width="1" style="67" customWidth="1"/>
    <col min="12121" max="12145" width="3.5703125" style="67" bestFit="1" customWidth="1"/>
    <col min="12146" max="12146" width="1.28515625" style="67" customWidth="1"/>
    <col min="12147" max="12171" width="8.7109375" style="67" bestFit="1" customWidth="1"/>
    <col min="12172" max="12172" width="2.140625" style="67" customWidth="1"/>
    <col min="12173" max="12197" width="8.7109375" style="67" bestFit="1" customWidth="1"/>
    <col min="12198" max="12317" width="9.140625" style="67"/>
    <col min="12318" max="12319" width="7" style="67" bestFit="1" customWidth="1"/>
    <col min="12320" max="12320" width="49.140625" style="67" bestFit="1" customWidth="1"/>
    <col min="12321" max="12322" width="10.85546875" style="67" bestFit="1" customWidth="1"/>
    <col min="12323" max="12323" width="6" style="67" customWidth="1"/>
    <col min="12324" max="12324" width="4.7109375" style="67" customWidth="1"/>
    <col min="12325" max="12349" width="3.5703125" style="67" bestFit="1" customWidth="1"/>
    <col min="12350" max="12350" width="1" style="67" customWidth="1"/>
    <col min="12351" max="12375" width="3.5703125" style="67" bestFit="1" customWidth="1"/>
    <col min="12376" max="12376" width="1" style="67" customWidth="1"/>
    <col min="12377" max="12401" width="3.5703125" style="67" bestFit="1" customWidth="1"/>
    <col min="12402" max="12402" width="1.28515625" style="67" customWidth="1"/>
    <col min="12403" max="12427" width="8.7109375" style="67" bestFit="1" customWidth="1"/>
    <col min="12428" max="12428" width="2.140625" style="67" customWidth="1"/>
    <col min="12429" max="12453" width="8.7109375" style="67" bestFit="1" customWidth="1"/>
    <col min="12454" max="12573" width="9.140625" style="67"/>
    <col min="12574" max="12575" width="7" style="67" bestFit="1" customWidth="1"/>
    <col min="12576" max="12576" width="49.140625" style="67" bestFit="1" customWidth="1"/>
    <col min="12577" max="12578" width="10.85546875" style="67" bestFit="1" customWidth="1"/>
    <col min="12579" max="12579" width="6" style="67" customWidth="1"/>
    <col min="12580" max="12580" width="4.7109375" style="67" customWidth="1"/>
    <col min="12581" max="12605" width="3.5703125" style="67" bestFit="1" customWidth="1"/>
    <col min="12606" max="12606" width="1" style="67" customWidth="1"/>
    <col min="12607" max="12631" width="3.5703125" style="67" bestFit="1" customWidth="1"/>
    <col min="12632" max="12632" width="1" style="67" customWidth="1"/>
    <col min="12633" max="12657" width="3.5703125" style="67" bestFit="1" customWidth="1"/>
    <col min="12658" max="12658" width="1.28515625" style="67" customWidth="1"/>
    <col min="12659" max="12683" width="8.7109375" style="67" bestFit="1" customWidth="1"/>
    <col min="12684" max="12684" width="2.140625" style="67" customWidth="1"/>
    <col min="12685" max="12709" width="8.7109375" style="67" bestFit="1" customWidth="1"/>
    <col min="12710" max="12829" width="9.140625" style="67"/>
    <col min="12830" max="12831" width="7" style="67" bestFit="1" customWidth="1"/>
    <col min="12832" max="12832" width="49.140625" style="67" bestFit="1" customWidth="1"/>
    <col min="12833" max="12834" width="10.85546875" style="67" bestFit="1" customWidth="1"/>
    <col min="12835" max="12835" width="6" style="67" customWidth="1"/>
    <col min="12836" max="12836" width="4.7109375" style="67" customWidth="1"/>
    <col min="12837" max="12861" width="3.5703125" style="67" bestFit="1" customWidth="1"/>
    <col min="12862" max="12862" width="1" style="67" customWidth="1"/>
    <col min="12863" max="12887" width="3.5703125" style="67" bestFit="1" customWidth="1"/>
    <col min="12888" max="12888" width="1" style="67" customWidth="1"/>
    <col min="12889" max="12913" width="3.5703125" style="67" bestFit="1" customWidth="1"/>
    <col min="12914" max="12914" width="1.28515625" style="67" customWidth="1"/>
    <col min="12915" max="12939" width="8.7109375" style="67" bestFit="1" customWidth="1"/>
    <col min="12940" max="12940" width="2.140625" style="67" customWidth="1"/>
    <col min="12941" max="12965" width="8.7109375" style="67" bestFit="1" customWidth="1"/>
    <col min="12966" max="13085" width="9.140625" style="67"/>
    <col min="13086" max="13087" width="7" style="67" bestFit="1" customWidth="1"/>
    <col min="13088" max="13088" width="49.140625" style="67" bestFit="1" customWidth="1"/>
    <col min="13089" max="13090" width="10.85546875" style="67" bestFit="1" customWidth="1"/>
    <col min="13091" max="13091" width="6" style="67" customWidth="1"/>
    <col min="13092" max="13092" width="4.7109375" style="67" customWidth="1"/>
    <col min="13093" max="13117" width="3.5703125" style="67" bestFit="1" customWidth="1"/>
    <col min="13118" max="13118" width="1" style="67" customWidth="1"/>
    <col min="13119" max="13143" width="3.5703125" style="67" bestFit="1" customWidth="1"/>
    <col min="13144" max="13144" width="1" style="67" customWidth="1"/>
    <col min="13145" max="13169" width="3.5703125" style="67" bestFit="1" customWidth="1"/>
    <col min="13170" max="13170" width="1.28515625" style="67" customWidth="1"/>
    <col min="13171" max="13195" width="8.7109375" style="67" bestFit="1" customWidth="1"/>
    <col min="13196" max="13196" width="2.140625" style="67" customWidth="1"/>
    <col min="13197" max="13221" width="8.7109375" style="67" bestFit="1" customWidth="1"/>
    <col min="13222" max="13341" width="9.140625" style="67"/>
    <col min="13342" max="13343" width="7" style="67" bestFit="1" customWidth="1"/>
    <col min="13344" max="13344" width="49.140625" style="67" bestFit="1" customWidth="1"/>
    <col min="13345" max="13346" width="10.85546875" style="67" bestFit="1" customWidth="1"/>
    <col min="13347" max="13347" width="6" style="67" customWidth="1"/>
    <col min="13348" max="13348" width="4.7109375" style="67" customWidth="1"/>
    <col min="13349" max="13373" width="3.5703125" style="67" bestFit="1" customWidth="1"/>
    <col min="13374" max="13374" width="1" style="67" customWidth="1"/>
    <col min="13375" max="13399" width="3.5703125" style="67" bestFit="1" customWidth="1"/>
    <col min="13400" max="13400" width="1" style="67" customWidth="1"/>
    <col min="13401" max="13425" width="3.5703125" style="67" bestFit="1" customWidth="1"/>
    <col min="13426" max="13426" width="1.28515625" style="67" customWidth="1"/>
    <col min="13427" max="13451" width="8.7109375" style="67" bestFit="1" customWidth="1"/>
    <col min="13452" max="13452" width="2.140625" style="67" customWidth="1"/>
    <col min="13453" max="13477" width="8.7109375" style="67" bestFit="1" customWidth="1"/>
    <col min="13478" max="13597" width="9.140625" style="67"/>
    <col min="13598" max="13599" width="7" style="67" bestFit="1" customWidth="1"/>
    <col min="13600" max="13600" width="49.140625" style="67" bestFit="1" customWidth="1"/>
    <col min="13601" max="13602" width="10.85546875" style="67" bestFit="1" customWidth="1"/>
    <col min="13603" max="13603" width="6" style="67" customWidth="1"/>
    <col min="13604" max="13604" width="4.7109375" style="67" customWidth="1"/>
    <col min="13605" max="13629" width="3.5703125" style="67" bestFit="1" customWidth="1"/>
    <col min="13630" max="13630" width="1" style="67" customWidth="1"/>
    <col min="13631" max="13655" width="3.5703125" style="67" bestFit="1" customWidth="1"/>
    <col min="13656" max="13656" width="1" style="67" customWidth="1"/>
    <col min="13657" max="13681" width="3.5703125" style="67" bestFit="1" customWidth="1"/>
    <col min="13682" max="13682" width="1.28515625" style="67" customWidth="1"/>
    <col min="13683" max="13707" width="8.7109375" style="67" bestFit="1" customWidth="1"/>
    <col min="13708" max="13708" width="2.140625" style="67" customWidth="1"/>
    <col min="13709" max="13733" width="8.7109375" style="67" bestFit="1" customWidth="1"/>
    <col min="13734" max="13853" width="9.140625" style="67"/>
    <col min="13854" max="13855" width="7" style="67" bestFit="1" customWidth="1"/>
    <col min="13856" max="13856" width="49.140625" style="67" bestFit="1" customWidth="1"/>
    <col min="13857" max="13858" width="10.85546875" style="67" bestFit="1" customWidth="1"/>
    <col min="13859" max="13859" width="6" style="67" customWidth="1"/>
    <col min="13860" max="13860" width="4.7109375" style="67" customWidth="1"/>
    <col min="13861" max="13885" width="3.5703125" style="67" bestFit="1" customWidth="1"/>
    <col min="13886" max="13886" width="1" style="67" customWidth="1"/>
    <col min="13887" max="13911" width="3.5703125" style="67" bestFit="1" customWidth="1"/>
    <col min="13912" max="13912" width="1" style="67" customWidth="1"/>
    <col min="13913" max="13937" width="3.5703125" style="67" bestFit="1" customWidth="1"/>
    <col min="13938" max="13938" width="1.28515625" style="67" customWidth="1"/>
    <col min="13939" max="13963" width="8.7109375" style="67" bestFit="1" customWidth="1"/>
    <col min="13964" max="13964" width="2.140625" style="67" customWidth="1"/>
    <col min="13965" max="13989" width="8.7109375" style="67" bestFit="1" customWidth="1"/>
    <col min="13990" max="14109" width="9.140625" style="67"/>
    <col min="14110" max="14111" width="7" style="67" bestFit="1" customWidth="1"/>
    <col min="14112" max="14112" width="49.140625" style="67" bestFit="1" customWidth="1"/>
    <col min="14113" max="14114" width="10.85546875" style="67" bestFit="1" customWidth="1"/>
    <col min="14115" max="14115" width="6" style="67" customWidth="1"/>
    <col min="14116" max="14116" width="4.7109375" style="67" customWidth="1"/>
    <col min="14117" max="14141" width="3.5703125" style="67" bestFit="1" customWidth="1"/>
    <col min="14142" max="14142" width="1" style="67" customWidth="1"/>
    <col min="14143" max="14167" width="3.5703125" style="67" bestFit="1" customWidth="1"/>
    <col min="14168" max="14168" width="1" style="67" customWidth="1"/>
    <col min="14169" max="14193" width="3.5703125" style="67" bestFit="1" customWidth="1"/>
    <col min="14194" max="14194" width="1.28515625" style="67" customWidth="1"/>
    <col min="14195" max="14219" width="8.7109375" style="67" bestFit="1" customWidth="1"/>
    <col min="14220" max="14220" width="2.140625" style="67" customWidth="1"/>
    <col min="14221" max="14245" width="8.7109375" style="67" bestFit="1" customWidth="1"/>
    <col min="14246" max="14365" width="9.140625" style="67"/>
    <col min="14366" max="14367" width="7" style="67" bestFit="1" customWidth="1"/>
    <col min="14368" max="14368" width="49.140625" style="67" bestFit="1" customWidth="1"/>
    <col min="14369" max="14370" width="10.85546875" style="67" bestFit="1" customWidth="1"/>
    <col min="14371" max="14371" width="6" style="67" customWidth="1"/>
    <col min="14372" max="14372" width="4.7109375" style="67" customWidth="1"/>
    <col min="14373" max="14397" width="3.5703125" style="67" bestFit="1" customWidth="1"/>
    <col min="14398" max="14398" width="1" style="67" customWidth="1"/>
    <col min="14399" max="14423" width="3.5703125" style="67" bestFit="1" customWidth="1"/>
    <col min="14424" max="14424" width="1" style="67" customWidth="1"/>
    <col min="14425" max="14449" width="3.5703125" style="67" bestFit="1" customWidth="1"/>
    <col min="14450" max="14450" width="1.28515625" style="67" customWidth="1"/>
    <col min="14451" max="14475" width="8.7109375" style="67" bestFit="1" customWidth="1"/>
    <col min="14476" max="14476" width="2.140625" style="67" customWidth="1"/>
    <col min="14477" max="14501" width="8.7109375" style="67" bestFit="1" customWidth="1"/>
    <col min="14502" max="14621" width="9.140625" style="67"/>
    <col min="14622" max="14623" width="7" style="67" bestFit="1" customWidth="1"/>
    <col min="14624" max="14624" width="49.140625" style="67" bestFit="1" customWidth="1"/>
    <col min="14625" max="14626" width="10.85546875" style="67" bestFit="1" customWidth="1"/>
    <col min="14627" max="14627" width="6" style="67" customWidth="1"/>
    <col min="14628" max="14628" width="4.7109375" style="67" customWidth="1"/>
    <col min="14629" max="14653" width="3.5703125" style="67" bestFit="1" customWidth="1"/>
    <col min="14654" max="14654" width="1" style="67" customWidth="1"/>
    <col min="14655" max="14679" width="3.5703125" style="67" bestFit="1" customWidth="1"/>
    <col min="14680" max="14680" width="1" style="67" customWidth="1"/>
    <col min="14681" max="14705" width="3.5703125" style="67" bestFit="1" customWidth="1"/>
    <col min="14706" max="14706" width="1.28515625" style="67" customWidth="1"/>
    <col min="14707" max="14731" width="8.7109375" style="67" bestFit="1" customWidth="1"/>
    <col min="14732" max="14732" width="2.140625" style="67" customWidth="1"/>
    <col min="14733" max="14757" width="8.7109375" style="67" bestFit="1" customWidth="1"/>
    <col min="14758" max="14877" width="9.140625" style="67"/>
    <col min="14878" max="14879" width="7" style="67" bestFit="1" customWidth="1"/>
    <col min="14880" max="14880" width="49.140625" style="67" bestFit="1" customWidth="1"/>
    <col min="14881" max="14882" width="10.85546875" style="67" bestFit="1" customWidth="1"/>
    <col min="14883" max="14883" width="6" style="67" customWidth="1"/>
    <col min="14884" max="14884" width="4.7109375" style="67" customWidth="1"/>
    <col min="14885" max="14909" width="3.5703125" style="67" bestFit="1" customWidth="1"/>
    <col min="14910" max="14910" width="1" style="67" customWidth="1"/>
    <col min="14911" max="14935" width="3.5703125" style="67" bestFit="1" customWidth="1"/>
    <col min="14936" max="14936" width="1" style="67" customWidth="1"/>
    <col min="14937" max="14961" width="3.5703125" style="67" bestFit="1" customWidth="1"/>
    <col min="14962" max="14962" width="1.28515625" style="67" customWidth="1"/>
    <col min="14963" max="14987" width="8.7109375" style="67" bestFit="1" customWidth="1"/>
    <col min="14988" max="14988" width="2.140625" style="67" customWidth="1"/>
    <col min="14989" max="15013" width="8.7109375" style="67" bestFit="1" customWidth="1"/>
    <col min="15014" max="15133" width="9.140625" style="67"/>
    <col min="15134" max="15135" width="7" style="67" bestFit="1" customWidth="1"/>
    <col min="15136" max="15136" width="49.140625" style="67" bestFit="1" customWidth="1"/>
    <col min="15137" max="15138" width="10.85546875" style="67" bestFit="1" customWidth="1"/>
    <col min="15139" max="15139" width="6" style="67" customWidth="1"/>
    <col min="15140" max="15140" width="4.7109375" style="67" customWidth="1"/>
    <col min="15141" max="15165" width="3.5703125" style="67" bestFit="1" customWidth="1"/>
    <col min="15166" max="15166" width="1" style="67" customWidth="1"/>
    <col min="15167" max="15191" width="3.5703125" style="67" bestFit="1" customWidth="1"/>
    <col min="15192" max="15192" width="1" style="67" customWidth="1"/>
    <col min="15193" max="15217" width="3.5703125" style="67" bestFit="1" customWidth="1"/>
    <col min="15218" max="15218" width="1.28515625" style="67" customWidth="1"/>
    <col min="15219" max="15243" width="8.7109375" style="67" bestFit="1" customWidth="1"/>
    <col min="15244" max="15244" width="2.140625" style="67" customWidth="1"/>
    <col min="15245" max="15269" width="8.7109375" style="67" bestFit="1" customWidth="1"/>
    <col min="15270" max="15389" width="9.140625" style="67"/>
    <col min="15390" max="15391" width="7" style="67" bestFit="1" customWidth="1"/>
    <col min="15392" max="15392" width="49.140625" style="67" bestFit="1" customWidth="1"/>
    <col min="15393" max="15394" width="10.85546875" style="67" bestFit="1" customWidth="1"/>
    <col min="15395" max="15395" width="6" style="67" customWidth="1"/>
    <col min="15396" max="15396" width="4.7109375" style="67" customWidth="1"/>
    <col min="15397" max="15421" width="3.5703125" style="67" bestFit="1" customWidth="1"/>
    <col min="15422" max="15422" width="1" style="67" customWidth="1"/>
    <col min="15423" max="15447" width="3.5703125" style="67" bestFit="1" customWidth="1"/>
    <col min="15448" max="15448" width="1" style="67" customWidth="1"/>
    <col min="15449" max="15473" width="3.5703125" style="67" bestFit="1" customWidth="1"/>
    <col min="15474" max="15474" width="1.28515625" style="67" customWidth="1"/>
    <col min="15475" max="15499" width="8.7109375" style="67" bestFit="1" customWidth="1"/>
    <col min="15500" max="15500" width="2.140625" style="67" customWidth="1"/>
    <col min="15501" max="15525" width="8.7109375" style="67" bestFit="1" customWidth="1"/>
    <col min="15526" max="15645" width="9.140625" style="67"/>
    <col min="15646" max="15647" width="7" style="67" bestFit="1" customWidth="1"/>
    <col min="15648" max="15648" width="49.140625" style="67" bestFit="1" customWidth="1"/>
    <col min="15649" max="15650" width="10.85546875" style="67" bestFit="1" customWidth="1"/>
    <col min="15651" max="15651" width="6" style="67" customWidth="1"/>
    <col min="15652" max="15652" width="4.7109375" style="67" customWidth="1"/>
    <col min="15653" max="15677" width="3.5703125" style="67" bestFit="1" customWidth="1"/>
    <col min="15678" max="15678" width="1" style="67" customWidth="1"/>
    <col min="15679" max="15703" width="3.5703125" style="67" bestFit="1" customWidth="1"/>
    <col min="15704" max="15704" width="1" style="67" customWidth="1"/>
    <col min="15705" max="15729" width="3.5703125" style="67" bestFit="1" customWidth="1"/>
    <col min="15730" max="15730" width="1.28515625" style="67" customWidth="1"/>
    <col min="15731" max="15755" width="8.7109375" style="67" bestFit="1" customWidth="1"/>
    <col min="15756" max="15756" width="2.140625" style="67" customWidth="1"/>
    <col min="15757" max="15781" width="8.7109375" style="67" bestFit="1" customWidth="1"/>
    <col min="15782" max="15901" width="9.140625" style="67"/>
    <col min="15902" max="15903" width="7" style="67" bestFit="1" customWidth="1"/>
    <col min="15904" max="15904" width="49.140625" style="67" bestFit="1" customWidth="1"/>
    <col min="15905" max="15906" width="10.85546875" style="67" bestFit="1" customWidth="1"/>
    <col min="15907" max="15907" width="6" style="67" customWidth="1"/>
    <col min="15908" max="15908" width="4.7109375" style="67" customWidth="1"/>
    <col min="15909" max="15933" width="3.5703125" style="67" bestFit="1" customWidth="1"/>
    <col min="15934" max="15934" width="1" style="67" customWidth="1"/>
    <col min="15935" max="15959" width="3.5703125" style="67" bestFit="1" customWidth="1"/>
    <col min="15960" max="15960" width="1" style="67" customWidth="1"/>
    <col min="15961" max="15985" width="3.5703125" style="67" bestFit="1" customWidth="1"/>
    <col min="15986" max="15986" width="1.28515625" style="67" customWidth="1"/>
    <col min="15987" max="16011" width="8.7109375" style="67" bestFit="1" customWidth="1"/>
    <col min="16012" max="16012" width="2.140625" style="67" customWidth="1"/>
    <col min="16013" max="16037" width="8.7109375" style="67" bestFit="1" customWidth="1"/>
    <col min="16038" max="16157" width="9.140625" style="67"/>
    <col min="16158" max="16159" width="7" style="67" bestFit="1" customWidth="1"/>
    <col min="16160" max="16160" width="49.140625" style="67" bestFit="1" customWidth="1"/>
    <col min="16161" max="16162" width="10.85546875" style="67" bestFit="1" customWidth="1"/>
    <col min="16163" max="16163" width="6" style="67" customWidth="1"/>
    <col min="16164" max="16164" width="4.7109375" style="67" customWidth="1"/>
    <col min="16165" max="16189" width="3.5703125" style="67" bestFit="1" customWidth="1"/>
    <col min="16190" max="16190" width="1" style="67" customWidth="1"/>
    <col min="16191" max="16215" width="3.5703125" style="67" bestFit="1" customWidth="1"/>
    <col min="16216" max="16216" width="1" style="67" customWidth="1"/>
    <col min="16217" max="16241" width="3.5703125" style="67" bestFit="1" customWidth="1"/>
    <col min="16242" max="16242" width="1.28515625" style="67" customWidth="1"/>
    <col min="16243" max="16267" width="8.7109375" style="67" bestFit="1" customWidth="1"/>
    <col min="16268" max="16268" width="2.140625" style="67" customWidth="1"/>
    <col min="16269" max="16293" width="8.7109375" style="67" bestFit="1" customWidth="1"/>
    <col min="16294" max="16384" width="9.140625" style="67"/>
  </cols>
  <sheetData>
    <row r="1" spans="1:188" s="595" customFormat="1" ht="15" customHeight="1">
      <c r="B1" s="596"/>
      <c r="E1" s="596" t="s">
        <v>738</v>
      </c>
      <c r="G1" s="728"/>
    </row>
    <row r="2" spans="1:188" s="241" customFormat="1" ht="10.5" customHeight="1">
      <c r="A2" s="595"/>
      <c r="B2" s="598"/>
      <c r="C2" s="598"/>
      <c r="D2" s="598"/>
      <c r="E2" s="598"/>
      <c r="F2" s="598"/>
      <c r="G2" s="729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598"/>
      <c r="AI2" s="598"/>
      <c r="AJ2" s="598"/>
      <c r="AK2" s="598"/>
      <c r="AL2" s="598"/>
      <c r="AM2" s="598"/>
      <c r="AN2" s="598"/>
      <c r="AO2" s="598"/>
      <c r="AP2" s="598"/>
      <c r="AQ2" s="598"/>
      <c r="AR2" s="598"/>
      <c r="AS2" s="598"/>
      <c r="AT2" s="598"/>
      <c r="AU2" s="598"/>
      <c r="AV2" s="598"/>
      <c r="AW2" s="598"/>
      <c r="AX2" s="598"/>
      <c r="AY2" s="598"/>
      <c r="AZ2" s="598"/>
      <c r="BA2" s="598"/>
      <c r="BB2" s="598"/>
      <c r="BC2" s="598"/>
      <c r="BD2" s="598"/>
      <c r="BE2" s="598"/>
      <c r="BF2" s="598"/>
      <c r="BG2" s="598"/>
      <c r="BH2" s="598"/>
      <c r="BI2" s="598"/>
      <c r="BJ2" s="598"/>
      <c r="BK2" s="598"/>
      <c r="BL2" s="598"/>
      <c r="BM2" s="598"/>
      <c r="BN2" s="598"/>
      <c r="BO2" s="598"/>
      <c r="BP2" s="598"/>
      <c r="BQ2" s="598"/>
      <c r="BR2" s="598"/>
      <c r="BS2" s="598"/>
      <c r="BT2" s="598"/>
      <c r="BU2" s="598"/>
      <c r="BV2" s="598"/>
      <c r="BW2" s="598"/>
      <c r="BX2" s="598"/>
      <c r="BY2" s="598"/>
      <c r="BZ2" s="598"/>
      <c r="CA2" s="598"/>
      <c r="CB2" s="598"/>
      <c r="CC2" s="598"/>
      <c r="CD2" s="598"/>
      <c r="CE2" s="598"/>
      <c r="CF2" s="598"/>
      <c r="CG2" s="598"/>
      <c r="CH2" s="598"/>
      <c r="CI2" s="598"/>
      <c r="CJ2" s="598"/>
      <c r="CK2" s="598"/>
      <c r="CL2" s="598"/>
      <c r="CM2" s="598"/>
      <c r="CN2" s="598"/>
      <c r="CO2" s="598"/>
      <c r="CP2" s="598"/>
      <c r="CQ2" s="598"/>
      <c r="CR2" s="598"/>
      <c r="CS2" s="598"/>
      <c r="CT2" s="598"/>
      <c r="CU2" s="598"/>
      <c r="CV2" s="598"/>
      <c r="CW2" s="598"/>
      <c r="CX2" s="598"/>
      <c r="CY2" s="598"/>
      <c r="CZ2" s="598"/>
      <c r="DA2" s="598"/>
      <c r="DB2" s="598"/>
      <c r="DC2" s="598"/>
      <c r="DD2" s="598"/>
      <c r="DE2" s="598"/>
      <c r="DF2" s="598"/>
      <c r="DG2" s="598"/>
      <c r="DH2" s="598"/>
      <c r="DI2" s="598"/>
      <c r="DJ2" s="598"/>
      <c r="DK2" s="598"/>
      <c r="DL2" s="598"/>
      <c r="DM2" s="598"/>
      <c r="DN2" s="598"/>
      <c r="DO2" s="598"/>
      <c r="DP2" s="598"/>
      <c r="DQ2" s="598"/>
      <c r="DR2" s="598"/>
      <c r="DS2" s="598"/>
      <c r="DT2" s="598"/>
      <c r="DU2" s="598"/>
      <c r="DV2" s="598"/>
      <c r="DW2" s="598"/>
      <c r="DX2" s="598"/>
      <c r="DY2" s="598"/>
      <c r="DZ2" s="598"/>
      <c r="EA2" s="598"/>
      <c r="EB2" s="598"/>
      <c r="EC2" s="598"/>
      <c r="ED2" s="598"/>
      <c r="EE2" s="598"/>
      <c r="EF2" s="598"/>
      <c r="EG2" s="598"/>
      <c r="EH2" s="598"/>
      <c r="EI2" s="598"/>
      <c r="EJ2" s="598"/>
      <c r="EK2" s="598"/>
      <c r="EL2" s="598"/>
      <c r="EM2" s="598"/>
      <c r="EN2" s="598"/>
      <c r="EO2" s="598"/>
      <c r="EP2" s="598"/>
      <c r="EQ2" s="598"/>
      <c r="ER2" s="598"/>
      <c r="ES2" s="598"/>
      <c r="ET2" s="598"/>
      <c r="EU2" s="598"/>
      <c r="EV2" s="598"/>
      <c r="EW2" s="598"/>
      <c r="EX2" s="598"/>
      <c r="EY2" s="598"/>
      <c r="EZ2" s="598"/>
      <c r="FA2" s="598"/>
      <c r="FB2" s="598"/>
      <c r="FC2" s="598"/>
      <c r="FD2" s="598"/>
      <c r="FE2" s="598"/>
      <c r="FF2" s="598"/>
      <c r="FG2" s="598"/>
      <c r="FH2" s="598"/>
      <c r="FI2" s="598"/>
      <c r="FJ2" s="598"/>
      <c r="FK2" s="598"/>
      <c r="FL2" s="598"/>
      <c r="FM2" s="598"/>
      <c r="FN2" s="598"/>
      <c r="FO2" s="598"/>
      <c r="FP2" s="598"/>
      <c r="FQ2" s="598"/>
      <c r="FR2" s="598"/>
      <c r="FS2" s="598"/>
      <c r="FT2" s="598"/>
      <c r="FU2" s="598"/>
      <c r="FV2" s="598"/>
      <c r="FW2" s="598"/>
      <c r="FX2" s="598"/>
      <c r="FY2" s="598"/>
      <c r="FZ2" s="598"/>
      <c r="GA2" s="598"/>
      <c r="GB2" s="598"/>
      <c r="GC2" s="242"/>
      <c r="GD2" s="242"/>
      <c r="GE2" s="242"/>
      <c r="GF2" s="242"/>
    </row>
    <row r="3" spans="1:188" s="241" customFormat="1" ht="10.5" customHeight="1">
      <c r="A3" s="595"/>
      <c r="B3" s="598"/>
      <c r="C3" s="599"/>
      <c r="D3" s="599"/>
      <c r="E3" s="599"/>
      <c r="F3" s="599"/>
      <c r="G3" s="730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599"/>
      <c r="AI3" s="599"/>
      <c r="AJ3" s="599"/>
      <c r="AK3" s="599"/>
      <c r="AL3" s="599"/>
      <c r="AM3" s="599"/>
      <c r="AN3" s="599"/>
      <c r="AO3" s="599"/>
      <c r="AP3" s="599"/>
      <c r="AQ3" s="599"/>
      <c r="AR3" s="599"/>
      <c r="AS3" s="599"/>
      <c r="AT3" s="599"/>
      <c r="AU3" s="599"/>
      <c r="AV3" s="599"/>
      <c r="AW3" s="599"/>
      <c r="AX3" s="599"/>
      <c r="AY3" s="599"/>
      <c r="AZ3" s="599"/>
      <c r="BA3" s="599"/>
      <c r="BB3" s="599"/>
      <c r="BC3" s="599"/>
      <c r="BD3" s="599"/>
      <c r="BE3" s="599"/>
      <c r="BF3" s="599"/>
      <c r="BG3" s="599"/>
      <c r="BH3" s="599"/>
      <c r="BI3" s="599"/>
      <c r="BJ3" s="599"/>
      <c r="BK3" s="599"/>
      <c r="BL3" s="599"/>
      <c r="BM3" s="599"/>
      <c r="BN3" s="599"/>
      <c r="BO3" s="599"/>
      <c r="BP3" s="599"/>
      <c r="BQ3" s="599"/>
      <c r="BR3" s="599"/>
      <c r="BS3" s="599"/>
      <c r="BT3" s="599"/>
      <c r="BU3" s="599"/>
      <c r="BV3" s="599"/>
      <c r="BW3" s="599"/>
      <c r="BX3" s="599"/>
      <c r="BY3" s="599"/>
      <c r="BZ3" s="599"/>
      <c r="CA3" s="599"/>
      <c r="CB3" s="599"/>
      <c r="CC3" s="599"/>
      <c r="CD3" s="599"/>
      <c r="CE3" s="599"/>
      <c r="CF3" s="599"/>
      <c r="CG3" s="599"/>
      <c r="CH3" s="599"/>
      <c r="CI3" s="599"/>
      <c r="CJ3" s="599"/>
      <c r="CK3" s="599"/>
      <c r="CL3" s="599"/>
      <c r="CM3" s="599"/>
      <c r="CN3" s="599"/>
      <c r="CO3" s="599"/>
      <c r="CP3" s="599"/>
      <c r="CQ3" s="599"/>
      <c r="CR3" s="599"/>
      <c r="CS3" s="599"/>
      <c r="CT3" s="599"/>
      <c r="CU3" s="599"/>
      <c r="CV3" s="599"/>
      <c r="CW3" s="599"/>
      <c r="CX3" s="599"/>
      <c r="CY3" s="599"/>
      <c r="CZ3" s="599"/>
      <c r="DA3" s="599"/>
      <c r="DB3" s="599"/>
      <c r="DC3" s="599"/>
      <c r="DD3" s="599"/>
      <c r="DE3" s="599"/>
      <c r="DF3" s="599"/>
      <c r="DG3" s="599"/>
      <c r="DH3" s="599"/>
      <c r="DI3" s="599"/>
      <c r="DJ3" s="599"/>
      <c r="DK3" s="599"/>
      <c r="DL3" s="599"/>
      <c r="DM3" s="599"/>
      <c r="DN3" s="599"/>
      <c r="DO3" s="599"/>
      <c r="DP3" s="599"/>
      <c r="DQ3" s="599"/>
      <c r="DR3" s="599"/>
      <c r="DS3" s="599"/>
      <c r="DT3" s="599"/>
      <c r="DU3" s="599"/>
      <c r="DV3" s="599"/>
      <c r="DW3" s="599"/>
      <c r="DX3" s="599"/>
      <c r="DY3" s="599"/>
      <c r="DZ3" s="599"/>
      <c r="EA3" s="599"/>
      <c r="EB3" s="599"/>
      <c r="EC3" s="599"/>
      <c r="ED3" s="599"/>
      <c r="EE3" s="599"/>
      <c r="EF3" s="599"/>
      <c r="EG3" s="599"/>
      <c r="EH3" s="599"/>
      <c r="EI3" s="599"/>
      <c r="EJ3" s="599"/>
      <c r="EK3" s="599"/>
      <c r="EL3" s="599"/>
      <c r="EM3" s="599"/>
      <c r="EN3" s="599"/>
      <c r="EO3" s="599"/>
      <c r="EP3" s="599"/>
      <c r="EQ3" s="599"/>
      <c r="ER3" s="599"/>
      <c r="ES3" s="599"/>
      <c r="ET3" s="599"/>
      <c r="EU3" s="599"/>
      <c r="EV3" s="599"/>
      <c r="EW3" s="599"/>
      <c r="EX3" s="599"/>
      <c r="EY3" s="599"/>
      <c r="EZ3" s="599"/>
      <c r="FA3" s="599"/>
      <c r="FB3" s="599"/>
      <c r="FC3" s="599"/>
      <c r="FD3" s="599"/>
      <c r="FE3" s="599"/>
      <c r="FF3" s="599"/>
      <c r="FG3" s="599"/>
      <c r="FH3" s="599"/>
      <c r="FI3" s="599"/>
      <c r="FJ3" s="599"/>
      <c r="FK3" s="599"/>
      <c r="FL3" s="599"/>
      <c r="FM3" s="599"/>
      <c r="FN3" s="599"/>
      <c r="FO3" s="599"/>
      <c r="FP3" s="599"/>
      <c r="FQ3" s="599"/>
      <c r="FR3" s="599"/>
      <c r="FS3" s="599"/>
      <c r="FT3" s="599"/>
      <c r="FU3" s="599"/>
      <c r="FV3" s="599"/>
      <c r="FW3" s="599"/>
      <c r="FX3" s="599"/>
      <c r="FY3" s="599"/>
      <c r="FZ3" s="599"/>
      <c r="GA3" s="599"/>
      <c r="GB3" s="599"/>
      <c r="GC3" s="599"/>
      <c r="GD3" s="599"/>
      <c r="GE3" s="599"/>
      <c r="GF3" s="599"/>
    </row>
    <row r="4" spans="1:188" ht="18">
      <c r="A4" s="595"/>
      <c r="B4" s="598"/>
      <c r="C4" s="599"/>
      <c r="F4" s="69"/>
      <c r="G4" s="403"/>
      <c r="H4" s="70"/>
      <c r="I4" s="70"/>
      <c r="J4" s="71"/>
      <c r="K4" s="72"/>
      <c r="L4" s="73" t="s">
        <v>2</v>
      </c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4"/>
      <c r="AI4" s="74"/>
      <c r="AJ4" s="74"/>
      <c r="AK4" s="74"/>
      <c r="AL4" s="74"/>
      <c r="AM4" s="74"/>
      <c r="AN4" s="74"/>
      <c r="AO4" s="74"/>
      <c r="AP4" s="75"/>
      <c r="AQ4" s="73" t="s">
        <v>2</v>
      </c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4"/>
      <c r="BN4" s="74"/>
      <c r="BO4" s="74"/>
      <c r="BP4" s="74"/>
      <c r="BQ4" s="74"/>
      <c r="BR4" s="74"/>
      <c r="BS4" s="74"/>
      <c r="BT4" s="74"/>
      <c r="BU4" s="75"/>
      <c r="BV4" s="73" t="s">
        <v>2</v>
      </c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73"/>
      <c r="CN4" s="73"/>
      <c r="CO4" s="73"/>
      <c r="CP4" s="73"/>
      <c r="CQ4" s="73"/>
      <c r="CR4" s="74"/>
      <c r="CS4" s="74"/>
      <c r="CT4" s="74"/>
      <c r="CU4" s="74"/>
      <c r="CV4" s="74"/>
      <c r="CW4" s="74"/>
      <c r="CX4" s="74"/>
      <c r="CY4" s="74"/>
      <c r="DA4" s="73" t="s">
        <v>1</v>
      </c>
      <c r="DB4" s="73"/>
      <c r="DC4" s="73"/>
      <c r="DD4" s="73"/>
      <c r="DE4" s="73"/>
      <c r="DF4" s="73"/>
      <c r="DG4" s="73"/>
      <c r="DH4" s="73"/>
      <c r="DI4" s="73"/>
      <c r="DJ4" s="73"/>
      <c r="DK4" s="73"/>
      <c r="DL4" s="73"/>
      <c r="DM4" s="73"/>
      <c r="DN4" s="73"/>
      <c r="DO4" s="73"/>
      <c r="DP4" s="73"/>
      <c r="DQ4" s="73"/>
      <c r="DR4" s="73"/>
      <c r="DS4" s="73"/>
      <c r="DT4" s="73"/>
      <c r="DU4" s="73"/>
      <c r="DV4" s="73"/>
      <c r="DW4" s="74"/>
      <c r="DX4" s="74"/>
      <c r="DY4" s="74"/>
      <c r="DZ4" s="74"/>
      <c r="EA4" s="74"/>
      <c r="EB4" s="74"/>
      <c r="EC4" s="74"/>
      <c r="ED4" s="74"/>
      <c r="EE4" s="75"/>
      <c r="EF4" s="73"/>
      <c r="EG4" s="73"/>
      <c r="EH4" s="73"/>
      <c r="EI4" s="73"/>
      <c r="EJ4" s="73"/>
      <c r="EK4" s="73"/>
      <c r="EL4" s="73"/>
      <c r="EM4" s="73"/>
      <c r="EN4" s="73"/>
      <c r="EO4" s="73"/>
      <c r="EP4" s="73"/>
      <c r="EQ4" s="73"/>
      <c r="ER4" s="73"/>
      <c r="ES4" s="73"/>
      <c r="ET4" s="73"/>
      <c r="EU4" s="73"/>
      <c r="EV4" s="73"/>
      <c r="EW4" s="73"/>
      <c r="EX4" s="73"/>
      <c r="EY4" s="73"/>
      <c r="EZ4" s="73"/>
      <c r="FA4" s="73"/>
      <c r="FB4" s="74"/>
      <c r="FC4" s="74"/>
      <c r="FD4" s="74"/>
      <c r="FE4" s="74"/>
      <c r="FF4" s="74"/>
      <c r="FG4" s="74"/>
      <c r="FH4" s="74"/>
      <c r="FI4" s="74"/>
    </row>
    <row r="5" spans="1:188" ht="18" customHeight="1">
      <c r="A5" s="595"/>
      <c r="B5" s="598"/>
      <c r="C5" s="599"/>
      <c r="F5" s="1960" t="s">
        <v>1708</v>
      </c>
      <c r="G5" s="731"/>
      <c r="H5" s="1956" t="s">
        <v>1709</v>
      </c>
      <c r="I5" s="1956" t="s">
        <v>1710</v>
      </c>
      <c r="J5" s="1952" t="s">
        <v>1711</v>
      </c>
      <c r="K5" s="711"/>
      <c r="L5" s="1434" t="s">
        <v>1624</v>
      </c>
      <c r="M5" s="1434"/>
      <c r="N5" s="1563"/>
      <c r="O5" s="1434"/>
      <c r="P5" s="1434"/>
      <c r="Q5" s="1434"/>
      <c r="R5" s="1434"/>
      <c r="S5" s="1434"/>
      <c r="T5" s="1434"/>
      <c r="U5" s="1434"/>
      <c r="V5" s="1434"/>
      <c r="W5" s="1434"/>
      <c r="X5" s="1434"/>
      <c r="Y5" s="1434"/>
      <c r="Z5" s="1434"/>
      <c r="AA5" s="1434"/>
      <c r="AB5" s="1434"/>
      <c r="AC5" s="1434"/>
      <c r="AD5" s="1434"/>
      <c r="AE5" s="1434"/>
      <c r="AF5" s="1434"/>
      <c r="AG5" s="1434"/>
      <c r="AH5" s="1434"/>
      <c r="AI5" s="1434"/>
      <c r="AJ5" s="1434"/>
      <c r="AK5" s="1434"/>
      <c r="AL5" s="1434"/>
      <c r="AM5" s="1434"/>
      <c r="AN5" s="1434"/>
      <c r="AO5" s="1434"/>
      <c r="AP5" s="712"/>
      <c r="AQ5" s="1434" t="s">
        <v>1712</v>
      </c>
      <c r="AR5" s="1434"/>
      <c r="AS5" s="1434"/>
      <c r="AT5" s="1434"/>
      <c r="AU5" s="1434"/>
      <c r="AV5" s="1434"/>
      <c r="AW5" s="1434"/>
      <c r="AX5" s="1434"/>
      <c r="AY5" s="1434"/>
      <c r="AZ5" s="1434"/>
      <c r="BA5" s="1434"/>
      <c r="BB5" s="1434"/>
      <c r="BC5" s="1434"/>
      <c r="BD5" s="1434"/>
      <c r="BE5" s="1434"/>
      <c r="BF5" s="1434"/>
      <c r="BG5" s="1434"/>
      <c r="BH5" s="1434"/>
      <c r="BI5" s="1434"/>
      <c r="BJ5" s="1434"/>
      <c r="BK5" s="1434"/>
      <c r="BL5" s="1434"/>
      <c r="BM5" s="1434"/>
      <c r="BN5" s="1434"/>
      <c r="BO5" s="1434"/>
      <c r="BP5" s="1434"/>
      <c r="BQ5" s="1434"/>
      <c r="BR5" s="1434"/>
      <c r="BS5" s="1434"/>
      <c r="BT5" s="1434"/>
      <c r="BU5" s="712"/>
      <c r="BV5" s="1434" t="s">
        <v>1713</v>
      </c>
      <c r="BW5" s="1435"/>
      <c r="BX5" s="1435"/>
      <c r="BY5" s="1435"/>
      <c r="BZ5" s="1435"/>
      <c r="CA5" s="1435"/>
      <c r="CB5" s="1435"/>
      <c r="CC5" s="1435"/>
      <c r="CD5" s="1435"/>
      <c r="CE5" s="1435"/>
      <c r="CF5" s="1435"/>
      <c r="CG5" s="1435"/>
      <c r="CH5" s="1435"/>
      <c r="CI5" s="1435"/>
      <c r="CJ5" s="1435"/>
      <c r="CK5" s="1435"/>
      <c r="CL5" s="1435"/>
      <c r="CM5" s="1435"/>
      <c r="CN5" s="1435"/>
      <c r="CO5" s="1435"/>
      <c r="CP5" s="1435"/>
      <c r="CQ5" s="1435"/>
      <c r="CR5" s="1435"/>
      <c r="CS5" s="1435"/>
      <c r="CT5" s="1435"/>
      <c r="CU5" s="1435"/>
      <c r="CV5" s="1435"/>
      <c r="CW5" s="1435"/>
      <c r="CX5" s="1435"/>
      <c r="CY5" s="1435"/>
      <c r="CZ5" s="712"/>
      <c r="DA5" s="1434" t="s">
        <v>1712</v>
      </c>
      <c r="DB5" s="1434"/>
      <c r="DC5" s="1434"/>
      <c r="DD5" s="1434"/>
      <c r="DE5" s="1434"/>
      <c r="DF5" s="1434"/>
      <c r="DG5" s="1434"/>
      <c r="DH5" s="1434"/>
      <c r="DI5" s="1434"/>
      <c r="DJ5" s="1434"/>
      <c r="DK5" s="1434"/>
      <c r="DL5" s="1434"/>
      <c r="DM5" s="1434"/>
      <c r="DN5" s="1434"/>
      <c r="DO5" s="1434"/>
      <c r="DP5" s="1434"/>
      <c r="DQ5" s="1434"/>
      <c r="DR5" s="1434"/>
      <c r="DS5" s="1434"/>
      <c r="DT5" s="1434"/>
      <c r="DU5" s="1434"/>
      <c r="DV5" s="1434"/>
      <c r="DW5" s="1434"/>
      <c r="DX5" s="1434"/>
      <c r="DY5" s="1434"/>
      <c r="DZ5" s="1434"/>
      <c r="EA5" s="1434"/>
      <c r="EB5" s="1434"/>
      <c r="EC5" s="1434"/>
      <c r="ED5" s="1434"/>
      <c r="EE5" s="712"/>
      <c r="EF5" s="1434" t="s">
        <v>1713</v>
      </c>
      <c r="EG5" s="1434"/>
      <c r="EH5" s="1434"/>
      <c r="EI5" s="1434"/>
      <c r="EJ5" s="1434"/>
      <c r="EK5" s="1434"/>
      <c r="EL5" s="1434"/>
      <c r="EM5" s="1434"/>
      <c r="EN5" s="1434"/>
      <c r="EO5" s="1434"/>
      <c r="EP5" s="1434"/>
      <c r="EQ5" s="1434"/>
      <c r="ER5" s="1434"/>
      <c r="ES5" s="1434"/>
      <c r="ET5" s="1434"/>
      <c r="EU5" s="1434"/>
      <c r="EV5" s="1434"/>
      <c r="EW5" s="1434"/>
      <c r="EX5" s="1434"/>
      <c r="EY5" s="1434"/>
      <c r="EZ5" s="1434"/>
      <c r="FA5" s="1434"/>
      <c r="FB5" s="1434"/>
      <c r="FC5" s="1434"/>
      <c r="FD5" s="1434"/>
      <c r="FE5" s="1434"/>
      <c r="FF5" s="1434"/>
      <c r="FG5" s="1434"/>
      <c r="FH5" s="1434"/>
      <c r="FI5" s="1434"/>
    </row>
    <row r="6" spans="1:188" ht="18" customHeight="1">
      <c r="A6" s="595"/>
      <c r="B6" s="598"/>
      <c r="C6" s="599"/>
      <c r="D6" s="68" t="s">
        <v>1714</v>
      </c>
      <c r="E6" s="68" t="s">
        <v>1715</v>
      </c>
      <c r="F6" s="1961"/>
      <c r="G6" s="732"/>
      <c r="H6" s="1957"/>
      <c r="I6" s="1957"/>
      <c r="J6" s="1953"/>
      <c r="K6" s="711"/>
      <c r="L6" s="1436">
        <v>1</v>
      </c>
      <c r="M6" s="1436">
        <v>2</v>
      </c>
      <c r="N6" s="1436">
        <v>3</v>
      </c>
      <c r="O6" s="1436">
        <v>4</v>
      </c>
      <c r="P6" s="1436">
        <v>5</v>
      </c>
      <c r="Q6" s="1436">
        <v>6</v>
      </c>
      <c r="R6" s="1436">
        <v>7</v>
      </c>
      <c r="S6" s="1436">
        <v>8</v>
      </c>
      <c r="T6" s="1436">
        <v>9</v>
      </c>
      <c r="U6" s="1436">
        <v>10</v>
      </c>
      <c r="V6" s="1436">
        <v>11</v>
      </c>
      <c r="W6" s="1436">
        <v>12</v>
      </c>
      <c r="X6" s="1436">
        <v>13</v>
      </c>
      <c r="Y6" s="1436">
        <v>14</v>
      </c>
      <c r="Z6" s="1436">
        <v>15</v>
      </c>
      <c r="AA6" s="1436">
        <v>16</v>
      </c>
      <c r="AB6" s="1436">
        <v>17</v>
      </c>
      <c r="AC6" s="1436">
        <v>18</v>
      </c>
      <c r="AD6" s="1436">
        <v>19</v>
      </c>
      <c r="AE6" s="1436">
        <v>20</v>
      </c>
      <c r="AF6" s="1436">
        <v>21</v>
      </c>
      <c r="AG6" s="1436">
        <v>22</v>
      </c>
      <c r="AH6" s="1436">
        <v>23</v>
      </c>
      <c r="AI6" s="1436">
        <v>24</v>
      </c>
      <c r="AJ6" s="1436">
        <v>25</v>
      </c>
      <c r="AK6" s="1436">
        <v>26</v>
      </c>
      <c r="AL6" s="1436">
        <v>27</v>
      </c>
      <c r="AM6" s="1436">
        <v>28</v>
      </c>
      <c r="AN6" s="1436">
        <v>29</v>
      </c>
      <c r="AO6" s="1436">
        <v>30</v>
      </c>
      <c r="AP6" s="718"/>
      <c r="AQ6" s="1436">
        <v>1</v>
      </c>
      <c r="AR6" s="1436">
        <v>2</v>
      </c>
      <c r="AS6" s="1436">
        <v>3</v>
      </c>
      <c r="AT6" s="1436">
        <v>4</v>
      </c>
      <c r="AU6" s="1436">
        <v>5</v>
      </c>
      <c r="AV6" s="1436">
        <v>6</v>
      </c>
      <c r="AW6" s="1436">
        <v>7</v>
      </c>
      <c r="AX6" s="1436">
        <v>8</v>
      </c>
      <c r="AY6" s="1436">
        <v>9</v>
      </c>
      <c r="AZ6" s="1436">
        <v>10</v>
      </c>
      <c r="BA6" s="1436">
        <v>11</v>
      </c>
      <c r="BB6" s="1436">
        <v>12</v>
      </c>
      <c r="BC6" s="1436">
        <v>13</v>
      </c>
      <c r="BD6" s="1436">
        <v>14</v>
      </c>
      <c r="BE6" s="1436">
        <v>15</v>
      </c>
      <c r="BF6" s="1436">
        <v>16</v>
      </c>
      <c r="BG6" s="1436">
        <v>17</v>
      </c>
      <c r="BH6" s="1436">
        <v>18</v>
      </c>
      <c r="BI6" s="1436">
        <v>19</v>
      </c>
      <c r="BJ6" s="1436">
        <v>20</v>
      </c>
      <c r="BK6" s="1436">
        <v>21</v>
      </c>
      <c r="BL6" s="1436">
        <v>22</v>
      </c>
      <c r="BM6" s="1436">
        <v>23</v>
      </c>
      <c r="BN6" s="1436">
        <v>24</v>
      </c>
      <c r="BO6" s="1436">
        <v>25</v>
      </c>
      <c r="BP6" s="1436">
        <v>26</v>
      </c>
      <c r="BQ6" s="1436">
        <v>27</v>
      </c>
      <c r="BR6" s="1436">
        <v>28</v>
      </c>
      <c r="BS6" s="1436">
        <v>29</v>
      </c>
      <c r="BT6" s="1436">
        <v>30</v>
      </c>
      <c r="BU6" s="718"/>
      <c r="BV6" s="1436">
        <v>1</v>
      </c>
      <c r="BW6" s="1436">
        <v>2</v>
      </c>
      <c r="BX6" s="1436">
        <v>3</v>
      </c>
      <c r="BY6" s="1436">
        <v>4</v>
      </c>
      <c r="BZ6" s="1436">
        <v>5</v>
      </c>
      <c r="CA6" s="1436">
        <v>6</v>
      </c>
      <c r="CB6" s="1436">
        <v>7</v>
      </c>
      <c r="CC6" s="1436">
        <v>8</v>
      </c>
      <c r="CD6" s="1436">
        <v>9</v>
      </c>
      <c r="CE6" s="1436">
        <v>10</v>
      </c>
      <c r="CF6" s="1436">
        <v>11</v>
      </c>
      <c r="CG6" s="1436">
        <v>12</v>
      </c>
      <c r="CH6" s="1436">
        <v>13</v>
      </c>
      <c r="CI6" s="1436">
        <v>14</v>
      </c>
      <c r="CJ6" s="1436">
        <v>15</v>
      </c>
      <c r="CK6" s="1436">
        <v>16</v>
      </c>
      <c r="CL6" s="1436">
        <v>17</v>
      </c>
      <c r="CM6" s="1436">
        <v>18</v>
      </c>
      <c r="CN6" s="1436">
        <v>19</v>
      </c>
      <c r="CO6" s="1436">
        <v>20</v>
      </c>
      <c r="CP6" s="1436">
        <v>21</v>
      </c>
      <c r="CQ6" s="1436">
        <v>22</v>
      </c>
      <c r="CR6" s="1436">
        <v>23</v>
      </c>
      <c r="CS6" s="1436">
        <v>24</v>
      </c>
      <c r="CT6" s="1436">
        <v>25</v>
      </c>
      <c r="CU6" s="1436">
        <v>26</v>
      </c>
      <c r="CV6" s="1436">
        <v>27</v>
      </c>
      <c r="CW6" s="1436">
        <v>28</v>
      </c>
      <c r="CX6" s="1436">
        <v>29</v>
      </c>
      <c r="CY6" s="1436">
        <v>30</v>
      </c>
      <c r="CZ6" s="718"/>
      <c r="DA6" s="1436">
        <v>1</v>
      </c>
      <c r="DB6" s="1436">
        <v>2</v>
      </c>
      <c r="DC6" s="1436">
        <v>3</v>
      </c>
      <c r="DD6" s="1436">
        <v>4</v>
      </c>
      <c r="DE6" s="1436">
        <v>5</v>
      </c>
      <c r="DF6" s="1436">
        <v>6</v>
      </c>
      <c r="DG6" s="1436">
        <v>7</v>
      </c>
      <c r="DH6" s="1436">
        <v>8</v>
      </c>
      <c r="DI6" s="1436">
        <v>9</v>
      </c>
      <c r="DJ6" s="1436">
        <v>10</v>
      </c>
      <c r="DK6" s="1436">
        <v>11</v>
      </c>
      <c r="DL6" s="1436">
        <v>12</v>
      </c>
      <c r="DM6" s="1436">
        <v>13</v>
      </c>
      <c r="DN6" s="1436">
        <v>14</v>
      </c>
      <c r="DO6" s="1436">
        <v>15</v>
      </c>
      <c r="DP6" s="1436">
        <v>16</v>
      </c>
      <c r="DQ6" s="1436">
        <v>17</v>
      </c>
      <c r="DR6" s="1436">
        <v>18</v>
      </c>
      <c r="DS6" s="1436">
        <v>19</v>
      </c>
      <c r="DT6" s="1436">
        <v>20</v>
      </c>
      <c r="DU6" s="1436">
        <v>21</v>
      </c>
      <c r="DV6" s="1436">
        <v>22</v>
      </c>
      <c r="DW6" s="1436">
        <v>23</v>
      </c>
      <c r="DX6" s="1436">
        <v>24</v>
      </c>
      <c r="DY6" s="1436">
        <v>25</v>
      </c>
      <c r="DZ6" s="1436">
        <v>26</v>
      </c>
      <c r="EA6" s="1436">
        <v>27</v>
      </c>
      <c r="EB6" s="1436">
        <v>28</v>
      </c>
      <c r="EC6" s="1436">
        <v>29</v>
      </c>
      <c r="ED6" s="1436">
        <v>30</v>
      </c>
      <c r="EE6" s="718"/>
      <c r="EF6" s="1436">
        <v>1</v>
      </c>
      <c r="EG6" s="1436">
        <v>2</v>
      </c>
      <c r="EH6" s="1436">
        <v>3</v>
      </c>
      <c r="EI6" s="1436">
        <v>4</v>
      </c>
      <c r="EJ6" s="1436">
        <v>5</v>
      </c>
      <c r="EK6" s="1436">
        <v>6</v>
      </c>
      <c r="EL6" s="1436">
        <v>7</v>
      </c>
      <c r="EM6" s="1436">
        <v>8</v>
      </c>
      <c r="EN6" s="1436">
        <v>9</v>
      </c>
      <c r="EO6" s="1436">
        <v>10</v>
      </c>
      <c r="EP6" s="1436">
        <v>11</v>
      </c>
      <c r="EQ6" s="1436">
        <v>12</v>
      </c>
      <c r="ER6" s="1436">
        <v>13</v>
      </c>
      <c r="ES6" s="1436">
        <v>14</v>
      </c>
      <c r="ET6" s="1436">
        <v>15</v>
      </c>
      <c r="EU6" s="1436">
        <v>16</v>
      </c>
      <c r="EV6" s="1436">
        <v>17</v>
      </c>
      <c r="EW6" s="1436">
        <v>18</v>
      </c>
      <c r="EX6" s="1436">
        <v>19</v>
      </c>
      <c r="EY6" s="1436">
        <v>20</v>
      </c>
      <c r="EZ6" s="1436">
        <v>21</v>
      </c>
      <c r="FA6" s="1436">
        <v>22</v>
      </c>
      <c r="FB6" s="1436">
        <v>23</v>
      </c>
      <c r="FC6" s="1436">
        <v>24</v>
      </c>
      <c r="FD6" s="1436">
        <v>25</v>
      </c>
      <c r="FE6" s="1436">
        <v>26</v>
      </c>
      <c r="FF6" s="1436">
        <v>27</v>
      </c>
      <c r="FG6" s="1436">
        <v>28</v>
      </c>
      <c r="FH6" s="1436">
        <v>29</v>
      </c>
      <c r="FI6" s="1436">
        <v>30</v>
      </c>
    </row>
    <row r="7" spans="1:188" ht="12.75" customHeight="1">
      <c r="A7" s="595"/>
      <c r="B7" s="598"/>
      <c r="C7" s="599"/>
      <c r="D7" s="68" t="s">
        <v>1716</v>
      </c>
      <c r="E7" s="68" t="str">
        <f>LEFT(D7,LEN(D7)-1) &amp; RIGHT(D7,1)+1</f>
        <v>8.1.2</v>
      </c>
      <c r="F7" s="1564" t="s">
        <v>1629</v>
      </c>
      <c r="G7" s="733" t="s">
        <v>1717</v>
      </c>
      <c r="H7" s="734">
        <f>SUM(H8:H9)</f>
        <v>516171.13750000001</v>
      </c>
      <c r="I7" s="734">
        <f ca="1">SUM(EF7:FI7)</f>
        <v>0</v>
      </c>
      <c r="J7" s="735"/>
      <c r="K7" s="30"/>
      <c r="L7" s="1565"/>
      <c r="M7" s="1565"/>
      <c r="N7" s="1565"/>
      <c r="O7" s="1565"/>
      <c r="P7" s="1565"/>
      <c r="Q7" s="1565"/>
      <c r="R7" s="1565"/>
      <c r="S7" s="1565"/>
      <c r="T7" s="1565"/>
      <c r="U7" s="1565"/>
      <c r="V7" s="1565"/>
      <c r="W7" s="1565"/>
      <c r="X7" s="1565"/>
      <c r="Y7" s="1565"/>
      <c r="Z7" s="1565"/>
      <c r="AA7" s="1565"/>
      <c r="AB7" s="1565"/>
      <c r="AC7" s="1565"/>
      <c r="AD7" s="1565"/>
      <c r="AE7" s="1565"/>
      <c r="AF7" s="1565"/>
      <c r="AG7" s="1565"/>
      <c r="AH7" s="1565"/>
      <c r="AI7" s="1565"/>
      <c r="AJ7" s="1565"/>
      <c r="AK7" s="1565"/>
      <c r="AL7" s="1565"/>
      <c r="AM7" s="1565"/>
      <c r="AN7" s="1565"/>
      <c r="AO7" s="1565"/>
      <c r="AP7" s="390"/>
      <c r="AQ7" s="1565"/>
      <c r="AR7" s="1565"/>
      <c r="AS7" s="1565"/>
      <c r="AT7" s="1565"/>
      <c r="AU7" s="1565"/>
      <c r="AV7" s="1565"/>
      <c r="AW7" s="1565"/>
      <c r="AX7" s="1565"/>
      <c r="AY7" s="1565"/>
      <c r="AZ7" s="1565"/>
      <c r="BA7" s="1565"/>
      <c r="BB7" s="1565"/>
      <c r="BC7" s="1565"/>
      <c r="BD7" s="1565"/>
      <c r="BE7" s="1565"/>
      <c r="BF7" s="1565"/>
      <c r="BG7" s="1565"/>
      <c r="BH7" s="1565"/>
      <c r="BI7" s="1565"/>
      <c r="BJ7" s="1565"/>
      <c r="BK7" s="1565"/>
      <c r="BL7" s="1565"/>
      <c r="BM7" s="1565"/>
      <c r="BN7" s="1565"/>
      <c r="BO7" s="1565"/>
      <c r="BP7" s="1565"/>
      <c r="BQ7" s="1565"/>
      <c r="BR7" s="1565"/>
      <c r="BS7" s="1565"/>
      <c r="BT7" s="1565"/>
      <c r="BU7" s="390"/>
      <c r="BV7" s="1566"/>
      <c r="BW7" s="1566"/>
      <c r="BX7" s="1566"/>
      <c r="BY7" s="1566"/>
      <c r="BZ7" s="1566"/>
      <c r="CA7" s="1566"/>
      <c r="CB7" s="1566"/>
      <c r="CC7" s="1566"/>
      <c r="CD7" s="1566"/>
      <c r="CE7" s="1566"/>
      <c r="CF7" s="1566"/>
      <c r="CG7" s="1566"/>
      <c r="CH7" s="1566"/>
      <c r="CI7" s="1566"/>
      <c r="CJ7" s="1566"/>
      <c r="CK7" s="1566"/>
      <c r="CL7" s="1566"/>
      <c r="CM7" s="1566"/>
      <c r="CN7" s="1566"/>
      <c r="CO7" s="1566"/>
      <c r="CP7" s="1566"/>
      <c r="CQ7" s="1566"/>
      <c r="CR7" s="1566"/>
      <c r="CS7" s="1566"/>
      <c r="CT7" s="1566"/>
      <c r="CU7" s="1566"/>
      <c r="CV7" s="1566"/>
      <c r="CW7" s="1566"/>
      <c r="CX7" s="1566"/>
      <c r="CY7" s="1566"/>
      <c r="CZ7" s="31"/>
      <c r="DA7" s="1567">
        <f t="shared" ref="DA7:ED7" si="0">SUBTOTAL(9,DA8:DA9)</f>
        <v>516171.13750000001</v>
      </c>
      <c r="DB7" s="1567">
        <f t="shared" si="0"/>
        <v>0</v>
      </c>
      <c r="DC7" s="1567">
        <f t="shared" si="0"/>
        <v>0</v>
      </c>
      <c r="DD7" s="1567">
        <f t="shared" si="0"/>
        <v>0</v>
      </c>
      <c r="DE7" s="1567">
        <f t="shared" si="0"/>
        <v>0</v>
      </c>
      <c r="DF7" s="1567">
        <f t="shared" si="0"/>
        <v>0</v>
      </c>
      <c r="DG7" s="1567">
        <f t="shared" si="0"/>
        <v>0</v>
      </c>
      <c r="DH7" s="1567">
        <f t="shared" si="0"/>
        <v>0</v>
      </c>
      <c r="DI7" s="1567">
        <f t="shared" si="0"/>
        <v>0</v>
      </c>
      <c r="DJ7" s="1567">
        <f t="shared" si="0"/>
        <v>0</v>
      </c>
      <c r="DK7" s="1567">
        <f t="shared" si="0"/>
        <v>0</v>
      </c>
      <c r="DL7" s="1567">
        <f t="shared" si="0"/>
        <v>0</v>
      </c>
      <c r="DM7" s="1567">
        <f t="shared" si="0"/>
        <v>0</v>
      </c>
      <c r="DN7" s="1567">
        <f t="shared" si="0"/>
        <v>0</v>
      </c>
      <c r="DO7" s="1567">
        <f t="shared" si="0"/>
        <v>0</v>
      </c>
      <c r="DP7" s="1567">
        <f t="shared" si="0"/>
        <v>0</v>
      </c>
      <c r="DQ7" s="1567">
        <f t="shared" si="0"/>
        <v>0</v>
      </c>
      <c r="DR7" s="1567">
        <f t="shared" si="0"/>
        <v>0</v>
      </c>
      <c r="DS7" s="1567">
        <f t="shared" si="0"/>
        <v>0</v>
      </c>
      <c r="DT7" s="1567">
        <f t="shared" si="0"/>
        <v>0</v>
      </c>
      <c r="DU7" s="1567">
        <f t="shared" si="0"/>
        <v>0</v>
      </c>
      <c r="DV7" s="1567">
        <f t="shared" si="0"/>
        <v>0</v>
      </c>
      <c r="DW7" s="1567">
        <f t="shared" si="0"/>
        <v>0</v>
      </c>
      <c r="DX7" s="1567">
        <f t="shared" si="0"/>
        <v>0</v>
      </c>
      <c r="DY7" s="1567">
        <f t="shared" si="0"/>
        <v>0</v>
      </c>
      <c r="DZ7" s="1567">
        <f t="shared" si="0"/>
        <v>0</v>
      </c>
      <c r="EA7" s="1567">
        <f t="shared" si="0"/>
        <v>0</v>
      </c>
      <c r="EB7" s="1567">
        <f t="shared" si="0"/>
        <v>0</v>
      </c>
      <c r="EC7" s="1567">
        <f t="shared" si="0"/>
        <v>0</v>
      </c>
      <c r="ED7" s="1567">
        <f t="shared" si="0"/>
        <v>0</v>
      </c>
      <c r="EE7" s="31"/>
      <c r="EF7" s="1567">
        <f t="shared" ref="EF7:FI7" ca="1" si="1">SUBTOTAL(9,EF8:EF9)</f>
        <v>0</v>
      </c>
      <c r="EG7" s="1567">
        <f t="shared" ca="1" si="1"/>
        <v>0</v>
      </c>
      <c r="EH7" s="1567">
        <f t="shared" ca="1" si="1"/>
        <v>0</v>
      </c>
      <c r="EI7" s="1567">
        <f t="shared" ca="1" si="1"/>
        <v>0</v>
      </c>
      <c r="EJ7" s="1567">
        <f t="shared" ca="1" si="1"/>
        <v>0</v>
      </c>
      <c r="EK7" s="1567">
        <f t="shared" ca="1" si="1"/>
        <v>0</v>
      </c>
      <c r="EL7" s="1567">
        <f t="shared" ca="1" si="1"/>
        <v>0</v>
      </c>
      <c r="EM7" s="1567">
        <f t="shared" ca="1" si="1"/>
        <v>0</v>
      </c>
      <c r="EN7" s="1567">
        <f t="shared" ca="1" si="1"/>
        <v>0</v>
      </c>
      <c r="EO7" s="1567">
        <f t="shared" ca="1" si="1"/>
        <v>0</v>
      </c>
      <c r="EP7" s="1567">
        <f t="shared" ca="1" si="1"/>
        <v>0</v>
      </c>
      <c r="EQ7" s="1567">
        <f t="shared" ca="1" si="1"/>
        <v>0</v>
      </c>
      <c r="ER7" s="1567">
        <f t="shared" ca="1" si="1"/>
        <v>0</v>
      </c>
      <c r="ES7" s="1567">
        <f t="shared" ca="1" si="1"/>
        <v>0</v>
      </c>
      <c r="ET7" s="1567">
        <f t="shared" ca="1" si="1"/>
        <v>0</v>
      </c>
      <c r="EU7" s="1567">
        <f t="shared" ca="1" si="1"/>
        <v>0</v>
      </c>
      <c r="EV7" s="1567">
        <f t="shared" ca="1" si="1"/>
        <v>0</v>
      </c>
      <c r="EW7" s="1567">
        <f t="shared" ca="1" si="1"/>
        <v>0</v>
      </c>
      <c r="EX7" s="1567">
        <f t="shared" ca="1" si="1"/>
        <v>0</v>
      </c>
      <c r="EY7" s="1567">
        <f t="shared" ca="1" si="1"/>
        <v>0</v>
      </c>
      <c r="EZ7" s="1567">
        <f t="shared" ca="1" si="1"/>
        <v>0</v>
      </c>
      <c r="FA7" s="1567">
        <f t="shared" ca="1" si="1"/>
        <v>0</v>
      </c>
      <c r="FB7" s="1567">
        <f t="shared" ca="1" si="1"/>
        <v>0</v>
      </c>
      <c r="FC7" s="1567">
        <f t="shared" ca="1" si="1"/>
        <v>0</v>
      </c>
      <c r="FD7" s="1567">
        <f t="shared" ca="1" si="1"/>
        <v>0</v>
      </c>
      <c r="FE7" s="1567">
        <f t="shared" ca="1" si="1"/>
        <v>0</v>
      </c>
      <c r="FF7" s="1567">
        <f t="shared" ca="1" si="1"/>
        <v>0</v>
      </c>
      <c r="FG7" s="1567">
        <f t="shared" ca="1" si="1"/>
        <v>0</v>
      </c>
      <c r="FH7" s="1567">
        <f t="shared" ca="1" si="1"/>
        <v>0</v>
      </c>
      <c r="FI7" s="1567">
        <f t="shared" ca="1" si="1"/>
        <v>0</v>
      </c>
    </row>
    <row r="8" spans="1:188" ht="12.75" customHeight="1">
      <c r="A8" s="595"/>
      <c r="B8" s="598"/>
      <c r="C8" s="599"/>
      <c r="F8" s="1440" t="s">
        <v>1630</v>
      </c>
      <c r="G8" s="1568" t="s">
        <v>1718</v>
      </c>
      <c r="H8" s="1569">
        <f>'Sistemas - Cotações'!F29</f>
        <v>516171.13750000001</v>
      </c>
      <c r="I8" s="136">
        <f>H8</f>
        <v>516171.13750000001</v>
      </c>
      <c r="J8" s="137">
        <f>'Sistemas - Cotações'!H29</f>
        <v>30</v>
      </c>
      <c r="K8" s="30"/>
      <c r="L8" s="1570">
        <v>1</v>
      </c>
      <c r="M8" s="1570">
        <v>1</v>
      </c>
      <c r="N8" s="1570">
        <v>1</v>
      </c>
      <c r="O8" s="1570">
        <v>1</v>
      </c>
      <c r="P8" s="1570">
        <v>1</v>
      </c>
      <c r="Q8" s="1570">
        <v>1</v>
      </c>
      <c r="R8" s="1570">
        <v>1</v>
      </c>
      <c r="S8" s="1570">
        <v>1</v>
      </c>
      <c r="T8" s="1570">
        <v>1</v>
      </c>
      <c r="U8" s="1570">
        <v>1</v>
      </c>
      <c r="V8" s="1570">
        <v>1</v>
      </c>
      <c r="W8" s="1570">
        <v>1</v>
      </c>
      <c r="X8" s="1570">
        <v>1</v>
      </c>
      <c r="Y8" s="1570">
        <v>1</v>
      </c>
      <c r="Z8" s="1570">
        <v>1</v>
      </c>
      <c r="AA8" s="1570">
        <v>1</v>
      </c>
      <c r="AB8" s="1570">
        <v>1</v>
      </c>
      <c r="AC8" s="1570">
        <v>1</v>
      </c>
      <c r="AD8" s="1570">
        <v>1</v>
      </c>
      <c r="AE8" s="1570">
        <v>1</v>
      </c>
      <c r="AF8" s="1570">
        <v>1</v>
      </c>
      <c r="AG8" s="1570">
        <v>1</v>
      </c>
      <c r="AH8" s="1570">
        <v>1</v>
      </c>
      <c r="AI8" s="1570">
        <v>1</v>
      </c>
      <c r="AJ8" s="1570">
        <v>1</v>
      </c>
      <c r="AK8" s="1570">
        <v>1</v>
      </c>
      <c r="AL8" s="1570">
        <v>1</v>
      </c>
      <c r="AM8" s="1570">
        <v>1</v>
      </c>
      <c r="AN8" s="1570">
        <v>1</v>
      </c>
      <c r="AO8" s="1570">
        <v>1</v>
      </c>
      <c r="AP8" s="390"/>
      <c r="AQ8" s="1479">
        <f t="shared" ref="AQ8:AQ9" si="2">IF(L8&gt;K8,L8-K8,0)</f>
        <v>1</v>
      </c>
      <c r="AR8" s="1565"/>
      <c r="AS8" s="1565"/>
      <c r="AT8" s="1565"/>
      <c r="AU8" s="1565"/>
      <c r="AV8" s="1565"/>
      <c r="AW8" s="1565"/>
      <c r="AX8" s="1565"/>
      <c r="AY8" s="1565"/>
      <c r="AZ8" s="1565"/>
      <c r="BA8" s="1565"/>
      <c r="BB8" s="1565"/>
      <c r="BC8" s="1565"/>
      <c r="BD8" s="1565"/>
      <c r="BE8" s="1565"/>
      <c r="BF8" s="1565"/>
      <c r="BG8" s="1565"/>
      <c r="BH8" s="1565"/>
      <c r="BI8" s="1565"/>
      <c r="BJ8" s="1565"/>
      <c r="BK8" s="1565"/>
      <c r="BL8" s="1565"/>
      <c r="BM8" s="1565"/>
      <c r="BN8" s="1565"/>
      <c r="BO8" s="1565"/>
      <c r="BP8" s="1565"/>
      <c r="BQ8" s="1565"/>
      <c r="BR8" s="1565"/>
      <c r="BS8" s="1565"/>
      <c r="BT8" s="1565"/>
      <c r="BU8" s="390"/>
      <c r="BV8" s="1571">
        <f t="shared" ref="BV8" ca="1" si="3">IF(L8-SUM(OFFSET(AQ8,,-$J8+1,,$J8))-IF($J8&gt;1,SUM(OFFSET(BV8,,-$J8+1,,$J8-1)),0)&gt;0,L8-SUM(OFFSET(AQ8,,-$J8+1,,$J8))-IF($J8&gt;1,SUM(OFFSET(BV8,,-$J8+1,,$J8-1)),0),0)</f>
        <v>0</v>
      </c>
      <c r="BW8" s="1571">
        <f t="shared" ref="BW8" ca="1" si="4">IF(M8-SUM(OFFSET(AR8,,-$J8+1,,$J8))-IF($J8&gt;1,SUM(OFFSET(BW8,,-$J8+1,,$J8-1)),0)&gt;0,M8-SUM(OFFSET(AR8,,-$J8+1,,$J8))-IF($J8&gt;1,SUM(OFFSET(BW8,,-$J8+1,,$J8-1)),0),0)</f>
        <v>0</v>
      </c>
      <c r="BX8" s="1571">
        <f t="shared" ref="BX8" ca="1" si="5">IF(N8-SUM(OFFSET(AS8,,-$J8+1,,$J8))-IF($J8&gt;1,SUM(OFFSET(BX8,,-$J8+1,,$J8-1)),0)&gt;0,N8-SUM(OFFSET(AS8,,-$J8+1,,$J8))-IF($J8&gt;1,SUM(OFFSET(BX8,,-$J8+1,,$J8-1)),0),0)</f>
        <v>0</v>
      </c>
      <c r="BY8" s="1571">
        <f t="shared" ref="BY8" ca="1" si="6">IF(O8-SUM(OFFSET(AT8,,-$J8+1,,$J8))-IF($J8&gt;1,SUM(OFFSET(BY8,,-$J8+1,,$J8-1)),0)&gt;0,O8-SUM(OFFSET(AT8,,-$J8+1,,$J8))-IF($J8&gt;1,SUM(OFFSET(BY8,,-$J8+1,,$J8-1)),0),0)</f>
        <v>0</v>
      </c>
      <c r="BZ8" s="1571">
        <f t="shared" ref="BZ8" ca="1" si="7">IF(P8-SUM(OFFSET(AU8,,-$J8+1,,$J8))-IF($J8&gt;1,SUM(OFFSET(BZ8,,-$J8+1,,$J8-1)),0)&gt;0,P8-SUM(OFFSET(AU8,,-$J8+1,,$J8))-IF($J8&gt;1,SUM(OFFSET(BZ8,,-$J8+1,,$J8-1)),0),0)</f>
        <v>0</v>
      </c>
      <c r="CA8" s="1571">
        <f t="shared" ref="CA8" ca="1" si="8">IF(Q8-SUM(OFFSET(AV8,,-$J8+1,,$J8))-IF($J8&gt;1,SUM(OFFSET(CA8,,-$J8+1,,$J8-1)),0)&gt;0,Q8-SUM(OFFSET(AV8,,-$J8+1,,$J8))-IF($J8&gt;1,SUM(OFFSET(CA8,,-$J8+1,,$J8-1)),0),0)</f>
        <v>0</v>
      </c>
      <c r="CB8" s="1571">
        <f t="shared" ref="CB8" ca="1" si="9">IF(R8-SUM(OFFSET(AW8,,-$J8+1,,$J8))-IF($J8&gt;1,SUM(OFFSET(CB8,,-$J8+1,,$J8-1)),0)&gt;0,R8-SUM(OFFSET(AW8,,-$J8+1,,$J8))-IF($J8&gt;1,SUM(OFFSET(CB8,,-$J8+1,,$J8-1)),0),0)</f>
        <v>0</v>
      </c>
      <c r="CC8" s="1571">
        <f t="shared" ref="CC8" ca="1" si="10">IF(S8-SUM(OFFSET(AX8,,-$J8+1,,$J8))-IF($J8&gt;1,SUM(OFFSET(CC8,,-$J8+1,,$J8-1)),0)&gt;0,S8-SUM(OFFSET(AX8,,-$J8+1,,$J8))-IF($J8&gt;1,SUM(OFFSET(CC8,,-$J8+1,,$J8-1)),0),0)</f>
        <v>0</v>
      </c>
      <c r="CD8" s="1571">
        <f t="shared" ref="CD8" ca="1" si="11">IF(T8-SUM(OFFSET(AY8,,-$J8+1,,$J8))-IF($J8&gt;1,SUM(OFFSET(CD8,,-$J8+1,,$J8-1)),0)&gt;0,T8-SUM(OFFSET(AY8,,-$J8+1,,$J8))-IF($J8&gt;1,SUM(OFFSET(CD8,,-$J8+1,,$J8-1)),0),0)</f>
        <v>0</v>
      </c>
      <c r="CE8" s="1571">
        <f t="shared" ref="CE8" ca="1" si="12">IF(U8-SUM(OFFSET(AZ8,,-$J8+1,,$J8))-IF($J8&gt;1,SUM(OFFSET(CE8,,-$J8+1,,$J8-1)),0)&gt;0,U8-SUM(OFFSET(AZ8,,-$J8+1,,$J8))-IF($J8&gt;1,SUM(OFFSET(CE8,,-$J8+1,,$J8-1)),0),0)</f>
        <v>0</v>
      </c>
      <c r="CF8" s="1571">
        <f t="shared" ref="CF8" ca="1" si="13">IF(V8-SUM(OFFSET(BA8,,-$J8+1,,$J8))-IF($J8&gt;1,SUM(OFFSET(CF8,,-$J8+1,,$J8-1)),0)&gt;0,V8-SUM(OFFSET(BA8,,-$J8+1,,$J8))-IF($J8&gt;1,SUM(OFFSET(CF8,,-$J8+1,,$J8-1)),0),0)</f>
        <v>0</v>
      </c>
      <c r="CG8" s="1571">
        <f t="shared" ref="CG8" ca="1" si="14">IF(W8-SUM(OFFSET(BB8,,-$J8+1,,$J8))-IF($J8&gt;1,SUM(OFFSET(CG8,,-$J8+1,,$J8-1)),0)&gt;0,W8-SUM(OFFSET(BB8,,-$J8+1,,$J8))-IF($J8&gt;1,SUM(OFFSET(CG8,,-$J8+1,,$J8-1)),0),0)</f>
        <v>0</v>
      </c>
      <c r="CH8" s="1571">
        <f t="shared" ref="CH8" ca="1" si="15">IF(X8-SUM(OFFSET(BC8,,-$J8+1,,$J8))-IF($J8&gt;1,SUM(OFFSET(CH8,,-$J8+1,,$J8-1)),0)&gt;0,X8-SUM(OFFSET(BC8,,-$J8+1,,$J8))-IF($J8&gt;1,SUM(OFFSET(CH8,,-$J8+1,,$J8-1)),0),0)</f>
        <v>0</v>
      </c>
      <c r="CI8" s="1571">
        <f t="shared" ref="CI8" ca="1" si="16">IF(Y8-SUM(OFFSET(BD8,,-$J8+1,,$J8))-IF($J8&gt;1,SUM(OFFSET(CI8,,-$J8+1,,$J8-1)),0)&gt;0,Y8-SUM(OFFSET(BD8,,-$J8+1,,$J8))-IF($J8&gt;1,SUM(OFFSET(CI8,,-$J8+1,,$J8-1)),0),0)</f>
        <v>0</v>
      </c>
      <c r="CJ8" s="1571">
        <f t="shared" ref="CJ8" ca="1" si="17">IF(Z8-SUM(OFFSET(BE8,,-$J8+1,,$J8))-IF($J8&gt;1,SUM(OFFSET(CJ8,,-$J8+1,,$J8-1)),0)&gt;0,Z8-SUM(OFFSET(BE8,,-$J8+1,,$J8))-IF($J8&gt;1,SUM(OFFSET(CJ8,,-$J8+1,,$J8-1)),0),0)</f>
        <v>0</v>
      </c>
      <c r="CK8" s="1571">
        <f t="shared" ref="CK8" ca="1" si="18">IF(AA8-SUM(OFFSET(BF8,,-$J8+1,,$J8))-IF($J8&gt;1,SUM(OFFSET(CK8,,-$J8+1,,$J8-1)),0)&gt;0,AA8-SUM(OFFSET(BF8,,-$J8+1,,$J8))-IF($J8&gt;1,SUM(OFFSET(CK8,,-$J8+1,,$J8-1)),0),0)</f>
        <v>0</v>
      </c>
      <c r="CL8" s="1571">
        <f t="shared" ref="CL8" ca="1" si="19">IF(AB8-SUM(OFFSET(BG8,,-$J8+1,,$J8))-IF($J8&gt;1,SUM(OFFSET(CL8,,-$J8+1,,$J8-1)),0)&gt;0,AB8-SUM(OFFSET(BG8,,-$J8+1,,$J8))-IF($J8&gt;1,SUM(OFFSET(CL8,,-$J8+1,,$J8-1)),0),0)</f>
        <v>0</v>
      </c>
      <c r="CM8" s="1571">
        <f t="shared" ref="CM8" ca="1" si="20">IF(AC8-SUM(OFFSET(BH8,,-$J8+1,,$J8))-IF($J8&gt;1,SUM(OFFSET(CM8,,-$J8+1,,$J8-1)),0)&gt;0,AC8-SUM(OFFSET(BH8,,-$J8+1,,$J8))-IF($J8&gt;1,SUM(OFFSET(CM8,,-$J8+1,,$J8-1)),0),0)</f>
        <v>0</v>
      </c>
      <c r="CN8" s="1571">
        <f t="shared" ref="CN8" ca="1" si="21">IF(AD8-SUM(OFFSET(BI8,,-$J8+1,,$J8))-IF($J8&gt;1,SUM(OFFSET(CN8,,-$J8+1,,$J8-1)),0)&gt;0,AD8-SUM(OFFSET(BI8,,-$J8+1,,$J8))-IF($J8&gt;1,SUM(OFFSET(CN8,,-$J8+1,,$J8-1)),0),0)</f>
        <v>0</v>
      </c>
      <c r="CO8" s="1571">
        <f t="shared" ref="CO8" ca="1" si="22">IF(AE8-SUM(OFFSET(BJ8,,-$J8+1,,$J8))-IF($J8&gt;1,SUM(OFFSET(CO8,,-$J8+1,,$J8-1)),0)&gt;0,AE8-SUM(OFFSET(BJ8,,-$J8+1,,$J8))-IF($J8&gt;1,SUM(OFFSET(CO8,,-$J8+1,,$J8-1)),0),0)</f>
        <v>0</v>
      </c>
      <c r="CP8" s="1571">
        <f t="shared" ref="CP8" ca="1" si="23">IF(AF8-SUM(OFFSET(BK8,,-$J8+1,,$J8))-IF($J8&gt;1,SUM(OFFSET(CP8,,-$J8+1,,$J8-1)),0)&gt;0,AF8-SUM(OFFSET(BK8,,-$J8+1,,$J8))-IF($J8&gt;1,SUM(OFFSET(CP8,,-$J8+1,,$J8-1)),0),0)</f>
        <v>0</v>
      </c>
      <c r="CQ8" s="1571">
        <f t="shared" ref="CQ8" ca="1" si="24">IF(AG8-SUM(OFFSET(BL8,,-$J8+1,,$J8))-IF($J8&gt;1,SUM(OFFSET(CQ8,,-$J8+1,,$J8-1)),0)&gt;0,AG8-SUM(OFFSET(BL8,,-$J8+1,,$J8))-IF($J8&gt;1,SUM(OFFSET(CQ8,,-$J8+1,,$J8-1)),0),0)</f>
        <v>0</v>
      </c>
      <c r="CR8" s="1571">
        <f t="shared" ref="CR8" ca="1" si="25">IF(AH8-SUM(OFFSET(BM8,,-$J8+1,,$J8))-IF($J8&gt;1,SUM(OFFSET(CR8,,-$J8+1,,$J8-1)),0)&gt;0,AH8-SUM(OFFSET(BM8,,-$J8+1,,$J8))-IF($J8&gt;1,SUM(OFFSET(CR8,,-$J8+1,,$J8-1)),0),0)</f>
        <v>0</v>
      </c>
      <c r="CS8" s="1571">
        <f t="shared" ref="CS8" ca="1" si="26">IF(AI8-SUM(OFFSET(BN8,,-$J8+1,,$J8))-IF($J8&gt;1,SUM(OFFSET(CS8,,-$J8+1,,$J8-1)),0)&gt;0,AI8-SUM(OFFSET(BN8,,-$J8+1,,$J8))-IF($J8&gt;1,SUM(OFFSET(CS8,,-$J8+1,,$J8-1)),0),0)</f>
        <v>0</v>
      </c>
      <c r="CT8" s="1571">
        <f t="shared" ref="CT8" ca="1" si="27">IF(AJ8-SUM(OFFSET(BO8,,-$J8+1,,$J8))-IF($J8&gt;1,SUM(OFFSET(CT8,,-$J8+1,,$J8-1)),0)&gt;0,AJ8-SUM(OFFSET(BO8,,-$J8+1,,$J8))-IF($J8&gt;1,SUM(OFFSET(CT8,,-$J8+1,,$J8-1)),0),0)</f>
        <v>0</v>
      </c>
      <c r="CU8" s="1571">
        <f t="shared" ref="CU8" ca="1" si="28">IF(AK8-SUM(OFFSET(BP8,,-$J8+1,,$J8))-IF($J8&gt;1,SUM(OFFSET(CU8,,-$J8+1,,$J8-1)),0)&gt;0,AK8-SUM(OFFSET(BP8,,-$J8+1,,$J8))-IF($J8&gt;1,SUM(OFFSET(CU8,,-$J8+1,,$J8-1)),0),0)</f>
        <v>0</v>
      </c>
      <c r="CV8" s="1571">
        <f t="shared" ref="CV8" ca="1" si="29">IF(AL8-SUM(OFFSET(BQ8,,-$J8+1,,$J8))-IF($J8&gt;1,SUM(OFFSET(CV8,,-$J8+1,,$J8-1)),0)&gt;0,AL8-SUM(OFFSET(BQ8,,-$J8+1,,$J8))-IF($J8&gt;1,SUM(OFFSET(CV8,,-$J8+1,,$J8-1)),0),0)</f>
        <v>0</v>
      </c>
      <c r="CW8" s="1571">
        <f t="shared" ref="CW8" ca="1" si="30">IF(AM8-SUM(OFFSET(BR8,,-$J8+1,,$J8))-IF($J8&gt;1,SUM(OFFSET(CW8,,-$J8+1,,$J8-1)),0)&gt;0,AM8-SUM(OFFSET(BR8,,-$J8+1,,$J8))-IF($J8&gt;1,SUM(OFFSET(CW8,,-$J8+1,,$J8-1)),0),0)</f>
        <v>0</v>
      </c>
      <c r="CX8" s="1571">
        <f t="shared" ref="CX8" ca="1" si="31">IF(AN8-SUM(OFFSET(BS8,,-$J8+1,,$J8))-IF($J8&gt;1,SUM(OFFSET(CX8,,-$J8+1,,$J8-1)),0)&gt;0,AN8-SUM(OFFSET(BS8,,-$J8+1,,$J8))-IF($J8&gt;1,SUM(OFFSET(CX8,,-$J8+1,,$J8-1)),0),0)</f>
        <v>0</v>
      </c>
      <c r="CY8" s="1571">
        <f t="shared" ref="CY8" ca="1" si="32">IF(AO8-SUM(OFFSET(BT8,,-$J8+1,,$J8))-IF($J8&gt;1,SUM(OFFSET(CY8,,-$J8+1,,$J8-1)),0)&gt;0,AO8-SUM(OFFSET(BT8,,-$J8+1,,$J8))-IF($J8&gt;1,SUM(OFFSET(CY8,,-$J8+1,,$J8-1)),0),0)</f>
        <v>0</v>
      </c>
      <c r="CZ8" s="31"/>
      <c r="DA8" s="1572">
        <f t="shared" ref="DA8:DA9" si="33">AQ8*$H8</f>
        <v>516171.13750000001</v>
      </c>
      <c r="DB8" s="1572">
        <f t="shared" ref="DB8:DB9" si="34">AR8*$H8</f>
        <v>0</v>
      </c>
      <c r="DC8" s="1572">
        <f t="shared" ref="DC8:DC9" si="35">AS8*$H8</f>
        <v>0</v>
      </c>
      <c r="DD8" s="1572">
        <f t="shared" ref="DD8:DD9" si="36">AT8*$H8</f>
        <v>0</v>
      </c>
      <c r="DE8" s="1572">
        <f t="shared" ref="DE8:DE9" si="37">AU8*$H8</f>
        <v>0</v>
      </c>
      <c r="DF8" s="1572">
        <f t="shared" ref="DF8:DF9" si="38">AV8*$H8</f>
        <v>0</v>
      </c>
      <c r="DG8" s="1572">
        <f t="shared" ref="DG8:DG9" si="39">AW8*$H8</f>
        <v>0</v>
      </c>
      <c r="DH8" s="1572">
        <f t="shared" ref="DH8:DH9" si="40">AX8*$H8</f>
        <v>0</v>
      </c>
      <c r="DI8" s="1572">
        <f t="shared" ref="DI8:DI9" si="41">AY8*$H8</f>
        <v>0</v>
      </c>
      <c r="DJ8" s="1572">
        <f t="shared" ref="DJ8:DJ9" si="42">AZ8*$H8</f>
        <v>0</v>
      </c>
      <c r="DK8" s="1572">
        <f t="shared" ref="DK8:DK9" si="43">BA8*$H8</f>
        <v>0</v>
      </c>
      <c r="DL8" s="1572">
        <f t="shared" ref="DL8:DL9" si="44">BB8*$H8</f>
        <v>0</v>
      </c>
      <c r="DM8" s="1572">
        <f t="shared" ref="DM8:DM9" si="45">BC8*$H8</f>
        <v>0</v>
      </c>
      <c r="DN8" s="1572">
        <f t="shared" ref="DN8:DN9" si="46">BD8*$H8</f>
        <v>0</v>
      </c>
      <c r="DO8" s="1572">
        <f t="shared" ref="DO8:DO9" si="47">BE8*$H8</f>
        <v>0</v>
      </c>
      <c r="DP8" s="1572">
        <f t="shared" ref="DP8:DP9" si="48">BF8*$H8</f>
        <v>0</v>
      </c>
      <c r="DQ8" s="1572">
        <f t="shared" ref="DQ8:DQ9" si="49">BG8*$H8</f>
        <v>0</v>
      </c>
      <c r="DR8" s="1572">
        <f t="shared" ref="DR8:DR9" si="50">BH8*$H8</f>
        <v>0</v>
      </c>
      <c r="DS8" s="1572">
        <f t="shared" ref="DS8:DS9" si="51">BI8*$H8</f>
        <v>0</v>
      </c>
      <c r="DT8" s="1572">
        <f t="shared" ref="DT8:DT9" si="52">BJ8*$H8</f>
        <v>0</v>
      </c>
      <c r="DU8" s="1572">
        <f t="shared" ref="DU8:DU9" si="53">BK8*$H8</f>
        <v>0</v>
      </c>
      <c r="DV8" s="1572">
        <f t="shared" ref="DV8:DV9" si="54">BL8*$H8</f>
        <v>0</v>
      </c>
      <c r="DW8" s="1572">
        <f t="shared" ref="DW8:DW9" si="55">BM8*$H8</f>
        <v>0</v>
      </c>
      <c r="DX8" s="1572">
        <f t="shared" ref="DX8:DX9" si="56">BN8*$H8</f>
        <v>0</v>
      </c>
      <c r="DY8" s="1572">
        <f t="shared" ref="DY8:DY9" si="57">BO8*$H8</f>
        <v>0</v>
      </c>
      <c r="DZ8" s="1572">
        <f t="shared" ref="DZ8:DZ9" si="58">BP8*$H8</f>
        <v>0</v>
      </c>
      <c r="EA8" s="1572">
        <f t="shared" ref="EA8:EA9" si="59">BQ8*$H8</f>
        <v>0</v>
      </c>
      <c r="EB8" s="1572">
        <f t="shared" ref="EB8:EB9" si="60">BR8*$H8</f>
        <v>0</v>
      </c>
      <c r="EC8" s="1572">
        <f t="shared" ref="EC8:EC9" si="61">BS8*$H8</f>
        <v>0</v>
      </c>
      <c r="ED8" s="1572">
        <f t="shared" ref="ED8:ED9" si="62">BT8*$H8</f>
        <v>0</v>
      </c>
      <c r="EE8" s="31"/>
      <c r="EF8" s="1572">
        <f t="shared" ref="EF8:EF9" ca="1" si="63">BV8*$I8</f>
        <v>0</v>
      </c>
      <c r="EG8" s="1572">
        <f t="shared" ref="EG8:EG9" ca="1" si="64">BW8*$I8</f>
        <v>0</v>
      </c>
      <c r="EH8" s="1572">
        <f t="shared" ref="EH8:EH9" ca="1" si="65">BX8*$I8</f>
        <v>0</v>
      </c>
      <c r="EI8" s="1572">
        <f t="shared" ref="EI8:EI9" ca="1" si="66">BY8*$I8</f>
        <v>0</v>
      </c>
      <c r="EJ8" s="1572">
        <f t="shared" ref="EJ8:EJ9" ca="1" si="67">BZ8*$I8</f>
        <v>0</v>
      </c>
      <c r="EK8" s="1572">
        <f t="shared" ref="EK8:EK9" ca="1" si="68">CA8*$I8</f>
        <v>0</v>
      </c>
      <c r="EL8" s="1572">
        <f t="shared" ref="EL8:EL9" ca="1" si="69">CB8*$I8</f>
        <v>0</v>
      </c>
      <c r="EM8" s="1572">
        <f t="shared" ref="EM8:EM9" ca="1" si="70">CC8*$I8</f>
        <v>0</v>
      </c>
      <c r="EN8" s="1572">
        <f t="shared" ref="EN8:EN9" ca="1" si="71">CD8*$I8</f>
        <v>0</v>
      </c>
      <c r="EO8" s="1572">
        <f t="shared" ref="EO8:EO9" ca="1" si="72">CE8*$I8</f>
        <v>0</v>
      </c>
      <c r="EP8" s="1572">
        <f t="shared" ref="EP8:EP9" ca="1" si="73">CF8*$I8</f>
        <v>0</v>
      </c>
      <c r="EQ8" s="1572">
        <f t="shared" ref="EQ8:EQ9" ca="1" si="74">CG8*$I8</f>
        <v>0</v>
      </c>
      <c r="ER8" s="1572">
        <f t="shared" ref="ER8:ER9" ca="1" si="75">CH8*$I8</f>
        <v>0</v>
      </c>
      <c r="ES8" s="1572">
        <f t="shared" ref="ES8:ES9" ca="1" si="76">CI8*$I8</f>
        <v>0</v>
      </c>
      <c r="ET8" s="1572">
        <f t="shared" ref="ET8:ET9" ca="1" si="77">CJ8*$I8</f>
        <v>0</v>
      </c>
      <c r="EU8" s="1572">
        <f t="shared" ref="EU8:EU9" ca="1" si="78">CK8*$I8</f>
        <v>0</v>
      </c>
      <c r="EV8" s="1572">
        <f t="shared" ref="EV8:EV9" ca="1" si="79">CL8*$I8</f>
        <v>0</v>
      </c>
      <c r="EW8" s="1572">
        <f t="shared" ref="EW8:EW9" ca="1" si="80">CM8*$I8</f>
        <v>0</v>
      </c>
      <c r="EX8" s="1572">
        <f t="shared" ref="EX8:EX9" ca="1" si="81">CN8*$I8</f>
        <v>0</v>
      </c>
      <c r="EY8" s="1572">
        <f t="shared" ref="EY8:EY9" ca="1" si="82">CO8*$I8</f>
        <v>0</v>
      </c>
      <c r="EZ8" s="1572">
        <f t="shared" ref="EZ8:EZ9" ca="1" si="83">CP8*$I8</f>
        <v>0</v>
      </c>
      <c r="FA8" s="1572">
        <f t="shared" ref="FA8:FA9" ca="1" si="84">CQ8*$I8</f>
        <v>0</v>
      </c>
      <c r="FB8" s="1572">
        <f t="shared" ref="FB8:FB9" ca="1" si="85">CR8*$I8</f>
        <v>0</v>
      </c>
      <c r="FC8" s="1572">
        <f t="shared" ref="FC8:FC9" ca="1" si="86">CS8*$I8</f>
        <v>0</v>
      </c>
      <c r="FD8" s="1572">
        <f t="shared" ref="FD8:FD9" ca="1" si="87">CT8*$I8</f>
        <v>0</v>
      </c>
      <c r="FE8" s="1572">
        <f t="shared" ref="FE8:FE9" ca="1" si="88">CU8*$I8</f>
        <v>0</v>
      </c>
      <c r="FF8" s="1572">
        <f t="shared" ref="FF8:FF9" ca="1" si="89">CV8*$I8</f>
        <v>0</v>
      </c>
      <c r="FG8" s="1572">
        <f t="shared" ref="FG8:FG9" ca="1" si="90">CW8*$I8</f>
        <v>0</v>
      </c>
      <c r="FH8" s="1572">
        <f t="shared" ref="FH8:FH9" ca="1" si="91">CX8*$I8</f>
        <v>0</v>
      </c>
      <c r="FI8" s="1572">
        <f t="shared" ref="FI8:FI9" ca="1" si="92">CY8*$I8</f>
        <v>0</v>
      </c>
    </row>
    <row r="9" spans="1:188" ht="12.75" customHeight="1">
      <c r="A9" s="595"/>
      <c r="B9" s="598"/>
      <c r="C9" s="599"/>
      <c r="F9" s="1573"/>
      <c r="G9" s="398"/>
      <c r="H9" s="136"/>
      <c r="I9" s="136"/>
      <c r="J9" s="137"/>
      <c r="K9" s="30"/>
      <c r="L9" s="1570"/>
      <c r="M9" s="1570"/>
      <c r="N9" s="1570"/>
      <c r="O9" s="1570"/>
      <c r="P9" s="1570"/>
      <c r="Q9" s="1570"/>
      <c r="R9" s="1570"/>
      <c r="S9" s="1570"/>
      <c r="T9" s="1570"/>
      <c r="U9" s="1570"/>
      <c r="V9" s="1570"/>
      <c r="W9" s="1570"/>
      <c r="X9" s="1570"/>
      <c r="Y9" s="1570"/>
      <c r="Z9" s="1570"/>
      <c r="AA9" s="1570"/>
      <c r="AB9" s="1570"/>
      <c r="AC9" s="1570"/>
      <c r="AD9" s="1570"/>
      <c r="AE9" s="1570"/>
      <c r="AF9" s="1570"/>
      <c r="AG9" s="1570"/>
      <c r="AH9" s="1570"/>
      <c r="AI9" s="1570"/>
      <c r="AJ9" s="1570"/>
      <c r="AK9" s="1570"/>
      <c r="AL9" s="1570"/>
      <c r="AM9" s="1570"/>
      <c r="AN9" s="1570"/>
      <c r="AO9" s="1570"/>
      <c r="AP9" s="390"/>
      <c r="AQ9" s="1479">
        <f t="shared" si="2"/>
        <v>0</v>
      </c>
      <c r="AR9" s="1565"/>
      <c r="AS9" s="1565"/>
      <c r="AT9" s="1565"/>
      <c r="AU9" s="1565"/>
      <c r="AV9" s="1565"/>
      <c r="AW9" s="1565"/>
      <c r="AX9" s="1565"/>
      <c r="AY9" s="1565"/>
      <c r="AZ9" s="1565"/>
      <c r="BA9" s="1565"/>
      <c r="BB9" s="1565"/>
      <c r="BC9" s="1565"/>
      <c r="BD9" s="1565"/>
      <c r="BE9" s="1565"/>
      <c r="BF9" s="1565"/>
      <c r="BG9" s="1565"/>
      <c r="BH9" s="1565"/>
      <c r="BI9" s="1565"/>
      <c r="BJ9" s="1565"/>
      <c r="BK9" s="1565"/>
      <c r="BL9" s="1565"/>
      <c r="BM9" s="1565"/>
      <c r="BN9" s="1565"/>
      <c r="BO9" s="1565"/>
      <c r="BP9" s="1565"/>
      <c r="BQ9" s="1565"/>
      <c r="BR9" s="1565"/>
      <c r="BS9" s="1565"/>
      <c r="BT9" s="1565"/>
      <c r="BU9" s="390"/>
      <c r="BV9" s="1571"/>
      <c r="BW9" s="1571"/>
      <c r="BX9" s="1571"/>
      <c r="BY9" s="1571"/>
      <c r="BZ9" s="1571"/>
      <c r="CA9" s="1571"/>
      <c r="CB9" s="1571"/>
      <c r="CC9" s="1571"/>
      <c r="CD9" s="1571"/>
      <c r="CE9" s="1571"/>
      <c r="CF9" s="1571"/>
      <c r="CG9" s="1571"/>
      <c r="CH9" s="1571"/>
      <c r="CI9" s="1571"/>
      <c r="CJ9" s="1571"/>
      <c r="CK9" s="1571"/>
      <c r="CL9" s="1571"/>
      <c r="CM9" s="1571"/>
      <c r="CN9" s="1571"/>
      <c r="CO9" s="1571"/>
      <c r="CP9" s="1571"/>
      <c r="CQ9" s="1571"/>
      <c r="CR9" s="1571"/>
      <c r="CS9" s="1571"/>
      <c r="CT9" s="1571"/>
      <c r="CU9" s="1571"/>
      <c r="CV9" s="1571"/>
      <c r="CW9" s="1571"/>
      <c r="CX9" s="1571"/>
      <c r="CY9" s="1571"/>
      <c r="CZ9" s="31"/>
      <c r="DA9" s="1572">
        <f t="shared" si="33"/>
        <v>0</v>
      </c>
      <c r="DB9" s="1572">
        <f t="shared" si="34"/>
        <v>0</v>
      </c>
      <c r="DC9" s="1572">
        <f t="shared" si="35"/>
        <v>0</v>
      </c>
      <c r="DD9" s="1572">
        <f t="shared" si="36"/>
        <v>0</v>
      </c>
      <c r="DE9" s="1572">
        <f t="shared" si="37"/>
        <v>0</v>
      </c>
      <c r="DF9" s="1572">
        <f t="shared" si="38"/>
        <v>0</v>
      </c>
      <c r="DG9" s="1572">
        <f t="shared" si="39"/>
        <v>0</v>
      </c>
      <c r="DH9" s="1572">
        <f t="shared" si="40"/>
        <v>0</v>
      </c>
      <c r="DI9" s="1572">
        <f t="shared" si="41"/>
        <v>0</v>
      </c>
      <c r="DJ9" s="1572">
        <f t="shared" si="42"/>
        <v>0</v>
      </c>
      <c r="DK9" s="1572">
        <f t="shared" si="43"/>
        <v>0</v>
      </c>
      <c r="DL9" s="1572">
        <f t="shared" si="44"/>
        <v>0</v>
      </c>
      <c r="DM9" s="1572">
        <f t="shared" si="45"/>
        <v>0</v>
      </c>
      <c r="DN9" s="1572">
        <f t="shared" si="46"/>
        <v>0</v>
      </c>
      <c r="DO9" s="1572">
        <f t="shared" si="47"/>
        <v>0</v>
      </c>
      <c r="DP9" s="1572">
        <f t="shared" si="48"/>
        <v>0</v>
      </c>
      <c r="DQ9" s="1572">
        <f t="shared" si="49"/>
        <v>0</v>
      </c>
      <c r="DR9" s="1572">
        <f t="shared" si="50"/>
        <v>0</v>
      </c>
      <c r="DS9" s="1572">
        <f t="shared" si="51"/>
        <v>0</v>
      </c>
      <c r="DT9" s="1572">
        <f t="shared" si="52"/>
        <v>0</v>
      </c>
      <c r="DU9" s="1572">
        <f t="shared" si="53"/>
        <v>0</v>
      </c>
      <c r="DV9" s="1572">
        <f t="shared" si="54"/>
        <v>0</v>
      </c>
      <c r="DW9" s="1572">
        <f t="shared" si="55"/>
        <v>0</v>
      </c>
      <c r="DX9" s="1572">
        <f t="shared" si="56"/>
        <v>0</v>
      </c>
      <c r="DY9" s="1572">
        <f t="shared" si="57"/>
        <v>0</v>
      </c>
      <c r="DZ9" s="1572">
        <f t="shared" si="58"/>
        <v>0</v>
      </c>
      <c r="EA9" s="1572">
        <f t="shared" si="59"/>
        <v>0</v>
      </c>
      <c r="EB9" s="1572">
        <f t="shared" si="60"/>
        <v>0</v>
      </c>
      <c r="EC9" s="1572">
        <f t="shared" si="61"/>
        <v>0</v>
      </c>
      <c r="ED9" s="1572">
        <f t="shared" si="62"/>
        <v>0</v>
      </c>
      <c r="EE9" s="31"/>
      <c r="EF9" s="1572">
        <f t="shared" si="63"/>
        <v>0</v>
      </c>
      <c r="EG9" s="1572">
        <f t="shared" si="64"/>
        <v>0</v>
      </c>
      <c r="EH9" s="1572">
        <f t="shared" si="65"/>
        <v>0</v>
      </c>
      <c r="EI9" s="1572">
        <f t="shared" si="66"/>
        <v>0</v>
      </c>
      <c r="EJ9" s="1572">
        <f t="shared" si="67"/>
        <v>0</v>
      </c>
      <c r="EK9" s="1572">
        <f t="shared" si="68"/>
        <v>0</v>
      </c>
      <c r="EL9" s="1572">
        <f t="shared" si="69"/>
        <v>0</v>
      </c>
      <c r="EM9" s="1572">
        <f t="shared" si="70"/>
        <v>0</v>
      </c>
      <c r="EN9" s="1572">
        <f t="shared" si="71"/>
        <v>0</v>
      </c>
      <c r="EO9" s="1572">
        <f t="shared" si="72"/>
        <v>0</v>
      </c>
      <c r="EP9" s="1572">
        <f t="shared" si="73"/>
        <v>0</v>
      </c>
      <c r="EQ9" s="1572">
        <f t="shared" si="74"/>
        <v>0</v>
      </c>
      <c r="ER9" s="1572">
        <f t="shared" si="75"/>
        <v>0</v>
      </c>
      <c r="ES9" s="1572">
        <f t="shared" si="76"/>
        <v>0</v>
      </c>
      <c r="ET9" s="1572">
        <f t="shared" si="77"/>
        <v>0</v>
      </c>
      <c r="EU9" s="1572">
        <f t="shared" si="78"/>
        <v>0</v>
      </c>
      <c r="EV9" s="1572">
        <f t="shared" si="79"/>
        <v>0</v>
      </c>
      <c r="EW9" s="1572">
        <f t="shared" si="80"/>
        <v>0</v>
      </c>
      <c r="EX9" s="1572">
        <f t="shared" si="81"/>
        <v>0</v>
      </c>
      <c r="EY9" s="1572">
        <f t="shared" si="82"/>
        <v>0</v>
      </c>
      <c r="EZ9" s="1572">
        <f t="shared" si="83"/>
        <v>0</v>
      </c>
      <c r="FA9" s="1572">
        <f t="shared" si="84"/>
        <v>0</v>
      </c>
      <c r="FB9" s="1572">
        <f t="shared" si="85"/>
        <v>0</v>
      </c>
      <c r="FC9" s="1572">
        <f t="shared" si="86"/>
        <v>0</v>
      </c>
      <c r="FD9" s="1572">
        <f t="shared" si="87"/>
        <v>0</v>
      </c>
      <c r="FE9" s="1572">
        <f t="shared" si="88"/>
        <v>0</v>
      </c>
      <c r="FF9" s="1572">
        <f t="shared" si="89"/>
        <v>0</v>
      </c>
      <c r="FG9" s="1572">
        <f t="shared" si="90"/>
        <v>0</v>
      </c>
      <c r="FH9" s="1572">
        <f t="shared" si="91"/>
        <v>0</v>
      </c>
      <c r="FI9" s="1572">
        <f t="shared" si="92"/>
        <v>0</v>
      </c>
    </row>
    <row r="10" spans="1:188" ht="12.75" customHeight="1">
      <c r="A10" s="595"/>
      <c r="B10" s="598"/>
      <c r="C10" s="599"/>
      <c r="F10" s="1574"/>
      <c r="G10" s="404"/>
      <c r="H10" s="314"/>
      <c r="I10" s="314"/>
      <c r="J10" s="1575"/>
      <c r="K10" s="30"/>
      <c r="L10" s="1565"/>
      <c r="M10" s="1565"/>
      <c r="N10" s="1565"/>
      <c r="O10" s="1565"/>
      <c r="P10" s="1565"/>
      <c r="Q10" s="1565"/>
      <c r="R10" s="1565"/>
      <c r="S10" s="1565"/>
      <c r="T10" s="1565"/>
      <c r="U10" s="1565"/>
      <c r="V10" s="1565"/>
      <c r="W10" s="1565"/>
      <c r="X10" s="1565"/>
      <c r="Y10" s="1565"/>
      <c r="Z10" s="1565"/>
      <c r="AA10" s="1565"/>
      <c r="AB10" s="1565"/>
      <c r="AC10" s="1565"/>
      <c r="AD10" s="1565"/>
      <c r="AE10" s="1565"/>
      <c r="AF10" s="1565"/>
      <c r="AG10" s="1565"/>
      <c r="AH10" s="1565"/>
      <c r="AI10" s="1565"/>
      <c r="AJ10" s="1565"/>
      <c r="AK10" s="1565"/>
      <c r="AL10" s="1565"/>
      <c r="AM10" s="1565"/>
      <c r="AN10" s="1565"/>
      <c r="AO10" s="1565"/>
      <c r="AP10" s="390"/>
      <c r="AQ10" s="1479"/>
      <c r="AR10" s="1565"/>
      <c r="AS10" s="1565"/>
      <c r="AT10" s="1565"/>
      <c r="AU10" s="1565"/>
      <c r="AV10" s="1565"/>
      <c r="AW10" s="1565"/>
      <c r="AX10" s="1565"/>
      <c r="AY10" s="1565"/>
      <c r="AZ10" s="1565"/>
      <c r="BA10" s="1565"/>
      <c r="BB10" s="1565"/>
      <c r="BC10" s="1565"/>
      <c r="BD10" s="1565"/>
      <c r="BE10" s="1565"/>
      <c r="BF10" s="1565"/>
      <c r="BG10" s="1565"/>
      <c r="BH10" s="1565"/>
      <c r="BI10" s="1565"/>
      <c r="BJ10" s="1565"/>
      <c r="BK10" s="1565"/>
      <c r="BL10" s="1565"/>
      <c r="BM10" s="1565"/>
      <c r="BN10" s="1565"/>
      <c r="BO10" s="1565"/>
      <c r="BP10" s="1565"/>
      <c r="BQ10" s="1565"/>
      <c r="BR10" s="1565"/>
      <c r="BS10" s="1565"/>
      <c r="BT10" s="1565"/>
      <c r="BU10" s="390"/>
      <c r="BV10" s="1571"/>
      <c r="BW10" s="1566"/>
      <c r="BX10" s="1566"/>
      <c r="BY10" s="1566"/>
      <c r="BZ10" s="1566"/>
      <c r="CA10" s="1566"/>
      <c r="CB10" s="1566"/>
      <c r="CC10" s="1566"/>
      <c r="CD10" s="1566"/>
      <c r="CE10" s="1566"/>
      <c r="CF10" s="1566"/>
      <c r="CG10" s="1566"/>
      <c r="CH10" s="1566"/>
      <c r="CI10" s="1566"/>
      <c r="CJ10" s="1566"/>
      <c r="CK10" s="1566"/>
      <c r="CL10" s="1566"/>
      <c r="CM10" s="1566"/>
      <c r="CN10" s="1566"/>
      <c r="CO10" s="1566"/>
      <c r="CP10" s="1566"/>
      <c r="CQ10" s="1566"/>
      <c r="CR10" s="1566"/>
      <c r="CS10" s="1566"/>
      <c r="CT10" s="1566"/>
      <c r="CU10" s="1566"/>
      <c r="CV10" s="1566"/>
      <c r="CW10" s="1566"/>
      <c r="CX10" s="1566"/>
      <c r="CY10" s="1566"/>
      <c r="CZ10" s="31"/>
      <c r="DA10" s="1567"/>
      <c r="DB10" s="1567"/>
      <c r="DC10" s="1567"/>
      <c r="DD10" s="1567"/>
      <c r="DE10" s="1567"/>
      <c r="DF10" s="1567"/>
      <c r="DG10" s="1567"/>
      <c r="DH10" s="1567"/>
      <c r="DI10" s="1567"/>
      <c r="DJ10" s="1567"/>
      <c r="DK10" s="1567"/>
      <c r="DL10" s="1567"/>
      <c r="DM10" s="1567"/>
      <c r="DN10" s="1567"/>
      <c r="DO10" s="1567"/>
      <c r="DP10" s="1567"/>
      <c r="DQ10" s="1567"/>
      <c r="DR10" s="1567"/>
      <c r="DS10" s="1567"/>
      <c r="DT10" s="1567"/>
      <c r="DU10" s="1567"/>
      <c r="DV10" s="1567"/>
      <c r="DW10" s="1567"/>
      <c r="DX10" s="1567"/>
      <c r="DY10" s="1567"/>
      <c r="DZ10" s="1567"/>
      <c r="EA10" s="1567"/>
      <c r="EB10" s="1567"/>
      <c r="EC10" s="1567"/>
      <c r="ED10" s="1567"/>
      <c r="EE10" s="31"/>
      <c r="EF10" s="1567"/>
      <c r="EG10" s="1567"/>
      <c r="EH10" s="1567"/>
      <c r="EI10" s="1567"/>
      <c r="EJ10" s="1567"/>
      <c r="EK10" s="1567"/>
      <c r="EL10" s="1567"/>
      <c r="EM10" s="1567"/>
      <c r="EN10" s="1567"/>
      <c r="EO10" s="1567"/>
      <c r="EP10" s="1567"/>
      <c r="EQ10" s="1567"/>
      <c r="ER10" s="1567"/>
      <c r="ES10" s="1567"/>
      <c r="ET10" s="1567"/>
      <c r="EU10" s="1567"/>
      <c r="EV10" s="1567"/>
      <c r="EW10" s="1567"/>
      <c r="EX10" s="1567"/>
      <c r="EY10" s="1567"/>
      <c r="EZ10" s="1567"/>
      <c r="FA10" s="1567"/>
      <c r="FB10" s="1567"/>
      <c r="FC10" s="1567"/>
      <c r="FD10" s="1567"/>
      <c r="FE10" s="1567"/>
      <c r="FF10" s="1567"/>
      <c r="FG10" s="1567"/>
      <c r="FH10" s="1567"/>
      <c r="FI10" s="1567"/>
    </row>
    <row r="11" spans="1:188" ht="12.75" customHeight="1">
      <c r="A11" s="595"/>
      <c r="B11" s="598"/>
      <c r="C11" s="599"/>
      <c r="F11" s="1573"/>
      <c r="G11" s="1568"/>
      <c r="H11" s="1569"/>
      <c r="I11" s="1569"/>
      <c r="J11" s="867"/>
      <c r="K11" s="97"/>
      <c r="L11" s="1479"/>
      <c r="M11" s="1479"/>
      <c r="N11" s="1479"/>
      <c r="O11" s="1479"/>
      <c r="P11" s="1479"/>
      <c r="Q11" s="1479"/>
      <c r="R11" s="1479"/>
      <c r="S11" s="1479"/>
      <c r="T11" s="1479"/>
      <c r="U11" s="1479"/>
      <c r="V11" s="1479"/>
      <c r="W11" s="1479"/>
      <c r="X11" s="1479"/>
      <c r="Y11" s="1479"/>
      <c r="Z11" s="1479"/>
      <c r="AA11" s="1479"/>
      <c r="AB11" s="1479"/>
      <c r="AC11" s="1479"/>
      <c r="AD11" s="1479"/>
      <c r="AE11" s="1479"/>
      <c r="AF11" s="1479"/>
      <c r="AG11" s="1479"/>
      <c r="AH11" s="1479"/>
      <c r="AI11" s="1479"/>
      <c r="AJ11" s="1479"/>
      <c r="AK11" s="1479"/>
      <c r="AL11" s="1479"/>
      <c r="AM11" s="1479"/>
      <c r="AN11" s="1479"/>
      <c r="AO11" s="1479"/>
      <c r="AP11" s="77"/>
      <c r="AQ11" s="1479"/>
      <c r="AR11" s="1479"/>
      <c r="AS11" s="1479"/>
      <c r="AT11" s="1479"/>
      <c r="AU11" s="1479"/>
      <c r="AV11" s="1479"/>
      <c r="AW11" s="1479"/>
      <c r="AX11" s="1479"/>
      <c r="AY11" s="1479"/>
      <c r="AZ11" s="1479"/>
      <c r="BA11" s="1479"/>
      <c r="BB11" s="1479"/>
      <c r="BC11" s="1479"/>
      <c r="BD11" s="1479"/>
      <c r="BE11" s="1479"/>
      <c r="BF11" s="1479"/>
      <c r="BG11" s="1479"/>
      <c r="BH11" s="1479"/>
      <c r="BI11" s="1479"/>
      <c r="BJ11" s="1479"/>
      <c r="BK11" s="1479"/>
      <c r="BL11" s="1479"/>
      <c r="BM11" s="1479"/>
      <c r="BN11" s="1479"/>
      <c r="BO11" s="1479"/>
      <c r="BP11" s="1479"/>
      <c r="BQ11" s="1479"/>
      <c r="BR11" s="1479"/>
      <c r="BS11" s="1479"/>
      <c r="BT11" s="1479"/>
      <c r="BU11" s="77"/>
      <c r="BV11" s="1571"/>
      <c r="BW11" s="1571"/>
      <c r="BX11" s="1571"/>
      <c r="BY11" s="1571"/>
      <c r="BZ11" s="1571"/>
      <c r="CA11" s="1571"/>
      <c r="CB11" s="1571"/>
      <c r="CC11" s="1571"/>
      <c r="CD11" s="1571"/>
      <c r="CE11" s="1571"/>
      <c r="CF11" s="1571"/>
      <c r="CG11" s="1571"/>
      <c r="CH11" s="1571"/>
      <c r="CI11" s="1571"/>
      <c r="CJ11" s="1571"/>
      <c r="CK11" s="1571"/>
      <c r="CL11" s="1571"/>
      <c r="CM11" s="1571"/>
      <c r="CN11" s="1571"/>
      <c r="CO11" s="1571"/>
      <c r="CP11" s="1571"/>
      <c r="CQ11" s="1571"/>
      <c r="CR11" s="1571"/>
      <c r="CS11" s="1571"/>
      <c r="CT11" s="1571"/>
      <c r="CU11" s="1571"/>
      <c r="CV11" s="1571"/>
      <c r="CW11" s="1571"/>
      <c r="CX11" s="1571"/>
      <c r="CY11" s="1571"/>
      <c r="CZ11" s="78"/>
      <c r="DA11" s="1572"/>
      <c r="DB11" s="1572"/>
      <c r="DC11" s="1572"/>
      <c r="DD11" s="1572"/>
      <c r="DE11" s="1572"/>
      <c r="DF11" s="1572"/>
      <c r="DG11" s="1572"/>
      <c r="DH11" s="1572"/>
      <c r="DI11" s="1572"/>
      <c r="DJ11" s="1572"/>
      <c r="DK11" s="1572"/>
      <c r="DL11" s="1572"/>
      <c r="DM11" s="1572"/>
      <c r="DN11" s="1572"/>
      <c r="DO11" s="1572"/>
      <c r="DP11" s="1572"/>
      <c r="DQ11" s="1572"/>
      <c r="DR11" s="1572"/>
      <c r="DS11" s="1572"/>
      <c r="DT11" s="1572"/>
      <c r="DU11" s="1572"/>
      <c r="DV11" s="1572"/>
      <c r="DW11" s="1572"/>
      <c r="DX11" s="1572"/>
      <c r="DY11" s="1572"/>
      <c r="DZ11" s="1572"/>
      <c r="EA11" s="1572"/>
      <c r="EB11" s="1572"/>
      <c r="EC11" s="1572"/>
      <c r="ED11" s="1572"/>
      <c r="EE11" s="79"/>
      <c r="EF11" s="1572"/>
      <c r="EG11" s="1572"/>
      <c r="EH11" s="1572"/>
      <c r="EI11" s="1572"/>
      <c r="EJ11" s="1572"/>
      <c r="EK11" s="1572"/>
      <c r="EL11" s="1572"/>
      <c r="EM11" s="1572"/>
      <c r="EN11" s="1572"/>
      <c r="EO11" s="1572"/>
      <c r="EP11" s="1572"/>
      <c r="EQ11" s="1572"/>
      <c r="ER11" s="1572"/>
      <c r="ES11" s="1572"/>
      <c r="ET11" s="1572"/>
      <c r="EU11" s="1572"/>
      <c r="EV11" s="1572"/>
      <c r="EW11" s="1572"/>
      <c r="EX11" s="1572"/>
      <c r="EY11" s="1572"/>
      <c r="EZ11" s="1572"/>
      <c r="FA11" s="1572"/>
      <c r="FB11" s="1572"/>
      <c r="FC11" s="1572"/>
      <c r="FD11" s="1572"/>
      <c r="FE11" s="1572"/>
      <c r="FF11" s="1572"/>
      <c r="FG11" s="1572"/>
      <c r="FH11" s="1572"/>
      <c r="FI11" s="1572"/>
    </row>
    <row r="12" spans="1:188" ht="12.75" customHeight="1">
      <c r="A12" s="595"/>
      <c r="B12" s="598"/>
      <c r="C12" s="599"/>
      <c r="F12" s="1573"/>
      <c r="G12" s="1568"/>
      <c r="H12" s="1569"/>
      <c r="I12" s="1569"/>
      <c r="J12" s="867"/>
      <c r="K12" s="97"/>
      <c r="L12" s="1479"/>
      <c r="M12" s="1479"/>
      <c r="N12" s="1479"/>
      <c r="O12" s="1479"/>
      <c r="P12" s="1479"/>
      <c r="Q12" s="1479"/>
      <c r="R12" s="1479"/>
      <c r="S12" s="1479"/>
      <c r="T12" s="1479"/>
      <c r="U12" s="1479"/>
      <c r="V12" s="1479"/>
      <c r="W12" s="1479"/>
      <c r="X12" s="1479"/>
      <c r="Y12" s="1479"/>
      <c r="Z12" s="1479"/>
      <c r="AA12" s="1479"/>
      <c r="AB12" s="1479"/>
      <c r="AC12" s="1479"/>
      <c r="AD12" s="1479"/>
      <c r="AE12" s="1479"/>
      <c r="AF12" s="1479"/>
      <c r="AG12" s="1479"/>
      <c r="AH12" s="1479"/>
      <c r="AI12" s="1479"/>
      <c r="AJ12" s="1479"/>
      <c r="AK12" s="1479"/>
      <c r="AL12" s="1479"/>
      <c r="AM12" s="1479"/>
      <c r="AN12" s="1479"/>
      <c r="AO12" s="1479"/>
      <c r="AP12" s="77"/>
      <c r="AQ12" s="1479"/>
      <c r="AR12" s="1479"/>
      <c r="AS12" s="1479"/>
      <c r="AT12" s="1479"/>
      <c r="AU12" s="1479"/>
      <c r="AV12" s="1479"/>
      <c r="AW12" s="1479"/>
      <c r="AX12" s="1479"/>
      <c r="AY12" s="1479"/>
      <c r="AZ12" s="1479"/>
      <c r="BA12" s="1479"/>
      <c r="BB12" s="1479"/>
      <c r="BC12" s="1479"/>
      <c r="BD12" s="1479"/>
      <c r="BE12" s="1479"/>
      <c r="BF12" s="1479"/>
      <c r="BG12" s="1479"/>
      <c r="BH12" s="1479"/>
      <c r="BI12" s="1479"/>
      <c r="BJ12" s="1479"/>
      <c r="BK12" s="1479"/>
      <c r="BL12" s="1479"/>
      <c r="BM12" s="1479"/>
      <c r="BN12" s="1479"/>
      <c r="BO12" s="1479"/>
      <c r="BP12" s="1479"/>
      <c r="BQ12" s="1479"/>
      <c r="BR12" s="1479"/>
      <c r="BS12" s="1479"/>
      <c r="BT12" s="1479"/>
      <c r="BU12" s="77"/>
      <c r="BV12" s="1571"/>
      <c r="BW12" s="1571"/>
      <c r="BX12" s="1571"/>
      <c r="BY12" s="1571"/>
      <c r="BZ12" s="1571"/>
      <c r="CA12" s="1571"/>
      <c r="CB12" s="1571"/>
      <c r="CC12" s="1571"/>
      <c r="CD12" s="1571"/>
      <c r="CE12" s="1571"/>
      <c r="CF12" s="1571"/>
      <c r="CG12" s="1571"/>
      <c r="CH12" s="1571"/>
      <c r="CI12" s="1571"/>
      <c r="CJ12" s="1571"/>
      <c r="CK12" s="1571"/>
      <c r="CL12" s="1571"/>
      <c r="CM12" s="1571"/>
      <c r="CN12" s="1571"/>
      <c r="CO12" s="1571"/>
      <c r="CP12" s="1571"/>
      <c r="CQ12" s="1571"/>
      <c r="CR12" s="1571"/>
      <c r="CS12" s="1571"/>
      <c r="CT12" s="1571"/>
      <c r="CU12" s="1571"/>
      <c r="CV12" s="1571"/>
      <c r="CW12" s="1571"/>
      <c r="CX12" s="1571"/>
      <c r="CY12" s="1571"/>
      <c r="CZ12" s="78"/>
      <c r="DA12" s="1572"/>
      <c r="DB12" s="1572"/>
      <c r="DC12" s="1572"/>
      <c r="DD12" s="1572"/>
      <c r="DE12" s="1572"/>
      <c r="DF12" s="1572"/>
      <c r="DG12" s="1572"/>
      <c r="DH12" s="1572"/>
      <c r="DI12" s="1572"/>
      <c r="DJ12" s="1572"/>
      <c r="DK12" s="1572"/>
      <c r="DL12" s="1572"/>
      <c r="DM12" s="1572"/>
      <c r="DN12" s="1572"/>
      <c r="DO12" s="1572"/>
      <c r="DP12" s="1572"/>
      <c r="DQ12" s="1572"/>
      <c r="DR12" s="1572"/>
      <c r="DS12" s="1572"/>
      <c r="DT12" s="1572"/>
      <c r="DU12" s="1572"/>
      <c r="DV12" s="1572"/>
      <c r="DW12" s="1572"/>
      <c r="DX12" s="1572"/>
      <c r="DY12" s="1572"/>
      <c r="DZ12" s="1572"/>
      <c r="EA12" s="1572"/>
      <c r="EB12" s="1572"/>
      <c r="EC12" s="1572"/>
      <c r="ED12" s="1572"/>
      <c r="EE12" s="79"/>
      <c r="EF12" s="1572"/>
      <c r="EG12" s="1572"/>
      <c r="EH12" s="1572"/>
      <c r="EI12" s="1572"/>
      <c r="EJ12" s="1572"/>
      <c r="EK12" s="1572"/>
      <c r="EL12" s="1572"/>
      <c r="EM12" s="1572"/>
      <c r="EN12" s="1572"/>
      <c r="EO12" s="1572"/>
      <c r="EP12" s="1572"/>
      <c r="EQ12" s="1572"/>
      <c r="ER12" s="1572"/>
      <c r="ES12" s="1572"/>
      <c r="ET12" s="1572"/>
      <c r="EU12" s="1572"/>
      <c r="EV12" s="1572"/>
      <c r="EW12" s="1572"/>
      <c r="EX12" s="1572"/>
      <c r="EY12" s="1572"/>
      <c r="EZ12" s="1572"/>
      <c r="FA12" s="1572"/>
      <c r="FB12" s="1572"/>
      <c r="FC12" s="1572"/>
      <c r="FD12" s="1572"/>
      <c r="FE12" s="1572"/>
      <c r="FF12" s="1572"/>
      <c r="FG12" s="1572"/>
      <c r="FH12" s="1572"/>
      <c r="FI12" s="1572"/>
    </row>
    <row r="13" spans="1:188" ht="12.75" customHeight="1">
      <c r="A13" s="595"/>
      <c r="B13" s="598"/>
      <c r="C13" s="599"/>
      <c r="F13" s="1576"/>
      <c r="G13" s="405"/>
      <c r="H13" s="53"/>
      <c r="I13" s="53"/>
      <c r="J13" s="55"/>
      <c r="K13" s="95"/>
      <c r="L13" s="1479">
        <f>'Sistemas-Manutenção'!L10</f>
        <v>0</v>
      </c>
      <c r="M13" s="1479">
        <f>'Sistemas-Manutenção'!M10</f>
        <v>0</v>
      </c>
      <c r="N13" s="1479">
        <f>'Sistemas-Manutenção'!N10</f>
        <v>0</v>
      </c>
      <c r="O13" s="1479">
        <f>'Sistemas-Manutenção'!O10</f>
        <v>0</v>
      </c>
      <c r="P13" s="1479">
        <f>'Sistemas-Manutenção'!P10</f>
        <v>0</v>
      </c>
      <c r="Q13" s="1479">
        <f>'Sistemas-Manutenção'!Q10</f>
        <v>0</v>
      </c>
      <c r="R13" s="1479">
        <f>'Sistemas-Manutenção'!R10</f>
        <v>0</v>
      </c>
      <c r="S13" s="1479">
        <f>'Sistemas-Manutenção'!S10</f>
        <v>0</v>
      </c>
      <c r="T13" s="1479">
        <f>'Sistemas-Manutenção'!T10</f>
        <v>0</v>
      </c>
      <c r="U13" s="1479">
        <f>'Sistemas-Manutenção'!U10</f>
        <v>0</v>
      </c>
      <c r="V13" s="1479">
        <f>'Sistemas-Manutenção'!V10</f>
        <v>0</v>
      </c>
      <c r="W13" s="1479">
        <f>'Sistemas-Manutenção'!W10</f>
        <v>0</v>
      </c>
      <c r="X13" s="1479">
        <f>'Sistemas-Manutenção'!X10</f>
        <v>0</v>
      </c>
      <c r="Y13" s="1479">
        <f>'Sistemas-Manutenção'!Y10</f>
        <v>0</v>
      </c>
      <c r="Z13" s="1479">
        <f>'Sistemas-Manutenção'!Z10</f>
        <v>0</v>
      </c>
      <c r="AA13" s="1479">
        <f>'Sistemas-Manutenção'!AA10</f>
        <v>0</v>
      </c>
      <c r="AB13" s="1479">
        <f>'Sistemas-Manutenção'!AB10</f>
        <v>0</v>
      </c>
      <c r="AC13" s="1479">
        <f>'Sistemas-Manutenção'!AC10</f>
        <v>0</v>
      </c>
      <c r="AD13" s="1479">
        <f>'Sistemas-Manutenção'!AD10</f>
        <v>0</v>
      </c>
      <c r="AE13" s="1479">
        <f>'Sistemas-Manutenção'!AE10</f>
        <v>0</v>
      </c>
      <c r="AF13" s="1479">
        <f>'Sistemas-Manutenção'!AF10</f>
        <v>0</v>
      </c>
      <c r="AG13" s="1479">
        <f>'Sistemas-Manutenção'!AG10</f>
        <v>0</v>
      </c>
      <c r="AH13" s="1479">
        <f>'Sistemas-Manutenção'!AH10</f>
        <v>0</v>
      </c>
      <c r="AI13" s="1479">
        <f>'Sistemas-Manutenção'!AI10</f>
        <v>0</v>
      </c>
      <c r="AJ13" s="1479">
        <f>'Sistemas-Manutenção'!AJ10</f>
        <v>0</v>
      </c>
      <c r="AK13" s="1479">
        <f>'Sistemas-Manutenção'!AK10</f>
        <v>0</v>
      </c>
      <c r="AL13" s="1479">
        <f>'Sistemas-Manutenção'!AL10</f>
        <v>0</v>
      </c>
      <c r="AM13" s="1479">
        <f>'Sistemas-Manutenção'!AM10</f>
        <v>0</v>
      </c>
      <c r="AN13" s="1479">
        <f>'Sistemas-Manutenção'!AN10</f>
        <v>0</v>
      </c>
      <c r="AO13" s="1479">
        <f>'Sistemas-Manutenção'!AO10</f>
        <v>0</v>
      </c>
      <c r="AP13" s="390"/>
      <c r="AQ13" s="1565"/>
      <c r="AR13" s="1565"/>
      <c r="AS13" s="1565"/>
      <c r="AT13" s="1565"/>
      <c r="AU13" s="1565"/>
      <c r="AV13" s="1565"/>
      <c r="AW13" s="1565"/>
      <c r="AX13" s="1565"/>
      <c r="AY13" s="1565"/>
      <c r="AZ13" s="1565"/>
      <c r="BA13" s="1565"/>
      <c r="BB13" s="1565"/>
      <c r="BC13" s="1565"/>
      <c r="BD13" s="1565"/>
      <c r="BE13" s="1565"/>
      <c r="BF13" s="1565"/>
      <c r="BG13" s="1565"/>
      <c r="BH13" s="1565"/>
      <c r="BI13" s="1565"/>
      <c r="BJ13" s="1565"/>
      <c r="BK13" s="1565"/>
      <c r="BL13" s="1565"/>
      <c r="BM13" s="1565"/>
      <c r="BN13" s="1565"/>
      <c r="BO13" s="1565"/>
      <c r="BP13" s="1565"/>
      <c r="BQ13" s="1565"/>
      <c r="BR13" s="1565"/>
      <c r="BS13" s="1565"/>
      <c r="BT13" s="1565"/>
      <c r="BU13" s="390"/>
      <c r="BV13" s="1566"/>
      <c r="BW13" s="1566"/>
      <c r="BX13" s="1566"/>
      <c r="BY13" s="1566"/>
      <c r="BZ13" s="1566"/>
      <c r="CA13" s="1566"/>
      <c r="CB13" s="1566"/>
      <c r="CC13" s="1566"/>
      <c r="CD13" s="1566"/>
      <c r="CE13" s="1566"/>
      <c r="CF13" s="1566"/>
      <c r="CG13" s="1566"/>
      <c r="CH13" s="1566"/>
      <c r="CI13" s="1566"/>
      <c r="CJ13" s="1566"/>
      <c r="CK13" s="1566"/>
      <c r="CL13" s="1566"/>
      <c r="CM13" s="1566"/>
      <c r="CN13" s="1566"/>
      <c r="CO13" s="1566"/>
      <c r="CP13" s="1566"/>
      <c r="CQ13" s="1566"/>
      <c r="CR13" s="1566"/>
      <c r="CS13" s="1566"/>
      <c r="CT13" s="1566"/>
      <c r="CU13" s="1566"/>
      <c r="CV13" s="1566"/>
      <c r="CW13" s="1566"/>
      <c r="CX13" s="1566"/>
      <c r="CY13" s="1566"/>
      <c r="CZ13" s="31"/>
      <c r="DA13" s="1445"/>
      <c r="DB13" s="1445"/>
      <c r="DC13" s="1445"/>
      <c r="DD13" s="1445"/>
      <c r="DE13" s="1445"/>
      <c r="DF13" s="1445"/>
      <c r="DG13" s="1445"/>
      <c r="DH13" s="1445"/>
      <c r="DI13" s="1445"/>
      <c r="DJ13" s="1445"/>
      <c r="DK13" s="1445"/>
      <c r="DL13" s="1445"/>
      <c r="DM13" s="1445"/>
      <c r="DN13" s="1445"/>
      <c r="DO13" s="1445"/>
      <c r="DP13" s="1445"/>
      <c r="DQ13" s="1445"/>
      <c r="DR13" s="1445"/>
      <c r="DS13" s="1445"/>
      <c r="DT13" s="1445"/>
      <c r="DU13" s="1445"/>
      <c r="DV13" s="1445"/>
      <c r="DW13" s="1445"/>
      <c r="DX13" s="1445"/>
      <c r="DY13" s="1445"/>
      <c r="DZ13" s="1445"/>
      <c r="EA13" s="1445"/>
      <c r="EB13" s="1445"/>
      <c r="EC13" s="1445"/>
      <c r="ED13" s="1445"/>
      <c r="EE13" s="31"/>
      <c r="EF13" s="1445"/>
      <c r="EG13" s="1445"/>
      <c r="EH13" s="1445"/>
      <c r="EI13" s="1445"/>
      <c r="EJ13" s="1445"/>
      <c r="EK13" s="1445"/>
      <c r="EL13" s="1445"/>
      <c r="EM13" s="1445"/>
      <c r="EN13" s="1445"/>
      <c r="EO13" s="1445"/>
      <c r="EP13" s="1445"/>
      <c r="EQ13" s="1445"/>
      <c r="ER13" s="1445"/>
      <c r="ES13" s="1445"/>
      <c r="ET13" s="1445"/>
      <c r="EU13" s="1445"/>
      <c r="EV13" s="1445"/>
      <c r="EW13" s="1445"/>
      <c r="EX13" s="1445"/>
      <c r="EY13" s="1445"/>
      <c r="EZ13" s="1445"/>
      <c r="FA13" s="1445"/>
      <c r="FB13" s="1445"/>
      <c r="FC13" s="1445"/>
      <c r="FD13" s="1445"/>
      <c r="FE13" s="1445"/>
      <c r="FF13" s="1445"/>
      <c r="FG13" s="1445"/>
      <c r="FH13" s="1445"/>
      <c r="FI13" s="1445"/>
    </row>
    <row r="14" spans="1:188">
      <c r="A14" s="595"/>
      <c r="B14" s="598"/>
      <c r="C14" s="599"/>
      <c r="D14" s="68" t="s">
        <v>1719</v>
      </c>
      <c r="E14" s="68" t="str">
        <f>LEFT(D14,LEN(D14)-1) &amp; RIGHT(D14,1)+1</f>
        <v>8.3.3</v>
      </c>
      <c r="F14" s="1564" t="s">
        <v>466</v>
      </c>
      <c r="G14" s="733" t="s">
        <v>1717</v>
      </c>
      <c r="H14" s="734">
        <f>SUM(DA14:ED14)</f>
        <v>5207049.8537418237</v>
      </c>
      <c r="I14" s="734">
        <f ca="1">SUM(EF14:FI14)</f>
        <v>0</v>
      </c>
      <c r="J14" s="1577"/>
      <c r="K14" s="96"/>
      <c r="L14" s="1479">
        <f>'Sistemas-Manutenção'!L11</f>
        <v>0</v>
      </c>
      <c r="M14" s="1479">
        <f>'Sistemas-Manutenção'!M11</f>
        <v>0</v>
      </c>
      <c r="N14" s="1479">
        <f>'Sistemas-Manutenção'!N11</f>
        <v>0</v>
      </c>
      <c r="O14" s="1479">
        <f>'Sistemas-Manutenção'!O11</f>
        <v>0</v>
      </c>
      <c r="P14" s="1479">
        <f>'Sistemas-Manutenção'!P11</f>
        <v>0</v>
      </c>
      <c r="Q14" s="1479">
        <f>'Sistemas-Manutenção'!Q11</f>
        <v>0</v>
      </c>
      <c r="R14" s="1479">
        <f>'Sistemas-Manutenção'!R11</f>
        <v>0</v>
      </c>
      <c r="S14" s="1479">
        <f>'Sistemas-Manutenção'!S11</f>
        <v>0</v>
      </c>
      <c r="T14" s="1479">
        <f>'Sistemas-Manutenção'!T11</f>
        <v>0</v>
      </c>
      <c r="U14" s="1479">
        <f>'Sistemas-Manutenção'!U11</f>
        <v>0</v>
      </c>
      <c r="V14" s="1479">
        <f>'Sistemas-Manutenção'!V11</f>
        <v>0</v>
      </c>
      <c r="W14" s="1479">
        <f>'Sistemas-Manutenção'!W11</f>
        <v>0</v>
      </c>
      <c r="X14" s="1479">
        <f>'Sistemas-Manutenção'!X11</f>
        <v>0</v>
      </c>
      <c r="Y14" s="1479">
        <f>'Sistemas-Manutenção'!Y11</f>
        <v>0</v>
      </c>
      <c r="Z14" s="1479">
        <f>'Sistemas-Manutenção'!Z11</f>
        <v>0</v>
      </c>
      <c r="AA14" s="1479">
        <f>'Sistemas-Manutenção'!AA11</f>
        <v>0</v>
      </c>
      <c r="AB14" s="1479">
        <f>'Sistemas-Manutenção'!AB11</f>
        <v>0</v>
      </c>
      <c r="AC14" s="1479">
        <f>'Sistemas-Manutenção'!AC11</f>
        <v>0</v>
      </c>
      <c r="AD14" s="1479">
        <f>'Sistemas-Manutenção'!AD11</f>
        <v>0</v>
      </c>
      <c r="AE14" s="1479">
        <f>'Sistemas-Manutenção'!AE11</f>
        <v>0</v>
      </c>
      <c r="AF14" s="1479">
        <f>'Sistemas-Manutenção'!AF11</f>
        <v>0</v>
      </c>
      <c r="AG14" s="1479">
        <f>'Sistemas-Manutenção'!AG11</f>
        <v>0</v>
      </c>
      <c r="AH14" s="1479">
        <f>'Sistemas-Manutenção'!AH11</f>
        <v>0</v>
      </c>
      <c r="AI14" s="1479">
        <f>'Sistemas-Manutenção'!AI11</f>
        <v>0</v>
      </c>
      <c r="AJ14" s="1479">
        <f>'Sistemas-Manutenção'!AJ11</f>
        <v>0</v>
      </c>
      <c r="AK14" s="1479">
        <f>'Sistemas-Manutenção'!AK11</f>
        <v>0</v>
      </c>
      <c r="AL14" s="1479">
        <f>'Sistemas-Manutenção'!AL11</f>
        <v>0</v>
      </c>
      <c r="AM14" s="1479">
        <f>'Sistemas-Manutenção'!AM11</f>
        <v>0</v>
      </c>
      <c r="AN14" s="1479">
        <f>'Sistemas-Manutenção'!AN11</f>
        <v>0</v>
      </c>
      <c r="AO14" s="1479">
        <f>'Sistemas-Manutenção'!AO11</f>
        <v>0</v>
      </c>
      <c r="AP14" s="391"/>
      <c r="AQ14" s="1578"/>
      <c r="AR14" s="1578"/>
      <c r="AS14" s="1578"/>
      <c r="AT14" s="1578"/>
      <c r="AU14" s="1578"/>
      <c r="AV14" s="1578"/>
      <c r="AW14" s="1578"/>
      <c r="AX14" s="1578"/>
      <c r="AY14" s="1578"/>
      <c r="AZ14" s="1578"/>
      <c r="BA14" s="1578"/>
      <c r="BB14" s="1578"/>
      <c r="BC14" s="1578"/>
      <c r="BD14" s="1578"/>
      <c r="BE14" s="1578"/>
      <c r="BF14" s="1578"/>
      <c r="BG14" s="1578"/>
      <c r="BH14" s="1578"/>
      <c r="BI14" s="1578"/>
      <c r="BJ14" s="1578"/>
      <c r="BK14" s="1578"/>
      <c r="BL14" s="1578"/>
      <c r="BM14" s="1578"/>
      <c r="BN14" s="1578"/>
      <c r="BO14" s="1578"/>
      <c r="BP14" s="1578"/>
      <c r="BQ14" s="1578"/>
      <c r="BR14" s="1578"/>
      <c r="BS14" s="1578"/>
      <c r="BT14" s="1578"/>
      <c r="BU14" s="391"/>
      <c r="BV14" s="1579"/>
      <c r="BW14" s="1579"/>
      <c r="BX14" s="1579"/>
      <c r="BY14" s="1579"/>
      <c r="BZ14" s="1579"/>
      <c r="CA14" s="1579"/>
      <c r="CB14" s="1579"/>
      <c r="CC14" s="1579"/>
      <c r="CD14" s="1579"/>
      <c r="CE14" s="1579"/>
      <c r="CF14" s="1579"/>
      <c r="CG14" s="1579"/>
      <c r="CH14" s="1579"/>
      <c r="CI14" s="1579"/>
      <c r="CJ14" s="1579"/>
      <c r="CK14" s="1579"/>
      <c r="CL14" s="1579"/>
      <c r="CM14" s="1579"/>
      <c r="CN14" s="1579"/>
      <c r="CO14" s="1579"/>
      <c r="CP14" s="1579"/>
      <c r="CQ14" s="1579"/>
      <c r="CR14" s="1579"/>
      <c r="CS14" s="1579"/>
      <c r="CT14" s="1579"/>
      <c r="CU14" s="1579"/>
      <c r="CV14" s="1579"/>
      <c r="CW14" s="1579"/>
      <c r="CX14" s="1579"/>
      <c r="CY14" s="1579"/>
      <c r="CZ14" s="25"/>
      <c r="DA14" s="1567">
        <f>SUBTOTAL(9,DA15:DA22)</f>
        <v>5207049.8537418237</v>
      </c>
      <c r="DB14" s="1580">
        <f t="shared" ref="DB14:ED14" si="93">SUBTOTAL(9,DB15:DB22)</f>
        <v>0</v>
      </c>
      <c r="DC14" s="1580">
        <f t="shared" si="93"/>
        <v>0</v>
      </c>
      <c r="DD14" s="1580">
        <f t="shared" si="93"/>
        <v>0</v>
      </c>
      <c r="DE14" s="1580">
        <f t="shared" si="93"/>
        <v>0</v>
      </c>
      <c r="DF14" s="1580">
        <f t="shared" si="93"/>
        <v>0</v>
      </c>
      <c r="DG14" s="1580">
        <f t="shared" si="93"/>
        <v>0</v>
      </c>
      <c r="DH14" s="1580">
        <f t="shared" si="93"/>
        <v>0</v>
      </c>
      <c r="DI14" s="1580">
        <f t="shared" si="93"/>
        <v>0</v>
      </c>
      <c r="DJ14" s="1580">
        <f t="shared" si="93"/>
        <v>0</v>
      </c>
      <c r="DK14" s="1580">
        <f t="shared" si="93"/>
        <v>0</v>
      </c>
      <c r="DL14" s="1580">
        <f t="shared" si="93"/>
        <v>0</v>
      </c>
      <c r="DM14" s="1580">
        <f t="shared" si="93"/>
        <v>0</v>
      </c>
      <c r="DN14" s="1580">
        <f t="shared" si="93"/>
        <v>0</v>
      </c>
      <c r="DO14" s="1580">
        <f t="shared" si="93"/>
        <v>0</v>
      </c>
      <c r="DP14" s="1580">
        <f t="shared" si="93"/>
        <v>0</v>
      </c>
      <c r="DQ14" s="1580">
        <f t="shared" si="93"/>
        <v>0</v>
      </c>
      <c r="DR14" s="1580">
        <f t="shared" si="93"/>
        <v>0</v>
      </c>
      <c r="DS14" s="1580">
        <f t="shared" si="93"/>
        <v>0</v>
      </c>
      <c r="DT14" s="1580">
        <f t="shared" si="93"/>
        <v>0</v>
      </c>
      <c r="DU14" s="1580">
        <f t="shared" si="93"/>
        <v>0</v>
      </c>
      <c r="DV14" s="1580">
        <f t="shared" si="93"/>
        <v>0</v>
      </c>
      <c r="DW14" s="1580">
        <f t="shared" si="93"/>
        <v>0</v>
      </c>
      <c r="DX14" s="1580">
        <f t="shared" si="93"/>
        <v>0</v>
      </c>
      <c r="DY14" s="1580"/>
      <c r="DZ14" s="1580"/>
      <c r="EA14" s="1580"/>
      <c r="EB14" s="1580"/>
      <c r="EC14" s="1580"/>
      <c r="ED14" s="1580">
        <f t="shared" si="93"/>
        <v>0</v>
      </c>
      <c r="EE14" s="25"/>
      <c r="EF14" s="1580">
        <f t="shared" ref="EF14:EZ14" ca="1" si="94">SUBTOTAL(9,EF15:EF22)</f>
        <v>0</v>
      </c>
      <c r="EG14" s="1580">
        <f t="shared" ca="1" si="94"/>
        <v>0</v>
      </c>
      <c r="EH14" s="1580">
        <f t="shared" ca="1" si="94"/>
        <v>0</v>
      </c>
      <c r="EI14" s="1580">
        <f t="shared" ca="1" si="94"/>
        <v>0</v>
      </c>
      <c r="EJ14" s="1580">
        <f t="shared" ca="1" si="94"/>
        <v>0</v>
      </c>
      <c r="EK14" s="1580">
        <f t="shared" ca="1" si="94"/>
        <v>0</v>
      </c>
      <c r="EL14" s="1580">
        <f t="shared" ca="1" si="94"/>
        <v>0</v>
      </c>
      <c r="EM14" s="1580">
        <f t="shared" ca="1" si="94"/>
        <v>0</v>
      </c>
      <c r="EN14" s="1580">
        <f t="shared" ca="1" si="94"/>
        <v>0</v>
      </c>
      <c r="EO14" s="1580">
        <f t="shared" ca="1" si="94"/>
        <v>0</v>
      </c>
      <c r="EP14" s="1580">
        <f t="shared" ca="1" si="94"/>
        <v>0</v>
      </c>
      <c r="EQ14" s="1580">
        <f t="shared" ca="1" si="94"/>
        <v>0</v>
      </c>
      <c r="ER14" s="1580">
        <f t="shared" ca="1" si="94"/>
        <v>0</v>
      </c>
      <c r="ES14" s="1580">
        <f t="shared" ca="1" si="94"/>
        <v>0</v>
      </c>
      <c r="ET14" s="1580">
        <f t="shared" ca="1" si="94"/>
        <v>0</v>
      </c>
      <c r="EU14" s="1580">
        <f t="shared" ca="1" si="94"/>
        <v>0</v>
      </c>
      <c r="EV14" s="1580">
        <f t="shared" ca="1" si="94"/>
        <v>0</v>
      </c>
      <c r="EW14" s="1580">
        <f t="shared" ca="1" si="94"/>
        <v>0</v>
      </c>
      <c r="EX14" s="1580">
        <f t="shared" ca="1" si="94"/>
        <v>0</v>
      </c>
      <c r="EY14" s="1580">
        <f t="shared" ca="1" si="94"/>
        <v>0</v>
      </c>
      <c r="EZ14" s="1580">
        <f t="shared" ca="1" si="94"/>
        <v>0</v>
      </c>
      <c r="FA14" s="1580">
        <f t="shared" ref="FA14:FI14" ca="1" si="95">SUBTOTAL(9,FA15:FA22)</f>
        <v>0</v>
      </c>
      <c r="FB14" s="1580">
        <f t="shared" ca="1" si="95"/>
        <v>0</v>
      </c>
      <c r="FC14" s="1580">
        <f t="shared" ca="1" si="95"/>
        <v>0</v>
      </c>
      <c r="FD14" s="1580">
        <f t="shared" ca="1" si="95"/>
        <v>0</v>
      </c>
      <c r="FE14" s="1580">
        <f t="shared" ca="1" si="95"/>
        <v>0</v>
      </c>
      <c r="FF14" s="1580">
        <f t="shared" ca="1" si="95"/>
        <v>0</v>
      </c>
      <c r="FG14" s="1580">
        <f t="shared" ca="1" si="95"/>
        <v>0</v>
      </c>
      <c r="FH14" s="1580">
        <f t="shared" ca="1" si="95"/>
        <v>0</v>
      </c>
      <c r="FI14" s="1580">
        <f t="shared" ca="1" si="95"/>
        <v>0</v>
      </c>
    </row>
    <row r="15" spans="1:188" ht="12.75" customHeight="1">
      <c r="A15" s="595"/>
      <c r="B15" s="598"/>
      <c r="C15" s="599"/>
      <c r="F15" s="1450"/>
      <c r="G15" s="1568"/>
      <c r="H15" s="1569"/>
      <c r="I15" s="1569"/>
      <c r="J15" s="867"/>
      <c r="K15" s="97"/>
      <c r="L15" s="1479"/>
      <c r="M15" s="1479"/>
      <c r="N15" s="1479"/>
      <c r="O15" s="1479"/>
      <c r="P15" s="1479"/>
      <c r="Q15" s="1479"/>
      <c r="R15" s="1479"/>
      <c r="S15" s="1479"/>
      <c r="T15" s="1479"/>
      <c r="U15" s="1479"/>
      <c r="V15" s="1479"/>
      <c r="W15" s="1479"/>
      <c r="X15" s="1479"/>
      <c r="Y15" s="1479"/>
      <c r="Z15" s="1479"/>
      <c r="AA15" s="1479"/>
      <c r="AB15" s="1479"/>
      <c r="AC15" s="1479"/>
      <c r="AD15" s="1479"/>
      <c r="AE15" s="1479"/>
      <c r="AF15" s="1479"/>
      <c r="AG15" s="1479"/>
      <c r="AH15" s="1479"/>
      <c r="AI15" s="1479"/>
      <c r="AJ15" s="1479"/>
      <c r="AK15" s="1479"/>
      <c r="AL15" s="1479"/>
      <c r="AM15" s="1479"/>
      <c r="AN15" s="1479"/>
      <c r="AO15" s="1479"/>
      <c r="AP15" s="77"/>
      <c r="AQ15" s="1479"/>
      <c r="AR15" s="1479"/>
      <c r="AS15" s="1479"/>
      <c r="AT15" s="1479"/>
      <c r="AU15" s="1479"/>
      <c r="AV15" s="1479"/>
      <c r="AW15" s="1479"/>
      <c r="AX15" s="1479"/>
      <c r="AY15" s="1479"/>
      <c r="AZ15" s="1479"/>
      <c r="BA15" s="1479"/>
      <c r="BB15" s="1479"/>
      <c r="BC15" s="1479"/>
      <c r="BD15" s="1479"/>
      <c r="BE15" s="1479"/>
      <c r="BF15" s="1479"/>
      <c r="BG15" s="1479"/>
      <c r="BH15" s="1479"/>
      <c r="BI15" s="1479"/>
      <c r="BJ15" s="1479"/>
      <c r="BK15" s="1479"/>
      <c r="BL15" s="1479"/>
      <c r="BM15" s="1479"/>
      <c r="BN15" s="1479"/>
      <c r="BO15" s="1479"/>
      <c r="BP15" s="1479"/>
      <c r="BQ15" s="1479"/>
      <c r="BR15" s="1479"/>
      <c r="BS15" s="1479"/>
      <c r="BT15" s="1479"/>
      <c r="BU15" s="77"/>
      <c r="BV15" s="1571"/>
      <c r="BW15" s="1571"/>
      <c r="BX15" s="1571"/>
      <c r="BY15" s="1571"/>
      <c r="BZ15" s="1571"/>
      <c r="CA15" s="1571"/>
      <c r="CB15" s="1571"/>
      <c r="CC15" s="1571"/>
      <c r="CD15" s="1571"/>
      <c r="CE15" s="1571"/>
      <c r="CF15" s="1571"/>
      <c r="CG15" s="1571"/>
      <c r="CH15" s="1571"/>
      <c r="CI15" s="1571"/>
      <c r="CJ15" s="1571"/>
      <c r="CK15" s="1571"/>
      <c r="CL15" s="1571"/>
      <c r="CM15" s="1571"/>
      <c r="CN15" s="1571"/>
      <c r="CO15" s="1571"/>
      <c r="CP15" s="1571"/>
      <c r="CQ15" s="1571"/>
      <c r="CR15" s="1571"/>
      <c r="CS15" s="1571"/>
      <c r="CT15" s="1571"/>
      <c r="CU15" s="1571"/>
      <c r="CV15" s="1571"/>
      <c r="CW15" s="1571"/>
      <c r="CX15" s="1571"/>
      <c r="CY15" s="1571"/>
      <c r="CZ15" s="78"/>
      <c r="DA15" s="1581">
        <f t="shared" ref="DA15:DP22" si="96">AQ15*$H15</f>
        <v>0</v>
      </c>
      <c r="DB15" s="1572">
        <f t="shared" si="96"/>
        <v>0</v>
      </c>
      <c r="DC15" s="1572">
        <f t="shared" si="96"/>
        <v>0</v>
      </c>
      <c r="DD15" s="1572">
        <f t="shared" si="96"/>
        <v>0</v>
      </c>
      <c r="DE15" s="1572">
        <f t="shared" si="96"/>
        <v>0</v>
      </c>
      <c r="DF15" s="1572">
        <f t="shared" si="96"/>
        <v>0</v>
      </c>
      <c r="DG15" s="1572">
        <f t="shared" si="96"/>
        <v>0</v>
      </c>
      <c r="DH15" s="1572">
        <f t="shared" si="96"/>
        <v>0</v>
      </c>
      <c r="DI15" s="1572">
        <f t="shared" si="96"/>
        <v>0</v>
      </c>
      <c r="DJ15" s="1572">
        <f t="shared" si="96"/>
        <v>0</v>
      </c>
      <c r="DK15" s="1572">
        <f t="shared" si="96"/>
        <v>0</v>
      </c>
      <c r="DL15" s="1572">
        <f t="shared" si="96"/>
        <v>0</v>
      </c>
      <c r="DM15" s="1572">
        <f t="shared" si="96"/>
        <v>0</v>
      </c>
      <c r="DN15" s="1572">
        <f t="shared" si="96"/>
        <v>0</v>
      </c>
      <c r="DO15" s="1572">
        <f t="shared" si="96"/>
        <v>0</v>
      </c>
      <c r="DP15" s="1572">
        <f t="shared" si="96"/>
        <v>0</v>
      </c>
      <c r="DQ15" s="1572">
        <f t="shared" ref="DK15:DX22" si="97">BG15*$H15</f>
        <v>0</v>
      </c>
      <c r="DR15" s="1572">
        <f t="shared" si="97"/>
        <v>0</v>
      </c>
      <c r="DS15" s="1572">
        <f t="shared" si="97"/>
        <v>0</v>
      </c>
      <c r="DT15" s="1572">
        <f t="shared" si="97"/>
        <v>0</v>
      </c>
      <c r="DU15" s="1572">
        <f t="shared" si="97"/>
        <v>0</v>
      </c>
      <c r="DV15" s="1572">
        <f t="shared" si="97"/>
        <v>0</v>
      </c>
      <c r="DW15" s="1572">
        <f t="shared" si="97"/>
        <v>0</v>
      </c>
      <c r="DX15" s="1572">
        <f t="shared" si="97"/>
        <v>0</v>
      </c>
      <c r="DY15" s="1572"/>
      <c r="DZ15" s="1572"/>
      <c r="EA15" s="1572"/>
      <c r="EB15" s="1572"/>
      <c r="EC15" s="1572"/>
      <c r="ED15" s="1572">
        <f t="shared" ref="ED15:ED22" si="98">BT15*$H15</f>
        <v>0</v>
      </c>
      <c r="EE15" s="79"/>
      <c r="EF15" s="1572">
        <f t="shared" ref="EF15:EU22" si="99">BV15*$I15</f>
        <v>0</v>
      </c>
      <c r="EG15" s="1572">
        <f t="shared" si="99"/>
        <v>0</v>
      </c>
      <c r="EH15" s="1572">
        <f t="shared" si="99"/>
        <v>0</v>
      </c>
      <c r="EI15" s="1572">
        <f t="shared" si="99"/>
        <v>0</v>
      </c>
      <c r="EJ15" s="1572">
        <f t="shared" si="99"/>
        <v>0</v>
      </c>
      <c r="EK15" s="1572">
        <f t="shared" si="99"/>
        <v>0</v>
      </c>
      <c r="EL15" s="1572">
        <f t="shared" si="99"/>
        <v>0</v>
      </c>
      <c r="EM15" s="1572">
        <f t="shared" si="99"/>
        <v>0</v>
      </c>
      <c r="EN15" s="1572">
        <f t="shared" si="99"/>
        <v>0</v>
      </c>
      <c r="EO15" s="1572">
        <f t="shared" si="99"/>
        <v>0</v>
      </c>
      <c r="EP15" s="1572">
        <f t="shared" si="99"/>
        <v>0</v>
      </c>
      <c r="EQ15" s="1572">
        <f t="shared" si="99"/>
        <v>0</v>
      </c>
      <c r="ER15" s="1572">
        <f t="shared" si="99"/>
        <v>0</v>
      </c>
      <c r="ES15" s="1572">
        <f t="shared" si="99"/>
        <v>0</v>
      </c>
      <c r="ET15" s="1572">
        <f t="shared" si="99"/>
        <v>0</v>
      </c>
      <c r="EU15" s="1572">
        <f t="shared" si="99"/>
        <v>0</v>
      </c>
      <c r="EV15" s="1572">
        <f t="shared" ref="EV15:EZ22" si="100">CL15*$I15</f>
        <v>0</v>
      </c>
      <c r="EW15" s="1572">
        <f t="shared" si="100"/>
        <v>0</v>
      </c>
      <c r="EX15" s="1572">
        <f t="shared" si="100"/>
        <v>0</v>
      </c>
      <c r="EY15" s="1572">
        <f t="shared" si="100"/>
        <v>0</v>
      </c>
      <c r="EZ15" s="1572">
        <f t="shared" si="100"/>
        <v>0</v>
      </c>
      <c r="FA15" s="1572">
        <f t="shared" ref="FA15:FA22" si="101">CQ15*$I15</f>
        <v>0</v>
      </c>
      <c r="FB15" s="1572">
        <f t="shared" ref="FB15:FB22" si="102">CR15*$I15</f>
        <v>0</v>
      </c>
      <c r="FC15" s="1572">
        <f t="shared" ref="FC15:FC22" si="103">CS15*$I15</f>
        <v>0</v>
      </c>
      <c r="FD15" s="1572">
        <f t="shared" ref="FD15:FD22" si="104">CT15*$I15</f>
        <v>0</v>
      </c>
      <c r="FE15" s="1572">
        <f t="shared" ref="FE15:FE22" si="105">CU15*$I15</f>
        <v>0</v>
      </c>
      <c r="FF15" s="1572">
        <f t="shared" ref="FF15:FF22" si="106">CV15*$I15</f>
        <v>0</v>
      </c>
      <c r="FG15" s="1572">
        <f t="shared" ref="FG15:FG22" si="107">CW15*$I15</f>
        <v>0</v>
      </c>
      <c r="FH15" s="1572">
        <f t="shared" ref="FH15:FH22" si="108">CX15*$I15</f>
        <v>0</v>
      </c>
      <c r="FI15" s="1572">
        <f t="shared" ref="FI15:FI22" si="109">CY15*$I15</f>
        <v>0</v>
      </c>
    </row>
    <row r="16" spans="1:188" ht="12.75" customHeight="1">
      <c r="A16" s="595"/>
      <c r="B16" s="598"/>
      <c r="C16" s="599"/>
      <c r="F16" s="1450"/>
      <c r="G16" s="1568" t="s">
        <v>1718</v>
      </c>
      <c r="H16" s="1569">
        <f>'Sistemas - Cotações'!F32</f>
        <v>0</v>
      </c>
      <c r="I16" s="1569">
        <f t="shared" ref="I16" si="110">H16*0.8</f>
        <v>0</v>
      </c>
      <c r="J16" s="867">
        <f>'Sistemas - Cotações'!H32</f>
        <v>0</v>
      </c>
      <c r="K16" s="97"/>
      <c r="L16" s="1479">
        <f>'Sistemas-Manutenção'!L13</f>
        <v>0</v>
      </c>
      <c r="M16" s="1479">
        <f>'Sistemas-Manutenção'!M13</f>
        <v>0</v>
      </c>
      <c r="N16" s="1479">
        <f>'Sistemas-Manutenção'!N13</f>
        <v>0</v>
      </c>
      <c r="O16" s="1479">
        <f>'Sistemas-Manutenção'!O13</f>
        <v>0</v>
      </c>
      <c r="P16" s="1479">
        <f>'Sistemas-Manutenção'!P13</f>
        <v>0</v>
      </c>
      <c r="Q16" s="1479">
        <f>'Sistemas-Manutenção'!Q13</f>
        <v>0</v>
      </c>
      <c r="R16" s="1479">
        <f>'Sistemas-Manutenção'!R13</f>
        <v>0</v>
      </c>
      <c r="S16" s="1479">
        <f>'Sistemas-Manutenção'!S13</f>
        <v>0</v>
      </c>
      <c r="T16" s="1479">
        <f>'Sistemas-Manutenção'!T13</f>
        <v>0</v>
      </c>
      <c r="U16" s="1479">
        <f>'Sistemas-Manutenção'!U13</f>
        <v>0</v>
      </c>
      <c r="V16" s="1479">
        <f>'Sistemas-Manutenção'!V13</f>
        <v>0</v>
      </c>
      <c r="W16" s="1479">
        <f>'Sistemas-Manutenção'!W13</f>
        <v>0</v>
      </c>
      <c r="X16" s="1479">
        <f>'Sistemas-Manutenção'!X13</f>
        <v>0</v>
      </c>
      <c r="Y16" s="1479">
        <f>'Sistemas-Manutenção'!Y13</f>
        <v>0</v>
      </c>
      <c r="Z16" s="1479">
        <f>'Sistemas-Manutenção'!Z13</f>
        <v>0</v>
      </c>
      <c r="AA16" s="1479">
        <f>'Sistemas-Manutenção'!AA13</f>
        <v>0</v>
      </c>
      <c r="AB16" s="1479">
        <f>'Sistemas-Manutenção'!AB13</f>
        <v>0</v>
      </c>
      <c r="AC16" s="1479">
        <f>'Sistemas-Manutenção'!AC13</f>
        <v>0</v>
      </c>
      <c r="AD16" s="1479">
        <f>'Sistemas-Manutenção'!AD13</f>
        <v>0</v>
      </c>
      <c r="AE16" s="1479">
        <f>'Sistemas-Manutenção'!AE13</f>
        <v>0</v>
      </c>
      <c r="AF16" s="1479">
        <f>'Sistemas-Manutenção'!AF13</f>
        <v>0</v>
      </c>
      <c r="AG16" s="1479">
        <f>'Sistemas-Manutenção'!AG13</f>
        <v>0</v>
      </c>
      <c r="AH16" s="1479">
        <f>'Sistemas-Manutenção'!AH13</f>
        <v>0</v>
      </c>
      <c r="AI16" s="1479">
        <f>'Sistemas-Manutenção'!AI13</f>
        <v>0</v>
      </c>
      <c r="AJ16" s="1479">
        <f>'Sistemas-Manutenção'!AJ13</f>
        <v>0</v>
      </c>
      <c r="AK16" s="1479">
        <f>'Sistemas-Manutenção'!AK13</f>
        <v>0</v>
      </c>
      <c r="AL16" s="1479">
        <f>'Sistemas-Manutenção'!AL13</f>
        <v>0</v>
      </c>
      <c r="AM16" s="1479">
        <f>'Sistemas-Manutenção'!AM13</f>
        <v>0</v>
      </c>
      <c r="AN16" s="1479">
        <f>'Sistemas-Manutenção'!AN13</f>
        <v>0</v>
      </c>
      <c r="AO16" s="1479">
        <f>'Sistemas-Manutenção'!AO13</f>
        <v>0</v>
      </c>
      <c r="AP16" s="77"/>
      <c r="AQ16" s="1479">
        <f t="shared" ref="AQ16:AZ21" si="111">IF(L16&gt;K16,L16-K16,0)</f>
        <v>0</v>
      </c>
      <c r="AR16" s="1479">
        <f t="shared" si="111"/>
        <v>0</v>
      </c>
      <c r="AS16" s="1479">
        <f t="shared" si="111"/>
        <v>0</v>
      </c>
      <c r="AT16" s="1479">
        <f t="shared" si="111"/>
        <v>0</v>
      </c>
      <c r="AU16" s="1479">
        <f t="shared" si="111"/>
        <v>0</v>
      </c>
      <c r="AV16" s="1479">
        <f t="shared" si="111"/>
        <v>0</v>
      </c>
      <c r="AW16" s="1479">
        <f t="shared" si="111"/>
        <v>0</v>
      </c>
      <c r="AX16" s="1479">
        <f t="shared" si="111"/>
        <v>0</v>
      </c>
      <c r="AY16" s="1479">
        <f t="shared" si="111"/>
        <v>0</v>
      </c>
      <c r="AZ16" s="1479">
        <f t="shared" si="111"/>
        <v>0</v>
      </c>
      <c r="BA16" s="1479">
        <f t="shared" ref="BA16:BF21" si="112">IF(V16&gt;U16,V16-U16,0)</f>
        <v>0</v>
      </c>
      <c r="BB16" s="1479">
        <f t="shared" si="112"/>
        <v>0</v>
      </c>
      <c r="BC16" s="1479">
        <f t="shared" si="112"/>
        <v>0</v>
      </c>
      <c r="BD16" s="1479">
        <f t="shared" si="112"/>
        <v>0</v>
      </c>
      <c r="BE16" s="1479">
        <f t="shared" si="112"/>
        <v>0</v>
      </c>
      <c r="BF16" s="1479">
        <f t="shared" si="112"/>
        <v>0</v>
      </c>
      <c r="BG16" s="1479">
        <f t="shared" ref="BG16:BN21" si="113">IF(AB16&gt;AA16,AB16-AA16,0)</f>
        <v>0</v>
      </c>
      <c r="BH16" s="1479">
        <f t="shared" si="113"/>
        <v>0</v>
      </c>
      <c r="BI16" s="1479">
        <f t="shared" si="113"/>
        <v>0</v>
      </c>
      <c r="BJ16" s="1479">
        <f t="shared" si="113"/>
        <v>0</v>
      </c>
      <c r="BK16" s="1479">
        <f t="shared" si="113"/>
        <v>0</v>
      </c>
      <c r="BL16" s="1479">
        <f t="shared" si="113"/>
        <v>0</v>
      </c>
      <c r="BM16" s="1479">
        <f t="shared" si="113"/>
        <v>0</v>
      </c>
      <c r="BN16" s="1479">
        <f t="shared" si="113"/>
        <v>0</v>
      </c>
      <c r="BO16" s="1479"/>
      <c r="BP16" s="1479"/>
      <c r="BQ16" s="1479"/>
      <c r="BR16" s="1479"/>
      <c r="BS16" s="1479"/>
      <c r="BT16" s="1479">
        <f t="shared" ref="BT16:BT21" si="114">IF(AO16&gt;AI16,AO16-AI16,0)</f>
        <v>0</v>
      </c>
      <c r="BU16" s="77"/>
      <c r="BV16" s="1571"/>
      <c r="BW16" s="1571"/>
      <c r="BX16" s="1571"/>
      <c r="BY16" s="1571"/>
      <c r="BZ16" s="1571"/>
      <c r="CA16" s="1571"/>
      <c r="CB16" s="1571"/>
      <c r="CC16" s="1571"/>
      <c r="CD16" s="1571"/>
      <c r="CE16" s="1571"/>
      <c r="CF16" s="1571"/>
      <c r="CG16" s="1571"/>
      <c r="CH16" s="1571"/>
      <c r="CI16" s="1571"/>
      <c r="CJ16" s="1571"/>
      <c r="CK16" s="1571"/>
      <c r="CL16" s="1571"/>
      <c r="CM16" s="1571"/>
      <c r="CN16" s="1571"/>
      <c r="CO16" s="1571"/>
      <c r="CP16" s="1571"/>
      <c r="CQ16" s="1571"/>
      <c r="CR16" s="1571"/>
      <c r="CS16" s="1571"/>
      <c r="CT16" s="1571"/>
      <c r="CU16" s="1571"/>
      <c r="CV16" s="1571"/>
      <c r="CW16" s="1571"/>
      <c r="CX16" s="1571"/>
      <c r="CY16" s="1571"/>
      <c r="CZ16" s="78"/>
      <c r="DA16" s="1572">
        <f t="shared" si="96"/>
        <v>0</v>
      </c>
      <c r="DB16" s="1572">
        <f t="shared" si="96"/>
        <v>0</v>
      </c>
      <c r="DC16" s="1572">
        <f t="shared" si="96"/>
        <v>0</v>
      </c>
      <c r="DD16" s="1572">
        <f t="shared" si="96"/>
        <v>0</v>
      </c>
      <c r="DE16" s="1572">
        <f t="shared" si="96"/>
        <v>0</v>
      </c>
      <c r="DF16" s="1572">
        <f t="shared" si="96"/>
        <v>0</v>
      </c>
      <c r="DG16" s="1572">
        <f t="shared" si="96"/>
        <v>0</v>
      </c>
      <c r="DH16" s="1572">
        <f t="shared" si="96"/>
        <v>0</v>
      </c>
      <c r="DI16" s="1572">
        <f t="shared" si="96"/>
        <v>0</v>
      </c>
      <c r="DJ16" s="1572">
        <f t="shared" si="96"/>
        <v>0</v>
      </c>
      <c r="DK16" s="1572">
        <f t="shared" si="97"/>
        <v>0</v>
      </c>
      <c r="DL16" s="1572">
        <f t="shared" si="97"/>
        <v>0</v>
      </c>
      <c r="DM16" s="1572">
        <f t="shared" si="97"/>
        <v>0</v>
      </c>
      <c r="DN16" s="1572">
        <f t="shared" si="97"/>
        <v>0</v>
      </c>
      <c r="DO16" s="1572">
        <f t="shared" si="97"/>
        <v>0</v>
      </c>
      <c r="DP16" s="1572">
        <f t="shared" si="97"/>
        <v>0</v>
      </c>
      <c r="DQ16" s="1572">
        <f t="shared" si="97"/>
        <v>0</v>
      </c>
      <c r="DR16" s="1572">
        <f t="shared" si="97"/>
        <v>0</v>
      </c>
      <c r="DS16" s="1572">
        <f t="shared" si="97"/>
        <v>0</v>
      </c>
      <c r="DT16" s="1572">
        <f t="shared" si="97"/>
        <v>0</v>
      </c>
      <c r="DU16" s="1572">
        <f t="shared" si="97"/>
        <v>0</v>
      </c>
      <c r="DV16" s="1572">
        <f t="shared" si="97"/>
        <v>0</v>
      </c>
      <c r="DW16" s="1572">
        <f t="shared" si="97"/>
        <v>0</v>
      </c>
      <c r="DX16" s="1572">
        <f t="shared" si="97"/>
        <v>0</v>
      </c>
      <c r="DY16" s="1572"/>
      <c r="DZ16" s="1572"/>
      <c r="EA16" s="1572"/>
      <c r="EB16" s="1572"/>
      <c r="EC16" s="1572"/>
      <c r="ED16" s="1572">
        <f t="shared" si="98"/>
        <v>0</v>
      </c>
      <c r="EE16" s="79"/>
      <c r="EF16" s="1572"/>
      <c r="EG16" s="1572"/>
      <c r="EH16" s="1572"/>
      <c r="EI16" s="1572"/>
      <c r="EJ16" s="1572"/>
      <c r="EK16" s="1572"/>
      <c r="EL16" s="1572"/>
      <c r="EM16" s="1572"/>
      <c r="EN16" s="1572"/>
      <c r="EO16" s="1572"/>
      <c r="EP16" s="1572"/>
      <c r="EQ16" s="1572"/>
      <c r="ER16" s="1572"/>
      <c r="ES16" s="1572"/>
      <c r="ET16" s="1572"/>
      <c r="EU16" s="1572"/>
      <c r="EV16" s="1572"/>
      <c r="EW16" s="1572"/>
      <c r="EX16" s="1572"/>
      <c r="EY16" s="1572"/>
      <c r="EZ16" s="1572"/>
      <c r="FA16" s="1572"/>
      <c r="FB16" s="1572"/>
      <c r="FC16" s="1572"/>
      <c r="FD16" s="1572"/>
      <c r="FE16" s="1572"/>
      <c r="FF16" s="1572"/>
      <c r="FG16" s="1572"/>
      <c r="FH16" s="1572"/>
      <c r="FI16" s="1572"/>
    </row>
    <row r="17" spans="1:165">
      <c r="A17" s="595"/>
      <c r="B17" s="598"/>
      <c r="C17" s="599"/>
      <c r="F17" s="1440" t="s">
        <v>1631</v>
      </c>
      <c r="G17" s="1568" t="s">
        <v>1718</v>
      </c>
      <c r="H17" s="1569">
        <f>'Sistemas - Cotações'!F33</f>
        <v>109538.586215</v>
      </c>
      <c r="I17" s="1569">
        <f>H17*0.95</f>
        <v>104061.65690425001</v>
      </c>
      <c r="J17" s="867">
        <f>'Sistemas - Cotações'!H33</f>
        <v>30</v>
      </c>
      <c r="K17" s="97"/>
      <c r="L17" s="1479">
        <f>'Sistemas-Manutenção'!L14</f>
        <v>2</v>
      </c>
      <c r="M17" s="1479">
        <f>'Sistemas-Manutenção'!M14</f>
        <v>2</v>
      </c>
      <c r="N17" s="1479">
        <f>'Sistemas-Manutenção'!N14</f>
        <v>2</v>
      </c>
      <c r="O17" s="1479">
        <f>'Sistemas-Manutenção'!O14</f>
        <v>2</v>
      </c>
      <c r="P17" s="1479">
        <f>'Sistemas-Manutenção'!P14</f>
        <v>2</v>
      </c>
      <c r="Q17" s="1479">
        <f>'Sistemas-Manutenção'!Q14</f>
        <v>2</v>
      </c>
      <c r="R17" s="1479">
        <f>'Sistemas-Manutenção'!R14</f>
        <v>2</v>
      </c>
      <c r="S17" s="1479">
        <f>'Sistemas-Manutenção'!S14</f>
        <v>2</v>
      </c>
      <c r="T17" s="1479">
        <f>'Sistemas-Manutenção'!T14</f>
        <v>2</v>
      </c>
      <c r="U17" s="1479">
        <f>'Sistemas-Manutenção'!U14</f>
        <v>2</v>
      </c>
      <c r="V17" s="1479">
        <f>'Sistemas-Manutenção'!V14</f>
        <v>2</v>
      </c>
      <c r="W17" s="1479">
        <f>'Sistemas-Manutenção'!W14</f>
        <v>2</v>
      </c>
      <c r="X17" s="1479">
        <f>'Sistemas-Manutenção'!X14</f>
        <v>2</v>
      </c>
      <c r="Y17" s="1479">
        <f>'Sistemas-Manutenção'!Y14</f>
        <v>2</v>
      </c>
      <c r="Z17" s="1479">
        <f>'Sistemas-Manutenção'!Z14</f>
        <v>2</v>
      </c>
      <c r="AA17" s="1479">
        <f>'Sistemas-Manutenção'!AA14</f>
        <v>2</v>
      </c>
      <c r="AB17" s="1479">
        <f>'Sistemas-Manutenção'!AB14</f>
        <v>2</v>
      </c>
      <c r="AC17" s="1479">
        <f>'Sistemas-Manutenção'!AC14</f>
        <v>2</v>
      </c>
      <c r="AD17" s="1479">
        <f>'Sistemas-Manutenção'!AD14</f>
        <v>2</v>
      </c>
      <c r="AE17" s="1479">
        <f>'Sistemas-Manutenção'!AE14</f>
        <v>2</v>
      </c>
      <c r="AF17" s="1479">
        <f>'Sistemas-Manutenção'!AF14</f>
        <v>2</v>
      </c>
      <c r="AG17" s="1479">
        <f>'Sistemas-Manutenção'!AG14</f>
        <v>2</v>
      </c>
      <c r="AH17" s="1479">
        <f>'Sistemas-Manutenção'!AH14</f>
        <v>2</v>
      </c>
      <c r="AI17" s="1479">
        <f>'Sistemas-Manutenção'!AI14</f>
        <v>2</v>
      </c>
      <c r="AJ17" s="1479">
        <f>'Sistemas-Manutenção'!AJ14</f>
        <v>2</v>
      </c>
      <c r="AK17" s="1479">
        <f>'Sistemas-Manutenção'!AK14</f>
        <v>2</v>
      </c>
      <c r="AL17" s="1479">
        <f>'Sistemas-Manutenção'!AL14</f>
        <v>2</v>
      </c>
      <c r="AM17" s="1479">
        <f>'Sistemas-Manutenção'!AM14</f>
        <v>2</v>
      </c>
      <c r="AN17" s="1479">
        <f>'Sistemas-Manutenção'!AN14</f>
        <v>2</v>
      </c>
      <c r="AO17" s="1479">
        <f>'Sistemas-Manutenção'!AO14</f>
        <v>2</v>
      </c>
      <c r="AP17" s="77"/>
      <c r="AQ17" s="1479">
        <f t="shared" si="111"/>
        <v>2</v>
      </c>
      <c r="AR17" s="1479">
        <f t="shared" si="111"/>
        <v>0</v>
      </c>
      <c r="AS17" s="1479">
        <f t="shared" si="111"/>
        <v>0</v>
      </c>
      <c r="AT17" s="1479">
        <f t="shared" si="111"/>
        <v>0</v>
      </c>
      <c r="AU17" s="1479">
        <f t="shared" si="111"/>
        <v>0</v>
      </c>
      <c r="AV17" s="1479">
        <f t="shared" si="111"/>
        <v>0</v>
      </c>
      <c r="AW17" s="1479">
        <f t="shared" si="111"/>
        <v>0</v>
      </c>
      <c r="AX17" s="1479">
        <f t="shared" si="111"/>
        <v>0</v>
      </c>
      <c r="AY17" s="1479">
        <f t="shared" si="111"/>
        <v>0</v>
      </c>
      <c r="AZ17" s="1479">
        <f t="shared" si="111"/>
        <v>0</v>
      </c>
      <c r="BA17" s="1479">
        <f t="shared" si="112"/>
        <v>0</v>
      </c>
      <c r="BB17" s="1479">
        <f t="shared" si="112"/>
        <v>0</v>
      </c>
      <c r="BC17" s="1479">
        <f t="shared" si="112"/>
        <v>0</v>
      </c>
      <c r="BD17" s="1479">
        <f t="shared" si="112"/>
        <v>0</v>
      </c>
      <c r="BE17" s="1479">
        <f t="shared" si="112"/>
        <v>0</v>
      </c>
      <c r="BF17" s="1479">
        <f t="shared" si="112"/>
        <v>0</v>
      </c>
      <c r="BG17" s="1479">
        <f t="shared" si="113"/>
        <v>0</v>
      </c>
      <c r="BH17" s="1479">
        <f t="shared" si="113"/>
        <v>0</v>
      </c>
      <c r="BI17" s="1479">
        <f t="shared" si="113"/>
        <v>0</v>
      </c>
      <c r="BJ17" s="1479">
        <f t="shared" si="113"/>
        <v>0</v>
      </c>
      <c r="BK17" s="1479">
        <f t="shared" si="113"/>
        <v>0</v>
      </c>
      <c r="BL17" s="1479">
        <f t="shared" si="113"/>
        <v>0</v>
      </c>
      <c r="BM17" s="1479">
        <f t="shared" si="113"/>
        <v>0</v>
      </c>
      <c r="BN17" s="1479">
        <f t="shared" si="113"/>
        <v>0</v>
      </c>
      <c r="BO17" s="1479"/>
      <c r="BP17" s="1479"/>
      <c r="BQ17" s="1479"/>
      <c r="BR17" s="1479"/>
      <c r="BS17" s="1479"/>
      <c r="BT17" s="1479">
        <f t="shared" si="114"/>
        <v>0</v>
      </c>
      <c r="BU17" s="77"/>
      <c r="BV17" s="1571">
        <f t="shared" ref="BV17:CH17" ca="1" si="115">IF(L17-SUM(OFFSET(AQ17,,-$J17+1,,$J17))-IF($J17&gt;1,SUM(OFFSET(BV17,,-$J17+1,,$J17-1)),0)&gt;0,L17-SUM(OFFSET(AQ17,,-$J17+1,,$J17))-IF($J17&gt;1,SUM(OFFSET(BV17,,-$J17+1,,$J17-1)),0),0)</f>
        <v>0</v>
      </c>
      <c r="BW17" s="1571">
        <f t="shared" ca="1" si="115"/>
        <v>0</v>
      </c>
      <c r="BX17" s="1571">
        <f t="shared" ca="1" si="115"/>
        <v>0</v>
      </c>
      <c r="BY17" s="1571">
        <f t="shared" ca="1" si="115"/>
        <v>0</v>
      </c>
      <c r="BZ17" s="1571">
        <f t="shared" ca="1" si="115"/>
        <v>0</v>
      </c>
      <c r="CA17" s="1571">
        <f t="shared" ca="1" si="115"/>
        <v>0</v>
      </c>
      <c r="CB17" s="1571">
        <f t="shared" ca="1" si="115"/>
        <v>0</v>
      </c>
      <c r="CC17" s="1571">
        <f t="shared" ca="1" si="115"/>
        <v>0</v>
      </c>
      <c r="CD17" s="1571">
        <f t="shared" ca="1" si="115"/>
        <v>0</v>
      </c>
      <c r="CE17" s="1571">
        <f t="shared" ca="1" si="115"/>
        <v>0</v>
      </c>
      <c r="CF17" s="1571">
        <f t="shared" ca="1" si="115"/>
        <v>0</v>
      </c>
      <c r="CG17" s="1571">
        <f t="shared" ca="1" si="115"/>
        <v>0</v>
      </c>
      <c r="CH17" s="1571">
        <f t="shared" ca="1" si="115"/>
        <v>0</v>
      </c>
      <c r="CI17" s="1571">
        <f t="shared" ref="CI17" ca="1" si="116">IF(Y17-SUM(OFFSET(BD17,,-$J17+1,,$J17))-IF($J17&gt;1,SUM(OFFSET(CI17,,-$J17+1,,$J17-1)),0)&gt;0,Y17-SUM(OFFSET(BD17,,-$J17+1,,$J17))-IF($J17&gt;1,SUM(OFFSET(CI17,,-$J17+1,,$J17-1)),0),0)</f>
        <v>0</v>
      </c>
      <c r="CJ17" s="1571">
        <f t="shared" ref="CJ17" ca="1" si="117">IF(Z17-SUM(OFFSET(BE17,,-$J17+1,,$J17))-IF($J17&gt;1,SUM(OFFSET(CJ17,,-$J17+1,,$J17-1)),0)&gt;0,Z17-SUM(OFFSET(BE17,,-$J17+1,,$J17))-IF($J17&gt;1,SUM(OFFSET(CJ17,,-$J17+1,,$J17-1)),0),0)</f>
        <v>0</v>
      </c>
      <c r="CK17" s="1571">
        <f t="shared" ref="CK17" ca="1" si="118">IF(AA17-SUM(OFFSET(BF17,,-$J17+1,,$J17))-IF($J17&gt;1,SUM(OFFSET(CK17,,-$J17+1,,$J17-1)),0)&gt;0,AA17-SUM(OFFSET(BF17,,-$J17+1,,$J17))-IF($J17&gt;1,SUM(OFFSET(CK17,,-$J17+1,,$J17-1)),0),0)</f>
        <v>0</v>
      </c>
      <c r="CL17" s="1571">
        <f t="shared" ref="CL17" ca="1" si="119">IF(AB17-SUM(OFFSET(BG17,,-$J17+1,,$J17))-IF($J17&gt;1,SUM(OFFSET(CL17,,-$J17+1,,$J17-1)),0)&gt;0,AB17-SUM(OFFSET(BG17,,-$J17+1,,$J17))-IF($J17&gt;1,SUM(OFFSET(CL17,,-$J17+1,,$J17-1)),0),0)</f>
        <v>0</v>
      </c>
      <c r="CM17" s="1571">
        <f t="shared" ref="CM17" ca="1" si="120">IF(AC17-SUM(OFFSET(BH17,,-$J17+1,,$J17))-IF($J17&gt;1,SUM(OFFSET(CM17,,-$J17+1,,$J17-1)),0)&gt;0,AC17-SUM(OFFSET(BH17,,-$J17+1,,$J17))-IF($J17&gt;1,SUM(OFFSET(CM17,,-$J17+1,,$J17-1)),0),0)</f>
        <v>0</v>
      </c>
      <c r="CN17" s="1571">
        <f t="shared" ref="CN17" ca="1" si="121">IF(AD17-SUM(OFFSET(BI17,,-$J17+1,,$J17))-IF($J17&gt;1,SUM(OFFSET(CN17,,-$J17+1,,$J17-1)),0)&gt;0,AD17-SUM(OFFSET(BI17,,-$J17+1,,$J17))-IF($J17&gt;1,SUM(OFFSET(CN17,,-$J17+1,,$J17-1)),0),0)</f>
        <v>0</v>
      </c>
      <c r="CO17" s="1571">
        <f t="shared" ref="CO17" ca="1" si="122">IF(AE17-SUM(OFFSET(BJ17,,-$J17+1,,$J17))-IF($J17&gt;1,SUM(OFFSET(CO17,,-$J17+1,,$J17-1)),0)&gt;0,AE17-SUM(OFFSET(BJ17,,-$J17+1,,$J17))-IF($J17&gt;1,SUM(OFFSET(CO17,,-$J17+1,,$J17-1)),0),0)</f>
        <v>0</v>
      </c>
      <c r="CP17" s="1571">
        <f t="shared" ref="CP17" ca="1" si="123">IF(AF17-SUM(OFFSET(BK17,,-$J17+1,,$J17))-IF($J17&gt;1,SUM(OFFSET(CP17,,-$J17+1,,$J17-1)),0)&gt;0,AF17-SUM(OFFSET(BK17,,-$J17+1,,$J17))-IF($J17&gt;1,SUM(OFFSET(CP17,,-$J17+1,,$J17-1)),0),0)</f>
        <v>0</v>
      </c>
      <c r="CQ17" s="1571">
        <f t="shared" ref="CQ17" ca="1" si="124">IF(AG17-SUM(OFFSET(BL17,,-$J17+1,,$J17))-IF($J17&gt;1,SUM(OFFSET(CQ17,,-$J17+1,,$J17-1)),0)&gt;0,AG17-SUM(OFFSET(BL17,,-$J17+1,,$J17))-IF($J17&gt;1,SUM(OFFSET(CQ17,,-$J17+1,,$J17-1)),0),0)</f>
        <v>0</v>
      </c>
      <c r="CR17" s="1571">
        <f t="shared" ref="CR17" ca="1" si="125">IF(AH17-SUM(OFFSET(BM17,,-$J17+1,,$J17))-IF($J17&gt;1,SUM(OFFSET(CR17,,-$J17+1,,$J17-1)),0)&gt;0,AH17-SUM(OFFSET(BM17,,-$J17+1,,$J17))-IF($J17&gt;1,SUM(OFFSET(CR17,,-$J17+1,,$J17-1)),0),0)</f>
        <v>0</v>
      </c>
      <c r="CS17" s="1571">
        <f t="shared" ref="CS17" ca="1" si="126">IF(AI17-SUM(OFFSET(BN17,,-$J17+1,,$J17))-IF($J17&gt;1,SUM(OFFSET(CS17,,-$J17+1,,$J17-1)),0)&gt;0,AI17-SUM(OFFSET(BN17,,-$J17+1,,$J17))-IF($J17&gt;1,SUM(OFFSET(CS17,,-$J17+1,,$J17-1)),0),0)</f>
        <v>0</v>
      </c>
      <c r="CT17" s="1571">
        <f t="shared" ref="CT17" ca="1" si="127">IF(AJ17-SUM(OFFSET(BO17,,-$J17+1,,$J17))-IF($J17&gt;1,SUM(OFFSET(CT17,,-$J17+1,,$J17-1)),0)&gt;0,AJ17-SUM(OFFSET(BO17,,-$J17+1,,$J17))-IF($J17&gt;1,SUM(OFFSET(CT17,,-$J17+1,,$J17-1)),0),0)</f>
        <v>0</v>
      </c>
      <c r="CU17" s="1571">
        <f t="shared" ref="CU17" ca="1" si="128">IF(AK17-SUM(OFFSET(BP17,,-$J17+1,,$J17))-IF($J17&gt;1,SUM(OFFSET(CU17,,-$J17+1,,$J17-1)),0)&gt;0,AK17-SUM(OFFSET(BP17,,-$J17+1,,$J17))-IF($J17&gt;1,SUM(OFFSET(CU17,,-$J17+1,,$J17-1)),0),0)</f>
        <v>0</v>
      </c>
      <c r="CV17" s="1571">
        <f t="shared" ref="CV17" ca="1" si="129">IF(AL17-SUM(OFFSET(BQ17,,-$J17+1,,$J17))-IF($J17&gt;1,SUM(OFFSET(CV17,,-$J17+1,,$J17-1)),0)&gt;0,AL17-SUM(OFFSET(BQ17,,-$J17+1,,$J17))-IF($J17&gt;1,SUM(OFFSET(CV17,,-$J17+1,,$J17-1)),0),0)</f>
        <v>0</v>
      </c>
      <c r="CW17" s="1571">
        <f t="shared" ref="CW17" ca="1" si="130">IF(AM17-SUM(OFFSET(BR17,,-$J17+1,,$J17))-IF($J17&gt;1,SUM(OFFSET(CW17,,-$J17+1,,$J17-1)),0)&gt;0,AM17-SUM(OFFSET(BR17,,-$J17+1,,$J17))-IF($J17&gt;1,SUM(OFFSET(CW17,,-$J17+1,,$J17-1)),0),0)</f>
        <v>0</v>
      </c>
      <c r="CX17" s="1571">
        <f t="shared" ref="CX17" ca="1" si="131">IF(AN17-SUM(OFFSET(BS17,,-$J17+1,,$J17))-IF($J17&gt;1,SUM(OFFSET(CX17,,-$J17+1,,$J17-1)),0)&gt;0,AN17-SUM(OFFSET(BS17,,-$J17+1,,$J17))-IF($J17&gt;1,SUM(OFFSET(CX17,,-$J17+1,,$J17-1)),0),0)</f>
        <v>0</v>
      </c>
      <c r="CY17" s="1571">
        <f t="shared" ref="CY17" ca="1" si="132">IF(AO17-SUM(OFFSET(BT17,,-$J17+1,,$J17))-IF($J17&gt;1,SUM(OFFSET(CY17,,-$J17+1,,$J17-1)),0)&gt;0,AO17-SUM(OFFSET(BT17,,-$J17+1,,$J17))-IF($J17&gt;1,SUM(OFFSET(CY17,,-$J17+1,,$J17-1)),0),0)</f>
        <v>0</v>
      </c>
      <c r="CZ17" s="78"/>
      <c r="DA17" s="1572">
        <f t="shared" si="96"/>
        <v>219077.17243000001</v>
      </c>
      <c r="DB17" s="1572">
        <f t="shared" si="96"/>
        <v>0</v>
      </c>
      <c r="DC17" s="1572">
        <f t="shared" si="96"/>
        <v>0</v>
      </c>
      <c r="DD17" s="1572">
        <f t="shared" si="96"/>
        <v>0</v>
      </c>
      <c r="DE17" s="1572">
        <f t="shared" si="96"/>
        <v>0</v>
      </c>
      <c r="DF17" s="1572">
        <f t="shared" si="96"/>
        <v>0</v>
      </c>
      <c r="DG17" s="1572">
        <f t="shared" si="96"/>
        <v>0</v>
      </c>
      <c r="DH17" s="1572">
        <f t="shared" si="96"/>
        <v>0</v>
      </c>
      <c r="DI17" s="1572">
        <f t="shared" si="96"/>
        <v>0</v>
      </c>
      <c r="DJ17" s="1572">
        <f t="shared" si="96"/>
        <v>0</v>
      </c>
      <c r="DK17" s="1572">
        <f t="shared" si="97"/>
        <v>0</v>
      </c>
      <c r="DL17" s="1572">
        <f t="shared" si="97"/>
        <v>0</v>
      </c>
      <c r="DM17" s="1572">
        <f t="shared" si="97"/>
        <v>0</v>
      </c>
      <c r="DN17" s="1572">
        <f t="shared" si="97"/>
        <v>0</v>
      </c>
      <c r="DO17" s="1572">
        <f t="shared" si="97"/>
        <v>0</v>
      </c>
      <c r="DP17" s="1572">
        <f t="shared" si="97"/>
        <v>0</v>
      </c>
      <c r="DQ17" s="1572">
        <f t="shared" si="97"/>
        <v>0</v>
      </c>
      <c r="DR17" s="1572">
        <f t="shared" si="97"/>
        <v>0</v>
      </c>
      <c r="DS17" s="1572">
        <f t="shared" si="97"/>
        <v>0</v>
      </c>
      <c r="DT17" s="1572">
        <f t="shared" si="97"/>
        <v>0</v>
      </c>
      <c r="DU17" s="1572">
        <f t="shared" si="97"/>
        <v>0</v>
      </c>
      <c r="DV17" s="1572">
        <f t="shared" si="97"/>
        <v>0</v>
      </c>
      <c r="DW17" s="1572">
        <f t="shared" si="97"/>
        <v>0</v>
      </c>
      <c r="DX17" s="1572">
        <f t="shared" si="97"/>
        <v>0</v>
      </c>
      <c r="DY17" s="1572"/>
      <c r="DZ17" s="1572"/>
      <c r="EA17" s="1572"/>
      <c r="EB17" s="1572"/>
      <c r="EC17" s="1572"/>
      <c r="ED17" s="1572">
        <f t="shared" si="98"/>
        <v>0</v>
      </c>
      <c r="EE17" s="79"/>
      <c r="EF17" s="1572">
        <f t="shared" ca="1" si="99"/>
        <v>0</v>
      </c>
      <c r="EG17" s="1572">
        <f t="shared" ca="1" si="99"/>
        <v>0</v>
      </c>
      <c r="EH17" s="1572">
        <f t="shared" ca="1" si="99"/>
        <v>0</v>
      </c>
      <c r="EI17" s="1572">
        <f t="shared" ca="1" si="99"/>
        <v>0</v>
      </c>
      <c r="EJ17" s="1572">
        <f t="shared" ca="1" si="99"/>
        <v>0</v>
      </c>
      <c r="EK17" s="1572">
        <f t="shared" ca="1" si="99"/>
        <v>0</v>
      </c>
      <c r="EL17" s="1572">
        <f t="shared" ca="1" si="99"/>
        <v>0</v>
      </c>
      <c r="EM17" s="1572">
        <f t="shared" ca="1" si="99"/>
        <v>0</v>
      </c>
      <c r="EN17" s="1572">
        <f t="shared" ca="1" si="99"/>
        <v>0</v>
      </c>
      <c r="EO17" s="1572">
        <f t="shared" ca="1" si="99"/>
        <v>0</v>
      </c>
      <c r="EP17" s="1572">
        <f t="shared" ref="EP17:EU22" ca="1" si="133">CF17*$I17</f>
        <v>0</v>
      </c>
      <c r="EQ17" s="1572">
        <f t="shared" ca="1" si="133"/>
        <v>0</v>
      </c>
      <c r="ER17" s="1572">
        <f t="shared" ca="1" si="133"/>
        <v>0</v>
      </c>
      <c r="ES17" s="1572">
        <f t="shared" ca="1" si="133"/>
        <v>0</v>
      </c>
      <c r="ET17" s="1572">
        <f t="shared" ca="1" si="133"/>
        <v>0</v>
      </c>
      <c r="EU17" s="1572">
        <f t="shared" ca="1" si="133"/>
        <v>0</v>
      </c>
      <c r="EV17" s="1572">
        <f t="shared" ca="1" si="100"/>
        <v>0</v>
      </c>
      <c r="EW17" s="1572">
        <f t="shared" ca="1" si="100"/>
        <v>0</v>
      </c>
      <c r="EX17" s="1572">
        <f t="shared" ca="1" si="100"/>
        <v>0</v>
      </c>
      <c r="EY17" s="1572">
        <f t="shared" ca="1" si="100"/>
        <v>0</v>
      </c>
      <c r="EZ17" s="1572">
        <f t="shared" ca="1" si="100"/>
        <v>0</v>
      </c>
      <c r="FA17" s="1572">
        <f t="shared" ca="1" si="101"/>
        <v>0</v>
      </c>
      <c r="FB17" s="1572">
        <f t="shared" ca="1" si="102"/>
        <v>0</v>
      </c>
      <c r="FC17" s="1572">
        <f t="shared" ca="1" si="103"/>
        <v>0</v>
      </c>
      <c r="FD17" s="1572">
        <f t="shared" ca="1" si="104"/>
        <v>0</v>
      </c>
      <c r="FE17" s="1572">
        <f t="shared" ca="1" si="105"/>
        <v>0</v>
      </c>
      <c r="FF17" s="1572">
        <f t="shared" ca="1" si="106"/>
        <v>0</v>
      </c>
      <c r="FG17" s="1572">
        <f t="shared" ca="1" si="107"/>
        <v>0</v>
      </c>
      <c r="FH17" s="1572">
        <f t="shared" ca="1" si="108"/>
        <v>0</v>
      </c>
      <c r="FI17" s="1572">
        <f t="shared" ca="1" si="109"/>
        <v>0</v>
      </c>
    </row>
    <row r="18" spans="1:165">
      <c r="A18" s="595"/>
      <c r="B18" s="598"/>
      <c r="C18" s="599"/>
      <c r="F18" s="1440"/>
      <c r="G18" s="1568" t="s">
        <v>1718</v>
      </c>
      <c r="H18" s="1569"/>
      <c r="I18" s="1569"/>
      <c r="J18" s="867"/>
      <c r="K18" s="97"/>
      <c r="L18" s="1479">
        <f>'Sistemas-Manutenção'!L15</f>
        <v>1</v>
      </c>
      <c r="M18" s="1479">
        <f>'Sistemas-Manutenção'!M15</f>
        <v>1</v>
      </c>
      <c r="N18" s="1479">
        <f>'Sistemas-Manutenção'!N15</f>
        <v>1</v>
      </c>
      <c r="O18" s="1479">
        <f>'Sistemas-Manutenção'!O15</f>
        <v>1</v>
      </c>
      <c r="P18" s="1479">
        <f>'Sistemas-Manutenção'!P15</f>
        <v>1</v>
      </c>
      <c r="Q18" s="1479">
        <f>'Sistemas-Manutenção'!Q15</f>
        <v>1</v>
      </c>
      <c r="R18" s="1479">
        <f>'Sistemas-Manutenção'!R15</f>
        <v>1</v>
      </c>
      <c r="S18" s="1479">
        <f>'Sistemas-Manutenção'!S15</f>
        <v>1</v>
      </c>
      <c r="T18" s="1479">
        <f>'Sistemas-Manutenção'!T15</f>
        <v>1</v>
      </c>
      <c r="U18" s="1479">
        <f>'Sistemas-Manutenção'!U15</f>
        <v>1</v>
      </c>
      <c r="V18" s="1479">
        <f>'Sistemas-Manutenção'!V15</f>
        <v>1</v>
      </c>
      <c r="W18" s="1479">
        <f>'Sistemas-Manutenção'!W15</f>
        <v>1</v>
      </c>
      <c r="X18" s="1479">
        <f>'Sistemas-Manutenção'!X15</f>
        <v>1</v>
      </c>
      <c r="Y18" s="1479">
        <f>'Sistemas-Manutenção'!Y15</f>
        <v>1</v>
      </c>
      <c r="Z18" s="1479">
        <f>'Sistemas-Manutenção'!Z15</f>
        <v>1</v>
      </c>
      <c r="AA18" s="1479">
        <f>'Sistemas-Manutenção'!AA15</f>
        <v>1</v>
      </c>
      <c r="AB18" s="1479">
        <f>'Sistemas-Manutenção'!AB15</f>
        <v>1</v>
      </c>
      <c r="AC18" s="1479">
        <f>'Sistemas-Manutenção'!AC15</f>
        <v>1</v>
      </c>
      <c r="AD18" s="1479">
        <f>'Sistemas-Manutenção'!AD15</f>
        <v>1</v>
      </c>
      <c r="AE18" s="1479">
        <f>'Sistemas-Manutenção'!AE15</f>
        <v>1</v>
      </c>
      <c r="AF18" s="1479">
        <f>'Sistemas-Manutenção'!AF15</f>
        <v>1</v>
      </c>
      <c r="AG18" s="1479">
        <f>'Sistemas-Manutenção'!AG15</f>
        <v>1</v>
      </c>
      <c r="AH18" s="1479">
        <f>'Sistemas-Manutenção'!AH15</f>
        <v>1</v>
      </c>
      <c r="AI18" s="1479">
        <f>'Sistemas-Manutenção'!AI15</f>
        <v>1</v>
      </c>
      <c r="AJ18" s="1479">
        <f>'Sistemas-Manutenção'!AJ15</f>
        <v>1</v>
      </c>
      <c r="AK18" s="1479">
        <f>'Sistemas-Manutenção'!AK15</f>
        <v>1</v>
      </c>
      <c r="AL18" s="1479">
        <f>'Sistemas-Manutenção'!AL15</f>
        <v>1</v>
      </c>
      <c r="AM18" s="1479">
        <f>'Sistemas-Manutenção'!AM15</f>
        <v>1</v>
      </c>
      <c r="AN18" s="1479">
        <f>'Sistemas-Manutenção'!AN15</f>
        <v>1</v>
      </c>
      <c r="AO18" s="1479">
        <f>'Sistemas-Manutenção'!AO15</f>
        <v>1</v>
      </c>
      <c r="AP18" s="77"/>
      <c r="AQ18" s="1479">
        <f t="shared" si="111"/>
        <v>1</v>
      </c>
      <c r="AR18" s="1479">
        <f t="shared" si="111"/>
        <v>0</v>
      </c>
      <c r="AS18" s="1479">
        <f t="shared" si="111"/>
        <v>0</v>
      </c>
      <c r="AT18" s="1479">
        <f t="shared" si="111"/>
        <v>0</v>
      </c>
      <c r="AU18" s="1479">
        <f t="shared" si="111"/>
        <v>0</v>
      </c>
      <c r="AV18" s="1479">
        <f t="shared" si="111"/>
        <v>0</v>
      </c>
      <c r="AW18" s="1479">
        <f t="shared" si="111"/>
        <v>0</v>
      </c>
      <c r="AX18" s="1479">
        <f t="shared" si="111"/>
        <v>0</v>
      </c>
      <c r="AY18" s="1479">
        <f t="shared" si="111"/>
        <v>0</v>
      </c>
      <c r="AZ18" s="1479">
        <f t="shared" si="111"/>
        <v>0</v>
      </c>
      <c r="BA18" s="1479">
        <f t="shared" si="112"/>
        <v>0</v>
      </c>
      <c r="BB18" s="1479">
        <f t="shared" si="112"/>
        <v>0</v>
      </c>
      <c r="BC18" s="1479">
        <f t="shared" si="112"/>
        <v>0</v>
      </c>
      <c r="BD18" s="1479">
        <f t="shared" si="112"/>
        <v>0</v>
      </c>
      <c r="BE18" s="1479">
        <f t="shared" si="112"/>
        <v>0</v>
      </c>
      <c r="BF18" s="1479">
        <f t="shared" si="112"/>
        <v>0</v>
      </c>
      <c r="BG18" s="1479">
        <f t="shared" si="113"/>
        <v>0</v>
      </c>
      <c r="BH18" s="1479">
        <f t="shared" si="113"/>
        <v>0</v>
      </c>
      <c r="BI18" s="1479">
        <f t="shared" si="113"/>
        <v>0</v>
      </c>
      <c r="BJ18" s="1479">
        <f t="shared" si="113"/>
        <v>0</v>
      </c>
      <c r="BK18" s="1479">
        <f t="shared" si="113"/>
        <v>0</v>
      </c>
      <c r="BL18" s="1479">
        <f t="shared" si="113"/>
        <v>0</v>
      </c>
      <c r="BM18" s="1479">
        <f t="shared" si="113"/>
        <v>0</v>
      </c>
      <c r="BN18" s="1479">
        <f t="shared" si="113"/>
        <v>0</v>
      </c>
      <c r="BO18" s="1479"/>
      <c r="BP18" s="1479"/>
      <c r="BQ18" s="1479"/>
      <c r="BR18" s="1479"/>
      <c r="BS18" s="1479"/>
      <c r="BT18" s="1479">
        <f t="shared" si="114"/>
        <v>0</v>
      </c>
      <c r="BU18" s="77"/>
      <c r="BV18" s="1571"/>
      <c r="BW18" s="1571"/>
      <c r="BX18" s="1571"/>
      <c r="BY18" s="1571"/>
      <c r="BZ18" s="1571"/>
      <c r="CA18" s="1571"/>
      <c r="CB18" s="1571"/>
      <c r="CC18" s="1571"/>
      <c r="CD18" s="1571"/>
      <c r="CE18" s="1571"/>
      <c r="CF18" s="1571"/>
      <c r="CG18" s="1571"/>
      <c r="CH18" s="1571"/>
      <c r="CI18" s="1571"/>
      <c r="CJ18" s="1571"/>
      <c r="CK18" s="1571"/>
      <c r="CL18" s="1571"/>
      <c r="CM18" s="1571"/>
      <c r="CN18" s="1571"/>
      <c r="CO18" s="1571"/>
      <c r="CP18" s="1571"/>
      <c r="CQ18" s="1571"/>
      <c r="CR18" s="1571"/>
      <c r="CS18" s="1571"/>
      <c r="CT18" s="1571"/>
      <c r="CU18" s="1571"/>
      <c r="CV18" s="1571"/>
      <c r="CW18" s="1571"/>
      <c r="CX18" s="1571"/>
      <c r="CY18" s="1571"/>
      <c r="CZ18" s="78"/>
      <c r="DA18" s="1572">
        <f t="shared" si="96"/>
        <v>0</v>
      </c>
      <c r="DB18" s="1572">
        <f t="shared" si="96"/>
        <v>0</v>
      </c>
      <c r="DC18" s="1572">
        <f t="shared" si="96"/>
        <v>0</v>
      </c>
      <c r="DD18" s="1572">
        <f t="shared" si="96"/>
        <v>0</v>
      </c>
      <c r="DE18" s="1572">
        <f t="shared" si="96"/>
        <v>0</v>
      </c>
      <c r="DF18" s="1572">
        <f t="shared" si="96"/>
        <v>0</v>
      </c>
      <c r="DG18" s="1572">
        <f t="shared" si="96"/>
        <v>0</v>
      </c>
      <c r="DH18" s="1572">
        <f t="shared" si="96"/>
        <v>0</v>
      </c>
      <c r="DI18" s="1572">
        <f t="shared" si="96"/>
        <v>0</v>
      </c>
      <c r="DJ18" s="1572">
        <f t="shared" si="96"/>
        <v>0</v>
      </c>
      <c r="DK18" s="1572">
        <f t="shared" si="97"/>
        <v>0</v>
      </c>
      <c r="DL18" s="1572">
        <f t="shared" si="97"/>
        <v>0</v>
      </c>
      <c r="DM18" s="1572">
        <f t="shared" si="97"/>
        <v>0</v>
      </c>
      <c r="DN18" s="1572">
        <f t="shared" si="97"/>
        <v>0</v>
      </c>
      <c r="DO18" s="1572">
        <f t="shared" si="97"/>
        <v>0</v>
      </c>
      <c r="DP18" s="1572">
        <f t="shared" si="97"/>
        <v>0</v>
      </c>
      <c r="DQ18" s="1572">
        <f t="shared" si="97"/>
        <v>0</v>
      </c>
      <c r="DR18" s="1572">
        <f t="shared" si="97"/>
        <v>0</v>
      </c>
      <c r="DS18" s="1572">
        <f t="shared" si="97"/>
        <v>0</v>
      </c>
      <c r="DT18" s="1572">
        <f t="shared" si="97"/>
        <v>0</v>
      </c>
      <c r="DU18" s="1572">
        <f t="shared" si="97"/>
        <v>0</v>
      </c>
      <c r="DV18" s="1572">
        <f t="shared" si="97"/>
        <v>0</v>
      </c>
      <c r="DW18" s="1572">
        <f t="shared" si="97"/>
        <v>0</v>
      </c>
      <c r="DX18" s="1572">
        <f t="shared" si="97"/>
        <v>0</v>
      </c>
      <c r="DY18" s="1572"/>
      <c r="DZ18" s="1572"/>
      <c r="EA18" s="1572"/>
      <c r="EB18" s="1572"/>
      <c r="EC18" s="1572"/>
      <c r="ED18" s="1572">
        <f t="shared" si="98"/>
        <v>0</v>
      </c>
      <c r="EE18" s="79"/>
      <c r="EF18" s="1572">
        <f t="shared" si="99"/>
        <v>0</v>
      </c>
      <c r="EG18" s="1572">
        <f t="shared" si="99"/>
        <v>0</v>
      </c>
      <c r="EH18" s="1572">
        <f t="shared" si="99"/>
        <v>0</v>
      </c>
      <c r="EI18" s="1572">
        <f t="shared" si="99"/>
        <v>0</v>
      </c>
      <c r="EJ18" s="1572">
        <f t="shared" si="99"/>
        <v>0</v>
      </c>
      <c r="EK18" s="1572">
        <f t="shared" si="99"/>
        <v>0</v>
      </c>
      <c r="EL18" s="1572">
        <f t="shared" si="99"/>
        <v>0</v>
      </c>
      <c r="EM18" s="1572">
        <f t="shared" si="99"/>
        <v>0</v>
      </c>
      <c r="EN18" s="1572">
        <f t="shared" si="99"/>
        <v>0</v>
      </c>
      <c r="EO18" s="1572">
        <f t="shared" si="99"/>
        <v>0</v>
      </c>
      <c r="EP18" s="1572">
        <f t="shared" si="133"/>
        <v>0</v>
      </c>
      <c r="EQ18" s="1572">
        <f t="shared" si="133"/>
        <v>0</v>
      </c>
      <c r="ER18" s="1572">
        <f t="shared" si="133"/>
        <v>0</v>
      </c>
      <c r="ES18" s="1572">
        <f t="shared" si="133"/>
        <v>0</v>
      </c>
      <c r="ET18" s="1572">
        <f t="shared" si="133"/>
        <v>0</v>
      </c>
      <c r="EU18" s="1572">
        <f t="shared" si="133"/>
        <v>0</v>
      </c>
      <c r="EV18" s="1572">
        <f t="shared" si="100"/>
        <v>0</v>
      </c>
      <c r="EW18" s="1572">
        <f t="shared" si="100"/>
        <v>0</v>
      </c>
      <c r="EX18" s="1572">
        <f t="shared" si="100"/>
        <v>0</v>
      </c>
      <c r="EY18" s="1572">
        <f t="shared" si="100"/>
        <v>0</v>
      </c>
      <c r="EZ18" s="1572">
        <f t="shared" si="100"/>
        <v>0</v>
      </c>
      <c r="FA18" s="1572">
        <f t="shared" si="101"/>
        <v>0</v>
      </c>
      <c r="FB18" s="1572">
        <f t="shared" si="102"/>
        <v>0</v>
      </c>
      <c r="FC18" s="1572">
        <f t="shared" si="103"/>
        <v>0</v>
      </c>
      <c r="FD18" s="1572">
        <f t="shared" si="104"/>
        <v>0</v>
      </c>
      <c r="FE18" s="1572">
        <f t="shared" si="105"/>
        <v>0</v>
      </c>
      <c r="FF18" s="1572">
        <f t="shared" si="106"/>
        <v>0</v>
      </c>
      <c r="FG18" s="1572">
        <f t="shared" si="107"/>
        <v>0</v>
      </c>
      <c r="FH18" s="1572">
        <f t="shared" si="108"/>
        <v>0</v>
      </c>
      <c r="FI18" s="1572">
        <f t="shared" si="109"/>
        <v>0</v>
      </c>
    </row>
    <row r="19" spans="1:165" ht="12.75" customHeight="1">
      <c r="A19" s="595"/>
      <c r="B19" s="598"/>
      <c r="C19" s="599"/>
      <c r="F19" s="1440" t="s">
        <v>1632</v>
      </c>
      <c r="G19" s="1568" t="s">
        <v>1718</v>
      </c>
      <c r="H19" s="1569">
        <f>'Sistemas - Cotações'!F35</f>
        <v>3334606.9649999999</v>
      </c>
      <c r="I19" s="1569">
        <f>H19</f>
        <v>3334606.9649999999</v>
      </c>
      <c r="J19" s="867">
        <f>'Sistemas - Cotações'!H35</f>
        <v>30</v>
      </c>
      <c r="K19" s="97"/>
      <c r="L19" s="1479">
        <f>'Sistemas-Manutenção'!L16</f>
        <v>1</v>
      </c>
      <c r="M19" s="1479">
        <f>'Sistemas-Manutenção'!M16</f>
        <v>1</v>
      </c>
      <c r="N19" s="1479">
        <f>'Sistemas-Manutenção'!N16</f>
        <v>1</v>
      </c>
      <c r="O19" s="1479">
        <f>'Sistemas-Manutenção'!O16</f>
        <v>1</v>
      </c>
      <c r="P19" s="1479">
        <f>'Sistemas-Manutenção'!P16</f>
        <v>1</v>
      </c>
      <c r="Q19" s="1479">
        <f>'Sistemas-Manutenção'!Q16</f>
        <v>1</v>
      </c>
      <c r="R19" s="1479">
        <f>'Sistemas-Manutenção'!R16</f>
        <v>1</v>
      </c>
      <c r="S19" s="1479">
        <f>'Sistemas-Manutenção'!S16</f>
        <v>1</v>
      </c>
      <c r="T19" s="1479">
        <f>'Sistemas-Manutenção'!T16</f>
        <v>1</v>
      </c>
      <c r="U19" s="1479">
        <f>'Sistemas-Manutenção'!U16</f>
        <v>1</v>
      </c>
      <c r="V19" s="1479">
        <f>'Sistemas-Manutenção'!V16</f>
        <v>1</v>
      </c>
      <c r="W19" s="1479">
        <f>'Sistemas-Manutenção'!W16</f>
        <v>1</v>
      </c>
      <c r="X19" s="1479">
        <f>'Sistemas-Manutenção'!X16</f>
        <v>1</v>
      </c>
      <c r="Y19" s="1479">
        <f>'Sistemas-Manutenção'!Y16</f>
        <v>1</v>
      </c>
      <c r="Z19" s="1479">
        <f>'Sistemas-Manutenção'!Z16</f>
        <v>1</v>
      </c>
      <c r="AA19" s="1479">
        <f>'Sistemas-Manutenção'!AA16</f>
        <v>1</v>
      </c>
      <c r="AB19" s="1479">
        <f>'Sistemas-Manutenção'!AB16</f>
        <v>1</v>
      </c>
      <c r="AC19" s="1479">
        <f>'Sistemas-Manutenção'!AC16</f>
        <v>1</v>
      </c>
      <c r="AD19" s="1479">
        <f>'Sistemas-Manutenção'!AD16</f>
        <v>1</v>
      </c>
      <c r="AE19" s="1479">
        <f>'Sistemas-Manutenção'!AE16</f>
        <v>1</v>
      </c>
      <c r="AF19" s="1479">
        <f>'Sistemas-Manutenção'!AF16</f>
        <v>1</v>
      </c>
      <c r="AG19" s="1479">
        <f>'Sistemas-Manutenção'!AG16</f>
        <v>1</v>
      </c>
      <c r="AH19" s="1479">
        <f>'Sistemas-Manutenção'!AH16</f>
        <v>1</v>
      </c>
      <c r="AI19" s="1479">
        <f>'Sistemas-Manutenção'!AI16</f>
        <v>1</v>
      </c>
      <c r="AJ19" s="1479">
        <f>'Sistemas-Manutenção'!AJ16</f>
        <v>1</v>
      </c>
      <c r="AK19" s="1479">
        <f>'Sistemas-Manutenção'!AK16</f>
        <v>1</v>
      </c>
      <c r="AL19" s="1479">
        <f>'Sistemas-Manutenção'!AL16</f>
        <v>1</v>
      </c>
      <c r="AM19" s="1479">
        <f>'Sistemas-Manutenção'!AM16</f>
        <v>1</v>
      </c>
      <c r="AN19" s="1479">
        <f>'Sistemas-Manutenção'!AN16</f>
        <v>1</v>
      </c>
      <c r="AO19" s="1479">
        <f>'Sistemas-Manutenção'!AO16</f>
        <v>1</v>
      </c>
      <c r="AP19" s="77"/>
      <c r="AQ19" s="1479">
        <f t="shared" si="111"/>
        <v>1</v>
      </c>
      <c r="AR19" s="1479">
        <f t="shared" si="111"/>
        <v>0</v>
      </c>
      <c r="AS19" s="1479">
        <f t="shared" si="111"/>
        <v>0</v>
      </c>
      <c r="AT19" s="1479">
        <f t="shared" si="111"/>
        <v>0</v>
      </c>
      <c r="AU19" s="1479">
        <f t="shared" si="111"/>
        <v>0</v>
      </c>
      <c r="AV19" s="1479">
        <f t="shared" si="111"/>
        <v>0</v>
      </c>
      <c r="AW19" s="1479">
        <f t="shared" si="111"/>
        <v>0</v>
      </c>
      <c r="AX19" s="1479">
        <f t="shared" si="111"/>
        <v>0</v>
      </c>
      <c r="AY19" s="1479">
        <f t="shared" si="111"/>
        <v>0</v>
      </c>
      <c r="AZ19" s="1479">
        <f t="shared" si="111"/>
        <v>0</v>
      </c>
      <c r="BA19" s="1479">
        <f t="shared" si="112"/>
        <v>0</v>
      </c>
      <c r="BB19" s="1479">
        <f t="shared" si="112"/>
        <v>0</v>
      </c>
      <c r="BC19" s="1479">
        <f t="shared" si="112"/>
        <v>0</v>
      </c>
      <c r="BD19" s="1479">
        <f t="shared" si="112"/>
        <v>0</v>
      </c>
      <c r="BE19" s="1479">
        <f t="shared" si="112"/>
        <v>0</v>
      </c>
      <c r="BF19" s="1479">
        <f t="shared" si="112"/>
        <v>0</v>
      </c>
      <c r="BG19" s="1479">
        <f t="shared" si="113"/>
        <v>0</v>
      </c>
      <c r="BH19" s="1479">
        <f t="shared" si="113"/>
        <v>0</v>
      </c>
      <c r="BI19" s="1479">
        <f t="shared" si="113"/>
        <v>0</v>
      </c>
      <c r="BJ19" s="1479">
        <f t="shared" si="113"/>
        <v>0</v>
      </c>
      <c r="BK19" s="1479">
        <f t="shared" si="113"/>
        <v>0</v>
      </c>
      <c r="BL19" s="1479">
        <f t="shared" si="113"/>
        <v>0</v>
      </c>
      <c r="BM19" s="1479">
        <f t="shared" si="113"/>
        <v>0</v>
      </c>
      <c r="BN19" s="1479">
        <f t="shared" si="113"/>
        <v>0</v>
      </c>
      <c r="BO19" s="1479"/>
      <c r="BP19" s="1479"/>
      <c r="BQ19" s="1479"/>
      <c r="BR19" s="1479"/>
      <c r="BS19" s="1479"/>
      <c r="BT19" s="1479">
        <f t="shared" si="114"/>
        <v>0</v>
      </c>
      <c r="BU19" s="77"/>
      <c r="BV19" s="1571">
        <f t="shared" ref="BV19:CE20" ca="1" si="134">IF(L19-SUM(OFFSET(AQ19,,-$J19+1,,$J19))-IF($J19&gt;1,SUM(OFFSET(BV19,,-$J19+1,,$J19-1)),0)&gt;0,L19-SUM(OFFSET(AQ19,,-$J19+1,,$J19))-IF($J19&gt;1,SUM(OFFSET(BV19,,-$J19+1,,$J19-1)),0),0)</f>
        <v>0</v>
      </c>
      <c r="BW19" s="1571">
        <f t="shared" ca="1" si="134"/>
        <v>0</v>
      </c>
      <c r="BX19" s="1571">
        <f t="shared" ca="1" si="134"/>
        <v>0</v>
      </c>
      <c r="BY19" s="1571">
        <f t="shared" ca="1" si="134"/>
        <v>0</v>
      </c>
      <c r="BZ19" s="1571">
        <f t="shared" ca="1" si="134"/>
        <v>0</v>
      </c>
      <c r="CA19" s="1571">
        <f t="shared" ca="1" si="134"/>
        <v>0</v>
      </c>
      <c r="CB19" s="1571">
        <f t="shared" ca="1" si="134"/>
        <v>0</v>
      </c>
      <c r="CC19" s="1571">
        <f t="shared" ca="1" si="134"/>
        <v>0</v>
      </c>
      <c r="CD19" s="1571">
        <f t="shared" ca="1" si="134"/>
        <v>0</v>
      </c>
      <c r="CE19" s="1571">
        <f t="shared" ca="1" si="134"/>
        <v>0</v>
      </c>
      <c r="CF19" s="1571">
        <f t="shared" ref="CF19:CH20" ca="1" si="135">IF(V19-SUM(OFFSET(BA19,,-$J19+1,,$J19))-IF($J19&gt;1,SUM(OFFSET(CF19,,-$J19+1,,$J19-1)),0)&gt;0,V19-SUM(OFFSET(BA19,,-$J19+1,,$J19))-IF($J19&gt;1,SUM(OFFSET(CF19,,-$J19+1,,$J19-1)),0),0)</f>
        <v>0</v>
      </c>
      <c r="CG19" s="1571">
        <f t="shared" ca="1" si="135"/>
        <v>0</v>
      </c>
      <c r="CH19" s="1571">
        <f t="shared" ca="1" si="135"/>
        <v>0</v>
      </c>
      <c r="CI19" s="1571">
        <f t="shared" ref="CI19:CI20" ca="1" si="136">IF(Y19-SUM(OFFSET(BD19,,-$J19+1,,$J19))-IF($J19&gt;1,SUM(OFFSET(CI19,,-$J19+1,,$J19-1)),0)&gt;0,Y19-SUM(OFFSET(BD19,,-$J19+1,,$J19))-IF($J19&gt;1,SUM(OFFSET(CI19,,-$J19+1,,$J19-1)),0),0)</f>
        <v>0</v>
      </c>
      <c r="CJ19" s="1571">
        <f t="shared" ref="CJ19:CJ20" ca="1" si="137">IF(Z19-SUM(OFFSET(BE19,,-$J19+1,,$J19))-IF($J19&gt;1,SUM(OFFSET(CJ19,,-$J19+1,,$J19-1)),0)&gt;0,Z19-SUM(OFFSET(BE19,,-$J19+1,,$J19))-IF($J19&gt;1,SUM(OFFSET(CJ19,,-$J19+1,,$J19-1)),0),0)</f>
        <v>0</v>
      </c>
      <c r="CK19" s="1571">
        <f t="shared" ref="CK19:CK20" ca="1" si="138">IF(AA19-SUM(OFFSET(BF19,,-$J19+1,,$J19))-IF($J19&gt;1,SUM(OFFSET(CK19,,-$J19+1,,$J19-1)),0)&gt;0,AA19-SUM(OFFSET(BF19,,-$J19+1,,$J19))-IF($J19&gt;1,SUM(OFFSET(CK19,,-$J19+1,,$J19-1)),0),0)</f>
        <v>0</v>
      </c>
      <c r="CL19" s="1571">
        <f t="shared" ref="CL19:CL20" ca="1" si="139">IF(AB19-SUM(OFFSET(BG19,,-$J19+1,,$J19))-IF($J19&gt;1,SUM(OFFSET(CL19,,-$J19+1,,$J19-1)),0)&gt;0,AB19-SUM(OFFSET(BG19,,-$J19+1,,$J19))-IF($J19&gt;1,SUM(OFFSET(CL19,,-$J19+1,,$J19-1)),0),0)</f>
        <v>0</v>
      </c>
      <c r="CM19" s="1571">
        <f t="shared" ref="CM19:CM20" ca="1" si="140">IF(AC19-SUM(OFFSET(BH19,,-$J19+1,,$J19))-IF($J19&gt;1,SUM(OFFSET(CM19,,-$J19+1,,$J19-1)),0)&gt;0,AC19-SUM(OFFSET(BH19,,-$J19+1,,$J19))-IF($J19&gt;1,SUM(OFFSET(CM19,,-$J19+1,,$J19-1)),0),0)</f>
        <v>0</v>
      </c>
      <c r="CN19" s="1571">
        <f t="shared" ref="CN19:CN20" ca="1" si="141">IF(AD19-SUM(OFFSET(BI19,,-$J19+1,,$J19))-IF($J19&gt;1,SUM(OFFSET(CN19,,-$J19+1,,$J19-1)),0)&gt;0,AD19-SUM(OFFSET(BI19,,-$J19+1,,$J19))-IF($J19&gt;1,SUM(OFFSET(CN19,,-$J19+1,,$J19-1)),0),0)</f>
        <v>0</v>
      </c>
      <c r="CO19" s="1571">
        <f t="shared" ref="CO19:CO20" ca="1" si="142">IF(AE19-SUM(OFFSET(BJ19,,-$J19+1,,$J19))-IF($J19&gt;1,SUM(OFFSET(CO19,,-$J19+1,,$J19-1)),0)&gt;0,AE19-SUM(OFFSET(BJ19,,-$J19+1,,$J19))-IF($J19&gt;1,SUM(OFFSET(CO19,,-$J19+1,,$J19-1)),0),0)</f>
        <v>0</v>
      </c>
      <c r="CP19" s="1571">
        <f t="shared" ref="CP19:CP20" ca="1" si="143">IF(AF19-SUM(OFFSET(BK19,,-$J19+1,,$J19))-IF($J19&gt;1,SUM(OFFSET(CP19,,-$J19+1,,$J19-1)),0)&gt;0,AF19-SUM(OFFSET(BK19,,-$J19+1,,$J19))-IF($J19&gt;1,SUM(OFFSET(CP19,,-$J19+1,,$J19-1)),0),0)</f>
        <v>0</v>
      </c>
      <c r="CQ19" s="1571">
        <f t="shared" ref="CQ19:CQ20" ca="1" si="144">IF(AG19-SUM(OFFSET(BL19,,-$J19+1,,$J19))-IF($J19&gt;1,SUM(OFFSET(CQ19,,-$J19+1,,$J19-1)),0)&gt;0,AG19-SUM(OFFSET(BL19,,-$J19+1,,$J19))-IF($J19&gt;1,SUM(OFFSET(CQ19,,-$J19+1,,$J19-1)),0),0)</f>
        <v>0</v>
      </c>
      <c r="CR19" s="1571">
        <f t="shared" ref="CR19:CR20" ca="1" si="145">IF(AH19-SUM(OFFSET(BM19,,-$J19+1,,$J19))-IF($J19&gt;1,SUM(OFFSET(CR19,,-$J19+1,,$J19-1)),0)&gt;0,AH19-SUM(OFFSET(BM19,,-$J19+1,,$J19))-IF($J19&gt;1,SUM(OFFSET(CR19,,-$J19+1,,$J19-1)),0),0)</f>
        <v>0</v>
      </c>
      <c r="CS19" s="1571">
        <f t="shared" ref="CS19:CS20" ca="1" si="146">IF(AI19-SUM(OFFSET(BN19,,-$J19+1,,$J19))-IF($J19&gt;1,SUM(OFFSET(CS19,,-$J19+1,,$J19-1)),0)&gt;0,AI19-SUM(OFFSET(BN19,,-$J19+1,,$J19))-IF($J19&gt;1,SUM(OFFSET(CS19,,-$J19+1,,$J19-1)),0),0)</f>
        <v>0</v>
      </c>
      <c r="CT19" s="1571">
        <f t="shared" ref="CT19:CT20" ca="1" si="147">IF(AJ19-SUM(OFFSET(BO19,,-$J19+1,,$J19))-IF($J19&gt;1,SUM(OFFSET(CT19,,-$J19+1,,$J19-1)),0)&gt;0,AJ19-SUM(OFFSET(BO19,,-$J19+1,,$J19))-IF($J19&gt;1,SUM(OFFSET(CT19,,-$J19+1,,$J19-1)),0),0)</f>
        <v>0</v>
      </c>
      <c r="CU19" s="1571">
        <f t="shared" ref="CU19:CU20" ca="1" si="148">IF(AK19-SUM(OFFSET(BP19,,-$J19+1,,$J19))-IF($J19&gt;1,SUM(OFFSET(CU19,,-$J19+1,,$J19-1)),0)&gt;0,AK19-SUM(OFFSET(BP19,,-$J19+1,,$J19))-IF($J19&gt;1,SUM(OFFSET(CU19,,-$J19+1,,$J19-1)),0),0)</f>
        <v>0</v>
      </c>
      <c r="CV19" s="1571">
        <f t="shared" ref="CV19:CV20" ca="1" si="149">IF(AL19-SUM(OFFSET(BQ19,,-$J19+1,,$J19))-IF($J19&gt;1,SUM(OFFSET(CV19,,-$J19+1,,$J19-1)),0)&gt;0,AL19-SUM(OFFSET(BQ19,,-$J19+1,,$J19))-IF($J19&gt;1,SUM(OFFSET(CV19,,-$J19+1,,$J19-1)),0),0)</f>
        <v>0</v>
      </c>
      <c r="CW19" s="1571">
        <f t="shared" ref="CW19:CW20" ca="1" si="150">IF(AM19-SUM(OFFSET(BR19,,-$J19+1,,$J19))-IF($J19&gt;1,SUM(OFFSET(CW19,,-$J19+1,,$J19-1)),0)&gt;0,AM19-SUM(OFFSET(BR19,,-$J19+1,,$J19))-IF($J19&gt;1,SUM(OFFSET(CW19,,-$J19+1,,$J19-1)),0),0)</f>
        <v>0</v>
      </c>
      <c r="CX19" s="1571">
        <f t="shared" ref="CX19:CX20" ca="1" si="151">IF(AN19-SUM(OFFSET(BS19,,-$J19+1,,$J19))-IF($J19&gt;1,SUM(OFFSET(CX19,,-$J19+1,,$J19-1)),0)&gt;0,AN19-SUM(OFFSET(BS19,,-$J19+1,,$J19))-IF($J19&gt;1,SUM(OFFSET(CX19,,-$J19+1,,$J19-1)),0),0)</f>
        <v>0</v>
      </c>
      <c r="CY19" s="1571">
        <f t="shared" ref="CY19:CY20" ca="1" si="152">IF(AO19-SUM(OFFSET(BT19,,-$J19+1,,$J19))-IF($J19&gt;1,SUM(OFFSET(CY19,,-$J19+1,,$J19-1)),0)&gt;0,AO19-SUM(OFFSET(BT19,,-$J19+1,,$J19))-IF($J19&gt;1,SUM(OFFSET(CY19,,-$J19+1,,$J19-1)),0),0)</f>
        <v>0</v>
      </c>
      <c r="CZ19" s="78"/>
      <c r="DA19" s="1572">
        <f t="shared" si="96"/>
        <v>3334606.9649999999</v>
      </c>
      <c r="DB19" s="1572">
        <f t="shared" si="96"/>
        <v>0</v>
      </c>
      <c r="DC19" s="1572">
        <f t="shared" si="96"/>
        <v>0</v>
      </c>
      <c r="DD19" s="1572">
        <f t="shared" si="96"/>
        <v>0</v>
      </c>
      <c r="DE19" s="1572">
        <f t="shared" si="96"/>
        <v>0</v>
      </c>
      <c r="DF19" s="1572">
        <f t="shared" si="96"/>
        <v>0</v>
      </c>
      <c r="DG19" s="1572">
        <f t="shared" si="96"/>
        <v>0</v>
      </c>
      <c r="DH19" s="1572">
        <f t="shared" si="96"/>
        <v>0</v>
      </c>
      <c r="DI19" s="1572">
        <f t="shared" si="96"/>
        <v>0</v>
      </c>
      <c r="DJ19" s="1572">
        <f t="shared" si="96"/>
        <v>0</v>
      </c>
      <c r="DK19" s="1572">
        <f t="shared" si="97"/>
        <v>0</v>
      </c>
      <c r="DL19" s="1572">
        <f t="shared" si="97"/>
        <v>0</v>
      </c>
      <c r="DM19" s="1572">
        <f t="shared" si="97"/>
        <v>0</v>
      </c>
      <c r="DN19" s="1572">
        <f t="shared" si="97"/>
        <v>0</v>
      </c>
      <c r="DO19" s="1572">
        <f t="shared" si="97"/>
        <v>0</v>
      </c>
      <c r="DP19" s="1572">
        <f t="shared" si="97"/>
        <v>0</v>
      </c>
      <c r="DQ19" s="1572">
        <f t="shared" si="97"/>
        <v>0</v>
      </c>
      <c r="DR19" s="1572">
        <f t="shared" si="97"/>
        <v>0</v>
      </c>
      <c r="DS19" s="1572">
        <f t="shared" si="97"/>
        <v>0</v>
      </c>
      <c r="DT19" s="1572">
        <f t="shared" si="97"/>
        <v>0</v>
      </c>
      <c r="DU19" s="1572">
        <f t="shared" si="97"/>
        <v>0</v>
      </c>
      <c r="DV19" s="1572">
        <f t="shared" si="97"/>
        <v>0</v>
      </c>
      <c r="DW19" s="1572">
        <f t="shared" si="97"/>
        <v>0</v>
      </c>
      <c r="DX19" s="1572">
        <f t="shared" si="97"/>
        <v>0</v>
      </c>
      <c r="DY19" s="1572"/>
      <c r="DZ19" s="1572"/>
      <c r="EA19" s="1572"/>
      <c r="EB19" s="1572"/>
      <c r="EC19" s="1572"/>
      <c r="ED19" s="1572">
        <f t="shared" si="98"/>
        <v>0</v>
      </c>
      <c r="EE19" s="79"/>
      <c r="EF19" s="1572">
        <f t="shared" ca="1" si="99"/>
        <v>0</v>
      </c>
      <c r="EG19" s="1572">
        <f t="shared" ca="1" si="99"/>
        <v>0</v>
      </c>
      <c r="EH19" s="1572">
        <f t="shared" ca="1" si="99"/>
        <v>0</v>
      </c>
      <c r="EI19" s="1572">
        <f t="shared" ca="1" si="99"/>
        <v>0</v>
      </c>
      <c r="EJ19" s="1572">
        <f t="shared" ca="1" si="99"/>
        <v>0</v>
      </c>
      <c r="EK19" s="1572">
        <f t="shared" ca="1" si="99"/>
        <v>0</v>
      </c>
      <c r="EL19" s="1572">
        <f t="shared" ca="1" si="99"/>
        <v>0</v>
      </c>
      <c r="EM19" s="1572">
        <f t="shared" ca="1" si="99"/>
        <v>0</v>
      </c>
      <c r="EN19" s="1572">
        <f t="shared" ca="1" si="99"/>
        <v>0</v>
      </c>
      <c r="EO19" s="1572">
        <f t="shared" ca="1" si="99"/>
        <v>0</v>
      </c>
      <c r="EP19" s="1572">
        <f t="shared" ca="1" si="133"/>
        <v>0</v>
      </c>
      <c r="EQ19" s="1572">
        <f t="shared" ca="1" si="133"/>
        <v>0</v>
      </c>
      <c r="ER19" s="1572">
        <f t="shared" ca="1" si="133"/>
        <v>0</v>
      </c>
      <c r="ES19" s="1572">
        <f t="shared" ca="1" si="133"/>
        <v>0</v>
      </c>
      <c r="ET19" s="1572">
        <f t="shared" ca="1" si="133"/>
        <v>0</v>
      </c>
      <c r="EU19" s="1572">
        <f t="shared" ca="1" si="133"/>
        <v>0</v>
      </c>
      <c r="EV19" s="1572">
        <f t="shared" ca="1" si="100"/>
        <v>0</v>
      </c>
      <c r="EW19" s="1572">
        <f t="shared" ca="1" si="100"/>
        <v>0</v>
      </c>
      <c r="EX19" s="1572">
        <f t="shared" ca="1" si="100"/>
        <v>0</v>
      </c>
      <c r="EY19" s="1572">
        <f t="shared" ca="1" si="100"/>
        <v>0</v>
      </c>
      <c r="EZ19" s="1572">
        <f t="shared" ca="1" si="100"/>
        <v>0</v>
      </c>
      <c r="FA19" s="1572">
        <f t="shared" ca="1" si="101"/>
        <v>0</v>
      </c>
      <c r="FB19" s="1572">
        <f t="shared" ca="1" si="102"/>
        <v>0</v>
      </c>
      <c r="FC19" s="1572">
        <f t="shared" ca="1" si="103"/>
        <v>0</v>
      </c>
      <c r="FD19" s="1572">
        <f t="shared" ca="1" si="104"/>
        <v>0</v>
      </c>
      <c r="FE19" s="1572">
        <f t="shared" ca="1" si="105"/>
        <v>0</v>
      </c>
      <c r="FF19" s="1572">
        <f t="shared" ca="1" si="106"/>
        <v>0</v>
      </c>
      <c r="FG19" s="1572">
        <f t="shared" ca="1" si="107"/>
        <v>0</v>
      </c>
      <c r="FH19" s="1572">
        <f t="shared" ca="1" si="108"/>
        <v>0</v>
      </c>
      <c r="FI19" s="1572">
        <f t="shared" ca="1" si="109"/>
        <v>0</v>
      </c>
    </row>
    <row r="20" spans="1:165" ht="12.75" customHeight="1">
      <c r="A20" s="595"/>
      <c r="B20" s="598"/>
      <c r="C20" s="599"/>
      <c r="F20" s="1440" t="s">
        <v>1633</v>
      </c>
      <c r="G20" s="1568" t="s">
        <v>1718</v>
      </c>
      <c r="H20" s="1569">
        <f>'Sistemas - Cotações'!F36</f>
        <v>1551545.6563118249</v>
      </c>
      <c r="I20" s="1569">
        <f>H20</f>
        <v>1551545.6563118249</v>
      </c>
      <c r="J20" s="867">
        <v>30</v>
      </c>
      <c r="K20" s="97"/>
      <c r="L20" s="1479">
        <f>'Sistemas-Manutenção'!L17</f>
        <v>1</v>
      </c>
      <c r="M20" s="1479">
        <f>'Sistemas-Manutenção'!M17</f>
        <v>1</v>
      </c>
      <c r="N20" s="1479">
        <f>'Sistemas-Manutenção'!N17</f>
        <v>1</v>
      </c>
      <c r="O20" s="1479">
        <f>'Sistemas-Manutenção'!O17</f>
        <v>1</v>
      </c>
      <c r="P20" s="1479">
        <f>'Sistemas-Manutenção'!P17</f>
        <v>1</v>
      </c>
      <c r="Q20" s="1479">
        <f>'Sistemas-Manutenção'!Q17</f>
        <v>1</v>
      </c>
      <c r="R20" s="1479">
        <f>'Sistemas-Manutenção'!R17</f>
        <v>1</v>
      </c>
      <c r="S20" s="1479">
        <f>'Sistemas-Manutenção'!S17</f>
        <v>1</v>
      </c>
      <c r="T20" s="1479">
        <f>'Sistemas-Manutenção'!T17</f>
        <v>1</v>
      </c>
      <c r="U20" s="1479">
        <f>'Sistemas-Manutenção'!U17</f>
        <v>1</v>
      </c>
      <c r="V20" s="1479">
        <f>'Sistemas-Manutenção'!V17</f>
        <v>1</v>
      </c>
      <c r="W20" s="1479">
        <f>'Sistemas-Manutenção'!W17</f>
        <v>1</v>
      </c>
      <c r="X20" s="1479">
        <f>'Sistemas-Manutenção'!X17</f>
        <v>1</v>
      </c>
      <c r="Y20" s="1479">
        <f>'Sistemas-Manutenção'!Y17</f>
        <v>1</v>
      </c>
      <c r="Z20" s="1479">
        <f>'Sistemas-Manutenção'!Z17</f>
        <v>1</v>
      </c>
      <c r="AA20" s="1479">
        <f>'Sistemas-Manutenção'!AA17</f>
        <v>1</v>
      </c>
      <c r="AB20" s="1479">
        <f>'Sistemas-Manutenção'!AB17</f>
        <v>1</v>
      </c>
      <c r="AC20" s="1479">
        <f>'Sistemas-Manutenção'!AC17</f>
        <v>1</v>
      </c>
      <c r="AD20" s="1479">
        <f>'Sistemas-Manutenção'!AD17</f>
        <v>1</v>
      </c>
      <c r="AE20" s="1479">
        <f>'Sistemas-Manutenção'!AE17</f>
        <v>1</v>
      </c>
      <c r="AF20" s="1479">
        <f>'Sistemas-Manutenção'!AF17</f>
        <v>1</v>
      </c>
      <c r="AG20" s="1479">
        <f>'Sistemas-Manutenção'!AG17</f>
        <v>1</v>
      </c>
      <c r="AH20" s="1479">
        <f>'Sistemas-Manutenção'!AH17</f>
        <v>1</v>
      </c>
      <c r="AI20" s="1479">
        <f>'Sistemas-Manutenção'!AI17</f>
        <v>1</v>
      </c>
      <c r="AJ20" s="1479">
        <f>'Sistemas-Manutenção'!AJ17</f>
        <v>1</v>
      </c>
      <c r="AK20" s="1479">
        <f>'Sistemas-Manutenção'!AK17</f>
        <v>1</v>
      </c>
      <c r="AL20" s="1479">
        <f>'Sistemas-Manutenção'!AL17</f>
        <v>1</v>
      </c>
      <c r="AM20" s="1479">
        <f>'Sistemas-Manutenção'!AM17</f>
        <v>1</v>
      </c>
      <c r="AN20" s="1479">
        <f>'Sistemas-Manutenção'!AN17</f>
        <v>1</v>
      </c>
      <c r="AO20" s="1479">
        <f>'Sistemas-Manutenção'!AO17</f>
        <v>1</v>
      </c>
      <c r="AP20" s="77"/>
      <c r="AQ20" s="1479">
        <f t="shared" si="111"/>
        <v>1</v>
      </c>
      <c r="AR20" s="1479">
        <f t="shared" si="111"/>
        <v>0</v>
      </c>
      <c r="AS20" s="1479">
        <f t="shared" si="111"/>
        <v>0</v>
      </c>
      <c r="AT20" s="1479">
        <f t="shared" si="111"/>
        <v>0</v>
      </c>
      <c r="AU20" s="1479">
        <f t="shared" si="111"/>
        <v>0</v>
      </c>
      <c r="AV20" s="1479">
        <f t="shared" si="111"/>
        <v>0</v>
      </c>
      <c r="AW20" s="1479">
        <f t="shared" si="111"/>
        <v>0</v>
      </c>
      <c r="AX20" s="1479">
        <f t="shared" si="111"/>
        <v>0</v>
      </c>
      <c r="AY20" s="1479">
        <f t="shared" si="111"/>
        <v>0</v>
      </c>
      <c r="AZ20" s="1479">
        <f t="shared" si="111"/>
        <v>0</v>
      </c>
      <c r="BA20" s="1479">
        <f t="shared" si="112"/>
        <v>0</v>
      </c>
      <c r="BB20" s="1479">
        <f t="shared" si="112"/>
        <v>0</v>
      </c>
      <c r="BC20" s="1479">
        <f t="shared" si="112"/>
        <v>0</v>
      </c>
      <c r="BD20" s="1479">
        <f t="shared" si="112"/>
        <v>0</v>
      </c>
      <c r="BE20" s="1479">
        <f t="shared" si="112"/>
        <v>0</v>
      </c>
      <c r="BF20" s="1479">
        <f t="shared" si="112"/>
        <v>0</v>
      </c>
      <c r="BG20" s="1479">
        <f t="shared" si="113"/>
        <v>0</v>
      </c>
      <c r="BH20" s="1479">
        <f t="shared" si="113"/>
        <v>0</v>
      </c>
      <c r="BI20" s="1479">
        <f t="shared" si="113"/>
        <v>0</v>
      </c>
      <c r="BJ20" s="1479">
        <f t="shared" si="113"/>
        <v>0</v>
      </c>
      <c r="BK20" s="1479">
        <f t="shared" si="113"/>
        <v>0</v>
      </c>
      <c r="BL20" s="1479">
        <f t="shared" si="113"/>
        <v>0</v>
      </c>
      <c r="BM20" s="1479">
        <f t="shared" si="113"/>
        <v>0</v>
      </c>
      <c r="BN20" s="1479">
        <f t="shared" si="113"/>
        <v>0</v>
      </c>
      <c r="BO20" s="1479"/>
      <c r="BP20" s="1479"/>
      <c r="BQ20" s="1479"/>
      <c r="BR20" s="1479"/>
      <c r="BS20" s="1479"/>
      <c r="BT20" s="1479">
        <f t="shared" si="114"/>
        <v>0</v>
      </c>
      <c r="BU20" s="77"/>
      <c r="BV20" s="1571">
        <f t="shared" ca="1" si="134"/>
        <v>0</v>
      </c>
      <c r="BW20" s="1571">
        <f t="shared" ca="1" si="134"/>
        <v>0</v>
      </c>
      <c r="BX20" s="1571">
        <f t="shared" ca="1" si="134"/>
        <v>0</v>
      </c>
      <c r="BY20" s="1571">
        <f t="shared" ca="1" si="134"/>
        <v>0</v>
      </c>
      <c r="BZ20" s="1571">
        <f t="shared" ca="1" si="134"/>
        <v>0</v>
      </c>
      <c r="CA20" s="1571">
        <f t="shared" ca="1" si="134"/>
        <v>0</v>
      </c>
      <c r="CB20" s="1571">
        <f t="shared" ca="1" si="134"/>
        <v>0</v>
      </c>
      <c r="CC20" s="1571">
        <f t="shared" ca="1" si="134"/>
        <v>0</v>
      </c>
      <c r="CD20" s="1571">
        <f t="shared" ca="1" si="134"/>
        <v>0</v>
      </c>
      <c r="CE20" s="1571">
        <f t="shared" ca="1" si="134"/>
        <v>0</v>
      </c>
      <c r="CF20" s="1571">
        <f t="shared" ca="1" si="135"/>
        <v>0</v>
      </c>
      <c r="CG20" s="1571">
        <f t="shared" ca="1" si="135"/>
        <v>0</v>
      </c>
      <c r="CH20" s="1571">
        <f t="shared" ca="1" si="135"/>
        <v>0</v>
      </c>
      <c r="CI20" s="1571">
        <f t="shared" ca="1" si="136"/>
        <v>0</v>
      </c>
      <c r="CJ20" s="1571">
        <f t="shared" ca="1" si="137"/>
        <v>0</v>
      </c>
      <c r="CK20" s="1571">
        <f t="shared" ca="1" si="138"/>
        <v>0</v>
      </c>
      <c r="CL20" s="1571">
        <f t="shared" ca="1" si="139"/>
        <v>0</v>
      </c>
      <c r="CM20" s="1571">
        <f t="shared" ca="1" si="140"/>
        <v>0</v>
      </c>
      <c r="CN20" s="1571">
        <f t="shared" ca="1" si="141"/>
        <v>0</v>
      </c>
      <c r="CO20" s="1571">
        <f t="shared" ca="1" si="142"/>
        <v>0</v>
      </c>
      <c r="CP20" s="1571">
        <f t="shared" ca="1" si="143"/>
        <v>0</v>
      </c>
      <c r="CQ20" s="1571">
        <f t="shared" ca="1" si="144"/>
        <v>0</v>
      </c>
      <c r="CR20" s="1571">
        <f t="shared" ca="1" si="145"/>
        <v>0</v>
      </c>
      <c r="CS20" s="1571">
        <f t="shared" ca="1" si="146"/>
        <v>0</v>
      </c>
      <c r="CT20" s="1571">
        <f t="shared" ca="1" si="147"/>
        <v>0</v>
      </c>
      <c r="CU20" s="1571">
        <f t="shared" ca="1" si="148"/>
        <v>0</v>
      </c>
      <c r="CV20" s="1571">
        <f t="shared" ca="1" si="149"/>
        <v>0</v>
      </c>
      <c r="CW20" s="1571">
        <f t="shared" ca="1" si="150"/>
        <v>0</v>
      </c>
      <c r="CX20" s="1571">
        <f t="shared" ca="1" si="151"/>
        <v>0</v>
      </c>
      <c r="CY20" s="1571">
        <f t="shared" ca="1" si="152"/>
        <v>0</v>
      </c>
      <c r="CZ20" s="78"/>
      <c r="DA20" s="1572">
        <f t="shared" si="96"/>
        <v>1551545.6563118249</v>
      </c>
      <c r="DB20" s="1572">
        <f t="shared" si="96"/>
        <v>0</v>
      </c>
      <c r="DC20" s="1572">
        <f t="shared" si="96"/>
        <v>0</v>
      </c>
      <c r="DD20" s="1572">
        <f t="shared" si="96"/>
        <v>0</v>
      </c>
      <c r="DE20" s="1572">
        <f t="shared" si="96"/>
        <v>0</v>
      </c>
      <c r="DF20" s="1572">
        <f t="shared" si="96"/>
        <v>0</v>
      </c>
      <c r="DG20" s="1572">
        <f t="shared" si="96"/>
        <v>0</v>
      </c>
      <c r="DH20" s="1572">
        <f t="shared" si="96"/>
        <v>0</v>
      </c>
      <c r="DI20" s="1572">
        <f t="shared" si="96"/>
        <v>0</v>
      </c>
      <c r="DJ20" s="1572">
        <f t="shared" si="96"/>
        <v>0</v>
      </c>
      <c r="DK20" s="1572">
        <f t="shared" si="97"/>
        <v>0</v>
      </c>
      <c r="DL20" s="1572">
        <f t="shared" si="97"/>
        <v>0</v>
      </c>
      <c r="DM20" s="1572">
        <f t="shared" si="97"/>
        <v>0</v>
      </c>
      <c r="DN20" s="1572">
        <f t="shared" si="97"/>
        <v>0</v>
      </c>
      <c r="DO20" s="1572">
        <f t="shared" si="97"/>
        <v>0</v>
      </c>
      <c r="DP20" s="1572">
        <f t="shared" si="97"/>
        <v>0</v>
      </c>
      <c r="DQ20" s="1572">
        <f t="shared" si="97"/>
        <v>0</v>
      </c>
      <c r="DR20" s="1572">
        <f t="shared" si="97"/>
        <v>0</v>
      </c>
      <c r="DS20" s="1572">
        <f t="shared" si="97"/>
        <v>0</v>
      </c>
      <c r="DT20" s="1572">
        <f t="shared" si="97"/>
        <v>0</v>
      </c>
      <c r="DU20" s="1572">
        <f t="shared" si="97"/>
        <v>0</v>
      </c>
      <c r="DV20" s="1572">
        <f t="shared" si="97"/>
        <v>0</v>
      </c>
      <c r="DW20" s="1572">
        <f t="shared" si="97"/>
        <v>0</v>
      </c>
      <c r="DX20" s="1572">
        <f t="shared" si="97"/>
        <v>0</v>
      </c>
      <c r="DY20" s="1572"/>
      <c r="DZ20" s="1572"/>
      <c r="EA20" s="1572"/>
      <c r="EB20" s="1572"/>
      <c r="EC20" s="1572"/>
      <c r="ED20" s="1572">
        <f t="shared" si="98"/>
        <v>0</v>
      </c>
      <c r="EE20" s="79"/>
      <c r="EF20" s="1572">
        <f t="shared" ca="1" si="99"/>
        <v>0</v>
      </c>
      <c r="EG20" s="1572">
        <f t="shared" ca="1" si="99"/>
        <v>0</v>
      </c>
      <c r="EH20" s="1572">
        <f t="shared" ca="1" si="99"/>
        <v>0</v>
      </c>
      <c r="EI20" s="1572">
        <f t="shared" ca="1" si="99"/>
        <v>0</v>
      </c>
      <c r="EJ20" s="1572">
        <f t="shared" ca="1" si="99"/>
        <v>0</v>
      </c>
      <c r="EK20" s="1572">
        <f t="shared" ca="1" si="99"/>
        <v>0</v>
      </c>
      <c r="EL20" s="1572">
        <f t="shared" ca="1" si="99"/>
        <v>0</v>
      </c>
      <c r="EM20" s="1572">
        <f t="shared" ca="1" si="99"/>
        <v>0</v>
      </c>
      <c r="EN20" s="1572">
        <f t="shared" ca="1" si="99"/>
        <v>0</v>
      </c>
      <c r="EO20" s="1572">
        <f t="shared" ca="1" si="99"/>
        <v>0</v>
      </c>
      <c r="EP20" s="1572">
        <f t="shared" ca="1" si="133"/>
        <v>0</v>
      </c>
      <c r="EQ20" s="1572">
        <f t="shared" ca="1" si="133"/>
        <v>0</v>
      </c>
      <c r="ER20" s="1572">
        <f t="shared" ca="1" si="133"/>
        <v>0</v>
      </c>
      <c r="ES20" s="1572">
        <f t="shared" ca="1" si="133"/>
        <v>0</v>
      </c>
      <c r="ET20" s="1572">
        <f t="shared" ca="1" si="133"/>
        <v>0</v>
      </c>
      <c r="EU20" s="1572">
        <f t="shared" ca="1" si="133"/>
        <v>0</v>
      </c>
      <c r="EV20" s="1572">
        <f t="shared" ca="1" si="100"/>
        <v>0</v>
      </c>
      <c r="EW20" s="1572">
        <f t="shared" ca="1" si="100"/>
        <v>0</v>
      </c>
      <c r="EX20" s="1572">
        <f t="shared" ca="1" si="100"/>
        <v>0</v>
      </c>
      <c r="EY20" s="1572">
        <f t="shared" ca="1" si="100"/>
        <v>0</v>
      </c>
      <c r="EZ20" s="1572">
        <f t="shared" ca="1" si="100"/>
        <v>0</v>
      </c>
      <c r="FA20" s="1572">
        <f t="shared" ca="1" si="101"/>
        <v>0</v>
      </c>
      <c r="FB20" s="1572">
        <f t="shared" ca="1" si="102"/>
        <v>0</v>
      </c>
      <c r="FC20" s="1572">
        <f t="shared" ca="1" si="103"/>
        <v>0</v>
      </c>
      <c r="FD20" s="1572">
        <f t="shared" ca="1" si="104"/>
        <v>0</v>
      </c>
      <c r="FE20" s="1572">
        <f t="shared" ca="1" si="105"/>
        <v>0</v>
      </c>
      <c r="FF20" s="1572">
        <f t="shared" ca="1" si="106"/>
        <v>0</v>
      </c>
      <c r="FG20" s="1572">
        <f t="shared" ca="1" si="107"/>
        <v>0</v>
      </c>
      <c r="FH20" s="1572">
        <f t="shared" ca="1" si="108"/>
        <v>0</v>
      </c>
      <c r="FI20" s="1572">
        <f t="shared" ca="1" si="109"/>
        <v>0</v>
      </c>
    </row>
    <row r="21" spans="1:165">
      <c r="A21" s="595"/>
      <c r="B21" s="598"/>
      <c r="C21" s="599"/>
      <c r="F21" s="866" t="s">
        <v>1720</v>
      </c>
      <c r="G21" s="1568" t="s">
        <v>1718</v>
      </c>
      <c r="H21" s="1569">
        <f>'Sistemas - Cotações'!F85</f>
        <v>101820.06</v>
      </c>
      <c r="I21" s="1569">
        <f>H21*0.95</f>
        <v>96729.056999999986</v>
      </c>
      <c r="J21" s="867">
        <v>20</v>
      </c>
      <c r="K21" s="97"/>
      <c r="L21" s="1479">
        <f>'Sistemas-Manutenção'!L18</f>
        <v>1</v>
      </c>
      <c r="M21" s="1479">
        <f>'Sistemas-Manutenção'!M18</f>
        <v>1</v>
      </c>
      <c r="N21" s="1479">
        <f>'Sistemas-Manutenção'!N18</f>
        <v>1</v>
      </c>
      <c r="O21" s="1479">
        <f>'Sistemas-Manutenção'!O18</f>
        <v>1</v>
      </c>
      <c r="P21" s="1479">
        <f>'Sistemas-Manutenção'!P18</f>
        <v>1</v>
      </c>
      <c r="Q21" s="1479">
        <f>'Sistemas-Manutenção'!Q18</f>
        <v>1</v>
      </c>
      <c r="R21" s="1479">
        <f>'Sistemas-Manutenção'!R18</f>
        <v>1</v>
      </c>
      <c r="S21" s="1479">
        <f>'Sistemas-Manutenção'!S18</f>
        <v>1</v>
      </c>
      <c r="T21" s="1479">
        <f>'Sistemas-Manutenção'!T18</f>
        <v>1</v>
      </c>
      <c r="U21" s="1479">
        <f>'Sistemas-Manutenção'!U18</f>
        <v>1</v>
      </c>
      <c r="V21" s="1479">
        <f>'Sistemas-Manutenção'!V18</f>
        <v>1</v>
      </c>
      <c r="W21" s="1479">
        <f>'Sistemas-Manutenção'!W18</f>
        <v>1</v>
      </c>
      <c r="X21" s="1479">
        <f>'Sistemas-Manutenção'!X18</f>
        <v>1</v>
      </c>
      <c r="Y21" s="1479">
        <f>'Sistemas-Manutenção'!Y18</f>
        <v>1</v>
      </c>
      <c r="Z21" s="1479">
        <f>'Sistemas-Manutenção'!Z18</f>
        <v>1</v>
      </c>
      <c r="AA21" s="1479">
        <f>'Sistemas-Manutenção'!AA18</f>
        <v>1</v>
      </c>
      <c r="AB21" s="1479">
        <f>'Sistemas-Manutenção'!AB18</f>
        <v>1</v>
      </c>
      <c r="AC21" s="1479">
        <f>'Sistemas-Manutenção'!AC18</f>
        <v>1</v>
      </c>
      <c r="AD21" s="1479">
        <f>'Sistemas-Manutenção'!AD18</f>
        <v>1</v>
      </c>
      <c r="AE21" s="1479">
        <f>'Sistemas-Manutenção'!AE18</f>
        <v>1</v>
      </c>
      <c r="AF21" s="1479">
        <f>'Sistemas-Manutenção'!AF18</f>
        <v>1</v>
      </c>
      <c r="AG21" s="1479">
        <f>'Sistemas-Manutenção'!AG18</f>
        <v>1</v>
      </c>
      <c r="AH21" s="1479">
        <f>'Sistemas-Manutenção'!AH18</f>
        <v>1</v>
      </c>
      <c r="AI21" s="1479">
        <f>'Sistemas-Manutenção'!AI18</f>
        <v>1</v>
      </c>
      <c r="AJ21" s="1479">
        <f>'Sistemas-Manutenção'!AJ18</f>
        <v>1</v>
      </c>
      <c r="AK21" s="1479">
        <f>'Sistemas-Manutenção'!AK18</f>
        <v>1</v>
      </c>
      <c r="AL21" s="1479">
        <f>'Sistemas-Manutenção'!AL18</f>
        <v>1</v>
      </c>
      <c r="AM21" s="1479">
        <f>'Sistemas-Manutenção'!AM18</f>
        <v>1</v>
      </c>
      <c r="AN21" s="1479">
        <f>'Sistemas-Manutenção'!AN18</f>
        <v>1</v>
      </c>
      <c r="AO21" s="1479">
        <f>'Sistemas-Manutenção'!AO18</f>
        <v>1</v>
      </c>
      <c r="AP21" s="80"/>
      <c r="AQ21" s="1479">
        <f t="shared" si="111"/>
        <v>1</v>
      </c>
      <c r="AR21" s="1479">
        <f t="shared" si="111"/>
        <v>0</v>
      </c>
      <c r="AS21" s="1479">
        <f t="shared" si="111"/>
        <v>0</v>
      </c>
      <c r="AT21" s="1479">
        <f t="shared" si="111"/>
        <v>0</v>
      </c>
      <c r="AU21" s="1479">
        <f t="shared" si="111"/>
        <v>0</v>
      </c>
      <c r="AV21" s="1479">
        <f t="shared" si="111"/>
        <v>0</v>
      </c>
      <c r="AW21" s="1479">
        <f t="shared" si="111"/>
        <v>0</v>
      </c>
      <c r="AX21" s="1479">
        <f t="shared" si="111"/>
        <v>0</v>
      </c>
      <c r="AY21" s="1479">
        <f t="shared" si="111"/>
        <v>0</v>
      </c>
      <c r="AZ21" s="1479">
        <f t="shared" si="111"/>
        <v>0</v>
      </c>
      <c r="BA21" s="1479">
        <f t="shared" si="112"/>
        <v>0</v>
      </c>
      <c r="BB21" s="1479">
        <f t="shared" si="112"/>
        <v>0</v>
      </c>
      <c r="BC21" s="1479">
        <f t="shared" si="112"/>
        <v>0</v>
      </c>
      <c r="BD21" s="1479">
        <f t="shared" si="112"/>
        <v>0</v>
      </c>
      <c r="BE21" s="1479">
        <f t="shared" si="112"/>
        <v>0</v>
      </c>
      <c r="BF21" s="1479">
        <f t="shared" si="112"/>
        <v>0</v>
      </c>
      <c r="BG21" s="1479">
        <f t="shared" si="113"/>
        <v>0</v>
      </c>
      <c r="BH21" s="1479">
        <f t="shared" si="113"/>
        <v>0</v>
      </c>
      <c r="BI21" s="1479">
        <f t="shared" si="113"/>
        <v>0</v>
      </c>
      <c r="BJ21" s="1479">
        <f t="shared" si="113"/>
        <v>0</v>
      </c>
      <c r="BK21" s="1479">
        <f t="shared" si="113"/>
        <v>0</v>
      </c>
      <c r="BL21" s="1479">
        <f t="shared" si="113"/>
        <v>0</v>
      </c>
      <c r="BM21" s="1479">
        <f t="shared" si="113"/>
        <v>0</v>
      </c>
      <c r="BN21" s="1479">
        <f t="shared" si="113"/>
        <v>0</v>
      </c>
      <c r="BO21" s="1479"/>
      <c r="BP21" s="1479"/>
      <c r="BQ21" s="1479"/>
      <c r="BR21" s="1479"/>
      <c r="BS21" s="1479"/>
      <c r="BT21" s="1479">
        <f t="shared" si="114"/>
        <v>0</v>
      </c>
      <c r="BU21" s="80"/>
      <c r="BV21" s="1571"/>
      <c r="BW21" s="1571"/>
      <c r="BX21" s="1571"/>
      <c r="BY21" s="1571"/>
      <c r="BZ21" s="1571"/>
      <c r="CA21" s="1571"/>
      <c r="CB21" s="1571"/>
      <c r="CC21" s="1571"/>
      <c r="CD21" s="1571"/>
      <c r="CE21" s="1571"/>
      <c r="CF21" s="1571"/>
      <c r="CG21" s="1571"/>
      <c r="CH21" s="1571"/>
      <c r="CI21" s="1571"/>
      <c r="CJ21" s="1571"/>
      <c r="CK21" s="1571"/>
      <c r="CL21" s="1571"/>
      <c r="CM21" s="1571"/>
      <c r="CN21" s="1571"/>
      <c r="CO21" s="1571"/>
      <c r="CP21" s="1571"/>
      <c r="CQ21" s="1571"/>
      <c r="CR21" s="1571"/>
      <c r="CS21" s="1571"/>
      <c r="CT21" s="1571"/>
      <c r="CU21" s="1571"/>
      <c r="CV21" s="1571"/>
      <c r="CW21" s="1571"/>
      <c r="CX21" s="1571"/>
      <c r="CY21" s="1571"/>
      <c r="CZ21" s="78"/>
      <c r="DA21" s="1569">
        <f t="shared" si="96"/>
        <v>101820.06</v>
      </c>
      <c r="DB21" s="1569">
        <f t="shared" si="96"/>
        <v>0</v>
      </c>
      <c r="DC21" s="1569">
        <f t="shared" si="96"/>
        <v>0</v>
      </c>
      <c r="DD21" s="1569">
        <f t="shared" si="96"/>
        <v>0</v>
      </c>
      <c r="DE21" s="1569">
        <f t="shared" si="96"/>
        <v>0</v>
      </c>
      <c r="DF21" s="1569">
        <f t="shared" si="96"/>
        <v>0</v>
      </c>
      <c r="DG21" s="1569">
        <f t="shared" si="96"/>
        <v>0</v>
      </c>
      <c r="DH21" s="1569">
        <f t="shared" si="96"/>
        <v>0</v>
      </c>
      <c r="DI21" s="1569">
        <f t="shared" si="96"/>
        <v>0</v>
      </c>
      <c r="DJ21" s="1569">
        <f t="shared" si="96"/>
        <v>0</v>
      </c>
      <c r="DK21" s="1569">
        <f t="shared" si="97"/>
        <v>0</v>
      </c>
      <c r="DL21" s="865">
        <f t="shared" si="97"/>
        <v>0</v>
      </c>
      <c r="DM21" s="1569">
        <f t="shared" si="97"/>
        <v>0</v>
      </c>
      <c r="DN21" s="1569">
        <f t="shared" si="97"/>
        <v>0</v>
      </c>
      <c r="DO21" s="1569">
        <f t="shared" si="97"/>
        <v>0</v>
      </c>
      <c r="DP21" s="1569">
        <f t="shared" si="97"/>
        <v>0</v>
      </c>
      <c r="DQ21" s="1569">
        <f t="shared" si="97"/>
        <v>0</v>
      </c>
      <c r="DR21" s="1569">
        <f t="shared" si="97"/>
        <v>0</v>
      </c>
      <c r="DS21" s="1569">
        <f t="shared" si="97"/>
        <v>0</v>
      </c>
      <c r="DT21" s="1569">
        <f t="shared" si="97"/>
        <v>0</v>
      </c>
      <c r="DU21" s="1569">
        <f t="shared" si="97"/>
        <v>0</v>
      </c>
      <c r="DV21" s="1569">
        <f t="shared" si="97"/>
        <v>0</v>
      </c>
      <c r="DW21" s="1569">
        <f t="shared" si="97"/>
        <v>0</v>
      </c>
      <c r="DX21" s="1569">
        <f t="shared" si="97"/>
        <v>0</v>
      </c>
      <c r="DY21" s="1569"/>
      <c r="DZ21" s="1569"/>
      <c r="EA21" s="1569"/>
      <c r="EB21" s="1569"/>
      <c r="EC21" s="1569"/>
      <c r="ED21" s="1569">
        <f t="shared" si="98"/>
        <v>0</v>
      </c>
      <c r="EE21" s="79"/>
      <c r="EF21" s="1569">
        <f t="shared" si="99"/>
        <v>0</v>
      </c>
      <c r="EG21" s="1569">
        <f t="shared" si="99"/>
        <v>0</v>
      </c>
      <c r="EH21" s="1569">
        <f t="shared" si="99"/>
        <v>0</v>
      </c>
      <c r="EI21" s="1569">
        <f t="shared" si="99"/>
        <v>0</v>
      </c>
      <c r="EJ21" s="1569">
        <f t="shared" si="99"/>
        <v>0</v>
      </c>
      <c r="EK21" s="1569">
        <f t="shared" si="99"/>
        <v>0</v>
      </c>
      <c r="EL21" s="1569">
        <f t="shared" si="99"/>
        <v>0</v>
      </c>
      <c r="EM21" s="1569">
        <f t="shared" si="99"/>
        <v>0</v>
      </c>
      <c r="EN21" s="1569">
        <f t="shared" si="99"/>
        <v>0</v>
      </c>
      <c r="EO21" s="1569">
        <f t="shared" si="99"/>
        <v>0</v>
      </c>
      <c r="EP21" s="1569">
        <f t="shared" si="133"/>
        <v>0</v>
      </c>
      <c r="EQ21" s="865">
        <f t="shared" si="133"/>
        <v>0</v>
      </c>
      <c r="ER21" s="1569">
        <f t="shared" si="133"/>
        <v>0</v>
      </c>
      <c r="ES21" s="1569">
        <f t="shared" si="133"/>
        <v>0</v>
      </c>
      <c r="ET21" s="1569">
        <f t="shared" si="133"/>
        <v>0</v>
      </c>
      <c r="EU21" s="1569">
        <f t="shared" si="133"/>
        <v>0</v>
      </c>
      <c r="EV21" s="1569">
        <f t="shared" si="100"/>
        <v>0</v>
      </c>
      <c r="EW21" s="1569">
        <f t="shared" si="100"/>
        <v>0</v>
      </c>
      <c r="EX21" s="1569">
        <f t="shared" si="100"/>
        <v>0</v>
      </c>
      <c r="EY21" s="1569">
        <f t="shared" si="100"/>
        <v>0</v>
      </c>
      <c r="EZ21" s="1569">
        <f t="shared" si="100"/>
        <v>0</v>
      </c>
      <c r="FA21" s="1569">
        <f t="shared" si="101"/>
        <v>0</v>
      </c>
      <c r="FB21" s="1569">
        <f t="shared" si="102"/>
        <v>0</v>
      </c>
      <c r="FC21" s="1569">
        <f t="shared" si="103"/>
        <v>0</v>
      </c>
      <c r="FD21" s="1569">
        <f t="shared" si="104"/>
        <v>0</v>
      </c>
      <c r="FE21" s="1569">
        <f t="shared" si="105"/>
        <v>0</v>
      </c>
      <c r="FF21" s="1569">
        <f t="shared" si="106"/>
        <v>0</v>
      </c>
      <c r="FG21" s="1569">
        <f t="shared" si="107"/>
        <v>0</v>
      </c>
      <c r="FH21" s="1569">
        <f t="shared" si="108"/>
        <v>0</v>
      </c>
      <c r="FI21" s="1569">
        <f t="shared" si="109"/>
        <v>0</v>
      </c>
    </row>
    <row r="22" spans="1:165">
      <c r="A22" s="595"/>
      <c r="B22" s="598"/>
      <c r="C22" s="599"/>
      <c r="F22" s="1575"/>
      <c r="G22" s="872"/>
      <c r="H22" s="1569"/>
      <c r="I22" s="1569"/>
      <c r="J22" s="867"/>
      <c r="K22" s="97"/>
      <c r="L22" s="863"/>
      <c r="M22" s="863"/>
      <c r="N22" s="863"/>
      <c r="O22" s="863"/>
      <c r="P22" s="863"/>
      <c r="Q22" s="863"/>
      <c r="R22" s="863"/>
      <c r="S22" s="863"/>
      <c r="T22" s="863"/>
      <c r="U22" s="863"/>
      <c r="V22" s="863"/>
      <c r="W22" s="863"/>
      <c r="X22" s="863"/>
      <c r="Y22" s="863"/>
      <c r="Z22" s="863"/>
      <c r="AA22" s="863"/>
      <c r="AB22" s="863"/>
      <c r="AC22" s="863"/>
      <c r="AD22" s="863"/>
      <c r="AE22" s="863"/>
      <c r="AF22" s="863"/>
      <c r="AG22" s="863"/>
      <c r="AH22" s="863"/>
      <c r="AI22" s="863"/>
      <c r="AJ22" s="863"/>
      <c r="AK22" s="863"/>
      <c r="AL22" s="863"/>
      <c r="AM22" s="863"/>
      <c r="AN22" s="863"/>
      <c r="AO22" s="863"/>
      <c r="AP22" s="81"/>
      <c r="AQ22" s="863"/>
      <c r="AR22" s="863"/>
      <c r="AS22" s="863"/>
      <c r="AT22" s="863"/>
      <c r="AU22" s="863"/>
      <c r="AV22" s="863"/>
      <c r="AW22" s="863"/>
      <c r="AX22" s="863"/>
      <c r="AY22" s="863"/>
      <c r="AZ22" s="863"/>
      <c r="BA22" s="863"/>
      <c r="BB22" s="863"/>
      <c r="BC22" s="863"/>
      <c r="BD22" s="863"/>
      <c r="BE22" s="863"/>
      <c r="BF22" s="863"/>
      <c r="BG22" s="863"/>
      <c r="BH22" s="863"/>
      <c r="BI22" s="863"/>
      <c r="BJ22" s="863"/>
      <c r="BK22" s="863"/>
      <c r="BL22" s="863"/>
      <c r="BM22" s="863"/>
      <c r="BN22" s="863"/>
      <c r="BO22" s="863"/>
      <c r="BP22" s="863"/>
      <c r="BQ22" s="863"/>
      <c r="BR22" s="863"/>
      <c r="BS22" s="863"/>
      <c r="BT22" s="863"/>
      <c r="BU22" s="81"/>
      <c r="BV22" s="863"/>
      <c r="BW22" s="863"/>
      <c r="BX22" s="863"/>
      <c r="BY22" s="863"/>
      <c r="BZ22" s="863"/>
      <c r="CA22" s="863"/>
      <c r="CB22" s="863"/>
      <c r="CC22" s="863"/>
      <c r="CD22" s="863"/>
      <c r="CE22" s="863"/>
      <c r="CF22" s="863"/>
      <c r="CG22" s="863"/>
      <c r="CH22" s="863"/>
      <c r="CI22" s="863"/>
      <c r="CJ22" s="863"/>
      <c r="CK22" s="863"/>
      <c r="CL22" s="863"/>
      <c r="CM22" s="863"/>
      <c r="CN22" s="863"/>
      <c r="CO22" s="863"/>
      <c r="CP22" s="863"/>
      <c r="CQ22" s="863"/>
      <c r="CR22" s="863"/>
      <c r="CS22" s="863"/>
      <c r="CT22" s="863"/>
      <c r="CU22" s="863"/>
      <c r="CV22" s="863"/>
      <c r="CW22" s="863"/>
      <c r="CX22" s="863"/>
      <c r="CY22" s="863"/>
      <c r="CZ22" s="82"/>
      <c r="DA22" s="865">
        <f t="shared" si="96"/>
        <v>0</v>
      </c>
      <c r="DB22" s="865">
        <f t="shared" si="96"/>
        <v>0</v>
      </c>
      <c r="DC22" s="865">
        <f t="shared" si="96"/>
        <v>0</v>
      </c>
      <c r="DD22" s="865">
        <f t="shared" si="96"/>
        <v>0</v>
      </c>
      <c r="DE22" s="865">
        <f t="shared" si="96"/>
        <v>0</v>
      </c>
      <c r="DF22" s="865">
        <f t="shared" si="96"/>
        <v>0</v>
      </c>
      <c r="DG22" s="865">
        <f t="shared" si="96"/>
        <v>0</v>
      </c>
      <c r="DH22" s="865">
        <f t="shared" si="96"/>
        <v>0</v>
      </c>
      <c r="DI22" s="865">
        <f t="shared" si="96"/>
        <v>0</v>
      </c>
      <c r="DJ22" s="865">
        <f t="shared" si="96"/>
        <v>0</v>
      </c>
      <c r="DK22" s="865">
        <f t="shared" si="97"/>
        <v>0</v>
      </c>
      <c r="DL22" s="865">
        <f t="shared" si="97"/>
        <v>0</v>
      </c>
      <c r="DM22" s="865">
        <f t="shared" si="97"/>
        <v>0</v>
      </c>
      <c r="DN22" s="865">
        <f t="shared" si="97"/>
        <v>0</v>
      </c>
      <c r="DO22" s="865">
        <f t="shared" si="97"/>
        <v>0</v>
      </c>
      <c r="DP22" s="865">
        <f t="shared" si="97"/>
        <v>0</v>
      </c>
      <c r="DQ22" s="865">
        <f t="shared" si="97"/>
        <v>0</v>
      </c>
      <c r="DR22" s="865">
        <f t="shared" si="97"/>
        <v>0</v>
      </c>
      <c r="DS22" s="865">
        <f t="shared" si="97"/>
        <v>0</v>
      </c>
      <c r="DT22" s="865">
        <f t="shared" si="97"/>
        <v>0</v>
      </c>
      <c r="DU22" s="865">
        <f t="shared" si="97"/>
        <v>0</v>
      </c>
      <c r="DV22" s="865">
        <f t="shared" si="97"/>
        <v>0</v>
      </c>
      <c r="DW22" s="865">
        <f t="shared" si="97"/>
        <v>0</v>
      </c>
      <c r="DX22" s="865">
        <f t="shared" si="97"/>
        <v>0</v>
      </c>
      <c r="DY22" s="865"/>
      <c r="DZ22" s="865"/>
      <c r="EA22" s="865"/>
      <c r="EB22" s="865"/>
      <c r="EC22" s="865"/>
      <c r="ED22" s="865">
        <f t="shared" si="98"/>
        <v>0</v>
      </c>
      <c r="EE22" s="79"/>
      <c r="EF22" s="865">
        <f t="shared" si="99"/>
        <v>0</v>
      </c>
      <c r="EG22" s="865">
        <f t="shared" si="99"/>
        <v>0</v>
      </c>
      <c r="EH22" s="865">
        <f t="shared" si="99"/>
        <v>0</v>
      </c>
      <c r="EI22" s="865">
        <f t="shared" si="99"/>
        <v>0</v>
      </c>
      <c r="EJ22" s="865">
        <f t="shared" si="99"/>
        <v>0</v>
      </c>
      <c r="EK22" s="865">
        <f t="shared" si="99"/>
        <v>0</v>
      </c>
      <c r="EL22" s="865">
        <f t="shared" si="99"/>
        <v>0</v>
      </c>
      <c r="EM22" s="865">
        <f t="shared" si="99"/>
        <v>0</v>
      </c>
      <c r="EN22" s="865">
        <f t="shared" si="99"/>
        <v>0</v>
      </c>
      <c r="EO22" s="865">
        <f t="shared" si="99"/>
        <v>0</v>
      </c>
      <c r="EP22" s="865">
        <f t="shared" si="133"/>
        <v>0</v>
      </c>
      <c r="EQ22" s="865">
        <f t="shared" si="133"/>
        <v>0</v>
      </c>
      <c r="ER22" s="865">
        <f t="shared" si="133"/>
        <v>0</v>
      </c>
      <c r="ES22" s="865">
        <f t="shared" si="133"/>
        <v>0</v>
      </c>
      <c r="ET22" s="865">
        <f t="shared" si="133"/>
        <v>0</v>
      </c>
      <c r="EU22" s="865">
        <f t="shared" si="133"/>
        <v>0</v>
      </c>
      <c r="EV22" s="865">
        <f t="shared" si="100"/>
        <v>0</v>
      </c>
      <c r="EW22" s="865">
        <f t="shared" si="100"/>
        <v>0</v>
      </c>
      <c r="EX22" s="865">
        <f t="shared" si="100"/>
        <v>0</v>
      </c>
      <c r="EY22" s="865">
        <f t="shared" si="100"/>
        <v>0</v>
      </c>
      <c r="EZ22" s="865">
        <f t="shared" si="100"/>
        <v>0</v>
      </c>
      <c r="FA22" s="865">
        <f t="shared" si="101"/>
        <v>0</v>
      </c>
      <c r="FB22" s="865">
        <f t="shared" si="102"/>
        <v>0</v>
      </c>
      <c r="FC22" s="865">
        <f t="shared" si="103"/>
        <v>0</v>
      </c>
      <c r="FD22" s="865">
        <f t="shared" si="104"/>
        <v>0</v>
      </c>
      <c r="FE22" s="865">
        <f t="shared" si="105"/>
        <v>0</v>
      </c>
      <c r="FF22" s="865">
        <f t="shared" si="106"/>
        <v>0</v>
      </c>
      <c r="FG22" s="865">
        <f t="shared" si="107"/>
        <v>0</v>
      </c>
      <c r="FH22" s="865">
        <f t="shared" si="108"/>
        <v>0</v>
      </c>
      <c r="FI22" s="865">
        <f t="shared" si="109"/>
        <v>0</v>
      </c>
    </row>
    <row r="23" spans="1:165">
      <c r="A23" s="595"/>
      <c r="B23" s="598"/>
      <c r="C23" s="599"/>
      <c r="D23" s="68" t="s">
        <v>1721</v>
      </c>
      <c r="E23" s="68" t="str">
        <f>LEFT(D23,LEN(D23)-1) &amp; RIGHT(D23,1)+1</f>
        <v>8.4.3</v>
      </c>
      <c r="F23" s="1564" t="s">
        <v>1616</v>
      </c>
      <c r="G23" s="733" t="s">
        <v>1717</v>
      </c>
      <c r="H23" s="734">
        <f>SUM(DA23:ED23)</f>
        <v>240408.47500000001</v>
      </c>
      <c r="I23" s="734">
        <f ca="1">SUM(EF23:FI23)</f>
        <v>456776.10249999998</v>
      </c>
      <c r="J23" s="1577"/>
      <c r="K23" s="97"/>
      <c r="L23" s="863"/>
      <c r="M23" s="863"/>
      <c r="N23" s="863"/>
      <c r="O23" s="863"/>
      <c r="P23" s="863"/>
      <c r="Q23" s="863"/>
      <c r="R23" s="863"/>
      <c r="S23" s="863"/>
      <c r="T23" s="863"/>
      <c r="U23" s="863"/>
      <c r="V23" s="863"/>
      <c r="W23" s="863"/>
      <c r="X23" s="863"/>
      <c r="Y23" s="863"/>
      <c r="Z23" s="863"/>
      <c r="AA23" s="863"/>
      <c r="AB23" s="863"/>
      <c r="AC23" s="863"/>
      <c r="AD23" s="863"/>
      <c r="AE23" s="863"/>
      <c r="AF23" s="863"/>
      <c r="AG23" s="863"/>
      <c r="AH23" s="863"/>
      <c r="AI23" s="863"/>
      <c r="AJ23" s="863"/>
      <c r="AK23" s="863"/>
      <c r="AL23" s="863"/>
      <c r="AM23" s="863"/>
      <c r="AN23" s="863"/>
      <c r="AO23" s="863"/>
      <c r="AP23" s="81"/>
      <c r="AQ23" s="863"/>
      <c r="AR23" s="863"/>
      <c r="AS23" s="863"/>
      <c r="AT23" s="863"/>
      <c r="AU23" s="863"/>
      <c r="AV23" s="863"/>
      <c r="AW23" s="863"/>
      <c r="AX23" s="863"/>
      <c r="AY23" s="863"/>
      <c r="AZ23" s="863"/>
      <c r="BA23" s="863"/>
      <c r="BB23" s="863"/>
      <c r="BC23" s="863"/>
      <c r="BD23" s="863"/>
      <c r="BE23" s="863"/>
      <c r="BF23" s="863"/>
      <c r="BG23" s="863"/>
      <c r="BH23" s="863"/>
      <c r="BI23" s="863"/>
      <c r="BJ23" s="863"/>
      <c r="BK23" s="863"/>
      <c r="BL23" s="863"/>
      <c r="BM23" s="863"/>
      <c r="BN23" s="863"/>
      <c r="BO23" s="863"/>
      <c r="BP23" s="863"/>
      <c r="BQ23" s="863"/>
      <c r="BR23" s="863"/>
      <c r="BS23" s="863"/>
      <c r="BT23" s="863"/>
      <c r="BU23" s="81"/>
      <c r="BV23" s="863"/>
      <c r="BW23" s="863"/>
      <c r="BX23" s="863"/>
      <c r="BY23" s="863"/>
      <c r="BZ23" s="863"/>
      <c r="CA23" s="863"/>
      <c r="CB23" s="863"/>
      <c r="CC23" s="863"/>
      <c r="CD23" s="863"/>
      <c r="CE23" s="863"/>
      <c r="CF23" s="863"/>
      <c r="CG23" s="863"/>
      <c r="CH23" s="863"/>
      <c r="CI23" s="863"/>
      <c r="CJ23" s="863"/>
      <c r="CK23" s="863"/>
      <c r="CL23" s="863"/>
      <c r="CM23" s="863"/>
      <c r="CN23" s="863"/>
      <c r="CO23" s="863"/>
      <c r="CP23" s="863"/>
      <c r="CQ23" s="863"/>
      <c r="CR23" s="863"/>
      <c r="CS23" s="863"/>
      <c r="CT23" s="863"/>
      <c r="CU23" s="863"/>
      <c r="CV23" s="863"/>
      <c r="CW23" s="863"/>
      <c r="CX23" s="863"/>
      <c r="CY23" s="863"/>
      <c r="CZ23" s="82"/>
      <c r="DA23" s="1567">
        <f t="shared" ref="DA23:ED23" si="153">SUBTOTAL(9,DA24:DA25)</f>
        <v>240408.47500000001</v>
      </c>
      <c r="DB23" s="865">
        <f t="shared" si="153"/>
        <v>0</v>
      </c>
      <c r="DC23" s="865">
        <f t="shared" si="153"/>
        <v>0</v>
      </c>
      <c r="DD23" s="865">
        <f t="shared" si="153"/>
        <v>0</v>
      </c>
      <c r="DE23" s="865">
        <f t="shared" si="153"/>
        <v>0</v>
      </c>
      <c r="DF23" s="865">
        <f t="shared" si="153"/>
        <v>0</v>
      </c>
      <c r="DG23" s="865">
        <f t="shared" si="153"/>
        <v>0</v>
      </c>
      <c r="DH23" s="865">
        <f t="shared" si="153"/>
        <v>0</v>
      </c>
      <c r="DI23" s="865">
        <f t="shared" si="153"/>
        <v>0</v>
      </c>
      <c r="DJ23" s="865">
        <f t="shared" si="153"/>
        <v>0</v>
      </c>
      <c r="DK23" s="865">
        <f t="shared" si="153"/>
        <v>0</v>
      </c>
      <c r="DL23" s="865">
        <f t="shared" si="153"/>
        <v>0</v>
      </c>
      <c r="DM23" s="865">
        <f t="shared" si="153"/>
        <v>0</v>
      </c>
      <c r="DN23" s="865">
        <f t="shared" si="153"/>
        <v>0</v>
      </c>
      <c r="DO23" s="865">
        <f t="shared" si="153"/>
        <v>0</v>
      </c>
      <c r="DP23" s="865">
        <f t="shared" si="153"/>
        <v>0</v>
      </c>
      <c r="DQ23" s="865">
        <f t="shared" si="153"/>
        <v>0</v>
      </c>
      <c r="DR23" s="865">
        <f t="shared" si="153"/>
        <v>0</v>
      </c>
      <c r="DS23" s="865">
        <f t="shared" si="153"/>
        <v>0</v>
      </c>
      <c r="DT23" s="865">
        <f t="shared" si="153"/>
        <v>0</v>
      </c>
      <c r="DU23" s="865">
        <f t="shared" si="153"/>
        <v>0</v>
      </c>
      <c r="DV23" s="865">
        <f t="shared" si="153"/>
        <v>0</v>
      </c>
      <c r="DW23" s="865">
        <f t="shared" si="153"/>
        <v>0</v>
      </c>
      <c r="DX23" s="865">
        <f t="shared" si="153"/>
        <v>0</v>
      </c>
      <c r="DY23" s="865"/>
      <c r="DZ23" s="865"/>
      <c r="EA23" s="865"/>
      <c r="EB23" s="865"/>
      <c r="EC23" s="865"/>
      <c r="ED23" s="865">
        <f t="shared" si="153"/>
        <v>0</v>
      </c>
      <c r="EE23" s="79"/>
      <c r="EF23" s="1582">
        <f t="shared" ref="EF23:EO23" ca="1" si="154">SUBTOTAL(9,EF24:EF26)</f>
        <v>0</v>
      </c>
      <c r="EG23" s="1582">
        <f t="shared" ca="1" si="154"/>
        <v>0</v>
      </c>
      <c r="EH23" s="1582">
        <f t="shared" ca="1" si="154"/>
        <v>0</v>
      </c>
      <c r="EI23" s="1582">
        <f t="shared" ca="1" si="154"/>
        <v>0</v>
      </c>
      <c r="EJ23" s="1582">
        <f t="shared" ca="1" si="154"/>
        <v>0</v>
      </c>
      <c r="EK23" s="1582">
        <f t="shared" ca="1" si="154"/>
        <v>0</v>
      </c>
      <c r="EL23" s="1582">
        <f t="shared" ca="1" si="154"/>
        <v>0</v>
      </c>
      <c r="EM23" s="1582">
        <f t="shared" ca="1" si="154"/>
        <v>0</v>
      </c>
      <c r="EN23" s="1582">
        <f t="shared" ca="1" si="154"/>
        <v>0</v>
      </c>
      <c r="EO23" s="1582">
        <f t="shared" ca="1" si="154"/>
        <v>0</v>
      </c>
      <c r="EP23" s="1582">
        <f ca="1">SUBTOTAL(9,EP24:EP26)</f>
        <v>228388.05124999999</v>
      </c>
      <c r="EQ23" s="1582">
        <f t="shared" ref="EQ23:EZ23" ca="1" si="155">SUBTOTAL(9,EQ24:EQ26)</f>
        <v>0</v>
      </c>
      <c r="ER23" s="1582">
        <f t="shared" ca="1" si="155"/>
        <v>0</v>
      </c>
      <c r="ES23" s="1582">
        <f t="shared" ca="1" si="155"/>
        <v>0</v>
      </c>
      <c r="ET23" s="1582">
        <f t="shared" ca="1" si="155"/>
        <v>0</v>
      </c>
      <c r="EU23" s="1582">
        <f t="shared" ca="1" si="155"/>
        <v>0</v>
      </c>
      <c r="EV23" s="1582">
        <f t="shared" ca="1" si="155"/>
        <v>0</v>
      </c>
      <c r="EW23" s="1582">
        <f t="shared" ca="1" si="155"/>
        <v>0</v>
      </c>
      <c r="EX23" s="1582">
        <f t="shared" ca="1" si="155"/>
        <v>0</v>
      </c>
      <c r="EY23" s="1582">
        <f t="shared" ca="1" si="155"/>
        <v>0</v>
      </c>
      <c r="EZ23" s="1582">
        <f t="shared" ca="1" si="155"/>
        <v>228388.05124999999</v>
      </c>
      <c r="FA23" s="1582">
        <f t="shared" ref="FA23:FI23" ca="1" si="156">SUBTOTAL(9,FA24:FA26)</f>
        <v>0</v>
      </c>
      <c r="FB23" s="1582">
        <f t="shared" ca="1" si="156"/>
        <v>0</v>
      </c>
      <c r="FC23" s="1582">
        <f t="shared" ca="1" si="156"/>
        <v>0</v>
      </c>
      <c r="FD23" s="1582">
        <f t="shared" ca="1" si="156"/>
        <v>0</v>
      </c>
      <c r="FE23" s="1582">
        <f t="shared" ca="1" si="156"/>
        <v>0</v>
      </c>
      <c r="FF23" s="1582">
        <f t="shared" ca="1" si="156"/>
        <v>0</v>
      </c>
      <c r="FG23" s="1582">
        <f t="shared" ca="1" si="156"/>
        <v>0</v>
      </c>
      <c r="FH23" s="1582">
        <f t="shared" ca="1" si="156"/>
        <v>0</v>
      </c>
      <c r="FI23" s="1582">
        <f t="shared" ca="1" si="156"/>
        <v>0</v>
      </c>
    </row>
    <row r="24" spans="1:165">
      <c r="A24" s="595"/>
      <c r="B24" s="598"/>
      <c r="C24" s="599"/>
      <c r="F24" s="1583" t="s">
        <v>1635</v>
      </c>
      <c r="G24" s="1568" t="s">
        <v>1718</v>
      </c>
      <c r="H24" s="1569">
        <f>'Sistemas - Cotações'!F89</f>
        <v>240408.47500000001</v>
      </c>
      <c r="I24" s="1569">
        <f>H24*0.95</f>
        <v>228388.05124999999</v>
      </c>
      <c r="J24" s="867">
        <v>10</v>
      </c>
      <c r="K24" s="97"/>
      <c r="L24" s="1584">
        <f>'Sistemas-Manutenção'!L21</f>
        <v>1</v>
      </c>
      <c r="M24" s="1584">
        <f>'Sistemas-Manutenção'!M21</f>
        <v>1</v>
      </c>
      <c r="N24" s="1584">
        <f>'Sistemas-Manutenção'!N21</f>
        <v>1</v>
      </c>
      <c r="O24" s="1584">
        <f>'Sistemas-Manutenção'!O21</f>
        <v>1</v>
      </c>
      <c r="P24" s="1584">
        <f>'Sistemas-Manutenção'!P21</f>
        <v>1</v>
      </c>
      <c r="Q24" s="1584">
        <f>'Sistemas-Manutenção'!Q21</f>
        <v>1</v>
      </c>
      <c r="R24" s="1584">
        <f>'Sistemas-Manutenção'!R21</f>
        <v>1</v>
      </c>
      <c r="S24" s="1584">
        <f>'Sistemas-Manutenção'!S21</f>
        <v>1</v>
      </c>
      <c r="T24" s="1584">
        <f>'Sistemas-Manutenção'!T21</f>
        <v>1</v>
      </c>
      <c r="U24" s="1584">
        <f>'Sistemas-Manutenção'!U21</f>
        <v>1</v>
      </c>
      <c r="V24" s="1584">
        <f>'Sistemas-Manutenção'!V21</f>
        <v>1</v>
      </c>
      <c r="W24" s="1584">
        <f>'Sistemas-Manutenção'!W21</f>
        <v>1</v>
      </c>
      <c r="X24" s="1584">
        <f>'Sistemas-Manutenção'!X21</f>
        <v>1</v>
      </c>
      <c r="Y24" s="1584">
        <f>'Sistemas-Manutenção'!Y21</f>
        <v>1</v>
      </c>
      <c r="Z24" s="1584">
        <f>'Sistemas-Manutenção'!Z21</f>
        <v>1</v>
      </c>
      <c r="AA24" s="1584">
        <f>'Sistemas-Manutenção'!AA21</f>
        <v>1</v>
      </c>
      <c r="AB24" s="1584">
        <f>'Sistemas-Manutenção'!AB21</f>
        <v>1</v>
      </c>
      <c r="AC24" s="1584">
        <f>'Sistemas-Manutenção'!AC21</f>
        <v>1</v>
      </c>
      <c r="AD24" s="1584">
        <f>'Sistemas-Manutenção'!AD21</f>
        <v>1</v>
      </c>
      <c r="AE24" s="1584">
        <f>'Sistemas-Manutenção'!AE21</f>
        <v>1</v>
      </c>
      <c r="AF24" s="1584">
        <f>'Sistemas-Manutenção'!AF21</f>
        <v>1</v>
      </c>
      <c r="AG24" s="1584">
        <f>'Sistemas-Manutenção'!AG21</f>
        <v>1</v>
      </c>
      <c r="AH24" s="1584">
        <f>'Sistemas-Manutenção'!AH21</f>
        <v>1</v>
      </c>
      <c r="AI24" s="1584">
        <f>'Sistemas-Manutenção'!AI21</f>
        <v>1</v>
      </c>
      <c r="AJ24" s="1584">
        <f>'Sistemas-Manutenção'!AJ21</f>
        <v>1</v>
      </c>
      <c r="AK24" s="1584">
        <f>'Sistemas-Manutenção'!AK21</f>
        <v>1</v>
      </c>
      <c r="AL24" s="1584">
        <f>'Sistemas-Manutenção'!AL21</f>
        <v>1</v>
      </c>
      <c r="AM24" s="1584">
        <f>'Sistemas-Manutenção'!AM21</f>
        <v>1</v>
      </c>
      <c r="AN24" s="1584">
        <f>'Sistemas-Manutenção'!AN21</f>
        <v>1</v>
      </c>
      <c r="AO24" s="1584">
        <f>'Sistemas-Manutenção'!AO21</f>
        <v>1</v>
      </c>
      <c r="AP24" s="80"/>
      <c r="AQ24" s="1479">
        <f t="shared" ref="AQ24:BN24" si="157">IF(L24&gt;K24,L24-K24,0)</f>
        <v>1</v>
      </c>
      <c r="AR24" s="1479">
        <f t="shared" si="157"/>
        <v>0</v>
      </c>
      <c r="AS24" s="1479">
        <f t="shared" si="157"/>
        <v>0</v>
      </c>
      <c r="AT24" s="1479">
        <f t="shared" si="157"/>
        <v>0</v>
      </c>
      <c r="AU24" s="1479">
        <f t="shared" si="157"/>
        <v>0</v>
      </c>
      <c r="AV24" s="1479">
        <f t="shared" si="157"/>
        <v>0</v>
      </c>
      <c r="AW24" s="1479">
        <f t="shared" si="157"/>
        <v>0</v>
      </c>
      <c r="AX24" s="1479">
        <f t="shared" si="157"/>
        <v>0</v>
      </c>
      <c r="AY24" s="1479">
        <f t="shared" si="157"/>
        <v>0</v>
      </c>
      <c r="AZ24" s="1479">
        <f t="shared" si="157"/>
        <v>0</v>
      </c>
      <c r="BA24" s="1479">
        <f t="shared" si="157"/>
        <v>0</v>
      </c>
      <c r="BB24" s="1479">
        <f t="shared" si="157"/>
        <v>0</v>
      </c>
      <c r="BC24" s="1479">
        <f t="shared" si="157"/>
        <v>0</v>
      </c>
      <c r="BD24" s="1479">
        <f t="shared" si="157"/>
        <v>0</v>
      </c>
      <c r="BE24" s="1479">
        <f t="shared" si="157"/>
        <v>0</v>
      </c>
      <c r="BF24" s="1479">
        <f t="shared" si="157"/>
        <v>0</v>
      </c>
      <c r="BG24" s="1479">
        <f t="shared" si="157"/>
        <v>0</v>
      </c>
      <c r="BH24" s="1479">
        <f t="shared" si="157"/>
        <v>0</v>
      </c>
      <c r="BI24" s="1479">
        <f t="shared" si="157"/>
        <v>0</v>
      </c>
      <c r="BJ24" s="1479">
        <f t="shared" si="157"/>
        <v>0</v>
      </c>
      <c r="BK24" s="1479">
        <f t="shared" si="157"/>
        <v>0</v>
      </c>
      <c r="BL24" s="1479">
        <f t="shared" si="157"/>
        <v>0</v>
      </c>
      <c r="BM24" s="1479">
        <f t="shared" si="157"/>
        <v>0</v>
      </c>
      <c r="BN24" s="1479">
        <f t="shared" si="157"/>
        <v>0</v>
      </c>
      <c r="BO24" s="1479"/>
      <c r="BP24" s="1479"/>
      <c r="BQ24" s="1479"/>
      <c r="BR24" s="1479"/>
      <c r="BS24" s="1479"/>
      <c r="BT24" s="1479">
        <f>IF(AO24&gt;AI24,AO24-AI24,0)</f>
        <v>0</v>
      </c>
      <c r="BU24" s="80"/>
      <c r="BV24" s="863">
        <f t="shared" ref="BV24" ca="1" si="158">IF(L24-SUM(OFFSET(AQ24,,-$J24+1,,$J24))-IF($J24&gt;1,SUM(OFFSET(BV24,,-$J24+1,,$J24-1)),0)&gt;0,L24-SUM(OFFSET(AQ24,,-$J24+1,,$J24))-IF($J24&gt;1,SUM(OFFSET(BV24,,-$J24+1,,$J24-1)),0),0)</f>
        <v>0</v>
      </c>
      <c r="BW24" s="863">
        <f t="shared" ref="BW24" ca="1" si="159">IF(M24-SUM(OFFSET(AR24,,-$J24+1,,$J24))-IF($J24&gt;1,SUM(OFFSET(BW24,,-$J24+1,,$J24-1)),0)&gt;0,M24-SUM(OFFSET(AR24,,-$J24+1,,$J24))-IF($J24&gt;1,SUM(OFFSET(BW24,,-$J24+1,,$J24-1)),0),0)</f>
        <v>0</v>
      </c>
      <c r="BX24" s="863">
        <f t="shared" ref="BX24" ca="1" si="160">IF(N24-SUM(OFFSET(AS24,,-$J24+1,,$J24))-IF($J24&gt;1,SUM(OFFSET(BX24,,-$J24+1,,$J24-1)),0)&gt;0,N24-SUM(OFFSET(AS24,,-$J24+1,,$J24))-IF($J24&gt;1,SUM(OFFSET(BX24,,-$J24+1,,$J24-1)),0),0)</f>
        <v>0</v>
      </c>
      <c r="BY24" s="863">
        <f t="shared" ref="BY24" ca="1" si="161">IF(O24-SUM(OFFSET(AT24,,-$J24+1,,$J24))-IF($J24&gt;1,SUM(OFFSET(BY24,,-$J24+1,,$J24-1)),0)&gt;0,O24-SUM(OFFSET(AT24,,-$J24+1,,$J24))-IF($J24&gt;1,SUM(OFFSET(BY24,,-$J24+1,,$J24-1)),0),0)</f>
        <v>0</v>
      </c>
      <c r="BZ24" s="863">
        <f t="shared" ref="BZ24" ca="1" si="162">IF(P24-SUM(OFFSET(AU24,,-$J24+1,,$J24))-IF($J24&gt;1,SUM(OFFSET(BZ24,,-$J24+1,,$J24-1)),0)&gt;0,P24-SUM(OFFSET(AU24,,-$J24+1,,$J24))-IF($J24&gt;1,SUM(OFFSET(BZ24,,-$J24+1,,$J24-1)),0),0)</f>
        <v>0</v>
      </c>
      <c r="CA24" s="863">
        <f t="shared" ref="CA24" ca="1" si="163">IF(Q24-SUM(OFFSET(AV24,,-$J24+1,,$J24))-IF($J24&gt;1,SUM(OFFSET(CA24,,-$J24+1,,$J24-1)),0)&gt;0,Q24-SUM(OFFSET(AV24,,-$J24+1,,$J24))-IF($J24&gt;1,SUM(OFFSET(CA24,,-$J24+1,,$J24-1)),0),0)</f>
        <v>0</v>
      </c>
      <c r="CB24" s="863">
        <f t="shared" ref="CB24" ca="1" si="164">IF(R24-SUM(OFFSET(AW24,,-$J24+1,,$J24))-IF($J24&gt;1,SUM(OFFSET(CB24,,-$J24+1,,$J24-1)),0)&gt;0,R24-SUM(OFFSET(AW24,,-$J24+1,,$J24))-IF($J24&gt;1,SUM(OFFSET(CB24,,-$J24+1,,$J24-1)),0),0)</f>
        <v>0</v>
      </c>
      <c r="CC24" s="863">
        <f t="shared" ref="CC24" ca="1" si="165">IF(S24-SUM(OFFSET(AX24,,-$J24+1,,$J24))-IF($J24&gt;1,SUM(OFFSET(CC24,,-$J24+1,,$J24-1)),0)&gt;0,S24-SUM(OFFSET(AX24,,-$J24+1,,$J24))-IF($J24&gt;1,SUM(OFFSET(CC24,,-$J24+1,,$J24-1)),0),0)</f>
        <v>0</v>
      </c>
      <c r="CD24" s="863">
        <f t="shared" ref="CD24" ca="1" si="166">IF(T24-SUM(OFFSET(AY24,,-$J24+1,,$J24))-IF($J24&gt;1,SUM(OFFSET(CD24,,-$J24+1,,$J24-1)),0)&gt;0,T24-SUM(OFFSET(AY24,,-$J24+1,,$J24))-IF($J24&gt;1,SUM(OFFSET(CD24,,-$J24+1,,$J24-1)),0),0)</f>
        <v>0</v>
      </c>
      <c r="CE24" s="863">
        <f t="shared" ref="CE24" ca="1" si="167">IF(U24-SUM(OFFSET(AZ24,,-$J24+1,,$J24))-IF($J24&gt;1,SUM(OFFSET(CE24,,-$J24+1,,$J24-1)),0)&gt;0,U24-SUM(OFFSET(AZ24,,-$J24+1,,$J24))-IF($J24&gt;1,SUM(OFFSET(CE24,,-$J24+1,,$J24-1)),0),0)</f>
        <v>0</v>
      </c>
      <c r="CF24" s="863">
        <f t="shared" ref="CF24" ca="1" si="168">IF(V24-SUM(OFFSET(BA24,,-$J24+1,,$J24))-IF($J24&gt;1,SUM(OFFSET(CF24,,-$J24+1,,$J24-1)),0)&gt;0,V24-SUM(OFFSET(BA24,,-$J24+1,,$J24))-IF($J24&gt;1,SUM(OFFSET(CF24,,-$J24+1,,$J24-1)),0),0)</f>
        <v>1</v>
      </c>
      <c r="CG24" s="863">
        <f t="shared" ref="CG24" ca="1" si="169">IF(W24-SUM(OFFSET(BB24,,-$J24+1,,$J24))-IF($J24&gt;1,SUM(OFFSET(CG24,,-$J24+1,,$J24-1)),0)&gt;0,W24-SUM(OFFSET(BB24,,-$J24+1,,$J24))-IF($J24&gt;1,SUM(OFFSET(CG24,,-$J24+1,,$J24-1)),0),0)</f>
        <v>0</v>
      </c>
      <c r="CH24" s="863">
        <f t="shared" ref="CH24" ca="1" si="170">IF(X24-SUM(OFFSET(BC24,,-$J24+1,,$J24))-IF($J24&gt;1,SUM(OFFSET(CH24,,-$J24+1,,$J24-1)),0)&gt;0,X24-SUM(OFFSET(BC24,,-$J24+1,,$J24))-IF($J24&gt;1,SUM(OFFSET(CH24,,-$J24+1,,$J24-1)),0),0)</f>
        <v>0</v>
      </c>
      <c r="CI24" s="863">
        <f t="shared" ref="CI24" ca="1" si="171">IF(Y24-SUM(OFFSET(BD24,,-$J24+1,,$J24))-IF($J24&gt;1,SUM(OFFSET(CI24,,-$J24+1,,$J24-1)),0)&gt;0,Y24-SUM(OFFSET(BD24,,-$J24+1,,$J24))-IF($J24&gt;1,SUM(OFFSET(CI24,,-$J24+1,,$J24-1)),0),0)</f>
        <v>0</v>
      </c>
      <c r="CJ24" s="863">
        <f t="shared" ref="CJ24" ca="1" si="172">IF(Z24-SUM(OFFSET(BE24,,-$J24+1,,$J24))-IF($J24&gt;1,SUM(OFFSET(CJ24,,-$J24+1,,$J24-1)),0)&gt;0,Z24-SUM(OFFSET(BE24,,-$J24+1,,$J24))-IF($J24&gt;1,SUM(OFFSET(CJ24,,-$J24+1,,$J24-1)),0),0)</f>
        <v>0</v>
      </c>
      <c r="CK24" s="863">
        <f t="shared" ref="CK24" ca="1" si="173">IF(AA24-SUM(OFFSET(BF24,,-$J24+1,,$J24))-IF($J24&gt;1,SUM(OFFSET(CK24,,-$J24+1,,$J24-1)),0)&gt;0,AA24-SUM(OFFSET(BF24,,-$J24+1,,$J24))-IF($J24&gt;1,SUM(OFFSET(CK24,,-$J24+1,,$J24-1)),0),0)</f>
        <v>0</v>
      </c>
      <c r="CL24" s="863">
        <f t="shared" ref="CL24" ca="1" si="174">IF(AB24-SUM(OFFSET(BG24,,-$J24+1,,$J24))-IF($J24&gt;1,SUM(OFFSET(CL24,,-$J24+1,,$J24-1)),0)&gt;0,AB24-SUM(OFFSET(BG24,,-$J24+1,,$J24))-IF($J24&gt;1,SUM(OFFSET(CL24,,-$J24+1,,$J24-1)),0),0)</f>
        <v>0</v>
      </c>
      <c r="CM24" s="863">
        <f t="shared" ref="CM24" ca="1" si="175">IF(AC24-SUM(OFFSET(BH24,,-$J24+1,,$J24))-IF($J24&gt;1,SUM(OFFSET(CM24,,-$J24+1,,$J24-1)),0)&gt;0,AC24-SUM(OFFSET(BH24,,-$J24+1,,$J24))-IF($J24&gt;1,SUM(OFFSET(CM24,,-$J24+1,,$J24-1)),0),0)</f>
        <v>0</v>
      </c>
      <c r="CN24" s="863">
        <f t="shared" ref="CN24" ca="1" si="176">IF(AD24-SUM(OFFSET(BI24,,-$J24+1,,$J24))-IF($J24&gt;1,SUM(OFFSET(CN24,,-$J24+1,,$J24-1)),0)&gt;0,AD24-SUM(OFFSET(BI24,,-$J24+1,,$J24))-IF($J24&gt;1,SUM(OFFSET(CN24,,-$J24+1,,$J24-1)),0),0)</f>
        <v>0</v>
      </c>
      <c r="CO24" s="863">
        <f t="shared" ref="CO24" ca="1" si="177">IF(AE24-SUM(OFFSET(BJ24,,-$J24+1,,$J24))-IF($J24&gt;1,SUM(OFFSET(CO24,,-$J24+1,,$J24-1)),0)&gt;0,AE24-SUM(OFFSET(BJ24,,-$J24+1,,$J24))-IF($J24&gt;1,SUM(OFFSET(CO24,,-$J24+1,,$J24-1)),0),0)</f>
        <v>0</v>
      </c>
      <c r="CP24" s="863">
        <f t="shared" ref="CP24" ca="1" si="178">IF(AF24-SUM(OFFSET(BK24,,-$J24+1,,$J24))-IF($J24&gt;1,SUM(OFFSET(CP24,,-$J24+1,,$J24-1)),0)&gt;0,AF24-SUM(OFFSET(BK24,,-$J24+1,,$J24))-IF($J24&gt;1,SUM(OFFSET(CP24,,-$J24+1,,$J24-1)),0),0)</f>
        <v>1</v>
      </c>
      <c r="CQ24" s="863">
        <f t="shared" ref="CQ24" ca="1" si="179">IF(AG24-SUM(OFFSET(BL24,,-$J24+1,,$J24))-IF($J24&gt;1,SUM(OFFSET(CQ24,,-$J24+1,,$J24-1)),0)&gt;0,AG24-SUM(OFFSET(BL24,,-$J24+1,,$J24))-IF($J24&gt;1,SUM(OFFSET(CQ24,,-$J24+1,,$J24-1)),0),0)</f>
        <v>0</v>
      </c>
      <c r="CR24" s="863">
        <f t="shared" ref="CR24" ca="1" si="180">IF(AH24-SUM(OFFSET(BM24,,-$J24+1,,$J24))-IF($J24&gt;1,SUM(OFFSET(CR24,,-$J24+1,,$J24-1)),0)&gt;0,AH24-SUM(OFFSET(BM24,,-$J24+1,,$J24))-IF($J24&gt;1,SUM(OFFSET(CR24,,-$J24+1,,$J24-1)),0),0)</f>
        <v>0</v>
      </c>
      <c r="CS24" s="863">
        <f t="shared" ref="CS24" ca="1" si="181">IF(AI24-SUM(OFFSET(BN24,,-$J24+1,,$J24))-IF($J24&gt;1,SUM(OFFSET(CS24,,-$J24+1,,$J24-1)),0)&gt;0,AI24-SUM(OFFSET(BN24,,-$J24+1,,$J24))-IF($J24&gt;1,SUM(OFFSET(CS24,,-$J24+1,,$J24-1)),0),0)</f>
        <v>0</v>
      </c>
      <c r="CT24" s="863">
        <f t="shared" ref="CT24" ca="1" si="182">IF(AJ24-SUM(OFFSET(BT24,,-$J24+1,,$J24))-IF($J24&gt;1,SUM(OFFSET(CT24,,-$J24+1,,$J24-1)),0)&gt;0,AJ24-SUM(OFFSET(BT24,,-$J24+1,,$J24))-IF($J24&gt;1,SUM(OFFSET(CT24,,-$J24+1,,$J24-1)),0),0)</f>
        <v>0</v>
      </c>
      <c r="CU24" s="863">
        <f t="shared" ref="CU24" ca="1" si="183">IF(AK24-SUM(OFFSET(BU24,,-$J24+1,,$J24))-IF($J24&gt;1,SUM(OFFSET(CU24,,-$J24+1,,$J24-1)),0)&gt;0,AK24-SUM(OFFSET(BU24,,-$J24+1,,$J24))-IF($J24&gt;1,SUM(OFFSET(CU24,,-$J24+1,,$J24-1)),0),0)</f>
        <v>0</v>
      </c>
      <c r="CV24" s="863">
        <f t="shared" ref="CV24" ca="1" si="184">IF(AL24-SUM(OFFSET(BV24,,-$J24+1,,$J24))-IF($J24&gt;1,SUM(OFFSET(CV24,,-$J24+1,,$J24-1)),0)&gt;0,AL24-SUM(OFFSET(BV24,,-$J24+1,,$J24))-IF($J24&gt;1,SUM(OFFSET(CV24,,-$J24+1,,$J24-1)),0),0)</f>
        <v>0</v>
      </c>
      <c r="CW24" s="863">
        <f t="shared" ref="CW24" ca="1" si="185">IF(AM24-SUM(OFFSET(BW24,,-$J24+1,,$J24))-IF($J24&gt;1,SUM(OFFSET(CW24,,-$J24+1,,$J24-1)),0)&gt;0,AM24-SUM(OFFSET(BW24,,-$J24+1,,$J24))-IF($J24&gt;1,SUM(OFFSET(CW24,,-$J24+1,,$J24-1)),0),0)</f>
        <v>0</v>
      </c>
      <c r="CX24" s="863">
        <f t="shared" ref="CX24" ca="1" si="186">IF(AN24-SUM(OFFSET(BX24,,-$J24+1,,$J24))-IF($J24&gt;1,SUM(OFFSET(CX24,,-$J24+1,,$J24-1)),0)&gt;0,AN24-SUM(OFFSET(BX24,,-$J24+1,,$J24))-IF($J24&gt;1,SUM(OFFSET(CX24,,-$J24+1,,$J24-1)),0),0)</f>
        <v>0</v>
      </c>
      <c r="CY24" s="863">
        <f t="shared" ref="CY24" ca="1" si="187">IF(AO24-SUM(OFFSET(BY24,,-$J24+1,,$J24))-IF($J24&gt;1,SUM(OFFSET(CY24,,-$J24+1,,$J24-1)),0)&gt;0,AO24-SUM(OFFSET(BY24,,-$J24+1,,$J24))-IF($J24&gt;1,SUM(OFFSET(CY24,,-$J24+1,,$J24-1)),0),0)</f>
        <v>0</v>
      </c>
      <c r="CZ24" s="78"/>
      <c r="DA24" s="1569">
        <f t="shared" ref="DA24:DX24" si="188">AQ24*$H24</f>
        <v>240408.47500000001</v>
      </c>
      <c r="DB24" s="1569">
        <f t="shared" si="188"/>
        <v>0</v>
      </c>
      <c r="DC24" s="1569">
        <f t="shared" si="188"/>
        <v>0</v>
      </c>
      <c r="DD24" s="1569">
        <f t="shared" si="188"/>
        <v>0</v>
      </c>
      <c r="DE24" s="1569">
        <f t="shared" si="188"/>
        <v>0</v>
      </c>
      <c r="DF24" s="1569">
        <f t="shared" si="188"/>
        <v>0</v>
      </c>
      <c r="DG24" s="1569">
        <f t="shared" si="188"/>
        <v>0</v>
      </c>
      <c r="DH24" s="1569">
        <f t="shared" si="188"/>
        <v>0</v>
      </c>
      <c r="DI24" s="1569">
        <f t="shared" si="188"/>
        <v>0</v>
      </c>
      <c r="DJ24" s="1569">
        <f t="shared" si="188"/>
        <v>0</v>
      </c>
      <c r="DK24" s="1569">
        <f t="shared" si="188"/>
        <v>0</v>
      </c>
      <c r="DL24" s="865">
        <f t="shared" si="188"/>
        <v>0</v>
      </c>
      <c r="DM24" s="1569">
        <f t="shared" si="188"/>
        <v>0</v>
      </c>
      <c r="DN24" s="1569">
        <f t="shared" si="188"/>
        <v>0</v>
      </c>
      <c r="DO24" s="1569">
        <f t="shared" si="188"/>
        <v>0</v>
      </c>
      <c r="DP24" s="1569">
        <f t="shared" si="188"/>
        <v>0</v>
      </c>
      <c r="DQ24" s="1569">
        <f t="shared" si="188"/>
        <v>0</v>
      </c>
      <c r="DR24" s="1569">
        <f t="shared" si="188"/>
        <v>0</v>
      </c>
      <c r="DS24" s="1569">
        <f t="shared" si="188"/>
        <v>0</v>
      </c>
      <c r="DT24" s="1569">
        <f t="shared" si="188"/>
        <v>0</v>
      </c>
      <c r="DU24" s="1569">
        <f t="shared" si="188"/>
        <v>0</v>
      </c>
      <c r="DV24" s="1569">
        <f t="shared" si="188"/>
        <v>0</v>
      </c>
      <c r="DW24" s="1569">
        <f t="shared" si="188"/>
        <v>0</v>
      </c>
      <c r="DX24" s="1569">
        <f t="shared" si="188"/>
        <v>0</v>
      </c>
      <c r="DY24" s="1569"/>
      <c r="DZ24" s="1569"/>
      <c r="EA24" s="1569"/>
      <c r="EB24" s="1569"/>
      <c r="EC24" s="1569"/>
      <c r="ED24" s="1569">
        <f>BT24*$H24</f>
        <v>0</v>
      </c>
      <c r="EE24" s="79"/>
      <c r="EF24" s="1569">
        <f t="shared" ref="EF24:EZ24" ca="1" si="189">BV24*$I24</f>
        <v>0</v>
      </c>
      <c r="EG24" s="1569">
        <f t="shared" ca="1" si="189"/>
        <v>0</v>
      </c>
      <c r="EH24" s="1569">
        <f t="shared" ca="1" si="189"/>
        <v>0</v>
      </c>
      <c r="EI24" s="1569">
        <f t="shared" ca="1" si="189"/>
        <v>0</v>
      </c>
      <c r="EJ24" s="1569">
        <f t="shared" ca="1" si="189"/>
        <v>0</v>
      </c>
      <c r="EK24" s="1569">
        <f t="shared" ca="1" si="189"/>
        <v>0</v>
      </c>
      <c r="EL24" s="1569">
        <f t="shared" ca="1" si="189"/>
        <v>0</v>
      </c>
      <c r="EM24" s="1569">
        <f t="shared" ca="1" si="189"/>
        <v>0</v>
      </c>
      <c r="EN24" s="1569">
        <f t="shared" ca="1" si="189"/>
        <v>0</v>
      </c>
      <c r="EO24" s="1569">
        <f t="shared" ca="1" si="189"/>
        <v>0</v>
      </c>
      <c r="EP24" s="1569">
        <f t="shared" ca="1" si="189"/>
        <v>228388.05124999999</v>
      </c>
      <c r="EQ24" s="865">
        <f t="shared" ca="1" si="189"/>
        <v>0</v>
      </c>
      <c r="ER24" s="1569">
        <f t="shared" ca="1" si="189"/>
        <v>0</v>
      </c>
      <c r="ES24" s="1569">
        <f t="shared" ca="1" si="189"/>
        <v>0</v>
      </c>
      <c r="ET24" s="1569">
        <f t="shared" ca="1" si="189"/>
        <v>0</v>
      </c>
      <c r="EU24" s="1569">
        <f t="shared" ca="1" si="189"/>
        <v>0</v>
      </c>
      <c r="EV24" s="1569">
        <f t="shared" ca="1" si="189"/>
        <v>0</v>
      </c>
      <c r="EW24" s="1569">
        <f t="shared" ca="1" si="189"/>
        <v>0</v>
      </c>
      <c r="EX24" s="1569">
        <f t="shared" ca="1" si="189"/>
        <v>0</v>
      </c>
      <c r="EY24" s="1569">
        <f t="shared" ca="1" si="189"/>
        <v>0</v>
      </c>
      <c r="EZ24" s="1569">
        <f t="shared" ca="1" si="189"/>
        <v>228388.05124999999</v>
      </c>
      <c r="FA24" s="1569">
        <f t="shared" ref="FA24" ca="1" si="190">CQ24*$I24</f>
        <v>0</v>
      </c>
      <c r="FB24" s="1569">
        <f t="shared" ref="FB24" ca="1" si="191">CR24*$I24</f>
        <v>0</v>
      </c>
      <c r="FC24" s="1569">
        <f t="shared" ref="FC24" ca="1" si="192">CS24*$I24</f>
        <v>0</v>
      </c>
      <c r="FD24" s="1569">
        <f t="shared" ref="FD24" ca="1" si="193">CT24*$I24</f>
        <v>0</v>
      </c>
      <c r="FE24" s="1569">
        <f t="shared" ref="FE24" ca="1" si="194">CU24*$I24</f>
        <v>0</v>
      </c>
      <c r="FF24" s="1569">
        <f t="shared" ref="FF24" ca="1" si="195">CV24*$I24</f>
        <v>0</v>
      </c>
      <c r="FG24" s="1569">
        <f t="shared" ref="FG24" ca="1" si="196">CW24*$I24</f>
        <v>0</v>
      </c>
      <c r="FH24" s="1569">
        <f t="shared" ref="FH24" ca="1" si="197">CX24*$I24</f>
        <v>0</v>
      </c>
      <c r="FI24" s="1569">
        <f t="shared" ref="FI24" ca="1" si="198">CY24*$I24</f>
        <v>0</v>
      </c>
    </row>
    <row r="25" spans="1:165">
      <c r="A25" s="595"/>
      <c r="B25" s="598"/>
      <c r="C25" s="599"/>
      <c r="F25" s="862"/>
      <c r="G25" s="399"/>
      <c r="H25" s="83"/>
      <c r="I25" s="83"/>
      <c r="J25" s="867"/>
      <c r="K25" s="97"/>
      <c r="L25" s="1584">
        <f>'Sistemas-Manutenção'!L22</f>
        <v>0</v>
      </c>
      <c r="M25" s="863"/>
      <c r="N25" s="863"/>
      <c r="O25" s="863"/>
      <c r="P25" s="863"/>
      <c r="Q25" s="863"/>
      <c r="R25" s="863"/>
      <c r="S25" s="863"/>
      <c r="T25" s="863"/>
      <c r="U25" s="863"/>
      <c r="V25" s="863"/>
      <c r="W25" s="863"/>
      <c r="X25" s="863"/>
      <c r="Y25" s="863"/>
      <c r="Z25" s="863"/>
      <c r="AA25" s="863"/>
      <c r="AB25" s="863"/>
      <c r="AC25" s="863"/>
      <c r="AD25" s="863"/>
      <c r="AE25" s="863"/>
      <c r="AF25" s="863"/>
      <c r="AG25" s="863"/>
      <c r="AH25" s="863"/>
      <c r="AI25" s="863"/>
      <c r="AJ25" s="863"/>
      <c r="AK25" s="863"/>
      <c r="AL25" s="863"/>
      <c r="AM25" s="863"/>
      <c r="AN25" s="863"/>
      <c r="AO25" s="863"/>
      <c r="AP25" s="81"/>
      <c r="AQ25" s="863"/>
      <c r="AR25" s="863"/>
      <c r="AS25" s="863"/>
      <c r="AT25" s="863"/>
      <c r="AU25" s="863"/>
      <c r="AV25" s="863"/>
      <c r="AW25" s="863"/>
      <c r="AX25" s="863"/>
      <c r="AY25" s="863"/>
      <c r="AZ25" s="863"/>
      <c r="BA25" s="863"/>
      <c r="BB25" s="863"/>
      <c r="BC25" s="863"/>
      <c r="BD25" s="863"/>
      <c r="BE25" s="863"/>
      <c r="BF25" s="863"/>
      <c r="BG25" s="863"/>
      <c r="BH25" s="863"/>
      <c r="BI25" s="863"/>
      <c r="BJ25" s="863"/>
      <c r="BK25" s="863"/>
      <c r="BL25" s="863"/>
      <c r="BM25" s="863"/>
      <c r="BN25" s="863"/>
      <c r="BO25" s="863"/>
      <c r="BP25" s="863"/>
      <c r="BQ25" s="863"/>
      <c r="BR25" s="863"/>
      <c r="BS25" s="863"/>
      <c r="BT25" s="863"/>
      <c r="BU25" s="81"/>
      <c r="BV25" s="863"/>
      <c r="BW25" s="863"/>
      <c r="BX25" s="863"/>
      <c r="BY25" s="863"/>
      <c r="BZ25" s="863"/>
      <c r="CA25" s="863"/>
      <c r="CB25" s="863"/>
      <c r="CC25" s="863"/>
      <c r="CD25" s="863"/>
      <c r="CE25" s="863"/>
      <c r="CF25" s="863"/>
      <c r="CG25" s="863"/>
      <c r="CH25" s="863"/>
      <c r="CI25" s="863"/>
      <c r="CJ25" s="863"/>
      <c r="CK25" s="863"/>
      <c r="CL25" s="863"/>
      <c r="CM25" s="863"/>
      <c r="CN25" s="863"/>
      <c r="CO25" s="863"/>
      <c r="CP25" s="863"/>
      <c r="CQ25" s="863"/>
      <c r="CR25" s="863"/>
      <c r="CS25" s="863"/>
      <c r="CT25" s="863"/>
      <c r="CU25" s="863"/>
      <c r="CV25" s="863"/>
      <c r="CW25" s="863"/>
      <c r="CX25" s="863"/>
      <c r="CY25" s="863"/>
      <c r="CZ25" s="82"/>
      <c r="DA25" s="865"/>
      <c r="DB25" s="865"/>
      <c r="DC25" s="865"/>
      <c r="DD25" s="865"/>
      <c r="DE25" s="865"/>
      <c r="DF25" s="865"/>
      <c r="DG25" s="865"/>
      <c r="DH25" s="865"/>
      <c r="DI25" s="865"/>
      <c r="DJ25" s="865"/>
      <c r="DK25" s="865"/>
      <c r="DL25" s="865"/>
      <c r="DM25" s="865"/>
      <c r="DN25" s="865"/>
      <c r="DO25" s="865"/>
      <c r="DP25" s="865"/>
      <c r="DQ25" s="865"/>
      <c r="DR25" s="865"/>
      <c r="DS25" s="865"/>
      <c r="DT25" s="865"/>
      <c r="DU25" s="865"/>
      <c r="DV25" s="865"/>
      <c r="DW25" s="865"/>
      <c r="DX25" s="865"/>
      <c r="DY25" s="865"/>
      <c r="DZ25" s="865"/>
      <c r="EA25" s="865"/>
      <c r="EB25" s="865"/>
      <c r="EC25" s="865"/>
      <c r="ED25" s="865"/>
      <c r="EE25" s="79"/>
      <c r="EF25" s="865"/>
      <c r="EG25" s="865"/>
      <c r="EH25" s="865"/>
      <c r="EI25" s="865"/>
      <c r="EJ25" s="865"/>
      <c r="EK25" s="865"/>
      <c r="EL25" s="865"/>
      <c r="EM25" s="865"/>
      <c r="EN25" s="865"/>
      <c r="EO25" s="865"/>
      <c r="EP25" s="865"/>
      <c r="EQ25" s="865"/>
      <c r="ER25" s="865"/>
      <c r="ES25" s="865"/>
      <c r="ET25" s="865"/>
      <c r="EU25" s="865"/>
      <c r="EV25" s="865"/>
      <c r="EW25" s="865"/>
      <c r="EX25" s="865"/>
      <c r="EY25" s="865"/>
      <c r="EZ25" s="865"/>
      <c r="FA25" s="865"/>
      <c r="FB25" s="865"/>
      <c r="FC25" s="865"/>
      <c r="FD25" s="865"/>
      <c r="FE25" s="865"/>
      <c r="FF25" s="865"/>
      <c r="FG25" s="865"/>
      <c r="FH25" s="865"/>
      <c r="FI25" s="865"/>
    </row>
    <row r="26" spans="1:165">
      <c r="A26" s="595"/>
      <c r="B26" s="598"/>
      <c r="C26" s="599"/>
      <c r="F26" s="862"/>
      <c r="G26" s="399"/>
      <c r="H26" s="83"/>
      <c r="I26" s="83"/>
      <c r="J26" s="867"/>
      <c r="K26" s="97"/>
      <c r="L26" s="1584">
        <f>'Sistemas-Manutenção'!L23</f>
        <v>0</v>
      </c>
      <c r="M26" s="863"/>
      <c r="N26" s="863"/>
      <c r="O26" s="863"/>
      <c r="P26" s="863"/>
      <c r="Q26" s="863"/>
      <c r="R26" s="863"/>
      <c r="S26" s="863"/>
      <c r="T26" s="863"/>
      <c r="U26" s="863"/>
      <c r="V26" s="863"/>
      <c r="W26" s="863"/>
      <c r="X26" s="863"/>
      <c r="Y26" s="863"/>
      <c r="Z26" s="863"/>
      <c r="AA26" s="863"/>
      <c r="AB26" s="863"/>
      <c r="AC26" s="863"/>
      <c r="AD26" s="863"/>
      <c r="AE26" s="863"/>
      <c r="AF26" s="863"/>
      <c r="AG26" s="863"/>
      <c r="AH26" s="863"/>
      <c r="AI26" s="863"/>
      <c r="AJ26" s="863"/>
      <c r="AK26" s="863"/>
      <c r="AL26" s="863"/>
      <c r="AM26" s="863"/>
      <c r="AN26" s="863"/>
      <c r="AO26" s="863"/>
      <c r="AP26" s="81"/>
      <c r="AQ26" s="863"/>
      <c r="AR26" s="863"/>
      <c r="AS26" s="863"/>
      <c r="AT26" s="863"/>
      <c r="AU26" s="863"/>
      <c r="AV26" s="863"/>
      <c r="AW26" s="863"/>
      <c r="AX26" s="863"/>
      <c r="AY26" s="863"/>
      <c r="AZ26" s="863"/>
      <c r="BA26" s="863"/>
      <c r="BB26" s="863"/>
      <c r="BC26" s="863"/>
      <c r="BD26" s="863"/>
      <c r="BE26" s="863"/>
      <c r="BF26" s="863"/>
      <c r="BG26" s="863"/>
      <c r="BH26" s="863"/>
      <c r="BI26" s="863"/>
      <c r="BJ26" s="863"/>
      <c r="BK26" s="863"/>
      <c r="BL26" s="863"/>
      <c r="BM26" s="863"/>
      <c r="BN26" s="863"/>
      <c r="BO26" s="863"/>
      <c r="BP26" s="863"/>
      <c r="BQ26" s="863"/>
      <c r="BR26" s="863"/>
      <c r="BS26" s="863"/>
      <c r="BT26" s="863"/>
      <c r="BU26" s="81"/>
      <c r="BV26" s="863"/>
      <c r="BW26" s="863"/>
      <c r="BX26" s="863"/>
      <c r="BY26" s="863"/>
      <c r="BZ26" s="863"/>
      <c r="CA26" s="863"/>
      <c r="CB26" s="863"/>
      <c r="CC26" s="863"/>
      <c r="CD26" s="863"/>
      <c r="CE26" s="863"/>
      <c r="CF26" s="863"/>
      <c r="CG26" s="863"/>
      <c r="CH26" s="863"/>
      <c r="CI26" s="863"/>
      <c r="CJ26" s="863"/>
      <c r="CK26" s="863"/>
      <c r="CL26" s="863"/>
      <c r="CM26" s="863"/>
      <c r="CN26" s="863"/>
      <c r="CO26" s="863"/>
      <c r="CP26" s="863"/>
      <c r="CQ26" s="863"/>
      <c r="CR26" s="863"/>
      <c r="CS26" s="863"/>
      <c r="CT26" s="863"/>
      <c r="CU26" s="863"/>
      <c r="CV26" s="863"/>
      <c r="CW26" s="863"/>
      <c r="CX26" s="863"/>
      <c r="CY26" s="863"/>
      <c r="CZ26" s="82"/>
      <c r="DA26" s="865"/>
      <c r="DB26" s="865"/>
      <c r="DC26" s="865"/>
      <c r="DD26" s="865"/>
      <c r="DE26" s="865"/>
      <c r="DF26" s="865"/>
      <c r="DG26" s="865"/>
      <c r="DH26" s="865"/>
      <c r="DI26" s="865"/>
      <c r="DJ26" s="865"/>
      <c r="DK26" s="865"/>
      <c r="DL26" s="865"/>
      <c r="DM26" s="865"/>
      <c r="DN26" s="865"/>
      <c r="DO26" s="865"/>
      <c r="DP26" s="865"/>
      <c r="DQ26" s="865"/>
      <c r="DR26" s="865"/>
      <c r="DS26" s="865"/>
      <c r="DT26" s="865"/>
      <c r="DU26" s="865"/>
      <c r="DV26" s="865"/>
      <c r="DW26" s="865"/>
      <c r="DX26" s="865"/>
      <c r="DY26" s="865"/>
      <c r="DZ26" s="865"/>
      <c r="EA26" s="865"/>
      <c r="EB26" s="865"/>
      <c r="EC26" s="865"/>
      <c r="ED26" s="865"/>
      <c r="EE26" s="79"/>
      <c r="EF26" s="865"/>
      <c r="EG26" s="865"/>
      <c r="EH26" s="865"/>
      <c r="EI26" s="865"/>
      <c r="EJ26" s="865"/>
      <c r="EK26" s="865"/>
      <c r="EL26" s="865"/>
      <c r="EM26" s="865"/>
      <c r="EN26" s="865"/>
      <c r="EO26" s="865"/>
      <c r="EP26" s="865"/>
      <c r="EQ26" s="865"/>
      <c r="ER26" s="865"/>
      <c r="ES26" s="865"/>
      <c r="ET26" s="865"/>
      <c r="EU26" s="865"/>
      <c r="EV26" s="865"/>
      <c r="EW26" s="865"/>
      <c r="EX26" s="865"/>
      <c r="EY26" s="865"/>
      <c r="EZ26" s="865"/>
      <c r="FA26" s="865"/>
      <c r="FB26" s="865"/>
      <c r="FC26" s="865"/>
      <c r="FD26" s="865"/>
      <c r="FE26" s="865"/>
      <c r="FF26" s="865"/>
      <c r="FG26" s="865"/>
      <c r="FH26" s="865"/>
      <c r="FI26" s="865"/>
    </row>
    <row r="27" spans="1:165">
      <c r="A27" s="595"/>
      <c r="B27" s="598"/>
      <c r="C27" s="599"/>
      <c r="D27" s="68" t="s">
        <v>1722</v>
      </c>
      <c r="E27" s="68" t="str">
        <f>LEFT(D27,LEN(D27)-1) &amp; RIGHT(D27,1)+1</f>
        <v>8.5.3</v>
      </c>
      <c r="F27" s="1564" t="s">
        <v>1636</v>
      </c>
      <c r="G27" s="733" t="s">
        <v>1717</v>
      </c>
      <c r="H27" s="734">
        <f>SUM(DA27:ED27)</f>
        <v>110305.065</v>
      </c>
      <c r="I27" s="734">
        <f ca="1">SUM(EF27:FI27)</f>
        <v>209579.62349999999</v>
      </c>
      <c r="J27" s="1577"/>
      <c r="K27" s="97"/>
      <c r="L27" s="1584">
        <f>'Sistemas-Manutenção'!L24</f>
        <v>0</v>
      </c>
      <c r="M27" s="863"/>
      <c r="N27" s="863"/>
      <c r="O27" s="863"/>
      <c r="P27" s="863"/>
      <c r="Q27" s="863"/>
      <c r="R27" s="863"/>
      <c r="S27" s="863"/>
      <c r="T27" s="863"/>
      <c r="U27" s="863"/>
      <c r="V27" s="863"/>
      <c r="W27" s="863"/>
      <c r="X27" s="863"/>
      <c r="Y27" s="863"/>
      <c r="Z27" s="863"/>
      <c r="AA27" s="863"/>
      <c r="AB27" s="863"/>
      <c r="AC27" s="863"/>
      <c r="AD27" s="863"/>
      <c r="AE27" s="863"/>
      <c r="AF27" s="863"/>
      <c r="AG27" s="863"/>
      <c r="AH27" s="863"/>
      <c r="AI27" s="863"/>
      <c r="AJ27" s="863"/>
      <c r="AK27" s="863"/>
      <c r="AL27" s="863"/>
      <c r="AM27" s="863"/>
      <c r="AN27" s="863"/>
      <c r="AO27" s="863"/>
      <c r="AP27" s="81"/>
      <c r="AQ27" s="863"/>
      <c r="AR27" s="863"/>
      <c r="AS27" s="863"/>
      <c r="AT27" s="863"/>
      <c r="AU27" s="863"/>
      <c r="AV27" s="863"/>
      <c r="AW27" s="863"/>
      <c r="AX27" s="863"/>
      <c r="AY27" s="863"/>
      <c r="AZ27" s="863"/>
      <c r="BA27" s="863"/>
      <c r="BB27" s="863"/>
      <c r="BC27" s="863"/>
      <c r="BD27" s="863"/>
      <c r="BE27" s="863"/>
      <c r="BF27" s="863"/>
      <c r="BG27" s="863"/>
      <c r="BH27" s="863"/>
      <c r="BI27" s="863"/>
      <c r="BJ27" s="863"/>
      <c r="BK27" s="863"/>
      <c r="BL27" s="863"/>
      <c r="BM27" s="863"/>
      <c r="BN27" s="863"/>
      <c r="BO27" s="863"/>
      <c r="BP27" s="863"/>
      <c r="BQ27" s="863"/>
      <c r="BR27" s="863"/>
      <c r="BS27" s="863"/>
      <c r="BT27" s="863"/>
      <c r="BU27" s="81"/>
      <c r="BV27" s="863"/>
      <c r="BW27" s="863"/>
      <c r="BX27" s="863"/>
      <c r="BY27" s="863"/>
      <c r="BZ27" s="863"/>
      <c r="CA27" s="863"/>
      <c r="CB27" s="863"/>
      <c r="CC27" s="863"/>
      <c r="CD27" s="863"/>
      <c r="CE27" s="863"/>
      <c r="CF27" s="863"/>
      <c r="CG27" s="863"/>
      <c r="CH27" s="863"/>
      <c r="CI27" s="863"/>
      <c r="CJ27" s="863"/>
      <c r="CK27" s="863"/>
      <c r="CL27" s="863"/>
      <c r="CM27" s="863"/>
      <c r="CN27" s="863"/>
      <c r="CO27" s="863"/>
      <c r="CP27" s="863"/>
      <c r="CQ27" s="863"/>
      <c r="CR27" s="863"/>
      <c r="CS27" s="863"/>
      <c r="CT27" s="863"/>
      <c r="CU27" s="863"/>
      <c r="CV27" s="863"/>
      <c r="CW27" s="863"/>
      <c r="CX27" s="863"/>
      <c r="CY27" s="863"/>
      <c r="CZ27" s="82"/>
      <c r="DA27" s="1567">
        <f>SUBTOTAL(9,DA28:DA29)</f>
        <v>110305.065</v>
      </c>
      <c r="DB27" s="1567">
        <f t="shared" ref="DB27:ED27" si="199">SUBTOTAL(9,DB28:DB29)</f>
        <v>0</v>
      </c>
      <c r="DC27" s="1567">
        <f t="shared" si="199"/>
        <v>0</v>
      </c>
      <c r="DD27" s="1567">
        <f t="shared" si="199"/>
        <v>0</v>
      </c>
      <c r="DE27" s="1567">
        <f t="shared" si="199"/>
        <v>0</v>
      </c>
      <c r="DF27" s="1567">
        <f t="shared" si="199"/>
        <v>0</v>
      </c>
      <c r="DG27" s="1567">
        <f t="shared" si="199"/>
        <v>0</v>
      </c>
      <c r="DH27" s="1567">
        <f t="shared" si="199"/>
        <v>0</v>
      </c>
      <c r="DI27" s="1567">
        <f t="shared" si="199"/>
        <v>0</v>
      </c>
      <c r="DJ27" s="1567">
        <f t="shared" si="199"/>
        <v>0</v>
      </c>
      <c r="DK27" s="1567">
        <f t="shared" si="199"/>
        <v>0</v>
      </c>
      <c r="DL27" s="1567">
        <f t="shared" si="199"/>
        <v>0</v>
      </c>
      <c r="DM27" s="1567">
        <f t="shared" si="199"/>
        <v>0</v>
      </c>
      <c r="DN27" s="1567">
        <f t="shared" si="199"/>
        <v>0</v>
      </c>
      <c r="DO27" s="1567">
        <f t="shared" si="199"/>
        <v>0</v>
      </c>
      <c r="DP27" s="1567">
        <f t="shared" si="199"/>
        <v>0</v>
      </c>
      <c r="DQ27" s="1567">
        <f t="shared" si="199"/>
        <v>0</v>
      </c>
      <c r="DR27" s="1567">
        <f t="shared" si="199"/>
        <v>0</v>
      </c>
      <c r="DS27" s="1567">
        <f t="shared" si="199"/>
        <v>0</v>
      </c>
      <c r="DT27" s="1567">
        <f t="shared" si="199"/>
        <v>0</v>
      </c>
      <c r="DU27" s="1567">
        <f t="shared" si="199"/>
        <v>0</v>
      </c>
      <c r="DV27" s="1567">
        <f t="shared" si="199"/>
        <v>0</v>
      </c>
      <c r="DW27" s="1567">
        <f t="shared" si="199"/>
        <v>0</v>
      </c>
      <c r="DX27" s="1567">
        <f t="shared" si="199"/>
        <v>0</v>
      </c>
      <c r="DY27" s="1567"/>
      <c r="DZ27" s="1567"/>
      <c r="EA27" s="1567"/>
      <c r="EB27" s="1567"/>
      <c r="EC27" s="1567"/>
      <c r="ED27" s="1567">
        <f t="shared" si="199"/>
        <v>0</v>
      </c>
      <c r="EE27" s="79"/>
      <c r="EF27" s="1567">
        <f t="shared" ref="EF27:EZ27" ca="1" si="200">SUBTOTAL(9,EF28:EF29)</f>
        <v>0</v>
      </c>
      <c r="EG27" s="1567">
        <f t="shared" ca="1" si="200"/>
        <v>0</v>
      </c>
      <c r="EH27" s="1567">
        <f t="shared" ca="1" si="200"/>
        <v>0</v>
      </c>
      <c r="EI27" s="1567">
        <f t="shared" ca="1" si="200"/>
        <v>0</v>
      </c>
      <c r="EJ27" s="1567">
        <f t="shared" ca="1" si="200"/>
        <v>0</v>
      </c>
      <c r="EK27" s="1567">
        <f t="shared" ca="1" si="200"/>
        <v>0</v>
      </c>
      <c r="EL27" s="1567">
        <f t="shared" ca="1" si="200"/>
        <v>0</v>
      </c>
      <c r="EM27" s="1567">
        <f t="shared" ca="1" si="200"/>
        <v>0</v>
      </c>
      <c r="EN27" s="1567">
        <f t="shared" ca="1" si="200"/>
        <v>0</v>
      </c>
      <c r="EO27" s="1567">
        <f t="shared" ca="1" si="200"/>
        <v>0</v>
      </c>
      <c r="EP27" s="1567">
        <f t="shared" ca="1" si="200"/>
        <v>104789.81174999999</v>
      </c>
      <c r="EQ27" s="1567">
        <f t="shared" ca="1" si="200"/>
        <v>0</v>
      </c>
      <c r="ER27" s="1567">
        <f t="shared" ca="1" si="200"/>
        <v>0</v>
      </c>
      <c r="ES27" s="1567">
        <f t="shared" ca="1" si="200"/>
        <v>0</v>
      </c>
      <c r="ET27" s="1567">
        <f t="shared" ca="1" si="200"/>
        <v>0</v>
      </c>
      <c r="EU27" s="1567">
        <f t="shared" ca="1" si="200"/>
        <v>0</v>
      </c>
      <c r="EV27" s="1567">
        <f t="shared" ca="1" si="200"/>
        <v>0</v>
      </c>
      <c r="EW27" s="1567">
        <f t="shared" ca="1" si="200"/>
        <v>0</v>
      </c>
      <c r="EX27" s="1567">
        <f t="shared" ca="1" si="200"/>
        <v>0</v>
      </c>
      <c r="EY27" s="1567">
        <f t="shared" ca="1" si="200"/>
        <v>0</v>
      </c>
      <c r="EZ27" s="1567">
        <f t="shared" ca="1" si="200"/>
        <v>104789.81174999999</v>
      </c>
      <c r="FA27" s="1567">
        <f t="shared" ref="FA27:FI27" ca="1" si="201">SUBTOTAL(9,FA28:FA29)</f>
        <v>0</v>
      </c>
      <c r="FB27" s="1567">
        <f t="shared" ca="1" si="201"/>
        <v>0</v>
      </c>
      <c r="FC27" s="1567">
        <f t="shared" ca="1" si="201"/>
        <v>0</v>
      </c>
      <c r="FD27" s="1567">
        <f t="shared" ca="1" si="201"/>
        <v>0</v>
      </c>
      <c r="FE27" s="1567">
        <f t="shared" ca="1" si="201"/>
        <v>0</v>
      </c>
      <c r="FF27" s="1567">
        <f t="shared" ca="1" si="201"/>
        <v>0</v>
      </c>
      <c r="FG27" s="1567">
        <f t="shared" ca="1" si="201"/>
        <v>0</v>
      </c>
      <c r="FH27" s="1567">
        <f t="shared" ca="1" si="201"/>
        <v>0</v>
      </c>
      <c r="FI27" s="1567">
        <f t="shared" ca="1" si="201"/>
        <v>0</v>
      </c>
    </row>
    <row r="28" spans="1:165">
      <c r="A28" s="595"/>
      <c r="B28" s="598"/>
      <c r="C28" s="599"/>
      <c r="F28" s="866" t="s">
        <v>1637</v>
      </c>
      <c r="G28" s="1568" t="s">
        <v>1718</v>
      </c>
      <c r="H28" s="1569">
        <f>'Sistemas - Cotações'!F88</f>
        <v>22061.012999999999</v>
      </c>
      <c r="I28" s="1569">
        <f>H28*0.95</f>
        <v>20957.962349999998</v>
      </c>
      <c r="J28" s="867">
        <v>10</v>
      </c>
      <c r="K28" s="97"/>
      <c r="L28" s="1584">
        <f>'Sistemas-Manutenção'!L25</f>
        <v>5</v>
      </c>
      <c r="M28" s="1584">
        <f>'Sistemas-Manutenção'!M25</f>
        <v>5</v>
      </c>
      <c r="N28" s="1584">
        <f>'Sistemas-Manutenção'!N25</f>
        <v>5</v>
      </c>
      <c r="O28" s="1584">
        <f>'Sistemas-Manutenção'!O25</f>
        <v>5</v>
      </c>
      <c r="P28" s="1584">
        <f>'Sistemas-Manutenção'!P25</f>
        <v>5</v>
      </c>
      <c r="Q28" s="1584">
        <f>'Sistemas-Manutenção'!Q25</f>
        <v>5</v>
      </c>
      <c r="R28" s="1584">
        <f>'Sistemas-Manutenção'!R25</f>
        <v>5</v>
      </c>
      <c r="S28" s="1584">
        <f>'Sistemas-Manutenção'!S25</f>
        <v>5</v>
      </c>
      <c r="T28" s="1584">
        <f>'Sistemas-Manutenção'!T25</f>
        <v>5</v>
      </c>
      <c r="U28" s="1584">
        <f>'Sistemas-Manutenção'!U25</f>
        <v>5</v>
      </c>
      <c r="V28" s="1584">
        <f>'Sistemas-Manutenção'!V25</f>
        <v>5</v>
      </c>
      <c r="W28" s="1584">
        <f>'Sistemas-Manutenção'!W25</f>
        <v>5</v>
      </c>
      <c r="X28" s="1584">
        <f>'Sistemas-Manutenção'!X25</f>
        <v>5</v>
      </c>
      <c r="Y28" s="1584">
        <f>'Sistemas-Manutenção'!Y25</f>
        <v>5</v>
      </c>
      <c r="Z28" s="1584">
        <f>'Sistemas-Manutenção'!Z25</f>
        <v>5</v>
      </c>
      <c r="AA28" s="1584">
        <f>'Sistemas-Manutenção'!AA25</f>
        <v>5</v>
      </c>
      <c r="AB28" s="1584">
        <f>'Sistemas-Manutenção'!AB25</f>
        <v>5</v>
      </c>
      <c r="AC28" s="1584">
        <f>'Sistemas-Manutenção'!AC25</f>
        <v>5</v>
      </c>
      <c r="AD28" s="1584">
        <f>'Sistemas-Manutenção'!AD25</f>
        <v>5</v>
      </c>
      <c r="AE28" s="1584">
        <f>'Sistemas-Manutenção'!AE25</f>
        <v>5</v>
      </c>
      <c r="AF28" s="1584">
        <f>'Sistemas-Manutenção'!AF25</f>
        <v>5</v>
      </c>
      <c r="AG28" s="1584">
        <f>'Sistemas-Manutenção'!AG25</f>
        <v>5</v>
      </c>
      <c r="AH28" s="1584">
        <f>'Sistemas-Manutenção'!AH25</f>
        <v>5</v>
      </c>
      <c r="AI28" s="1584">
        <f>'Sistemas-Manutenção'!AI25</f>
        <v>5</v>
      </c>
      <c r="AJ28" s="1584">
        <f>'Sistemas-Manutenção'!AJ25</f>
        <v>5</v>
      </c>
      <c r="AK28" s="1584">
        <f>'Sistemas-Manutenção'!AK25</f>
        <v>5</v>
      </c>
      <c r="AL28" s="1584">
        <f>'Sistemas-Manutenção'!AL25</f>
        <v>5</v>
      </c>
      <c r="AM28" s="1584">
        <f>'Sistemas-Manutenção'!AM25</f>
        <v>5</v>
      </c>
      <c r="AN28" s="1584">
        <f>'Sistemas-Manutenção'!AN25</f>
        <v>5</v>
      </c>
      <c r="AO28" s="1584">
        <f>'Sistemas-Manutenção'!AO25</f>
        <v>5</v>
      </c>
      <c r="AP28" s="77"/>
      <c r="AQ28" s="1479">
        <f t="shared" ref="AQ28:BN28" si="202">IF(L28&gt;K28,L28-K28,0)</f>
        <v>5</v>
      </c>
      <c r="AR28" s="1479">
        <f t="shared" si="202"/>
        <v>0</v>
      </c>
      <c r="AS28" s="1479">
        <f t="shared" si="202"/>
        <v>0</v>
      </c>
      <c r="AT28" s="1479">
        <f t="shared" si="202"/>
        <v>0</v>
      </c>
      <c r="AU28" s="1479">
        <f t="shared" si="202"/>
        <v>0</v>
      </c>
      <c r="AV28" s="1479">
        <f t="shared" si="202"/>
        <v>0</v>
      </c>
      <c r="AW28" s="1479">
        <f t="shared" si="202"/>
        <v>0</v>
      </c>
      <c r="AX28" s="1479">
        <f t="shared" si="202"/>
        <v>0</v>
      </c>
      <c r="AY28" s="1479">
        <f t="shared" si="202"/>
        <v>0</v>
      </c>
      <c r="AZ28" s="1479">
        <f t="shared" si="202"/>
        <v>0</v>
      </c>
      <c r="BA28" s="1479">
        <f t="shared" si="202"/>
        <v>0</v>
      </c>
      <c r="BB28" s="1479">
        <f t="shared" si="202"/>
        <v>0</v>
      </c>
      <c r="BC28" s="1479">
        <f t="shared" si="202"/>
        <v>0</v>
      </c>
      <c r="BD28" s="1479">
        <f t="shared" si="202"/>
        <v>0</v>
      </c>
      <c r="BE28" s="1479">
        <f t="shared" si="202"/>
        <v>0</v>
      </c>
      <c r="BF28" s="1479">
        <f t="shared" si="202"/>
        <v>0</v>
      </c>
      <c r="BG28" s="1479">
        <f t="shared" si="202"/>
        <v>0</v>
      </c>
      <c r="BH28" s="1479">
        <f t="shared" si="202"/>
        <v>0</v>
      </c>
      <c r="BI28" s="1479">
        <f t="shared" si="202"/>
        <v>0</v>
      </c>
      <c r="BJ28" s="1479">
        <f t="shared" si="202"/>
        <v>0</v>
      </c>
      <c r="BK28" s="1479">
        <f t="shared" si="202"/>
        <v>0</v>
      </c>
      <c r="BL28" s="1479">
        <f t="shared" si="202"/>
        <v>0</v>
      </c>
      <c r="BM28" s="1479">
        <f t="shared" si="202"/>
        <v>0</v>
      </c>
      <c r="BN28" s="1479">
        <f t="shared" si="202"/>
        <v>0</v>
      </c>
      <c r="BO28" s="1479"/>
      <c r="BP28" s="1479"/>
      <c r="BQ28" s="1479"/>
      <c r="BR28" s="1479"/>
      <c r="BS28" s="1479"/>
      <c r="BT28" s="1479">
        <f>IF(AO28&gt;AI28,AO28-AI28,0)</f>
        <v>0</v>
      </c>
      <c r="BU28" s="77"/>
      <c r="BV28" s="1571">
        <f t="shared" ref="BV28:CP28" ca="1" si="203">IF(L28-SUM(OFFSET(AQ28,,-$J28+1,,$J28))-IF($J28&gt;1,SUM(OFFSET(BV28,,-$J28+1,,$J28-1)),0)&gt;0,L28-SUM(OFFSET(AQ28,,-$J28+1,,$J28))-IF($J28&gt;1,SUM(OFFSET(BV28,,-$J28+1,,$J28-1)),0),0)</f>
        <v>0</v>
      </c>
      <c r="BW28" s="1571">
        <f t="shared" ca="1" si="203"/>
        <v>0</v>
      </c>
      <c r="BX28" s="1571">
        <f t="shared" ca="1" si="203"/>
        <v>0</v>
      </c>
      <c r="BY28" s="1571">
        <f t="shared" ca="1" si="203"/>
        <v>0</v>
      </c>
      <c r="BZ28" s="1571">
        <f t="shared" ca="1" si="203"/>
        <v>0</v>
      </c>
      <c r="CA28" s="1571">
        <f t="shared" ca="1" si="203"/>
        <v>0</v>
      </c>
      <c r="CB28" s="1571">
        <f t="shared" ca="1" si="203"/>
        <v>0</v>
      </c>
      <c r="CC28" s="1571">
        <f t="shared" ca="1" si="203"/>
        <v>0</v>
      </c>
      <c r="CD28" s="1571">
        <f t="shared" ca="1" si="203"/>
        <v>0</v>
      </c>
      <c r="CE28" s="1571">
        <f t="shared" ca="1" si="203"/>
        <v>0</v>
      </c>
      <c r="CF28" s="1571">
        <f t="shared" ca="1" si="203"/>
        <v>5</v>
      </c>
      <c r="CG28" s="1571">
        <f t="shared" ca="1" si="203"/>
        <v>0</v>
      </c>
      <c r="CH28" s="1571">
        <f t="shared" ca="1" si="203"/>
        <v>0</v>
      </c>
      <c r="CI28" s="1571">
        <f t="shared" ca="1" si="203"/>
        <v>0</v>
      </c>
      <c r="CJ28" s="1571">
        <f t="shared" ca="1" si="203"/>
        <v>0</v>
      </c>
      <c r="CK28" s="1571">
        <f t="shared" ca="1" si="203"/>
        <v>0</v>
      </c>
      <c r="CL28" s="1571">
        <f t="shared" ca="1" si="203"/>
        <v>0</v>
      </c>
      <c r="CM28" s="1571">
        <f t="shared" ca="1" si="203"/>
        <v>0</v>
      </c>
      <c r="CN28" s="1571">
        <f t="shared" ca="1" si="203"/>
        <v>0</v>
      </c>
      <c r="CO28" s="1571">
        <f t="shared" ca="1" si="203"/>
        <v>0</v>
      </c>
      <c r="CP28" s="1571">
        <f t="shared" ca="1" si="203"/>
        <v>5</v>
      </c>
      <c r="CQ28" s="1571">
        <f t="shared" ref="CQ28" ca="1" si="204">IF(AG28-SUM(OFFSET(BL28,,-$J28+1,,$J28))-IF($J28&gt;1,SUM(OFFSET(CQ28,,-$J28+1,,$J28-1)),0)&gt;0,AG28-SUM(OFFSET(BL28,,-$J28+1,,$J28))-IF($J28&gt;1,SUM(OFFSET(CQ28,,-$J28+1,,$J28-1)),0),0)</f>
        <v>0</v>
      </c>
      <c r="CR28" s="1571">
        <f t="shared" ref="CR28" ca="1" si="205">IF(AH28-SUM(OFFSET(BM28,,-$J28+1,,$J28))-IF($J28&gt;1,SUM(OFFSET(CR28,,-$J28+1,,$J28-1)),0)&gt;0,AH28-SUM(OFFSET(BM28,,-$J28+1,,$J28))-IF($J28&gt;1,SUM(OFFSET(CR28,,-$J28+1,,$J28-1)),0),0)</f>
        <v>0</v>
      </c>
      <c r="CS28" s="1571">
        <f t="shared" ref="CS28" ca="1" si="206">IF(AI28-SUM(OFFSET(BN28,,-$J28+1,,$J28))-IF($J28&gt;1,SUM(OFFSET(CS28,,-$J28+1,,$J28-1)),0)&gt;0,AI28-SUM(OFFSET(BN28,,-$J28+1,,$J28))-IF($J28&gt;1,SUM(OFFSET(CS28,,-$J28+1,,$J28-1)),0),0)</f>
        <v>0</v>
      </c>
      <c r="CT28" s="1571">
        <f t="shared" ref="CT28" ca="1" si="207">IF(AJ28-SUM(OFFSET(BT28,,-$J28+1,,$J28))-IF($J28&gt;1,SUM(OFFSET(CT28,,-$J28+1,,$J28-1)),0)&gt;0,AJ28-SUM(OFFSET(BT28,,-$J28+1,,$J28))-IF($J28&gt;1,SUM(OFFSET(CT28,,-$J28+1,,$J28-1)),0),0)</f>
        <v>0</v>
      </c>
      <c r="CU28" s="1571">
        <f t="shared" ref="CU28" ca="1" si="208">IF(AK28-SUM(OFFSET(BU28,,-$J28+1,,$J28))-IF($J28&gt;1,SUM(OFFSET(CU28,,-$J28+1,,$J28-1)),0)&gt;0,AK28-SUM(OFFSET(BU28,,-$J28+1,,$J28))-IF($J28&gt;1,SUM(OFFSET(CU28,,-$J28+1,,$J28-1)),0),0)</f>
        <v>0</v>
      </c>
      <c r="CV28" s="1571">
        <f t="shared" ref="CV28" ca="1" si="209">IF(AL28-SUM(OFFSET(BV28,,-$J28+1,,$J28))-IF($J28&gt;1,SUM(OFFSET(CV28,,-$J28+1,,$J28-1)),0)&gt;0,AL28-SUM(OFFSET(BV28,,-$J28+1,,$J28))-IF($J28&gt;1,SUM(OFFSET(CV28,,-$J28+1,,$J28-1)),0),0)</f>
        <v>0</v>
      </c>
      <c r="CW28" s="1571">
        <f t="shared" ref="CW28" ca="1" si="210">IF(AM28-SUM(OFFSET(BW28,,-$J28+1,,$J28))-IF($J28&gt;1,SUM(OFFSET(CW28,,-$J28+1,,$J28-1)),0)&gt;0,AM28-SUM(OFFSET(BW28,,-$J28+1,,$J28))-IF($J28&gt;1,SUM(OFFSET(CW28,,-$J28+1,,$J28-1)),0),0)</f>
        <v>0</v>
      </c>
      <c r="CX28" s="1571">
        <f t="shared" ref="CX28" ca="1" si="211">IF(AN28-SUM(OFFSET(BX28,,-$J28+1,,$J28))-IF($J28&gt;1,SUM(OFFSET(CX28,,-$J28+1,,$J28-1)),0)&gt;0,AN28-SUM(OFFSET(BX28,,-$J28+1,,$J28))-IF($J28&gt;1,SUM(OFFSET(CX28,,-$J28+1,,$J28-1)),0),0)</f>
        <v>0</v>
      </c>
      <c r="CY28" s="1571">
        <f t="shared" ref="CY28" ca="1" si="212">IF(AO28-SUM(OFFSET(BY28,,-$J28+1,,$J28))-IF($J28&gt;1,SUM(OFFSET(CY28,,-$J28+1,,$J28-1)),0)&gt;0,AO28-SUM(OFFSET(BY28,,-$J28+1,,$J28))-IF($J28&gt;1,SUM(OFFSET(CY28,,-$J28+1,,$J28-1)),0),0)</f>
        <v>0</v>
      </c>
      <c r="CZ28" s="78"/>
      <c r="DA28" s="1572">
        <f t="shared" ref="DA28:DX28" si="213">AQ28*$H28</f>
        <v>110305.065</v>
      </c>
      <c r="DB28" s="1572">
        <f t="shared" si="213"/>
        <v>0</v>
      </c>
      <c r="DC28" s="1572">
        <f t="shared" si="213"/>
        <v>0</v>
      </c>
      <c r="DD28" s="1572">
        <f t="shared" si="213"/>
        <v>0</v>
      </c>
      <c r="DE28" s="1572">
        <f t="shared" si="213"/>
        <v>0</v>
      </c>
      <c r="DF28" s="1572">
        <f t="shared" si="213"/>
        <v>0</v>
      </c>
      <c r="DG28" s="1572">
        <f t="shared" si="213"/>
        <v>0</v>
      </c>
      <c r="DH28" s="1572">
        <f t="shared" si="213"/>
        <v>0</v>
      </c>
      <c r="DI28" s="1572">
        <f t="shared" si="213"/>
        <v>0</v>
      </c>
      <c r="DJ28" s="1572">
        <f t="shared" si="213"/>
        <v>0</v>
      </c>
      <c r="DK28" s="1572">
        <f t="shared" si="213"/>
        <v>0</v>
      </c>
      <c r="DL28" s="1572">
        <f t="shared" si="213"/>
        <v>0</v>
      </c>
      <c r="DM28" s="1572">
        <f t="shared" si="213"/>
        <v>0</v>
      </c>
      <c r="DN28" s="1572">
        <f t="shared" si="213"/>
        <v>0</v>
      </c>
      <c r="DO28" s="1572">
        <f t="shared" si="213"/>
        <v>0</v>
      </c>
      <c r="DP28" s="1572">
        <f t="shared" si="213"/>
        <v>0</v>
      </c>
      <c r="DQ28" s="1572">
        <f t="shared" si="213"/>
        <v>0</v>
      </c>
      <c r="DR28" s="1572">
        <f t="shared" si="213"/>
        <v>0</v>
      </c>
      <c r="DS28" s="1572">
        <f t="shared" si="213"/>
        <v>0</v>
      </c>
      <c r="DT28" s="1572">
        <f t="shared" si="213"/>
        <v>0</v>
      </c>
      <c r="DU28" s="1572">
        <f t="shared" si="213"/>
        <v>0</v>
      </c>
      <c r="DV28" s="1572">
        <f t="shared" si="213"/>
        <v>0</v>
      </c>
      <c r="DW28" s="1572">
        <f t="shared" si="213"/>
        <v>0</v>
      </c>
      <c r="DX28" s="1572">
        <f t="shared" si="213"/>
        <v>0</v>
      </c>
      <c r="DY28" s="1572"/>
      <c r="DZ28" s="1572"/>
      <c r="EA28" s="1572"/>
      <c r="EB28" s="1572"/>
      <c r="EC28" s="1572"/>
      <c r="ED28" s="1572">
        <f>BT28*$H28</f>
        <v>0</v>
      </c>
      <c r="EE28" s="79"/>
      <c r="EF28" s="1572">
        <f t="shared" ref="EF28:EZ28" ca="1" si="214">BV28*$I28</f>
        <v>0</v>
      </c>
      <c r="EG28" s="1572">
        <f t="shared" ca="1" si="214"/>
        <v>0</v>
      </c>
      <c r="EH28" s="1572">
        <f t="shared" ca="1" si="214"/>
        <v>0</v>
      </c>
      <c r="EI28" s="1572">
        <f t="shared" ca="1" si="214"/>
        <v>0</v>
      </c>
      <c r="EJ28" s="1572">
        <f t="shared" ca="1" si="214"/>
        <v>0</v>
      </c>
      <c r="EK28" s="1572">
        <f t="shared" ca="1" si="214"/>
        <v>0</v>
      </c>
      <c r="EL28" s="1572">
        <f t="shared" ca="1" si="214"/>
        <v>0</v>
      </c>
      <c r="EM28" s="1572">
        <f t="shared" ca="1" si="214"/>
        <v>0</v>
      </c>
      <c r="EN28" s="1572">
        <f t="shared" ca="1" si="214"/>
        <v>0</v>
      </c>
      <c r="EO28" s="1572">
        <f t="shared" ca="1" si="214"/>
        <v>0</v>
      </c>
      <c r="EP28" s="1572">
        <f t="shared" ca="1" si="214"/>
        <v>104789.81174999999</v>
      </c>
      <c r="EQ28" s="1572">
        <f t="shared" ca="1" si="214"/>
        <v>0</v>
      </c>
      <c r="ER28" s="1572">
        <f t="shared" ca="1" si="214"/>
        <v>0</v>
      </c>
      <c r="ES28" s="1572">
        <f t="shared" ca="1" si="214"/>
        <v>0</v>
      </c>
      <c r="ET28" s="1572">
        <f t="shared" ca="1" si="214"/>
        <v>0</v>
      </c>
      <c r="EU28" s="1572">
        <f t="shared" ca="1" si="214"/>
        <v>0</v>
      </c>
      <c r="EV28" s="1572">
        <f t="shared" ca="1" si="214"/>
        <v>0</v>
      </c>
      <c r="EW28" s="1572">
        <f t="shared" ca="1" si="214"/>
        <v>0</v>
      </c>
      <c r="EX28" s="1572">
        <f t="shared" ca="1" si="214"/>
        <v>0</v>
      </c>
      <c r="EY28" s="1572">
        <f t="shared" ca="1" si="214"/>
        <v>0</v>
      </c>
      <c r="EZ28" s="1572">
        <f t="shared" ca="1" si="214"/>
        <v>104789.81174999999</v>
      </c>
      <c r="FA28" s="1572">
        <f t="shared" ref="FA28" ca="1" si="215">CQ28*$I28</f>
        <v>0</v>
      </c>
      <c r="FB28" s="1572">
        <f t="shared" ref="FB28" ca="1" si="216">CR28*$I28</f>
        <v>0</v>
      </c>
      <c r="FC28" s="1572">
        <f t="shared" ref="FC28" ca="1" si="217">CS28*$I28</f>
        <v>0</v>
      </c>
      <c r="FD28" s="1572">
        <f t="shared" ref="FD28" ca="1" si="218">CT28*$I28</f>
        <v>0</v>
      </c>
      <c r="FE28" s="1572">
        <f t="shared" ref="FE28" ca="1" si="219">CU28*$I28</f>
        <v>0</v>
      </c>
      <c r="FF28" s="1572">
        <f t="shared" ref="FF28" ca="1" si="220">CV28*$I28</f>
        <v>0</v>
      </c>
      <c r="FG28" s="1572">
        <f t="shared" ref="FG28" ca="1" si="221">CW28*$I28</f>
        <v>0</v>
      </c>
      <c r="FH28" s="1572">
        <f t="shared" ref="FH28" ca="1" si="222">CX28*$I28</f>
        <v>0</v>
      </c>
      <c r="FI28" s="1572">
        <f t="shared" ref="FI28" ca="1" si="223">CY28*$I28</f>
        <v>0</v>
      </c>
    </row>
    <row r="29" spans="1:165">
      <c r="A29" s="595"/>
      <c r="B29" s="598"/>
      <c r="C29" s="599"/>
      <c r="F29" s="862"/>
      <c r="G29" s="399"/>
      <c r="H29" s="83"/>
      <c r="I29" s="83"/>
      <c r="J29" s="867"/>
      <c r="K29" s="97"/>
      <c r="L29" s="863"/>
      <c r="M29" s="863"/>
      <c r="N29" s="863"/>
      <c r="O29" s="863"/>
      <c r="P29" s="863"/>
      <c r="Q29" s="863"/>
      <c r="R29" s="863"/>
      <c r="S29" s="863"/>
      <c r="T29" s="863"/>
      <c r="U29" s="863"/>
      <c r="V29" s="863"/>
      <c r="W29" s="863"/>
      <c r="X29" s="863"/>
      <c r="Y29" s="863"/>
      <c r="Z29" s="863"/>
      <c r="AA29" s="863"/>
      <c r="AB29" s="863"/>
      <c r="AC29" s="863"/>
      <c r="AD29" s="863"/>
      <c r="AE29" s="863"/>
      <c r="AF29" s="863"/>
      <c r="AG29" s="863"/>
      <c r="AH29" s="863"/>
      <c r="AI29" s="863"/>
      <c r="AJ29" s="863"/>
      <c r="AK29" s="863"/>
      <c r="AL29" s="863"/>
      <c r="AM29" s="863"/>
      <c r="AN29" s="863"/>
      <c r="AO29" s="863"/>
      <c r="AP29" s="81"/>
      <c r="AQ29" s="863"/>
      <c r="AR29" s="863"/>
      <c r="AS29" s="863"/>
      <c r="AT29" s="863"/>
      <c r="AU29" s="863"/>
      <c r="AV29" s="863"/>
      <c r="AW29" s="863"/>
      <c r="AX29" s="863"/>
      <c r="AY29" s="863"/>
      <c r="AZ29" s="863"/>
      <c r="BA29" s="863"/>
      <c r="BB29" s="863"/>
      <c r="BC29" s="863"/>
      <c r="BD29" s="863"/>
      <c r="BE29" s="863"/>
      <c r="BF29" s="863"/>
      <c r="BG29" s="863"/>
      <c r="BH29" s="863"/>
      <c r="BI29" s="863"/>
      <c r="BJ29" s="863"/>
      <c r="BK29" s="863"/>
      <c r="BL29" s="863"/>
      <c r="BM29" s="863"/>
      <c r="BN29" s="863"/>
      <c r="BO29" s="863"/>
      <c r="BP29" s="863"/>
      <c r="BQ29" s="863"/>
      <c r="BR29" s="863"/>
      <c r="BS29" s="863"/>
      <c r="BT29" s="863"/>
      <c r="BU29" s="81"/>
      <c r="BV29" s="863"/>
      <c r="BW29" s="863"/>
      <c r="BX29" s="863"/>
      <c r="BY29" s="863"/>
      <c r="BZ29" s="863"/>
      <c r="CA29" s="863"/>
      <c r="CB29" s="863"/>
      <c r="CC29" s="863"/>
      <c r="CD29" s="863"/>
      <c r="CE29" s="863"/>
      <c r="CF29" s="863"/>
      <c r="CG29" s="863"/>
      <c r="CH29" s="863"/>
      <c r="CI29" s="863"/>
      <c r="CJ29" s="863"/>
      <c r="CK29" s="863"/>
      <c r="CL29" s="863"/>
      <c r="CM29" s="863"/>
      <c r="CN29" s="863"/>
      <c r="CO29" s="863"/>
      <c r="CP29" s="863"/>
      <c r="CQ29" s="863"/>
      <c r="CR29" s="863"/>
      <c r="CS29" s="863"/>
      <c r="CT29" s="863"/>
      <c r="CU29" s="863"/>
      <c r="CV29" s="863"/>
      <c r="CW29" s="863"/>
      <c r="CX29" s="863"/>
      <c r="CY29" s="863"/>
      <c r="CZ29" s="82"/>
      <c r="DA29" s="865"/>
      <c r="DB29" s="865"/>
      <c r="DC29" s="865"/>
      <c r="DD29" s="865"/>
      <c r="DE29" s="865"/>
      <c r="DF29" s="865"/>
      <c r="DG29" s="865"/>
      <c r="DH29" s="865"/>
      <c r="DI29" s="865"/>
      <c r="DJ29" s="865"/>
      <c r="DK29" s="865"/>
      <c r="DL29" s="865"/>
      <c r="DM29" s="865"/>
      <c r="DN29" s="865"/>
      <c r="DO29" s="865"/>
      <c r="DP29" s="865"/>
      <c r="DQ29" s="865"/>
      <c r="DR29" s="865"/>
      <c r="DS29" s="865"/>
      <c r="DT29" s="865"/>
      <c r="DU29" s="865"/>
      <c r="DV29" s="865"/>
      <c r="DW29" s="865"/>
      <c r="DX29" s="865"/>
      <c r="DY29" s="865"/>
      <c r="DZ29" s="865"/>
      <c r="EA29" s="865"/>
      <c r="EB29" s="865"/>
      <c r="EC29" s="865"/>
      <c r="ED29" s="865"/>
      <c r="EE29" s="79"/>
      <c r="EF29" s="865"/>
      <c r="EG29" s="865"/>
      <c r="EH29" s="865"/>
      <c r="EI29" s="865"/>
      <c r="EJ29" s="865"/>
      <c r="EK29" s="865"/>
      <c r="EL29" s="865"/>
      <c r="EM29" s="865"/>
      <c r="EN29" s="865"/>
      <c r="EO29" s="865"/>
      <c r="EP29" s="865"/>
      <c r="EQ29" s="865"/>
      <c r="ER29" s="865"/>
      <c r="ES29" s="865"/>
      <c r="ET29" s="865"/>
      <c r="EU29" s="865"/>
      <c r="EV29" s="865"/>
      <c r="EW29" s="865"/>
      <c r="EX29" s="865"/>
      <c r="EY29" s="865"/>
      <c r="EZ29" s="865"/>
      <c r="FA29" s="865"/>
      <c r="FB29" s="865"/>
      <c r="FC29" s="865"/>
      <c r="FD29" s="865"/>
      <c r="FE29" s="865"/>
      <c r="FF29" s="865"/>
      <c r="FG29" s="865"/>
      <c r="FH29" s="865"/>
      <c r="FI29" s="865"/>
    </row>
    <row r="30" spans="1:165">
      <c r="A30" s="595"/>
      <c r="B30" s="598"/>
      <c r="C30" s="599"/>
      <c r="F30" s="1585"/>
      <c r="G30" s="397"/>
      <c r="H30" s="396"/>
      <c r="I30" s="396"/>
      <c r="J30" s="1471"/>
      <c r="K30" s="97"/>
      <c r="L30" s="863"/>
      <c r="M30" s="863"/>
      <c r="N30" s="863"/>
      <c r="O30" s="863"/>
      <c r="P30" s="863"/>
      <c r="Q30" s="863"/>
      <c r="R30" s="863"/>
      <c r="S30" s="863"/>
      <c r="T30" s="863"/>
      <c r="U30" s="863"/>
      <c r="V30" s="863"/>
      <c r="W30" s="863"/>
      <c r="X30" s="863"/>
      <c r="Y30" s="863"/>
      <c r="Z30" s="863"/>
      <c r="AA30" s="863"/>
      <c r="AB30" s="863"/>
      <c r="AC30" s="863"/>
      <c r="AD30" s="863"/>
      <c r="AE30" s="863"/>
      <c r="AF30" s="863"/>
      <c r="AG30" s="863"/>
      <c r="AH30" s="863"/>
      <c r="AI30" s="863"/>
      <c r="AJ30" s="863"/>
      <c r="AK30" s="863"/>
      <c r="AL30" s="863"/>
      <c r="AM30" s="863"/>
      <c r="AN30" s="863"/>
      <c r="AO30" s="863"/>
      <c r="AP30" s="81"/>
      <c r="AQ30" s="863"/>
      <c r="AR30" s="863"/>
      <c r="AS30" s="863"/>
      <c r="AT30" s="863"/>
      <c r="AU30" s="863"/>
      <c r="AV30" s="863"/>
      <c r="AW30" s="863"/>
      <c r="AX30" s="863"/>
      <c r="AY30" s="863"/>
      <c r="AZ30" s="863"/>
      <c r="BA30" s="863"/>
      <c r="BB30" s="863"/>
      <c r="BC30" s="863"/>
      <c r="BD30" s="863"/>
      <c r="BE30" s="863"/>
      <c r="BF30" s="863"/>
      <c r="BG30" s="863"/>
      <c r="BH30" s="863"/>
      <c r="BI30" s="863"/>
      <c r="BJ30" s="863"/>
      <c r="BK30" s="863"/>
      <c r="BL30" s="863"/>
      <c r="BM30" s="863"/>
      <c r="BN30" s="863"/>
      <c r="BO30" s="863"/>
      <c r="BP30" s="863"/>
      <c r="BQ30" s="863"/>
      <c r="BR30" s="863"/>
      <c r="BS30" s="863"/>
      <c r="BT30" s="863"/>
      <c r="BU30" s="81"/>
      <c r="BV30" s="863"/>
      <c r="BW30" s="863"/>
      <c r="BX30" s="863"/>
      <c r="BY30" s="863"/>
      <c r="BZ30" s="863"/>
      <c r="CA30" s="863"/>
      <c r="CB30" s="863"/>
      <c r="CC30" s="863"/>
      <c r="CD30" s="863"/>
      <c r="CE30" s="863"/>
      <c r="CF30" s="863"/>
      <c r="CG30" s="863"/>
      <c r="CH30" s="863"/>
      <c r="CI30" s="863"/>
      <c r="CJ30" s="863"/>
      <c r="CK30" s="863"/>
      <c r="CL30" s="863"/>
      <c r="CM30" s="863"/>
      <c r="CN30" s="863"/>
      <c r="CO30" s="863"/>
      <c r="CP30" s="863"/>
      <c r="CQ30" s="863"/>
      <c r="CR30" s="863"/>
      <c r="CS30" s="863"/>
      <c r="CT30" s="863"/>
      <c r="CU30" s="863"/>
      <c r="CV30" s="863"/>
      <c r="CW30" s="863"/>
      <c r="CX30" s="863"/>
      <c r="CY30" s="863"/>
      <c r="CZ30" s="82"/>
      <c r="DA30" s="865"/>
      <c r="DB30" s="865"/>
      <c r="DC30" s="865"/>
      <c r="DD30" s="865"/>
      <c r="DE30" s="865"/>
      <c r="DF30" s="865"/>
      <c r="DG30" s="865"/>
      <c r="DH30" s="865"/>
      <c r="DI30" s="865"/>
      <c r="DJ30" s="865"/>
      <c r="DK30" s="865"/>
      <c r="DL30" s="865"/>
      <c r="DM30" s="865"/>
      <c r="DN30" s="865"/>
      <c r="DO30" s="865"/>
      <c r="DP30" s="865"/>
      <c r="DQ30" s="865"/>
      <c r="DR30" s="865"/>
      <c r="DS30" s="865"/>
      <c r="DT30" s="865"/>
      <c r="DU30" s="865"/>
      <c r="DV30" s="865"/>
      <c r="DW30" s="865"/>
      <c r="DX30" s="865"/>
      <c r="DY30" s="865"/>
      <c r="DZ30" s="865"/>
      <c r="EA30" s="865"/>
      <c r="EB30" s="865"/>
      <c r="EC30" s="865"/>
      <c r="ED30" s="865"/>
      <c r="EE30" s="79"/>
      <c r="EF30" s="865"/>
      <c r="EG30" s="865"/>
      <c r="EH30" s="865"/>
      <c r="EI30" s="865"/>
      <c r="EJ30" s="865"/>
      <c r="EK30" s="865"/>
      <c r="EL30" s="865"/>
      <c r="EM30" s="865"/>
      <c r="EN30" s="865"/>
      <c r="EO30" s="865"/>
      <c r="EP30" s="865"/>
      <c r="EQ30" s="865"/>
      <c r="ER30" s="865"/>
      <c r="ES30" s="865"/>
      <c r="ET30" s="865"/>
      <c r="EU30" s="865"/>
      <c r="EV30" s="865"/>
      <c r="EW30" s="865"/>
      <c r="EX30" s="865"/>
      <c r="EY30" s="865"/>
      <c r="EZ30" s="865"/>
      <c r="FA30" s="865"/>
      <c r="FB30" s="865"/>
      <c r="FC30" s="865"/>
      <c r="FD30" s="865"/>
      <c r="FE30" s="865"/>
      <c r="FF30" s="865"/>
      <c r="FG30" s="865"/>
      <c r="FH30" s="865"/>
      <c r="FI30" s="865"/>
    </row>
    <row r="31" spans="1:165">
      <c r="A31" s="595"/>
      <c r="B31" s="598"/>
      <c r="C31" s="599"/>
      <c r="F31" s="1586"/>
      <c r="G31" s="1568"/>
      <c r="H31" s="83"/>
      <c r="I31" s="83"/>
      <c r="J31" s="867"/>
      <c r="K31" s="97"/>
      <c r="L31" s="1587"/>
      <c r="M31" s="1587"/>
      <c r="N31" s="1587"/>
      <c r="O31" s="1587"/>
      <c r="P31" s="1587"/>
      <c r="Q31" s="1587"/>
      <c r="R31" s="1587"/>
      <c r="S31" s="1587"/>
      <c r="T31" s="1587"/>
      <c r="U31" s="1587"/>
      <c r="V31" s="1587"/>
      <c r="W31" s="1587"/>
      <c r="X31" s="1587"/>
      <c r="Y31" s="1587"/>
      <c r="Z31" s="1587"/>
      <c r="AA31" s="1587"/>
      <c r="AB31" s="1587"/>
      <c r="AC31" s="1587"/>
      <c r="AD31" s="1587"/>
      <c r="AE31" s="1587"/>
      <c r="AF31" s="1587"/>
      <c r="AG31" s="1587"/>
      <c r="AH31" s="1587"/>
      <c r="AI31" s="1587"/>
      <c r="AJ31" s="1587"/>
      <c r="AK31" s="1587"/>
      <c r="AL31" s="1587"/>
      <c r="AM31" s="1587"/>
      <c r="AN31" s="1587"/>
      <c r="AO31" s="1587"/>
      <c r="AP31" s="81"/>
      <c r="AQ31" s="1587"/>
      <c r="AR31" s="863">
        <f t="shared" ref="AR31" si="224">IF(M31&gt;L31,M31-L31,0)</f>
        <v>0</v>
      </c>
      <c r="AS31" s="863">
        <f t="shared" ref="AS31" si="225">IF(N31&gt;M31,N31-M31,0)</f>
        <v>0</v>
      </c>
      <c r="AT31" s="863">
        <f t="shared" ref="AT31" si="226">IF(O31&gt;N31,O31-N31,0)</f>
        <v>0</v>
      </c>
      <c r="AU31" s="863">
        <f t="shared" ref="AU31" si="227">IF(P31&gt;O31,P31-O31,0)</f>
        <v>0</v>
      </c>
      <c r="AV31" s="863">
        <f t="shared" ref="AV31" si="228">IF(Q31&gt;P31,Q31-P31,0)</f>
        <v>0</v>
      </c>
      <c r="AW31" s="863">
        <f t="shared" ref="AW31" si="229">IF(R31&gt;Q31,R31-Q31,0)</f>
        <v>0</v>
      </c>
      <c r="AX31" s="863">
        <f t="shared" ref="AX31" si="230">IF(S31&gt;R31,S31-R31,0)</f>
        <v>0</v>
      </c>
      <c r="AY31" s="863">
        <f t="shared" ref="AY31" si="231">IF(T31&gt;S31,T31-S31,0)</f>
        <v>0</v>
      </c>
      <c r="AZ31" s="863">
        <f t="shared" ref="AZ31" si="232">IF(U31&gt;T31,U31-T31,0)</f>
        <v>0</v>
      </c>
      <c r="BA31" s="863">
        <f t="shared" ref="BA31" si="233">IF(V31&gt;U31,V31-U31,0)</f>
        <v>0</v>
      </c>
      <c r="BB31" s="863">
        <f t="shared" ref="BB31" si="234">IF(W31&gt;V31,W31-V31,0)</f>
        <v>0</v>
      </c>
      <c r="BC31" s="863">
        <f t="shared" ref="BC31" si="235">IF(X31&gt;W31,X31-W31,0)</f>
        <v>0</v>
      </c>
      <c r="BD31" s="863">
        <f t="shared" ref="BD31" si="236">IF(Y31&gt;X31,Y31-X31,0)</f>
        <v>0</v>
      </c>
      <c r="BE31" s="863">
        <f t="shared" ref="BE31" si="237">IF(Z31&gt;Y31,Z31-Y31,0)</f>
        <v>0</v>
      </c>
      <c r="BF31" s="863">
        <f t="shared" ref="BF31" si="238">IF(AA31&gt;Z31,AA31-Z31,0)</f>
        <v>0</v>
      </c>
      <c r="BG31" s="863">
        <f t="shared" ref="BG31" si="239">IF(AB31&gt;AA31,AB31-AA31,0)</f>
        <v>0</v>
      </c>
      <c r="BH31" s="863">
        <f t="shared" ref="BH31" si="240">IF(AC31&gt;AB31,AC31-AB31,0)</f>
        <v>0</v>
      </c>
      <c r="BI31" s="863">
        <f t="shared" ref="BI31" si="241">IF(AD31&gt;AC31,AD31-AC31,0)</f>
        <v>0</v>
      </c>
      <c r="BJ31" s="863">
        <f t="shared" ref="BJ31" si="242">IF(AE31&gt;AD31,AE31-AD31,0)</f>
        <v>0</v>
      </c>
      <c r="BK31" s="863">
        <f t="shared" ref="BK31" si="243">IF(AF31&gt;AE31,AF31-AE31,0)</f>
        <v>0</v>
      </c>
      <c r="BL31" s="863">
        <f t="shared" ref="BL31" si="244">IF(AG31&gt;AF31,AG31-AF31,0)</f>
        <v>0</v>
      </c>
      <c r="BM31" s="863">
        <f t="shared" ref="BM31" si="245">IF(AH31&gt;AG31,AH31-AG31,0)</f>
        <v>0</v>
      </c>
      <c r="BN31" s="863">
        <f t="shared" ref="BN31" si="246">IF(AI31&gt;AH31,AI31-AH31,0)</f>
        <v>0</v>
      </c>
      <c r="BO31" s="863"/>
      <c r="BP31" s="863"/>
      <c r="BQ31" s="863"/>
      <c r="BR31" s="863"/>
      <c r="BS31" s="863"/>
      <c r="BT31" s="863">
        <f>IF(AO31&gt;AI31,AO31-AI31,0)</f>
        <v>0</v>
      </c>
      <c r="BU31" s="81"/>
      <c r="BV31" s="863"/>
      <c r="BW31" s="863"/>
      <c r="BX31" s="863"/>
      <c r="BY31" s="863"/>
      <c r="BZ31" s="863"/>
      <c r="CA31" s="863"/>
      <c r="CB31" s="863"/>
      <c r="CC31" s="863"/>
      <c r="CD31" s="863"/>
      <c r="CE31" s="863"/>
      <c r="CF31" s="863"/>
      <c r="CG31" s="863"/>
      <c r="CH31" s="863"/>
      <c r="CI31" s="863"/>
      <c r="CJ31" s="863"/>
      <c r="CK31" s="863"/>
      <c r="CL31" s="863"/>
      <c r="CM31" s="863"/>
      <c r="CN31" s="863"/>
      <c r="CO31" s="863"/>
      <c r="CP31" s="863"/>
      <c r="CQ31" s="863"/>
      <c r="CR31" s="863"/>
      <c r="CS31" s="863"/>
      <c r="CT31" s="863"/>
      <c r="CU31" s="863"/>
      <c r="CV31" s="863"/>
      <c r="CW31" s="863"/>
      <c r="CX31" s="863"/>
      <c r="CY31" s="863"/>
      <c r="CZ31" s="82"/>
      <c r="DA31" s="865">
        <f t="shared" ref="DA31" si="247">AQ31*$H31</f>
        <v>0</v>
      </c>
      <c r="DB31" s="865">
        <f t="shared" ref="DB31" si="248">AR31*$H31</f>
        <v>0</v>
      </c>
      <c r="DC31" s="865">
        <f t="shared" ref="DC31" si="249">AS31*$H31</f>
        <v>0</v>
      </c>
      <c r="DD31" s="865">
        <f t="shared" ref="DD31" si="250">AT31*$H31</f>
        <v>0</v>
      </c>
      <c r="DE31" s="865">
        <f t="shared" ref="DE31" si="251">AU31*$H31</f>
        <v>0</v>
      </c>
      <c r="DF31" s="865">
        <f t="shared" ref="DF31" si="252">AV31*$H31</f>
        <v>0</v>
      </c>
      <c r="DG31" s="865">
        <f t="shared" ref="DG31" si="253">AW31*$H31</f>
        <v>0</v>
      </c>
      <c r="DH31" s="865">
        <f t="shared" ref="DH31" si="254">AX31*$H31</f>
        <v>0</v>
      </c>
      <c r="DI31" s="865">
        <f t="shared" ref="DI31" si="255">AY31*$H31</f>
        <v>0</v>
      </c>
      <c r="DJ31" s="865">
        <f t="shared" ref="DJ31" si="256">AZ31*$H31</f>
        <v>0</v>
      </c>
      <c r="DK31" s="865">
        <f t="shared" ref="DK31" si="257">BA31*$H31</f>
        <v>0</v>
      </c>
      <c r="DL31" s="865">
        <f t="shared" ref="DL31" si="258">BB31*$H31</f>
        <v>0</v>
      </c>
      <c r="DM31" s="865">
        <f t="shared" ref="DM31" si="259">BC31*$H31</f>
        <v>0</v>
      </c>
      <c r="DN31" s="865">
        <f t="shared" ref="DN31" si="260">BD31*$H31</f>
        <v>0</v>
      </c>
      <c r="DO31" s="865">
        <f t="shared" ref="DO31" si="261">BE31*$H31</f>
        <v>0</v>
      </c>
      <c r="DP31" s="865">
        <f t="shared" ref="DP31" si="262">BF31*$H31</f>
        <v>0</v>
      </c>
      <c r="DQ31" s="865">
        <f t="shared" ref="DQ31" si="263">BG31*$H31</f>
        <v>0</v>
      </c>
      <c r="DR31" s="865">
        <f t="shared" ref="DR31" si="264">BH31*$H31</f>
        <v>0</v>
      </c>
      <c r="DS31" s="865">
        <f t="shared" ref="DS31" si="265">BI31*$H31</f>
        <v>0</v>
      </c>
      <c r="DT31" s="865">
        <f t="shared" ref="DT31" si="266">BJ31*$H31</f>
        <v>0</v>
      </c>
      <c r="DU31" s="865">
        <f t="shared" ref="DU31" si="267">BK31*$H31</f>
        <v>0</v>
      </c>
      <c r="DV31" s="865">
        <f t="shared" ref="DV31" si="268">BL31*$H31</f>
        <v>0</v>
      </c>
      <c r="DW31" s="865">
        <f t="shared" ref="DW31" si="269">BM31*$H31</f>
        <v>0</v>
      </c>
      <c r="DX31" s="865">
        <f t="shared" ref="DX31" si="270">BN31*$H31</f>
        <v>0</v>
      </c>
      <c r="DY31" s="865"/>
      <c r="DZ31" s="865"/>
      <c r="EA31" s="865"/>
      <c r="EB31" s="865"/>
      <c r="EC31" s="865"/>
      <c r="ED31" s="865">
        <f>BT31*$H31</f>
        <v>0</v>
      </c>
      <c r="EE31" s="79"/>
      <c r="EF31" s="865">
        <f t="shared" ref="EF31" si="271">BV31*$I31</f>
        <v>0</v>
      </c>
      <c r="EG31" s="865">
        <f t="shared" ref="EG31" si="272">BW31*$I31</f>
        <v>0</v>
      </c>
      <c r="EH31" s="865">
        <f t="shared" ref="EH31" si="273">BX31*$I31</f>
        <v>0</v>
      </c>
      <c r="EI31" s="865">
        <f t="shared" ref="EI31" si="274">BY31*$I31</f>
        <v>0</v>
      </c>
      <c r="EJ31" s="865">
        <f t="shared" ref="EJ31" si="275">BZ31*$I31</f>
        <v>0</v>
      </c>
      <c r="EK31" s="865">
        <f t="shared" ref="EK31" si="276">CA31*$I31</f>
        <v>0</v>
      </c>
      <c r="EL31" s="865">
        <f t="shared" ref="EL31" si="277">CB31*$I31</f>
        <v>0</v>
      </c>
      <c r="EM31" s="865">
        <f t="shared" ref="EM31" si="278">CC31*$I31</f>
        <v>0</v>
      </c>
      <c r="EN31" s="865">
        <f t="shared" ref="EN31" si="279">CD31*$I31</f>
        <v>0</v>
      </c>
      <c r="EO31" s="865">
        <f t="shared" ref="EO31" si="280">CE31*$I31</f>
        <v>0</v>
      </c>
      <c r="EP31" s="865">
        <f t="shared" ref="EP31" si="281">CF31*$I31</f>
        <v>0</v>
      </c>
      <c r="EQ31" s="865">
        <f t="shared" ref="EQ31" si="282">CG31*$I31</f>
        <v>0</v>
      </c>
      <c r="ER31" s="865">
        <f t="shared" ref="ER31" si="283">CH31*$I31</f>
        <v>0</v>
      </c>
      <c r="ES31" s="865">
        <f t="shared" ref="ES31" si="284">CI31*$I31</f>
        <v>0</v>
      </c>
      <c r="ET31" s="865">
        <f t="shared" ref="ET31" si="285">CJ31*$I31</f>
        <v>0</v>
      </c>
      <c r="EU31" s="865">
        <f t="shared" ref="EU31" si="286">CK31*$I31</f>
        <v>0</v>
      </c>
      <c r="EV31" s="865">
        <f t="shared" ref="EV31" si="287">CL31*$I31</f>
        <v>0</v>
      </c>
      <c r="EW31" s="865">
        <f t="shared" ref="EW31" si="288">CM31*$I31</f>
        <v>0</v>
      </c>
      <c r="EX31" s="865">
        <f t="shared" ref="EX31" si="289">CN31*$I31</f>
        <v>0</v>
      </c>
      <c r="EY31" s="865">
        <f t="shared" ref="EY31" si="290">CO31*$I31</f>
        <v>0</v>
      </c>
      <c r="EZ31" s="865">
        <f t="shared" ref="EZ31" si="291">CP31*$I31</f>
        <v>0</v>
      </c>
      <c r="FA31" s="865">
        <f t="shared" ref="FA31" si="292">CQ31*$I31</f>
        <v>0</v>
      </c>
      <c r="FB31" s="865">
        <f t="shared" ref="FB31" si="293">CR31*$I31</f>
        <v>0</v>
      </c>
      <c r="FC31" s="865">
        <f t="shared" ref="FC31" si="294">CS31*$I31</f>
        <v>0</v>
      </c>
      <c r="FD31" s="865">
        <f t="shared" ref="FD31" si="295">CT31*$I31</f>
        <v>0</v>
      </c>
      <c r="FE31" s="865">
        <f t="shared" ref="FE31" si="296">CU31*$I31</f>
        <v>0</v>
      </c>
      <c r="FF31" s="865">
        <f t="shared" ref="FF31" si="297">CV31*$I31</f>
        <v>0</v>
      </c>
      <c r="FG31" s="865">
        <f t="shared" ref="FG31" si="298">CW31*$I31</f>
        <v>0</v>
      </c>
      <c r="FH31" s="865">
        <f t="shared" ref="FH31" si="299">CX31*$I31</f>
        <v>0</v>
      </c>
      <c r="FI31" s="865">
        <f t="shared" ref="FI31" si="300">CY31*$I31</f>
        <v>0</v>
      </c>
    </row>
    <row r="32" spans="1:165">
      <c r="A32" s="595"/>
      <c r="B32" s="598"/>
      <c r="C32" s="599"/>
      <c r="D32" s="68" t="s">
        <v>1723</v>
      </c>
      <c r="E32" s="68" t="str">
        <f>LEFT(D32,LEN(D32)-1) &amp; RIGHT(D32,1)+1</f>
        <v>8.6.2</v>
      </c>
      <c r="F32" s="1564" t="s">
        <v>1638</v>
      </c>
      <c r="G32" s="733" t="s">
        <v>1717</v>
      </c>
      <c r="H32" s="734">
        <f ca="1">SUM(DA32:ED32)</f>
        <v>0</v>
      </c>
      <c r="I32" s="734">
        <f ca="1">SUM(EF32:FI32)</f>
        <v>0</v>
      </c>
      <c r="J32" s="1577"/>
      <c r="K32" s="98"/>
      <c r="L32" s="1588"/>
      <c r="M32" s="1588"/>
      <c r="N32" s="1588"/>
      <c r="O32" s="1588"/>
      <c r="P32" s="1588"/>
      <c r="Q32" s="1588"/>
      <c r="R32" s="1588"/>
      <c r="S32" s="1588"/>
      <c r="T32" s="1588"/>
      <c r="U32" s="1588"/>
      <c r="V32" s="1588"/>
      <c r="W32" s="1588"/>
      <c r="X32" s="1588"/>
      <c r="Y32" s="1588"/>
      <c r="Z32" s="1588"/>
      <c r="AA32" s="1588"/>
      <c r="AB32" s="1588"/>
      <c r="AC32" s="1588"/>
      <c r="AD32" s="1588"/>
      <c r="AE32" s="1588"/>
      <c r="AF32" s="1588"/>
      <c r="AG32" s="1588"/>
      <c r="AH32" s="1589"/>
      <c r="AI32" s="1589"/>
      <c r="AJ32" s="1589"/>
      <c r="AK32" s="1589"/>
      <c r="AL32" s="1589"/>
      <c r="AM32" s="1589"/>
      <c r="AN32" s="1589"/>
      <c r="AO32" s="1589"/>
      <c r="AP32" s="392"/>
      <c r="AQ32" s="1590"/>
      <c r="AR32" s="1588"/>
      <c r="AS32" s="1588"/>
      <c r="AT32" s="1588"/>
      <c r="AU32" s="1588"/>
      <c r="AV32" s="1588"/>
      <c r="AW32" s="1588"/>
      <c r="AX32" s="1588"/>
      <c r="AY32" s="1588"/>
      <c r="AZ32" s="1588"/>
      <c r="BA32" s="1588"/>
      <c r="BB32" s="1588"/>
      <c r="BC32" s="1588"/>
      <c r="BD32" s="1588"/>
      <c r="BE32" s="1588"/>
      <c r="BF32" s="1588"/>
      <c r="BG32" s="1588"/>
      <c r="BH32" s="1588"/>
      <c r="BI32" s="1588"/>
      <c r="BJ32" s="1588"/>
      <c r="BK32" s="1588"/>
      <c r="BL32" s="1588"/>
      <c r="BM32" s="1589"/>
      <c r="BN32" s="1589"/>
      <c r="BO32" s="1589"/>
      <c r="BP32" s="1589"/>
      <c r="BQ32" s="1589"/>
      <c r="BR32" s="1589"/>
      <c r="BS32" s="1589"/>
      <c r="BT32" s="1589"/>
      <c r="BU32" s="392"/>
      <c r="BV32" s="1590"/>
      <c r="BW32" s="1588"/>
      <c r="BX32" s="1588"/>
      <c r="BY32" s="1588"/>
      <c r="BZ32" s="1588"/>
      <c r="CA32" s="1588"/>
      <c r="CB32" s="1588"/>
      <c r="CC32" s="1588"/>
      <c r="CD32" s="1588"/>
      <c r="CE32" s="1588"/>
      <c r="CF32" s="1588"/>
      <c r="CG32" s="1588"/>
      <c r="CH32" s="1588"/>
      <c r="CI32" s="1588"/>
      <c r="CJ32" s="1588"/>
      <c r="CK32" s="1588"/>
      <c r="CL32" s="1588"/>
      <c r="CM32" s="1588"/>
      <c r="CN32" s="1588"/>
      <c r="CO32" s="1588"/>
      <c r="CP32" s="1588"/>
      <c r="CQ32" s="1588"/>
      <c r="CR32" s="1589"/>
      <c r="CS32" s="1589"/>
      <c r="CT32" s="1589"/>
      <c r="CU32" s="1589"/>
      <c r="CV32" s="1589"/>
      <c r="CW32" s="1589"/>
      <c r="CX32" s="1589"/>
      <c r="CY32" s="1589"/>
      <c r="CZ32" s="84"/>
      <c r="DA32" s="1591">
        <f ca="1">SUBTOTAL(9,DA33:DA43)</f>
        <v>0</v>
      </c>
      <c r="DB32" s="1591">
        <f t="shared" ref="DB32:ED32" ca="1" si="301">SUBTOTAL(9,DB33:DB43)</f>
        <v>0</v>
      </c>
      <c r="DC32" s="1591">
        <f t="shared" ca="1" si="301"/>
        <v>0</v>
      </c>
      <c r="DD32" s="1591">
        <f t="shared" ca="1" si="301"/>
        <v>0</v>
      </c>
      <c r="DE32" s="1591">
        <f t="shared" ca="1" si="301"/>
        <v>0</v>
      </c>
      <c r="DF32" s="1591">
        <f t="shared" ca="1" si="301"/>
        <v>0</v>
      </c>
      <c r="DG32" s="1591">
        <f t="shared" ca="1" si="301"/>
        <v>0</v>
      </c>
      <c r="DH32" s="1591">
        <f t="shared" ca="1" si="301"/>
        <v>0</v>
      </c>
      <c r="DI32" s="1591">
        <f t="shared" ca="1" si="301"/>
        <v>0</v>
      </c>
      <c r="DJ32" s="1591">
        <f t="shared" ca="1" si="301"/>
        <v>0</v>
      </c>
      <c r="DK32" s="1591">
        <f t="shared" ca="1" si="301"/>
        <v>0</v>
      </c>
      <c r="DL32" s="1591">
        <f t="shared" ca="1" si="301"/>
        <v>0</v>
      </c>
      <c r="DM32" s="1591">
        <f t="shared" ca="1" si="301"/>
        <v>0</v>
      </c>
      <c r="DN32" s="1591">
        <f t="shared" ca="1" si="301"/>
        <v>0</v>
      </c>
      <c r="DO32" s="1591">
        <f t="shared" ca="1" si="301"/>
        <v>0</v>
      </c>
      <c r="DP32" s="1591">
        <f t="shared" ca="1" si="301"/>
        <v>0</v>
      </c>
      <c r="DQ32" s="1591">
        <f t="shared" ca="1" si="301"/>
        <v>0</v>
      </c>
      <c r="DR32" s="1591">
        <f t="shared" ca="1" si="301"/>
        <v>0</v>
      </c>
      <c r="DS32" s="1591">
        <f t="shared" ca="1" si="301"/>
        <v>0</v>
      </c>
      <c r="DT32" s="1591">
        <f t="shared" ca="1" si="301"/>
        <v>0</v>
      </c>
      <c r="DU32" s="1591">
        <f t="shared" ca="1" si="301"/>
        <v>0</v>
      </c>
      <c r="DV32" s="1591">
        <f t="shared" ca="1" si="301"/>
        <v>0</v>
      </c>
      <c r="DW32" s="1591">
        <f t="shared" ca="1" si="301"/>
        <v>0</v>
      </c>
      <c r="DX32" s="1591">
        <f t="shared" ca="1" si="301"/>
        <v>0</v>
      </c>
      <c r="DY32" s="1591"/>
      <c r="DZ32" s="1591"/>
      <c r="EA32" s="1591"/>
      <c r="EB32" s="1591"/>
      <c r="EC32" s="1591"/>
      <c r="ED32" s="1591">
        <f t="shared" ca="1" si="301"/>
        <v>0</v>
      </c>
      <c r="EE32" s="79"/>
      <c r="EF32" s="1591">
        <f t="shared" ref="EF32:EZ32" ca="1" si="302">SUBTOTAL(9,EF33:EF43)</f>
        <v>0</v>
      </c>
      <c r="EG32" s="1591">
        <f t="shared" ca="1" si="302"/>
        <v>0</v>
      </c>
      <c r="EH32" s="1591">
        <f t="shared" ca="1" si="302"/>
        <v>0</v>
      </c>
      <c r="EI32" s="1591">
        <f t="shared" ca="1" si="302"/>
        <v>0</v>
      </c>
      <c r="EJ32" s="1591">
        <f t="shared" ca="1" si="302"/>
        <v>0</v>
      </c>
      <c r="EK32" s="1591">
        <f t="shared" ca="1" si="302"/>
        <v>0</v>
      </c>
      <c r="EL32" s="1591">
        <f t="shared" ca="1" si="302"/>
        <v>0</v>
      </c>
      <c r="EM32" s="1591">
        <f t="shared" ca="1" si="302"/>
        <v>0</v>
      </c>
      <c r="EN32" s="1591">
        <f t="shared" ca="1" si="302"/>
        <v>0</v>
      </c>
      <c r="EO32" s="1591">
        <f t="shared" ca="1" si="302"/>
        <v>0</v>
      </c>
      <c r="EP32" s="1591">
        <f t="shared" ca="1" si="302"/>
        <v>0</v>
      </c>
      <c r="EQ32" s="1591">
        <f t="shared" ca="1" si="302"/>
        <v>0</v>
      </c>
      <c r="ER32" s="1591">
        <f t="shared" ca="1" si="302"/>
        <v>0</v>
      </c>
      <c r="ES32" s="1591">
        <f t="shared" ca="1" si="302"/>
        <v>0</v>
      </c>
      <c r="ET32" s="1591">
        <f t="shared" ca="1" si="302"/>
        <v>0</v>
      </c>
      <c r="EU32" s="1591">
        <f t="shared" ca="1" si="302"/>
        <v>0</v>
      </c>
      <c r="EV32" s="1591">
        <f t="shared" ca="1" si="302"/>
        <v>0</v>
      </c>
      <c r="EW32" s="1591">
        <f t="shared" ca="1" si="302"/>
        <v>0</v>
      </c>
      <c r="EX32" s="1591">
        <f t="shared" ca="1" si="302"/>
        <v>0</v>
      </c>
      <c r="EY32" s="1591">
        <f t="shared" ca="1" si="302"/>
        <v>0</v>
      </c>
      <c r="EZ32" s="1591">
        <f t="shared" ca="1" si="302"/>
        <v>0</v>
      </c>
      <c r="FA32" s="1591">
        <f t="shared" ref="FA32:FI32" ca="1" si="303">SUBTOTAL(9,FA33:FA43)</f>
        <v>0</v>
      </c>
      <c r="FB32" s="1591">
        <f t="shared" ca="1" si="303"/>
        <v>0</v>
      </c>
      <c r="FC32" s="1591">
        <f t="shared" ca="1" si="303"/>
        <v>0</v>
      </c>
      <c r="FD32" s="1591">
        <f t="shared" ca="1" si="303"/>
        <v>0</v>
      </c>
      <c r="FE32" s="1591">
        <f t="shared" ca="1" si="303"/>
        <v>0</v>
      </c>
      <c r="FF32" s="1591">
        <f t="shared" ca="1" si="303"/>
        <v>0</v>
      </c>
      <c r="FG32" s="1591">
        <f t="shared" ca="1" si="303"/>
        <v>0</v>
      </c>
      <c r="FH32" s="1591">
        <f t="shared" ca="1" si="303"/>
        <v>0</v>
      </c>
      <c r="FI32" s="1591">
        <f t="shared" ca="1" si="303"/>
        <v>0</v>
      </c>
    </row>
    <row r="33" spans="1:165" ht="12.75" customHeight="1">
      <c r="A33" s="595"/>
      <c r="B33" s="598"/>
      <c r="C33" s="599"/>
      <c r="F33" s="1505"/>
      <c r="G33" s="1568"/>
      <c r="H33" s="1569"/>
      <c r="I33" s="1569"/>
      <c r="J33" s="867"/>
      <c r="K33" s="97"/>
      <c r="L33" s="1479">
        <f ca="1">'Sistemas-Manutenção'!L29</f>
        <v>0</v>
      </c>
      <c r="M33" s="1479">
        <f>'Sistemas-Manutenção'!M29</f>
        <v>0</v>
      </c>
      <c r="N33" s="1479">
        <f>'Sistemas-Manutenção'!N29</f>
        <v>0</v>
      </c>
      <c r="O33" s="1479">
        <f>'Sistemas-Manutenção'!O29</f>
        <v>0</v>
      </c>
      <c r="P33" s="1479">
        <f>'Sistemas-Manutenção'!P29</f>
        <v>0</v>
      </c>
      <c r="Q33" s="1479">
        <f>'Sistemas-Manutenção'!Q29</f>
        <v>0</v>
      </c>
      <c r="R33" s="1479">
        <f>'Sistemas-Manutenção'!R29</f>
        <v>0</v>
      </c>
      <c r="S33" s="1479">
        <f>'Sistemas-Manutenção'!S29</f>
        <v>0</v>
      </c>
      <c r="T33" s="1479">
        <f>'Sistemas-Manutenção'!T29</f>
        <v>0</v>
      </c>
      <c r="U33" s="1479">
        <f>'Sistemas-Manutenção'!U29</f>
        <v>0</v>
      </c>
      <c r="V33" s="1479">
        <f>'Sistemas-Manutenção'!V29</f>
        <v>0</v>
      </c>
      <c r="W33" s="1479">
        <f>'Sistemas-Manutenção'!W29</f>
        <v>0</v>
      </c>
      <c r="X33" s="1479">
        <f>'Sistemas-Manutenção'!X29</f>
        <v>0</v>
      </c>
      <c r="Y33" s="1479">
        <f>'Sistemas-Manutenção'!Y29</f>
        <v>0</v>
      </c>
      <c r="Z33" s="1479">
        <f>'Sistemas-Manutenção'!Z29</f>
        <v>0</v>
      </c>
      <c r="AA33" s="1479">
        <f>'Sistemas-Manutenção'!AA29</f>
        <v>0</v>
      </c>
      <c r="AB33" s="1479">
        <f>'Sistemas-Manutenção'!AB29</f>
        <v>0</v>
      </c>
      <c r="AC33" s="1479">
        <f>'Sistemas-Manutenção'!AC29</f>
        <v>0</v>
      </c>
      <c r="AD33" s="1479">
        <f>'Sistemas-Manutenção'!AD29</f>
        <v>0</v>
      </c>
      <c r="AE33" s="1479">
        <f>'Sistemas-Manutenção'!AE29</f>
        <v>0</v>
      </c>
      <c r="AF33" s="1479">
        <f>'Sistemas-Manutenção'!AF29</f>
        <v>0</v>
      </c>
      <c r="AG33" s="1479">
        <f>'Sistemas-Manutenção'!AG29</f>
        <v>0</v>
      </c>
      <c r="AH33" s="1479">
        <f>'Sistemas-Manutenção'!AH29</f>
        <v>0</v>
      </c>
      <c r="AI33" s="1479">
        <f>'Sistemas-Manutenção'!AI29</f>
        <v>0</v>
      </c>
      <c r="AJ33" s="1479">
        <f>'Sistemas-Manutenção'!AJ29</f>
        <v>0</v>
      </c>
      <c r="AK33" s="1479">
        <f>'Sistemas-Manutenção'!AK29</f>
        <v>0</v>
      </c>
      <c r="AL33" s="1479">
        <f>'Sistemas-Manutenção'!AL29</f>
        <v>0</v>
      </c>
      <c r="AM33" s="1479">
        <f>'Sistemas-Manutenção'!AM29</f>
        <v>0</v>
      </c>
      <c r="AN33" s="1479">
        <f>'Sistemas-Manutenção'!AN29</f>
        <v>0</v>
      </c>
      <c r="AO33" s="1479">
        <f>'Sistemas-Manutenção'!AO29</f>
        <v>0</v>
      </c>
      <c r="AP33" s="77"/>
      <c r="AQ33" s="1479">
        <f t="shared" ref="AQ33:BF42" ca="1" si="304">IF(L33&gt;K33,L33-K33,0)</f>
        <v>0</v>
      </c>
      <c r="AR33" s="1479">
        <f t="shared" ca="1" si="304"/>
        <v>0</v>
      </c>
      <c r="AS33" s="1479">
        <f t="shared" si="304"/>
        <v>0</v>
      </c>
      <c r="AT33" s="1479">
        <f t="shared" si="304"/>
        <v>0</v>
      </c>
      <c r="AU33" s="1479">
        <f t="shared" si="304"/>
        <v>0</v>
      </c>
      <c r="AV33" s="1479">
        <f t="shared" si="304"/>
        <v>0</v>
      </c>
      <c r="AW33" s="1479">
        <f t="shared" si="304"/>
        <v>0</v>
      </c>
      <c r="AX33" s="1479">
        <f t="shared" si="304"/>
        <v>0</v>
      </c>
      <c r="AY33" s="1479">
        <f t="shared" si="304"/>
        <v>0</v>
      </c>
      <c r="AZ33" s="1479">
        <f t="shared" si="304"/>
        <v>0</v>
      </c>
      <c r="BA33" s="1479">
        <f t="shared" si="304"/>
        <v>0</v>
      </c>
      <c r="BB33" s="1479">
        <f t="shared" si="304"/>
        <v>0</v>
      </c>
      <c r="BC33" s="1479">
        <f t="shared" si="304"/>
        <v>0</v>
      </c>
      <c r="BD33" s="1479">
        <f t="shared" si="304"/>
        <v>0</v>
      </c>
      <c r="BE33" s="1479">
        <f t="shared" si="304"/>
        <v>0</v>
      </c>
      <c r="BF33" s="1479">
        <f t="shared" si="304"/>
        <v>0</v>
      </c>
      <c r="BG33" s="1479">
        <f t="shared" ref="BG33:BG42" si="305">IF(AB33&gt;AA33,AB33-AA33,0)</f>
        <v>0</v>
      </c>
      <c r="BH33" s="1479">
        <f t="shared" ref="BH33:BH42" si="306">IF(AC33&gt;AB33,AC33-AB33,0)</f>
        <v>0</v>
      </c>
      <c r="BI33" s="1479">
        <f t="shared" ref="BI33:BI42" si="307">IF(AD33&gt;AC33,AD33-AC33,0)</f>
        <v>0</v>
      </c>
      <c r="BJ33" s="1479">
        <f t="shared" ref="BJ33:BJ42" si="308">IF(AE33&gt;AD33,AE33-AD33,0)</f>
        <v>0</v>
      </c>
      <c r="BK33" s="1479">
        <f t="shared" ref="BK33:BK42" si="309">IF(AF33&gt;AE33,AF33-AE33,0)</f>
        <v>0</v>
      </c>
      <c r="BL33" s="1479">
        <f t="shared" ref="BL33:BL42" si="310">IF(AG33&gt;AF33,AG33-AF33,0)</f>
        <v>0</v>
      </c>
      <c r="BM33" s="1479">
        <f t="shared" ref="BM33:BM42" si="311">IF(AH33&gt;AG33,AH33-AG33,0)</f>
        <v>0</v>
      </c>
      <c r="BN33" s="1479">
        <f t="shared" ref="BN33:BN42" si="312">IF(AI33&gt;AH33,AI33-AH33,0)</f>
        <v>0</v>
      </c>
      <c r="BO33" s="1479"/>
      <c r="BP33" s="1479"/>
      <c r="BQ33" s="1479"/>
      <c r="BR33" s="1479"/>
      <c r="BS33" s="1479"/>
      <c r="BT33" s="1479">
        <f t="shared" ref="BT33:BT42" si="313">IF(AO33&gt;AI33,AO33-AI33,0)</f>
        <v>0</v>
      </c>
      <c r="BU33" s="77"/>
      <c r="BV33" s="1571"/>
      <c r="BW33" s="1571"/>
      <c r="BX33" s="1571"/>
      <c r="BY33" s="1571"/>
      <c r="BZ33" s="1571"/>
      <c r="CA33" s="1571"/>
      <c r="CB33" s="1571"/>
      <c r="CC33" s="1571"/>
      <c r="CD33" s="1571"/>
      <c r="CE33" s="1571"/>
      <c r="CF33" s="1571"/>
      <c r="CG33" s="1571"/>
      <c r="CH33" s="1571"/>
      <c r="CI33" s="1571"/>
      <c r="CJ33" s="1571"/>
      <c r="CK33" s="1571"/>
      <c r="CL33" s="1571"/>
      <c r="CM33" s="1571"/>
      <c r="CN33" s="1571"/>
      <c r="CO33" s="1571"/>
      <c r="CP33" s="1571"/>
      <c r="CQ33" s="1571"/>
      <c r="CR33" s="1571"/>
      <c r="CS33" s="1571"/>
      <c r="CT33" s="1571"/>
      <c r="CU33" s="1571"/>
      <c r="CV33" s="1571"/>
      <c r="CW33" s="1571"/>
      <c r="CX33" s="1571"/>
      <c r="CY33" s="1571"/>
      <c r="CZ33" s="78"/>
      <c r="DA33" s="1572">
        <f t="shared" ref="DA33:DP43" ca="1" si="314">AQ33*$H33</f>
        <v>0</v>
      </c>
      <c r="DB33" s="1572">
        <f t="shared" ca="1" si="314"/>
        <v>0</v>
      </c>
      <c r="DC33" s="1572">
        <f t="shared" si="314"/>
        <v>0</v>
      </c>
      <c r="DD33" s="1572">
        <f t="shared" si="314"/>
        <v>0</v>
      </c>
      <c r="DE33" s="1572">
        <f t="shared" si="314"/>
        <v>0</v>
      </c>
      <c r="DF33" s="1572">
        <f t="shared" si="314"/>
        <v>0</v>
      </c>
      <c r="DG33" s="1572">
        <f t="shared" si="314"/>
        <v>0</v>
      </c>
      <c r="DH33" s="1572">
        <f t="shared" si="314"/>
        <v>0</v>
      </c>
      <c r="DI33" s="1572">
        <f t="shared" si="314"/>
        <v>0</v>
      </c>
      <c r="DJ33" s="1572">
        <f t="shared" si="314"/>
        <v>0</v>
      </c>
      <c r="DK33" s="1572">
        <f t="shared" si="314"/>
        <v>0</v>
      </c>
      <c r="DL33" s="1572">
        <f t="shared" si="314"/>
        <v>0</v>
      </c>
      <c r="DM33" s="1572">
        <f t="shared" si="314"/>
        <v>0</v>
      </c>
      <c r="DN33" s="1572">
        <f t="shared" si="314"/>
        <v>0</v>
      </c>
      <c r="DO33" s="1572">
        <f t="shared" si="314"/>
        <v>0</v>
      </c>
      <c r="DP33" s="1572">
        <f t="shared" si="314"/>
        <v>0</v>
      </c>
      <c r="DQ33" s="1572">
        <f t="shared" ref="DQ33:DX43" si="315">BG33*$H33</f>
        <v>0</v>
      </c>
      <c r="DR33" s="1572">
        <f t="shared" si="315"/>
        <v>0</v>
      </c>
      <c r="DS33" s="1572">
        <f t="shared" si="315"/>
        <v>0</v>
      </c>
      <c r="DT33" s="1572">
        <f t="shared" si="315"/>
        <v>0</v>
      </c>
      <c r="DU33" s="1572">
        <f t="shared" si="315"/>
        <v>0</v>
      </c>
      <c r="DV33" s="1572">
        <f t="shared" si="315"/>
        <v>0</v>
      </c>
      <c r="DW33" s="1572">
        <f t="shared" si="315"/>
        <v>0</v>
      </c>
      <c r="DX33" s="1572">
        <f t="shared" si="315"/>
        <v>0</v>
      </c>
      <c r="DY33" s="1572"/>
      <c r="DZ33" s="1572"/>
      <c r="EA33" s="1572"/>
      <c r="EB33" s="1572"/>
      <c r="EC33" s="1572"/>
      <c r="ED33" s="1572">
        <f t="shared" ref="ED33:ED43" si="316">BT33*$H33</f>
        <v>0</v>
      </c>
      <c r="EE33" s="79"/>
      <c r="EF33" s="1572">
        <f t="shared" ref="EF33:EU43" si="317">BV33*$I33</f>
        <v>0</v>
      </c>
      <c r="EG33" s="1572">
        <f t="shared" si="317"/>
        <v>0</v>
      </c>
      <c r="EH33" s="1572">
        <f t="shared" si="317"/>
        <v>0</v>
      </c>
      <c r="EI33" s="1572">
        <f t="shared" si="317"/>
        <v>0</v>
      </c>
      <c r="EJ33" s="1572">
        <f t="shared" si="317"/>
        <v>0</v>
      </c>
      <c r="EK33" s="1572">
        <f t="shared" si="317"/>
        <v>0</v>
      </c>
      <c r="EL33" s="1572">
        <f t="shared" si="317"/>
        <v>0</v>
      </c>
      <c r="EM33" s="1572">
        <f t="shared" si="317"/>
        <v>0</v>
      </c>
      <c r="EN33" s="1572">
        <f t="shared" si="317"/>
        <v>0</v>
      </c>
      <c r="EO33" s="1572">
        <f t="shared" si="317"/>
        <v>0</v>
      </c>
      <c r="EP33" s="1572">
        <f t="shared" si="317"/>
        <v>0</v>
      </c>
      <c r="EQ33" s="1572">
        <f t="shared" si="317"/>
        <v>0</v>
      </c>
      <c r="ER33" s="1572">
        <f t="shared" si="317"/>
        <v>0</v>
      </c>
      <c r="ES33" s="1572">
        <f t="shared" si="317"/>
        <v>0</v>
      </c>
      <c r="ET33" s="1572">
        <f t="shared" si="317"/>
        <v>0</v>
      </c>
      <c r="EU33" s="1572">
        <f t="shared" si="317"/>
        <v>0</v>
      </c>
      <c r="EV33" s="1572">
        <f t="shared" ref="EV33:EV43" si="318">CL33*$I33</f>
        <v>0</v>
      </c>
      <c r="EW33" s="1572">
        <f t="shared" ref="EW33:EW43" si="319">CM33*$I33</f>
        <v>0</v>
      </c>
      <c r="EX33" s="1572">
        <f t="shared" ref="EX33:EX43" si="320">CN33*$I33</f>
        <v>0</v>
      </c>
      <c r="EY33" s="1572">
        <f t="shared" ref="EY33:EY43" si="321">CO33*$I33</f>
        <v>0</v>
      </c>
      <c r="EZ33" s="1572">
        <f t="shared" ref="EZ33:EZ43" si="322">CP33*$I33</f>
        <v>0</v>
      </c>
      <c r="FA33" s="1572">
        <f t="shared" ref="FA33:FA43" si="323">CQ33*$I33</f>
        <v>0</v>
      </c>
      <c r="FB33" s="1572">
        <f t="shared" ref="FB33:FB43" si="324">CR33*$I33</f>
        <v>0</v>
      </c>
      <c r="FC33" s="1572">
        <f t="shared" ref="FC33:FC43" si="325">CS33*$I33</f>
        <v>0</v>
      </c>
      <c r="FD33" s="1572">
        <f t="shared" ref="FD33:FD43" si="326">CT33*$I33</f>
        <v>0</v>
      </c>
      <c r="FE33" s="1572">
        <f t="shared" ref="FE33:FE43" si="327">CU33*$I33</f>
        <v>0</v>
      </c>
      <c r="FF33" s="1572">
        <f t="shared" ref="FF33:FF43" si="328">CV33*$I33</f>
        <v>0</v>
      </c>
      <c r="FG33" s="1572">
        <f t="shared" ref="FG33:FG43" si="329">CW33*$I33</f>
        <v>0</v>
      </c>
      <c r="FH33" s="1572">
        <f t="shared" ref="FH33:FH43" si="330">CX33*$I33</f>
        <v>0</v>
      </c>
      <c r="FI33" s="1572">
        <f t="shared" ref="FI33:FI43" si="331">CY33*$I33</f>
        <v>0</v>
      </c>
    </row>
    <row r="34" spans="1:165" ht="12.75" customHeight="1">
      <c r="A34" s="595"/>
      <c r="B34" s="598"/>
      <c r="C34" s="599"/>
      <c r="F34" s="1440" t="s">
        <v>1639</v>
      </c>
      <c r="G34" s="1568" t="s">
        <v>1718</v>
      </c>
      <c r="H34" s="1569">
        <f>'Sistemas - Cotações'!F20</f>
        <v>0</v>
      </c>
      <c r="I34" s="1569">
        <f>H34*0.6</f>
        <v>0</v>
      </c>
      <c r="J34" s="867">
        <v>3</v>
      </c>
      <c r="K34" s="97"/>
      <c r="L34" s="1479">
        <f ca="1">'Sistemas-Manutenção'!L30</f>
        <v>3</v>
      </c>
      <c r="M34" s="1479">
        <f ca="1">'Sistemas-Manutenção'!M30</f>
        <v>3</v>
      </c>
      <c r="N34" s="1479">
        <f ca="1">'Sistemas-Manutenção'!N30</f>
        <v>3</v>
      </c>
      <c r="O34" s="1479">
        <f ca="1">'Sistemas-Manutenção'!O30</f>
        <v>3</v>
      </c>
      <c r="P34" s="1479">
        <f ca="1">'Sistemas-Manutenção'!P30</f>
        <v>3</v>
      </c>
      <c r="Q34" s="1479">
        <f ca="1">'Sistemas-Manutenção'!Q30</f>
        <v>3</v>
      </c>
      <c r="R34" s="1479">
        <f ca="1">'Sistemas-Manutenção'!R30</f>
        <v>3</v>
      </c>
      <c r="S34" s="1479">
        <f ca="1">'Sistemas-Manutenção'!S30</f>
        <v>3</v>
      </c>
      <c r="T34" s="1479">
        <f ca="1">'Sistemas-Manutenção'!T30</f>
        <v>3</v>
      </c>
      <c r="U34" s="1479">
        <f ca="1">'Sistemas-Manutenção'!U30</f>
        <v>3</v>
      </c>
      <c r="V34" s="1479">
        <f ca="1">'Sistemas-Manutenção'!V30</f>
        <v>3</v>
      </c>
      <c r="W34" s="1479">
        <f ca="1">'Sistemas-Manutenção'!W30</f>
        <v>3</v>
      </c>
      <c r="X34" s="1479">
        <f ca="1">'Sistemas-Manutenção'!X30</f>
        <v>3</v>
      </c>
      <c r="Y34" s="1479">
        <f ca="1">'Sistemas-Manutenção'!Y30</f>
        <v>3</v>
      </c>
      <c r="Z34" s="1479">
        <f ca="1">'Sistemas-Manutenção'!Z30</f>
        <v>3</v>
      </c>
      <c r="AA34" s="1479">
        <f ca="1">'Sistemas-Manutenção'!AA30</f>
        <v>3</v>
      </c>
      <c r="AB34" s="1479">
        <f ca="1">'Sistemas-Manutenção'!AB30</f>
        <v>3</v>
      </c>
      <c r="AC34" s="1479">
        <f ca="1">'Sistemas-Manutenção'!AC30</f>
        <v>3</v>
      </c>
      <c r="AD34" s="1479">
        <f ca="1">'Sistemas-Manutenção'!AD30</f>
        <v>3</v>
      </c>
      <c r="AE34" s="1479">
        <f ca="1">'Sistemas-Manutenção'!AE30</f>
        <v>3</v>
      </c>
      <c r="AF34" s="1479">
        <f ca="1">'Sistemas-Manutenção'!AF30</f>
        <v>3</v>
      </c>
      <c r="AG34" s="1479">
        <f ca="1">'Sistemas-Manutenção'!AG30</f>
        <v>3</v>
      </c>
      <c r="AH34" s="1479">
        <f ca="1">'Sistemas-Manutenção'!AH30</f>
        <v>3</v>
      </c>
      <c r="AI34" s="1479">
        <f ca="1">'Sistemas-Manutenção'!AI30</f>
        <v>3</v>
      </c>
      <c r="AJ34" s="1479">
        <f ca="1">'Sistemas-Manutenção'!AJ30</f>
        <v>3</v>
      </c>
      <c r="AK34" s="1479">
        <f ca="1">'Sistemas-Manutenção'!AK30</f>
        <v>3</v>
      </c>
      <c r="AL34" s="1479">
        <f ca="1">'Sistemas-Manutenção'!AL30</f>
        <v>3</v>
      </c>
      <c r="AM34" s="1479">
        <f ca="1">'Sistemas-Manutenção'!AM30</f>
        <v>3</v>
      </c>
      <c r="AN34" s="1479">
        <f ca="1">'Sistemas-Manutenção'!AN30</f>
        <v>3</v>
      </c>
      <c r="AO34" s="1479">
        <f ca="1">'Sistemas-Manutenção'!AO30</f>
        <v>3</v>
      </c>
      <c r="AP34" s="77"/>
      <c r="AQ34" s="1479">
        <f t="shared" ca="1" si="304"/>
        <v>3</v>
      </c>
      <c r="AR34" s="1479">
        <f t="shared" ca="1" si="304"/>
        <v>0</v>
      </c>
      <c r="AS34" s="1479">
        <f t="shared" ca="1" si="304"/>
        <v>0</v>
      </c>
      <c r="AT34" s="1479">
        <f t="shared" ca="1" si="304"/>
        <v>0</v>
      </c>
      <c r="AU34" s="1479">
        <f t="shared" ca="1" si="304"/>
        <v>0</v>
      </c>
      <c r="AV34" s="1479">
        <f t="shared" ca="1" si="304"/>
        <v>0</v>
      </c>
      <c r="AW34" s="1479">
        <f t="shared" ca="1" si="304"/>
        <v>0</v>
      </c>
      <c r="AX34" s="1479">
        <f t="shared" ca="1" si="304"/>
        <v>0</v>
      </c>
      <c r="AY34" s="1479">
        <f t="shared" ca="1" si="304"/>
        <v>0</v>
      </c>
      <c r="AZ34" s="1479">
        <f t="shared" ca="1" si="304"/>
        <v>0</v>
      </c>
      <c r="BA34" s="1479">
        <f t="shared" ca="1" si="304"/>
        <v>0</v>
      </c>
      <c r="BB34" s="1479">
        <f t="shared" ca="1" si="304"/>
        <v>0</v>
      </c>
      <c r="BC34" s="1479">
        <f t="shared" ca="1" si="304"/>
        <v>0</v>
      </c>
      <c r="BD34" s="1479">
        <f t="shared" ca="1" si="304"/>
        <v>0</v>
      </c>
      <c r="BE34" s="1479">
        <f t="shared" ca="1" si="304"/>
        <v>0</v>
      </c>
      <c r="BF34" s="1479">
        <f t="shared" ca="1" si="304"/>
        <v>0</v>
      </c>
      <c r="BG34" s="1479">
        <f t="shared" ca="1" si="305"/>
        <v>0</v>
      </c>
      <c r="BH34" s="1479">
        <f t="shared" ca="1" si="306"/>
        <v>0</v>
      </c>
      <c r="BI34" s="1479">
        <f t="shared" ca="1" si="307"/>
        <v>0</v>
      </c>
      <c r="BJ34" s="1479">
        <f t="shared" ca="1" si="308"/>
        <v>0</v>
      </c>
      <c r="BK34" s="1479">
        <f t="shared" ca="1" si="309"/>
        <v>0</v>
      </c>
      <c r="BL34" s="1479">
        <f t="shared" ca="1" si="310"/>
        <v>0</v>
      </c>
      <c r="BM34" s="1479">
        <f t="shared" ca="1" si="311"/>
        <v>0</v>
      </c>
      <c r="BN34" s="1479">
        <f t="shared" ca="1" si="312"/>
        <v>0</v>
      </c>
      <c r="BO34" s="1479"/>
      <c r="BP34" s="1479"/>
      <c r="BQ34" s="1479"/>
      <c r="BR34" s="1479"/>
      <c r="BS34" s="1479"/>
      <c r="BT34" s="1479">
        <f t="shared" ca="1" si="313"/>
        <v>0</v>
      </c>
      <c r="BU34" s="77"/>
      <c r="BV34" s="863">
        <f t="shared" ref="BV34:BV35" ca="1" si="332">IF(L34-SUM(OFFSET(AQ34,,-$J34+1,,$J34))-IF($J34&gt;1,SUM(OFFSET(BV34,,-$J34+1,,$J34-1)),0)&gt;0,L34-SUM(OFFSET(AQ34,,-$J34+1,,$J34))-IF($J34&gt;1,SUM(OFFSET(BV34,,-$J34+1,,$J34-1)),0),0)</f>
        <v>0</v>
      </c>
      <c r="BW34" s="863">
        <f t="shared" ref="BW34:BW35" ca="1" si="333">IF(M34-SUM(OFFSET(AR34,,-$J34+1,,$J34))-IF($J34&gt;1,SUM(OFFSET(BW34,,-$J34+1,,$J34-1)),0)&gt;0,M34-SUM(OFFSET(AR34,,-$J34+1,,$J34))-IF($J34&gt;1,SUM(OFFSET(BW34,,-$J34+1,,$J34-1)),0),0)</f>
        <v>0</v>
      </c>
      <c r="BX34" s="863">
        <f t="shared" ref="BX34:BX35" ca="1" si="334">IF(N34-SUM(OFFSET(AS34,,-$J34+1,,$J34))-IF($J34&gt;1,SUM(OFFSET(BX34,,-$J34+1,,$J34-1)),0)&gt;0,N34-SUM(OFFSET(AS34,,-$J34+1,,$J34))-IF($J34&gt;1,SUM(OFFSET(BX34,,-$J34+1,,$J34-1)),0),0)</f>
        <v>0</v>
      </c>
      <c r="BY34" s="863">
        <f t="shared" ref="BY34:BY35" ca="1" si="335">IF(O34-SUM(OFFSET(AT34,,-$J34+1,,$J34))-IF($J34&gt;1,SUM(OFFSET(BY34,,-$J34+1,,$J34-1)),0)&gt;0,O34-SUM(OFFSET(AT34,,-$J34+1,,$J34))-IF($J34&gt;1,SUM(OFFSET(BY34,,-$J34+1,,$J34-1)),0),0)</f>
        <v>3</v>
      </c>
      <c r="BZ34" s="863">
        <f t="shared" ref="BZ34:BZ35" ca="1" si="336">IF(P34-SUM(OFFSET(AU34,,-$J34+1,,$J34))-IF($J34&gt;1,SUM(OFFSET(BZ34,,-$J34+1,,$J34-1)),0)&gt;0,P34-SUM(OFFSET(AU34,,-$J34+1,,$J34))-IF($J34&gt;1,SUM(OFFSET(BZ34,,-$J34+1,,$J34-1)),0),0)</f>
        <v>0</v>
      </c>
      <c r="CA34" s="863">
        <f t="shared" ref="CA34:CA35" ca="1" si="337">IF(Q34-SUM(OFFSET(AV34,,-$J34+1,,$J34))-IF($J34&gt;1,SUM(OFFSET(CA34,,-$J34+1,,$J34-1)),0)&gt;0,Q34-SUM(OFFSET(AV34,,-$J34+1,,$J34))-IF($J34&gt;1,SUM(OFFSET(CA34,,-$J34+1,,$J34-1)),0),0)</f>
        <v>0</v>
      </c>
      <c r="CB34" s="863">
        <f t="shared" ref="CB34:CB35" ca="1" si="338">IF(R34-SUM(OFFSET(AW34,,-$J34+1,,$J34))-IF($J34&gt;1,SUM(OFFSET(CB34,,-$J34+1,,$J34-1)),0)&gt;0,R34-SUM(OFFSET(AW34,,-$J34+1,,$J34))-IF($J34&gt;1,SUM(OFFSET(CB34,,-$J34+1,,$J34-1)),0),0)</f>
        <v>3</v>
      </c>
      <c r="CC34" s="863">
        <f t="shared" ref="CC34:CC35" ca="1" si="339">IF(S34-SUM(OFFSET(AX34,,-$J34+1,,$J34))-IF($J34&gt;1,SUM(OFFSET(CC34,,-$J34+1,,$J34-1)),0)&gt;0,S34-SUM(OFFSET(AX34,,-$J34+1,,$J34))-IF($J34&gt;1,SUM(OFFSET(CC34,,-$J34+1,,$J34-1)),0),0)</f>
        <v>0</v>
      </c>
      <c r="CD34" s="863">
        <f t="shared" ref="CD34:CD35" ca="1" si="340">IF(T34-SUM(OFFSET(AY34,,-$J34+1,,$J34))-IF($J34&gt;1,SUM(OFFSET(CD34,,-$J34+1,,$J34-1)),0)&gt;0,T34-SUM(OFFSET(AY34,,-$J34+1,,$J34))-IF($J34&gt;1,SUM(OFFSET(CD34,,-$J34+1,,$J34-1)),0),0)</f>
        <v>0</v>
      </c>
      <c r="CE34" s="863">
        <f t="shared" ref="CE34:CE35" ca="1" si="341">IF(U34-SUM(OFFSET(AZ34,,-$J34+1,,$J34))-IF($J34&gt;1,SUM(OFFSET(CE34,,-$J34+1,,$J34-1)),0)&gt;0,U34-SUM(OFFSET(AZ34,,-$J34+1,,$J34))-IF($J34&gt;1,SUM(OFFSET(CE34,,-$J34+1,,$J34-1)),0),0)</f>
        <v>3</v>
      </c>
      <c r="CF34" s="863">
        <f t="shared" ref="CF34:CF35" ca="1" si="342">IF(V34-SUM(OFFSET(BA34,,-$J34+1,,$J34))-IF($J34&gt;1,SUM(OFFSET(CF34,,-$J34+1,,$J34-1)),0)&gt;0,V34-SUM(OFFSET(BA34,,-$J34+1,,$J34))-IF($J34&gt;1,SUM(OFFSET(CF34,,-$J34+1,,$J34-1)),0),0)</f>
        <v>0</v>
      </c>
      <c r="CG34" s="863">
        <f t="shared" ref="CG34:CG35" ca="1" si="343">IF(W34-SUM(OFFSET(BB34,,-$J34+1,,$J34))-IF($J34&gt;1,SUM(OFFSET(CG34,,-$J34+1,,$J34-1)),0)&gt;0,W34-SUM(OFFSET(BB34,,-$J34+1,,$J34))-IF($J34&gt;1,SUM(OFFSET(CG34,,-$J34+1,,$J34-1)),0),0)</f>
        <v>0</v>
      </c>
      <c r="CH34" s="863">
        <f t="shared" ref="CH34:CH35" ca="1" si="344">IF(X34-SUM(OFFSET(BC34,,-$J34+1,,$J34))-IF($J34&gt;1,SUM(OFFSET(CH34,,-$J34+1,,$J34-1)),0)&gt;0,X34-SUM(OFFSET(BC34,,-$J34+1,,$J34))-IF($J34&gt;1,SUM(OFFSET(CH34,,-$J34+1,,$J34-1)),0),0)</f>
        <v>3</v>
      </c>
      <c r="CI34" s="863">
        <f t="shared" ref="CI34:CI35" ca="1" si="345">IF(Y34-SUM(OFFSET(BD34,,-$J34+1,,$J34))-IF($J34&gt;1,SUM(OFFSET(CI34,,-$J34+1,,$J34-1)),0)&gt;0,Y34-SUM(OFFSET(BD34,,-$J34+1,,$J34))-IF($J34&gt;1,SUM(OFFSET(CI34,,-$J34+1,,$J34-1)),0),0)</f>
        <v>0</v>
      </c>
      <c r="CJ34" s="863">
        <f t="shared" ref="CJ34:CJ35" ca="1" si="346">IF(Z34-SUM(OFFSET(BE34,,-$J34+1,,$J34))-IF($J34&gt;1,SUM(OFFSET(CJ34,,-$J34+1,,$J34-1)),0)&gt;0,Z34-SUM(OFFSET(BE34,,-$J34+1,,$J34))-IF($J34&gt;1,SUM(OFFSET(CJ34,,-$J34+1,,$J34-1)),0),0)</f>
        <v>0</v>
      </c>
      <c r="CK34" s="863">
        <f t="shared" ref="CK34:CK35" ca="1" si="347">IF(AA34-SUM(OFFSET(BF34,,-$J34+1,,$J34))-IF($J34&gt;1,SUM(OFFSET(CK34,,-$J34+1,,$J34-1)),0)&gt;0,AA34-SUM(OFFSET(BF34,,-$J34+1,,$J34))-IF($J34&gt;1,SUM(OFFSET(CK34,,-$J34+1,,$J34-1)),0),0)</f>
        <v>3</v>
      </c>
      <c r="CL34" s="863">
        <f t="shared" ref="CL34:CL35" ca="1" si="348">IF(AB34-SUM(OFFSET(BG34,,-$J34+1,,$J34))-IF($J34&gt;1,SUM(OFFSET(CL34,,-$J34+1,,$J34-1)),0)&gt;0,AB34-SUM(OFFSET(BG34,,-$J34+1,,$J34))-IF($J34&gt;1,SUM(OFFSET(CL34,,-$J34+1,,$J34-1)),0),0)</f>
        <v>0</v>
      </c>
      <c r="CM34" s="863">
        <f t="shared" ref="CM34:CM35" ca="1" si="349">IF(AC34-SUM(OFFSET(BH34,,-$J34+1,,$J34))-IF($J34&gt;1,SUM(OFFSET(CM34,,-$J34+1,,$J34-1)),0)&gt;0,AC34-SUM(OFFSET(BH34,,-$J34+1,,$J34))-IF($J34&gt;1,SUM(OFFSET(CM34,,-$J34+1,,$J34-1)),0),0)</f>
        <v>0</v>
      </c>
      <c r="CN34" s="863">
        <f t="shared" ref="CN34:CN35" ca="1" si="350">IF(AD34-SUM(OFFSET(BI34,,-$J34+1,,$J34))-IF($J34&gt;1,SUM(OFFSET(CN34,,-$J34+1,,$J34-1)),0)&gt;0,AD34-SUM(OFFSET(BI34,,-$J34+1,,$J34))-IF($J34&gt;1,SUM(OFFSET(CN34,,-$J34+1,,$J34-1)),0),0)</f>
        <v>3</v>
      </c>
      <c r="CO34" s="863">
        <f t="shared" ref="CO34:CO35" ca="1" si="351">IF(AE34-SUM(OFFSET(BJ34,,-$J34+1,,$J34))-IF($J34&gt;1,SUM(OFFSET(CO34,,-$J34+1,,$J34-1)),0)&gt;0,AE34-SUM(OFFSET(BJ34,,-$J34+1,,$J34))-IF($J34&gt;1,SUM(OFFSET(CO34,,-$J34+1,,$J34-1)),0),0)</f>
        <v>0</v>
      </c>
      <c r="CP34" s="863">
        <f t="shared" ref="CP34:CP35" ca="1" si="352">IF(AF34-SUM(OFFSET(BK34,,-$J34+1,,$J34))-IF($J34&gt;1,SUM(OFFSET(CP34,,-$J34+1,,$J34-1)),0)&gt;0,AF34-SUM(OFFSET(BK34,,-$J34+1,,$J34))-IF($J34&gt;1,SUM(OFFSET(CP34,,-$J34+1,,$J34-1)),0),0)</f>
        <v>0</v>
      </c>
      <c r="CQ34" s="863">
        <f t="shared" ref="CQ34:CQ35" ca="1" si="353">IF(AG34-SUM(OFFSET(BL34,,-$J34+1,,$J34))-IF($J34&gt;1,SUM(OFFSET(CQ34,,-$J34+1,,$J34-1)),0)&gt;0,AG34-SUM(OFFSET(BL34,,-$J34+1,,$J34))-IF($J34&gt;1,SUM(OFFSET(CQ34,,-$J34+1,,$J34-1)),0),0)</f>
        <v>3</v>
      </c>
      <c r="CR34" s="863">
        <f t="shared" ref="CR34:CR35" ca="1" si="354">IF(AH34-SUM(OFFSET(BM34,,-$J34+1,,$J34))-IF($J34&gt;1,SUM(OFFSET(CR34,,-$J34+1,,$J34-1)),0)&gt;0,AH34-SUM(OFFSET(BM34,,-$J34+1,,$J34))-IF($J34&gt;1,SUM(OFFSET(CR34,,-$J34+1,,$J34-1)),0),0)</f>
        <v>0</v>
      </c>
      <c r="CS34" s="863">
        <f t="shared" ref="CS34:CS35" ca="1" si="355">IF(AI34-SUM(OFFSET(BN34,,-$J34+1,,$J34))-IF($J34&gt;1,SUM(OFFSET(CS34,,-$J34+1,,$J34-1)),0)&gt;0,AI34-SUM(OFFSET(BN34,,-$J34+1,,$J34))-IF($J34&gt;1,SUM(OFFSET(CS34,,-$J34+1,,$J34-1)),0),0)</f>
        <v>0</v>
      </c>
      <c r="CT34" s="863">
        <f t="shared" ref="CT34:CT35" ca="1" si="356">IF(AJ34-SUM(OFFSET(BT34,,-$J34+1,,$J34))-IF($J34&gt;1,SUM(OFFSET(CT34,,-$J34+1,,$J34-1)),0)&gt;0,AJ34-SUM(OFFSET(BT34,,-$J34+1,,$J34))-IF($J34&gt;1,SUM(OFFSET(CT34,,-$J34+1,,$J34-1)),0),0)</f>
        <v>3</v>
      </c>
      <c r="CU34" s="863">
        <f t="shared" ref="CU34:CU35" ca="1" si="357">IF(AK34-SUM(OFFSET(BU34,,-$J34+1,,$J34))-IF($J34&gt;1,SUM(OFFSET(CU34,,-$J34+1,,$J34-1)),0)&gt;0,AK34-SUM(OFFSET(BU34,,-$J34+1,,$J34))-IF($J34&gt;1,SUM(OFFSET(CU34,,-$J34+1,,$J34-1)),0),0)</f>
        <v>0</v>
      </c>
      <c r="CV34" s="863">
        <f t="shared" ref="CV34:CV35" ca="1" si="358">IF(AL34-SUM(OFFSET(BV34,,-$J34+1,,$J34))-IF($J34&gt;1,SUM(OFFSET(CV34,,-$J34+1,,$J34-1)),0)&gt;0,AL34-SUM(OFFSET(BV34,,-$J34+1,,$J34))-IF($J34&gt;1,SUM(OFFSET(CV34,,-$J34+1,,$J34-1)),0),0)</f>
        <v>0</v>
      </c>
      <c r="CW34" s="863">
        <f t="shared" ref="CW34:CW35" ca="1" si="359">IF(AM34-SUM(OFFSET(BW34,,-$J34+1,,$J34))-IF($J34&gt;1,SUM(OFFSET(CW34,,-$J34+1,,$J34-1)),0)&gt;0,AM34-SUM(OFFSET(BW34,,-$J34+1,,$J34))-IF($J34&gt;1,SUM(OFFSET(CW34,,-$J34+1,,$J34-1)),0),0)</f>
        <v>3</v>
      </c>
      <c r="CX34" s="863">
        <f t="shared" ref="CX34:CX35" ca="1" si="360">IF(AN34-SUM(OFFSET(BX34,,-$J34+1,,$J34))-IF($J34&gt;1,SUM(OFFSET(CX34,,-$J34+1,,$J34-1)),0)&gt;0,AN34-SUM(OFFSET(BX34,,-$J34+1,,$J34))-IF($J34&gt;1,SUM(OFFSET(CX34,,-$J34+1,,$J34-1)),0),0)</f>
        <v>0</v>
      </c>
      <c r="CY34" s="863">
        <f t="shared" ref="CY34:CY35" ca="1" si="361">IF(AO34-SUM(OFFSET(BY34,,-$J34+1,,$J34))-IF($J34&gt;1,SUM(OFFSET(CY34,,-$J34+1,,$J34-1)),0)&gt;0,AO34-SUM(OFFSET(BY34,,-$J34+1,,$J34))-IF($J34&gt;1,SUM(OFFSET(CY34,,-$J34+1,,$J34-1)),0),0)</f>
        <v>0</v>
      </c>
      <c r="CZ34" s="78"/>
      <c r="DA34" s="1572">
        <f t="shared" ca="1" si="314"/>
        <v>0</v>
      </c>
      <c r="DB34" s="1572">
        <f t="shared" ca="1" si="314"/>
        <v>0</v>
      </c>
      <c r="DC34" s="1572">
        <f t="shared" ca="1" si="314"/>
        <v>0</v>
      </c>
      <c r="DD34" s="1572">
        <f t="shared" ca="1" si="314"/>
        <v>0</v>
      </c>
      <c r="DE34" s="1572">
        <f t="shared" ca="1" si="314"/>
        <v>0</v>
      </c>
      <c r="DF34" s="1572">
        <f t="shared" ca="1" si="314"/>
        <v>0</v>
      </c>
      <c r="DG34" s="1572">
        <f t="shared" ca="1" si="314"/>
        <v>0</v>
      </c>
      <c r="DH34" s="1572">
        <f t="shared" ca="1" si="314"/>
        <v>0</v>
      </c>
      <c r="DI34" s="1572">
        <f t="shared" ca="1" si="314"/>
        <v>0</v>
      </c>
      <c r="DJ34" s="1572">
        <f t="shared" ca="1" si="314"/>
        <v>0</v>
      </c>
      <c r="DK34" s="1572">
        <f t="shared" ca="1" si="314"/>
        <v>0</v>
      </c>
      <c r="DL34" s="1572">
        <f t="shared" ca="1" si="314"/>
        <v>0</v>
      </c>
      <c r="DM34" s="1572">
        <f t="shared" ca="1" si="314"/>
        <v>0</v>
      </c>
      <c r="DN34" s="1572">
        <f t="shared" ca="1" si="314"/>
        <v>0</v>
      </c>
      <c r="DO34" s="1572">
        <f t="shared" ca="1" si="314"/>
        <v>0</v>
      </c>
      <c r="DP34" s="1572">
        <f t="shared" ca="1" si="314"/>
        <v>0</v>
      </c>
      <c r="DQ34" s="1572">
        <f t="shared" ca="1" si="315"/>
        <v>0</v>
      </c>
      <c r="DR34" s="1572">
        <f t="shared" ca="1" si="315"/>
        <v>0</v>
      </c>
      <c r="DS34" s="1572">
        <f t="shared" ca="1" si="315"/>
        <v>0</v>
      </c>
      <c r="DT34" s="1572">
        <f t="shared" ca="1" si="315"/>
        <v>0</v>
      </c>
      <c r="DU34" s="1572">
        <f t="shared" ca="1" si="315"/>
        <v>0</v>
      </c>
      <c r="DV34" s="1572">
        <f t="shared" ca="1" si="315"/>
        <v>0</v>
      </c>
      <c r="DW34" s="1572">
        <f t="shared" ca="1" si="315"/>
        <v>0</v>
      </c>
      <c r="DX34" s="1572">
        <f t="shared" ca="1" si="315"/>
        <v>0</v>
      </c>
      <c r="DY34" s="1572"/>
      <c r="DZ34" s="1572"/>
      <c r="EA34" s="1572"/>
      <c r="EB34" s="1572"/>
      <c r="EC34" s="1572"/>
      <c r="ED34" s="1572">
        <f t="shared" ca="1" si="316"/>
        <v>0</v>
      </c>
      <c r="EE34" s="79"/>
      <c r="EF34" s="1572">
        <f t="shared" ca="1" si="317"/>
        <v>0</v>
      </c>
      <c r="EG34" s="1572">
        <f t="shared" ca="1" si="317"/>
        <v>0</v>
      </c>
      <c r="EH34" s="1572">
        <f t="shared" ca="1" si="317"/>
        <v>0</v>
      </c>
      <c r="EI34" s="1572">
        <f t="shared" ca="1" si="317"/>
        <v>0</v>
      </c>
      <c r="EJ34" s="1572">
        <f t="shared" ca="1" si="317"/>
        <v>0</v>
      </c>
      <c r="EK34" s="1572">
        <f t="shared" ca="1" si="317"/>
        <v>0</v>
      </c>
      <c r="EL34" s="1572">
        <f t="shared" ca="1" si="317"/>
        <v>0</v>
      </c>
      <c r="EM34" s="1572">
        <f t="shared" ca="1" si="317"/>
        <v>0</v>
      </c>
      <c r="EN34" s="1572">
        <f t="shared" ca="1" si="317"/>
        <v>0</v>
      </c>
      <c r="EO34" s="1572">
        <f t="shared" ca="1" si="317"/>
        <v>0</v>
      </c>
      <c r="EP34" s="1572">
        <f t="shared" ca="1" si="317"/>
        <v>0</v>
      </c>
      <c r="EQ34" s="1572">
        <f t="shared" ca="1" si="317"/>
        <v>0</v>
      </c>
      <c r="ER34" s="1572">
        <f t="shared" ca="1" si="317"/>
        <v>0</v>
      </c>
      <c r="ES34" s="1572">
        <f t="shared" ca="1" si="317"/>
        <v>0</v>
      </c>
      <c r="ET34" s="1572">
        <f t="shared" ca="1" si="317"/>
        <v>0</v>
      </c>
      <c r="EU34" s="1572">
        <f t="shared" ca="1" si="317"/>
        <v>0</v>
      </c>
      <c r="EV34" s="1572">
        <f t="shared" ca="1" si="318"/>
        <v>0</v>
      </c>
      <c r="EW34" s="1572">
        <f t="shared" ca="1" si="319"/>
        <v>0</v>
      </c>
      <c r="EX34" s="1572">
        <f t="shared" ca="1" si="320"/>
        <v>0</v>
      </c>
      <c r="EY34" s="1572">
        <f t="shared" ca="1" si="321"/>
        <v>0</v>
      </c>
      <c r="EZ34" s="1572">
        <f t="shared" ca="1" si="322"/>
        <v>0</v>
      </c>
      <c r="FA34" s="1572">
        <f t="shared" ca="1" si="323"/>
        <v>0</v>
      </c>
      <c r="FB34" s="1572">
        <f t="shared" ca="1" si="324"/>
        <v>0</v>
      </c>
      <c r="FC34" s="1572">
        <f t="shared" ca="1" si="325"/>
        <v>0</v>
      </c>
      <c r="FD34" s="1572">
        <f t="shared" ca="1" si="326"/>
        <v>0</v>
      </c>
      <c r="FE34" s="1572">
        <f t="shared" ca="1" si="327"/>
        <v>0</v>
      </c>
      <c r="FF34" s="1572">
        <f t="shared" ca="1" si="328"/>
        <v>0</v>
      </c>
      <c r="FG34" s="1572">
        <f t="shared" ca="1" si="329"/>
        <v>0</v>
      </c>
      <c r="FH34" s="1572">
        <f t="shared" ca="1" si="330"/>
        <v>0</v>
      </c>
      <c r="FI34" s="1572">
        <f t="shared" ca="1" si="331"/>
        <v>0</v>
      </c>
    </row>
    <row r="35" spans="1:165" ht="12.75" customHeight="1">
      <c r="A35" s="595"/>
      <c r="B35" s="598"/>
      <c r="C35" s="599"/>
      <c r="F35" s="1440" t="s">
        <v>1641</v>
      </c>
      <c r="G35" s="1568" t="s">
        <v>1718</v>
      </c>
      <c r="H35" s="1569">
        <f>'Sistemas - Cotações'!F23</f>
        <v>0</v>
      </c>
      <c r="I35" s="1569">
        <f>H35*0.6</f>
        <v>0</v>
      </c>
      <c r="J35" s="867">
        <v>3</v>
      </c>
      <c r="K35" s="97"/>
      <c r="L35" s="1479">
        <f ca="1">'Sistemas-Manutenção'!L31</f>
        <v>26</v>
      </c>
      <c r="M35" s="1479">
        <f ca="1">'Sistemas-Manutenção'!M31</f>
        <v>26</v>
      </c>
      <c r="N35" s="1479">
        <f ca="1">'Sistemas-Manutenção'!N31</f>
        <v>26</v>
      </c>
      <c r="O35" s="1479">
        <f ca="1">'Sistemas-Manutenção'!O31</f>
        <v>26</v>
      </c>
      <c r="P35" s="1479">
        <f ca="1">'Sistemas-Manutenção'!P31</f>
        <v>26</v>
      </c>
      <c r="Q35" s="1479">
        <f ca="1">'Sistemas-Manutenção'!Q31</f>
        <v>26</v>
      </c>
      <c r="R35" s="1479">
        <f ca="1">'Sistemas-Manutenção'!R31</f>
        <v>26</v>
      </c>
      <c r="S35" s="1479">
        <f ca="1">'Sistemas-Manutenção'!S31</f>
        <v>26</v>
      </c>
      <c r="T35" s="1479">
        <f ca="1">'Sistemas-Manutenção'!T31</f>
        <v>26</v>
      </c>
      <c r="U35" s="1479">
        <f ca="1">'Sistemas-Manutenção'!U31</f>
        <v>26</v>
      </c>
      <c r="V35" s="1479">
        <f ca="1">'Sistemas-Manutenção'!V31</f>
        <v>26</v>
      </c>
      <c r="W35" s="1479">
        <f ca="1">'Sistemas-Manutenção'!W31</f>
        <v>26</v>
      </c>
      <c r="X35" s="1479">
        <f ca="1">'Sistemas-Manutenção'!X31</f>
        <v>26</v>
      </c>
      <c r="Y35" s="1479">
        <f ca="1">'Sistemas-Manutenção'!Y31</f>
        <v>26</v>
      </c>
      <c r="Z35" s="1479">
        <f ca="1">'Sistemas-Manutenção'!Z31</f>
        <v>26</v>
      </c>
      <c r="AA35" s="1479">
        <f ca="1">'Sistemas-Manutenção'!AA31</f>
        <v>26</v>
      </c>
      <c r="AB35" s="1479">
        <f ca="1">'Sistemas-Manutenção'!AB31</f>
        <v>26</v>
      </c>
      <c r="AC35" s="1479">
        <f ca="1">'Sistemas-Manutenção'!AC31</f>
        <v>26</v>
      </c>
      <c r="AD35" s="1479">
        <f ca="1">'Sistemas-Manutenção'!AD31</f>
        <v>26</v>
      </c>
      <c r="AE35" s="1479">
        <f ca="1">'Sistemas-Manutenção'!AE31</f>
        <v>26</v>
      </c>
      <c r="AF35" s="1479">
        <f ca="1">'Sistemas-Manutenção'!AF31</f>
        <v>26</v>
      </c>
      <c r="AG35" s="1479">
        <f ca="1">'Sistemas-Manutenção'!AG31</f>
        <v>26</v>
      </c>
      <c r="AH35" s="1479">
        <f ca="1">'Sistemas-Manutenção'!AH31</f>
        <v>26</v>
      </c>
      <c r="AI35" s="1479">
        <f ca="1">'Sistemas-Manutenção'!AI31</f>
        <v>26</v>
      </c>
      <c r="AJ35" s="1479">
        <f ca="1">'Sistemas-Manutenção'!AJ31</f>
        <v>26</v>
      </c>
      <c r="AK35" s="1479">
        <f ca="1">'Sistemas-Manutenção'!AK31</f>
        <v>26</v>
      </c>
      <c r="AL35" s="1479">
        <f ca="1">'Sistemas-Manutenção'!AL31</f>
        <v>26</v>
      </c>
      <c r="AM35" s="1479">
        <f ca="1">'Sistemas-Manutenção'!AM31</f>
        <v>26</v>
      </c>
      <c r="AN35" s="1479">
        <f ca="1">'Sistemas-Manutenção'!AN31</f>
        <v>26</v>
      </c>
      <c r="AO35" s="1479">
        <f ca="1">'Sistemas-Manutenção'!AO31</f>
        <v>26</v>
      </c>
      <c r="AP35" s="77"/>
      <c r="AQ35" s="1479">
        <f t="shared" ca="1" si="304"/>
        <v>26</v>
      </c>
      <c r="AR35" s="1479">
        <f t="shared" ca="1" si="304"/>
        <v>0</v>
      </c>
      <c r="AS35" s="1479">
        <f t="shared" ca="1" si="304"/>
        <v>0</v>
      </c>
      <c r="AT35" s="1479">
        <f t="shared" ca="1" si="304"/>
        <v>0</v>
      </c>
      <c r="AU35" s="1479">
        <f t="shared" ca="1" si="304"/>
        <v>0</v>
      </c>
      <c r="AV35" s="1479">
        <f t="shared" ca="1" si="304"/>
        <v>0</v>
      </c>
      <c r="AW35" s="1479">
        <f t="shared" ca="1" si="304"/>
        <v>0</v>
      </c>
      <c r="AX35" s="1479">
        <f t="shared" ca="1" si="304"/>
        <v>0</v>
      </c>
      <c r="AY35" s="1479">
        <f t="shared" ca="1" si="304"/>
        <v>0</v>
      </c>
      <c r="AZ35" s="1479">
        <f t="shared" ca="1" si="304"/>
        <v>0</v>
      </c>
      <c r="BA35" s="1479">
        <f t="shared" ca="1" si="304"/>
        <v>0</v>
      </c>
      <c r="BB35" s="1479">
        <f t="shared" ca="1" si="304"/>
        <v>0</v>
      </c>
      <c r="BC35" s="1479">
        <f t="shared" ca="1" si="304"/>
        <v>0</v>
      </c>
      <c r="BD35" s="1479">
        <f t="shared" ca="1" si="304"/>
        <v>0</v>
      </c>
      <c r="BE35" s="1479">
        <f t="shared" ca="1" si="304"/>
        <v>0</v>
      </c>
      <c r="BF35" s="1479">
        <f t="shared" ca="1" si="304"/>
        <v>0</v>
      </c>
      <c r="BG35" s="1479">
        <f t="shared" ca="1" si="305"/>
        <v>0</v>
      </c>
      <c r="BH35" s="1479">
        <f t="shared" ca="1" si="306"/>
        <v>0</v>
      </c>
      <c r="BI35" s="1479">
        <f t="shared" ca="1" si="307"/>
        <v>0</v>
      </c>
      <c r="BJ35" s="1479">
        <f t="shared" ca="1" si="308"/>
        <v>0</v>
      </c>
      <c r="BK35" s="1479">
        <f t="shared" ca="1" si="309"/>
        <v>0</v>
      </c>
      <c r="BL35" s="1479">
        <f t="shared" ca="1" si="310"/>
        <v>0</v>
      </c>
      <c r="BM35" s="1479">
        <f t="shared" ca="1" si="311"/>
        <v>0</v>
      </c>
      <c r="BN35" s="1479">
        <f t="shared" ca="1" si="312"/>
        <v>0</v>
      </c>
      <c r="BO35" s="1479"/>
      <c r="BP35" s="1479"/>
      <c r="BQ35" s="1479"/>
      <c r="BR35" s="1479"/>
      <c r="BS35" s="1479"/>
      <c r="BT35" s="1479">
        <f t="shared" ca="1" si="313"/>
        <v>0</v>
      </c>
      <c r="BU35" s="77"/>
      <c r="BV35" s="863">
        <f t="shared" ca="1" si="332"/>
        <v>0</v>
      </c>
      <c r="BW35" s="863">
        <f t="shared" ca="1" si="333"/>
        <v>0</v>
      </c>
      <c r="BX35" s="863">
        <f t="shared" ca="1" si="334"/>
        <v>0</v>
      </c>
      <c r="BY35" s="863">
        <f t="shared" ca="1" si="335"/>
        <v>26</v>
      </c>
      <c r="BZ35" s="863">
        <f t="shared" ca="1" si="336"/>
        <v>0</v>
      </c>
      <c r="CA35" s="863">
        <f t="shared" ca="1" si="337"/>
        <v>0</v>
      </c>
      <c r="CB35" s="863">
        <f t="shared" ca="1" si="338"/>
        <v>26</v>
      </c>
      <c r="CC35" s="863">
        <f t="shared" ca="1" si="339"/>
        <v>0</v>
      </c>
      <c r="CD35" s="863">
        <f t="shared" ca="1" si="340"/>
        <v>0</v>
      </c>
      <c r="CE35" s="863">
        <f t="shared" ca="1" si="341"/>
        <v>26</v>
      </c>
      <c r="CF35" s="863">
        <f t="shared" ca="1" si="342"/>
        <v>0</v>
      </c>
      <c r="CG35" s="863">
        <f t="shared" ca="1" si="343"/>
        <v>0</v>
      </c>
      <c r="CH35" s="863">
        <f t="shared" ca="1" si="344"/>
        <v>26</v>
      </c>
      <c r="CI35" s="863">
        <f t="shared" ca="1" si="345"/>
        <v>0</v>
      </c>
      <c r="CJ35" s="863">
        <f t="shared" ca="1" si="346"/>
        <v>0</v>
      </c>
      <c r="CK35" s="863">
        <f t="shared" ca="1" si="347"/>
        <v>26</v>
      </c>
      <c r="CL35" s="863">
        <f t="shared" ca="1" si="348"/>
        <v>0</v>
      </c>
      <c r="CM35" s="863">
        <f t="shared" ca="1" si="349"/>
        <v>0</v>
      </c>
      <c r="CN35" s="863">
        <f t="shared" ca="1" si="350"/>
        <v>26</v>
      </c>
      <c r="CO35" s="863">
        <f t="shared" ca="1" si="351"/>
        <v>0</v>
      </c>
      <c r="CP35" s="863">
        <f t="shared" ca="1" si="352"/>
        <v>0</v>
      </c>
      <c r="CQ35" s="863">
        <f t="shared" ca="1" si="353"/>
        <v>26</v>
      </c>
      <c r="CR35" s="863">
        <f t="shared" ca="1" si="354"/>
        <v>0</v>
      </c>
      <c r="CS35" s="863">
        <f t="shared" ca="1" si="355"/>
        <v>0</v>
      </c>
      <c r="CT35" s="863">
        <f t="shared" ca="1" si="356"/>
        <v>26</v>
      </c>
      <c r="CU35" s="863">
        <f t="shared" ca="1" si="357"/>
        <v>0</v>
      </c>
      <c r="CV35" s="863">
        <f t="shared" ca="1" si="358"/>
        <v>0</v>
      </c>
      <c r="CW35" s="863">
        <f t="shared" ca="1" si="359"/>
        <v>26</v>
      </c>
      <c r="CX35" s="863">
        <f t="shared" ca="1" si="360"/>
        <v>0</v>
      </c>
      <c r="CY35" s="863">
        <f t="shared" ca="1" si="361"/>
        <v>0</v>
      </c>
      <c r="CZ35" s="78"/>
      <c r="DA35" s="1572">
        <f t="shared" ca="1" si="314"/>
        <v>0</v>
      </c>
      <c r="DB35" s="1572">
        <f t="shared" ca="1" si="314"/>
        <v>0</v>
      </c>
      <c r="DC35" s="1572">
        <f t="shared" ca="1" si="314"/>
        <v>0</v>
      </c>
      <c r="DD35" s="1572">
        <f t="shared" ca="1" si="314"/>
        <v>0</v>
      </c>
      <c r="DE35" s="1572">
        <f t="shared" ca="1" si="314"/>
        <v>0</v>
      </c>
      <c r="DF35" s="1572">
        <f t="shared" ca="1" si="314"/>
        <v>0</v>
      </c>
      <c r="DG35" s="1572">
        <f t="shared" ca="1" si="314"/>
        <v>0</v>
      </c>
      <c r="DH35" s="1572">
        <f t="shared" ca="1" si="314"/>
        <v>0</v>
      </c>
      <c r="DI35" s="1572">
        <f t="shared" ca="1" si="314"/>
        <v>0</v>
      </c>
      <c r="DJ35" s="1572">
        <f t="shared" ca="1" si="314"/>
        <v>0</v>
      </c>
      <c r="DK35" s="1572">
        <f t="shared" ca="1" si="314"/>
        <v>0</v>
      </c>
      <c r="DL35" s="1572">
        <f t="shared" ca="1" si="314"/>
        <v>0</v>
      </c>
      <c r="DM35" s="1572">
        <f t="shared" ca="1" si="314"/>
        <v>0</v>
      </c>
      <c r="DN35" s="1572">
        <f t="shared" ca="1" si="314"/>
        <v>0</v>
      </c>
      <c r="DO35" s="1572">
        <f t="shared" ca="1" si="314"/>
        <v>0</v>
      </c>
      <c r="DP35" s="1572">
        <f t="shared" ca="1" si="314"/>
        <v>0</v>
      </c>
      <c r="DQ35" s="1572">
        <f t="shared" ca="1" si="315"/>
        <v>0</v>
      </c>
      <c r="DR35" s="1572">
        <f t="shared" ca="1" si="315"/>
        <v>0</v>
      </c>
      <c r="DS35" s="1572">
        <f t="shared" ca="1" si="315"/>
        <v>0</v>
      </c>
      <c r="DT35" s="1572">
        <f t="shared" ca="1" si="315"/>
        <v>0</v>
      </c>
      <c r="DU35" s="1572">
        <f t="shared" ca="1" si="315"/>
        <v>0</v>
      </c>
      <c r="DV35" s="1572">
        <f t="shared" ca="1" si="315"/>
        <v>0</v>
      </c>
      <c r="DW35" s="1572">
        <f t="shared" ca="1" si="315"/>
        <v>0</v>
      </c>
      <c r="DX35" s="1572">
        <f t="shared" ca="1" si="315"/>
        <v>0</v>
      </c>
      <c r="DY35" s="1572"/>
      <c r="DZ35" s="1572"/>
      <c r="EA35" s="1572"/>
      <c r="EB35" s="1572"/>
      <c r="EC35" s="1572"/>
      <c r="ED35" s="1572">
        <f t="shared" ca="1" si="316"/>
        <v>0</v>
      </c>
      <c r="EE35" s="79"/>
      <c r="EF35" s="1572">
        <f t="shared" ca="1" si="317"/>
        <v>0</v>
      </c>
      <c r="EG35" s="1572">
        <f t="shared" ca="1" si="317"/>
        <v>0</v>
      </c>
      <c r="EH35" s="1572">
        <f t="shared" ca="1" si="317"/>
        <v>0</v>
      </c>
      <c r="EI35" s="1572">
        <f t="shared" ca="1" si="317"/>
        <v>0</v>
      </c>
      <c r="EJ35" s="1572">
        <f t="shared" ca="1" si="317"/>
        <v>0</v>
      </c>
      <c r="EK35" s="1572">
        <f t="shared" ca="1" si="317"/>
        <v>0</v>
      </c>
      <c r="EL35" s="1572">
        <f t="shared" ca="1" si="317"/>
        <v>0</v>
      </c>
      <c r="EM35" s="1572">
        <f t="shared" ca="1" si="317"/>
        <v>0</v>
      </c>
      <c r="EN35" s="1572">
        <f t="shared" ca="1" si="317"/>
        <v>0</v>
      </c>
      <c r="EO35" s="1572">
        <f t="shared" ca="1" si="317"/>
        <v>0</v>
      </c>
      <c r="EP35" s="1572">
        <f t="shared" ca="1" si="317"/>
        <v>0</v>
      </c>
      <c r="EQ35" s="1572">
        <f t="shared" ca="1" si="317"/>
        <v>0</v>
      </c>
      <c r="ER35" s="1572">
        <f t="shared" ca="1" si="317"/>
        <v>0</v>
      </c>
      <c r="ES35" s="1572">
        <f t="shared" ca="1" si="317"/>
        <v>0</v>
      </c>
      <c r="ET35" s="1572">
        <f t="shared" ca="1" si="317"/>
        <v>0</v>
      </c>
      <c r="EU35" s="1572">
        <f t="shared" ca="1" si="317"/>
        <v>0</v>
      </c>
      <c r="EV35" s="1572">
        <f t="shared" ca="1" si="318"/>
        <v>0</v>
      </c>
      <c r="EW35" s="1572">
        <f t="shared" ca="1" si="319"/>
        <v>0</v>
      </c>
      <c r="EX35" s="1572">
        <f t="shared" ca="1" si="320"/>
        <v>0</v>
      </c>
      <c r="EY35" s="1572">
        <f t="shared" ca="1" si="321"/>
        <v>0</v>
      </c>
      <c r="EZ35" s="1572">
        <f t="shared" ca="1" si="322"/>
        <v>0</v>
      </c>
      <c r="FA35" s="1572">
        <f t="shared" ca="1" si="323"/>
        <v>0</v>
      </c>
      <c r="FB35" s="1572">
        <f t="shared" ca="1" si="324"/>
        <v>0</v>
      </c>
      <c r="FC35" s="1572">
        <f t="shared" ca="1" si="325"/>
        <v>0</v>
      </c>
      <c r="FD35" s="1572">
        <f t="shared" ca="1" si="326"/>
        <v>0</v>
      </c>
      <c r="FE35" s="1572">
        <f t="shared" ca="1" si="327"/>
        <v>0</v>
      </c>
      <c r="FF35" s="1572">
        <f t="shared" ca="1" si="328"/>
        <v>0</v>
      </c>
      <c r="FG35" s="1572">
        <f t="shared" ca="1" si="329"/>
        <v>0</v>
      </c>
      <c r="FH35" s="1572">
        <f t="shared" ca="1" si="330"/>
        <v>0</v>
      </c>
      <c r="FI35" s="1572">
        <f t="shared" ca="1" si="331"/>
        <v>0</v>
      </c>
    </row>
    <row r="36" spans="1:165">
      <c r="A36" s="595"/>
      <c r="B36" s="598"/>
      <c r="C36" s="599"/>
      <c r="F36" s="1450"/>
      <c r="G36" s="1568" t="s">
        <v>1718</v>
      </c>
      <c r="H36" s="1569"/>
      <c r="I36" s="1569"/>
      <c r="J36" s="867"/>
      <c r="K36" s="97"/>
      <c r="L36" s="1479">
        <f>'Sistemas-Manutenção'!L32</f>
        <v>0</v>
      </c>
      <c r="M36" s="1479">
        <f>'Sistemas-Manutenção'!M32</f>
        <v>0</v>
      </c>
      <c r="N36" s="1479">
        <f>'Sistemas-Manutenção'!N32</f>
        <v>0</v>
      </c>
      <c r="O36" s="1479">
        <f>'Sistemas-Manutenção'!O32</f>
        <v>0</v>
      </c>
      <c r="P36" s="1479">
        <f>'Sistemas-Manutenção'!P32</f>
        <v>0</v>
      </c>
      <c r="Q36" s="1479">
        <f>'Sistemas-Manutenção'!Q32</f>
        <v>0</v>
      </c>
      <c r="R36" s="1479">
        <f>'Sistemas-Manutenção'!R32</f>
        <v>0</v>
      </c>
      <c r="S36" s="1479">
        <f>'Sistemas-Manutenção'!S32</f>
        <v>0</v>
      </c>
      <c r="T36" s="1479">
        <f>'Sistemas-Manutenção'!T32</f>
        <v>0</v>
      </c>
      <c r="U36" s="1479">
        <f>'Sistemas-Manutenção'!U32</f>
        <v>0</v>
      </c>
      <c r="V36" s="1479">
        <f>'Sistemas-Manutenção'!V32</f>
        <v>0</v>
      </c>
      <c r="W36" s="1479">
        <f>'Sistemas-Manutenção'!W32</f>
        <v>0</v>
      </c>
      <c r="X36" s="1479">
        <f>'Sistemas-Manutenção'!X32</f>
        <v>0</v>
      </c>
      <c r="Y36" s="1479">
        <f>'Sistemas-Manutenção'!Y32</f>
        <v>0</v>
      </c>
      <c r="Z36" s="1479">
        <f>'Sistemas-Manutenção'!Z32</f>
        <v>0</v>
      </c>
      <c r="AA36" s="1479">
        <f>'Sistemas-Manutenção'!AA32</f>
        <v>0</v>
      </c>
      <c r="AB36" s="1479">
        <f>'Sistemas-Manutenção'!AB32</f>
        <v>0</v>
      </c>
      <c r="AC36" s="1479">
        <f>'Sistemas-Manutenção'!AC32</f>
        <v>0</v>
      </c>
      <c r="AD36" s="1479">
        <f>'Sistemas-Manutenção'!AD32</f>
        <v>0</v>
      </c>
      <c r="AE36" s="1479">
        <f>'Sistemas-Manutenção'!AE32</f>
        <v>0</v>
      </c>
      <c r="AF36" s="1479">
        <f>'Sistemas-Manutenção'!AF32</f>
        <v>0</v>
      </c>
      <c r="AG36" s="1479">
        <f>'Sistemas-Manutenção'!AG32</f>
        <v>0</v>
      </c>
      <c r="AH36" s="1479">
        <f>'Sistemas-Manutenção'!AH32</f>
        <v>0</v>
      </c>
      <c r="AI36" s="1479">
        <f>'Sistemas-Manutenção'!AI32</f>
        <v>0</v>
      </c>
      <c r="AJ36" s="1479">
        <f>'Sistemas-Manutenção'!AJ32</f>
        <v>0</v>
      </c>
      <c r="AK36" s="1479">
        <f>'Sistemas-Manutenção'!AK32</f>
        <v>0</v>
      </c>
      <c r="AL36" s="1479">
        <f>'Sistemas-Manutenção'!AL32</f>
        <v>0</v>
      </c>
      <c r="AM36" s="1479">
        <f>'Sistemas-Manutenção'!AM32</f>
        <v>0</v>
      </c>
      <c r="AN36" s="1479">
        <f>'Sistemas-Manutenção'!AN32</f>
        <v>0</v>
      </c>
      <c r="AO36" s="1479">
        <f>'Sistemas-Manutenção'!AO32</f>
        <v>0</v>
      </c>
      <c r="AP36" s="77"/>
      <c r="AQ36" s="1479">
        <f t="shared" si="304"/>
        <v>0</v>
      </c>
      <c r="AR36" s="1479">
        <f t="shared" si="304"/>
        <v>0</v>
      </c>
      <c r="AS36" s="1479">
        <f t="shared" si="304"/>
        <v>0</v>
      </c>
      <c r="AT36" s="1479">
        <f t="shared" si="304"/>
        <v>0</v>
      </c>
      <c r="AU36" s="1479">
        <f t="shared" si="304"/>
        <v>0</v>
      </c>
      <c r="AV36" s="1479">
        <f t="shared" si="304"/>
        <v>0</v>
      </c>
      <c r="AW36" s="1479">
        <f t="shared" si="304"/>
        <v>0</v>
      </c>
      <c r="AX36" s="1479">
        <f t="shared" si="304"/>
        <v>0</v>
      </c>
      <c r="AY36" s="1479">
        <f t="shared" si="304"/>
        <v>0</v>
      </c>
      <c r="AZ36" s="1479">
        <f t="shared" si="304"/>
        <v>0</v>
      </c>
      <c r="BA36" s="1479">
        <f t="shared" si="304"/>
        <v>0</v>
      </c>
      <c r="BB36" s="1479">
        <f t="shared" si="304"/>
        <v>0</v>
      </c>
      <c r="BC36" s="1479">
        <f t="shared" si="304"/>
        <v>0</v>
      </c>
      <c r="BD36" s="1479">
        <f t="shared" si="304"/>
        <v>0</v>
      </c>
      <c r="BE36" s="1479">
        <f t="shared" si="304"/>
        <v>0</v>
      </c>
      <c r="BF36" s="1479">
        <f t="shared" si="304"/>
        <v>0</v>
      </c>
      <c r="BG36" s="1479">
        <f t="shared" si="305"/>
        <v>0</v>
      </c>
      <c r="BH36" s="1479">
        <f t="shared" si="306"/>
        <v>0</v>
      </c>
      <c r="BI36" s="1479">
        <f t="shared" si="307"/>
        <v>0</v>
      </c>
      <c r="BJ36" s="1479">
        <f t="shared" si="308"/>
        <v>0</v>
      </c>
      <c r="BK36" s="1479">
        <f t="shared" si="309"/>
        <v>0</v>
      </c>
      <c r="BL36" s="1479">
        <f t="shared" si="310"/>
        <v>0</v>
      </c>
      <c r="BM36" s="1479">
        <f t="shared" si="311"/>
        <v>0</v>
      </c>
      <c r="BN36" s="1479">
        <f t="shared" si="312"/>
        <v>0</v>
      </c>
      <c r="BO36" s="1479"/>
      <c r="BP36" s="1479"/>
      <c r="BQ36" s="1479"/>
      <c r="BR36" s="1479"/>
      <c r="BS36" s="1479"/>
      <c r="BT36" s="1479">
        <f t="shared" si="313"/>
        <v>0</v>
      </c>
      <c r="BU36" s="77"/>
      <c r="BV36" s="1571"/>
      <c r="BW36" s="1571"/>
      <c r="BX36" s="1571"/>
      <c r="BY36" s="1571"/>
      <c r="BZ36" s="1571"/>
      <c r="CA36" s="1571"/>
      <c r="CB36" s="1571"/>
      <c r="CC36" s="1571"/>
      <c r="CD36" s="1571"/>
      <c r="CE36" s="1571"/>
      <c r="CF36" s="1571"/>
      <c r="CG36" s="1571"/>
      <c r="CH36" s="1571"/>
      <c r="CI36" s="1571"/>
      <c r="CJ36" s="1571"/>
      <c r="CK36" s="1571"/>
      <c r="CL36" s="1571"/>
      <c r="CM36" s="1571"/>
      <c r="CN36" s="1571"/>
      <c r="CO36" s="1571"/>
      <c r="CP36" s="1571"/>
      <c r="CQ36" s="1571"/>
      <c r="CR36" s="1571"/>
      <c r="CS36" s="1571"/>
      <c r="CT36" s="1571"/>
      <c r="CU36" s="1571"/>
      <c r="CV36" s="1571"/>
      <c r="CW36" s="1571"/>
      <c r="CX36" s="1571"/>
      <c r="CY36" s="1571"/>
      <c r="CZ36" s="78"/>
      <c r="DA36" s="1572">
        <f t="shared" si="314"/>
        <v>0</v>
      </c>
      <c r="DB36" s="1572">
        <f t="shared" si="314"/>
        <v>0</v>
      </c>
      <c r="DC36" s="1572">
        <f t="shared" si="314"/>
        <v>0</v>
      </c>
      <c r="DD36" s="1572">
        <f t="shared" si="314"/>
        <v>0</v>
      </c>
      <c r="DE36" s="1572">
        <f t="shared" si="314"/>
        <v>0</v>
      </c>
      <c r="DF36" s="1572">
        <f t="shared" si="314"/>
        <v>0</v>
      </c>
      <c r="DG36" s="1572">
        <f t="shared" si="314"/>
        <v>0</v>
      </c>
      <c r="DH36" s="1572">
        <f t="shared" si="314"/>
        <v>0</v>
      </c>
      <c r="DI36" s="1572">
        <f t="shared" si="314"/>
        <v>0</v>
      </c>
      <c r="DJ36" s="1572">
        <f t="shared" si="314"/>
        <v>0</v>
      </c>
      <c r="DK36" s="1572">
        <f t="shared" si="314"/>
        <v>0</v>
      </c>
      <c r="DL36" s="1572">
        <f t="shared" si="314"/>
        <v>0</v>
      </c>
      <c r="DM36" s="1572">
        <f t="shared" si="314"/>
        <v>0</v>
      </c>
      <c r="DN36" s="1572">
        <f t="shared" si="314"/>
        <v>0</v>
      </c>
      <c r="DO36" s="1572">
        <f t="shared" si="314"/>
        <v>0</v>
      </c>
      <c r="DP36" s="1572">
        <f t="shared" si="314"/>
        <v>0</v>
      </c>
      <c r="DQ36" s="1572">
        <f t="shared" si="315"/>
        <v>0</v>
      </c>
      <c r="DR36" s="1572">
        <f t="shared" si="315"/>
        <v>0</v>
      </c>
      <c r="DS36" s="1572">
        <f t="shared" si="315"/>
        <v>0</v>
      </c>
      <c r="DT36" s="1572">
        <f t="shared" si="315"/>
        <v>0</v>
      </c>
      <c r="DU36" s="1572">
        <f t="shared" si="315"/>
        <v>0</v>
      </c>
      <c r="DV36" s="1572">
        <f t="shared" si="315"/>
        <v>0</v>
      </c>
      <c r="DW36" s="1572">
        <f t="shared" si="315"/>
        <v>0</v>
      </c>
      <c r="DX36" s="1572">
        <f t="shared" si="315"/>
        <v>0</v>
      </c>
      <c r="DY36" s="1572"/>
      <c r="DZ36" s="1572"/>
      <c r="EA36" s="1572"/>
      <c r="EB36" s="1572"/>
      <c r="EC36" s="1572"/>
      <c r="ED36" s="1572">
        <f t="shared" si="316"/>
        <v>0</v>
      </c>
      <c r="EE36" s="79"/>
      <c r="EF36" s="1572">
        <f t="shared" si="317"/>
        <v>0</v>
      </c>
      <c r="EG36" s="1572">
        <f t="shared" si="317"/>
        <v>0</v>
      </c>
      <c r="EH36" s="1572">
        <f t="shared" si="317"/>
        <v>0</v>
      </c>
      <c r="EI36" s="1572">
        <f t="shared" si="317"/>
        <v>0</v>
      </c>
      <c r="EJ36" s="1572">
        <f t="shared" si="317"/>
        <v>0</v>
      </c>
      <c r="EK36" s="1572">
        <f t="shared" si="317"/>
        <v>0</v>
      </c>
      <c r="EL36" s="1572">
        <f t="shared" si="317"/>
        <v>0</v>
      </c>
      <c r="EM36" s="1572">
        <f t="shared" si="317"/>
        <v>0</v>
      </c>
      <c r="EN36" s="1572">
        <f t="shared" si="317"/>
        <v>0</v>
      </c>
      <c r="EO36" s="1572">
        <f t="shared" si="317"/>
        <v>0</v>
      </c>
      <c r="EP36" s="1572">
        <f t="shared" si="317"/>
        <v>0</v>
      </c>
      <c r="EQ36" s="1572">
        <f t="shared" si="317"/>
        <v>0</v>
      </c>
      <c r="ER36" s="1572">
        <f t="shared" si="317"/>
        <v>0</v>
      </c>
      <c r="ES36" s="1572">
        <f t="shared" si="317"/>
        <v>0</v>
      </c>
      <c r="ET36" s="1572">
        <f t="shared" si="317"/>
        <v>0</v>
      </c>
      <c r="EU36" s="1572">
        <f t="shared" si="317"/>
        <v>0</v>
      </c>
      <c r="EV36" s="1572">
        <f t="shared" si="318"/>
        <v>0</v>
      </c>
      <c r="EW36" s="1572">
        <f t="shared" si="319"/>
        <v>0</v>
      </c>
      <c r="EX36" s="1572">
        <f t="shared" si="320"/>
        <v>0</v>
      </c>
      <c r="EY36" s="1572">
        <f t="shared" si="321"/>
        <v>0</v>
      </c>
      <c r="EZ36" s="1572">
        <f t="shared" si="322"/>
        <v>0</v>
      </c>
      <c r="FA36" s="1572">
        <f t="shared" si="323"/>
        <v>0</v>
      </c>
      <c r="FB36" s="1572">
        <f t="shared" si="324"/>
        <v>0</v>
      </c>
      <c r="FC36" s="1572">
        <f t="shared" si="325"/>
        <v>0</v>
      </c>
      <c r="FD36" s="1572">
        <f t="shared" si="326"/>
        <v>0</v>
      </c>
      <c r="FE36" s="1572">
        <f t="shared" si="327"/>
        <v>0</v>
      </c>
      <c r="FF36" s="1572">
        <f t="shared" si="328"/>
        <v>0</v>
      </c>
      <c r="FG36" s="1572">
        <f t="shared" si="329"/>
        <v>0</v>
      </c>
      <c r="FH36" s="1572">
        <f t="shared" si="330"/>
        <v>0</v>
      </c>
      <c r="FI36" s="1572">
        <f t="shared" si="331"/>
        <v>0</v>
      </c>
    </row>
    <row r="37" spans="1:165" ht="12.75" customHeight="1">
      <c r="A37" s="595"/>
      <c r="B37" s="598"/>
      <c r="C37" s="599"/>
      <c r="F37" s="1450"/>
      <c r="G37" s="1568" t="s">
        <v>1718</v>
      </c>
      <c r="H37" s="1569"/>
      <c r="I37" s="1569"/>
      <c r="J37" s="867"/>
      <c r="K37" s="97"/>
      <c r="L37" s="1479">
        <f>'Sistemas-Manutenção'!L33</f>
        <v>0</v>
      </c>
      <c r="M37" s="1479">
        <f>'Sistemas-Manutenção'!M33</f>
        <v>0</v>
      </c>
      <c r="N37" s="1479">
        <f>'Sistemas-Manutenção'!N33</f>
        <v>0</v>
      </c>
      <c r="O37" s="1479">
        <f>'Sistemas-Manutenção'!O33</f>
        <v>0</v>
      </c>
      <c r="P37" s="1479">
        <f>'Sistemas-Manutenção'!P33</f>
        <v>0</v>
      </c>
      <c r="Q37" s="1479">
        <f>'Sistemas-Manutenção'!Q33</f>
        <v>0</v>
      </c>
      <c r="R37" s="1479">
        <f>'Sistemas-Manutenção'!R33</f>
        <v>0</v>
      </c>
      <c r="S37" s="1479">
        <f>'Sistemas-Manutenção'!S33</f>
        <v>0</v>
      </c>
      <c r="T37" s="1479">
        <f>'Sistemas-Manutenção'!T33</f>
        <v>0</v>
      </c>
      <c r="U37" s="1479">
        <f>'Sistemas-Manutenção'!U33</f>
        <v>0</v>
      </c>
      <c r="V37" s="1479">
        <f>'Sistemas-Manutenção'!V33</f>
        <v>0</v>
      </c>
      <c r="W37" s="1479">
        <f>'Sistemas-Manutenção'!W33</f>
        <v>0</v>
      </c>
      <c r="X37" s="1479">
        <f>'Sistemas-Manutenção'!X33</f>
        <v>0</v>
      </c>
      <c r="Y37" s="1479">
        <f>'Sistemas-Manutenção'!Y33</f>
        <v>0</v>
      </c>
      <c r="Z37" s="1479">
        <f>'Sistemas-Manutenção'!Z33</f>
        <v>0</v>
      </c>
      <c r="AA37" s="1479">
        <f>'Sistemas-Manutenção'!AA33</f>
        <v>0</v>
      </c>
      <c r="AB37" s="1479">
        <f>'Sistemas-Manutenção'!AB33</f>
        <v>0</v>
      </c>
      <c r="AC37" s="1479">
        <f>'Sistemas-Manutenção'!AC33</f>
        <v>0</v>
      </c>
      <c r="AD37" s="1479">
        <f>'Sistemas-Manutenção'!AD33</f>
        <v>0</v>
      </c>
      <c r="AE37" s="1479">
        <f>'Sistemas-Manutenção'!AE33</f>
        <v>0</v>
      </c>
      <c r="AF37" s="1479">
        <f>'Sistemas-Manutenção'!AF33</f>
        <v>0</v>
      </c>
      <c r="AG37" s="1479">
        <f>'Sistemas-Manutenção'!AG33</f>
        <v>0</v>
      </c>
      <c r="AH37" s="1479">
        <f>'Sistemas-Manutenção'!AH33</f>
        <v>0</v>
      </c>
      <c r="AI37" s="1479">
        <f>'Sistemas-Manutenção'!AI33</f>
        <v>0</v>
      </c>
      <c r="AJ37" s="1479">
        <f>'Sistemas-Manutenção'!AJ33</f>
        <v>0</v>
      </c>
      <c r="AK37" s="1479">
        <f>'Sistemas-Manutenção'!AK33</f>
        <v>0</v>
      </c>
      <c r="AL37" s="1479">
        <f>'Sistemas-Manutenção'!AL33</f>
        <v>0</v>
      </c>
      <c r="AM37" s="1479">
        <f>'Sistemas-Manutenção'!AM33</f>
        <v>0</v>
      </c>
      <c r="AN37" s="1479">
        <f>'Sistemas-Manutenção'!AN33</f>
        <v>0</v>
      </c>
      <c r="AO37" s="1479">
        <f>'Sistemas-Manutenção'!AO33</f>
        <v>0</v>
      </c>
      <c r="AP37" s="77"/>
      <c r="AQ37" s="1479">
        <f t="shared" si="304"/>
        <v>0</v>
      </c>
      <c r="AR37" s="1479">
        <f t="shared" si="304"/>
        <v>0</v>
      </c>
      <c r="AS37" s="1479">
        <f t="shared" si="304"/>
        <v>0</v>
      </c>
      <c r="AT37" s="1479">
        <f t="shared" si="304"/>
        <v>0</v>
      </c>
      <c r="AU37" s="1479">
        <f t="shared" si="304"/>
        <v>0</v>
      </c>
      <c r="AV37" s="1479">
        <f t="shared" si="304"/>
        <v>0</v>
      </c>
      <c r="AW37" s="1479">
        <f t="shared" si="304"/>
        <v>0</v>
      </c>
      <c r="AX37" s="1479">
        <f t="shared" si="304"/>
        <v>0</v>
      </c>
      <c r="AY37" s="1479">
        <f t="shared" si="304"/>
        <v>0</v>
      </c>
      <c r="AZ37" s="1479">
        <f t="shared" si="304"/>
        <v>0</v>
      </c>
      <c r="BA37" s="1479">
        <f t="shared" si="304"/>
        <v>0</v>
      </c>
      <c r="BB37" s="1479">
        <f t="shared" si="304"/>
        <v>0</v>
      </c>
      <c r="BC37" s="1479">
        <f t="shared" si="304"/>
        <v>0</v>
      </c>
      <c r="BD37" s="1479">
        <f t="shared" si="304"/>
        <v>0</v>
      </c>
      <c r="BE37" s="1479">
        <f t="shared" si="304"/>
        <v>0</v>
      </c>
      <c r="BF37" s="1479">
        <f t="shared" si="304"/>
        <v>0</v>
      </c>
      <c r="BG37" s="1479">
        <f t="shared" si="305"/>
        <v>0</v>
      </c>
      <c r="BH37" s="1479">
        <f t="shared" si="306"/>
        <v>0</v>
      </c>
      <c r="BI37" s="1479">
        <f t="shared" si="307"/>
        <v>0</v>
      </c>
      <c r="BJ37" s="1479">
        <f t="shared" si="308"/>
        <v>0</v>
      </c>
      <c r="BK37" s="1479">
        <f t="shared" si="309"/>
        <v>0</v>
      </c>
      <c r="BL37" s="1479">
        <f t="shared" si="310"/>
        <v>0</v>
      </c>
      <c r="BM37" s="1479">
        <f t="shared" si="311"/>
        <v>0</v>
      </c>
      <c r="BN37" s="1479">
        <f t="shared" si="312"/>
        <v>0</v>
      </c>
      <c r="BO37" s="1479"/>
      <c r="BP37" s="1479"/>
      <c r="BQ37" s="1479"/>
      <c r="BR37" s="1479"/>
      <c r="BS37" s="1479"/>
      <c r="BT37" s="1479">
        <f t="shared" si="313"/>
        <v>0</v>
      </c>
      <c r="BU37" s="77"/>
      <c r="BV37" s="1571"/>
      <c r="BW37" s="1571"/>
      <c r="BX37" s="1571"/>
      <c r="BY37" s="1571"/>
      <c r="BZ37" s="1571"/>
      <c r="CA37" s="1571"/>
      <c r="CB37" s="1571"/>
      <c r="CC37" s="1571"/>
      <c r="CD37" s="1571"/>
      <c r="CE37" s="1571"/>
      <c r="CF37" s="1571"/>
      <c r="CG37" s="1571"/>
      <c r="CH37" s="1571"/>
      <c r="CI37" s="1571"/>
      <c r="CJ37" s="1571"/>
      <c r="CK37" s="1571"/>
      <c r="CL37" s="1571"/>
      <c r="CM37" s="1571"/>
      <c r="CN37" s="1571"/>
      <c r="CO37" s="1571"/>
      <c r="CP37" s="1571"/>
      <c r="CQ37" s="1571"/>
      <c r="CR37" s="1571"/>
      <c r="CS37" s="1571"/>
      <c r="CT37" s="1571"/>
      <c r="CU37" s="1571"/>
      <c r="CV37" s="1571"/>
      <c r="CW37" s="1571"/>
      <c r="CX37" s="1571"/>
      <c r="CY37" s="1571"/>
      <c r="CZ37" s="78"/>
      <c r="DA37" s="1572">
        <f t="shared" si="314"/>
        <v>0</v>
      </c>
      <c r="DB37" s="1572">
        <f t="shared" si="314"/>
        <v>0</v>
      </c>
      <c r="DC37" s="1572">
        <f t="shared" si="314"/>
        <v>0</v>
      </c>
      <c r="DD37" s="1572">
        <f t="shared" si="314"/>
        <v>0</v>
      </c>
      <c r="DE37" s="1572">
        <f t="shared" si="314"/>
        <v>0</v>
      </c>
      <c r="DF37" s="1572">
        <f t="shared" si="314"/>
        <v>0</v>
      </c>
      <c r="DG37" s="1572">
        <f t="shared" si="314"/>
        <v>0</v>
      </c>
      <c r="DH37" s="1572">
        <f t="shared" si="314"/>
        <v>0</v>
      </c>
      <c r="DI37" s="1572">
        <f t="shared" si="314"/>
        <v>0</v>
      </c>
      <c r="DJ37" s="1572">
        <f t="shared" si="314"/>
        <v>0</v>
      </c>
      <c r="DK37" s="1572">
        <f t="shared" si="314"/>
        <v>0</v>
      </c>
      <c r="DL37" s="1572">
        <f t="shared" si="314"/>
        <v>0</v>
      </c>
      <c r="DM37" s="1572">
        <f t="shared" si="314"/>
        <v>0</v>
      </c>
      <c r="DN37" s="1572">
        <f t="shared" si="314"/>
        <v>0</v>
      </c>
      <c r="DO37" s="1572">
        <f t="shared" si="314"/>
        <v>0</v>
      </c>
      <c r="DP37" s="1572">
        <f t="shared" si="314"/>
        <v>0</v>
      </c>
      <c r="DQ37" s="1572">
        <f t="shared" si="315"/>
        <v>0</v>
      </c>
      <c r="DR37" s="1572">
        <f t="shared" si="315"/>
        <v>0</v>
      </c>
      <c r="DS37" s="1572">
        <f t="shared" si="315"/>
        <v>0</v>
      </c>
      <c r="DT37" s="1572">
        <f t="shared" si="315"/>
        <v>0</v>
      </c>
      <c r="DU37" s="1572">
        <f t="shared" si="315"/>
        <v>0</v>
      </c>
      <c r="DV37" s="1572">
        <f t="shared" si="315"/>
        <v>0</v>
      </c>
      <c r="DW37" s="1572">
        <f t="shared" si="315"/>
        <v>0</v>
      </c>
      <c r="DX37" s="1572">
        <f t="shared" si="315"/>
        <v>0</v>
      </c>
      <c r="DY37" s="1572"/>
      <c r="DZ37" s="1572"/>
      <c r="EA37" s="1572"/>
      <c r="EB37" s="1572"/>
      <c r="EC37" s="1572"/>
      <c r="ED37" s="1572">
        <f t="shared" si="316"/>
        <v>0</v>
      </c>
      <c r="EE37" s="79"/>
      <c r="EF37" s="1572">
        <f t="shared" si="317"/>
        <v>0</v>
      </c>
      <c r="EG37" s="1572">
        <f t="shared" si="317"/>
        <v>0</v>
      </c>
      <c r="EH37" s="1572">
        <f t="shared" si="317"/>
        <v>0</v>
      </c>
      <c r="EI37" s="1572">
        <f t="shared" si="317"/>
        <v>0</v>
      </c>
      <c r="EJ37" s="1572">
        <f t="shared" si="317"/>
        <v>0</v>
      </c>
      <c r="EK37" s="1572">
        <f t="shared" si="317"/>
        <v>0</v>
      </c>
      <c r="EL37" s="1572">
        <f t="shared" si="317"/>
        <v>0</v>
      </c>
      <c r="EM37" s="1572">
        <f t="shared" si="317"/>
        <v>0</v>
      </c>
      <c r="EN37" s="1572">
        <f t="shared" si="317"/>
        <v>0</v>
      </c>
      <c r="EO37" s="1572">
        <f t="shared" si="317"/>
        <v>0</v>
      </c>
      <c r="EP37" s="1572">
        <f t="shared" si="317"/>
        <v>0</v>
      </c>
      <c r="EQ37" s="1572">
        <f t="shared" si="317"/>
        <v>0</v>
      </c>
      <c r="ER37" s="1572">
        <f t="shared" si="317"/>
        <v>0</v>
      </c>
      <c r="ES37" s="1572">
        <f t="shared" si="317"/>
        <v>0</v>
      </c>
      <c r="ET37" s="1572">
        <f t="shared" si="317"/>
        <v>0</v>
      </c>
      <c r="EU37" s="1572">
        <f t="shared" si="317"/>
        <v>0</v>
      </c>
      <c r="EV37" s="1572">
        <f t="shared" si="318"/>
        <v>0</v>
      </c>
      <c r="EW37" s="1572">
        <f t="shared" si="319"/>
        <v>0</v>
      </c>
      <c r="EX37" s="1572">
        <f t="shared" si="320"/>
        <v>0</v>
      </c>
      <c r="EY37" s="1572">
        <f t="shared" si="321"/>
        <v>0</v>
      </c>
      <c r="EZ37" s="1572">
        <f t="shared" si="322"/>
        <v>0</v>
      </c>
      <c r="FA37" s="1572">
        <f t="shared" si="323"/>
        <v>0</v>
      </c>
      <c r="FB37" s="1572">
        <f t="shared" si="324"/>
        <v>0</v>
      </c>
      <c r="FC37" s="1572">
        <f t="shared" si="325"/>
        <v>0</v>
      </c>
      <c r="FD37" s="1572">
        <f t="shared" si="326"/>
        <v>0</v>
      </c>
      <c r="FE37" s="1572">
        <f t="shared" si="327"/>
        <v>0</v>
      </c>
      <c r="FF37" s="1572">
        <f t="shared" si="328"/>
        <v>0</v>
      </c>
      <c r="FG37" s="1572">
        <f t="shared" si="329"/>
        <v>0</v>
      </c>
      <c r="FH37" s="1572">
        <f t="shared" si="330"/>
        <v>0</v>
      </c>
      <c r="FI37" s="1572">
        <f t="shared" si="331"/>
        <v>0</v>
      </c>
    </row>
    <row r="38" spans="1:165">
      <c r="A38" s="595"/>
      <c r="B38" s="598"/>
      <c r="C38" s="599"/>
      <c r="F38" s="1450"/>
      <c r="G38" s="1568" t="s">
        <v>1718</v>
      </c>
      <c r="H38" s="1569"/>
      <c r="I38" s="1569"/>
      <c r="J38" s="867"/>
      <c r="K38" s="97"/>
      <c r="L38" s="1479">
        <f>'Sistemas-Manutenção'!L34</f>
        <v>0</v>
      </c>
      <c r="M38" s="1479">
        <f>'Sistemas-Manutenção'!M34</f>
        <v>0</v>
      </c>
      <c r="N38" s="1479">
        <f>'Sistemas-Manutenção'!N34</f>
        <v>0</v>
      </c>
      <c r="O38" s="1479">
        <f>'Sistemas-Manutenção'!O34</f>
        <v>0</v>
      </c>
      <c r="P38" s="1479">
        <f>'Sistemas-Manutenção'!P34</f>
        <v>0</v>
      </c>
      <c r="Q38" s="1479">
        <f>'Sistemas-Manutenção'!Q34</f>
        <v>0</v>
      </c>
      <c r="R38" s="1479">
        <f>'Sistemas-Manutenção'!R34</f>
        <v>0</v>
      </c>
      <c r="S38" s="1479">
        <f>'Sistemas-Manutenção'!S34</f>
        <v>0</v>
      </c>
      <c r="T38" s="1479">
        <f>'Sistemas-Manutenção'!T34</f>
        <v>0</v>
      </c>
      <c r="U38" s="1479">
        <f>'Sistemas-Manutenção'!U34</f>
        <v>0</v>
      </c>
      <c r="V38" s="1479">
        <f>'Sistemas-Manutenção'!V34</f>
        <v>0</v>
      </c>
      <c r="W38" s="1479">
        <f>'Sistemas-Manutenção'!W34</f>
        <v>0</v>
      </c>
      <c r="X38" s="1479">
        <f>'Sistemas-Manutenção'!X34</f>
        <v>0</v>
      </c>
      <c r="Y38" s="1479">
        <f>'Sistemas-Manutenção'!Y34</f>
        <v>0</v>
      </c>
      <c r="Z38" s="1479">
        <f>'Sistemas-Manutenção'!Z34</f>
        <v>0</v>
      </c>
      <c r="AA38" s="1479">
        <f>'Sistemas-Manutenção'!AA34</f>
        <v>0</v>
      </c>
      <c r="AB38" s="1479">
        <f>'Sistemas-Manutenção'!AB34</f>
        <v>0</v>
      </c>
      <c r="AC38" s="1479">
        <f>'Sistemas-Manutenção'!AC34</f>
        <v>0</v>
      </c>
      <c r="AD38" s="1479">
        <f>'Sistemas-Manutenção'!AD34</f>
        <v>0</v>
      </c>
      <c r="AE38" s="1479">
        <f>'Sistemas-Manutenção'!AE34</f>
        <v>0</v>
      </c>
      <c r="AF38" s="1479">
        <f>'Sistemas-Manutenção'!AF34</f>
        <v>0</v>
      </c>
      <c r="AG38" s="1479">
        <f>'Sistemas-Manutenção'!AG34</f>
        <v>0</v>
      </c>
      <c r="AH38" s="1479">
        <f>'Sistemas-Manutenção'!AH34</f>
        <v>0</v>
      </c>
      <c r="AI38" s="1479">
        <f>'Sistemas-Manutenção'!AI34</f>
        <v>0</v>
      </c>
      <c r="AJ38" s="1479">
        <f>'Sistemas-Manutenção'!AJ34</f>
        <v>0</v>
      </c>
      <c r="AK38" s="1479">
        <f>'Sistemas-Manutenção'!AK34</f>
        <v>0</v>
      </c>
      <c r="AL38" s="1479">
        <f>'Sistemas-Manutenção'!AL34</f>
        <v>0</v>
      </c>
      <c r="AM38" s="1479">
        <f>'Sistemas-Manutenção'!AM34</f>
        <v>0</v>
      </c>
      <c r="AN38" s="1479">
        <f>'Sistemas-Manutenção'!AN34</f>
        <v>0</v>
      </c>
      <c r="AO38" s="1479">
        <f>'Sistemas-Manutenção'!AO34</f>
        <v>0</v>
      </c>
      <c r="AP38" s="77"/>
      <c r="AQ38" s="1479">
        <f t="shared" si="304"/>
        <v>0</v>
      </c>
      <c r="AR38" s="1479">
        <f t="shared" si="304"/>
        <v>0</v>
      </c>
      <c r="AS38" s="1479">
        <f t="shared" si="304"/>
        <v>0</v>
      </c>
      <c r="AT38" s="1479">
        <f t="shared" si="304"/>
        <v>0</v>
      </c>
      <c r="AU38" s="1479">
        <f t="shared" si="304"/>
        <v>0</v>
      </c>
      <c r="AV38" s="1479">
        <f t="shared" si="304"/>
        <v>0</v>
      </c>
      <c r="AW38" s="1479">
        <f t="shared" si="304"/>
        <v>0</v>
      </c>
      <c r="AX38" s="1479">
        <f t="shared" si="304"/>
        <v>0</v>
      </c>
      <c r="AY38" s="1479">
        <f t="shared" si="304"/>
        <v>0</v>
      </c>
      <c r="AZ38" s="1479">
        <f t="shared" si="304"/>
        <v>0</v>
      </c>
      <c r="BA38" s="1479">
        <f t="shared" si="304"/>
        <v>0</v>
      </c>
      <c r="BB38" s="1479">
        <f t="shared" si="304"/>
        <v>0</v>
      </c>
      <c r="BC38" s="1479">
        <f t="shared" si="304"/>
        <v>0</v>
      </c>
      <c r="BD38" s="1479">
        <f t="shared" si="304"/>
        <v>0</v>
      </c>
      <c r="BE38" s="1479">
        <f t="shared" si="304"/>
        <v>0</v>
      </c>
      <c r="BF38" s="1479">
        <f t="shared" si="304"/>
        <v>0</v>
      </c>
      <c r="BG38" s="1479">
        <f t="shared" si="305"/>
        <v>0</v>
      </c>
      <c r="BH38" s="1479">
        <f t="shared" si="306"/>
        <v>0</v>
      </c>
      <c r="BI38" s="1479">
        <f t="shared" si="307"/>
        <v>0</v>
      </c>
      <c r="BJ38" s="1479">
        <f t="shared" si="308"/>
        <v>0</v>
      </c>
      <c r="BK38" s="1479">
        <f t="shared" si="309"/>
        <v>0</v>
      </c>
      <c r="BL38" s="1479">
        <f t="shared" si="310"/>
        <v>0</v>
      </c>
      <c r="BM38" s="1479">
        <f t="shared" si="311"/>
        <v>0</v>
      </c>
      <c r="BN38" s="1479">
        <f t="shared" si="312"/>
        <v>0</v>
      </c>
      <c r="BO38" s="1479"/>
      <c r="BP38" s="1479"/>
      <c r="BQ38" s="1479"/>
      <c r="BR38" s="1479"/>
      <c r="BS38" s="1479"/>
      <c r="BT38" s="1479">
        <f t="shared" si="313"/>
        <v>0</v>
      </c>
      <c r="BU38" s="77"/>
      <c r="BV38" s="1571"/>
      <c r="BW38" s="1571"/>
      <c r="BX38" s="1571"/>
      <c r="BY38" s="1571"/>
      <c r="BZ38" s="1571"/>
      <c r="CA38" s="1571"/>
      <c r="CB38" s="1571"/>
      <c r="CC38" s="1571"/>
      <c r="CD38" s="1571"/>
      <c r="CE38" s="1571"/>
      <c r="CF38" s="1571"/>
      <c r="CG38" s="1571"/>
      <c r="CH38" s="1571"/>
      <c r="CI38" s="1571"/>
      <c r="CJ38" s="1571"/>
      <c r="CK38" s="1571"/>
      <c r="CL38" s="1571"/>
      <c r="CM38" s="1571"/>
      <c r="CN38" s="1571"/>
      <c r="CO38" s="1571"/>
      <c r="CP38" s="1571"/>
      <c r="CQ38" s="1571"/>
      <c r="CR38" s="1571"/>
      <c r="CS38" s="1571"/>
      <c r="CT38" s="1571"/>
      <c r="CU38" s="1571"/>
      <c r="CV38" s="1571"/>
      <c r="CW38" s="1571"/>
      <c r="CX38" s="1571"/>
      <c r="CY38" s="1571"/>
      <c r="CZ38" s="78"/>
      <c r="DA38" s="1572">
        <f t="shared" si="314"/>
        <v>0</v>
      </c>
      <c r="DB38" s="1572">
        <f t="shared" si="314"/>
        <v>0</v>
      </c>
      <c r="DC38" s="1572">
        <f t="shared" si="314"/>
        <v>0</v>
      </c>
      <c r="DD38" s="1572">
        <f t="shared" si="314"/>
        <v>0</v>
      </c>
      <c r="DE38" s="1572">
        <f t="shared" si="314"/>
        <v>0</v>
      </c>
      <c r="DF38" s="1572">
        <f t="shared" si="314"/>
        <v>0</v>
      </c>
      <c r="DG38" s="1572">
        <f t="shared" si="314"/>
        <v>0</v>
      </c>
      <c r="DH38" s="1572">
        <f t="shared" si="314"/>
        <v>0</v>
      </c>
      <c r="DI38" s="1572">
        <f t="shared" si="314"/>
        <v>0</v>
      </c>
      <c r="DJ38" s="1572">
        <f t="shared" si="314"/>
        <v>0</v>
      </c>
      <c r="DK38" s="1572">
        <f t="shared" si="314"/>
        <v>0</v>
      </c>
      <c r="DL38" s="1572">
        <f t="shared" si="314"/>
        <v>0</v>
      </c>
      <c r="DM38" s="1572">
        <f t="shared" si="314"/>
        <v>0</v>
      </c>
      <c r="DN38" s="1572">
        <f t="shared" si="314"/>
        <v>0</v>
      </c>
      <c r="DO38" s="1572">
        <f t="shared" si="314"/>
        <v>0</v>
      </c>
      <c r="DP38" s="1572">
        <f t="shared" si="314"/>
        <v>0</v>
      </c>
      <c r="DQ38" s="1572">
        <f t="shared" si="315"/>
        <v>0</v>
      </c>
      <c r="DR38" s="1572">
        <f t="shared" si="315"/>
        <v>0</v>
      </c>
      <c r="DS38" s="1572">
        <f t="shared" si="315"/>
        <v>0</v>
      </c>
      <c r="DT38" s="1572">
        <f t="shared" si="315"/>
        <v>0</v>
      </c>
      <c r="DU38" s="1572">
        <f t="shared" si="315"/>
        <v>0</v>
      </c>
      <c r="DV38" s="1572">
        <f t="shared" si="315"/>
        <v>0</v>
      </c>
      <c r="DW38" s="1572">
        <f t="shared" si="315"/>
        <v>0</v>
      </c>
      <c r="DX38" s="1572">
        <f t="shared" si="315"/>
        <v>0</v>
      </c>
      <c r="DY38" s="1572"/>
      <c r="DZ38" s="1572"/>
      <c r="EA38" s="1572"/>
      <c r="EB38" s="1572"/>
      <c r="EC38" s="1572"/>
      <c r="ED38" s="1572">
        <f t="shared" si="316"/>
        <v>0</v>
      </c>
      <c r="EE38" s="79"/>
      <c r="EF38" s="1572">
        <f t="shared" si="317"/>
        <v>0</v>
      </c>
      <c r="EG38" s="1572">
        <f t="shared" si="317"/>
        <v>0</v>
      </c>
      <c r="EH38" s="1572">
        <f t="shared" si="317"/>
        <v>0</v>
      </c>
      <c r="EI38" s="1572">
        <f t="shared" si="317"/>
        <v>0</v>
      </c>
      <c r="EJ38" s="1572">
        <f t="shared" si="317"/>
        <v>0</v>
      </c>
      <c r="EK38" s="1572">
        <f t="shared" si="317"/>
        <v>0</v>
      </c>
      <c r="EL38" s="1572">
        <f t="shared" si="317"/>
        <v>0</v>
      </c>
      <c r="EM38" s="1572">
        <f t="shared" si="317"/>
        <v>0</v>
      </c>
      <c r="EN38" s="1572">
        <f t="shared" si="317"/>
        <v>0</v>
      </c>
      <c r="EO38" s="1572">
        <f t="shared" si="317"/>
        <v>0</v>
      </c>
      <c r="EP38" s="1572">
        <f t="shared" si="317"/>
        <v>0</v>
      </c>
      <c r="EQ38" s="1572">
        <f t="shared" si="317"/>
        <v>0</v>
      </c>
      <c r="ER38" s="1572">
        <f t="shared" si="317"/>
        <v>0</v>
      </c>
      <c r="ES38" s="1572">
        <f t="shared" si="317"/>
        <v>0</v>
      </c>
      <c r="ET38" s="1572">
        <f t="shared" si="317"/>
        <v>0</v>
      </c>
      <c r="EU38" s="1572">
        <f t="shared" si="317"/>
        <v>0</v>
      </c>
      <c r="EV38" s="1572">
        <f t="shared" si="318"/>
        <v>0</v>
      </c>
      <c r="EW38" s="1572">
        <f t="shared" si="319"/>
        <v>0</v>
      </c>
      <c r="EX38" s="1572">
        <f t="shared" si="320"/>
        <v>0</v>
      </c>
      <c r="EY38" s="1572">
        <f t="shared" si="321"/>
        <v>0</v>
      </c>
      <c r="EZ38" s="1572">
        <f t="shared" si="322"/>
        <v>0</v>
      </c>
      <c r="FA38" s="1572">
        <f t="shared" si="323"/>
        <v>0</v>
      </c>
      <c r="FB38" s="1572">
        <f t="shared" si="324"/>
        <v>0</v>
      </c>
      <c r="FC38" s="1572">
        <f t="shared" si="325"/>
        <v>0</v>
      </c>
      <c r="FD38" s="1572">
        <f t="shared" si="326"/>
        <v>0</v>
      </c>
      <c r="FE38" s="1572">
        <f t="shared" si="327"/>
        <v>0</v>
      </c>
      <c r="FF38" s="1572">
        <f t="shared" si="328"/>
        <v>0</v>
      </c>
      <c r="FG38" s="1572">
        <f t="shared" si="329"/>
        <v>0</v>
      </c>
      <c r="FH38" s="1572">
        <f t="shared" si="330"/>
        <v>0</v>
      </c>
      <c r="FI38" s="1572">
        <f t="shared" si="331"/>
        <v>0</v>
      </c>
    </row>
    <row r="39" spans="1:165">
      <c r="A39" s="595"/>
      <c r="B39" s="598"/>
      <c r="C39" s="599"/>
      <c r="F39" s="1450"/>
      <c r="G39" s="1568" t="s">
        <v>1718</v>
      </c>
      <c r="H39" s="1569">
        <f>'Sistemas - Cotações'!F25</f>
        <v>0</v>
      </c>
      <c r="I39" s="1569">
        <f t="shared" ref="I39" si="362">H39*0.8</f>
        <v>0</v>
      </c>
      <c r="J39" s="867">
        <f>'Sistemas - Cotações'!H25</f>
        <v>0</v>
      </c>
      <c r="K39" s="97"/>
      <c r="L39" s="1479">
        <f>'Sistemas-Manutenção'!L35</f>
        <v>0</v>
      </c>
      <c r="M39" s="1479">
        <f>'Sistemas-Manutenção'!M35</f>
        <v>0</v>
      </c>
      <c r="N39" s="1479">
        <f>'Sistemas-Manutenção'!N35</f>
        <v>0</v>
      </c>
      <c r="O39" s="1479">
        <f>'Sistemas-Manutenção'!O35</f>
        <v>0</v>
      </c>
      <c r="P39" s="1479">
        <f>'Sistemas-Manutenção'!P35</f>
        <v>0</v>
      </c>
      <c r="Q39" s="1479">
        <f>'Sistemas-Manutenção'!Q35</f>
        <v>0</v>
      </c>
      <c r="R39" s="1479">
        <f>'Sistemas-Manutenção'!R35</f>
        <v>0</v>
      </c>
      <c r="S39" s="1479">
        <f>'Sistemas-Manutenção'!S35</f>
        <v>0</v>
      </c>
      <c r="T39" s="1479">
        <f>'Sistemas-Manutenção'!T35</f>
        <v>0</v>
      </c>
      <c r="U39" s="1479">
        <f>'Sistemas-Manutenção'!U35</f>
        <v>0</v>
      </c>
      <c r="V39" s="1479">
        <f>'Sistemas-Manutenção'!V35</f>
        <v>0</v>
      </c>
      <c r="W39" s="1479">
        <f>'Sistemas-Manutenção'!W35</f>
        <v>0</v>
      </c>
      <c r="X39" s="1479">
        <f>'Sistemas-Manutenção'!X35</f>
        <v>0</v>
      </c>
      <c r="Y39" s="1479">
        <f>'Sistemas-Manutenção'!Y35</f>
        <v>0</v>
      </c>
      <c r="Z39" s="1479">
        <f>'Sistemas-Manutenção'!Z35</f>
        <v>0</v>
      </c>
      <c r="AA39" s="1479">
        <f>'Sistemas-Manutenção'!AA35</f>
        <v>0</v>
      </c>
      <c r="AB39" s="1479">
        <f>'Sistemas-Manutenção'!AB35</f>
        <v>0</v>
      </c>
      <c r="AC39" s="1479">
        <f>'Sistemas-Manutenção'!AC35</f>
        <v>0</v>
      </c>
      <c r="AD39" s="1479">
        <f>'Sistemas-Manutenção'!AD35</f>
        <v>0</v>
      </c>
      <c r="AE39" s="1479">
        <f>'Sistemas-Manutenção'!AE35</f>
        <v>0</v>
      </c>
      <c r="AF39" s="1479">
        <f>'Sistemas-Manutenção'!AF35</f>
        <v>0</v>
      </c>
      <c r="AG39" s="1479">
        <f>'Sistemas-Manutenção'!AG35</f>
        <v>0</v>
      </c>
      <c r="AH39" s="1479">
        <f>'Sistemas-Manutenção'!AH35</f>
        <v>0</v>
      </c>
      <c r="AI39" s="1479">
        <f>'Sistemas-Manutenção'!AI35</f>
        <v>0</v>
      </c>
      <c r="AJ39" s="1479">
        <f>'Sistemas-Manutenção'!AJ35</f>
        <v>0</v>
      </c>
      <c r="AK39" s="1479">
        <f>'Sistemas-Manutenção'!AK35</f>
        <v>0</v>
      </c>
      <c r="AL39" s="1479">
        <f>'Sistemas-Manutenção'!AL35</f>
        <v>0</v>
      </c>
      <c r="AM39" s="1479">
        <f>'Sistemas-Manutenção'!AM35</f>
        <v>0</v>
      </c>
      <c r="AN39" s="1479">
        <f>'Sistemas-Manutenção'!AN35</f>
        <v>0</v>
      </c>
      <c r="AO39" s="1479">
        <f>'Sistemas-Manutenção'!AO35</f>
        <v>0</v>
      </c>
      <c r="AP39" s="77"/>
      <c r="AQ39" s="1479">
        <f t="shared" si="304"/>
        <v>0</v>
      </c>
      <c r="AR39" s="1479">
        <f t="shared" si="304"/>
        <v>0</v>
      </c>
      <c r="AS39" s="1479">
        <f t="shared" si="304"/>
        <v>0</v>
      </c>
      <c r="AT39" s="1479">
        <f t="shared" si="304"/>
        <v>0</v>
      </c>
      <c r="AU39" s="1479">
        <f t="shared" si="304"/>
        <v>0</v>
      </c>
      <c r="AV39" s="1479">
        <f t="shared" si="304"/>
        <v>0</v>
      </c>
      <c r="AW39" s="1479">
        <f t="shared" si="304"/>
        <v>0</v>
      </c>
      <c r="AX39" s="1479">
        <f t="shared" si="304"/>
        <v>0</v>
      </c>
      <c r="AY39" s="1479">
        <f t="shared" si="304"/>
        <v>0</v>
      </c>
      <c r="AZ39" s="1479">
        <f t="shared" si="304"/>
        <v>0</v>
      </c>
      <c r="BA39" s="1479">
        <f t="shared" si="304"/>
        <v>0</v>
      </c>
      <c r="BB39" s="1479">
        <f t="shared" si="304"/>
        <v>0</v>
      </c>
      <c r="BC39" s="1479">
        <f t="shared" si="304"/>
        <v>0</v>
      </c>
      <c r="BD39" s="1479">
        <f t="shared" si="304"/>
        <v>0</v>
      </c>
      <c r="BE39" s="1479">
        <f t="shared" si="304"/>
        <v>0</v>
      </c>
      <c r="BF39" s="1479">
        <f t="shared" si="304"/>
        <v>0</v>
      </c>
      <c r="BG39" s="1479">
        <f t="shared" si="305"/>
        <v>0</v>
      </c>
      <c r="BH39" s="1479">
        <f t="shared" si="306"/>
        <v>0</v>
      </c>
      <c r="BI39" s="1479">
        <f t="shared" si="307"/>
        <v>0</v>
      </c>
      <c r="BJ39" s="1479">
        <f t="shared" si="308"/>
        <v>0</v>
      </c>
      <c r="BK39" s="1479">
        <f t="shared" si="309"/>
        <v>0</v>
      </c>
      <c r="BL39" s="1479">
        <f t="shared" si="310"/>
        <v>0</v>
      </c>
      <c r="BM39" s="1479">
        <f t="shared" si="311"/>
        <v>0</v>
      </c>
      <c r="BN39" s="1479">
        <f t="shared" si="312"/>
        <v>0</v>
      </c>
      <c r="BO39" s="1479"/>
      <c r="BP39" s="1479"/>
      <c r="BQ39" s="1479"/>
      <c r="BR39" s="1479"/>
      <c r="BS39" s="1479"/>
      <c r="BT39" s="1479">
        <f t="shared" si="313"/>
        <v>0</v>
      </c>
      <c r="BU39" s="77"/>
      <c r="BV39" s="1571"/>
      <c r="BW39" s="1571"/>
      <c r="BX39" s="1571"/>
      <c r="BY39" s="1571"/>
      <c r="BZ39" s="1571"/>
      <c r="CA39" s="1571"/>
      <c r="CB39" s="1571"/>
      <c r="CC39" s="1571"/>
      <c r="CD39" s="1571"/>
      <c r="CE39" s="1571"/>
      <c r="CF39" s="1571"/>
      <c r="CG39" s="1571"/>
      <c r="CH39" s="1571"/>
      <c r="CI39" s="1571"/>
      <c r="CJ39" s="1571"/>
      <c r="CK39" s="1571"/>
      <c r="CL39" s="1571"/>
      <c r="CM39" s="1571"/>
      <c r="CN39" s="1571"/>
      <c r="CO39" s="1571"/>
      <c r="CP39" s="1571"/>
      <c r="CQ39" s="1571"/>
      <c r="CR39" s="1571"/>
      <c r="CS39" s="1571"/>
      <c r="CT39" s="1571"/>
      <c r="CU39" s="1571"/>
      <c r="CV39" s="1571"/>
      <c r="CW39" s="1571"/>
      <c r="CX39" s="1571"/>
      <c r="CY39" s="1571"/>
      <c r="CZ39" s="78"/>
      <c r="DA39" s="1572">
        <f t="shared" si="314"/>
        <v>0</v>
      </c>
      <c r="DB39" s="1572">
        <f t="shared" si="314"/>
        <v>0</v>
      </c>
      <c r="DC39" s="1572">
        <f t="shared" si="314"/>
        <v>0</v>
      </c>
      <c r="DD39" s="1572">
        <f t="shared" si="314"/>
        <v>0</v>
      </c>
      <c r="DE39" s="1572">
        <f t="shared" si="314"/>
        <v>0</v>
      </c>
      <c r="DF39" s="1572">
        <f t="shared" si="314"/>
        <v>0</v>
      </c>
      <c r="DG39" s="1572">
        <f t="shared" si="314"/>
        <v>0</v>
      </c>
      <c r="DH39" s="1572">
        <f t="shared" si="314"/>
        <v>0</v>
      </c>
      <c r="DI39" s="1572">
        <f t="shared" si="314"/>
        <v>0</v>
      </c>
      <c r="DJ39" s="1572">
        <f t="shared" si="314"/>
        <v>0</v>
      </c>
      <c r="DK39" s="1572">
        <f t="shared" si="314"/>
        <v>0</v>
      </c>
      <c r="DL39" s="1572">
        <f t="shared" si="314"/>
        <v>0</v>
      </c>
      <c r="DM39" s="1572">
        <f t="shared" si="314"/>
        <v>0</v>
      </c>
      <c r="DN39" s="1572">
        <f t="shared" si="314"/>
        <v>0</v>
      </c>
      <c r="DO39" s="1572">
        <f t="shared" si="314"/>
        <v>0</v>
      </c>
      <c r="DP39" s="1572">
        <f t="shared" si="314"/>
        <v>0</v>
      </c>
      <c r="DQ39" s="1572">
        <f t="shared" si="315"/>
        <v>0</v>
      </c>
      <c r="DR39" s="1572">
        <f t="shared" si="315"/>
        <v>0</v>
      </c>
      <c r="DS39" s="1572">
        <f t="shared" si="315"/>
        <v>0</v>
      </c>
      <c r="DT39" s="1572">
        <f t="shared" si="315"/>
        <v>0</v>
      </c>
      <c r="DU39" s="1572">
        <f t="shared" si="315"/>
        <v>0</v>
      </c>
      <c r="DV39" s="1572">
        <f t="shared" si="315"/>
        <v>0</v>
      </c>
      <c r="DW39" s="1572">
        <f t="shared" si="315"/>
        <v>0</v>
      </c>
      <c r="DX39" s="1572">
        <f t="shared" si="315"/>
        <v>0</v>
      </c>
      <c r="DY39" s="1572"/>
      <c r="DZ39" s="1572"/>
      <c r="EA39" s="1572"/>
      <c r="EB39" s="1572"/>
      <c r="EC39" s="1572"/>
      <c r="ED39" s="1572">
        <f t="shared" si="316"/>
        <v>0</v>
      </c>
      <c r="EE39" s="79"/>
      <c r="EF39" s="1572">
        <f t="shared" si="317"/>
        <v>0</v>
      </c>
      <c r="EG39" s="1572">
        <f t="shared" si="317"/>
        <v>0</v>
      </c>
      <c r="EH39" s="1572">
        <f t="shared" si="317"/>
        <v>0</v>
      </c>
      <c r="EI39" s="1572">
        <f t="shared" si="317"/>
        <v>0</v>
      </c>
      <c r="EJ39" s="1572">
        <f t="shared" si="317"/>
        <v>0</v>
      </c>
      <c r="EK39" s="1572">
        <f t="shared" si="317"/>
        <v>0</v>
      </c>
      <c r="EL39" s="1572">
        <f t="shared" si="317"/>
        <v>0</v>
      </c>
      <c r="EM39" s="1572">
        <f t="shared" si="317"/>
        <v>0</v>
      </c>
      <c r="EN39" s="1572">
        <f t="shared" si="317"/>
        <v>0</v>
      </c>
      <c r="EO39" s="1572">
        <f t="shared" si="317"/>
        <v>0</v>
      </c>
      <c r="EP39" s="1572">
        <f t="shared" si="317"/>
        <v>0</v>
      </c>
      <c r="EQ39" s="1572">
        <f t="shared" si="317"/>
        <v>0</v>
      </c>
      <c r="ER39" s="1572">
        <f t="shared" si="317"/>
        <v>0</v>
      </c>
      <c r="ES39" s="1572">
        <f t="shared" si="317"/>
        <v>0</v>
      </c>
      <c r="ET39" s="1572">
        <f t="shared" si="317"/>
        <v>0</v>
      </c>
      <c r="EU39" s="1572">
        <f t="shared" si="317"/>
        <v>0</v>
      </c>
      <c r="EV39" s="1572">
        <f t="shared" si="318"/>
        <v>0</v>
      </c>
      <c r="EW39" s="1572">
        <f t="shared" si="319"/>
        <v>0</v>
      </c>
      <c r="EX39" s="1572">
        <f t="shared" si="320"/>
        <v>0</v>
      </c>
      <c r="EY39" s="1572">
        <f t="shared" si="321"/>
        <v>0</v>
      </c>
      <c r="EZ39" s="1572">
        <f t="shared" si="322"/>
        <v>0</v>
      </c>
      <c r="FA39" s="1572">
        <f t="shared" si="323"/>
        <v>0</v>
      </c>
      <c r="FB39" s="1572">
        <f t="shared" si="324"/>
        <v>0</v>
      </c>
      <c r="FC39" s="1572">
        <f t="shared" si="325"/>
        <v>0</v>
      </c>
      <c r="FD39" s="1572">
        <f t="shared" si="326"/>
        <v>0</v>
      </c>
      <c r="FE39" s="1572">
        <f t="shared" si="327"/>
        <v>0</v>
      </c>
      <c r="FF39" s="1572">
        <f t="shared" si="328"/>
        <v>0</v>
      </c>
      <c r="FG39" s="1572">
        <f t="shared" si="329"/>
        <v>0</v>
      </c>
      <c r="FH39" s="1572">
        <f t="shared" si="330"/>
        <v>0</v>
      </c>
      <c r="FI39" s="1572">
        <f t="shared" si="331"/>
        <v>0</v>
      </c>
    </row>
    <row r="40" spans="1:165">
      <c r="A40" s="595"/>
      <c r="B40" s="598"/>
      <c r="C40" s="599"/>
      <c r="F40" s="1450"/>
      <c r="G40" s="1568" t="s">
        <v>1718</v>
      </c>
      <c r="H40" s="1569"/>
      <c r="I40" s="1569"/>
      <c r="J40" s="867"/>
      <c r="K40" s="97"/>
      <c r="L40" s="1479">
        <f>'Sistemas-Manutenção'!L36</f>
        <v>0</v>
      </c>
      <c r="M40" s="1479">
        <f>'Sistemas-Manutenção'!M36</f>
        <v>0</v>
      </c>
      <c r="N40" s="1479">
        <f>'Sistemas-Manutenção'!N36</f>
        <v>0</v>
      </c>
      <c r="O40" s="1479">
        <f>'Sistemas-Manutenção'!O36</f>
        <v>0</v>
      </c>
      <c r="P40" s="1479">
        <f>'Sistemas-Manutenção'!P36</f>
        <v>0</v>
      </c>
      <c r="Q40" s="1479">
        <f>'Sistemas-Manutenção'!Q36</f>
        <v>0</v>
      </c>
      <c r="R40" s="1479">
        <f>'Sistemas-Manutenção'!R36</f>
        <v>0</v>
      </c>
      <c r="S40" s="1479">
        <f>'Sistemas-Manutenção'!S36</f>
        <v>0</v>
      </c>
      <c r="T40" s="1479">
        <f>'Sistemas-Manutenção'!T36</f>
        <v>0</v>
      </c>
      <c r="U40" s="1479">
        <f>'Sistemas-Manutenção'!U36</f>
        <v>0</v>
      </c>
      <c r="V40" s="1479">
        <f>'Sistemas-Manutenção'!V36</f>
        <v>0</v>
      </c>
      <c r="W40" s="1479">
        <f>'Sistemas-Manutenção'!W36</f>
        <v>0</v>
      </c>
      <c r="X40" s="1479">
        <f>'Sistemas-Manutenção'!X36</f>
        <v>0</v>
      </c>
      <c r="Y40" s="1479">
        <f>'Sistemas-Manutenção'!Y36</f>
        <v>0</v>
      </c>
      <c r="Z40" s="1479">
        <f>'Sistemas-Manutenção'!Z36</f>
        <v>0</v>
      </c>
      <c r="AA40" s="1479">
        <f>'Sistemas-Manutenção'!AA36</f>
        <v>0</v>
      </c>
      <c r="AB40" s="1479">
        <f>'Sistemas-Manutenção'!AB36</f>
        <v>0</v>
      </c>
      <c r="AC40" s="1479">
        <f>'Sistemas-Manutenção'!AC36</f>
        <v>0</v>
      </c>
      <c r="AD40" s="1479">
        <f>'Sistemas-Manutenção'!AD36</f>
        <v>0</v>
      </c>
      <c r="AE40" s="1479">
        <f>'Sistemas-Manutenção'!AE36</f>
        <v>0</v>
      </c>
      <c r="AF40" s="1479">
        <f>'Sistemas-Manutenção'!AF36</f>
        <v>0</v>
      </c>
      <c r="AG40" s="1479">
        <f>'Sistemas-Manutenção'!AG36</f>
        <v>0</v>
      </c>
      <c r="AH40" s="1479">
        <f>'Sistemas-Manutenção'!AH36</f>
        <v>0</v>
      </c>
      <c r="AI40" s="1479">
        <f>'Sistemas-Manutenção'!AI36</f>
        <v>0</v>
      </c>
      <c r="AJ40" s="1479">
        <f>'Sistemas-Manutenção'!AJ36</f>
        <v>0</v>
      </c>
      <c r="AK40" s="1479">
        <f>'Sistemas-Manutenção'!AK36</f>
        <v>0</v>
      </c>
      <c r="AL40" s="1479">
        <f>'Sistemas-Manutenção'!AL36</f>
        <v>0</v>
      </c>
      <c r="AM40" s="1479">
        <f>'Sistemas-Manutenção'!AM36</f>
        <v>0</v>
      </c>
      <c r="AN40" s="1479">
        <f>'Sistemas-Manutenção'!AN36</f>
        <v>0</v>
      </c>
      <c r="AO40" s="1479">
        <f>'Sistemas-Manutenção'!AO36</f>
        <v>0</v>
      </c>
      <c r="AP40" s="77"/>
      <c r="AQ40" s="1479">
        <f t="shared" si="304"/>
        <v>0</v>
      </c>
      <c r="AR40" s="1479">
        <f t="shared" si="304"/>
        <v>0</v>
      </c>
      <c r="AS40" s="1479">
        <f t="shared" si="304"/>
        <v>0</v>
      </c>
      <c r="AT40" s="1479">
        <f t="shared" si="304"/>
        <v>0</v>
      </c>
      <c r="AU40" s="1479">
        <f t="shared" si="304"/>
        <v>0</v>
      </c>
      <c r="AV40" s="1479">
        <f t="shared" si="304"/>
        <v>0</v>
      </c>
      <c r="AW40" s="1479">
        <f t="shared" si="304"/>
        <v>0</v>
      </c>
      <c r="AX40" s="1479">
        <f t="shared" si="304"/>
        <v>0</v>
      </c>
      <c r="AY40" s="1479">
        <f t="shared" si="304"/>
        <v>0</v>
      </c>
      <c r="AZ40" s="1479">
        <f t="shared" si="304"/>
        <v>0</v>
      </c>
      <c r="BA40" s="1479">
        <f t="shared" si="304"/>
        <v>0</v>
      </c>
      <c r="BB40" s="1479">
        <f t="shared" si="304"/>
        <v>0</v>
      </c>
      <c r="BC40" s="1479">
        <f t="shared" si="304"/>
        <v>0</v>
      </c>
      <c r="BD40" s="1479">
        <f t="shared" si="304"/>
        <v>0</v>
      </c>
      <c r="BE40" s="1479">
        <f t="shared" si="304"/>
        <v>0</v>
      </c>
      <c r="BF40" s="1479">
        <f t="shared" si="304"/>
        <v>0</v>
      </c>
      <c r="BG40" s="1479">
        <f t="shared" si="305"/>
        <v>0</v>
      </c>
      <c r="BH40" s="1479">
        <f t="shared" si="306"/>
        <v>0</v>
      </c>
      <c r="BI40" s="1479">
        <f t="shared" si="307"/>
        <v>0</v>
      </c>
      <c r="BJ40" s="1479">
        <f t="shared" si="308"/>
        <v>0</v>
      </c>
      <c r="BK40" s="1479">
        <f t="shared" si="309"/>
        <v>0</v>
      </c>
      <c r="BL40" s="1479">
        <f t="shared" si="310"/>
        <v>0</v>
      </c>
      <c r="BM40" s="1479">
        <f t="shared" si="311"/>
        <v>0</v>
      </c>
      <c r="BN40" s="1479">
        <f t="shared" si="312"/>
        <v>0</v>
      </c>
      <c r="BO40" s="1479"/>
      <c r="BP40" s="1479"/>
      <c r="BQ40" s="1479"/>
      <c r="BR40" s="1479"/>
      <c r="BS40" s="1479"/>
      <c r="BT40" s="1479">
        <f t="shared" si="313"/>
        <v>0</v>
      </c>
      <c r="BU40" s="77"/>
      <c r="BV40" s="1571"/>
      <c r="BW40" s="1571"/>
      <c r="BX40" s="1571"/>
      <c r="BY40" s="1571"/>
      <c r="BZ40" s="1571"/>
      <c r="CA40" s="1571"/>
      <c r="CB40" s="1571"/>
      <c r="CC40" s="1571"/>
      <c r="CD40" s="1571"/>
      <c r="CE40" s="1571"/>
      <c r="CF40" s="1571"/>
      <c r="CG40" s="1571"/>
      <c r="CH40" s="1571"/>
      <c r="CI40" s="1571"/>
      <c r="CJ40" s="1571"/>
      <c r="CK40" s="1571"/>
      <c r="CL40" s="1571"/>
      <c r="CM40" s="1571"/>
      <c r="CN40" s="1571"/>
      <c r="CO40" s="1571"/>
      <c r="CP40" s="1571"/>
      <c r="CQ40" s="1571"/>
      <c r="CR40" s="1571"/>
      <c r="CS40" s="1571"/>
      <c r="CT40" s="1571"/>
      <c r="CU40" s="1571"/>
      <c r="CV40" s="1571"/>
      <c r="CW40" s="1571"/>
      <c r="CX40" s="1571"/>
      <c r="CY40" s="1571"/>
      <c r="CZ40" s="78"/>
      <c r="DA40" s="1572">
        <f t="shared" si="314"/>
        <v>0</v>
      </c>
      <c r="DB40" s="1572">
        <f t="shared" si="314"/>
        <v>0</v>
      </c>
      <c r="DC40" s="1572">
        <f t="shared" si="314"/>
        <v>0</v>
      </c>
      <c r="DD40" s="1572">
        <f t="shared" si="314"/>
        <v>0</v>
      </c>
      <c r="DE40" s="1572">
        <f t="shared" si="314"/>
        <v>0</v>
      </c>
      <c r="DF40" s="1572">
        <f t="shared" si="314"/>
        <v>0</v>
      </c>
      <c r="DG40" s="1572">
        <f t="shared" si="314"/>
        <v>0</v>
      </c>
      <c r="DH40" s="1572">
        <f t="shared" si="314"/>
        <v>0</v>
      </c>
      <c r="DI40" s="1572">
        <f t="shared" si="314"/>
        <v>0</v>
      </c>
      <c r="DJ40" s="1572">
        <f t="shared" si="314"/>
        <v>0</v>
      </c>
      <c r="DK40" s="1572">
        <f t="shared" si="314"/>
        <v>0</v>
      </c>
      <c r="DL40" s="1572">
        <f t="shared" si="314"/>
        <v>0</v>
      </c>
      <c r="DM40" s="1572">
        <f t="shared" si="314"/>
        <v>0</v>
      </c>
      <c r="DN40" s="1572">
        <f t="shared" si="314"/>
        <v>0</v>
      </c>
      <c r="DO40" s="1572">
        <f t="shared" si="314"/>
        <v>0</v>
      </c>
      <c r="DP40" s="1572">
        <f t="shared" si="314"/>
        <v>0</v>
      </c>
      <c r="DQ40" s="1572">
        <f t="shared" si="315"/>
        <v>0</v>
      </c>
      <c r="DR40" s="1572">
        <f t="shared" si="315"/>
        <v>0</v>
      </c>
      <c r="DS40" s="1572">
        <f t="shared" si="315"/>
        <v>0</v>
      </c>
      <c r="DT40" s="1572">
        <f t="shared" si="315"/>
        <v>0</v>
      </c>
      <c r="DU40" s="1572">
        <f t="shared" si="315"/>
        <v>0</v>
      </c>
      <c r="DV40" s="1572">
        <f t="shared" si="315"/>
        <v>0</v>
      </c>
      <c r="DW40" s="1572">
        <f t="shared" si="315"/>
        <v>0</v>
      </c>
      <c r="DX40" s="1572">
        <f t="shared" si="315"/>
        <v>0</v>
      </c>
      <c r="DY40" s="1572"/>
      <c r="DZ40" s="1572"/>
      <c r="EA40" s="1572"/>
      <c r="EB40" s="1572"/>
      <c r="EC40" s="1572"/>
      <c r="ED40" s="1572">
        <f t="shared" si="316"/>
        <v>0</v>
      </c>
      <c r="EE40" s="79"/>
      <c r="EF40" s="1572">
        <f t="shared" si="317"/>
        <v>0</v>
      </c>
      <c r="EG40" s="1572">
        <f t="shared" si="317"/>
        <v>0</v>
      </c>
      <c r="EH40" s="1572">
        <f t="shared" si="317"/>
        <v>0</v>
      </c>
      <c r="EI40" s="1572">
        <f t="shared" si="317"/>
        <v>0</v>
      </c>
      <c r="EJ40" s="1572">
        <f t="shared" si="317"/>
        <v>0</v>
      </c>
      <c r="EK40" s="1572">
        <f t="shared" si="317"/>
        <v>0</v>
      </c>
      <c r="EL40" s="1572">
        <f t="shared" si="317"/>
        <v>0</v>
      </c>
      <c r="EM40" s="1572">
        <f t="shared" si="317"/>
        <v>0</v>
      </c>
      <c r="EN40" s="1572">
        <f t="shared" si="317"/>
        <v>0</v>
      </c>
      <c r="EO40" s="1572">
        <f t="shared" si="317"/>
        <v>0</v>
      </c>
      <c r="EP40" s="1572">
        <f t="shared" si="317"/>
        <v>0</v>
      </c>
      <c r="EQ40" s="1572">
        <f t="shared" si="317"/>
        <v>0</v>
      </c>
      <c r="ER40" s="1572">
        <f t="shared" si="317"/>
        <v>0</v>
      </c>
      <c r="ES40" s="1572">
        <f t="shared" si="317"/>
        <v>0</v>
      </c>
      <c r="ET40" s="1572">
        <f t="shared" si="317"/>
        <v>0</v>
      </c>
      <c r="EU40" s="1572">
        <f t="shared" si="317"/>
        <v>0</v>
      </c>
      <c r="EV40" s="1572">
        <f t="shared" si="318"/>
        <v>0</v>
      </c>
      <c r="EW40" s="1572">
        <f t="shared" si="319"/>
        <v>0</v>
      </c>
      <c r="EX40" s="1572">
        <f t="shared" si="320"/>
        <v>0</v>
      </c>
      <c r="EY40" s="1572">
        <f t="shared" si="321"/>
        <v>0</v>
      </c>
      <c r="EZ40" s="1572">
        <f t="shared" si="322"/>
        <v>0</v>
      </c>
      <c r="FA40" s="1572">
        <f t="shared" si="323"/>
        <v>0</v>
      </c>
      <c r="FB40" s="1572">
        <f t="shared" si="324"/>
        <v>0</v>
      </c>
      <c r="FC40" s="1572">
        <f t="shared" si="325"/>
        <v>0</v>
      </c>
      <c r="FD40" s="1572">
        <f t="shared" si="326"/>
        <v>0</v>
      </c>
      <c r="FE40" s="1572">
        <f t="shared" si="327"/>
        <v>0</v>
      </c>
      <c r="FF40" s="1572">
        <f t="shared" si="328"/>
        <v>0</v>
      </c>
      <c r="FG40" s="1572">
        <f t="shared" si="329"/>
        <v>0</v>
      </c>
      <c r="FH40" s="1572">
        <f t="shared" si="330"/>
        <v>0</v>
      </c>
      <c r="FI40" s="1572">
        <f t="shared" si="331"/>
        <v>0</v>
      </c>
    </row>
    <row r="41" spans="1:165" ht="12.75" customHeight="1">
      <c r="A41" s="595"/>
      <c r="B41" s="598"/>
      <c r="C41" s="599"/>
      <c r="F41" s="1440" t="s">
        <v>1642</v>
      </c>
      <c r="G41" s="1568" t="s">
        <v>1718</v>
      </c>
      <c r="H41" s="1569">
        <f>'Sistemas - Cotações'!F39</f>
        <v>0</v>
      </c>
      <c r="I41" s="1569">
        <f>H41*0.6</f>
        <v>0</v>
      </c>
      <c r="J41" s="867">
        <v>3</v>
      </c>
      <c r="K41" s="97"/>
      <c r="L41" s="1479">
        <f ca="1">'Sistemas-Manutenção'!L37</f>
        <v>35</v>
      </c>
      <c r="M41" s="1479">
        <f ca="1">'Sistemas-Manutenção'!M37</f>
        <v>35</v>
      </c>
      <c r="N41" s="1479">
        <f ca="1">'Sistemas-Manutenção'!N37</f>
        <v>35</v>
      </c>
      <c r="O41" s="1479">
        <f ca="1">'Sistemas-Manutenção'!O37</f>
        <v>35</v>
      </c>
      <c r="P41" s="1479">
        <f ca="1">'Sistemas-Manutenção'!P37</f>
        <v>35</v>
      </c>
      <c r="Q41" s="1479">
        <f ca="1">'Sistemas-Manutenção'!Q37</f>
        <v>35</v>
      </c>
      <c r="R41" s="1479">
        <f ca="1">'Sistemas-Manutenção'!R37</f>
        <v>35</v>
      </c>
      <c r="S41" s="1479">
        <f ca="1">'Sistemas-Manutenção'!S37</f>
        <v>35</v>
      </c>
      <c r="T41" s="1479">
        <f ca="1">'Sistemas-Manutenção'!T37</f>
        <v>35</v>
      </c>
      <c r="U41" s="1479">
        <f ca="1">'Sistemas-Manutenção'!U37</f>
        <v>35</v>
      </c>
      <c r="V41" s="1479">
        <f ca="1">'Sistemas-Manutenção'!V37</f>
        <v>35</v>
      </c>
      <c r="W41" s="1479">
        <f ca="1">'Sistemas-Manutenção'!W37</f>
        <v>35</v>
      </c>
      <c r="X41" s="1479">
        <f ca="1">'Sistemas-Manutenção'!X37</f>
        <v>35</v>
      </c>
      <c r="Y41" s="1479">
        <f ca="1">'Sistemas-Manutenção'!Y37</f>
        <v>35</v>
      </c>
      <c r="Z41" s="1479">
        <f ca="1">'Sistemas-Manutenção'!Z37</f>
        <v>35</v>
      </c>
      <c r="AA41" s="1479">
        <f ca="1">'Sistemas-Manutenção'!AA37</f>
        <v>35</v>
      </c>
      <c r="AB41" s="1479">
        <f ca="1">'Sistemas-Manutenção'!AB37</f>
        <v>35</v>
      </c>
      <c r="AC41" s="1479">
        <f ca="1">'Sistemas-Manutenção'!AC37</f>
        <v>35</v>
      </c>
      <c r="AD41" s="1479">
        <f ca="1">'Sistemas-Manutenção'!AD37</f>
        <v>35</v>
      </c>
      <c r="AE41" s="1479">
        <f ca="1">'Sistemas-Manutenção'!AE37</f>
        <v>35</v>
      </c>
      <c r="AF41" s="1479">
        <f ca="1">'Sistemas-Manutenção'!AF37</f>
        <v>35</v>
      </c>
      <c r="AG41" s="1479">
        <f ca="1">'Sistemas-Manutenção'!AG37</f>
        <v>35</v>
      </c>
      <c r="AH41" s="1479">
        <f ca="1">'Sistemas-Manutenção'!AH37</f>
        <v>35</v>
      </c>
      <c r="AI41" s="1479">
        <f ca="1">'Sistemas-Manutenção'!AI37</f>
        <v>35</v>
      </c>
      <c r="AJ41" s="1479">
        <f ca="1">'Sistemas-Manutenção'!AJ37</f>
        <v>35</v>
      </c>
      <c r="AK41" s="1479">
        <f ca="1">'Sistemas-Manutenção'!AK37</f>
        <v>35</v>
      </c>
      <c r="AL41" s="1479">
        <f ca="1">'Sistemas-Manutenção'!AL37</f>
        <v>35</v>
      </c>
      <c r="AM41" s="1479">
        <f ca="1">'Sistemas-Manutenção'!AM37</f>
        <v>35</v>
      </c>
      <c r="AN41" s="1479">
        <f ca="1">'Sistemas-Manutenção'!AN37</f>
        <v>35</v>
      </c>
      <c r="AO41" s="1479">
        <f ca="1">'Sistemas-Manutenção'!AO37</f>
        <v>35</v>
      </c>
      <c r="AP41" s="77"/>
      <c r="AQ41" s="1479">
        <f t="shared" ca="1" si="304"/>
        <v>35</v>
      </c>
      <c r="AR41" s="1479">
        <f t="shared" ca="1" si="304"/>
        <v>0</v>
      </c>
      <c r="AS41" s="1479">
        <f t="shared" ca="1" si="304"/>
        <v>0</v>
      </c>
      <c r="AT41" s="1479">
        <f t="shared" ca="1" si="304"/>
        <v>0</v>
      </c>
      <c r="AU41" s="1479">
        <f t="shared" ca="1" si="304"/>
        <v>0</v>
      </c>
      <c r="AV41" s="1479">
        <f t="shared" ca="1" si="304"/>
        <v>0</v>
      </c>
      <c r="AW41" s="1479">
        <f t="shared" ca="1" si="304"/>
        <v>0</v>
      </c>
      <c r="AX41" s="1479">
        <f t="shared" ca="1" si="304"/>
        <v>0</v>
      </c>
      <c r="AY41" s="1479">
        <f t="shared" ca="1" si="304"/>
        <v>0</v>
      </c>
      <c r="AZ41" s="1479">
        <f t="shared" ca="1" si="304"/>
        <v>0</v>
      </c>
      <c r="BA41" s="1479">
        <f t="shared" ca="1" si="304"/>
        <v>0</v>
      </c>
      <c r="BB41" s="1479">
        <f t="shared" ca="1" si="304"/>
        <v>0</v>
      </c>
      <c r="BC41" s="1479">
        <f t="shared" ca="1" si="304"/>
        <v>0</v>
      </c>
      <c r="BD41" s="1479">
        <f t="shared" ca="1" si="304"/>
        <v>0</v>
      </c>
      <c r="BE41" s="1479">
        <f t="shared" ca="1" si="304"/>
        <v>0</v>
      </c>
      <c r="BF41" s="1479">
        <f t="shared" ca="1" si="304"/>
        <v>0</v>
      </c>
      <c r="BG41" s="1479">
        <f t="shared" ca="1" si="305"/>
        <v>0</v>
      </c>
      <c r="BH41" s="1479">
        <f t="shared" ca="1" si="306"/>
        <v>0</v>
      </c>
      <c r="BI41" s="1479">
        <f t="shared" ca="1" si="307"/>
        <v>0</v>
      </c>
      <c r="BJ41" s="1479">
        <f t="shared" ca="1" si="308"/>
        <v>0</v>
      </c>
      <c r="BK41" s="1479">
        <f t="shared" ca="1" si="309"/>
        <v>0</v>
      </c>
      <c r="BL41" s="1479">
        <f t="shared" ca="1" si="310"/>
        <v>0</v>
      </c>
      <c r="BM41" s="1479">
        <f t="shared" ca="1" si="311"/>
        <v>0</v>
      </c>
      <c r="BN41" s="1479">
        <f t="shared" ca="1" si="312"/>
        <v>0</v>
      </c>
      <c r="BO41" s="1479"/>
      <c r="BP41" s="1479"/>
      <c r="BQ41" s="1479"/>
      <c r="BR41" s="1479"/>
      <c r="BS41" s="1479"/>
      <c r="BT41" s="1479">
        <f t="shared" ca="1" si="313"/>
        <v>0</v>
      </c>
      <c r="BU41" s="77"/>
      <c r="BV41" s="1571">
        <f t="shared" ref="BV41:BV42" ca="1" si="363">IF(L41-SUM(OFFSET(AQ41,,-$J41+1,,$J41))-IF($J41&gt;1,SUM(OFFSET(BV41,,-$J41+1,,$J41-1)),0)&gt;0,L41-SUM(OFFSET(AQ41,,-$J41+1,,$J41))-IF($J41&gt;1,SUM(OFFSET(BV41,,-$J41+1,,$J41-1)),0),0)</f>
        <v>0</v>
      </c>
      <c r="BW41" s="1571">
        <f t="shared" ref="BW41:BW42" ca="1" si="364">IF(M41-SUM(OFFSET(AR41,,-$J41+1,,$J41))-IF($J41&gt;1,SUM(OFFSET(BW41,,-$J41+1,,$J41-1)),0)&gt;0,M41-SUM(OFFSET(AR41,,-$J41+1,,$J41))-IF($J41&gt;1,SUM(OFFSET(BW41,,-$J41+1,,$J41-1)),0),0)</f>
        <v>0</v>
      </c>
      <c r="BX41" s="1571">
        <f t="shared" ref="BX41:BX42" ca="1" si="365">IF(N41-SUM(OFFSET(AS41,,-$J41+1,,$J41))-IF($J41&gt;1,SUM(OFFSET(BX41,,-$J41+1,,$J41-1)),0)&gt;0,N41-SUM(OFFSET(AS41,,-$J41+1,,$J41))-IF($J41&gt;1,SUM(OFFSET(BX41,,-$J41+1,,$J41-1)),0),0)</f>
        <v>0</v>
      </c>
      <c r="BY41" s="1571">
        <f t="shared" ref="BY41" ca="1" si="366">IF(O41-SUM(OFFSET(AT41,,-$J41+1,,$J41))-IF($J41&gt;1,SUM(OFFSET(BY41,,-$J41+1,,$J41-1)),0)&gt;0,O41-SUM(OFFSET(AT41,,-$J41+1,,$J41))-IF($J41&gt;1,SUM(OFFSET(BY41,,-$J41+1,,$J41-1)),0),0)</f>
        <v>35</v>
      </c>
      <c r="BZ41" s="1571">
        <f t="shared" ref="BZ41:BZ42" ca="1" si="367">IF(P41-SUM(OFFSET(AU41,,-$J41+1,,$J41))-IF($J41&gt;1,SUM(OFFSET(BZ41,,-$J41+1,,$J41-1)),0)&gt;0,P41-SUM(OFFSET(AU41,,-$J41+1,,$J41))-IF($J41&gt;1,SUM(OFFSET(BZ41,,-$J41+1,,$J41-1)),0),0)</f>
        <v>0</v>
      </c>
      <c r="CA41" s="1571">
        <f t="shared" ref="CA41:CA42" ca="1" si="368">IF(Q41-SUM(OFFSET(AV41,,-$J41+1,,$J41))-IF($J41&gt;1,SUM(OFFSET(CA41,,-$J41+1,,$J41-1)),0)&gt;0,Q41-SUM(OFFSET(AV41,,-$J41+1,,$J41))-IF($J41&gt;1,SUM(OFFSET(CA41,,-$J41+1,,$J41-1)),0),0)</f>
        <v>0</v>
      </c>
      <c r="CB41" s="1571">
        <f t="shared" ref="CB41:CB42" ca="1" si="369">IF(R41-SUM(OFFSET(AW41,,-$J41+1,,$J41))-IF($J41&gt;1,SUM(OFFSET(CB41,,-$J41+1,,$J41-1)),0)&gt;0,R41-SUM(OFFSET(AW41,,-$J41+1,,$J41))-IF($J41&gt;1,SUM(OFFSET(CB41,,-$J41+1,,$J41-1)),0),0)</f>
        <v>35</v>
      </c>
      <c r="CC41" s="1571">
        <f t="shared" ref="CC41:CC42" ca="1" si="370">IF(S41-SUM(OFFSET(AX41,,-$J41+1,,$J41))-IF($J41&gt;1,SUM(OFFSET(CC41,,-$J41+1,,$J41-1)),0)&gt;0,S41-SUM(OFFSET(AX41,,-$J41+1,,$J41))-IF($J41&gt;1,SUM(OFFSET(CC41,,-$J41+1,,$J41-1)),0),0)</f>
        <v>0</v>
      </c>
      <c r="CD41" s="1571">
        <f t="shared" ref="CD41:CD42" ca="1" si="371">IF(T41-SUM(OFFSET(AY41,,-$J41+1,,$J41))-IF($J41&gt;1,SUM(OFFSET(CD41,,-$J41+1,,$J41-1)),0)&gt;0,T41-SUM(OFFSET(AY41,,-$J41+1,,$J41))-IF($J41&gt;1,SUM(OFFSET(CD41,,-$J41+1,,$J41-1)),0),0)</f>
        <v>0</v>
      </c>
      <c r="CE41" s="1571">
        <f t="shared" ref="CE41:CE42" ca="1" si="372">IF(U41-SUM(OFFSET(AZ41,,-$J41+1,,$J41))-IF($J41&gt;1,SUM(OFFSET(CE41,,-$J41+1,,$J41-1)),0)&gt;0,U41-SUM(OFFSET(AZ41,,-$J41+1,,$J41))-IF($J41&gt;1,SUM(OFFSET(CE41,,-$J41+1,,$J41-1)),0),0)</f>
        <v>35</v>
      </c>
      <c r="CF41" s="1571">
        <f t="shared" ref="CF41:CF42" ca="1" si="373">IF(V41-SUM(OFFSET(BA41,,-$J41+1,,$J41))-IF($J41&gt;1,SUM(OFFSET(CF41,,-$J41+1,,$J41-1)),0)&gt;0,V41-SUM(OFFSET(BA41,,-$J41+1,,$J41))-IF($J41&gt;1,SUM(OFFSET(CF41,,-$J41+1,,$J41-1)),0),0)</f>
        <v>0</v>
      </c>
      <c r="CG41" s="1571">
        <f t="shared" ref="CG41:CG42" ca="1" si="374">IF(W41-SUM(OFFSET(BB41,,-$J41+1,,$J41))-IF($J41&gt;1,SUM(OFFSET(CG41,,-$J41+1,,$J41-1)),0)&gt;0,W41-SUM(OFFSET(BB41,,-$J41+1,,$J41))-IF($J41&gt;1,SUM(OFFSET(CG41,,-$J41+1,,$J41-1)),0),0)</f>
        <v>0</v>
      </c>
      <c r="CH41" s="1571">
        <f t="shared" ref="CH41:CH42" ca="1" si="375">IF(X41-SUM(OFFSET(BC41,,-$J41+1,,$J41))-IF($J41&gt;1,SUM(OFFSET(CH41,,-$J41+1,,$J41-1)),0)&gt;0,X41-SUM(OFFSET(BC41,,-$J41+1,,$J41))-IF($J41&gt;1,SUM(OFFSET(CH41,,-$J41+1,,$J41-1)),0),0)</f>
        <v>35</v>
      </c>
      <c r="CI41" s="1571">
        <f t="shared" ref="CI41:CI42" ca="1" si="376">IF(Y41-SUM(OFFSET(BD41,,-$J41+1,,$J41))-IF($J41&gt;1,SUM(OFFSET(CI41,,-$J41+1,,$J41-1)),0)&gt;0,Y41-SUM(OFFSET(BD41,,-$J41+1,,$J41))-IF($J41&gt;1,SUM(OFFSET(CI41,,-$J41+1,,$J41-1)),0),0)</f>
        <v>0</v>
      </c>
      <c r="CJ41" s="1571">
        <f t="shared" ref="CJ41:CJ42" ca="1" si="377">IF(Z41-SUM(OFFSET(BE41,,-$J41+1,,$J41))-IF($J41&gt;1,SUM(OFFSET(CJ41,,-$J41+1,,$J41-1)),0)&gt;0,Z41-SUM(OFFSET(BE41,,-$J41+1,,$J41))-IF($J41&gt;1,SUM(OFFSET(CJ41,,-$J41+1,,$J41-1)),0),0)</f>
        <v>0</v>
      </c>
      <c r="CK41" s="1571">
        <f t="shared" ref="CK41:CK42" ca="1" si="378">IF(AA41-SUM(OFFSET(BF41,,-$J41+1,,$J41))-IF($J41&gt;1,SUM(OFFSET(CK41,,-$J41+1,,$J41-1)),0)&gt;0,AA41-SUM(OFFSET(BF41,,-$J41+1,,$J41))-IF($J41&gt;1,SUM(OFFSET(CK41,,-$J41+1,,$J41-1)),0),0)</f>
        <v>35</v>
      </c>
      <c r="CL41" s="1571">
        <f t="shared" ref="CL41:CL42" ca="1" si="379">IF(AB41-SUM(OFFSET(BG41,,-$J41+1,,$J41))-IF($J41&gt;1,SUM(OFFSET(CL41,,-$J41+1,,$J41-1)),0)&gt;0,AB41-SUM(OFFSET(BG41,,-$J41+1,,$J41))-IF($J41&gt;1,SUM(OFFSET(CL41,,-$J41+1,,$J41-1)),0),0)</f>
        <v>0</v>
      </c>
      <c r="CM41" s="1571">
        <f t="shared" ref="CM41:CM42" ca="1" si="380">IF(AC41-SUM(OFFSET(BH41,,-$J41+1,,$J41))-IF($J41&gt;1,SUM(OFFSET(CM41,,-$J41+1,,$J41-1)),0)&gt;0,AC41-SUM(OFFSET(BH41,,-$J41+1,,$J41))-IF($J41&gt;1,SUM(OFFSET(CM41,,-$J41+1,,$J41-1)),0),0)</f>
        <v>0</v>
      </c>
      <c r="CN41" s="1571">
        <f t="shared" ref="CN41:CN42" ca="1" si="381">IF(AD41-SUM(OFFSET(BI41,,-$J41+1,,$J41))-IF($J41&gt;1,SUM(OFFSET(CN41,,-$J41+1,,$J41-1)),0)&gt;0,AD41-SUM(OFFSET(BI41,,-$J41+1,,$J41))-IF($J41&gt;1,SUM(OFFSET(CN41,,-$J41+1,,$J41-1)),0),0)</f>
        <v>35</v>
      </c>
      <c r="CO41" s="1571">
        <f t="shared" ref="CO41:CO42" ca="1" si="382">IF(AE41-SUM(OFFSET(BJ41,,-$J41+1,,$J41))-IF($J41&gt;1,SUM(OFFSET(CO41,,-$J41+1,,$J41-1)),0)&gt;0,AE41-SUM(OFFSET(BJ41,,-$J41+1,,$J41))-IF($J41&gt;1,SUM(OFFSET(CO41,,-$J41+1,,$J41-1)),0),0)</f>
        <v>0</v>
      </c>
      <c r="CP41" s="1571">
        <f t="shared" ref="CP41:CP42" ca="1" si="383">IF(AF41-SUM(OFFSET(BK41,,-$J41+1,,$J41))-IF($J41&gt;1,SUM(OFFSET(CP41,,-$J41+1,,$J41-1)),0)&gt;0,AF41-SUM(OFFSET(BK41,,-$J41+1,,$J41))-IF($J41&gt;1,SUM(OFFSET(CP41,,-$J41+1,,$J41-1)),0),0)</f>
        <v>0</v>
      </c>
      <c r="CQ41" s="1571">
        <f t="shared" ref="CQ41:CQ42" ca="1" si="384">IF(AG41-SUM(OFFSET(BL41,,-$J41+1,,$J41))-IF($J41&gt;1,SUM(OFFSET(CQ41,,-$J41+1,,$J41-1)),0)&gt;0,AG41-SUM(OFFSET(BL41,,-$J41+1,,$J41))-IF($J41&gt;1,SUM(OFFSET(CQ41,,-$J41+1,,$J41-1)),0),0)</f>
        <v>35</v>
      </c>
      <c r="CR41" s="1571">
        <f t="shared" ref="CR41:CR42" ca="1" si="385">IF(AH41-SUM(OFFSET(BM41,,-$J41+1,,$J41))-IF($J41&gt;1,SUM(OFFSET(CR41,,-$J41+1,,$J41-1)),0)&gt;0,AH41-SUM(OFFSET(BM41,,-$J41+1,,$J41))-IF($J41&gt;1,SUM(OFFSET(CR41,,-$J41+1,,$J41-1)),0),0)</f>
        <v>0</v>
      </c>
      <c r="CS41" s="1571">
        <f t="shared" ref="CS41:CS42" ca="1" si="386">IF(AI41-SUM(OFFSET(BN41,,-$J41+1,,$J41))-IF($J41&gt;1,SUM(OFFSET(CS41,,-$J41+1,,$J41-1)),0)&gt;0,AI41-SUM(OFFSET(BN41,,-$J41+1,,$J41))-IF($J41&gt;1,SUM(OFFSET(CS41,,-$J41+1,,$J41-1)),0),0)</f>
        <v>0</v>
      </c>
      <c r="CT41" s="1571">
        <f t="shared" ref="CT41:CT42" ca="1" si="387">IF(AJ41-SUM(OFFSET(BT41,,-$J41+1,,$J41))-IF($J41&gt;1,SUM(OFFSET(CT41,,-$J41+1,,$J41-1)),0)&gt;0,AJ41-SUM(OFFSET(BT41,,-$J41+1,,$J41))-IF($J41&gt;1,SUM(OFFSET(CT41,,-$J41+1,,$J41-1)),0),0)</f>
        <v>35</v>
      </c>
      <c r="CU41" s="1571">
        <f t="shared" ref="CU41:CU42" ca="1" si="388">IF(AK41-SUM(OFFSET(BU41,,-$J41+1,,$J41))-IF($J41&gt;1,SUM(OFFSET(CU41,,-$J41+1,,$J41-1)),0)&gt;0,AK41-SUM(OFFSET(BU41,,-$J41+1,,$J41))-IF($J41&gt;1,SUM(OFFSET(CU41,,-$J41+1,,$J41-1)),0),0)</f>
        <v>0</v>
      </c>
      <c r="CV41" s="1571">
        <f t="shared" ref="CV41:CV42" ca="1" si="389">IF(AL41-SUM(OFFSET(BV41,,-$J41+1,,$J41))-IF($J41&gt;1,SUM(OFFSET(CV41,,-$J41+1,,$J41-1)),0)&gt;0,AL41-SUM(OFFSET(BV41,,-$J41+1,,$J41))-IF($J41&gt;1,SUM(OFFSET(CV41,,-$J41+1,,$J41-1)),0),0)</f>
        <v>0</v>
      </c>
      <c r="CW41" s="1571">
        <f t="shared" ref="CW41:CW42" ca="1" si="390">IF(AM41-SUM(OFFSET(BW41,,-$J41+1,,$J41))-IF($J41&gt;1,SUM(OFFSET(CW41,,-$J41+1,,$J41-1)),0)&gt;0,AM41-SUM(OFFSET(BW41,,-$J41+1,,$J41))-IF($J41&gt;1,SUM(OFFSET(CW41,,-$J41+1,,$J41-1)),0),0)</f>
        <v>35</v>
      </c>
      <c r="CX41" s="1571">
        <f t="shared" ref="CX41:CX42" ca="1" si="391">IF(AN41-SUM(OFFSET(BX41,,-$J41+1,,$J41))-IF($J41&gt;1,SUM(OFFSET(CX41,,-$J41+1,,$J41-1)),0)&gt;0,AN41-SUM(OFFSET(BX41,,-$J41+1,,$J41))-IF($J41&gt;1,SUM(OFFSET(CX41,,-$J41+1,,$J41-1)),0),0)</f>
        <v>0</v>
      </c>
      <c r="CY41" s="1571">
        <f t="shared" ref="CY41:CY42" ca="1" si="392">IF(AO41-SUM(OFFSET(BY41,,-$J41+1,,$J41))-IF($J41&gt;1,SUM(OFFSET(CY41,,-$J41+1,,$J41-1)),0)&gt;0,AO41-SUM(OFFSET(BY41,,-$J41+1,,$J41))-IF($J41&gt;1,SUM(OFFSET(CY41,,-$J41+1,,$J41-1)),0),0)</f>
        <v>0</v>
      </c>
      <c r="CZ41" s="78"/>
      <c r="DA41" s="1572">
        <f t="shared" ca="1" si="314"/>
        <v>0</v>
      </c>
      <c r="DB41" s="1572">
        <f t="shared" ca="1" si="314"/>
        <v>0</v>
      </c>
      <c r="DC41" s="1572">
        <f t="shared" ca="1" si="314"/>
        <v>0</v>
      </c>
      <c r="DD41" s="1572">
        <f t="shared" ca="1" si="314"/>
        <v>0</v>
      </c>
      <c r="DE41" s="1572">
        <f t="shared" ca="1" si="314"/>
        <v>0</v>
      </c>
      <c r="DF41" s="1572">
        <f t="shared" ca="1" si="314"/>
        <v>0</v>
      </c>
      <c r="DG41" s="1572">
        <f t="shared" ca="1" si="314"/>
        <v>0</v>
      </c>
      <c r="DH41" s="1572">
        <f t="shared" ca="1" si="314"/>
        <v>0</v>
      </c>
      <c r="DI41" s="1572">
        <f t="shared" ca="1" si="314"/>
        <v>0</v>
      </c>
      <c r="DJ41" s="1572">
        <f t="shared" ca="1" si="314"/>
        <v>0</v>
      </c>
      <c r="DK41" s="1572">
        <f t="shared" ca="1" si="314"/>
        <v>0</v>
      </c>
      <c r="DL41" s="1572">
        <f t="shared" ca="1" si="314"/>
        <v>0</v>
      </c>
      <c r="DM41" s="1572">
        <f t="shared" ca="1" si="314"/>
        <v>0</v>
      </c>
      <c r="DN41" s="1572">
        <f t="shared" ca="1" si="314"/>
        <v>0</v>
      </c>
      <c r="DO41" s="1572">
        <f t="shared" ca="1" si="314"/>
        <v>0</v>
      </c>
      <c r="DP41" s="1572">
        <f t="shared" ca="1" si="314"/>
        <v>0</v>
      </c>
      <c r="DQ41" s="1572">
        <f t="shared" ca="1" si="315"/>
        <v>0</v>
      </c>
      <c r="DR41" s="1572">
        <f t="shared" ca="1" si="315"/>
        <v>0</v>
      </c>
      <c r="DS41" s="1572">
        <f t="shared" ca="1" si="315"/>
        <v>0</v>
      </c>
      <c r="DT41" s="1572">
        <f t="shared" ca="1" si="315"/>
        <v>0</v>
      </c>
      <c r="DU41" s="1572">
        <f t="shared" ca="1" si="315"/>
        <v>0</v>
      </c>
      <c r="DV41" s="1572">
        <f t="shared" ca="1" si="315"/>
        <v>0</v>
      </c>
      <c r="DW41" s="1572">
        <f t="shared" ca="1" si="315"/>
        <v>0</v>
      </c>
      <c r="DX41" s="1572">
        <f t="shared" ca="1" si="315"/>
        <v>0</v>
      </c>
      <c r="DY41" s="1572"/>
      <c r="DZ41" s="1572"/>
      <c r="EA41" s="1572"/>
      <c r="EB41" s="1572"/>
      <c r="EC41" s="1572"/>
      <c r="ED41" s="1572">
        <f t="shared" ca="1" si="316"/>
        <v>0</v>
      </c>
      <c r="EE41" s="79"/>
      <c r="EF41" s="1572">
        <f t="shared" ca="1" si="317"/>
        <v>0</v>
      </c>
      <c r="EG41" s="1572">
        <f t="shared" ca="1" si="317"/>
        <v>0</v>
      </c>
      <c r="EH41" s="1572">
        <f t="shared" ca="1" si="317"/>
        <v>0</v>
      </c>
      <c r="EI41" s="1572">
        <f t="shared" ca="1" si="317"/>
        <v>0</v>
      </c>
      <c r="EJ41" s="1572">
        <f t="shared" ca="1" si="317"/>
        <v>0</v>
      </c>
      <c r="EK41" s="1572">
        <f t="shared" ca="1" si="317"/>
        <v>0</v>
      </c>
      <c r="EL41" s="1572">
        <f t="shared" ca="1" si="317"/>
        <v>0</v>
      </c>
      <c r="EM41" s="1572">
        <f t="shared" ca="1" si="317"/>
        <v>0</v>
      </c>
      <c r="EN41" s="1572">
        <f t="shared" ca="1" si="317"/>
        <v>0</v>
      </c>
      <c r="EO41" s="1572">
        <f t="shared" ca="1" si="317"/>
        <v>0</v>
      </c>
      <c r="EP41" s="1572">
        <f t="shared" ca="1" si="317"/>
        <v>0</v>
      </c>
      <c r="EQ41" s="1572">
        <f t="shared" ca="1" si="317"/>
        <v>0</v>
      </c>
      <c r="ER41" s="1572">
        <f t="shared" ca="1" si="317"/>
        <v>0</v>
      </c>
      <c r="ES41" s="1572">
        <f t="shared" ca="1" si="317"/>
        <v>0</v>
      </c>
      <c r="ET41" s="1572">
        <f t="shared" ca="1" si="317"/>
        <v>0</v>
      </c>
      <c r="EU41" s="1572">
        <f t="shared" ca="1" si="317"/>
        <v>0</v>
      </c>
      <c r="EV41" s="1572">
        <f t="shared" ca="1" si="318"/>
        <v>0</v>
      </c>
      <c r="EW41" s="1572">
        <f t="shared" ca="1" si="319"/>
        <v>0</v>
      </c>
      <c r="EX41" s="1572">
        <f t="shared" ca="1" si="320"/>
        <v>0</v>
      </c>
      <c r="EY41" s="1572">
        <f t="shared" ca="1" si="321"/>
        <v>0</v>
      </c>
      <c r="EZ41" s="1572">
        <f t="shared" ca="1" si="322"/>
        <v>0</v>
      </c>
      <c r="FA41" s="1572">
        <f t="shared" ca="1" si="323"/>
        <v>0</v>
      </c>
      <c r="FB41" s="1572">
        <f t="shared" ca="1" si="324"/>
        <v>0</v>
      </c>
      <c r="FC41" s="1572">
        <f t="shared" ca="1" si="325"/>
        <v>0</v>
      </c>
      <c r="FD41" s="1572">
        <f t="shared" ca="1" si="326"/>
        <v>0</v>
      </c>
      <c r="FE41" s="1572">
        <f t="shared" ca="1" si="327"/>
        <v>0</v>
      </c>
      <c r="FF41" s="1572">
        <f t="shared" ca="1" si="328"/>
        <v>0</v>
      </c>
      <c r="FG41" s="1572">
        <f t="shared" ca="1" si="329"/>
        <v>0</v>
      </c>
      <c r="FH41" s="1572">
        <f t="shared" ca="1" si="330"/>
        <v>0</v>
      </c>
      <c r="FI41" s="1572">
        <f t="shared" ca="1" si="331"/>
        <v>0</v>
      </c>
    </row>
    <row r="42" spans="1:165" ht="12.75" customHeight="1">
      <c r="A42" s="595"/>
      <c r="B42" s="598"/>
      <c r="C42" s="599"/>
      <c r="F42" s="1440" t="s">
        <v>1643</v>
      </c>
      <c r="G42" s="1568" t="s">
        <v>1718</v>
      </c>
      <c r="H42" s="1569">
        <f>'Sistemas - Cotações'!F40</f>
        <v>0</v>
      </c>
      <c r="I42" s="1569">
        <f>H42*0.6</f>
        <v>0</v>
      </c>
      <c r="J42" s="867">
        <v>3</v>
      </c>
      <c r="K42" s="97"/>
      <c r="L42" s="1479">
        <f ca="1">'Sistemas-Manutenção'!L38</f>
        <v>28</v>
      </c>
      <c r="M42" s="1479">
        <f ca="1">'Sistemas-Manutenção'!M38</f>
        <v>28</v>
      </c>
      <c r="N42" s="1479">
        <f ca="1">'Sistemas-Manutenção'!N38</f>
        <v>28</v>
      </c>
      <c r="O42" s="1479">
        <f ca="1">'Sistemas-Manutenção'!O38</f>
        <v>28</v>
      </c>
      <c r="P42" s="1479">
        <f ca="1">'Sistemas-Manutenção'!P38</f>
        <v>28</v>
      </c>
      <c r="Q42" s="1479">
        <f ca="1">'Sistemas-Manutenção'!Q38</f>
        <v>28</v>
      </c>
      <c r="R42" s="1479">
        <f ca="1">'Sistemas-Manutenção'!R38</f>
        <v>28</v>
      </c>
      <c r="S42" s="1479">
        <f ca="1">'Sistemas-Manutenção'!S38</f>
        <v>28</v>
      </c>
      <c r="T42" s="1479">
        <f ca="1">'Sistemas-Manutenção'!T38</f>
        <v>28</v>
      </c>
      <c r="U42" s="1479">
        <f ca="1">'Sistemas-Manutenção'!U38</f>
        <v>28</v>
      </c>
      <c r="V42" s="1479">
        <f ca="1">'Sistemas-Manutenção'!V38</f>
        <v>28</v>
      </c>
      <c r="W42" s="1479">
        <f ca="1">'Sistemas-Manutenção'!W38</f>
        <v>28</v>
      </c>
      <c r="X42" s="1479">
        <f ca="1">'Sistemas-Manutenção'!X38</f>
        <v>28</v>
      </c>
      <c r="Y42" s="1479">
        <f ca="1">'Sistemas-Manutenção'!Y38</f>
        <v>28</v>
      </c>
      <c r="Z42" s="1479">
        <f ca="1">'Sistemas-Manutenção'!Z38</f>
        <v>28</v>
      </c>
      <c r="AA42" s="1479">
        <f ca="1">'Sistemas-Manutenção'!AA38</f>
        <v>28</v>
      </c>
      <c r="AB42" s="1479">
        <f ca="1">'Sistemas-Manutenção'!AB38</f>
        <v>28</v>
      </c>
      <c r="AC42" s="1479">
        <f ca="1">'Sistemas-Manutenção'!AC38</f>
        <v>28</v>
      </c>
      <c r="AD42" s="1479">
        <f ca="1">'Sistemas-Manutenção'!AD38</f>
        <v>28</v>
      </c>
      <c r="AE42" s="1479">
        <f ca="1">'Sistemas-Manutenção'!AE38</f>
        <v>28</v>
      </c>
      <c r="AF42" s="1479">
        <f ca="1">'Sistemas-Manutenção'!AF38</f>
        <v>28</v>
      </c>
      <c r="AG42" s="1479">
        <f ca="1">'Sistemas-Manutenção'!AG38</f>
        <v>28</v>
      </c>
      <c r="AH42" s="1479">
        <f ca="1">'Sistemas-Manutenção'!AH38</f>
        <v>28</v>
      </c>
      <c r="AI42" s="1479">
        <f ca="1">'Sistemas-Manutenção'!AI38</f>
        <v>28</v>
      </c>
      <c r="AJ42" s="1479">
        <f ca="1">'Sistemas-Manutenção'!AJ38</f>
        <v>28</v>
      </c>
      <c r="AK42" s="1479">
        <f ca="1">'Sistemas-Manutenção'!AK38</f>
        <v>28</v>
      </c>
      <c r="AL42" s="1479">
        <f ca="1">'Sistemas-Manutenção'!AL38</f>
        <v>28</v>
      </c>
      <c r="AM42" s="1479">
        <f ca="1">'Sistemas-Manutenção'!AM38</f>
        <v>28</v>
      </c>
      <c r="AN42" s="1479">
        <f ca="1">'Sistemas-Manutenção'!AN38</f>
        <v>28</v>
      </c>
      <c r="AO42" s="1479">
        <f ca="1">'Sistemas-Manutenção'!AO38</f>
        <v>28</v>
      </c>
      <c r="AP42" s="77"/>
      <c r="AQ42" s="1479">
        <f t="shared" ca="1" si="304"/>
        <v>28</v>
      </c>
      <c r="AR42" s="1479">
        <f t="shared" ca="1" si="304"/>
        <v>0</v>
      </c>
      <c r="AS42" s="1479">
        <f t="shared" ca="1" si="304"/>
        <v>0</v>
      </c>
      <c r="AT42" s="1479">
        <f t="shared" ca="1" si="304"/>
        <v>0</v>
      </c>
      <c r="AU42" s="1479">
        <f t="shared" ca="1" si="304"/>
        <v>0</v>
      </c>
      <c r="AV42" s="1479">
        <f t="shared" ca="1" si="304"/>
        <v>0</v>
      </c>
      <c r="AW42" s="1479">
        <f t="shared" ca="1" si="304"/>
        <v>0</v>
      </c>
      <c r="AX42" s="1479">
        <f t="shared" ca="1" si="304"/>
        <v>0</v>
      </c>
      <c r="AY42" s="1479">
        <f t="shared" ca="1" si="304"/>
        <v>0</v>
      </c>
      <c r="AZ42" s="1479">
        <f t="shared" ca="1" si="304"/>
        <v>0</v>
      </c>
      <c r="BA42" s="1479">
        <f t="shared" ca="1" si="304"/>
        <v>0</v>
      </c>
      <c r="BB42" s="1479">
        <f t="shared" ca="1" si="304"/>
        <v>0</v>
      </c>
      <c r="BC42" s="1479">
        <f t="shared" ca="1" si="304"/>
        <v>0</v>
      </c>
      <c r="BD42" s="1479">
        <f t="shared" ca="1" si="304"/>
        <v>0</v>
      </c>
      <c r="BE42" s="1479">
        <f t="shared" ca="1" si="304"/>
        <v>0</v>
      </c>
      <c r="BF42" s="1479">
        <f t="shared" ca="1" si="304"/>
        <v>0</v>
      </c>
      <c r="BG42" s="1479">
        <f t="shared" ca="1" si="305"/>
        <v>0</v>
      </c>
      <c r="BH42" s="1479">
        <f t="shared" ca="1" si="306"/>
        <v>0</v>
      </c>
      <c r="BI42" s="1479">
        <f t="shared" ca="1" si="307"/>
        <v>0</v>
      </c>
      <c r="BJ42" s="1479">
        <f t="shared" ca="1" si="308"/>
        <v>0</v>
      </c>
      <c r="BK42" s="1479">
        <f t="shared" ca="1" si="309"/>
        <v>0</v>
      </c>
      <c r="BL42" s="1479">
        <f t="shared" ca="1" si="310"/>
        <v>0</v>
      </c>
      <c r="BM42" s="1479">
        <f t="shared" ca="1" si="311"/>
        <v>0</v>
      </c>
      <c r="BN42" s="1479">
        <f t="shared" ca="1" si="312"/>
        <v>0</v>
      </c>
      <c r="BO42" s="1479"/>
      <c r="BP42" s="1479"/>
      <c r="BQ42" s="1479"/>
      <c r="BR42" s="1479"/>
      <c r="BS42" s="1479"/>
      <c r="BT42" s="1479">
        <f t="shared" ca="1" si="313"/>
        <v>0</v>
      </c>
      <c r="BU42" s="77"/>
      <c r="BV42" s="1571">
        <f t="shared" ca="1" si="363"/>
        <v>0</v>
      </c>
      <c r="BW42" s="1571">
        <f t="shared" ca="1" si="364"/>
        <v>0</v>
      </c>
      <c r="BX42" s="1571">
        <f t="shared" ca="1" si="365"/>
        <v>0</v>
      </c>
      <c r="BY42" s="1571"/>
      <c r="BZ42" s="1571">
        <f t="shared" ca="1" si="367"/>
        <v>28</v>
      </c>
      <c r="CA42" s="1571">
        <f t="shared" ca="1" si="368"/>
        <v>0</v>
      </c>
      <c r="CB42" s="1571">
        <f t="shared" ca="1" si="369"/>
        <v>0</v>
      </c>
      <c r="CC42" s="1571">
        <f t="shared" ca="1" si="370"/>
        <v>28</v>
      </c>
      <c r="CD42" s="1571">
        <f t="shared" ca="1" si="371"/>
        <v>0</v>
      </c>
      <c r="CE42" s="1571">
        <f t="shared" ca="1" si="372"/>
        <v>0</v>
      </c>
      <c r="CF42" s="1571">
        <f t="shared" ca="1" si="373"/>
        <v>28</v>
      </c>
      <c r="CG42" s="1571">
        <f t="shared" ca="1" si="374"/>
        <v>0</v>
      </c>
      <c r="CH42" s="1571">
        <f t="shared" ca="1" si="375"/>
        <v>0</v>
      </c>
      <c r="CI42" s="1571">
        <f t="shared" ca="1" si="376"/>
        <v>28</v>
      </c>
      <c r="CJ42" s="1571">
        <f t="shared" ca="1" si="377"/>
        <v>0</v>
      </c>
      <c r="CK42" s="1571">
        <f t="shared" ca="1" si="378"/>
        <v>0</v>
      </c>
      <c r="CL42" s="1571">
        <f t="shared" ca="1" si="379"/>
        <v>28</v>
      </c>
      <c r="CM42" s="1571">
        <f t="shared" ca="1" si="380"/>
        <v>0</v>
      </c>
      <c r="CN42" s="1571">
        <f t="shared" ca="1" si="381"/>
        <v>0</v>
      </c>
      <c r="CO42" s="1571">
        <f t="shared" ca="1" si="382"/>
        <v>28</v>
      </c>
      <c r="CP42" s="1571">
        <f t="shared" ca="1" si="383"/>
        <v>0</v>
      </c>
      <c r="CQ42" s="1571">
        <f t="shared" ca="1" si="384"/>
        <v>0</v>
      </c>
      <c r="CR42" s="1571">
        <f t="shared" ca="1" si="385"/>
        <v>28</v>
      </c>
      <c r="CS42" s="1571">
        <f t="shared" ca="1" si="386"/>
        <v>0</v>
      </c>
      <c r="CT42" s="1571">
        <f t="shared" ca="1" si="387"/>
        <v>0</v>
      </c>
      <c r="CU42" s="1571">
        <f t="shared" ca="1" si="388"/>
        <v>28</v>
      </c>
      <c r="CV42" s="1571">
        <f t="shared" ca="1" si="389"/>
        <v>0</v>
      </c>
      <c r="CW42" s="1571">
        <f t="shared" ca="1" si="390"/>
        <v>0</v>
      </c>
      <c r="CX42" s="1571">
        <f t="shared" ca="1" si="391"/>
        <v>28</v>
      </c>
      <c r="CY42" s="1571">
        <f t="shared" ca="1" si="392"/>
        <v>0</v>
      </c>
      <c r="CZ42" s="78"/>
      <c r="DA42" s="1572">
        <f t="shared" ca="1" si="314"/>
        <v>0</v>
      </c>
      <c r="DB42" s="1572">
        <f t="shared" ca="1" si="314"/>
        <v>0</v>
      </c>
      <c r="DC42" s="1572">
        <f t="shared" ca="1" si="314"/>
        <v>0</v>
      </c>
      <c r="DD42" s="1572">
        <f t="shared" ca="1" si="314"/>
        <v>0</v>
      </c>
      <c r="DE42" s="1572">
        <f t="shared" ca="1" si="314"/>
        <v>0</v>
      </c>
      <c r="DF42" s="1572">
        <f t="shared" ca="1" si="314"/>
        <v>0</v>
      </c>
      <c r="DG42" s="1572">
        <f t="shared" ca="1" si="314"/>
        <v>0</v>
      </c>
      <c r="DH42" s="1572">
        <f t="shared" ca="1" si="314"/>
        <v>0</v>
      </c>
      <c r="DI42" s="1572">
        <f t="shared" ca="1" si="314"/>
        <v>0</v>
      </c>
      <c r="DJ42" s="1572">
        <f t="shared" ca="1" si="314"/>
        <v>0</v>
      </c>
      <c r="DK42" s="1572">
        <f t="shared" ca="1" si="314"/>
        <v>0</v>
      </c>
      <c r="DL42" s="1572">
        <f t="shared" ca="1" si="314"/>
        <v>0</v>
      </c>
      <c r="DM42" s="1572">
        <f t="shared" ca="1" si="314"/>
        <v>0</v>
      </c>
      <c r="DN42" s="1572">
        <f t="shared" ca="1" si="314"/>
        <v>0</v>
      </c>
      <c r="DO42" s="1572">
        <f t="shared" ca="1" si="314"/>
        <v>0</v>
      </c>
      <c r="DP42" s="1572">
        <f t="shared" ca="1" si="314"/>
        <v>0</v>
      </c>
      <c r="DQ42" s="1572">
        <f t="shared" ca="1" si="315"/>
        <v>0</v>
      </c>
      <c r="DR42" s="1572">
        <f t="shared" ca="1" si="315"/>
        <v>0</v>
      </c>
      <c r="DS42" s="1572">
        <f t="shared" ca="1" si="315"/>
        <v>0</v>
      </c>
      <c r="DT42" s="1572">
        <f t="shared" ca="1" si="315"/>
        <v>0</v>
      </c>
      <c r="DU42" s="1572">
        <f t="shared" ca="1" si="315"/>
        <v>0</v>
      </c>
      <c r="DV42" s="1572">
        <f t="shared" ca="1" si="315"/>
        <v>0</v>
      </c>
      <c r="DW42" s="1572">
        <f t="shared" ca="1" si="315"/>
        <v>0</v>
      </c>
      <c r="DX42" s="1572">
        <f t="shared" ca="1" si="315"/>
        <v>0</v>
      </c>
      <c r="DY42" s="1572"/>
      <c r="DZ42" s="1572"/>
      <c r="EA42" s="1572"/>
      <c r="EB42" s="1572"/>
      <c r="EC42" s="1572"/>
      <c r="ED42" s="1572">
        <f t="shared" ca="1" si="316"/>
        <v>0</v>
      </c>
      <c r="EE42" s="79"/>
      <c r="EF42" s="1572">
        <f t="shared" ca="1" si="317"/>
        <v>0</v>
      </c>
      <c r="EG42" s="1572">
        <f t="shared" ca="1" si="317"/>
        <v>0</v>
      </c>
      <c r="EH42" s="1572">
        <f t="shared" ca="1" si="317"/>
        <v>0</v>
      </c>
      <c r="EI42" s="1572">
        <f t="shared" si="317"/>
        <v>0</v>
      </c>
      <c r="EJ42" s="1572">
        <f t="shared" ca="1" si="317"/>
        <v>0</v>
      </c>
      <c r="EK42" s="1572">
        <f t="shared" ca="1" si="317"/>
        <v>0</v>
      </c>
      <c r="EL42" s="1572">
        <f t="shared" ca="1" si="317"/>
        <v>0</v>
      </c>
      <c r="EM42" s="1572">
        <f t="shared" ca="1" si="317"/>
        <v>0</v>
      </c>
      <c r="EN42" s="1572">
        <f t="shared" ca="1" si="317"/>
        <v>0</v>
      </c>
      <c r="EO42" s="1572">
        <f t="shared" ca="1" si="317"/>
        <v>0</v>
      </c>
      <c r="EP42" s="1572">
        <f t="shared" ca="1" si="317"/>
        <v>0</v>
      </c>
      <c r="EQ42" s="1572">
        <f t="shared" ca="1" si="317"/>
        <v>0</v>
      </c>
      <c r="ER42" s="1572">
        <f t="shared" ca="1" si="317"/>
        <v>0</v>
      </c>
      <c r="ES42" s="1572">
        <f t="shared" ca="1" si="317"/>
        <v>0</v>
      </c>
      <c r="ET42" s="1572">
        <f t="shared" ca="1" si="317"/>
        <v>0</v>
      </c>
      <c r="EU42" s="1572">
        <f t="shared" ca="1" si="317"/>
        <v>0</v>
      </c>
      <c r="EV42" s="1572">
        <f t="shared" ca="1" si="318"/>
        <v>0</v>
      </c>
      <c r="EW42" s="1572">
        <f t="shared" ca="1" si="319"/>
        <v>0</v>
      </c>
      <c r="EX42" s="1572">
        <f t="shared" ca="1" si="320"/>
        <v>0</v>
      </c>
      <c r="EY42" s="1572">
        <f t="shared" ca="1" si="321"/>
        <v>0</v>
      </c>
      <c r="EZ42" s="1572">
        <f t="shared" ca="1" si="322"/>
        <v>0</v>
      </c>
      <c r="FA42" s="1572">
        <f t="shared" ca="1" si="323"/>
        <v>0</v>
      </c>
      <c r="FB42" s="1572">
        <f t="shared" ca="1" si="324"/>
        <v>0</v>
      </c>
      <c r="FC42" s="1572">
        <f t="shared" ca="1" si="325"/>
        <v>0</v>
      </c>
      <c r="FD42" s="1572">
        <f t="shared" ca="1" si="326"/>
        <v>0</v>
      </c>
      <c r="FE42" s="1572">
        <f t="shared" ca="1" si="327"/>
        <v>0</v>
      </c>
      <c r="FF42" s="1572">
        <f t="shared" ca="1" si="328"/>
        <v>0</v>
      </c>
      <c r="FG42" s="1572">
        <f t="shared" ca="1" si="329"/>
        <v>0</v>
      </c>
      <c r="FH42" s="1572">
        <f t="shared" ca="1" si="330"/>
        <v>0</v>
      </c>
      <c r="FI42" s="1572">
        <f t="shared" ca="1" si="331"/>
        <v>0</v>
      </c>
    </row>
    <row r="43" spans="1:165">
      <c r="A43" s="595"/>
      <c r="B43" s="598"/>
      <c r="C43" s="599"/>
      <c r="F43" s="1575"/>
      <c r="G43" s="872"/>
      <c r="H43" s="865"/>
      <c r="I43" s="865"/>
      <c r="J43" s="1575"/>
      <c r="K43" s="97"/>
      <c r="L43" s="1592"/>
      <c r="M43" s="1592"/>
      <c r="N43" s="1592"/>
      <c r="O43" s="1592"/>
      <c r="P43" s="1592"/>
      <c r="Q43" s="1592"/>
      <c r="R43" s="1592"/>
      <c r="S43" s="1592"/>
      <c r="T43" s="1592"/>
      <c r="U43" s="1592"/>
      <c r="V43" s="1592"/>
      <c r="W43" s="1592"/>
      <c r="X43" s="1592"/>
      <c r="Y43" s="1592"/>
      <c r="Z43" s="1592"/>
      <c r="AA43" s="1592"/>
      <c r="AB43" s="1592"/>
      <c r="AC43" s="1592"/>
      <c r="AD43" s="1592"/>
      <c r="AE43" s="1592"/>
      <c r="AF43" s="1592"/>
      <c r="AG43" s="1592"/>
      <c r="AH43" s="1592"/>
      <c r="AI43" s="1592"/>
      <c r="AJ43" s="1592"/>
      <c r="AK43" s="1592"/>
      <c r="AL43" s="1592"/>
      <c r="AM43" s="1592"/>
      <c r="AN43" s="1592"/>
      <c r="AO43" s="1592"/>
      <c r="AP43" s="393"/>
      <c r="AQ43" s="864"/>
      <c r="AR43" s="864"/>
      <c r="AS43" s="864"/>
      <c r="AT43" s="864"/>
      <c r="AU43" s="864"/>
      <c r="AV43" s="864"/>
      <c r="AW43" s="864"/>
      <c r="AX43" s="864"/>
      <c r="AY43" s="864"/>
      <c r="AZ43" s="864"/>
      <c r="BA43" s="864"/>
      <c r="BB43" s="864"/>
      <c r="BC43" s="864"/>
      <c r="BD43" s="864"/>
      <c r="BE43" s="864"/>
      <c r="BF43" s="864"/>
      <c r="BG43" s="864"/>
      <c r="BH43" s="864"/>
      <c r="BI43" s="864"/>
      <c r="BJ43" s="864"/>
      <c r="BK43" s="864"/>
      <c r="BL43" s="864"/>
      <c r="BM43" s="864"/>
      <c r="BN43" s="864"/>
      <c r="BO43" s="864"/>
      <c r="BP43" s="864"/>
      <c r="BQ43" s="864"/>
      <c r="BR43" s="864"/>
      <c r="BS43" s="864"/>
      <c r="BT43" s="864"/>
      <c r="BU43" s="393"/>
      <c r="BV43" s="864"/>
      <c r="BW43" s="864"/>
      <c r="BX43" s="864"/>
      <c r="BY43" s="864"/>
      <c r="BZ43" s="864"/>
      <c r="CA43" s="864"/>
      <c r="CB43" s="864"/>
      <c r="CC43" s="864"/>
      <c r="CD43" s="864"/>
      <c r="CE43" s="864"/>
      <c r="CF43" s="864"/>
      <c r="CG43" s="864"/>
      <c r="CH43" s="864"/>
      <c r="CI43" s="864"/>
      <c r="CJ43" s="864"/>
      <c r="CK43" s="864"/>
      <c r="CL43" s="864"/>
      <c r="CM43" s="864"/>
      <c r="CN43" s="864"/>
      <c r="CO43" s="864"/>
      <c r="CP43" s="864"/>
      <c r="CQ43" s="864"/>
      <c r="CR43" s="864"/>
      <c r="CS43" s="864"/>
      <c r="CT43" s="864"/>
      <c r="CU43" s="864"/>
      <c r="CV43" s="864"/>
      <c r="CW43" s="864"/>
      <c r="CX43" s="864"/>
      <c r="CY43" s="864"/>
      <c r="CZ43" s="85"/>
      <c r="DA43" s="1593">
        <f t="shared" si="314"/>
        <v>0</v>
      </c>
      <c r="DB43" s="1593">
        <f t="shared" si="314"/>
        <v>0</v>
      </c>
      <c r="DC43" s="1593">
        <f t="shared" si="314"/>
        <v>0</v>
      </c>
      <c r="DD43" s="1593">
        <f t="shared" si="314"/>
        <v>0</v>
      </c>
      <c r="DE43" s="1593">
        <f t="shared" si="314"/>
        <v>0</v>
      </c>
      <c r="DF43" s="1593">
        <f t="shared" si="314"/>
        <v>0</v>
      </c>
      <c r="DG43" s="1593">
        <f t="shared" si="314"/>
        <v>0</v>
      </c>
      <c r="DH43" s="1593">
        <f t="shared" si="314"/>
        <v>0</v>
      </c>
      <c r="DI43" s="1593">
        <f t="shared" si="314"/>
        <v>0</v>
      </c>
      <c r="DJ43" s="1593">
        <f t="shared" si="314"/>
        <v>0</v>
      </c>
      <c r="DK43" s="1593">
        <f t="shared" si="314"/>
        <v>0</v>
      </c>
      <c r="DL43" s="1593">
        <f t="shared" si="314"/>
        <v>0</v>
      </c>
      <c r="DM43" s="1593">
        <f t="shared" si="314"/>
        <v>0</v>
      </c>
      <c r="DN43" s="1593">
        <f t="shared" si="314"/>
        <v>0</v>
      </c>
      <c r="DO43" s="1593">
        <f t="shared" si="314"/>
        <v>0</v>
      </c>
      <c r="DP43" s="1593">
        <f t="shared" si="314"/>
        <v>0</v>
      </c>
      <c r="DQ43" s="1593">
        <f t="shared" si="315"/>
        <v>0</v>
      </c>
      <c r="DR43" s="1593">
        <f t="shared" si="315"/>
        <v>0</v>
      </c>
      <c r="DS43" s="1593">
        <f t="shared" si="315"/>
        <v>0</v>
      </c>
      <c r="DT43" s="1593">
        <f t="shared" si="315"/>
        <v>0</v>
      </c>
      <c r="DU43" s="1593">
        <f t="shared" si="315"/>
        <v>0</v>
      </c>
      <c r="DV43" s="1593">
        <f t="shared" si="315"/>
        <v>0</v>
      </c>
      <c r="DW43" s="1593">
        <f t="shared" si="315"/>
        <v>0</v>
      </c>
      <c r="DX43" s="1593">
        <f t="shared" si="315"/>
        <v>0</v>
      </c>
      <c r="DY43" s="1593"/>
      <c r="DZ43" s="1593"/>
      <c r="EA43" s="1593"/>
      <c r="EB43" s="1593"/>
      <c r="EC43" s="1593"/>
      <c r="ED43" s="1593">
        <f t="shared" si="316"/>
        <v>0</v>
      </c>
      <c r="EE43" s="79"/>
      <c r="EF43" s="1593">
        <f t="shared" si="317"/>
        <v>0</v>
      </c>
      <c r="EG43" s="1593">
        <f t="shared" si="317"/>
        <v>0</v>
      </c>
      <c r="EH43" s="1593">
        <f t="shared" si="317"/>
        <v>0</v>
      </c>
      <c r="EI43" s="1593">
        <f t="shared" si="317"/>
        <v>0</v>
      </c>
      <c r="EJ43" s="1593">
        <f t="shared" si="317"/>
        <v>0</v>
      </c>
      <c r="EK43" s="1593">
        <f t="shared" si="317"/>
        <v>0</v>
      </c>
      <c r="EL43" s="1593">
        <f t="shared" si="317"/>
        <v>0</v>
      </c>
      <c r="EM43" s="1593">
        <f t="shared" si="317"/>
        <v>0</v>
      </c>
      <c r="EN43" s="1593">
        <f t="shared" si="317"/>
        <v>0</v>
      </c>
      <c r="EO43" s="1593">
        <f t="shared" si="317"/>
        <v>0</v>
      </c>
      <c r="EP43" s="1593">
        <f t="shared" si="317"/>
        <v>0</v>
      </c>
      <c r="EQ43" s="1593">
        <f t="shared" si="317"/>
        <v>0</v>
      </c>
      <c r="ER43" s="1593">
        <f t="shared" si="317"/>
        <v>0</v>
      </c>
      <c r="ES43" s="1593">
        <f t="shared" si="317"/>
        <v>0</v>
      </c>
      <c r="ET43" s="1593">
        <f t="shared" si="317"/>
        <v>0</v>
      </c>
      <c r="EU43" s="1593">
        <f t="shared" si="317"/>
        <v>0</v>
      </c>
      <c r="EV43" s="1593">
        <f t="shared" si="318"/>
        <v>0</v>
      </c>
      <c r="EW43" s="1593">
        <f t="shared" si="319"/>
        <v>0</v>
      </c>
      <c r="EX43" s="1593">
        <f t="shared" si="320"/>
        <v>0</v>
      </c>
      <c r="EY43" s="1593">
        <f t="shared" si="321"/>
        <v>0</v>
      </c>
      <c r="EZ43" s="1593">
        <f t="shared" si="322"/>
        <v>0</v>
      </c>
      <c r="FA43" s="1593">
        <f t="shared" si="323"/>
        <v>0</v>
      </c>
      <c r="FB43" s="1593">
        <f t="shared" si="324"/>
        <v>0</v>
      </c>
      <c r="FC43" s="1593">
        <f t="shared" si="325"/>
        <v>0</v>
      </c>
      <c r="FD43" s="1593">
        <f t="shared" si="326"/>
        <v>0</v>
      </c>
      <c r="FE43" s="1593">
        <f t="shared" si="327"/>
        <v>0</v>
      </c>
      <c r="FF43" s="1593">
        <f t="shared" si="328"/>
        <v>0</v>
      </c>
      <c r="FG43" s="1593">
        <f t="shared" si="329"/>
        <v>0</v>
      </c>
      <c r="FH43" s="1593">
        <f t="shared" si="330"/>
        <v>0</v>
      </c>
      <c r="FI43" s="1593">
        <f t="shared" si="331"/>
        <v>0</v>
      </c>
    </row>
    <row r="44" spans="1:165">
      <c r="A44" s="595"/>
      <c r="B44" s="598"/>
      <c r="C44" s="599"/>
      <c r="D44" s="68" t="s">
        <v>1724</v>
      </c>
      <c r="E44" s="68" t="str">
        <f>LEFT(D44,LEN(D44)-1) &amp; RIGHT(D44,1)+1</f>
        <v>8.8</v>
      </c>
      <c r="F44" s="1564" t="s">
        <v>1644</v>
      </c>
      <c r="G44" s="733" t="s">
        <v>1717</v>
      </c>
      <c r="H44" s="736">
        <f>SUM(DA44:ED44)</f>
        <v>2878253.5458524097</v>
      </c>
      <c r="I44" s="734">
        <f ca="1">SUM(EF44:FI44)</f>
        <v>3339366.7982548503</v>
      </c>
      <c r="J44" s="1577"/>
      <c r="K44" s="98"/>
      <c r="L44" s="1588"/>
      <c r="M44" s="1588"/>
      <c r="N44" s="1588"/>
      <c r="O44" s="1588"/>
      <c r="P44" s="1588"/>
      <c r="Q44" s="1588"/>
      <c r="R44" s="1588"/>
      <c r="S44" s="1588"/>
      <c r="T44" s="1588"/>
      <c r="U44" s="1588"/>
      <c r="V44" s="1588"/>
      <c r="W44" s="1588"/>
      <c r="X44" s="1588"/>
      <c r="Y44" s="1588"/>
      <c r="Z44" s="1588"/>
      <c r="AA44" s="1588"/>
      <c r="AB44" s="1588"/>
      <c r="AC44" s="1588"/>
      <c r="AD44" s="1588"/>
      <c r="AE44" s="1588"/>
      <c r="AF44" s="1588"/>
      <c r="AG44" s="1588"/>
      <c r="AH44" s="1589"/>
      <c r="AI44" s="1589"/>
      <c r="AJ44" s="1589"/>
      <c r="AK44" s="1589"/>
      <c r="AL44" s="1589"/>
      <c r="AM44" s="1589"/>
      <c r="AN44" s="1589"/>
      <c r="AO44" s="1589"/>
      <c r="AP44" s="392"/>
      <c r="AQ44" s="1590"/>
      <c r="AR44" s="1588"/>
      <c r="AS44" s="1588"/>
      <c r="AT44" s="1588"/>
      <c r="AU44" s="1588"/>
      <c r="AV44" s="1588"/>
      <c r="AW44" s="1588"/>
      <c r="AX44" s="1588"/>
      <c r="AY44" s="1588"/>
      <c r="AZ44" s="1588"/>
      <c r="BA44" s="1588"/>
      <c r="BB44" s="1588"/>
      <c r="BC44" s="1588"/>
      <c r="BD44" s="1588"/>
      <c r="BE44" s="1588"/>
      <c r="BF44" s="1588"/>
      <c r="BG44" s="1588"/>
      <c r="BH44" s="1588"/>
      <c r="BI44" s="1588"/>
      <c r="BJ44" s="1588"/>
      <c r="BK44" s="1588"/>
      <c r="BL44" s="1588"/>
      <c r="BM44" s="1589"/>
      <c r="BN44" s="1589"/>
      <c r="BO44" s="1589"/>
      <c r="BP44" s="1589"/>
      <c r="BQ44" s="1589"/>
      <c r="BR44" s="1589"/>
      <c r="BS44" s="1589"/>
      <c r="BT44" s="1589"/>
      <c r="BU44" s="392"/>
      <c r="BV44" s="1590"/>
      <c r="BW44" s="1588"/>
      <c r="BX44" s="1588"/>
      <c r="BY44" s="1588"/>
      <c r="BZ44" s="1588"/>
      <c r="CA44" s="1588"/>
      <c r="CB44" s="1588"/>
      <c r="CC44" s="1588"/>
      <c r="CD44" s="1588"/>
      <c r="CE44" s="1588"/>
      <c r="CF44" s="1588"/>
      <c r="CG44" s="1588"/>
      <c r="CH44" s="1588"/>
      <c r="CI44" s="1588"/>
      <c r="CJ44" s="1588"/>
      <c r="CK44" s="1588"/>
      <c r="CL44" s="1588"/>
      <c r="CM44" s="1588"/>
      <c r="CN44" s="1588"/>
      <c r="CO44" s="1588"/>
      <c r="CP44" s="1588"/>
      <c r="CQ44" s="1588"/>
      <c r="CR44" s="1589"/>
      <c r="CS44" s="1589"/>
      <c r="CT44" s="1589"/>
      <c r="CU44" s="1589"/>
      <c r="CV44" s="1589"/>
      <c r="CW44" s="1589"/>
      <c r="CX44" s="1589"/>
      <c r="CY44" s="1589"/>
      <c r="CZ44" s="84"/>
      <c r="DA44" s="1591">
        <f t="shared" ref="DA44:ED44" si="393">SUBTOTAL(9,DA46:DA65)</f>
        <v>2611341.1112509598</v>
      </c>
      <c r="DB44" s="1591">
        <f t="shared" si="393"/>
        <v>266912.43460145005</v>
      </c>
      <c r="DC44" s="1591">
        <f t="shared" si="393"/>
        <v>0</v>
      </c>
      <c r="DD44" s="1591">
        <f t="shared" si="393"/>
        <v>0</v>
      </c>
      <c r="DE44" s="1591">
        <f t="shared" si="393"/>
        <v>0</v>
      </c>
      <c r="DF44" s="1591">
        <f t="shared" si="393"/>
        <v>0</v>
      </c>
      <c r="DG44" s="1591">
        <f t="shared" si="393"/>
        <v>0</v>
      </c>
      <c r="DH44" s="1591">
        <f t="shared" si="393"/>
        <v>0</v>
      </c>
      <c r="DI44" s="1591">
        <f t="shared" si="393"/>
        <v>0</v>
      </c>
      <c r="DJ44" s="1591">
        <f t="shared" si="393"/>
        <v>0</v>
      </c>
      <c r="DK44" s="1591">
        <f t="shared" si="393"/>
        <v>0</v>
      </c>
      <c r="DL44" s="1591">
        <f t="shared" si="393"/>
        <v>0</v>
      </c>
      <c r="DM44" s="1591">
        <f t="shared" si="393"/>
        <v>0</v>
      </c>
      <c r="DN44" s="1591">
        <f t="shared" si="393"/>
        <v>0</v>
      </c>
      <c r="DO44" s="1591">
        <f t="shared" si="393"/>
        <v>0</v>
      </c>
      <c r="DP44" s="1591">
        <f t="shared" si="393"/>
        <v>0</v>
      </c>
      <c r="DQ44" s="1591">
        <f t="shared" si="393"/>
        <v>0</v>
      </c>
      <c r="DR44" s="1591">
        <f t="shared" si="393"/>
        <v>0</v>
      </c>
      <c r="DS44" s="1591">
        <f t="shared" si="393"/>
        <v>0</v>
      </c>
      <c r="DT44" s="1591">
        <f t="shared" si="393"/>
        <v>0</v>
      </c>
      <c r="DU44" s="1591">
        <f t="shared" si="393"/>
        <v>0</v>
      </c>
      <c r="DV44" s="1591">
        <f t="shared" si="393"/>
        <v>0</v>
      </c>
      <c r="DW44" s="1591">
        <f t="shared" si="393"/>
        <v>0</v>
      </c>
      <c r="DX44" s="1591">
        <f t="shared" si="393"/>
        <v>0</v>
      </c>
      <c r="DY44" s="1591"/>
      <c r="DZ44" s="1591"/>
      <c r="EA44" s="1591"/>
      <c r="EB44" s="1591"/>
      <c r="EC44" s="1591"/>
      <c r="ED44" s="1591">
        <f t="shared" si="393"/>
        <v>0</v>
      </c>
      <c r="EE44" s="79"/>
      <c r="EF44" s="1591">
        <f t="shared" ref="EF44:EZ44" ca="1" si="394">SUBTOTAL(9,EF46:EF65)</f>
        <v>0</v>
      </c>
      <c r="EG44" s="1591">
        <f t="shared" ca="1" si="394"/>
        <v>0</v>
      </c>
      <c r="EH44" s="1591">
        <f t="shared" ca="1" si="394"/>
        <v>0</v>
      </c>
      <c r="EI44" s="1591">
        <f t="shared" ca="1" si="394"/>
        <v>0</v>
      </c>
      <c r="EJ44" s="1591">
        <f t="shared" ca="1" si="394"/>
        <v>0</v>
      </c>
      <c r="EK44" s="1591">
        <f t="shared" ca="1" si="394"/>
        <v>0</v>
      </c>
      <c r="EL44" s="1591">
        <f t="shared" ca="1" si="394"/>
        <v>0</v>
      </c>
      <c r="EM44" s="1591">
        <f t="shared" ca="1" si="394"/>
        <v>0</v>
      </c>
      <c r="EN44" s="1591">
        <f t="shared" ca="1" si="394"/>
        <v>0</v>
      </c>
      <c r="EO44" s="1591">
        <f t="shared" ca="1" si="394"/>
        <v>0</v>
      </c>
      <c r="EP44" s="1591">
        <f t="shared" ca="1" si="394"/>
        <v>1429462.2079861201</v>
      </c>
      <c r="EQ44" s="1591">
        <f t="shared" ca="1" si="394"/>
        <v>240221.19114130503</v>
      </c>
      <c r="ER44" s="1591">
        <f t="shared" ca="1" si="394"/>
        <v>0</v>
      </c>
      <c r="ES44" s="1591">
        <f t="shared" ca="1" si="394"/>
        <v>0</v>
      </c>
      <c r="ET44" s="1591">
        <f t="shared" ca="1" si="394"/>
        <v>0</v>
      </c>
      <c r="EU44" s="1591">
        <f t="shared" ca="1" si="394"/>
        <v>0</v>
      </c>
      <c r="EV44" s="1591">
        <f t="shared" ca="1" si="394"/>
        <v>0</v>
      </c>
      <c r="EW44" s="1591">
        <f t="shared" ca="1" si="394"/>
        <v>0</v>
      </c>
      <c r="EX44" s="1591">
        <f t="shared" ca="1" si="394"/>
        <v>0</v>
      </c>
      <c r="EY44" s="1591">
        <f t="shared" ca="1" si="394"/>
        <v>0</v>
      </c>
      <c r="EZ44" s="1591">
        <f t="shared" ca="1" si="394"/>
        <v>1429462.2079861201</v>
      </c>
      <c r="FA44" s="1591">
        <f t="shared" ref="FA44:FI44" ca="1" si="395">SUBTOTAL(9,FA46:FA65)</f>
        <v>240221.19114130503</v>
      </c>
      <c r="FB44" s="1591">
        <f t="shared" ca="1" si="395"/>
        <v>0</v>
      </c>
      <c r="FC44" s="1591">
        <f t="shared" ca="1" si="395"/>
        <v>0</v>
      </c>
      <c r="FD44" s="1591">
        <f t="shared" ca="1" si="395"/>
        <v>0</v>
      </c>
      <c r="FE44" s="1591">
        <f t="shared" ca="1" si="395"/>
        <v>0</v>
      </c>
      <c r="FF44" s="1591">
        <f t="shared" ca="1" si="395"/>
        <v>0</v>
      </c>
      <c r="FG44" s="1591">
        <f t="shared" ca="1" si="395"/>
        <v>0</v>
      </c>
      <c r="FH44" s="1591">
        <f t="shared" ca="1" si="395"/>
        <v>0</v>
      </c>
      <c r="FI44" s="1591">
        <f t="shared" ca="1" si="395"/>
        <v>0</v>
      </c>
    </row>
    <row r="45" spans="1:165">
      <c r="A45" s="595"/>
      <c r="B45" s="598"/>
      <c r="C45" s="599"/>
      <c r="D45" s="68" t="s">
        <v>1725</v>
      </c>
      <c r="E45" s="68" t="str">
        <f>LEFT(D45,LEN(D45)-1) &amp; RIGHT(D45,1)+1</f>
        <v>8.7.1.2</v>
      </c>
      <c r="F45" s="1489" t="s">
        <v>1645</v>
      </c>
      <c r="G45" s="1568" t="s">
        <v>1717</v>
      </c>
      <c r="H45" s="315">
        <f>SUM(DA45:ED45)</f>
        <v>266912.43460145005</v>
      </c>
      <c r="I45" s="316">
        <f ca="1">SUM(EF45:FI45)</f>
        <v>480442.38228261005</v>
      </c>
      <c r="J45" s="1492"/>
      <c r="K45" s="98"/>
      <c r="L45" s="1588"/>
      <c r="M45" s="1588"/>
      <c r="N45" s="1588"/>
      <c r="O45" s="1588"/>
      <c r="P45" s="1588"/>
      <c r="Q45" s="1588"/>
      <c r="R45" s="1588"/>
      <c r="S45" s="1588"/>
      <c r="T45" s="1588"/>
      <c r="U45" s="1588"/>
      <c r="V45" s="1588"/>
      <c r="W45" s="1588"/>
      <c r="X45" s="1588"/>
      <c r="Y45" s="1588"/>
      <c r="Z45" s="1588"/>
      <c r="AA45" s="1588"/>
      <c r="AB45" s="1588"/>
      <c r="AC45" s="1588"/>
      <c r="AD45" s="1588"/>
      <c r="AE45" s="1588"/>
      <c r="AF45" s="1588"/>
      <c r="AG45" s="1588"/>
      <c r="AH45" s="1589"/>
      <c r="AI45" s="1589"/>
      <c r="AJ45" s="1589"/>
      <c r="AK45" s="1589"/>
      <c r="AL45" s="1589"/>
      <c r="AM45" s="1589"/>
      <c r="AN45" s="1589"/>
      <c r="AO45" s="1589"/>
      <c r="AP45" s="392"/>
      <c r="AQ45" s="1590"/>
      <c r="AR45" s="1588"/>
      <c r="AS45" s="1588"/>
      <c r="AT45" s="1588"/>
      <c r="AU45" s="1588"/>
      <c r="AV45" s="1588"/>
      <c r="AW45" s="1588"/>
      <c r="AX45" s="1588"/>
      <c r="AY45" s="1588"/>
      <c r="AZ45" s="1588"/>
      <c r="BA45" s="1588"/>
      <c r="BB45" s="1588"/>
      <c r="BC45" s="1588"/>
      <c r="BD45" s="1588"/>
      <c r="BE45" s="1588"/>
      <c r="BF45" s="1588"/>
      <c r="BG45" s="1588"/>
      <c r="BH45" s="1588"/>
      <c r="BI45" s="1588"/>
      <c r="BJ45" s="1588"/>
      <c r="BK45" s="1588"/>
      <c r="BL45" s="1588"/>
      <c r="BM45" s="1589"/>
      <c r="BN45" s="1589"/>
      <c r="BO45" s="1589"/>
      <c r="BP45" s="1589"/>
      <c r="BQ45" s="1589"/>
      <c r="BR45" s="1589"/>
      <c r="BS45" s="1589"/>
      <c r="BT45" s="1589"/>
      <c r="BU45" s="392"/>
      <c r="BV45" s="1594"/>
      <c r="BW45" s="1595"/>
      <c r="BX45" s="1595"/>
      <c r="BY45" s="1595"/>
      <c r="BZ45" s="1595"/>
      <c r="CA45" s="1595"/>
      <c r="CB45" s="1595"/>
      <c r="CC45" s="1595"/>
      <c r="CD45" s="1595"/>
      <c r="CE45" s="1595"/>
      <c r="CF45" s="1595"/>
      <c r="CG45" s="1595"/>
      <c r="CH45" s="1595"/>
      <c r="CI45" s="1595"/>
      <c r="CJ45" s="1595"/>
      <c r="CK45" s="1595"/>
      <c r="CL45" s="1595"/>
      <c r="CM45" s="1595"/>
      <c r="CN45" s="1595"/>
      <c r="CO45" s="1595"/>
      <c r="CP45" s="1595"/>
      <c r="CQ45" s="1595"/>
      <c r="CR45" s="1596"/>
      <c r="CS45" s="1596"/>
      <c r="CT45" s="1596"/>
      <c r="CU45" s="1596"/>
      <c r="CV45" s="1596"/>
      <c r="CW45" s="1596"/>
      <c r="CX45" s="1596"/>
      <c r="CY45" s="1596"/>
      <c r="CZ45" s="84"/>
      <c r="DA45" s="1591">
        <f t="shared" ref="DA45:FI45" si="396">SUBTOTAL(9,DA46)</f>
        <v>0</v>
      </c>
      <c r="DB45" s="1591">
        <f t="shared" si="396"/>
        <v>266912.43460145005</v>
      </c>
      <c r="DC45" s="1591">
        <f t="shared" si="396"/>
        <v>0</v>
      </c>
      <c r="DD45" s="1591">
        <f t="shared" si="396"/>
        <v>0</v>
      </c>
      <c r="DE45" s="1591">
        <f t="shared" si="396"/>
        <v>0</v>
      </c>
      <c r="DF45" s="1591">
        <f t="shared" si="396"/>
        <v>0</v>
      </c>
      <c r="DG45" s="1591">
        <f t="shared" si="396"/>
        <v>0</v>
      </c>
      <c r="DH45" s="1591">
        <f t="shared" si="396"/>
        <v>0</v>
      </c>
      <c r="DI45" s="1591">
        <f t="shared" si="396"/>
        <v>0</v>
      </c>
      <c r="DJ45" s="1591">
        <f t="shared" si="396"/>
        <v>0</v>
      </c>
      <c r="DK45" s="1591">
        <f t="shared" si="396"/>
        <v>0</v>
      </c>
      <c r="DL45" s="1591">
        <f t="shared" si="396"/>
        <v>0</v>
      </c>
      <c r="DM45" s="1591">
        <f t="shared" si="396"/>
        <v>0</v>
      </c>
      <c r="DN45" s="1591">
        <f t="shared" si="396"/>
        <v>0</v>
      </c>
      <c r="DO45" s="1591">
        <f t="shared" si="396"/>
        <v>0</v>
      </c>
      <c r="DP45" s="1591">
        <f t="shared" si="396"/>
        <v>0</v>
      </c>
      <c r="DQ45" s="1591">
        <f t="shared" si="396"/>
        <v>0</v>
      </c>
      <c r="DR45" s="1591">
        <f t="shared" si="396"/>
        <v>0</v>
      </c>
      <c r="DS45" s="1591">
        <f t="shared" si="396"/>
        <v>0</v>
      </c>
      <c r="DT45" s="1591">
        <f t="shared" si="396"/>
        <v>0</v>
      </c>
      <c r="DU45" s="1591">
        <f t="shared" si="396"/>
        <v>0</v>
      </c>
      <c r="DV45" s="1591">
        <f t="shared" si="396"/>
        <v>0</v>
      </c>
      <c r="DW45" s="1591">
        <f t="shared" si="396"/>
        <v>0</v>
      </c>
      <c r="DX45" s="1591">
        <f t="shared" si="396"/>
        <v>0</v>
      </c>
      <c r="DY45" s="1591"/>
      <c r="DZ45" s="1591"/>
      <c r="EA45" s="1591"/>
      <c r="EB45" s="1591"/>
      <c r="EC45" s="1591"/>
      <c r="ED45" s="1591">
        <f t="shared" si="396"/>
        <v>0</v>
      </c>
      <c r="EE45" s="79"/>
      <c r="EF45" s="1591">
        <f t="shared" ca="1" si="396"/>
        <v>0</v>
      </c>
      <c r="EG45" s="1591">
        <f t="shared" ca="1" si="396"/>
        <v>0</v>
      </c>
      <c r="EH45" s="1591">
        <f t="shared" ca="1" si="396"/>
        <v>0</v>
      </c>
      <c r="EI45" s="1591">
        <f t="shared" ca="1" si="396"/>
        <v>0</v>
      </c>
      <c r="EJ45" s="1591">
        <f t="shared" ca="1" si="396"/>
        <v>0</v>
      </c>
      <c r="EK45" s="1591">
        <f t="shared" ca="1" si="396"/>
        <v>0</v>
      </c>
      <c r="EL45" s="1591">
        <f t="shared" ca="1" si="396"/>
        <v>0</v>
      </c>
      <c r="EM45" s="1591">
        <f t="shared" ca="1" si="396"/>
        <v>0</v>
      </c>
      <c r="EN45" s="1591">
        <f t="shared" ca="1" si="396"/>
        <v>0</v>
      </c>
      <c r="EO45" s="1591">
        <f t="shared" ca="1" si="396"/>
        <v>0</v>
      </c>
      <c r="EP45" s="1591">
        <f t="shared" ca="1" si="396"/>
        <v>0</v>
      </c>
      <c r="EQ45" s="1591">
        <f t="shared" ca="1" si="396"/>
        <v>240221.19114130503</v>
      </c>
      <c r="ER45" s="1591">
        <f t="shared" ca="1" si="396"/>
        <v>0</v>
      </c>
      <c r="ES45" s="1591">
        <f t="shared" ca="1" si="396"/>
        <v>0</v>
      </c>
      <c r="ET45" s="1591">
        <f t="shared" ca="1" si="396"/>
        <v>0</v>
      </c>
      <c r="EU45" s="1591">
        <f t="shared" ca="1" si="396"/>
        <v>0</v>
      </c>
      <c r="EV45" s="1591">
        <f t="shared" ca="1" si="396"/>
        <v>0</v>
      </c>
      <c r="EW45" s="1591">
        <f t="shared" ca="1" si="396"/>
        <v>0</v>
      </c>
      <c r="EX45" s="1591">
        <f t="shared" ca="1" si="396"/>
        <v>0</v>
      </c>
      <c r="EY45" s="1591">
        <f t="shared" ca="1" si="396"/>
        <v>0</v>
      </c>
      <c r="EZ45" s="1591">
        <f t="shared" ca="1" si="396"/>
        <v>0</v>
      </c>
      <c r="FA45" s="1591">
        <f t="shared" ca="1" si="396"/>
        <v>240221.19114130503</v>
      </c>
      <c r="FB45" s="1591">
        <f t="shared" ca="1" si="396"/>
        <v>0</v>
      </c>
      <c r="FC45" s="1591">
        <f t="shared" ca="1" si="396"/>
        <v>0</v>
      </c>
      <c r="FD45" s="1591">
        <f t="shared" ca="1" si="396"/>
        <v>0</v>
      </c>
      <c r="FE45" s="1591">
        <f t="shared" ca="1" si="396"/>
        <v>0</v>
      </c>
      <c r="FF45" s="1591">
        <f t="shared" ca="1" si="396"/>
        <v>0</v>
      </c>
      <c r="FG45" s="1591">
        <f t="shared" ca="1" si="396"/>
        <v>0</v>
      </c>
      <c r="FH45" s="1591">
        <f t="shared" ca="1" si="396"/>
        <v>0</v>
      </c>
      <c r="FI45" s="1591">
        <f t="shared" ca="1" si="396"/>
        <v>0</v>
      </c>
    </row>
    <row r="46" spans="1:165" ht="12.75" customHeight="1">
      <c r="A46" s="595"/>
      <c r="B46" s="598"/>
      <c r="C46" s="599"/>
      <c r="F46" s="1498" t="s">
        <v>1646</v>
      </c>
      <c r="G46" s="1568" t="s">
        <v>1718</v>
      </c>
      <c r="H46" s="1597">
        <f>'Sistemas - Cotações'!F43</f>
        <v>26691.243460145004</v>
      </c>
      <c r="I46" s="1598">
        <f>H46*0.9</f>
        <v>24022.119114130503</v>
      </c>
      <c r="J46" s="867">
        <v>10</v>
      </c>
      <c r="K46" s="97"/>
      <c r="L46" s="1479"/>
      <c r="M46" s="1479">
        <f>'Sistemas-Manutenção'!M42</f>
        <v>10</v>
      </c>
      <c r="N46" s="1479">
        <f>'Sistemas-Manutenção'!N42</f>
        <v>10</v>
      </c>
      <c r="O46" s="1479">
        <f>'Sistemas-Manutenção'!O42</f>
        <v>10</v>
      </c>
      <c r="P46" s="1479">
        <f>'Sistemas-Manutenção'!P42</f>
        <v>10</v>
      </c>
      <c r="Q46" s="1479">
        <f>'Sistemas-Manutenção'!Q42</f>
        <v>10</v>
      </c>
      <c r="R46" s="1479">
        <f>'Sistemas-Manutenção'!R42</f>
        <v>10</v>
      </c>
      <c r="S46" s="1479">
        <f>'Sistemas-Manutenção'!S42</f>
        <v>10</v>
      </c>
      <c r="T46" s="1479">
        <f>'Sistemas-Manutenção'!T42</f>
        <v>10</v>
      </c>
      <c r="U46" s="1479">
        <f>'Sistemas-Manutenção'!U42</f>
        <v>10</v>
      </c>
      <c r="V46" s="1479">
        <f>'Sistemas-Manutenção'!V42</f>
        <v>10</v>
      </c>
      <c r="W46" s="1479">
        <f>'Sistemas-Manutenção'!W42</f>
        <v>10</v>
      </c>
      <c r="X46" s="1479">
        <f>'Sistemas-Manutenção'!X42</f>
        <v>10</v>
      </c>
      <c r="Y46" s="1479">
        <f>'Sistemas-Manutenção'!Y42</f>
        <v>10</v>
      </c>
      <c r="Z46" s="1479">
        <f>'Sistemas-Manutenção'!Z42</f>
        <v>10</v>
      </c>
      <c r="AA46" s="1479">
        <f>'Sistemas-Manutenção'!AA42</f>
        <v>10</v>
      </c>
      <c r="AB46" s="1479">
        <f>'Sistemas-Manutenção'!AB42</f>
        <v>10</v>
      </c>
      <c r="AC46" s="1479">
        <f>'Sistemas-Manutenção'!AC42</f>
        <v>10</v>
      </c>
      <c r="AD46" s="1479">
        <f>'Sistemas-Manutenção'!AD42</f>
        <v>10</v>
      </c>
      <c r="AE46" s="1479">
        <f>'Sistemas-Manutenção'!AE42</f>
        <v>10</v>
      </c>
      <c r="AF46" s="1479">
        <f>'Sistemas-Manutenção'!AF42</f>
        <v>10</v>
      </c>
      <c r="AG46" s="1479">
        <f>'Sistemas-Manutenção'!AG42</f>
        <v>10</v>
      </c>
      <c r="AH46" s="1479">
        <f>'Sistemas-Manutenção'!AH42</f>
        <v>10</v>
      </c>
      <c r="AI46" s="1479">
        <f>'Sistemas-Manutenção'!AI42</f>
        <v>10</v>
      </c>
      <c r="AJ46" s="1479">
        <f>'Sistemas-Manutenção'!AJ42</f>
        <v>10</v>
      </c>
      <c r="AK46" s="1479">
        <f>'Sistemas-Manutenção'!AK42</f>
        <v>10</v>
      </c>
      <c r="AL46" s="1479">
        <f>'Sistemas-Manutenção'!AL42</f>
        <v>10</v>
      </c>
      <c r="AM46" s="1479">
        <f>'Sistemas-Manutenção'!AM42</f>
        <v>10</v>
      </c>
      <c r="AN46" s="1479">
        <f>'Sistemas-Manutenção'!AN42</f>
        <v>10</v>
      </c>
      <c r="AO46" s="1479">
        <f>'Sistemas-Manutenção'!AO42</f>
        <v>10</v>
      </c>
      <c r="AP46" s="77"/>
      <c r="AQ46" s="1479">
        <f t="shared" ref="AQ46:AR46" si="397">IF(L46&gt;K46,L46-K46,0)</f>
        <v>0</v>
      </c>
      <c r="AR46" s="1479">
        <f t="shared" si="397"/>
        <v>10</v>
      </c>
      <c r="AS46" s="1479">
        <f t="shared" ref="AS46" si="398">IF(N46&gt;M46,N46-M46,0)</f>
        <v>0</v>
      </c>
      <c r="AT46" s="1479">
        <f t="shared" ref="AT46" si="399">IF(O46&gt;N46,O46-N46,0)</f>
        <v>0</v>
      </c>
      <c r="AU46" s="1479">
        <f t="shared" ref="AU46" si="400">IF(P46&gt;O46,P46-O46,0)</f>
        <v>0</v>
      </c>
      <c r="AV46" s="1479">
        <f t="shared" ref="AV46" si="401">IF(Q46&gt;P46,Q46-P46,0)</f>
        <v>0</v>
      </c>
      <c r="AW46" s="1479">
        <f t="shared" ref="AW46" si="402">IF(R46&gt;Q46,R46-Q46,0)</f>
        <v>0</v>
      </c>
      <c r="AX46" s="1479">
        <f t="shared" ref="AX46" si="403">IF(S46&gt;R46,S46-R46,0)</f>
        <v>0</v>
      </c>
      <c r="AY46" s="1479">
        <f t="shared" ref="AY46" si="404">IF(T46&gt;S46,T46-S46,0)</f>
        <v>0</v>
      </c>
      <c r="AZ46" s="1479">
        <f t="shared" ref="AZ46" si="405">IF(U46&gt;T46,U46-T46,0)</f>
        <v>0</v>
      </c>
      <c r="BA46" s="1479">
        <f t="shared" ref="BA46" si="406">IF(V46&gt;U46,V46-U46,0)</f>
        <v>0</v>
      </c>
      <c r="BB46" s="1479">
        <f t="shared" ref="BB46" si="407">IF(W46&gt;V46,W46-V46,0)</f>
        <v>0</v>
      </c>
      <c r="BC46" s="1479">
        <f t="shared" ref="BC46" si="408">IF(X46&gt;W46,X46-W46,0)</f>
        <v>0</v>
      </c>
      <c r="BD46" s="1479">
        <f t="shared" ref="BD46" si="409">IF(Y46&gt;X46,Y46-X46,0)</f>
        <v>0</v>
      </c>
      <c r="BE46" s="1479">
        <f t="shared" ref="BE46" si="410">IF(Z46&gt;Y46,Z46-Y46,0)</f>
        <v>0</v>
      </c>
      <c r="BF46" s="1479">
        <f t="shared" ref="BF46" si="411">IF(AA46&gt;Z46,AA46-Z46,0)</f>
        <v>0</v>
      </c>
      <c r="BG46" s="1479">
        <f t="shared" ref="BG46" si="412">IF(AB46&gt;AA46,AB46-AA46,0)</f>
        <v>0</v>
      </c>
      <c r="BH46" s="1479">
        <f t="shared" ref="BH46" si="413">IF(AC46&gt;AB46,AC46-AB46,0)</f>
        <v>0</v>
      </c>
      <c r="BI46" s="1479">
        <f t="shared" ref="BI46" si="414">IF(AD46&gt;AC46,AD46-AC46,0)</f>
        <v>0</v>
      </c>
      <c r="BJ46" s="1479">
        <f t="shared" ref="BJ46" si="415">IF(AE46&gt;AD46,AE46-AD46,0)</f>
        <v>0</v>
      </c>
      <c r="BK46" s="1479">
        <f t="shared" ref="BK46" si="416">IF(AF46&gt;AE46,AF46-AE46,0)</f>
        <v>0</v>
      </c>
      <c r="BL46" s="1479">
        <f t="shared" ref="BL46" si="417">IF(AG46&gt;AF46,AG46-AF46,0)</f>
        <v>0</v>
      </c>
      <c r="BM46" s="1479">
        <f t="shared" ref="BM46" si="418">IF(AH46&gt;AG46,AH46-AG46,0)</f>
        <v>0</v>
      </c>
      <c r="BN46" s="1479">
        <f t="shared" ref="BN46" si="419">IF(AI46&gt;AH46,AI46-AH46,0)</f>
        <v>0</v>
      </c>
      <c r="BO46" s="1479"/>
      <c r="BP46" s="1479"/>
      <c r="BQ46" s="1479"/>
      <c r="BR46" s="1479"/>
      <c r="BS46" s="1479"/>
      <c r="BT46" s="1479">
        <f t="shared" ref="BT46" si="420">IF(AJ46&gt;AI46,AJ46-AI46,0)</f>
        <v>0</v>
      </c>
      <c r="BU46" s="77"/>
      <c r="BV46" s="1571">
        <f t="shared" ref="BV46:CP46" ca="1" si="421">IF(L46-SUM(OFFSET(AQ46,,-$J46+1,,$J46))-IF($J46&gt;1,SUM(OFFSET(BV46,,-$J46+1,,$J46-1)),0)&gt;0,L46-SUM(OFFSET(AQ46,,-$J46+1,,$J46))-IF($J46&gt;1,SUM(OFFSET(BV46,,-$J46+1,,$J46-1)),0),0)</f>
        <v>0</v>
      </c>
      <c r="BW46" s="1571">
        <f t="shared" ca="1" si="421"/>
        <v>0</v>
      </c>
      <c r="BX46" s="1571">
        <f t="shared" ca="1" si="421"/>
        <v>0</v>
      </c>
      <c r="BY46" s="1571">
        <f t="shared" ca="1" si="421"/>
        <v>0</v>
      </c>
      <c r="BZ46" s="1571">
        <f t="shared" ca="1" si="421"/>
        <v>0</v>
      </c>
      <c r="CA46" s="1571">
        <f t="shared" ca="1" si="421"/>
        <v>0</v>
      </c>
      <c r="CB46" s="1571">
        <f t="shared" ca="1" si="421"/>
        <v>0</v>
      </c>
      <c r="CC46" s="1571">
        <f t="shared" ca="1" si="421"/>
        <v>0</v>
      </c>
      <c r="CD46" s="1571">
        <f t="shared" ca="1" si="421"/>
        <v>0</v>
      </c>
      <c r="CE46" s="1571">
        <f t="shared" ca="1" si="421"/>
        <v>0</v>
      </c>
      <c r="CF46" s="1571">
        <f t="shared" ca="1" si="421"/>
        <v>0</v>
      </c>
      <c r="CG46" s="1571">
        <f t="shared" ca="1" si="421"/>
        <v>10</v>
      </c>
      <c r="CH46" s="1571">
        <f t="shared" ca="1" si="421"/>
        <v>0</v>
      </c>
      <c r="CI46" s="1571">
        <f t="shared" ca="1" si="421"/>
        <v>0</v>
      </c>
      <c r="CJ46" s="1571">
        <f t="shared" ca="1" si="421"/>
        <v>0</v>
      </c>
      <c r="CK46" s="1571">
        <f t="shared" ca="1" si="421"/>
        <v>0</v>
      </c>
      <c r="CL46" s="1571">
        <f t="shared" ca="1" si="421"/>
        <v>0</v>
      </c>
      <c r="CM46" s="1571">
        <f t="shared" ca="1" si="421"/>
        <v>0</v>
      </c>
      <c r="CN46" s="1571">
        <f t="shared" ca="1" si="421"/>
        <v>0</v>
      </c>
      <c r="CO46" s="1571">
        <f t="shared" ca="1" si="421"/>
        <v>0</v>
      </c>
      <c r="CP46" s="1571">
        <f t="shared" ca="1" si="421"/>
        <v>0</v>
      </c>
      <c r="CQ46" s="1571">
        <f t="shared" ref="CQ46" ca="1" si="422">IF(AG46-SUM(OFFSET(BL46,,-$J46+1,,$J46))-IF($J46&gt;1,SUM(OFFSET(CQ46,,-$J46+1,,$J46-1)),0)&gt;0,AG46-SUM(OFFSET(BL46,,-$J46+1,,$J46))-IF($J46&gt;1,SUM(OFFSET(CQ46,,-$J46+1,,$J46-1)),0),0)</f>
        <v>10</v>
      </c>
      <c r="CR46" s="1571">
        <f t="shared" ref="CR46" ca="1" si="423">IF(AH46-SUM(OFFSET(BM46,,-$J46+1,,$J46))-IF($J46&gt;1,SUM(OFFSET(CR46,,-$J46+1,,$J46-1)),0)&gt;0,AH46-SUM(OFFSET(BM46,,-$J46+1,,$J46))-IF($J46&gt;1,SUM(OFFSET(CR46,,-$J46+1,,$J46-1)),0),0)</f>
        <v>0</v>
      </c>
      <c r="CS46" s="1571">
        <f t="shared" ref="CS46" ca="1" si="424">IF(AI46-SUM(OFFSET(BN46,,-$J46+1,,$J46))-IF($J46&gt;1,SUM(OFFSET(CS46,,-$J46+1,,$J46-1)),0)&gt;0,AI46-SUM(OFFSET(BN46,,-$J46+1,,$J46))-IF($J46&gt;1,SUM(OFFSET(CS46,,-$J46+1,,$J46-1)),0),0)</f>
        <v>0</v>
      </c>
      <c r="CT46" s="1571">
        <f t="shared" ref="CT46" ca="1" si="425">IF(AJ46-SUM(OFFSET(BT46,,-$J46+1,,$J46))-IF($J46&gt;1,SUM(OFFSET(CT46,,-$J46+1,,$J46-1)),0)&gt;0,AJ46-SUM(OFFSET(BT46,,-$J46+1,,$J46))-IF($J46&gt;1,SUM(OFFSET(CT46,,-$J46+1,,$J46-1)),0),0)</f>
        <v>0</v>
      </c>
      <c r="CU46" s="1571">
        <f t="shared" ref="CU46" ca="1" si="426">IF(AK46-SUM(OFFSET(BU46,,-$J46+1,,$J46))-IF($J46&gt;1,SUM(OFFSET(CU46,,-$J46+1,,$J46-1)),0)&gt;0,AK46-SUM(OFFSET(BU46,,-$J46+1,,$J46))-IF($J46&gt;1,SUM(OFFSET(CU46,,-$J46+1,,$J46-1)),0),0)</f>
        <v>0</v>
      </c>
      <c r="CV46" s="1571">
        <f t="shared" ref="CV46" ca="1" si="427">IF(AL46-SUM(OFFSET(BV46,,-$J46+1,,$J46))-IF($J46&gt;1,SUM(OFFSET(CV46,,-$J46+1,,$J46-1)),0)&gt;0,AL46-SUM(OFFSET(BV46,,-$J46+1,,$J46))-IF($J46&gt;1,SUM(OFFSET(CV46,,-$J46+1,,$J46-1)),0),0)</f>
        <v>0</v>
      </c>
      <c r="CW46" s="1571">
        <f t="shared" ref="CW46" ca="1" si="428">IF(AM46-SUM(OFFSET(BW46,,-$J46+1,,$J46))-IF($J46&gt;1,SUM(OFFSET(CW46,,-$J46+1,,$J46-1)),0)&gt;0,AM46-SUM(OFFSET(BW46,,-$J46+1,,$J46))-IF($J46&gt;1,SUM(OFFSET(CW46,,-$J46+1,,$J46-1)),0),0)</f>
        <v>0</v>
      </c>
      <c r="CX46" s="1571">
        <f t="shared" ref="CX46" ca="1" si="429">IF(AN46-SUM(OFFSET(BX46,,-$J46+1,,$J46))-IF($J46&gt;1,SUM(OFFSET(CX46,,-$J46+1,,$J46-1)),0)&gt;0,AN46-SUM(OFFSET(BX46,,-$J46+1,,$J46))-IF($J46&gt;1,SUM(OFFSET(CX46,,-$J46+1,,$J46-1)),0),0)</f>
        <v>0</v>
      </c>
      <c r="CY46" s="1571">
        <f t="shared" ref="CY46" ca="1" si="430">IF(AO46-SUM(OFFSET(BY46,,-$J46+1,,$J46))-IF($J46&gt;1,SUM(OFFSET(CY46,,-$J46+1,,$J46-1)),0)&gt;0,AO46-SUM(OFFSET(BY46,,-$J46+1,,$J46))-IF($J46&gt;1,SUM(OFFSET(CY46,,-$J46+1,,$J46-1)),0),0)</f>
        <v>0</v>
      </c>
      <c r="CZ46" s="78"/>
      <c r="DA46" s="1572">
        <f t="shared" ref="DA46:DX46" si="431">AQ46*$H46</f>
        <v>0</v>
      </c>
      <c r="DB46" s="1572">
        <f t="shared" si="431"/>
        <v>266912.43460145005</v>
      </c>
      <c r="DC46" s="1572">
        <f t="shared" si="431"/>
        <v>0</v>
      </c>
      <c r="DD46" s="1572">
        <f t="shared" si="431"/>
        <v>0</v>
      </c>
      <c r="DE46" s="1572">
        <f t="shared" si="431"/>
        <v>0</v>
      </c>
      <c r="DF46" s="1572">
        <f t="shared" si="431"/>
        <v>0</v>
      </c>
      <c r="DG46" s="1572">
        <f t="shared" si="431"/>
        <v>0</v>
      </c>
      <c r="DH46" s="1572">
        <f t="shared" si="431"/>
        <v>0</v>
      </c>
      <c r="DI46" s="1572">
        <f t="shared" si="431"/>
        <v>0</v>
      </c>
      <c r="DJ46" s="1572">
        <f t="shared" si="431"/>
        <v>0</v>
      </c>
      <c r="DK46" s="1572">
        <f t="shared" si="431"/>
        <v>0</v>
      </c>
      <c r="DL46" s="1572">
        <f t="shared" si="431"/>
        <v>0</v>
      </c>
      <c r="DM46" s="1572">
        <f t="shared" si="431"/>
        <v>0</v>
      </c>
      <c r="DN46" s="1572">
        <f t="shared" si="431"/>
        <v>0</v>
      </c>
      <c r="DO46" s="1572">
        <f t="shared" si="431"/>
        <v>0</v>
      </c>
      <c r="DP46" s="1572">
        <f t="shared" si="431"/>
        <v>0</v>
      </c>
      <c r="DQ46" s="1572">
        <f t="shared" si="431"/>
        <v>0</v>
      </c>
      <c r="DR46" s="1572">
        <f t="shared" si="431"/>
        <v>0</v>
      </c>
      <c r="DS46" s="1572">
        <f t="shared" si="431"/>
        <v>0</v>
      </c>
      <c r="DT46" s="1572">
        <f t="shared" si="431"/>
        <v>0</v>
      </c>
      <c r="DU46" s="1572">
        <f t="shared" si="431"/>
        <v>0</v>
      </c>
      <c r="DV46" s="1572">
        <f t="shared" si="431"/>
        <v>0</v>
      </c>
      <c r="DW46" s="1572">
        <f t="shared" si="431"/>
        <v>0</v>
      </c>
      <c r="DX46" s="1572">
        <f t="shared" si="431"/>
        <v>0</v>
      </c>
      <c r="DY46" s="1572"/>
      <c r="DZ46" s="1572"/>
      <c r="EA46" s="1572"/>
      <c r="EB46" s="1572"/>
      <c r="EC46" s="1572"/>
      <c r="ED46" s="1572">
        <f>BT46*$H46</f>
        <v>0</v>
      </c>
      <c r="EE46" s="79"/>
      <c r="EF46" s="1572">
        <f t="shared" ref="EF46:EZ46" ca="1" si="432">BV46*$I46</f>
        <v>0</v>
      </c>
      <c r="EG46" s="1572">
        <f t="shared" ca="1" si="432"/>
        <v>0</v>
      </c>
      <c r="EH46" s="1572">
        <f t="shared" ca="1" si="432"/>
        <v>0</v>
      </c>
      <c r="EI46" s="1572">
        <f t="shared" ca="1" si="432"/>
        <v>0</v>
      </c>
      <c r="EJ46" s="1572">
        <f t="shared" ca="1" si="432"/>
        <v>0</v>
      </c>
      <c r="EK46" s="1572">
        <f t="shared" ca="1" si="432"/>
        <v>0</v>
      </c>
      <c r="EL46" s="1572">
        <f t="shared" ca="1" si="432"/>
        <v>0</v>
      </c>
      <c r="EM46" s="1572">
        <f t="shared" ca="1" si="432"/>
        <v>0</v>
      </c>
      <c r="EN46" s="1572">
        <f t="shared" ca="1" si="432"/>
        <v>0</v>
      </c>
      <c r="EO46" s="1572">
        <f t="shared" ca="1" si="432"/>
        <v>0</v>
      </c>
      <c r="EP46" s="1572">
        <f t="shared" ca="1" si="432"/>
        <v>0</v>
      </c>
      <c r="EQ46" s="1572">
        <f t="shared" ca="1" si="432"/>
        <v>240221.19114130503</v>
      </c>
      <c r="ER46" s="1572">
        <f t="shared" ca="1" si="432"/>
        <v>0</v>
      </c>
      <c r="ES46" s="1572">
        <f t="shared" ca="1" si="432"/>
        <v>0</v>
      </c>
      <c r="ET46" s="1572">
        <f t="shared" ca="1" si="432"/>
        <v>0</v>
      </c>
      <c r="EU46" s="1572">
        <f t="shared" ca="1" si="432"/>
        <v>0</v>
      </c>
      <c r="EV46" s="1572">
        <f t="shared" ca="1" si="432"/>
        <v>0</v>
      </c>
      <c r="EW46" s="1572">
        <f t="shared" ca="1" si="432"/>
        <v>0</v>
      </c>
      <c r="EX46" s="1572">
        <f t="shared" ca="1" si="432"/>
        <v>0</v>
      </c>
      <c r="EY46" s="1572">
        <f t="shared" ca="1" si="432"/>
        <v>0</v>
      </c>
      <c r="EZ46" s="1572">
        <f t="shared" ca="1" si="432"/>
        <v>0</v>
      </c>
      <c r="FA46" s="1572">
        <f t="shared" ref="FA46" ca="1" si="433">CQ46*$I46</f>
        <v>240221.19114130503</v>
      </c>
      <c r="FB46" s="1572">
        <f t="shared" ref="FB46" ca="1" si="434">CR46*$I46</f>
        <v>0</v>
      </c>
      <c r="FC46" s="1572">
        <f t="shared" ref="FC46" ca="1" si="435">CS46*$I46</f>
        <v>0</v>
      </c>
      <c r="FD46" s="1572">
        <f t="shared" ref="FD46" ca="1" si="436">CT46*$I46</f>
        <v>0</v>
      </c>
      <c r="FE46" s="1572">
        <f t="shared" ref="FE46" ca="1" si="437">CU46*$I46</f>
        <v>0</v>
      </c>
      <c r="FF46" s="1572">
        <f t="shared" ref="FF46" ca="1" si="438">CV46*$I46</f>
        <v>0</v>
      </c>
      <c r="FG46" s="1572">
        <f t="shared" ref="FG46" ca="1" si="439">CW46*$I46</f>
        <v>0</v>
      </c>
      <c r="FH46" s="1572">
        <f t="shared" ref="FH46" ca="1" si="440">CX46*$I46</f>
        <v>0</v>
      </c>
      <c r="FI46" s="1572">
        <f t="shared" ref="FI46" ca="1" si="441">CY46*$I46</f>
        <v>0</v>
      </c>
    </row>
    <row r="47" spans="1:165" ht="12.75" customHeight="1">
      <c r="A47" s="595"/>
      <c r="B47" s="598"/>
      <c r="C47" s="599"/>
      <c r="D47" s="68" t="s">
        <v>1726</v>
      </c>
      <c r="E47" s="68" t="str">
        <f>LEFT(D47,LEN(D47)-1) &amp; RIGHT(D47,1)+1</f>
        <v>8.7.2.2</v>
      </c>
      <c r="F47" s="1599" t="s">
        <v>1647</v>
      </c>
      <c r="G47" s="401" t="s">
        <v>1717</v>
      </c>
      <c r="H47" s="315">
        <f>SUM(DA47:ED47)</f>
        <v>0</v>
      </c>
      <c r="I47" s="316">
        <f>SUM(EF47:FI47)</f>
        <v>0</v>
      </c>
      <c r="J47" s="867"/>
      <c r="K47" s="97"/>
      <c r="L47" s="1479">
        <f>'Sistemas-Manutenção'!L43</f>
        <v>0</v>
      </c>
      <c r="M47" s="1479">
        <f>'Sistemas-Manutenção'!M43</f>
        <v>0</v>
      </c>
      <c r="N47" s="1479">
        <f>'Sistemas-Manutenção'!N43</f>
        <v>0</v>
      </c>
      <c r="O47" s="1479">
        <f>'Sistemas-Manutenção'!O43</f>
        <v>0</v>
      </c>
      <c r="P47" s="1479">
        <f>'Sistemas-Manutenção'!P43</f>
        <v>0</v>
      </c>
      <c r="Q47" s="1479">
        <f>'Sistemas-Manutenção'!Q43</f>
        <v>0</v>
      </c>
      <c r="R47" s="1479">
        <f>'Sistemas-Manutenção'!R43</f>
        <v>0</v>
      </c>
      <c r="S47" s="1479">
        <f>'Sistemas-Manutenção'!S43</f>
        <v>0</v>
      </c>
      <c r="T47" s="1479">
        <f>'Sistemas-Manutenção'!T43</f>
        <v>0</v>
      </c>
      <c r="U47" s="1479">
        <f>'Sistemas-Manutenção'!U43</f>
        <v>0</v>
      </c>
      <c r="V47" s="1479">
        <f>'Sistemas-Manutenção'!V43</f>
        <v>0</v>
      </c>
      <c r="W47" s="1479">
        <f>'Sistemas-Manutenção'!W43</f>
        <v>0</v>
      </c>
      <c r="X47" s="1479">
        <f>'Sistemas-Manutenção'!X43</f>
        <v>0</v>
      </c>
      <c r="Y47" s="1479">
        <f>'Sistemas-Manutenção'!Y43</f>
        <v>0</v>
      </c>
      <c r="Z47" s="1479">
        <f>'Sistemas-Manutenção'!Z43</f>
        <v>0</v>
      </c>
      <c r="AA47" s="1479">
        <f>'Sistemas-Manutenção'!AA43</f>
        <v>0</v>
      </c>
      <c r="AB47" s="1479">
        <f>'Sistemas-Manutenção'!AB43</f>
        <v>0</v>
      </c>
      <c r="AC47" s="1479">
        <f>'Sistemas-Manutenção'!AC43</f>
        <v>0</v>
      </c>
      <c r="AD47" s="1479">
        <f>'Sistemas-Manutenção'!AD43</f>
        <v>0</v>
      </c>
      <c r="AE47" s="1479">
        <f>'Sistemas-Manutenção'!AE43</f>
        <v>0</v>
      </c>
      <c r="AF47" s="1479">
        <f>'Sistemas-Manutenção'!AF43</f>
        <v>0</v>
      </c>
      <c r="AG47" s="1479">
        <f>'Sistemas-Manutenção'!AG43</f>
        <v>0</v>
      </c>
      <c r="AH47" s="1479">
        <f>'Sistemas-Manutenção'!AH43</f>
        <v>0</v>
      </c>
      <c r="AI47" s="1479">
        <f>'Sistemas-Manutenção'!AI43</f>
        <v>0</v>
      </c>
      <c r="AJ47" s="1479">
        <f>'Sistemas-Manutenção'!AJ43</f>
        <v>0</v>
      </c>
      <c r="AK47" s="1479">
        <f>'Sistemas-Manutenção'!AK43</f>
        <v>0</v>
      </c>
      <c r="AL47" s="1479">
        <f>'Sistemas-Manutenção'!AL43</f>
        <v>0</v>
      </c>
      <c r="AM47" s="1479">
        <f>'Sistemas-Manutenção'!AM43</f>
        <v>0</v>
      </c>
      <c r="AN47" s="1479">
        <f>'Sistemas-Manutenção'!AN43</f>
        <v>0</v>
      </c>
      <c r="AO47" s="1479">
        <f>'Sistemas-Manutenção'!AO43</f>
        <v>0</v>
      </c>
      <c r="AP47" s="77"/>
      <c r="AQ47" s="1479"/>
      <c r="AR47" s="1479"/>
      <c r="AS47" s="1479"/>
      <c r="AT47" s="1479"/>
      <c r="AU47" s="1479"/>
      <c r="AV47" s="1479"/>
      <c r="AW47" s="1479"/>
      <c r="AX47" s="1479"/>
      <c r="AY47" s="1479"/>
      <c r="AZ47" s="1479"/>
      <c r="BA47" s="1479"/>
      <c r="BB47" s="1479"/>
      <c r="BC47" s="1479"/>
      <c r="BD47" s="1479"/>
      <c r="BE47" s="1479"/>
      <c r="BF47" s="1479"/>
      <c r="BG47" s="1479"/>
      <c r="BH47" s="1479"/>
      <c r="BI47" s="1479"/>
      <c r="BJ47" s="1479"/>
      <c r="BK47" s="1479"/>
      <c r="BL47" s="1479"/>
      <c r="BM47" s="1479"/>
      <c r="BN47" s="1479"/>
      <c r="BO47" s="1479"/>
      <c r="BP47" s="1479"/>
      <c r="BQ47" s="1479"/>
      <c r="BR47" s="1479"/>
      <c r="BS47" s="1479"/>
      <c r="BT47" s="1479"/>
      <c r="BU47" s="77"/>
      <c r="BV47" s="1571"/>
      <c r="BW47" s="1571"/>
      <c r="BX47" s="1571"/>
      <c r="BY47" s="1571"/>
      <c r="BZ47" s="1571"/>
      <c r="CA47" s="1571"/>
      <c r="CB47" s="1571"/>
      <c r="CC47" s="1571"/>
      <c r="CD47" s="1571"/>
      <c r="CE47" s="1571"/>
      <c r="CF47" s="1571"/>
      <c r="CG47" s="1571"/>
      <c r="CH47" s="1571"/>
      <c r="CI47" s="1571"/>
      <c r="CJ47" s="1571"/>
      <c r="CK47" s="1571"/>
      <c r="CL47" s="1571"/>
      <c r="CM47" s="1571"/>
      <c r="CN47" s="1571"/>
      <c r="CO47" s="1571"/>
      <c r="CP47" s="1571"/>
      <c r="CQ47" s="1571"/>
      <c r="CR47" s="1571"/>
      <c r="CS47" s="1571"/>
      <c r="CT47" s="1571"/>
      <c r="CU47" s="1571"/>
      <c r="CV47" s="1571"/>
      <c r="CW47" s="1571"/>
      <c r="CX47" s="1571"/>
      <c r="CY47" s="1571"/>
      <c r="CZ47" s="78"/>
      <c r="DA47" s="1591">
        <f t="shared" ref="DA47:ED47" si="442">SUBTOTAL(9,DA48)</f>
        <v>0</v>
      </c>
      <c r="DB47" s="1591">
        <f t="shared" si="442"/>
        <v>0</v>
      </c>
      <c r="DC47" s="1591">
        <f t="shared" si="442"/>
        <v>0</v>
      </c>
      <c r="DD47" s="1591">
        <f t="shared" si="442"/>
        <v>0</v>
      </c>
      <c r="DE47" s="1591">
        <f t="shared" si="442"/>
        <v>0</v>
      </c>
      <c r="DF47" s="1591">
        <f t="shared" si="442"/>
        <v>0</v>
      </c>
      <c r="DG47" s="1591">
        <f t="shared" si="442"/>
        <v>0</v>
      </c>
      <c r="DH47" s="1591">
        <f t="shared" si="442"/>
        <v>0</v>
      </c>
      <c r="DI47" s="1591">
        <f t="shared" si="442"/>
        <v>0</v>
      </c>
      <c r="DJ47" s="1591">
        <f t="shared" si="442"/>
        <v>0</v>
      </c>
      <c r="DK47" s="1591">
        <f t="shared" si="442"/>
        <v>0</v>
      </c>
      <c r="DL47" s="1591">
        <f t="shared" si="442"/>
        <v>0</v>
      </c>
      <c r="DM47" s="1591">
        <f t="shared" si="442"/>
        <v>0</v>
      </c>
      <c r="DN47" s="1591">
        <f t="shared" si="442"/>
        <v>0</v>
      </c>
      <c r="DO47" s="1591">
        <f t="shared" si="442"/>
        <v>0</v>
      </c>
      <c r="DP47" s="1591">
        <f t="shared" si="442"/>
        <v>0</v>
      </c>
      <c r="DQ47" s="1591">
        <f t="shared" si="442"/>
        <v>0</v>
      </c>
      <c r="DR47" s="1591">
        <f t="shared" si="442"/>
        <v>0</v>
      </c>
      <c r="DS47" s="1591">
        <f t="shared" si="442"/>
        <v>0</v>
      </c>
      <c r="DT47" s="1591">
        <f t="shared" si="442"/>
        <v>0</v>
      </c>
      <c r="DU47" s="1591">
        <f t="shared" si="442"/>
        <v>0</v>
      </c>
      <c r="DV47" s="1591">
        <f t="shared" si="442"/>
        <v>0</v>
      </c>
      <c r="DW47" s="1591">
        <f t="shared" si="442"/>
        <v>0</v>
      </c>
      <c r="DX47" s="1591">
        <f t="shared" si="442"/>
        <v>0</v>
      </c>
      <c r="DY47" s="1591"/>
      <c r="DZ47" s="1591"/>
      <c r="EA47" s="1591"/>
      <c r="EB47" s="1591"/>
      <c r="EC47" s="1591"/>
      <c r="ED47" s="1591">
        <f t="shared" si="442"/>
        <v>0</v>
      </c>
      <c r="EE47" s="79"/>
      <c r="EF47" s="1591">
        <f t="shared" ref="EF47:FI47" si="443">SUBTOTAL(9,EF48)</f>
        <v>0</v>
      </c>
      <c r="EG47" s="1591">
        <f t="shared" si="443"/>
        <v>0</v>
      </c>
      <c r="EH47" s="1591">
        <f t="shared" si="443"/>
        <v>0</v>
      </c>
      <c r="EI47" s="1591">
        <f t="shared" si="443"/>
        <v>0</v>
      </c>
      <c r="EJ47" s="1591">
        <f t="shared" si="443"/>
        <v>0</v>
      </c>
      <c r="EK47" s="1591">
        <f t="shared" si="443"/>
        <v>0</v>
      </c>
      <c r="EL47" s="1591">
        <f t="shared" si="443"/>
        <v>0</v>
      </c>
      <c r="EM47" s="1591">
        <f t="shared" si="443"/>
        <v>0</v>
      </c>
      <c r="EN47" s="1591">
        <f t="shared" si="443"/>
        <v>0</v>
      </c>
      <c r="EO47" s="1591">
        <f t="shared" si="443"/>
        <v>0</v>
      </c>
      <c r="EP47" s="1591">
        <f t="shared" si="443"/>
        <v>0</v>
      </c>
      <c r="EQ47" s="1591">
        <f t="shared" si="443"/>
        <v>0</v>
      </c>
      <c r="ER47" s="1591">
        <f t="shared" si="443"/>
        <v>0</v>
      </c>
      <c r="ES47" s="1591">
        <f t="shared" si="443"/>
        <v>0</v>
      </c>
      <c r="ET47" s="1591">
        <f t="shared" si="443"/>
        <v>0</v>
      </c>
      <c r="EU47" s="1591">
        <f t="shared" si="443"/>
        <v>0</v>
      </c>
      <c r="EV47" s="1591">
        <f t="shared" si="443"/>
        <v>0</v>
      </c>
      <c r="EW47" s="1591">
        <f t="shared" si="443"/>
        <v>0</v>
      </c>
      <c r="EX47" s="1591">
        <f t="shared" si="443"/>
        <v>0</v>
      </c>
      <c r="EY47" s="1591">
        <f t="shared" si="443"/>
        <v>0</v>
      </c>
      <c r="EZ47" s="1591">
        <f t="shared" si="443"/>
        <v>0</v>
      </c>
      <c r="FA47" s="1591">
        <f t="shared" si="443"/>
        <v>0</v>
      </c>
      <c r="FB47" s="1591">
        <f t="shared" si="443"/>
        <v>0</v>
      </c>
      <c r="FC47" s="1591">
        <f t="shared" si="443"/>
        <v>0</v>
      </c>
      <c r="FD47" s="1591">
        <f t="shared" si="443"/>
        <v>0</v>
      </c>
      <c r="FE47" s="1591">
        <f t="shared" si="443"/>
        <v>0</v>
      </c>
      <c r="FF47" s="1591">
        <f t="shared" si="443"/>
        <v>0</v>
      </c>
      <c r="FG47" s="1591">
        <f t="shared" si="443"/>
        <v>0</v>
      </c>
      <c r="FH47" s="1591">
        <f t="shared" si="443"/>
        <v>0</v>
      </c>
      <c r="FI47" s="1591">
        <f t="shared" si="443"/>
        <v>0</v>
      </c>
    </row>
    <row r="48" spans="1:165" ht="12.75" customHeight="1">
      <c r="A48" s="595"/>
      <c r="B48" s="598"/>
      <c r="C48" s="599"/>
      <c r="F48" s="1499" t="s">
        <v>1648</v>
      </c>
      <c r="G48" s="1600" t="s">
        <v>1718</v>
      </c>
      <c r="H48" s="1597">
        <f>'Sistemas - Cotações'!F44</f>
        <v>0</v>
      </c>
      <c r="I48" s="1598">
        <f>H48*0.8</f>
        <v>0</v>
      </c>
      <c r="J48" s="867">
        <f>'Sistemas - Cotações'!H44</f>
        <v>0</v>
      </c>
      <c r="K48" s="97"/>
      <c r="L48" s="1479">
        <f>'Sistemas-Manutenção'!L44</f>
        <v>5</v>
      </c>
      <c r="M48" s="1479">
        <f>'Sistemas-Manutenção'!M44</f>
        <v>5</v>
      </c>
      <c r="N48" s="1479">
        <f>'Sistemas-Manutenção'!N44</f>
        <v>5</v>
      </c>
      <c r="O48" s="1479">
        <f>'Sistemas-Manutenção'!O44</f>
        <v>5</v>
      </c>
      <c r="P48" s="1479">
        <f>'Sistemas-Manutenção'!P44</f>
        <v>5</v>
      </c>
      <c r="Q48" s="1479">
        <f>'Sistemas-Manutenção'!Q44</f>
        <v>5</v>
      </c>
      <c r="R48" s="1479">
        <f>'Sistemas-Manutenção'!R44</f>
        <v>5</v>
      </c>
      <c r="S48" s="1479">
        <f>'Sistemas-Manutenção'!S44</f>
        <v>5</v>
      </c>
      <c r="T48" s="1479">
        <f>'Sistemas-Manutenção'!T44</f>
        <v>5</v>
      </c>
      <c r="U48" s="1479">
        <f>'Sistemas-Manutenção'!U44</f>
        <v>5</v>
      </c>
      <c r="V48" s="1479">
        <f>'Sistemas-Manutenção'!V44</f>
        <v>5</v>
      </c>
      <c r="W48" s="1479">
        <f>'Sistemas-Manutenção'!W44</f>
        <v>5</v>
      </c>
      <c r="X48" s="1479">
        <f>'Sistemas-Manutenção'!X44</f>
        <v>5</v>
      </c>
      <c r="Y48" s="1479">
        <f>'Sistemas-Manutenção'!Y44</f>
        <v>5</v>
      </c>
      <c r="Z48" s="1479">
        <f>'Sistemas-Manutenção'!Z44</f>
        <v>5</v>
      </c>
      <c r="AA48" s="1479">
        <f>'Sistemas-Manutenção'!AA44</f>
        <v>5</v>
      </c>
      <c r="AB48" s="1479">
        <f>'Sistemas-Manutenção'!AB44</f>
        <v>5</v>
      </c>
      <c r="AC48" s="1479">
        <f>'Sistemas-Manutenção'!AC44</f>
        <v>5</v>
      </c>
      <c r="AD48" s="1479">
        <f>'Sistemas-Manutenção'!AD44</f>
        <v>5</v>
      </c>
      <c r="AE48" s="1479">
        <f>'Sistemas-Manutenção'!AE44</f>
        <v>5</v>
      </c>
      <c r="AF48" s="1479">
        <f>'Sistemas-Manutenção'!AF44</f>
        <v>5</v>
      </c>
      <c r="AG48" s="1479">
        <f>'Sistemas-Manutenção'!AG44</f>
        <v>5</v>
      </c>
      <c r="AH48" s="1479">
        <f>'Sistemas-Manutenção'!AH44</f>
        <v>5</v>
      </c>
      <c r="AI48" s="1479">
        <f>'Sistemas-Manutenção'!AI44</f>
        <v>5</v>
      </c>
      <c r="AJ48" s="1479">
        <f>'Sistemas-Manutenção'!AJ44</f>
        <v>5</v>
      </c>
      <c r="AK48" s="1479">
        <f>'Sistemas-Manutenção'!AK44</f>
        <v>5</v>
      </c>
      <c r="AL48" s="1479">
        <f>'Sistemas-Manutenção'!AL44</f>
        <v>5</v>
      </c>
      <c r="AM48" s="1479">
        <f>'Sistemas-Manutenção'!AM44</f>
        <v>5</v>
      </c>
      <c r="AN48" s="1479">
        <f>'Sistemas-Manutenção'!AN44</f>
        <v>5</v>
      </c>
      <c r="AO48" s="1479">
        <f>'Sistemas-Manutenção'!AO44</f>
        <v>5</v>
      </c>
      <c r="AP48" s="77"/>
      <c r="AQ48" s="1479">
        <f t="shared" ref="AQ48:AZ48" si="444">IF(L48&gt;K48,L48-K48,0)</f>
        <v>5</v>
      </c>
      <c r="AR48" s="1479">
        <f t="shared" si="444"/>
        <v>0</v>
      </c>
      <c r="AS48" s="1479">
        <f t="shared" si="444"/>
        <v>0</v>
      </c>
      <c r="AT48" s="1479">
        <f t="shared" si="444"/>
        <v>0</v>
      </c>
      <c r="AU48" s="1479">
        <f t="shared" si="444"/>
        <v>0</v>
      </c>
      <c r="AV48" s="1479">
        <f t="shared" si="444"/>
        <v>0</v>
      </c>
      <c r="AW48" s="1479">
        <f t="shared" si="444"/>
        <v>0</v>
      </c>
      <c r="AX48" s="1479">
        <f t="shared" si="444"/>
        <v>0</v>
      </c>
      <c r="AY48" s="1479">
        <f t="shared" si="444"/>
        <v>0</v>
      </c>
      <c r="AZ48" s="1479">
        <f t="shared" si="444"/>
        <v>0</v>
      </c>
      <c r="BA48" s="1479">
        <f t="shared" ref="BA48:BN48" si="445">IF(V48&gt;U48,V48-U48,0)</f>
        <v>0</v>
      </c>
      <c r="BB48" s="1479">
        <f t="shared" si="445"/>
        <v>0</v>
      </c>
      <c r="BC48" s="1479">
        <f t="shared" si="445"/>
        <v>0</v>
      </c>
      <c r="BD48" s="1479">
        <f t="shared" si="445"/>
        <v>0</v>
      </c>
      <c r="BE48" s="1479">
        <f t="shared" si="445"/>
        <v>0</v>
      </c>
      <c r="BF48" s="1479">
        <f t="shared" si="445"/>
        <v>0</v>
      </c>
      <c r="BG48" s="1479">
        <f t="shared" si="445"/>
        <v>0</v>
      </c>
      <c r="BH48" s="1479">
        <f t="shared" si="445"/>
        <v>0</v>
      </c>
      <c r="BI48" s="1479">
        <f t="shared" si="445"/>
        <v>0</v>
      </c>
      <c r="BJ48" s="1479">
        <f t="shared" si="445"/>
        <v>0</v>
      </c>
      <c r="BK48" s="1479">
        <f t="shared" si="445"/>
        <v>0</v>
      </c>
      <c r="BL48" s="1479">
        <f t="shared" si="445"/>
        <v>0</v>
      </c>
      <c r="BM48" s="1479">
        <f t="shared" si="445"/>
        <v>0</v>
      </c>
      <c r="BN48" s="1479">
        <f t="shared" si="445"/>
        <v>0</v>
      </c>
      <c r="BO48" s="1479"/>
      <c r="BP48" s="1479"/>
      <c r="BQ48" s="1479"/>
      <c r="BR48" s="1479"/>
      <c r="BS48" s="1479"/>
      <c r="BT48" s="1479">
        <f>IF(AO48&gt;AI48,AO48-AI48,0)</f>
        <v>0</v>
      </c>
      <c r="BU48" s="77"/>
      <c r="BV48" s="1571"/>
      <c r="BW48" s="1571"/>
      <c r="BX48" s="1571"/>
      <c r="BY48" s="1571"/>
      <c r="BZ48" s="1571"/>
      <c r="CA48" s="1571"/>
      <c r="CB48" s="1571"/>
      <c r="CC48" s="1571"/>
      <c r="CD48" s="1571"/>
      <c r="CE48" s="1571"/>
      <c r="CF48" s="1571"/>
      <c r="CG48" s="1571"/>
      <c r="CH48" s="1571"/>
      <c r="CI48" s="1571"/>
      <c r="CJ48" s="1571"/>
      <c r="CK48" s="1571"/>
      <c r="CL48" s="1571"/>
      <c r="CM48" s="1571"/>
      <c r="CN48" s="1571"/>
      <c r="CO48" s="1571"/>
      <c r="CP48" s="1571"/>
      <c r="CQ48" s="1571"/>
      <c r="CR48" s="1571"/>
      <c r="CS48" s="1571"/>
      <c r="CT48" s="1571"/>
      <c r="CU48" s="1571"/>
      <c r="CV48" s="1571"/>
      <c r="CW48" s="1571"/>
      <c r="CX48" s="1571"/>
      <c r="CY48" s="1571"/>
      <c r="CZ48" s="78"/>
      <c r="DA48" s="1572">
        <f t="shared" ref="DA48:DX48" si="446">AQ48*$H48</f>
        <v>0</v>
      </c>
      <c r="DB48" s="1572">
        <f t="shared" si="446"/>
        <v>0</v>
      </c>
      <c r="DC48" s="1572">
        <f t="shared" si="446"/>
        <v>0</v>
      </c>
      <c r="DD48" s="1572">
        <f t="shared" si="446"/>
        <v>0</v>
      </c>
      <c r="DE48" s="1572">
        <f t="shared" si="446"/>
        <v>0</v>
      </c>
      <c r="DF48" s="1572">
        <f t="shared" si="446"/>
        <v>0</v>
      </c>
      <c r="DG48" s="1572">
        <f t="shared" si="446"/>
        <v>0</v>
      </c>
      <c r="DH48" s="1572">
        <f t="shared" si="446"/>
        <v>0</v>
      </c>
      <c r="DI48" s="1572">
        <f t="shared" si="446"/>
        <v>0</v>
      </c>
      <c r="DJ48" s="1572">
        <f t="shared" si="446"/>
        <v>0</v>
      </c>
      <c r="DK48" s="1572">
        <f t="shared" si="446"/>
        <v>0</v>
      </c>
      <c r="DL48" s="1572">
        <f t="shared" si="446"/>
        <v>0</v>
      </c>
      <c r="DM48" s="1572">
        <f t="shared" si="446"/>
        <v>0</v>
      </c>
      <c r="DN48" s="1572">
        <f t="shared" si="446"/>
        <v>0</v>
      </c>
      <c r="DO48" s="1572">
        <f t="shared" si="446"/>
        <v>0</v>
      </c>
      <c r="DP48" s="1572">
        <f t="shared" si="446"/>
        <v>0</v>
      </c>
      <c r="DQ48" s="1572">
        <f t="shared" si="446"/>
        <v>0</v>
      </c>
      <c r="DR48" s="1572">
        <f t="shared" si="446"/>
        <v>0</v>
      </c>
      <c r="DS48" s="1572">
        <f t="shared" si="446"/>
        <v>0</v>
      </c>
      <c r="DT48" s="1572">
        <f t="shared" si="446"/>
        <v>0</v>
      </c>
      <c r="DU48" s="1572">
        <f t="shared" si="446"/>
        <v>0</v>
      </c>
      <c r="DV48" s="1572">
        <f t="shared" si="446"/>
        <v>0</v>
      </c>
      <c r="DW48" s="1572">
        <f t="shared" si="446"/>
        <v>0</v>
      </c>
      <c r="DX48" s="1572">
        <f t="shared" si="446"/>
        <v>0</v>
      </c>
      <c r="DY48" s="1572"/>
      <c r="DZ48" s="1572"/>
      <c r="EA48" s="1572"/>
      <c r="EB48" s="1572"/>
      <c r="EC48" s="1572"/>
      <c r="ED48" s="1572">
        <f>BT48*$H48</f>
        <v>0</v>
      </c>
      <c r="EE48" s="79"/>
      <c r="EF48" s="1572">
        <f t="shared" ref="EF48:EZ48" si="447">BV48*$I48</f>
        <v>0</v>
      </c>
      <c r="EG48" s="1572">
        <f t="shared" si="447"/>
        <v>0</v>
      </c>
      <c r="EH48" s="1572">
        <f t="shared" si="447"/>
        <v>0</v>
      </c>
      <c r="EI48" s="1572">
        <f t="shared" si="447"/>
        <v>0</v>
      </c>
      <c r="EJ48" s="1572">
        <f t="shared" si="447"/>
        <v>0</v>
      </c>
      <c r="EK48" s="1572">
        <f t="shared" si="447"/>
        <v>0</v>
      </c>
      <c r="EL48" s="1572">
        <f t="shared" si="447"/>
        <v>0</v>
      </c>
      <c r="EM48" s="1572">
        <f t="shared" si="447"/>
        <v>0</v>
      </c>
      <c r="EN48" s="1572">
        <f t="shared" si="447"/>
        <v>0</v>
      </c>
      <c r="EO48" s="1572">
        <f t="shared" si="447"/>
        <v>0</v>
      </c>
      <c r="EP48" s="1572">
        <f t="shared" si="447"/>
        <v>0</v>
      </c>
      <c r="EQ48" s="1572">
        <f t="shared" si="447"/>
        <v>0</v>
      </c>
      <c r="ER48" s="1572">
        <f t="shared" si="447"/>
        <v>0</v>
      </c>
      <c r="ES48" s="1572">
        <f t="shared" si="447"/>
        <v>0</v>
      </c>
      <c r="ET48" s="1572">
        <f t="shared" si="447"/>
        <v>0</v>
      </c>
      <c r="EU48" s="1572">
        <f t="shared" si="447"/>
        <v>0</v>
      </c>
      <c r="EV48" s="1572">
        <f t="shared" si="447"/>
        <v>0</v>
      </c>
      <c r="EW48" s="1572">
        <f t="shared" si="447"/>
        <v>0</v>
      </c>
      <c r="EX48" s="1572">
        <f t="shared" si="447"/>
        <v>0</v>
      </c>
      <c r="EY48" s="1572">
        <f t="shared" si="447"/>
        <v>0</v>
      </c>
      <c r="EZ48" s="1572">
        <f t="shared" si="447"/>
        <v>0</v>
      </c>
      <c r="FA48" s="1572">
        <f t="shared" ref="FA48" si="448">CQ48*$I48</f>
        <v>0</v>
      </c>
      <c r="FB48" s="1572">
        <f t="shared" ref="FB48" si="449">CR48*$I48</f>
        <v>0</v>
      </c>
      <c r="FC48" s="1572">
        <f t="shared" ref="FC48" si="450">CS48*$I48</f>
        <v>0</v>
      </c>
      <c r="FD48" s="1572">
        <f t="shared" ref="FD48" si="451">CT48*$I48</f>
        <v>0</v>
      </c>
      <c r="FE48" s="1572">
        <f t="shared" ref="FE48" si="452">CU48*$I48</f>
        <v>0</v>
      </c>
      <c r="FF48" s="1572">
        <f t="shared" ref="FF48" si="453">CV48*$I48</f>
        <v>0</v>
      </c>
      <c r="FG48" s="1572">
        <f t="shared" ref="FG48" si="454">CW48*$I48</f>
        <v>0</v>
      </c>
      <c r="FH48" s="1572">
        <f t="shared" ref="FH48" si="455">CX48*$I48</f>
        <v>0</v>
      </c>
      <c r="FI48" s="1572">
        <f t="shared" ref="FI48" si="456">CY48*$I48</f>
        <v>0</v>
      </c>
    </row>
    <row r="49" spans="1:165" ht="12.75" customHeight="1">
      <c r="A49" s="595"/>
      <c r="B49" s="598"/>
      <c r="C49" s="599"/>
      <c r="D49" s="68" t="s">
        <v>1727</v>
      </c>
      <c r="E49" s="68" t="str">
        <f>LEFT(D49,LEN(D49)-1) &amp; RIGHT(D49,1)+1</f>
        <v>8.7.3.2</v>
      </c>
      <c r="F49" s="1599" t="s">
        <v>1649</v>
      </c>
      <c r="G49" s="401" t="s">
        <v>1717</v>
      </c>
      <c r="H49" s="315">
        <f>SUM(DA49:ED49)</f>
        <v>972240.15625</v>
      </c>
      <c r="I49" s="316">
        <f ca="1">SUM(EF49:FI49)</f>
        <v>1750032.28125</v>
      </c>
      <c r="J49" s="867"/>
      <c r="K49" s="97"/>
      <c r="L49" s="1479">
        <f>'Sistemas-Manutenção'!L45</f>
        <v>0</v>
      </c>
      <c r="M49" s="1479">
        <f>'Sistemas-Manutenção'!M45</f>
        <v>0</v>
      </c>
      <c r="N49" s="1479">
        <f>'Sistemas-Manutenção'!N45</f>
        <v>0</v>
      </c>
      <c r="O49" s="1479">
        <f>'Sistemas-Manutenção'!O45</f>
        <v>0</v>
      </c>
      <c r="P49" s="1479">
        <f>'Sistemas-Manutenção'!P45</f>
        <v>0</v>
      </c>
      <c r="Q49" s="1479">
        <f>'Sistemas-Manutenção'!Q45</f>
        <v>0</v>
      </c>
      <c r="R49" s="1479">
        <f>'Sistemas-Manutenção'!R45</f>
        <v>0</v>
      </c>
      <c r="S49" s="1479">
        <f>'Sistemas-Manutenção'!S45</f>
        <v>0</v>
      </c>
      <c r="T49" s="1479">
        <f>'Sistemas-Manutenção'!T45</f>
        <v>0</v>
      </c>
      <c r="U49" s="1479">
        <f>'Sistemas-Manutenção'!U45</f>
        <v>0</v>
      </c>
      <c r="V49" s="1479">
        <f>'Sistemas-Manutenção'!V45</f>
        <v>0</v>
      </c>
      <c r="W49" s="1479">
        <f>'Sistemas-Manutenção'!W45</f>
        <v>0</v>
      </c>
      <c r="X49" s="1479">
        <f>'Sistemas-Manutenção'!X45</f>
        <v>0</v>
      </c>
      <c r="Y49" s="1479">
        <f>'Sistemas-Manutenção'!Y45</f>
        <v>0</v>
      </c>
      <c r="Z49" s="1479">
        <f>'Sistemas-Manutenção'!Z45</f>
        <v>0</v>
      </c>
      <c r="AA49" s="1479">
        <f>'Sistemas-Manutenção'!AA45</f>
        <v>0</v>
      </c>
      <c r="AB49" s="1479">
        <f>'Sistemas-Manutenção'!AB45</f>
        <v>0</v>
      </c>
      <c r="AC49" s="1479">
        <f>'Sistemas-Manutenção'!AC45</f>
        <v>0</v>
      </c>
      <c r="AD49" s="1479">
        <f>'Sistemas-Manutenção'!AD45</f>
        <v>0</v>
      </c>
      <c r="AE49" s="1479">
        <f>'Sistemas-Manutenção'!AE45</f>
        <v>0</v>
      </c>
      <c r="AF49" s="1479">
        <f>'Sistemas-Manutenção'!AF45</f>
        <v>0</v>
      </c>
      <c r="AG49" s="1479">
        <f>'Sistemas-Manutenção'!AG45</f>
        <v>0</v>
      </c>
      <c r="AH49" s="1479">
        <f>'Sistemas-Manutenção'!AH45</f>
        <v>0</v>
      </c>
      <c r="AI49" s="1479">
        <f>'Sistemas-Manutenção'!AI45</f>
        <v>0</v>
      </c>
      <c r="AJ49" s="1479">
        <f>'Sistemas-Manutenção'!AJ45</f>
        <v>0</v>
      </c>
      <c r="AK49" s="1479">
        <f>'Sistemas-Manutenção'!AK45</f>
        <v>0</v>
      </c>
      <c r="AL49" s="1479">
        <f>'Sistemas-Manutenção'!AL45</f>
        <v>0</v>
      </c>
      <c r="AM49" s="1479">
        <f>'Sistemas-Manutenção'!AM45</f>
        <v>0</v>
      </c>
      <c r="AN49" s="1479">
        <f>'Sistemas-Manutenção'!AN45</f>
        <v>0</v>
      </c>
      <c r="AO49" s="1479">
        <f>'Sistemas-Manutenção'!AO45</f>
        <v>0</v>
      </c>
      <c r="AP49" s="77"/>
      <c r="AQ49" s="1479"/>
      <c r="AR49" s="1479"/>
      <c r="AS49" s="1479"/>
      <c r="AT49" s="1479"/>
      <c r="AU49" s="1479"/>
      <c r="AV49" s="1479"/>
      <c r="AW49" s="1479"/>
      <c r="AX49" s="1479"/>
      <c r="AY49" s="1479"/>
      <c r="AZ49" s="1479"/>
      <c r="BA49" s="1479"/>
      <c r="BB49" s="1479"/>
      <c r="BC49" s="1479"/>
      <c r="BD49" s="1479"/>
      <c r="BE49" s="1479"/>
      <c r="BF49" s="1479"/>
      <c r="BG49" s="1479"/>
      <c r="BH49" s="1479"/>
      <c r="BI49" s="1479"/>
      <c r="BJ49" s="1479"/>
      <c r="BK49" s="1479"/>
      <c r="BL49" s="1479"/>
      <c r="BM49" s="1479"/>
      <c r="BN49" s="1479"/>
      <c r="BO49" s="1479"/>
      <c r="BP49" s="1479"/>
      <c r="BQ49" s="1479"/>
      <c r="BR49" s="1479"/>
      <c r="BS49" s="1479"/>
      <c r="BT49" s="1479"/>
      <c r="BU49" s="77"/>
      <c r="BV49" s="1571"/>
      <c r="BW49" s="1571"/>
      <c r="BX49" s="1571"/>
      <c r="BY49" s="1571"/>
      <c r="BZ49" s="1571"/>
      <c r="CA49" s="1571"/>
      <c r="CB49" s="1571"/>
      <c r="CC49" s="1571"/>
      <c r="CD49" s="1571"/>
      <c r="CE49" s="1571"/>
      <c r="CF49" s="1571"/>
      <c r="CG49" s="1571"/>
      <c r="CH49" s="1571"/>
      <c r="CI49" s="1571"/>
      <c r="CJ49" s="1571"/>
      <c r="CK49" s="1571"/>
      <c r="CL49" s="1571"/>
      <c r="CM49" s="1571"/>
      <c r="CN49" s="1571"/>
      <c r="CO49" s="1571"/>
      <c r="CP49" s="1571"/>
      <c r="CQ49" s="1571"/>
      <c r="CR49" s="1571"/>
      <c r="CS49" s="1571"/>
      <c r="CT49" s="1571"/>
      <c r="CU49" s="1571"/>
      <c r="CV49" s="1571"/>
      <c r="CW49" s="1571"/>
      <c r="CX49" s="1571"/>
      <c r="CY49" s="1571"/>
      <c r="CZ49" s="78"/>
      <c r="DA49" s="1567">
        <f>SUBTOTAL(9,DA50:DA51)</f>
        <v>972240.15625</v>
      </c>
      <c r="DB49" s="1567">
        <f t="shared" ref="DB49:DX49" si="457">SUBTOTAL(9,DB50:DB51)</f>
        <v>0</v>
      </c>
      <c r="DC49" s="1567">
        <f t="shared" si="457"/>
        <v>0</v>
      </c>
      <c r="DD49" s="1567">
        <f t="shared" si="457"/>
        <v>0</v>
      </c>
      <c r="DE49" s="1567">
        <f t="shared" si="457"/>
        <v>0</v>
      </c>
      <c r="DF49" s="1567">
        <f t="shared" si="457"/>
        <v>0</v>
      </c>
      <c r="DG49" s="1567">
        <f t="shared" si="457"/>
        <v>0</v>
      </c>
      <c r="DH49" s="1567">
        <f t="shared" si="457"/>
        <v>0</v>
      </c>
      <c r="DI49" s="1567">
        <f t="shared" si="457"/>
        <v>0</v>
      </c>
      <c r="DJ49" s="1567">
        <f t="shared" si="457"/>
        <v>0</v>
      </c>
      <c r="DK49" s="1567">
        <f t="shared" si="457"/>
        <v>0</v>
      </c>
      <c r="DL49" s="1567">
        <f t="shared" si="457"/>
        <v>0</v>
      </c>
      <c r="DM49" s="1567">
        <f t="shared" si="457"/>
        <v>0</v>
      </c>
      <c r="DN49" s="1567">
        <f t="shared" si="457"/>
        <v>0</v>
      </c>
      <c r="DO49" s="1567">
        <f t="shared" si="457"/>
        <v>0</v>
      </c>
      <c r="DP49" s="1567">
        <f t="shared" si="457"/>
        <v>0</v>
      </c>
      <c r="DQ49" s="1567">
        <f t="shared" si="457"/>
        <v>0</v>
      </c>
      <c r="DR49" s="1567">
        <f t="shared" si="457"/>
        <v>0</v>
      </c>
      <c r="DS49" s="1567">
        <f t="shared" si="457"/>
        <v>0</v>
      </c>
      <c r="DT49" s="1567">
        <f t="shared" si="457"/>
        <v>0</v>
      </c>
      <c r="DU49" s="1567">
        <f t="shared" si="457"/>
        <v>0</v>
      </c>
      <c r="DV49" s="1567">
        <f t="shared" si="457"/>
        <v>0</v>
      </c>
      <c r="DW49" s="1567">
        <f t="shared" si="457"/>
        <v>0</v>
      </c>
      <c r="DX49" s="1567">
        <f t="shared" si="457"/>
        <v>0</v>
      </c>
      <c r="DY49" s="1567"/>
      <c r="DZ49" s="1567"/>
      <c r="EA49" s="1567"/>
      <c r="EB49" s="1567"/>
      <c r="EC49" s="1567"/>
      <c r="ED49" s="1567">
        <f>SUBTOTAL(9,ED50:ED51)</f>
        <v>0</v>
      </c>
      <c r="EE49" s="79"/>
      <c r="EF49" s="1567">
        <f t="shared" ref="EF49:EZ49" ca="1" si="458">SUBTOTAL(9,EF50:EF51)</f>
        <v>0</v>
      </c>
      <c r="EG49" s="1567">
        <f t="shared" ca="1" si="458"/>
        <v>0</v>
      </c>
      <c r="EH49" s="1567">
        <f t="shared" ca="1" si="458"/>
        <v>0</v>
      </c>
      <c r="EI49" s="1567">
        <f t="shared" ca="1" si="458"/>
        <v>0</v>
      </c>
      <c r="EJ49" s="1567">
        <f t="shared" ca="1" si="458"/>
        <v>0</v>
      </c>
      <c r="EK49" s="1567">
        <f t="shared" ca="1" si="458"/>
        <v>0</v>
      </c>
      <c r="EL49" s="1567">
        <f t="shared" ca="1" si="458"/>
        <v>0</v>
      </c>
      <c r="EM49" s="1567">
        <f t="shared" ca="1" si="458"/>
        <v>0</v>
      </c>
      <c r="EN49" s="1567">
        <f t="shared" ca="1" si="458"/>
        <v>0</v>
      </c>
      <c r="EO49" s="1567">
        <f t="shared" ca="1" si="458"/>
        <v>0</v>
      </c>
      <c r="EP49" s="1567">
        <f t="shared" ca="1" si="458"/>
        <v>875016.140625</v>
      </c>
      <c r="EQ49" s="1567">
        <f t="shared" ca="1" si="458"/>
        <v>0</v>
      </c>
      <c r="ER49" s="1567">
        <f t="shared" ca="1" si="458"/>
        <v>0</v>
      </c>
      <c r="ES49" s="1567">
        <f t="shared" ca="1" si="458"/>
        <v>0</v>
      </c>
      <c r="ET49" s="1567">
        <f t="shared" ca="1" si="458"/>
        <v>0</v>
      </c>
      <c r="EU49" s="1567">
        <f t="shared" ca="1" si="458"/>
        <v>0</v>
      </c>
      <c r="EV49" s="1567">
        <f t="shared" ca="1" si="458"/>
        <v>0</v>
      </c>
      <c r="EW49" s="1567">
        <f t="shared" ca="1" si="458"/>
        <v>0</v>
      </c>
      <c r="EX49" s="1567">
        <f t="shared" ca="1" si="458"/>
        <v>0</v>
      </c>
      <c r="EY49" s="1567">
        <f t="shared" ca="1" si="458"/>
        <v>0</v>
      </c>
      <c r="EZ49" s="1567">
        <f t="shared" ca="1" si="458"/>
        <v>875016.140625</v>
      </c>
      <c r="FA49" s="1567">
        <f t="shared" ref="FA49:FI49" ca="1" si="459">SUBTOTAL(9,FA50:FA51)</f>
        <v>0</v>
      </c>
      <c r="FB49" s="1567">
        <f t="shared" ca="1" si="459"/>
        <v>0</v>
      </c>
      <c r="FC49" s="1567">
        <f t="shared" ca="1" si="459"/>
        <v>0</v>
      </c>
      <c r="FD49" s="1567">
        <f t="shared" ca="1" si="459"/>
        <v>0</v>
      </c>
      <c r="FE49" s="1567">
        <f t="shared" ca="1" si="459"/>
        <v>0</v>
      </c>
      <c r="FF49" s="1567">
        <f t="shared" ca="1" si="459"/>
        <v>0</v>
      </c>
      <c r="FG49" s="1567">
        <f t="shared" ca="1" si="459"/>
        <v>0</v>
      </c>
      <c r="FH49" s="1567">
        <f t="shared" ca="1" si="459"/>
        <v>0</v>
      </c>
      <c r="FI49" s="1567">
        <f t="shared" ca="1" si="459"/>
        <v>0</v>
      </c>
    </row>
    <row r="50" spans="1:165" ht="12.75" customHeight="1">
      <c r="A50" s="595"/>
      <c r="B50" s="598"/>
      <c r="C50" s="599"/>
      <c r="F50" s="1500" t="s">
        <v>1650</v>
      </c>
      <c r="G50" s="1600" t="s">
        <v>1718</v>
      </c>
      <c r="H50" s="1597">
        <f>'Sistemas - Cotações'!F45</f>
        <v>194448.03125</v>
      </c>
      <c r="I50" s="1598">
        <f>H50*0.9</f>
        <v>175003.22812499999</v>
      </c>
      <c r="J50" s="867">
        <v>10</v>
      </c>
      <c r="K50" s="97"/>
      <c r="L50" s="1479">
        <f>'Sistemas-Manutenção'!L46</f>
        <v>5</v>
      </c>
      <c r="M50" s="1479">
        <f>'Sistemas-Manutenção'!M46</f>
        <v>5</v>
      </c>
      <c r="N50" s="1479">
        <f>'Sistemas-Manutenção'!N46</f>
        <v>5</v>
      </c>
      <c r="O50" s="1479">
        <f>'Sistemas-Manutenção'!O46</f>
        <v>5</v>
      </c>
      <c r="P50" s="1479">
        <f>'Sistemas-Manutenção'!P46</f>
        <v>5</v>
      </c>
      <c r="Q50" s="1479">
        <f>'Sistemas-Manutenção'!Q46</f>
        <v>5</v>
      </c>
      <c r="R50" s="1479">
        <f>'Sistemas-Manutenção'!R46</f>
        <v>5</v>
      </c>
      <c r="S50" s="1479">
        <f>'Sistemas-Manutenção'!S46</f>
        <v>5</v>
      </c>
      <c r="T50" s="1479">
        <f>'Sistemas-Manutenção'!T46</f>
        <v>5</v>
      </c>
      <c r="U50" s="1479">
        <f>'Sistemas-Manutenção'!U46</f>
        <v>5</v>
      </c>
      <c r="V50" s="1479">
        <f>'Sistemas-Manutenção'!V46</f>
        <v>5</v>
      </c>
      <c r="W50" s="1479">
        <f>'Sistemas-Manutenção'!W46</f>
        <v>5</v>
      </c>
      <c r="X50" s="1479">
        <f>'Sistemas-Manutenção'!X46</f>
        <v>5</v>
      </c>
      <c r="Y50" s="1479">
        <f>'Sistemas-Manutenção'!Y46</f>
        <v>5</v>
      </c>
      <c r="Z50" s="1479">
        <f>'Sistemas-Manutenção'!Z46</f>
        <v>5</v>
      </c>
      <c r="AA50" s="1479">
        <f>'Sistemas-Manutenção'!AA46</f>
        <v>5</v>
      </c>
      <c r="AB50" s="1479">
        <f>'Sistemas-Manutenção'!AB46</f>
        <v>5</v>
      </c>
      <c r="AC50" s="1479">
        <f>'Sistemas-Manutenção'!AC46</f>
        <v>5</v>
      </c>
      <c r="AD50" s="1479">
        <f>'Sistemas-Manutenção'!AD46</f>
        <v>5</v>
      </c>
      <c r="AE50" s="1479">
        <f>'Sistemas-Manutenção'!AE46</f>
        <v>5</v>
      </c>
      <c r="AF50" s="1479">
        <f>'Sistemas-Manutenção'!AF46</f>
        <v>5</v>
      </c>
      <c r="AG50" s="1479">
        <f>'Sistemas-Manutenção'!AG46</f>
        <v>5</v>
      </c>
      <c r="AH50" s="1479">
        <f>'Sistemas-Manutenção'!AH46</f>
        <v>5</v>
      </c>
      <c r="AI50" s="1479">
        <f>'Sistemas-Manutenção'!AI46</f>
        <v>5</v>
      </c>
      <c r="AJ50" s="1479">
        <f>'Sistemas-Manutenção'!AJ46</f>
        <v>5</v>
      </c>
      <c r="AK50" s="1479">
        <f>'Sistemas-Manutenção'!AK46</f>
        <v>5</v>
      </c>
      <c r="AL50" s="1479">
        <f>'Sistemas-Manutenção'!AL46</f>
        <v>5</v>
      </c>
      <c r="AM50" s="1479">
        <f>'Sistemas-Manutenção'!AM46</f>
        <v>5</v>
      </c>
      <c r="AN50" s="1479">
        <f>'Sistemas-Manutenção'!AN46</f>
        <v>5</v>
      </c>
      <c r="AO50" s="1479">
        <f>'Sistemas-Manutenção'!AO46</f>
        <v>5</v>
      </c>
      <c r="AP50" s="77"/>
      <c r="AQ50" s="1479">
        <f t="shared" ref="AQ50:BF54" si="460">IF(L50&gt;K50,L50-K50,0)</f>
        <v>5</v>
      </c>
      <c r="AR50" s="1479">
        <f t="shared" si="460"/>
        <v>0</v>
      </c>
      <c r="AS50" s="1479">
        <f t="shared" si="460"/>
        <v>0</v>
      </c>
      <c r="AT50" s="1479">
        <f t="shared" si="460"/>
        <v>0</v>
      </c>
      <c r="AU50" s="1479">
        <f t="shared" si="460"/>
        <v>0</v>
      </c>
      <c r="AV50" s="1479">
        <f t="shared" si="460"/>
        <v>0</v>
      </c>
      <c r="AW50" s="1479">
        <f t="shared" si="460"/>
        <v>0</v>
      </c>
      <c r="AX50" s="1479">
        <f t="shared" si="460"/>
        <v>0</v>
      </c>
      <c r="AY50" s="1479">
        <f t="shared" si="460"/>
        <v>0</v>
      </c>
      <c r="AZ50" s="1479">
        <f t="shared" si="460"/>
        <v>0</v>
      </c>
      <c r="BA50" s="1479">
        <f t="shared" ref="BA50:BN50" si="461">IF(V50&gt;U50,V50-U50,0)</f>
        <v>0</v>
      </c>
      <c r="BB50" s="1479">
        <f t="shared" si="461"/>
        <v>0</v>
      </c>
      <c r="BC50" s="1479">
        <f t="shared" si="461"/>
        <v>0</v>
      </c>
      <c r="BD50" s="1479">
        <f t="shared" si="461"/>
        <v>0</v>
      </c>
      <c r="BE50" s="1479">
        <f t="shared" si="461"/>
        <v>0</v>
      </c>
      <c r="BF50" s="1479">
        <f t="shared" si="461"/>
        <v>0</v>
      </c>
      <c r="BG50" s="1479">
        <f t="shared" si="461"/>
        <v>0</v>
      </c>
      <c r="BH50" s="1479">
        <f t="shared" si="461"/>
        <v>0</v>
      </c>
      <c r="BI50" s="1479">
        <f t="shared" si="461"/>
        <v>0</v>
      </c>
      <c r="BJ50" s="1479">
        <f t="shared" si="461"/>
        <v>0</v>
      </c>
      <c r="BK50" s="1479">
        <f t="shared" si="461"/>
        <v>0</v>
      </c>
      <c r="BL50" s="1479">
        <f t="shared" si="461"/>
        <v>0</v>
      </c>
      <c r="BM50" s="1479">
        <f t="shared" si="461"/>
        <v>0</v>
      </c>
      <c r="BN50" s="1479">
        <f t="shared" si="461"/>
        <v>0</v>
      </c>
      <c r="BO50" s="1479"/>
      <c r="BP50" s="1479"/>
      <c r="BQ50" s="1479"/>
      <c r="BR50" s="1479"/>
      <c r="BS50" s="1479"/>
      <c r="BT50" s="1479">
        <f>IF(AO50&gt;AI50,AO50-AI50,0)</f>
        <v>0</v>
      </c>
      <c r="BU50" s="77"/>
      <c r="BV50" s="1571">
        <f t="shared" ref="BV50:CE51" ca="1" si="462">IF(L50-SUM(OFFSET(AQ50,,-$J50+1,,$J50))-IF($J50&gt;1,SUM(OFFSET(BV50,,-$J50+1,,$J50-1)),0)&gt;0,L50-SUM(OFFSET(AQ50,,-$J50+1,,$J50))-IF($J50&gt;1,SUM(OFFSET(BV50,,-$J50+1,,$J50-1)),0),0)</f>
        <v>0</v>
      </c>
      <c r="BW50" s="1571">
        <f t="shared" ca="1" si="462"/>
        <v>0</v>
      </c>
      <c r="BX50" s="1571">
        <f t="shared" ca="1" si="462"/>
        <v>0</v>
      </c>
      <c r="BY50" s="1571">
        <f t="shared" ca="1" si="462"/>
        <v>0</v>
      </c>
      <c r="BZ50" s="1571">
        <f t="shared" ca="1" si="462"/>
        <v>0</v>
      </c>
      <c r="CA50" s="1571">
        <f t="shared" ca="1" si="462"/>
        <v>0</v>
      </c>
      <c r="CB50" s="1571">
        <f t="shared" ca="1" si="462"/>
        <v>0</v>
      </c>
      <c r="CC50" s="1571">
        <f t="shared" ca="1" si="462"/>
        <v>0</v>
      </c>
      <c r="CD50" s="1571">
        <f t="shared" ca="1" si="462"/>
        <v>0</v>
      </c>
      <c r="CE50" s="1571">
        <f t="shared" ca="1" si="462"/>
        <v>0</v>
      </c>
      <c r="CF50" s="1571">
        <f t="shared" ref="CF50:CO51" ca="1" si="463">IF(V50-SUM(OFFSET(BA50,,-$J50+1,,$J50))-IF($J50&gt;1,SUM(OFFSET(CF50,,-$J50+1,,$J50-1)),0)&gt;0,V50-SUM(OFFSET(BA50,,-$J50+1,,$J50))-IF($J50&gt;1,SUM(OFFSET(CF50,,-$J50+1,,$J50-1)),0),0)</f>
        <v>5</v>
      </c>
      <c r="CG50" s="1571">
        <f t="shared" ca="1" si="463"/>
        <v>0</v>
      </c>
      <c r="CH50" s="1571">
        <f t="shared" ca="1" si="463"/>
        <v>0</v>
      </c>
      <c r="CI50" s="1571">
        <f t="shared" ca="1" si="463"/>
        <v>0</v>
      </c>
      <c r="CJ50" s="1571">
        <f t="shared" ca="1" si="463"/>
        <v>0</v>
      </c>
      <c r="CK50" s="1571">
        <f t="shared" ca="1" si="463"/>
        <v>0</v>
      </c>
      <c r="CL50" s="1571">
        <f t="shared" ca="1" si="463"/>
        <v>0</v>
      </c>
      <c r="CM50" s="1571">
        <f t="shared" ca="1" si="463"/>
        <v>0</v>
      </c>
      <c r="CN50" s="1571">
        <f t="shared" ca="1" si="463"/>
        <v>0</v>
      </c>
      <c r="CO50" s="1571">
        <f t="shared" ca="1" si="463"/>
        <v>0</v>
      </c>
      <c r="CP50" s="1571">
        <f t="shared" ref="CP50:CP51" ca="1" si="464">IF(AF50-SUM(OFFSET(BK50,,-$J50+1,,$J50))-IF($J50&gt;1,SUM(OFFSET(CP50,,-$J50+1,,$J50-1)),0)&gt;0,AF50-SUM(OFFSET(BK50,,-$J50+1,,$J50))-IF($J50&gt;1,SUM(OFFSET(CP50,,-$J50+1,,$J50-1)),0),0)</f>
        <v>5</v>
      </c>
      <c r="CQ50" s="1571">
        <f t="shared" ref="CQ50:CQ51" ca="1" si="465">IF(AG50-SUM(OFFSET(BL50,,-$J50+1,,$J50))-IF($J50&gt;1,SUM(OFFSET(CQ50,,-$J50+1,,$J50-1)),0)&gt;0,AG50-SUM(OFFSET(BL50,,-$J50+1,,$J50))-IF($J50&gt;1,SUM(OFFSET(CQ50,,-$J50+1,,$J50-1)),0),0)</f>
        <v>0</v>
      </c>
      <c r="CR50" s="1571">
        <f t="shared" ref="CR50:CR51" ca="1" si="466">IF(AH50-SUM(OFFSET(BM50,,-$J50+1,,$J50))-IF($J50&gt;1,SUM(OFFSET(CR50,,-$J50+1,,$J50-1)),0)&gt;0,AH50-SUM(OFFSET(BM50,,-$J50+1,,$J50))-IF($J50&gt;1,SUM(OFFSET(CR50,,-$J50+1,,$J50-1)),0),0)</f>
        <v>0</v>
      </c>
      <c r="CS50" s="1571">
        <f t="shared" ref="CS50:CS51" ca="1" si="467">IF(AI50-SUM(OFFSET(BN50,,-$J50+1,,$J50))-IF($J50&gt;1,SUM(OFFSET(CS50,,-$J50+1,,$J50-1)),0)&gt;0,AI50-SUM(OFFSET(BN50,,-$J50+1,,$J50))-IF($J50&gt;1,SUM(OFFSET(CS50,,-$J50+1,,$J50-1)),0),0)</f>
        <v>0</v>
      </c>
      <c r="CT50" s="1571">
        <f t="shared" ref="CT50:CT51" ca="1" si="468">IF(AJ50-SUM(OFFSET(BT50,,-$J50+1,,$J50))-IF($J50&gt;1,SUM(OFFSET(CT50,,-$J50+1,,$J50-1)),0)&gt;0,AJ50-SUM(OFFSET(BT50,,-$J50+1,,$J50))-IF($J50&gt;1,SUM(OFFSET(CT50,,-$J50+1,,$J50-1)),0),0)</f>
        <v>0</v>
      </c>
      <c r="CU50" s="1571">
        <f t="shared" ref="CU50:CU51" ca="1" si="469">IF(AK50-SUM(OFFSET(BU50,,-$J50+1,,$J50))-IF($J50&gt;1,SUM(OFFSET(CU50,,-$J50+1,,$J50-1)),0)&gt;0,AK50-SUM(OFFSET(BU50,,-$J50+1,,$J50))-IF($J50&gt;1,SUM(OFFSET(CU50,,-$J50+1,,$J50-1)),0),0)</f>
        <v>0</v>
      </c>
      <c r="CV50" s="1571">
        <f t="shared" ref="CV50:CV51" ca="1" si="470">IF(AL50-SUM(OFFSET(BV50,,-$J50+1,,$J50))-IF($J50&gt;1,SUM(OFFSET(CV50,,-$J50+1,,$J50-1)),0)&gt;0,AL50-SUM(OFFSET(BV50,,-$J50+1,,$J50))-IF($J50&gt;1,SUM(OFFSET(CV50,,-$J50+1,,$J50-1)),0),0)</f>
        <v>0</v>
      </c>
      <c r="CW50" s="1571">
        <f t="shared" ref="CW50:CW51" ca="1" si="471">IF(AM50-SUM(OFFSET(BW50,,-$J50+1,,$J50))-IF($J50&gt;1,SUM(OFFSET(CW50,,-$J50+1,,$J50-1)),0)&gt;0,AM50-SUM(OFFSET(BW50,,-$J50+1,,$J50))-IF($J50&gt;1,SUM(OFFSET(CW50,,-$J50+1,,$J50-1)),0),0)</f>
        <v>0</v>
      </c>
      <c r="CX50" s="1571">
        <f t="shared" ref="CX50:CX51" ca="1" si="472">IF(AN50-SUM(OFFSET(BX50,,-$J50+1,,$J50))-IF($J50&gt;1,SUM(OFFSET(CX50,,-$J50+1,,$J50-1)),0)&gt;0,AN50-SUM(OFFSET(BX50,,-$J50+1,,$J50))-IF($J50&gt;1,SUM(OFFSET(CX50,,-$J50+1,,$J50-1)),0),0)</f>
        <v>0</v>
      </c>
      <c r="CY50" s="1571">
        <f t="shared" ref="CY50:CY51" ca="1" si="473">IF(AO50-SUM(OFFSET(BY50,,-$J50+1,,$J50))-IF($J50&gt;1,SUM(OFFSET(CY50,,-$J50+1,,$J50-1)),0)&gt;0,AO50-SUM(OFFSET(BY50,,-$J50+1,,$J50))-IF($J50&gt;1,SUM(OFFSET(CY50,,-$J50+1,,$J50-1)),0),0)</f>
        <v>0</v>
      </c>
      <c r="CZ50" s="78"/>
      <c r="DA50" s="1572">
        <f t="shared" ref="DA50:DP54" si="474">AQ50*$H50</f>
        <v>972240.15625</v>
      </c>
      <c r="DB50" s="1572">
        <f t="shared" si="474"/>
        <v>0</v>
      </c>
      <c r="DC50" s="1572">
        <f t="shared" si="474"/>
        <v>0</v>
      </c>
      <c r="DD50" s="1572">
        <f t="shared" si="474"/>
        <v>0</v>
      </c>
      <c r="DE50" s="1572">
        <f t="shared" si="474"/>
        <v>0</v>
      </c>
      <c r="DF50" s="1572">
        <f t="shared" si="474"/>
        <v>0</v>
      </c>
      <c r="DG50" s="1572">
        <f t="shared" si="474"/>
        <v>0</v>
      </c>
      <c r="DH50" s="1572">
        <f t="shared" si="474"/>
        <v>0</v>
      </c>
      <c r="DI50" s="1572">
        <f t="shared" si="474"/>
        <v>0</v>
      </c>
      <c r="DJ50" s="1572">
        <f t="shared" si="474"/>
        <v>0</v>
      </c>
      <c r="DK50" s="1572">
        <f t="shared" si="474"/>
        <v>0</v>
      </c>
      <c r="DL50" s="1572">
        <f t="shared" si="474"/>
        <v>0</v>
      </c>
      <c r="DM50" s="1572">
        <f t="shared" si="474"/>
        <v>0</v>
      </c>
      <c r="DN50" s="1572">
        <f t="shared" si="474"/>
        <v>0</v>
      </c>
      <c r="DO50" s="1572">
        <f t="shared" si="474"/>
        <v>0</v>
      </c>
      <c r="DP50" s="1572">
        <f t="shared" si="474"/>
        <v>0</v>
      </c>
      <c r="DQ50" s="1572">
        <f t="shared" ref="DK50:DX51" si="475">BG50*$H50</f>
        <v>0</v>
      </c>
      <c r="DR50" s="1572">
        <f t="shared" si="475"/>
        <v>0</v>
      </c>
      <c r="DS50" s="1572">
        <f t="shared" si="475"/>
        <v>0</v>
      </c>
      <c r="DT50" s="1572">
        <f t="shared" si="475"/>
        <v>0</v>
      </c>
      <c r="DU50" s="1572">
        <f t="shared" si="475"/>
        <v>0</v>
      </c>
      <c r="DV50" s="1572">
        <f t="shared" si="475"/>
        <v>0</v>
      </c>
      <c r="DW50" s="1572">
        <f t="shared" si="475"/>
        <v>0</v>
      </c>
      <c r="DX50" s="1572">
        <f t="shared" si="475"/>
        <v>0</v>
      </c>
      <c r="DY50" s="1572"/>
      <c r="DZ50" s="1572"/>
      <c r="EA50" s="1572"/>
      <c r="EB50" s="1572"/>
      <c r="EC50" s="1572"/>
      <c r="ED50" s="1572">
        <f>BT50*$H50</f>
        <v>0</v>
      </c>
      <c r="EE50" s="79"/>
      <c r="EF50" s="1572">
        <f t="shared" ref="EF50:EU51" ca="1" si="476">BV50*$I50</f>
        <v>0</v>
      </c>
      <c r="EG50" s="1572">
        <f t="shared" ca="1" si="476"/>
        <v>0</v>
      </c>
      <c r="EH50" s="1572">
        <f t="shared" ca="1" si="476"/>
        <v>0</v>
      </c>
      <c r="EI50" s="1572">
        <f t="shared" ca="1" si="476"/>
        <v>0</v>
      </c>
      <c r="EJ50" s="1572">
        <f t="shared" ca="1" si="476"/>
        <v>0</v>
      </c>
      <c r="EK50" s="1572">
        <f t="shared" ca="1" si="476"/>
        <v>0</v>
      </c>
      <c r="EL50" s="1572">
        <f t="shared" ca="1" si="476"/>
        <v>0</v>
      </c>
      <c r="EM50" s="1572">
        <f t="shared" ca="1" si="476"/>
        <v>0</v>
      </c>
      <c r="EN50" s="1572">
        <f t="shared" ca="1" si="476"/>
        <v>0</v>
      </c>
      <c r="EO50" s="1572">
        <f t="shared" ca="1" si="476"/>
        <v>0</v>
      </c>
      <c r="EP50" s="1572">
        <f t="shared" ca="1" si="476"/>
        <v>875016.140625</v>
      </c>
      <c r="EQ50" s="1572">
        <f t="shared" ca="1" si="476"/>
        <v>0</v>
      </c>
      <c r="ER50" s="1572">
        <f t="shared" ca="1" si="476"/>
        <v>0</v>
      </c>
      <c r="ES50" s="1572">
        <f t="shared" ca="1" si="476"/>
        <v>0</v>
      </c>
      <c r="ET50" s="1572">
        <f t="shared" ca="1" si="476"/>
        <v>0</v>
      </c>
      <c r="EU50" s="1572">
        <f t="shared" ca="1" si="476"/>
        <v>0</v>
      </c>
      <c r="EV50" s="1572">
        <f t="shared" ref="EV50:EZ51" ca="1" si="477">CL50*$I50</f>
        <v>0</v>
      </c>
      <c r="EW50" s="1572">
        <f t="shared" ca="1" si="477"/>
        <v>0</v>
      </c>
      <c r="EX50" s="1572">
        <f t="shared" ca="1" si="477"/>
        <v>0</v>
      </c>
      <c r="EY50" s="1572">
        <f t="shared" ca="1" si="477"/>
        <v>0</v>
      </c>
      <c r="EZ50" s="1572">
        <f t="shared" ca="1" si="477"/>
        <v>875016.140625</v>
      </c>
      <c r="FA50" s="1572">
        <f t="shared" ref="FA50:FA51" ca="1" si="478">CQ50*$I50</f>
        <v>0</v>
      </c>
      <c r="FB50" s="1572">
        <f t="shared" ref="FB50:FB51" ca="1" si="479">CR50*$I50</f>
        <v>0</v>
      </c>
      <c r="FC50" s="1572">
        <f t="shared" ref="FC50:FC51" ca="1" si="480">CS50*$I50</f>
        <v>0</v>
      </c>
      <c r="FD50" s="1572">
        <f t="shared" ref="FD50:FD51" ca="1" si="481">CT50*$I50</f>
        <v>0</v>
      </c>
      <c r="FE50" s="1572">
        <f t="shared" ref="FE50:FE51" ca="1" si="482">CU50*$I50</f>
        <v>0</v>
      </c>
      <c r="FF50" s="1572">
        <f t="shared" ref="FF50:FF51" ca="1" si="483">CV50*$I50</f>
        <v>0</v>
      </c>
      <c r="FG50" s="1572">
        <f t="shared" ref="FG50:FG51" ca="1" si="484">CW50*$I50</f>
        <v>0</v>
      </c>
      <c r="FH50" s="1572">
        <f t="shared" ref="FH50:FH51" ca="1" si="485">CX50*$I50</f>
        <v>0</v>
      </c>
      <c r="FI50" s="1572">
        <f t="shared" ref="FI50:FI51" ca="1" si="486">CY50*$I50</f>
        <v>0</v>
      </c>
    </row>
    <row r="51" spans="1:165" ht="12.75" customHeight="1">
      <c r="A51" s="595"/>
      <c r="B51" s="598"/>
      <c r="C51" s="599"/>
      <c r="F51" s="1500" t="s">
        <v>1651</v>
      </c>
      <c r="G51" s="1600" t="s">
        <v>1718</v>
      </c>
      <c r="H51" s="1597">
        <f>'Sistemas - Cotações'!F24</f>
        <v>0</v>
      </c>
      <c r="I51" s="1598">
        <f>H51*0.6</f>
        <v>0</v>
      </c>
      <c r="J51" s="867">
        <v>5</v>
      </c>
      <c r="K51" s="97"/>
      <c r="L51" s="1479">
        <f>'Sistemas-Manutenção'!L47</f>
        <v>5</v>
      </c>
      <c r="M51" s="1479">
        <f>'Sistemas-Manutenção'!M47</f>
        <v>5</v>
      </c>
      <c r="N51" s="1479">
        <f>'Sistemas-Manutenção'!N47</f>
        <v>5</v>
      </c>
      <c r="O51" s="1479">
        <f>'Sistemas-Manutenção'!O47</f>
        <v>5</v>
      </c>
      <c r="P51" s="1479">
        <f>'Sistemas-Manutenção'!P47</f>
        <v>5</v>
      </c>
      <c r="Q51" s="1479">
        <f>'Sistemas-Manutenção'!Q47</f>
        <v>5</v>
      </c>
      <c r="R51" s="1479">
        <f>'Sistemas-Manutenção'!R47</f>
        <v>5</v>
      </c>
      <c r="S51" s="1479">
        <f>'Sistemas-Manutenção'!S47</f>
        <v>5</v>
      </c>
      <c r="T51" s="1479">
        <f>'Sistemas-Manutenção'!T47</f>
        <v>5</v>
      </c>
      <c r="U51" s="1479">
        <f>'Sistemas-Manutenção'!U47</f>
        <v>5</v>
      </c>
      <c r="V51" s="1479">
        <f>'Sistemas-Manutenção'!V47</f>
        <v>5</v>
      </c>
      <c r="W51" s="1479">
        <f>'Sistemas-Manutenção'!W47</f>
        <v>5</v>
      </c>
      <c r="X51" s="1479">
        <f>'Sistemas-Manutenção'!X47</f>
        <v>5</v>
      </c>
      <c r="Y51" s="1479">
        <f>'Sistemas-Manutenção'!Y47</f>
        <v>5</v>
      </c>
      <c r="Z51" s="1479">
        <f>'Sistemas-Manutenção'!Z47</f>
        <v>5</v>
      </c>
      <c r="AA51" s="1479">
        <f>'Sistemas-Manutenção'!AA47</f>
        <v>5</v>
      </c>
      <c r="AB51" s="1479">
        <f>'Sistemas-Manutenção'!AB47</f>
        <v>5</v>
      </c>
      <c r="AC51" s="1479">
        <f>'Sistemas-Manutenção'!AC47</f>
        <v>5</v>
      </c>
      <c r="AD51" s="1479">
        <f>'Sistemas-Manutenção'!AD47</f>
        <v>5</v>
      </c>
      <c r="AE51" s="1479">
        <f>'Sistemas-Manutenção'!AE47</f>
        <v>5</v>
      </c>
      <c r="AF51" s="1479">
        <f>'Sistemas-Manutenção'!AF47</f>
        <v>5</v>
      </c>
      <c r="AG51" s="1479">
        <f>'Sistemas-Manutenção'!AG47</f>
        <v>5</v>
      </c>
      <c r="AH51" s="1479">
        <f>'Sistemas-Manutenção'!AH47</f>
        <v>5</v>
      </c>
      <c r="AI51" s="1479">
        <f>'Sistemas-Manutenção'!AI47</f>
        <v>5</v>
      </c>
      <c r="AJ51" s="1479">
        <f>'Sistemas-Manutenção'!AJ47</f>
        <v>5</v>
      </c>
      <c r="AK51" s="1479">
        <f>'Sistemas-Manutenção'!AK47</f>
        <v>5</v>
      </c>
      <c r="AL51" s="1479">
        <f>'Sistemas-Manutenção'!AL47</f>
        <v>5</v>
      </c>
      <c r="AM51" s="1479">
        <f>'Sistemas-Manutenção'!AM47</f>
        <v>5</v>
      </c>
      <c r="AN51" s="1479">
        <f>'Sistemas-Manutenção'!AN47</f>
        <v>5</v>
      </c>
      <c r="AO51" s="1479">
        <f>'Sistemas-Manutenção'!AO47</f>
        <v>5</v>
      </c>
      <c r="AP51" s="77"/>
      <c r="AQ51" s="1479">
        <f t="shared" si="460"/>
        <v>5</v>
      </c>
      <c r="AR51" s="1479">
        <f t="shared" si="460"/>
        <v>0</v>
      </c>
      <c r="AS51" s="1479">
        <f t="shared" si="460"/>
        <v>0</v>
      </c>
      <c r="AT51" s="1479">
        <f t="shared" si="460"/>
        <v>0</v>
      </c>
      <c r="AU51" s="1479">
        <f t="shared" si="460"/>
        <v>0</v>
      </c>
      <c r="AV51" s="1479">
        <f t="shared" si="460"/>
        <v>0</v>
      </c>
      <c r="AW51" s="1479">
        <f t="shared" si="460"/>
        <v>0</v>
      </c>
      <c r="AX51" s="1479">
        <f t="shared" si="460"/>
        <v>0</v>
      </c>
      <c r="AY51" s="1479">
        <f t="shared" si="460"/>
        <v>0</v>
      </c>
      <c r="AZ51" s="1479">
        <f t="shared" si="460"/>
        <v>0</v>
      </c>
      <c r="BA51" s="1479">
        <f t="shared" si="460"/>
        <v>0</v>
      </c>
      <c r="BB51" s="1479">
        <f t="shared" si="460"/>
        <v>0</v>
      </c>
      <c r="BC51" s="1479">
        <f t="shared" si="460"/>
        <v>0</v>
      </c>
      <c r="BD51" s="1479">
        <f t="shared" si="460"/>
        <v>0</v>
      </c>
      <c r="BE51" s="1479">
        <f t="shared" si="460"/>
        <v>0</v>
      </c>
      <c r="BF51" s="1479">
        <f t="shared" si="460"/>
        <v>0</v>
      </c>
      <c r="BG51" s="1479">
        <f t="shared" ref="BG51:BN51" si="487">IF(AB51&gt;AA51,AB51-AA51,0)</f>
        <v>0</v>
      </c>
      <c r="BH51" s="1479">
        <f t="shared" si="487"/>
        <v>0</v>
      </c>
      <c r="BI51" s="1479">
        <f t="shared" si="487"/>
        <v>0</v>
      </c>
      <c r="BJ51" s="1479">
        <f t="shared" si="487"/>
        <v>0</v>
      </c>
      <c r="BK51" s="1479">
        <f t="shared" si="487"/>
        <v>0</v>
      </c>
      <c r="BL51" s="1479">
        <f t="shared" si="487"/>
        <v>0</v>
      </c>
      <c r="BM51" s="1479">
        <f t="shared" si="487"/>
        <v>0</v>
      </c>
      <c r="BN51" s="1479">
        <f t="shared" si="487"/>
        <v>0</v>
      </c>
      <c r="BO51" s="1479"/>
      <c r="BP51" s="1479"/>
      <c r="BQ51" s="1479"/>
      <c r="BR51" s="1479"/>
      <c r="BS51" s="1479"/>
      <c r="BT51" s="1479">
        <f>IF(AO51&gt;AI51,AO51-AI51,0)</f>
        <v>0</v>
      </c>
      <c r="BU51" s="77"/>
      <c r="BV51" s="1571">
        <f t="shared" ca="1" si="462"/>
        <v>0</v>
      </c>
      <c r="BW51" s="1571">
        <f t="shared" ca="1" si="462"/>
        <v>0</v>
      </c>
      <c r="BX51" s="1571">
        <f t="shared" ca="1" si="462"/>
        <v>0</v>
      </c>
      <c r="BY51" s="1571">
        <f t="shared" ca="1" si="462"/>
        <v>0</v>
      </c>
      <c r="BZ51" s="1571">
        <f t="shared" ca="1" si="462"/>
        <v>0</v>
      </c>
      <c r="CA51" s="1571">
        <f t="shared" ca="1" si="462"/>
        <v>5</v>
      </c>
      <c r="CB51" s="1571">
        <f t="shared" ca="1" si="462"/>
        <v>0</v>
      </c>
      <c r="CC51" s="1571">
        <f t="shared" ca="1" si="462"/>
        <v>0</v>
      </c>
      <c r="CD51" s="1571">
        <f t="shared" ca="1" si="462"/>
        <v>0</v>
      </c>
      <c r="CE51" s="1571">
        <f t="shared" ca="1" si="462"/>
        <v>0</v>
      </c>
      <c r="CF51" s="1571">
        <f t="shared" ca="1" si="463"/>
        <v>5</v>
      </c>
      <c r="CG51" s="1571">
        <f t="shared" ca="1" si="463"/>
        <v>0</v>
      </c>
      <c r="CH51" s="1571">
        <f t="shared" ca="1" si="463"/>
        <v>0</v>
      </c>
      <c r="CI51" s="1571">
        <f t="shared" ca="1" si="463"/>
        <v>0</v>
      </c>
      <c r="CJ51" s="1571">
        <f t="shared" ca="1" si="463"/>
        <v>0</v>
      </c>
      <c r="CK51" s="1571">
        <f t="shared" ca="1" si="463"/>
        <v>5</v>
      </c>
      <c r="CL51" s="1571">
        <f t="shared" ca="1" si="463"/>
        <v>0</v>
      </c>
      <c r="CM51" s="1571">
        <f t="shared" ca="1" si="463"/>
        <v>0</v>
      </c>
      <c r="CN51" s="1571">
        <f t="shared" ca="1" si="463"/>
        <v>0</v>
      </c>
      <c r="CO51" s="1571">
        <f t="shared" ca="1" si="463"/>
        <v>0</v>
      </c>
      <c r="CP51" s="1571">
        <f t="shared" ca="1" si="464"/>
        <v>5</v>
      </c>
      <c r="CQ51" s="1571">
        <f t="shared" ca="1" si="465"/>
        <v>0</v>
      </c>
      <c r="CR51" s="1571">
        <f t="shared" ca="1" si="466"/>
        <v>0</v>
      </c>
      <c r="CS51" s="1571">
        <f t="shared" ca="1" si="467"/>
        <v>0</v>
      </c>
      <c r="CT51" s="1571">
        <f t="shared" ca="1" si="468"/>
        <v>0</v>
      </c>
      <c r="CU51" s="1571">
        <f t="shared" ca="1" si="469"/>
        <v>5</v>
      </c>
      <c r="CV51" s="1571">
        <f t="shared" ca="1" si="470"/>
        <v>0</v>
      </c>
      <c r="CW51" s="1571">
        <f t="shared" ca="1" si="471"/>
        <v>0</v>
      </c>
      <c r="CX51" s="1571">
        <f t="shared" ca="1" si="472"/>
        <v>0</v>
      </c>
      <c r="CY51" s="1571">
        <f t="shared" ca="1" si="473"/>
        <v>0</v>
      </c>
      <c r="CZ51" s="78"/>
      <c r="DA51" s="1572">
        <f t="shared" si="474"/>
        <v>0</v>
      </c>
      <c r="DB51" s="1572">
        <f t="shared" si="474"/>
        <v>0</v>
      </c>
      <c r="DC51" s="1572">
        <f t="shared" si="474"/>
        <v>0</v>
      </c>
      <c r="DD51" s="1572">
        <f t="shared" si="474"/>
        <v>0</v>
      </c>
      <c r="DE51" s="1572">
        <f t="shared" si="474"/>
        <v>0</v>
      </c>
      <c r="DF51" s="1572">
        <f t="shared" si="474"/>
        <v>0</v>
      </c>
      <c r="DG51" s="1572">
        <f t="shared" si="474"/>
        <v>0</v>
      </c>
      <c r="DH51" s="1572">
        <f t="shared" si="474"/>
        <v>0</v>
      </c>
      <c r="DI51" s="1572">
        <f t="shared" si="474"/>
        <v>0</v>
      </c>
      <c r="DJ51" s="1572">
        <f t="shared" si="474"/>
        <v>0</v>
      </c>
      <c r="DK51" s="1572">
        <f t="shared" si="475"/>
        <v>0</v>
      </c>
      <c r="DL51" s="1572">
        <f t="shared" si="475"/>
        <v>0</v>
      </c>
      <c r="DM51" s="1572">
        <f t="shared" si="475"/>
        <v>0</v>
      </c>
      <c r="DN51" s="1572">
        <f t="shared" si="475"/>
        <v>0</v>
      </c>
      <c r="DO51" s="1572">
        <f t="shared" si="475"/>
        <v>0</v>
      </c>
      <c r="DP51" s="1572">
        <f t="shared" si="475"/>
        <v>0</v>
      </c>
      <c r="DQ51" s="1572">
        <f t="shared" si="475"/>
        <v>0</v>
      </c>
      <c r="DR51" s="1572">
        <f t="shared" si="475"/>
        <v>0</v>
      </c>
      <c r="DS51" s="1572">
        <f t="shared" si="475"/>
        <v>0</v>
      </c>
      <c r="DT51" s="1572">
        <f t="shared" si="475"/>
        <v>0</v>
      </c>
      <c r="DU51" s="1572">
        <f t="shared" si="475"/>
        <v>0</v>
      </c>
      <c r="DV51" s="1572">
        <f t="shared" si="475"/>
        <v>0</v>
      </c>
      <c r="DW51" s="1572">
        <f t="shared" si="475"/>
        <v>0</v>
      </c>
      <c r="DX51" s="1572">
        <f t="shared" si="475"/>
        <v>0</v>
      </c>
      <c r="DY51" s="1572"/>
      <c r="DZ51" s="1572"/>
      <c r="EA51" s="1572"/>
      <c r="EB51" s="1572"/>
      <c r="EC51" s="1572"/>
      <c r="ED51" s="1572">
        <f>BT51*$H51</f>
        <v>0</v>
      </c>
      <c r="EE51" s="79"/>
      <c r="EF51" s="1572">
        <f t="shared" ca="1" si="476"/>
        <v>0</v>
      </c>
      <c r="EG51" s="1572">
        <f t="shared" ca="1" si="476"/>
        <v>0</v>
      </c>
      <c r="EH51" s="1572">
        <f t="shared" ca="1" si="476"/>
        <v>0</v>
      </c>
      <c r="EI51" s="1572">
        <f t="shared" ca="1" si="476"/>
        <v>0</v>
      </c>
      <c r="EJ51" s="1572">
        <f t="shared" ca="1" si="476"/>
        <v>0</v>
      </c>
      <c r="EK51" s="1572">
        <f t="shared" ca="1" si="476"/>
        <v>0</v>
      </c>
      <c r="EL51" s="1572">
        <f t="shared" ca="1" si="476"/>
        <v>0</v>
      </c>
      <c r="EM51" s="1572">
        <f t="shared" ca="1" si="476"/>
        <v>0</v>
      </c>
      <c r="EN51" s="1572">
        <f t="shared" ca="1" si="476"/>
        <v>0</v>
      </c>
      <c r="EO51" s="1572">
        <f t="shared" ca="1" si="476"/>
        <v>0</v>
      </c>
      <c r="EP51" s="1572">
        <f t="shared" ref="EP51:EU51" ca="1" si="488">CF51*$I51</f>
        <v>0</v>
      </c>
      <c r="EQ51" s="1572">
        <f t="shared" ca="1" si="488"/>
        <v>0</v>
      </c>
      <c r="ER51" s="1572">
        <f t="shared" ca="1" si="488"/>
        <v>0</v>
      </c>
      <c r="ES51" s="1572">
        <f t="shared" ca="1" si="488"/>
        <v>0</v>
      </c>
      <c r="ET51" s="1572">
        <f t="shared" ca="1" si="488"/>
        <v>0</v>
      </c>
      <c r="EU51" s="1572">
        <f t="shared" ca="1" si="488"/>
        <v>0</v>
      </c>
      <c r="EV51" s="1572">
        <f t="shared" ca="1" si="477"/>
        <v>0</v>
      </c>
      <c r="EW51" s="1572">
        <f t="shared" ca="1" si="477"/>
        <v>0</v>
      </c>
      <c r="EX51" s="1572">
        <f t="shared" ca="1" si="477"/>
        <v>0</v>
      </c>
      <c r="EY51" s="1572">
        <f t="shared" ca="1" si="477"/>
        <v>0</v>
      </c>
      <c r="EZ51" s="1572">
        <f t="shared" ca="1" si="477"/>
        <v>0</v>
      </c>
      <c r="FA51" s="1572">
        <f t="shared" ca="1" si="478"/>
        <v>0</v>
      </c>
      <c r="FB51" s="1572">
        <f t="shared" ca="1" si="479"/>
        <v>0</v>
      </c>
      <c r="FC51" s="1572">
        <f t="shared" ca="1" si="480"/>
        <v>0</v>
      </c>
      <c r="FD51" s="1572">
        <f t="shared" ca="1" si="481"/>
        <v>0</v>
      </c>
      <c r="FE51" s="1572">
        <f t="shared" ca="1" si="482"/>
        <v>0</v>
      </c>
      <c r="FF51" s="1572">
        <f t="shared" ca="1" si="483"/>
        <v>0</v>
      </c>
      <c r="FG51" s="1572">
        <f t="shared" ca="1" si="484"/>
        <v>0</v>
      </c>
      <c r="FH51" s="1572">
        <f t="shared" ca="1" si="485"/>
        <v>0</v>
      </c>
      <c r="FI51" s="1572">
        <f t="shared" ca="1" si="486"/>
        <v>0</v>
      </c>
    </row>
    <row r="52" spans="1:165" ht="12.75" customHeight="1">
      <c r="A52" s="595"/>
      <c r="B52" s="598"/>
      <c r="C52" s="599"/>
      <c r="D52" s="68" t="s">
        <v>1728</v>
      </c>
      <c r="E52" s="68" t="str">
        <f>LEFT(D52,LEN(D52)-1) &amp; RIGHT(D52,1)+1</f>
        <v>8.7.4.2</v>
      </c>
      <c r="F52" s="1599" t="s">
        <v>1652</v>
      </c>
      <c r="G52" s="1600" t="s">
        <v>1718</v>
      </c>
      <c r="H52" s="315">
        <f>SUM(H53:H54)</f>
        <v>0</v>
      </c>
      <c r="I52" s="316">
        <f>SUM(EF52:FI52)</f>
        <v>0</v>
      </c>
      <c r="J52" s="867"/>
      <c r="K52" s="97"/>
      <c r="L52" s="1479">
        <f>'Sistemas-Manutenção'!L48</f>
        <v>0</v>
      </c>
      <c r="M52" s="1479">
        <f>'Sistemas-Manutenção'!M48</f>
        <v>0</v>
      </c>
      <c r="N52" s="1479">
        <f>'Sistemas-Manutenção'!N48</f>
        <v>0</v>
      </c>
      <c r="O52" s="1479">
        <f>'Sistemas-Manutenção'!O48</f>
        <v>0</v>
      </c>
      <c r="P52" s="1479">
        <f>'Sistemas-Manutenção'!P48</f>
        <v>0</v>
      </c>
      <c r="Q52" s="1479">
        <f>'Sistemas-Manutenção'!Q48</f>
        <v>0</v>
      </c>
      <c r="R52" s="1479">
        <f>'Sistemas-Manutenção'!R48</f>
        <v>0</v>
      </c>
      <c r="S52" s="1479">
        <f>'Sistemas-Manutenção'!S48</f>
        <v>0</v>
      </c>
      <c r="T52" s="1479">
        <f>'Sistemas-Manutenção'!T48</f>
        <v>0</v>
      </c>
      <c r="U52" s="1479">
        <f>'Sistemas-Manutenção'!U48</f>
        <v>0</v>
      </c>
      <c r="V52" s="1479">
        <f>'Sistemas-Manutenção'!V48</f>
        <v>0</v>
      </c>
      <c r="W52" s="1479">
        <f>'Sistemas-Manutenção'!W48</f>
        <v>0</v>
      </c>
      <c r="X52" s="1479">
        <f>'Sistemas-Manutenção'!X48</f>
        <v>0</v>
      </c>
      <c r="Y52" s="1479">
        <f>'Sistemas-Manutenção'!Y48</f>
        <v>0</v>
      </c>
      <c r="Z52" s="1479">
        <f>'Sistemas-Manutenção'!Z48</f>
        <v>0</v>
      </c>
      <c r="AA52" s="1479">
        <f>'Sistemas-Manutenção'!AA48</f>
        <v>0</v>
      </c>
      <c r="AB52" s="1479">
        <f>'Sistemas-Manutenção'!AB48</f>
        <v>0</v>
      </c>
      <c r="AC52" s="1479">
        <f>'Sistemas-Manutenção'!AC48</f>
        <v>0</v>
      </c>
      <c r="AD52" s="1479">
        <f>'Sistemas-Manutenção'!AD48</f>
        <v>0</v>
      </c>
      <c r="AE52" s="1479">
        <f>'Sistemas-Manutenção'!AE48</f>
        <v>0</v>
      </c>
      <c r="AF52" s="1479">
        <f>'Sistemas-Manutenção'!AF48</f>
        <v>0</v>
      </c>
      <c r="AG52" s="1479">
        <f>'Sistemas-Manutenção'!AG48</f>
        <v>0</v>
      </c>
      <c r="AH52" s="1479">
        <f>'Sistemas-Manutenção'!AH48</f>
        <v>0</v>
      </c>
      <c r="AI52" s="1479">
        <f>'Sistemas-Manutenção'!AI48</f>
        <v>0</v>
      </c>
      <c r="AJ52" s="1479">
        <f>'Sistemas-Manutenção'!AJ48</f>
        <v>0</v>
      </c>
      <c r="AK52" s="1479">
        <f>'Sistemas-Manutenção'!AK48</f>
        <v>0</v>
      </c>
      <c r="AL52" s="1479">
        <f>'Sistemas-Manutenção'!AL48</f>
        <v>0</v>
      </c>
      <c r="AM52" s="1479">
        <f>'Sistemas-Manutenção'!AM48</f>
        <v>0</v>
      </c>
      <c r="AN52" s="1479">
        <f>'Sistemas-Manutenção'!AN48</f>
        <v>0</v>
      </c>
      <c r="AO52" s="1479">
        <f>'Sistemas-Manutenção'!AO48</f>
        <v>0</v>
      </c>
      <c r="AP52" s="77"/>
      <c r="AQ52" s="1479"/>
      <c r="AR52" s="1479"/>
      <c r="AS52" s="1479"/>
      <c r="AT52" s="1479"/>
      <c r="AU52" s="1479"/>
      <c r="AV52" s="1479"/>
      <c r="AW52" s="1479"/>
      <c r="AX52" s="1479"/>
      <c r="AY52" s="1479"/>
      <c r="AZ52" s="1479"/>
      <c r="BA52" s="1479"/>
      <c r="BB52" s="1479"/>
      <c r="BC52" s="1479"/>
      <c r="BD52" s="1479"/>
      <c r="BE52" s="1479"/>
      <c r="BF52" s="1479"/>
      <c r="BG52" s="1479"/>
      <c r="BH52" s="1479"/>
      <c r="BI52" s="1479"/>
      <c r="BJ52" s="1479"/>
      <c r="BK52" s="1479"/>
      <c r="BL52" s="1479"/>
      <c r="BM52" s="1479"/>
      <c r="BN52" s="1479"/>
      <c r="BO52" s="1479"/>
      <c r="BP52" s="1479"/>
      <c r="BQ52" s="1479"/>
      <c r="BR52" s="1479"/>
      <c r="BS52" s="1479"/>
      <c r="BT52" s="1479"/>
      <c r="BU52" s="77"/>
      <c r="BV52" s="1601"/>
      <c r="BW52" s="1601"/>
      <c r="BX52" s="1601"/>
      <c r="BY52" s="1601"/>
      <c r="BZ52" s="1601"/>
      <c r="CA52" s="1601"/>
      <c r="CB52" s="1601"/>
      <c r="CC52" s="1601"/>
      <c r="CD52" s="1601"/>
      <c r="CE52" s="1601"/>
      <c r="CF52" s="1601"/>
      <c r="CG52" s="1601"/>
      <c r="CH52" s="1601"/>
      <c r="CI52" s="1601"/>
      <c r="CJ52" s="1601"/>
      <c r="CK52" s="1601"/>
      <c r="CL52" s="1601"/>
      <c r="CM52" s="1601"/>
      <c r="CN52" s="1601"/>
      <c r="CO52" s="1601"/>
      <c r="CP52" s="1601"/>
      <c r="CQ52" s="1601"/>
      <c r="CR52" s="1601"/>
      <c r="CS52" s="1601"/>
      <c r="CT52" s="1601"/>
      <c r="CU52" s="1601"/>
      <c r="CV52" s="1601"/>
      <c r="CW52" s="1601"/>
      <c r="CX52" s="1601"/>
      <c r="CY52" s="1601"/>
      <c r="CZ52" s="78"/>
      <c r="DA52" s="1567">
        <f>SUBTOTAL(9,DA53:DA54)</f>
        <v>0</v>
      </c>
      <c r="DB52" s="1591">
        <f>SUBTOTAL(9,DB53:DB54)</f>
        <v>0</v>
      </c>
      <c r="DC52" s="1591">
        <f t="shared" ref="DC52:ED52" si="489">SUBTOTAL(9,DC53:DC54)</f>
        <v>0</v>
      </c>
      <c r="DD52" s="1591">
        <f t="shared" si="489"/>
        <v>0</v>
      </c>
      <c r="DE52" s="1591">
        <f t="shared" si="489"/>
        <v>0</v>
      </c>
      <c r="DF52" s="1591">
        <f t="shared" si="489"/>
        <v>0</v>
      </c>
      <c r="DG52" s="1591">
        <f t="shared" si="489"/>
        <v>0</v>
      </c>
      <c r="DH52" s="1591">
        <f t="shared" si="489"/>
        <v>0</v>
      </c>
      <c r="DI52" s="1591">
        <f t="shared" si="489"/>
        <v>0</v>
      </c>
      <c r="DJ52" s="1591">
        <f t="shared" si="489"/>
        <v>0</v>
      </c>
      <c r="DK52" s="1591">
        <f t="shared" si="489"/>
        <v>0</v>
      </c>
      <c r="DL52" s="1591">
        <f t="shared" si="489"/>
        <v>0</v>
      </c>
      <c r="DM52" s="1591">
        <f t="shared" si="489"/>
        <v>0</v>
      </c>
      <c r="DN52" s="1591">
        <f t="shared" si="489"/>
        <v>0</v>
      </c>
      <c r="DO52" s="1591">
        <f t="shared" si="489"/>
        <v>0</v>
      </c>
      <c r="DP52" s="1591">
        <f t="shared" si="489"/>
        <v>0</v>
      </c>
      <c r="DQ52" s="1591">
        <f t="shared" si="489"/>
        <v>0</v>
      </c>
      <c r="DR52" s="1591">
        <f t="shared" si="489"/>
        <v>0</v>
      </c>
      <c r="DS52" s="1591">
        <f t="shared" si="489"/>
        <v>0</v>
      </c>
      <c r="DT52" s="1591">
        <f t="shared" si="489"/>
        <v>0</v>
      </c>
      <c r="DU52" s="1591">
        <f t="shared" si="489"/>
        <v>0</v>
      </c>
      <c r="DV52" s="1591">
        <f t="shared" si="489"/>
        <v>0</v>
      </c>
      <c r="DW52" s="1591">
        <f t="shared" si="489"/>
        <v>0</v>
      </c>
      <c r="DX52" s="1591">
        <f t="shared" si="489"/>
        <v>0</v>
      </c>
      <c r="DY52" s="1591">
        <f t="shared" si="489"/>
        <v>0</v>
      </c>
      <c r="DZ52" s="1591">
        <f t="shared" si="489"/>
        <v>0</v>
      </c>
      <c r="EA52" s="1591">
        <f t="shared" si="489"/>
        <v>0</v>
      </c>
      <c r="EB52" s="1591">
        <f t="shared" si="489"/>
        <v>0</v>
      </c>
      <c r="EC52" s="1591">
        <f t="shared" si="489"/>
        <v>0</v>
      </c>
      <c r="ED52" s="1591">
        <f t="shared" si="489"/>
        <v>0</v>
      </c>
      <c r="EE52" s="79"/>
      <c r="EF52" s="1591">
        <f>SUBTOTAL(9,EF53:EF54)</f>
        <v>0</v>
      </c>
      <c r="EG52" s="1591">
        <f t="shared" ref="EG52:EZ52" si="490">SUBTOTAL(9,EG53:EG54)</f>
        <v>0</v>
      </c>
      <c r="EH52" s="1591">
        <f t="shared" si="490"/>
        <v>0</v>
      </c>
      <c r="EI52" s="1591">
        <f t="shared" si="490"/>
        <v>0</v>
      </c>
      <c r="EJ52" s="1591">
        <f t="shared" si="490"/>
        <v>0</v>
      </c>
      <c r="EK52" s="1591">
        <f t="shared" si="490"/>
        <v>0</v>
      </c>
      <c r="EL52" s="1591">
        <f t="shared" si="490"/>
        <v>0</v>
      </c>
      <c r="EM52" s="1591">
        <f t="shared" si="490"/>
        <v>0</v>
      </c>
      <c r="EN52" s="1591">
        <f t="shared" si="490"/>
        <v>0</v>
      </c>
      <c r="EO52" s="1591">
        <f t="shared" si="490"/>
        <v>0</v>
      </c>
      <c r="EP52" s="1591">
        <f t="shared" si="490"/>
        <v>0</v>
      </c>
      <c r="EQ52" s="1591">
        <f t="shared" si="490"/>
        <v>0</v>
      </c>
      <c r="ER52" s="1591">
        <f t="shared" si="490"/>
        <v>0</v>
      </c>
      <c r="ES52" s="1591">
        <f t="shared" si="490"/>
        <v>0</v>
      </c>
      <c r="ET52" s="1591">
        <f t="shared" si="490"/>
        <v>0</v>
      </c>
      <c r="EU52" s="1591">
        <f t="shared" si="490"/>
        <v>0</v>
      </c>
      <c r="EV52" s="1591">
        <f t="shared" si="490"/>
        <v>0</v>
      </c>
      <c r="EW52" s="1591">
        <f t="shared" si="490"/>
        <v>0</v>
      </c>
      <c r="EX52" s="1591">
        <f t="shared" si="490"/>
        <v>0</v>
      </c>
      <c r="EY52" s="1591">
        <f t="shared" si="490"/>
        <v>0</v>
      </c>
      <c r="EZ52" s="1591">
        <f t="shared" si="490"/>
        <v>0</v>
      </c>
      <c r="FA52" s="1591">
        <f t="shared" ref="FA52:FI52" si="491">SUBTOTAL(9,FA53:FA54)</f>
        <v>0</v>
      </c>
      <c r="FB52" s="1591">
        <f t="shared" si="491"/>
        <v>0</v>
      </c>
      <c r="FC52" s="1591">
        <f t="shared" si="491"/>
        <v>0</v>
      </c>
      <c r="FD52" s="1591">
        <f t="shared" si="491"/>
        <v>0</v>
      </c>
      <c r="FE52" s="1591">
        <f t="shared" si="491"/>
        <v>0</v>
      </c>
      <c r="FF52" s="1591">
        <f t="shared" si="491"/>
        <v>0</v>
      </c>
      <c r="FG52" s="1591">
        <f t="shared" si="491"/>
        <v>0</v>
      </c>
      <c r="FH52" s="1591">
        <f t="shared" si="491"/>
        <v>0</v>
      </c>
      <c r="FI52" s="1591">
        <f t="shared" si="491"/>
        <v>0</v>
      </c>
    </row>
    <row r="53" spans="1:165">
      <c r="A53" s="595"/>
      <c r="B53" s="598"/>
      <c r="C53" s="599"/>
      <c r="F53" s="1499" t="s">
        <v>1653</v>
      </c>
      <c r="G53" s="1600" t="s">
        <v>1718</v>
      </c>
      <c r="H53" s="1597">
        <f>'Sistemas - Cotações'!F46</f>
        <v>0</v>
      </c>
      <c r="I53" s="1598">
        <f>H53*0.8</f>
        <v>0</v>
      </c>
      <c r="J53" s="867"/>
      <c r="K53" s="97"/>
      <c r="L53" s="1479">
        <f>'Sistemas-Manutenção'!L49</f>
        <v>0</v>
      </c>
      <c r="M53" s="1479">
        <f>'Sistemas-Manutenção'!M49</f>
        <v>0</v>
      </c>
      <c r="N53" s="1479">
        <f>'Sistemas-Manutenção'!N49</f>
        <v>0</v>
      </c>
      <c r="O53" s="1479">
        <f>'Sistemas-Manutenção'!O49</f>
        <v>0</v>
      </c>
      <c r="P53" s="1479">
        <f>'Sistemas-Manutenção'!P49</f>
        <v>0</v>
      </c>
      <c r="Q53" s="1479">
        <f>'Sistemas-Manutenção'!Q49</f>
        <v>0</v>
      </c>
      <c r="R53" s="1479">
        <f>'Sistemas-Manutenção'!R49</f>
        <v>0</v>
      </c>
      <c r="S53" s="1479">
        <f>'Sistemas-Manutenção'!S49</f>
        <v>0</v>
      </c>
      <c r="T53" s="1479">
        <f>'Sistemas-Manutenção'!T49</f>
        <v>0</v>
      </c>
      <c r="U53" s="1479">
        <f>'Sistemas-Manutenção'!U49</f>
        <v>0</v>
      </c>
      <c r="V53" s="1479">
        <f>'Sistemas-Manutenção'!V49</f>
        <v>0</v>
      </c>
      <c r="W53" s="1479">
        <f>'Sistemas-Manutenção'!W49</f>
        <v>0</v>
      </c>
      <c r="X53" s="1479">
        <f>'Sistemas-Manutenção'!X49</f>
        <v>0</v>
      </c>
      <c r="Y53" s="1479">
        <f>'Sistemas-Manutenção'!Y49</f>
        <v>0</v>
      </c>
      <c r="Z53" s="1479">
        <f>'Sistemas-Manutenção'!Z49</f>
        <v>0</v>
      </c>
      <c r="AA53" s="1479">
        <f>'Sistemas-Manutenção'!AA49</f>
        <v>0</v>
      </c>
      <c r="AB53" s="1479">
        <f>'Sistemas-Manutenção'!AB49</f>
        <v>0</v>
      </c>
      <c r="AC53" s="1479">
        <f>'Sistemas-Manutenção'!AC49</f>
        <v>0</v>
      </c>
      <c r="AD53" s="1479">
        <f>'Sistemas-Manutenção'!AD49</f>
        <v>0</v>
      </c>
      <c r="AE53" s="1479">
        <f>'Sistemas-Manutenção'!AE49</f>
        <v>0</v>
      </c>
      <c r="AF53" s="1479">
        <f>'Sistemas-Manutenção'!AF49</f>
        <v>0</v>
      </c>
      <c r="AG53" s="1479">
        <f>'Sistemas-Manutenção'!AG49</f>
        <v>0</v>
      </c>
      <c r="AH53" s="1479">
        <f>'Sistemas-Manutenção'!AH49</f>
        <v>0</v>
      </c>
      <c r="AI53" s="1479">
        <f>'Sistemas-Manutenção'!AI49</f>
        <v>0</v>
      </c>
      <c r="AJ53" s="1479">
        <f>'Sistemas-Manutenção'!AJ49</f>
        <v>0</v>
      </c>
      <c r="AK53" s="1479">
        <f>'Sistemas-Manutenção'!AK49</f>
        <v>0</v>
      </c>
      <c r="AL53" s="1479">
        <f>'Sistemas-Manutenção'!AL49</f>
        <v>0</v>
      </c>
      <c r="AM53" s="1479">
        <f>'Sistemas-Manutenção'!AM49</f>
        <v>0</v>
      </c>
      <c r="AN53" s="1479">
        <f>'Sistemas-Manutenção'!AN49</f>
        <v>0</v>
      </c>
      <c r="AO53" s="1479">
        <f>'Sistemas-Manutenção'!AO49</f>
        <v>0</v>
      </c>
      <c r="AP53" s="77"/>
      <c r="AQ53" s="1479">
        <f t="shared" si="460"/>
        <v>0</v>
      </c>
      <c r="AR53" s="1479">
        <f t="shared" ref="AR53:BN53" si="492">IF(M53&gt;L53,M53-L53,0)</f>
        <v>0</v>
      </c>
      <c r="AS53" s="1479">
        <f t="shared" si="492"/>
        <v>0</v>
      </c>
      <c r="AT53" s="1479">
        <f t="shared" si="492"/>
        <v>0</v>
      </c>
      <c r="AU53" s="1479">
        <f t="shared" si="492"/>
        <v>0</v>
      </c>
      <c r="AV53" s="1479">
        <f t="shared" si="492"/>
        <v>0</v>
      </c>
      <c r="AW53" s="1479">
        <f t="shared" si="492"/>
        <v>0</v>
      </c>
      <c r="AX53" s="1479">
        <f t="shared" si="492"/>
        <v>0</v>
      </c>
      <c r="AY53" s="1479">
        <f t="shared" si="492"/>
        <v>0</v>
      </c>
      <c r="AZ53" s="1479">
        <f t="shared" si="492"/>
        <v>0</v>
      </c>
      <c r="BA53" s="1479">
        <f t="shared" si="492"/>
        <v>0</v>
      </c>
      <c r="BB53" s="1479">
        <f t="shared" si="492"/>
        <v>0</v>
      </c>
      <c r="BC53" s="1479">
        <f t="shared" si="492"/>
        <v>0</v>
      </c>
      <c r="BD53" s="1479">
        <f t="shared" si="492"/>
        <v>0</v>
      </c>
      <c r="BE53" s="1479">
        <f t="shared" si="492"/>
        <v>0</v>
      </c>
      <c r="BF53" s="1479">
        <f t="shared" si="492"/>
        <v>0</v>
      </c>
      <c r="BG53" s="1479">
        <f t="shared" si="492"/>
        <v>0</v>
      </c>
      <c r="BH53" s="1479">
        <f t="shared" si="492"/>
        <v>0</v>
      </c>
      <c r="BI53" s="1479">
        <f t="shared" si="492"/>
        <v>0</v>
      </c>
      <c r="BJ53" s="1479">
        <f t="shared" si="492"/>
        <v>0</v>
      </c>
      <c r="BK53" s="1479">
        <f t="shared" si="492"/>
        <v>0</v>
      </c>
      <c r="BL53" s="1479">
        <f t="shared" si="492"/>
        <v>0</v>
      </c>
      <c r="BM53" s="1479">
        <f t="shared" si="492"/>
        <v>0</v>
      </c>
      <c r="BN53" s="1479">
        <f t="shared" si="492"/>
        <v>0</v>
      </c>
      <c r="BO53" s="1479"/>
      <c r="BP53" s="1479"/>
      <c r="BQ53" s="1479"/>
      <c r="BR53" s="1479"/>
      <c r="BS53" s="1479"/>
      <c r="BT53" s="1479">
        <f>IF(AO53&gt;AI53,AO53-AI53,0)</f>
        <v>0</v>
      </c>
      <c r="BU53" s="77"/>
      <c r="BV53" s="1571"/>
      <c r="BW53" s="1571"/>
      <c r="BX53" s="1571"/>
      <c r="BY53" s="1571"/>
      <c r="BZ53" s="1571"/>
      <c r="CA53" s="1571"/>
      <c r="CB53" s="1571"/>
      <c r="CC53" s="1571"/>
      <c r="CD53" s="1571"/>
      <c r="CE53" s="1571"/>
      <c r="CF53" s="1571"/>
      <c r="CG53" s="1571"/>
      <c r="CH53" s="1571"/>
      <c r="CI53" s="1571"/>
      <c r="CJ53" s="1571"/>
      <c r="CK53" s="1571"/>
      <c r="CL53" s="1571"/>
      <c r="CM53" s="1571"/>
      <c r="CN53" s="1571"/>
      <c r="CO53" s="1571"/>
      <c r="CP53" s="1571"/>
      <c r="CQ53" s="1571"/>
      <c r="CR53" s="1571"/>
      <c r="CS53" s="1571"/>
      <c r="CT53" s="1571"/>
      <c r="CU53" s="1571"/>
      <c r="CV53" s="1571"/>
      <c r="CW53" s="1571"/>
      <c r="CX53" s="1571"/>
      <c r="CY53" s="1571"/>
      <c r="CZ53" s="78"/>
      <c r="DA53" s="1572">
        <f t="shared" si="474"/>
        <v>0</v>
      </c>
      <c r="DB53" s="1572">
        <f t="shared" ref="DB53:DB54" si="493">AR53*$H53</f>
        <v>0</v>
      </c>
      <c r="DC53" s="1572">
        <f t="shared" ref="DC53:DC54" si="494">AS53*$H53</f>
        <v>0</v>
      </c>
      <c r="DD53" s="1572">
        <f t="shared" ref="DD53:DD54" si="495">AT53*$H53</f>
        <v>0</v>
      </c>
      <c r="DE53" s="1572">
        <f t="shared" ref="DE53:DE54" si="496">AU53*$H53</f>
        <v>0</v>
      </c>
      <c r="DF53" s="1572">
        <f t="shared" ref="DF53:DF54" si="497">AV53*$H53</f>
        <v>0</v>
      </c>
      <c r="DG53" s="1572">
        <f t="shared" ref="DG53:DX53" si="498">AW53*$H53</f>
        <v>0</v>
      </c>
      <c r="DH53" s="1572">
        <f t="shared" si="498"/>
        <v>0</v>
      </c>
      <c r="DI53" s="1572">
        <f t="shared" si="498"/>
        <v>0</v>
      </c>
      <c r="DJ53" s="1572">
        <f t="shared" si="498"/>
        <v>0</v>
      </c>
      <c r="DK53" s="1572">
        <f t="shared" si="498"/>
        <v>0</v>
      </c>
      <c r="DL53" s="1572">
        <f t="shared" si="498"/>
        <v>0</v>
      </c>
      <c r="DM53" s="1572">
        <f t="shared" si="498"/>
        <v>0</v>
      </c>
      <c r="DN53" s="1572">
        <f t="shared" si="498"/>
        <v>0</v>
      </c>
      <c r="DO53" s="1572">
        <f t="shared" si="498"/>
        <v>0</v>
      </c>
      <c r="DP53" s="1572">
        <f t="shared" si="498"/>
        <v>0</v>
      </c>
      <c r="DQ53" s="1572">
        <f t="shared" si="498"/>
        <v>0</v>
      </c>
      <c r="DR53" s="1572">
        <f t="shared" si="498"/>
        <v>0</v>
      </c>
      <c r="DS53" s="1572">
        <f t="shared" si="498"/>
        <v>0</v>
      </c>
      <c r="DT53" s="1572">
        <f t="shared" si="498"/>
        <v>0</v>
      </c>
      <c r="DU53" s="1572">
        <f t="shared" si="498"/>
        <v>0</v>
      </c>
      <c r="DV53" s="1572">
        <f t="shared" si="498"/>
        <v>0</v>
      </c>
      <c r="DW53" s="1572">
        <f t="shared" si="498"/>
        <v>0</v>
      </c>
      <c r="DX53" s="1572">
        <f t="shared" si="498"/>
        <v>0</v>
      </c>
      <c r="DY53" s="1572"/>
      <c r="DZ53" s="1572"/>
      <c r="EA53" s="1572"/>
      <c r="EB53" s="1572"/>
      <c r="EC53" s="1572"/>
      <c r="ED53" s="1572">
        <f>BT53*$H53</f>
        <v>0</v>
      </c>
      <c r="EE53" s="79"/>
      <c r="EF53" s="1572">
        <f t="shared" ref="EF53:EZ53" si="499">BV53*$I53</f>
        <v>0</v>
      </c>
      <c r="EG53" s="1572">
        <f t="shared" ref="EG53" si="500">BW53*$I53</f>
        <v>0</v>
      </c>
      <c r="EH53" s="1572">
        <f t="shared" ref="EH53" si="501">BX53*$I53</f>
        <v>0</v>
      </c>
      <c r="EI53" s="1572">
        <f t="shared" ref="EI53" si="502">BY53*$I53</f>
        <v>0</v>
      </c>
      <c r="EJ53" s="1572">
        <f t="shared" ref="EJ53" si="503">BZ53*$I53</f>
        <v>0</v>
      </c>
      <c r="EK53" s="1572">
        <f t="shared" ref="EK53" si="504">CA53*$I53</f>
        <v>0</v>
      </c>
      <c r="EL53" s="1572">
        <f t="shared" ref="EL53" si="505">CB53*$I53</f>
        <v>0</v>
      </c>
      <c r="EM53" s="1572">
        <f t="shared" ref="EM53" si="506">CC53*$I53</f>
        <v>0</v>
      </c>
      <c r="EN53" s="1572">
        <f t="shared" ref="EN53" si="507">CD53*$I53</f>
        <v>0</v>
      </c>
      <c r="EO53" s="1572">
        <f t="shared" ref="EO53" si="508">CE53*$I53</f>
        <v>0</v>
      </c>
      <c r="EP53" s="1572">
        <f t="shared" si="499"/>
        <v>0</v>
      </c>
      <c r="EQ53" s="1572">
        <f t="shared" si="499"/>
        <v>0</v>
      </c>
      <c r="ER53" s="1572">
        <f t="shared" si="499"/>
        <v>0</v>
      </c>
      <c r="ES53" s="1572">
        <f t="shared" si="499"/>
        <v>0</v>
      </c>
      <c r="ET53" s="1572">
        <f t="shared" si="499"/>
        <v>0</v>
      </c>
      <c r="EU53" s="1572">
        <f t="shared" si="499"/>
        <v>0</v>
      </c>
      <c r="EV53" s="1572">
        <f t="shared" si="499"/>
        <v>0</v>
      </c>
      <c r="EW53" s="1572">
        <f t="shared" si="499"/>
        <v>0</v>
      </c>
      <c r="EX53" s="1572">
        <f t="shared" si="499"/>
        <v>0</v>
      </c>
      <c r="EY53" s="1572">
        <f t="shared" si="499"/>
        <v>0</v>
      </c>
      <c r="EZ53" s="1572">
        <f t="shared" si="499"/>
        <v>0</v>
      </c>
      <c r="FA53" s="1572">
        <f t="shared" ref="FA53:FA54" si="509">CQ53*$I53</f>
        <v>0</v>
      </c>
      <c r="FB53" s="1572">
        <f t="shared" ref="FB53:FB54" si="510">CR53*$I53</f>
        <v>0</v>
      </c>
      <c r="FC53" s="1572">
        <f t="shared" ref="FC53:FC54" si="511">CS53*$I53</f>
        <v>0</v>
      </c>
      <c r="FD53" s="1572">
        <f t="shared" ref="FD53:FD54" si="512">CT53*$I53</f>
        <v>0</v>
      </c>
      <c r="FE53" s="1572">
        <f t="shared" ref="FE53:FE54" si="513">CU53*$I53</f>
        <v>0</v>
      </c>
      <c r="FF53" s="1572">
        <f t="shared" ref="FF53:FF54" si="514">CV53*$I53</f>
        <v>0</v>
      </c>
      <c r="FG53" s="1572">
        <f t="shared" ref="FG53:FG54" si="515">CW53*$I53</f>
        <v>0</v>
      </c>
      <c r="FH53" s="1572">
        <f t="shared" ref="FH53:FH54" si="516">CX53*$I53</f>
        <v>0</v>
      </c>
      <c r="FI53" s="1572">
        <f t="shared" ref="FI53:FI54" si="517">CY53*$I53</f>
        <v>0</v>
      </c>
    </row>
    <row r="54" spans="1:165">
      <c r="A54" s="595"/>
      <c r="B54" s="598"/>
      <c r="C54" s="599"/>
      <c r="F54" s="1499" t="s">
        <v>1654</v>
      </c>
      <c r="G54" s="1600" t="s">
        <v>1718</v>
      </c>
      <c r="H54" s="1597">
        <f>'Sistemas - Cotações'!F47</f>
        <v>0</v>
      </c>
      <c r="I54" s="1598">
        <f>H54*0.8</f>
        <v>0</v>
      </c>
      <c r="J54" s="867"/>
      <c r="K54" s="97"/>
      <c r="L54" s="1479">
        <f>'Sistemas-Manutenção'!L50</f>
        <v>0</v>
      </c>
      <c r="M54" s="1479">
        <f>'Sistemas-Manutenção'!M50</f>
        <v>0</v>
      </c>
      <c r="N54" s="1479">
        <f>'Sistemas-Manutenção'!N50</f>
        <v>0</v>
      </c>
      <c r="O54" s="1479">
        <f>'Sistemas-Manutenção'!O50</f>
        <v>0</v>
      </c>
      <c r="P54" s="1479">
        <f>'Sistemas-Manutenção'!P50</f>
        <v>0</v>
      </c>
      <c r="Q54" s="1479">
        <f>'Sistemas-Manutenção'!Q50</f>
        <v>0</v>
      </c>
      <c r="R54" s="1479">
        <f>'Sistemas-Manutenção'!R50</f>
        <v>0</v>
      </c>
      <c r="S54" s="1479">
        <f>'Sistemas-Manutenção'!S50</f>
        <v>0</v>
      </c>
      <c r="T54" s="1479">
        <f>'Sistemas-Manutenção'!T50</f>
        <v>0</v>
      </c>
      <c r="U54" s="1479">
        <f>'Sistemas-Manutenção'!U50</f>
        <v>0</v>
      </c>
      <c r="V54" s="1479">
        <f>'Sistemas-Manutenção'!V50</f>
        <v>0</v>
      </c>
      <c r="W54" s="1479">
        <f>'Sistemas-Manutenção'!W50</f>
        <v>0</v>
      </c>
      <c r="X54" s="1479">
        <f>'Sistemas-Manutenção'!X50</f>
        <v>0</v>
      </c>
      <c r="Y54" s="1479">
        <f>'Sistemas-Manutenção'!Y50</f>
        <v>0</v>
      </c>
      <c r="Z54" s="1479">
        <f>'Sistemas-Manutenção'!Z50</f>
        <v>0</v>
      </c>
      <c r="AA54" s="1479">
        <f>'Sistemas-Manutenção'!AA50</f>
        <v>0</v>
      </c>
      <c r="AB54" s="1479">
        <f>'Sistemas-Manutenção'!AB50</f>
        <v>0</v>
      </c>
      <c r="AC54" s="1479">
        <f>'Sistemas-Manutenção'!AC50</f>
        <v>0</v>
      </c>
      <c r="AD54" s="1479">
        <f>'Sistemas-Manutenção'!AD50</f>
        <v>0</v>
      </c>
      <c r="AE54" s="1479">
        <f>'Sistemas-Manutenção'!AE50</f>
        <v>0</v>
      </c>
      <c r="AF54" s="1479">
        <f>'Sistemas-Manutenção'!AF50</f>
        <v>0</v>
      </c>
      <c r="AG54" s="1479">
        <f>'Sistemas-Manutenção'!AG50</f>
        <v>0</v>
      </c>
      <c r="AH54" s="1479">
        <f>'Sistemas-Manutenção'!AH50</f>
        <v>0</v>
      </c>
      <c r="AI54" s="1479">
        <f>'Sistemas-Manutenção'!AI50</f>
        <v>0</v>
      </c>
      <c r="AJ54" s="1479">
        <f>'Sistemas-Manutenção'!AJ50</f>
        <v>0</v>
      </c>
      <c r="AK54" s="1479">
        <f>'Sistemas-Manutenção'!AK50</f>
        <v>0</v>
      </c>
      <c r="AL54" s="1479">
        <f>'Sistemas-Manutenção'!AL50</f>
        <v>0</v>
      </c>
      <c r="AM54" s="1479">
        <f>'Sistemas-Manutenção'!AM50</f>
        <v>0</v>
      </c>
      <c r="AN54" s="1479">
        <f>'Sistemas-Manutenção'!AN50</f>
        <v>0</v>
      </c>
      <c r="AO54" s="1479">
        <f>'Sistemas-Manutenção'!AO50</f>
        <v>0</v>
      </c>
      <c r="AP54" s="77"/>
      <c r="AQ54" s="1479">
        <f t="shared" si="460"/>
        <v>0</v>
      </c>
      <c r="AR54" s="1479">
        <f t="shared" ref="AR54" si="518">IF(M54&gt;L54,M54-L54,0)</f>
        <v>0</v>
      </c>
      <c r="AS54" s="1479"/>
      <c r="AT54" s="1479"/>
      <c r="AU54" s="1479"/>
      <c r="AV54" s="1479"/>
      <c r="AW54" s="1479"/>
      <c r="AX54" s="1479"/>
      <c r="AY54" s="1479"/>
      <c r="AZ54" s="1479"/>
      <c r="BA54" s="1479"/>
      <c r="BB54" s="1479"/>
      <c r="BC54" s="1479"/>
      <c r="BD54" s="1479"/>
      <c r="BE54" s="1479"/>
      <c r="BF54" s="1479"/>
      <c r="BG54" s="1479"/>
      <c r="BH54" s="1479"/>
      <c r="BI54" s="1479"/>
      <c r="BJ54" s="1479"/>
      <c r="BK54" s="1479"/>
      <c r="BL54" s="1479"/>
      <c r="BM54" s="1479"/>
      <c r="BN54" s="1479"/>
      <c r="BO54" s="1479"/>
      <c r="BP54" s="1479"/>
      <c r="BQ54" s="1479"/>
      <c r="BR54" s="1479"/>
      <c r="BS54" s="1479"/>
      <c r="BT54" s="1479"/>
      <c r="BU54" s="77"/>
      <c r="BV54" s="1571"/>
      <c r="BW54" s="1571"/>
      <c r="BX54" s="1571"/>
      <c r="BY54" s="1571"/>
      <c r="BZ54" s="1571"/>
      <c r="CA54" s="1571"/>
      <c r="CB54" s="1571"/>
      <c r="CC54" s="1571"/>
      <c r="CD54" s="1571"/>
      <c r="CE54" s="1571"/>
      <c r="CF54" s="1571"/>
      <c r="CG54" s="1571"/>
      <c r="CH54" s="1571"/>
      <c r="CI54" s="1571"/>
      <c r="CJ54" s="1571"/>
      <c r="CK54" s="1571"/>
      <c r="CL54" s="1571"/>
      <c r="CM54" s="1571"/>
      <c r="CN54" s="1571"/>
      <c r="CO54" s="1571"/>
      <c r="CP54" s="1571"/>
      <c r="CQ54" s="1571"/>
      <c r="CR54" s="1571"/>
      <c r="CS54" s="1571"/>
      <c r="CT54" s="1571"/>
      <c r="CU54" s="1571"/>
      <c r="CV54" s="1571"/>
      <c r="CW54" s="1571"/>
      <c r="CX54" s="1571"/>
      <c r="CY54" s="1571"/>
      <c r="CZ54" s="78"/>
      <c r="DA54" s="1572">
        <f t="shared" si="474"/>
        <v>0</v>
      </c>
      <c r="DB54" s="1572">
        <f t="shared" si="493"/>
        <v>0</v>
      </c>
      <c r="DC54" s="1572">
        <f t="shared" si="494"/>
        <v>0</v>
      </c>
      <c r="DD54" s="1572">
        <f t="shared" si="495"/>
        <v>0</v>
      </c>
      <c r="DE54" s="1572">
        <f t="shared" si="496"/>
        <v>0</v>
      </c>
      <c r="DF54" s="1572">
        <f t="shared" si="497"/>
        <v>0</v>
      </c>
      <c r="DG54" s="1572"/>
      <c r="DH54" s="1572"/>
      <c r="DI54" s="1572"/>
      <c r="DJ54" s="1572"/>
      <c r="DK54" s="1572"/>
      <c r="DL54" s="1572"/>
      <c r="DM54" s="1572"/>
      <c r="DN54" s="1572"/>
      <c r="DO54" s="1572"/>
      <c r="DP54" s="1572"/>
      <c r="DQ54" s="1572"/>
      <c r="DR54" s="1572"/>
      <c r="DS54" s="1572"/>
      <c r="DT54" s="1572"/>
      <c r="DU54" s="1572"/>
      <c r="DV54" s="1572"/>
      <c r="DW54" s="1572"/>
      <c r="DX54" s="1572"/>
      <c r="DY54" s="1572"/>
      <c r="DZ54" s="1572"/>
      <c r="EA54" s="1572"/>
      <c r="EB54" s="1572"/>
      <c r="EC54" s="1572"/>
      <c r="ED54" s="1572"/>
      <c r="EE54" s="79"/>
      <c r="EF54" s="1572"/>
      <c r="EG54" s="1572">
        <f t="shared" ref="EG54" si="519">BW54*$I54</f>
        <v>0</v>
      </c>
      <c r="EH54" s="1572">
        <f t="shared" ref="EH54" si="520">BX54*$I54</f>
        <v>0</v>
      </c>
      <c r="EI54" s="1572">
        <f t="shared" ref="EI54" si="521">BY54*$I54</f>
        <v>0</v>
      </c>
      <c r="EJ54" s="1572">
        <f t="shared" ref="EJ54" si="522">BZ54*$I54</f>
        <v>0</v>
      </c>
      <c r="EK54" s="1572">
        <f t="shared" ref="EK54" si="523">CA54*$I54</f>
        <v>0</v>
      </c>
      <c r="EL54" s="1572">
        <f t="shared" ref="EL54" si="524">CB54*$I54</f>
        <v>0</v>
      </c>
      <c r="EM54" s="1572">
        <f t="shared" ref="EM54" si="525">CC54*$I54</f>
        <v>0</v>
      </c>
      <c r="EN54" s="1572">
        <f t="shared" ref="EN54" si="526">CD54*$I54</f>
        <v>0</v>
      </c>
      <c r="EO54" s="1572">
        <f t="shared" ref="EO54" si="527">CE54*$I54</f>
        <v>0</v>
      </c>
      <c r="EP54" s="1572">
        <f t="shared" ref="EP54" si="528">CF54*$I54</f>
        <v>0</v>
      </c>
      <c r="EQ54" s="1572">
        <f t="shared" ref="EQ54" si="529">CG54*$I54</f>
        <v>0</v>
      </c>
      <c r="ER54" s="1572">
        <f t="shared" ref="ER54" si="530">CH54*$I54</f>
        <v>0</v>
      </c>
      <c r="ES54" s="1572">
        <f t="shared" ref="ES54" si="531">CI54*$I54</f>
        <v>0</v>
      </c>
      <c r="ET54" s="1572">
        <f t="shared" ref="ET54" si="532">CJ54*$I54</f>
        <v>0</v>
      </c>
      <c r="EU54" s="1572">
        <f t="shared" ref="EU54" si="533">CK54*$I54</f>
        <v>0</v>
      </c>
      <c r="EV54" s="1572">
        <f t="shared" ref="EV54" si="534">CL54*$I54</f>
        <v>0</v>
      </c>
      <c r="EW54" s="1572">
        <f t="shared" ref="EW54" si="535">CM54*$I54</f>
        <v>0</v>
      </c>
      <c r="EX54" s="1572">
        <f t="shared" ref="EX54" si="536">CN54*$I54</f>
        <v>0</v>
      </c>
      <c r="EY54" s="1572">
        <f t="shared" ref="EY54" si="537">CO54*$I54</f>
        <v>0</v>
      </c>
      <c r="EZ54" s="1572">
        <f t="shared" ref="EZ54" si="538">CP54*$I54</f>
        <v>0</v>
      </c>
      <c r="FA54" s="1572">
        <f t="shared" si="509"/>
        <v>0</v>
      </c>
      <c r="FB54" s="1572">
        <f t="shared" si="510"/>
        <v>0</v>
      </c>
      <c r="FC54" s="1572">
        <f t="shared" si="511"/>
        <v>0</v>
      </c>
      <c r="FD54" s="1572">
        <f t="shared" si="512"/>
        <v>0</v>
      </c>
      <c r="FE54" s="1572">
        <f t="shared" si="513"/>
        <v>0</v>
      </c>
      <c r="FF54" s="1572">
        <f t="shared" si="514"/>
        <v>0</v>
      </c>
      <c r="FG54" s="1572">
        <f t="shared" si="515"/>
        <v>0</v>
      </c>
      <c r="FH54" s="1572">
        <f t="shared" si="516"/>
        <v>0</v>
      </c>
      <c r="FI54" s="1572">
        <f t="shared" si="517"/>
        <v>0</v>
      </c>
    </row>
    <row r="55" spans="1:165">
      <c r="A55" s="595"/>
      <c r="B55" s="598"/>
      <c r="C55" s="599"/>
      <c r="D55" s="68" t="s">
        <v>1729</v>
      </c>
      <c r="E55" s="68" t="str">
        <f>LEFT(D55,LEN(D55)-1) &amp; RIGHT(D55,1)+1</f>
        <v>8.7.5.2</v>
      </c>
      <c r="F55" s="1599" t="s">
        <v>1655</v>
      </c>
      <c r="G55" s="401" t="s">
        <v>1717</v>
      </c>
      <c r="H55" s="315">
        <f>SUM(DA55:ED55)</f>
        <v>0</v>
      </c>
      <c r="I55" s="316">
        <f ca="1">SUM(EF55:FI55)</f>
        <v>0</v>
      </c>
      <c r="J55" s="867"/>
      <c r="K55" s="97"/>
      <c r="L55" s="1479">
        <f>'Sistemas-Manutenção'!L51</f>
        <v>0</v>
      </c>
      <c r="M55" s="1479">
        <f>'Sistemas-Manutenção'!M51</f>
        <v>0</v>
      </c>
      <c r="N55" s="1479">
        <f>'Sistemas-Manutenção'!N51</f>
        <v>0</v>
      </c>
      <c r="O55" s="1479">
        <f>'Sistemas-Manutenção'!O51</f>
        <v>0</v>
      </c>
      <c r="P55" s="1479">
        <f>'Sistemas-Manutenção'!P51</f>
        <v>0</v>
      </c>
      <c r="Q55" s="1479">
        <f>'Sistemas-Manutenção'!Q51</f>
        <v>0</v>
      </c>
      <c r="R55" s="1479">
        <f>'Sistemas-Manutenção'!R51</f>
        <v>0</v>
      </c>
      <c r="S55" s="1479">
        <f>'Sistemas-Manutenção'!S51</f>
        <v>0</v>
      </c>
      <c r="T55" s="1479">
        <f>'Sistemas-Manutenção'!T51</f>
        <v>0</v>
      </c>
      <c r="U55" s="1479">
        <f>'Sistemas-Manutenção'!U51</f>
        <v>0</v>
      </c>
      <c r="V55" s="1479">
        <f>'Sistemas-Manutenção'!V51</f>
        <v>0</v>
      </c>
      <c r="W55" s="1479">
        <f>'Sistemas-Manutenção'!W51</f>
        <v>0</v>
      </c>
      <c r="X55" s="1479">
        <f>'Sistemas-Manutenção'!X51</f>
        <v>0</v>
      </c>
      <c r="Y55" s="1479">
        <f>'Sistemas-Manutenção'!Y51</f>
        <v>0</v>
      </c>
      <c r="Z55" s="1479">
        <f>'Sistemas-Manutenção'!Z51</f>
        <v>0</v>
      </c>
      <c r="AA55" s="1479">
        <f>'Sistemas-Manutenção'!AA51</f>
        <v>0</v>
      </c>
      <c r="AB55" s="1479">
        <f>'Sistemas-Manutenção'!AB51</f>
        <v>0</v>
      </c>
      <c r="AC55" s="1479">
        <f>'Sistemas-Manutenção'!AC51</f>
        <v>0</v>
      </c>
      <c r="AD55" s="1479">
        <f>'Sistemas-Manutenção'!AD51</f>
        <v>0</v>
      </c>
      <c r="AE55" s="1479">
        <f>'Sistemas-Manutenção'!AE51</f>
        <v>0</v>
      </c>
      <c r="AF55" s="1479">
        <f>'Sistemas-Manutenção'!AF51</f>
        <v>0</v>
      </c>
      <c r="AG55" s="1479">
        <f>'Sistemas-Manutenção'!AG51</f>
        <v>0</v>
      </c>
      <c r="AH55" s="1479">
        <f>'Sistemas-Manutenção'!AH51</f>
        <v>0</v>
      </c>
      <c r="AI55" s="1479">
        <f>'Sistemas-Manutenção'!AI51</f>
        <v>0</v>
      </c>
      <c r="AJ55" s="1479">
        <f>'Sistemas-Manutenção'!AJ51</f>
        <v>0</v>
      </c>
      <c r="AK55" s="1479">
        <f>'Sistemas-Manutenção'!AK51</f>
        <v>0</v>
      </c>
      <c r="AL55" s="1479">
        <f>'Sistemas-Manutenção'!AL51</f>
        <v>0</v>
      </c>
      <c r="AM55" s="1479">
        <f>'Sistemas-Manutenção'!AM51</f>
        <v>0</v>
      </c>
      <c r="AN55" s="1479">
        <f>'Sistemas-Manutenção'!AN51</f>
        <v>0</v>
      </c>
      <c r="AO55" s="1479">
        <f>'Sistemas-Manutenção'!AO51</f>
        <v>0</v>
      </c>
      <c r="AP55" s="77"/>
      <c r="AQ55" s="1479"/>
      <c r="AR55" s="1479"/>
      <c r="AS55" s="1479"/>
      <c r="AT55" s="1479"/>
      <c r="AU55" s="1479"/>
      <c r="AV55" s="1479"/>
      <c r="AW55" s="1479"/>
      <c r="AX55" s="1479"/>
      <c r="AY55" s="1479"/>
      <c r="AZ55" s="1479"/>
      <c r="BA55" s="1479"/>
      <c r="BB55" s="1479"/>
      <c r="BC55" s="1479"/>
      <c r="BD55" s="1479"/>
      <c r="BE55" s="1479"/>
      <c r="BF55" s="1479"/>
      <c r="BG55" s="1479"/>
      <c r="BH55" s="1479"/>
      <c r="BI55" s="1479"/>
      <c r="BJ55" s="1479"/>
      <c r="BK55" s="1479"/>
      <c r="BL55" s="1479"/>
      <c r="BM55" s="1479"/>
      <c r="BN55" s="1479"/>
      <c r="BO55" s="1479"/>
      <c r="BP55" s="1479"/>
      <c r="BQ55" s="1479"/>
      <c r="BR55" s="1479"/>
      <c r="BS55" s="1479"/>
      <c r="BT55" s="1479"/>
      <c r="BU55" s="77"/>
      <c r="BV55" s="1571"/>
      <c r="BW55" s="1571"/>
      <c r="BX55" s="1571"/>
      <c r="BY55" s="1571"/>
      <c r="BZ55" s="1571"/>
      <c r="CA55" s="1571"/>
      <c r="CB55" s="1571"/>
      <c r="CC55" s="1571"/>
      <c r="CD55" s="1571"/>
      <c r="CE55" s="1571"/>
      <c r="CF55" s="1571"/>
      <c r="CG55" s="1571"/>
      <c r="CH55" s="1571"/>
      <c r="CI55" s="1571"/>
      <c r="CJ55" s="1571"/>
      <c r="CK55" s="1571"/>
      <c r="CL55" s="1571"/>
      <c r="CM55" s="1571"/>
      <c r="CN55" s="1571"/>
      <c r="CO55" s="1571"/>
      <c r="CP55" s="1571"/>
      <c r="CQ55" s="1571"/>
      <c r="CR55" s="1571"/>
      <c r="CS55" s="1571"/>
      <c r="CT55" s="1571"/>
      <c r="CU55" s="1571"/>
      <c r="CV55" s="1571"/>
      <c r="CW55" s="1571"/>
      <c r="CX55" s="1571"/>
      <c r="CY55" s="1571"/>
      <c r="CZ55" s="78"/>
      <c r="DA55" s="1591">
        <f t="shared" ref="DA55:ED55" si="539">SUBTOTAL(9,DA56)</f>
        <v>0</v>
      </c>
      <c r="DB55" s="1591">
        <f t="shared" si="539"/>
        <v>0</v>
      </c>
      <c r="DC55" s="1591">
        <f t="shared" si="539"/>
        <v>0</v>
      </c>
      <c r="DD55" s="1591">
        <f t="shared" si="539"/>
        <v>0</v>
      </c>
      <c r="DE55" s="1591">
        <f t="shared" si="539"/>
        <v>0</v>
      </c>
      <c r="DF55" s="1591">
        <f t="shared" si="539"/>
        <v>0</v>
      </c>
      <c r="DG55" s="1591">
        <f t="shared" si="539"/>
        <v>0</v>
      </c>
      <c r="DH55" s="1591">
        <f t="shared" si="539"/>
        <v>0</v>
      </c>
      <c r="DI55" s="1591">
        <f t="shared" si="539"/>
        <v>0</v>
      </c>
      <c r="DJ55" s="1591">
        <f t="shared" si="539"/>
        <v>0</v>
      </c>
      <c r="DK55" s="1591">
        <f t="shared" si="539"/>
        <v>0</v>
      </c>
      <c r="DL55" s="1591">
        <f t="shared" si="539"/>
        <v>0</v>
      </c>
      <c r="DM55" s="1591">
        <f t="shared" si="539"/>
        <v>0</v>
      </c>
      <c r="DN55" s="1591">
        <f t="shared" si="539"/>
        <v>0</v>
      </c>
      <c r="DO55" s="1591">
        <f t="shared" si="539"/>
        <v>0</v>
      </c>
      <c r="DP55" s="1591">
        <f t="shared" si="539"/>
        <v>0</v>
      </c>
      <c r="DQ55" s="1591">
        <f t="shared" si="539"/>
        <v>0</v>
      </c>
      <c r="DR55" s="1591">
        <f t="shared" si="539"/>
        <v>0</v>
      </c>
      <c r="DS55" s="1591">
        <f t="shared" si="539"/>
        <v>0</v>
      </c>
      <c r="DT55" s="1591">
        <f t="shared" si="539"/>
        <v>0</v>
      </c>
      <c r="DU55" s="1591">
        <f t="shared" si="539"/>
        <v>0</v>
      </c>
      <c r="DV55" s="1591">
        <f t="shared" si="539"/>
        <v>0</v>
      </c>
      <c r="DW55" s="1591">
        <f t="shared" si="539"/>
        <v>0</v>
      </c>
      <c r="DX55" s="1591">
        <f t="shared" si="539"/>
        <v>0</v>
      </c>
      <c r="DY55" s="1591"/>
      <c r="DZ55" s="1591"/>
      <c r="EA55" s="1591"/>
      <c r="EB55" s="1591"/>
      <c r="EC55" s="1591"/>
      <c r="ED55" s="1591">
        <f t="shared" si="539"/>
        <v>0</v>
      </c>
      <c r="EE55" s="79"/>
      <c r="EF55" s="1591">
        <f t="shared" ref="EF55:FI55" ca="1" si="540">SUBTOTAL(9,EF56)</f>
        <v>0</v>
      </c>
      <c r="EG55" s="1591">
        <f t="shared" ca="1" si="540"/>
        <v>0</v>
      </c>
      <c r="EH55" s="1591">
        <f t="shared" ca="1" si="540"/>
        <v>0</v>
      </c>
      <c r="EI55" s="1591">
        <f t="shared" ca="1" si="540"/>
        <v>0</v>
      </c>
      <c r="EJ55" s="1591">
        <f t="shared" ca="1" si="540"/>
        <v>0</v>
      </c>
      <c r="EK55" s="1591">
        <f t="shared" ca="1" si="540"/>
        <v>0</v>
      </c>
      <c r="EL55" s="1591">
        <f t="shared" ca="1" si="540"/>
        <v>0</v>
      </c>
      <c r="EM55" s="1591">
        <f t="shared" ca="1" si="540"/>
        <v>0</v>
      </c>
      <c r="EN55" s="1591">
        <f t="shared" ca="1" si="540"/>
        <v>0</v>
      </c>
      <c r="EO55" s="1591">
        <f t="shared" ca="1" si="540"/>
        <v>0</v>
      </c>
      <c r="EP55" s="1591">
        <f t="shared" ca="1" si="540"/>
        <v>0</v>
      </c>
      <c r="EQ55" s="1591">
        <f t="shared" ca="1" si="540"/>
        <v>0</v>
      </c>
      <c r="ER55" s="1591">
        <f t="shared" ca="1" si="540"/>
        <v>0</v>
      </c>
      <c r="ES55" s="1591">
        <f t="shared" ca="1" si="540"/>
        <v>0</v>
      </c>
      <c r="ET55" s="1591">
        <f t="shared" ca="1" si="540"/>
        <v>0</v>
      </c>
      <c r="EU55" s="1591">
        <f t="shared" ca="1" si="540"/>
        <v>0</v>
      </c>
      <c r="EV55" s="1591">
        <f t="shared" ca="1" si="540"/>
        <v>0</v>
      </c>
      <c r="EW55" s="1591">
        <f t="shared" ca="1" si="540"/>
        <v>0</v>
      </c>
      <c r="EX55" s="1591">
        <f t="shared" ca="1" si="540"/>
        <v>0</v>
      </c>
      <c r="EY55" s="1591">
        <f t="shared" ca="1" si="540"/>
        <v>0</v>
      </c>
      <c r="EZ55" s="1591">
        <f t="shared" ca="1" si="540"/>
        <v>0</v>
      </c>
      <c r="FA55" s="1591">
        <f t="shared" ca="1" si="540"/>
        <v>0</v>
      </c>
      <c r="FB55" s="1591">
        <f t="shared" ca="1" si="540"/>
        <v>0</v>
      </c>
      <c r="FC55" s="1591">
        <f t="shared" ca="1" si="540"/>
        <v>0</v>
      </c>
      <c r="FD55" s="1591">
        <f t="shared" ca="1" si="540"/>
        <v>0</v>
      </c>
      <c r="FE55" s="1591">
        <f t="shared" ca="1" si="540"/>
        <v>0</v>
      </c>
      <c r="FF55" s="1591">
        <f t="shared" ca="1" si="540"/>
        <v>0</v>
      </c>
      <c r="FG55" s="1591">
        <f t="shared" ca="1" si="540"/>
        <v>0</v>
      </c>
      <c r="FH55" s="1591">
        <f t="shared" ca="1" si="540"/>
        <v>0</v>
      </c>
      <c r="FI55" s="1591">
        <f t="shared" ca="1" si="540"/>
        <v>0</v>
      </c>
    </row>
    <row r="56" spans="1:165" ht="12.75" customHeight="1">
      <c r="A56" s="595"/>
      <c r="B56" s="598"/>
      <c r="C56" s="599"/>
      <c r="F56" s="1500" t="s">
        <v>1651</v>
      </c>
      <c r="G56" s="1600" t="s">
        <v>1718</v>
      </c>
      <c r="H56" s="1597">
        <f>'Sistemas - Cotações'!F24</f>
        <v>0</v>
      </c>
      <c r="I56" s="1598">
        <f>H56*0.6</f>
        <v>0</v>
      </c>
      <c r="J56" s="867">
        <v>5</v>
      </c>
      <c r="K56" s="97"/>
      <c r="L56" s="1479">
        <f>'Sistemas-Manutenção'!L52</f>
        <v>5</v>
      </c>
      <c r="M56" s="1479">
        <f>'Sistemas-Manutenção'!M52</f>
        <v>5</v>
      </c>
      <c r="N56" s="1479">
        <f>'Sistemas-Manutenção'!N52</f>
        <v>5</v>
      </c>
      <c r="O56" s="1479">
        <f>'Sistemas-Manutenção'!O52</f>
        <v>5</v>
      </c>
      <c r="P56" s="1479">
        <f>'Sistemas-Manutenção'!P52</f>
        <v>5</v>
      </c>
      <c r="Q56" s="1479">
        <f>'Sistemas-Manutenção'!Q52</f>
        <v>5</v>
      </c>
      <c r="R56" s="1479">
        <f>'Sistemas-Manutenção'!R52</f>
        <v>5</v>
      </c>
      <c r="S56" s="1479">
        <f>'Sistemas-Manutenção'!S52</f>
        <v>5</v>
      </c>
      <c r="T56" s="1479">
        <f>'Sistemas-Manutenção'!T52</f>
        <v>5</v>
      </c>
      <c r="U56" s="1479">
        <f>'Sistemas-Manutenção'!U52</f>
        <v>5</v>
      </c>
      <c r="V56" s="1479">
        <f>'Sistemas-Manutenção'!V52</f>
        <v>5</v>
      </c>
      <c r="W56" s="1479">
        <f>'Sistemas-Manutenção'!W52</f>
        <v>5</v>
      </c>
      <c r="X56" s="1479">
        <f>'Sistemas-Manutenção'!X52</f>
        <v>5</v>
      </c>
      <c r="Y56" s="1479">
        <f>'Sistemas-Manutenção'!Y52</f>
        <v>5</v>
      </c>
      <c r="Z56" s="1479">
        <f>'Sistemas-Manutenção'!Z52</f>
        <v>5</v>
      </c>
      <c r="AA56" s="1479">
        <f>'Sistemas-Manutenção'!AA52</f>
        <v>5</v>
      </c>
      <c r="AB56" s="1479">
        <f>'Sistemas-Manutenção'!AB52</f>
        <v>5</v>
      </c>
      <c r="AC56" s="1479">
        <f>'Sistemas-Manutenção'!AC52</f>
        <v>5</v>
      </c>
      <c r="AD56" s="1479">
        <f>'Sistemas-Manutenção'!AD52</f>
        <v>5</v>
      </c>
      <c r="AE56" s="1479">
        <f>'Sistemas-Manutenção'!AE52</f>
        <v>5</v>
      </c>
      <c r="AF56" s="1479">
        <f>'Sistemas-Manutenção'!AF52</f>
        <v>5</v>
      </c>
      <c r="AG56" s="1479">
        <f>'Sistemas-Manutenção'!AG52</f>
        <v>5</v>
      </c>
      <c r="AH56" s="1479">
        <f>'Sistemas-Manutenção'!AH52</f>
        <v>5</v>
      </c>
      <c r="AI56" s="1479">
        <f>'Sistemas-Manutenção'!AI52</f>
        <v>5</v>
      </c>
      <c r="AJ56" s="1479">
        <f>'Sistemas-Manutenção'!AJ52</f>
        <v>5</v>
      </c>
      <c r="AK56" s="1479">
        <f>'Sistemas-Manutenção'!AK52</f>
        <v>5</v>
      </c>
      <c r="AL56" s="1479">
        <f>'Sistemas-Manutenção'!AL52</f>
        <v>5</v>
      </c>
      <c r="AM56" s="1479">
        <f>'Sistemas-Manutenção'!AM52</f>
        <v>5</v>
      </c>
      <c r="AN56" s="1479">
        <f>'Sistemas-Manutenção'!AN52</f>
        <v>5</v>
      </c>
      <c r="AO56" s="1479">
        <f>'Sistemas-Manutenção'!AO52</f>
        <v>5</v>
      </c>
      <c r="AP56" s="77"/>
      <c r="AQ56" s="1479">
        <f t="shared" ref="AQ56:BN56" si="541">IF(L56&gt;K56,L56-K56,0)</f>
        <v>5</v>
      </c>
      <c r="AR56" s="1479">
        <f t="shared" si="541"/>
        <v>0</v>
      </c>
      <c r="AS56" s="1479">
        <f t="shared" si="541"/>
        <v>0</v>
      </c>
      <c r="AT56" s="1479">
        <f t="shared" si="541"/>
        <v>0</v>
      </c>
      <c r="AU56" s="1479">
        <f t="shared" si="541"/>
        <v>0</v>
      </c>
      <c r="AV56" s="1479">
        <f t="shared" si="541"/>
        <v>0</v>
      </c>
      <c r="AW56" s="1479">
        <f t="shared" si="541"/>
        <v>0</v>
      </c>
      <c r="AX56" s="1479">
        <f t="shared" si="541"/>
        <v>0</v>
      </c>
      <c r="AY56" s="1479">
        <f t="shared" si="541"/>
        <v>0</v>
      </c>
      <c r="AZ56" s="1479">
        <f t="shared" si="541"/>
        <v>0</v>
      </c>
      <c r="BA56" s="1479">
        <f t="shared" si="541"/>
        <v>0</v>
      </c>
      <c r="BB56" s="1479">
        <f t="shared" si="541"/>
        <v>0</v>
      </c>
      <c r="BC56" s="1479">
        <f t="shared" si="541"/>
        <v>0</v>
      </c>
      <c r="BD56" s="1479">
        <f t="shared" si="541"/>
        <v>0</v>
      </c>
      <c r="BE56" s="1479">
        <f t="shared" si="541"/>
        <v>0</v>
      </c>
      <c r="BF56" s="1479">
        <f t="shared" si="541"/>
        <v>0</v>
      </c>
      <c r="BG56" s="1479">
        <f t="shared" si="541"/>
        <v>0</v>
      </c>
      <c r="BH56" s="1479">
        <f t="shared" si="541"/>
        <v>0</v>
      </c>
      <c r="BI56" s="1479">
        <f t="shared" si="541"/>
        <v>0</v>
      </c>
      <c r="BJ56" s="1479">
        <f t="shared" si="541"/>
        <v>0</v>
      </c>
      <c r="BK56" s="1479">
        <f t="shared" si="541"/>
        <v>0</v>
      </c>
      <c r="BL56" s="1479">
        <f t="shared" si="541"/>
        <v>0</v>
      </c>
      <c r="BM56" s="1479">
        <f t="shared" si="541"/>
        <v>0</v>
      </c>
      <c r="BN56" s="1479">
        <f t="shared" si="541"/>
        <v>0</v>
      </c>
      <c r="BO56" s="1479"/>
      <c r="BP56" s="1479"/>
      <c r="BQ56" s="1479"/>
      <c r="BR56" s="1479"/>
      <c r="BS56" s="1479"/>
      <c r="BT56" s="1479">
        <f>IF(AO56&gt;AI56,AO56-AI56,0)</f>
        <v>0</v>
      </c>
      <c r="BU56" s="77"/>
      <c r="BV56" s="1571">
        <f t="shared" ref="BV56:CP56" ca="1" si="542">IF(L56-SUM(OFFSET(AQ56,,-$J56+1,,$J56))-IF($J56&gt;1,SUM(OFFSET(BV56,,-$J56+1,,$J56-1)),0)&gt;0,L56-SUM(OFFSET(AQ56,,-$J56+1,,$J56))-IF($J56&gt;1,SUM(OFFSET(BV56,,-$J56+1,,$J56-1)),0),0)</f>
        <v>0</v>
      </c>
      <c r="BW56" s="1571">
        <f t="shared" ca="1" si="542"/>
        <v>0</v>
      </c>
      <c r="BX56" s="1571">
        <f t="shared" ca="1" si="542"/>
        <v>0</v>
      </c>
      <c r="BY56" s="1571">
        <f t="shared" ca="1" si="542"/>
        <v>0</v>
      </c>
      <c r="BZ56" s="1571">
        <f t="shared" ca="1" si="542"/>
        <v>0</v>
      </c>
      <c r="CA56" s="1571">
        <f t="shared" ca="1" si="542"/>
        <v>5</v>
      </c>
      <c r="CB56" s="1571">
        <f t="shared" ca="1" si="542"/>
        <v>0</v>
      </c>
      <c r="CC56" s="1571">
        <f t="shared" ca="1" si="542"/>
        <v>0</v>
      </c>
      <c r="CD56" s="1571">
        <f t="shared" ca="1" si="542"/>
        <v>0</v>
      </c>
      <c r="CE56" s="1571">
        <f t="shared" ca="1" si="542"/>
        <v>0</v>
      </c>
      <c r="CF56" s="1571">
        <f t="shared" ca="1" si="542"/>
        <v>5</v>
      </c>
      <c r="CG56" s="1571">
        <f t="shared" ca="1" si="542"/>
        <v>0</v>
      </c>
      <c r="CH56" s="1571">
        <f t="shared" ca="1" si="542"/>
        <v>0</v>
      </c>
      <c r="CI56" s="1571">
        <f t="shared" ca="1" si="542"/>
        <v>0</v>
      </c>
      <c r="CJ56" s="1571">
        <f t="shared" ca="1" si="542"/>
        <v>0</v>
      </c>
      <c r="CK56" s="1571">
        <f t="shared" ca="1" si="542"/>
        <v>5</v>
      </c>
      <c r="CL56" s="1571">
        <f t="shared" ca="1" si="542"/>
        <v>0</v>
      </c>
      <c r="CM56" s="1571">
        <f t="shared" ca="1" si="542"/>
        <v>0</v>
      </c>
      <c r="CN56" s="1571">
        <f t="shared" ca="1" si="542"/>
        <v>0</v>
      </c>
      <c r="CO56" s="1571">
        <f t="shared" ca="1" si="542"/>
        <v>0</v>
      </c>
      <c r="CP56" s="1571">
        <f t="shared" ca="1" si="542"/>
        <v>5</v>
      </c>
      <c r="CQ56" s="1571">
        <f t="shared" ref="CQ56" ca="1" si="543">IF(AG56-SUM(OFFSET(BL56,,-$J56+1,,$J56))-IF($J56&gt;1,SUM(OFFSET(CQ56,,-$J56+1,,$J56-1)),0)&gt;0,AG56-SUM(OFFSET(BL56,,-$J56+1,,$J56))-IF($J56&gt;1,SUM(OFFSET(CQ56,,-$J56+1,,$J56-1)),0),0)</f>
        <v>0</v>
      </c>
      <c r="CR56" s="1571">
        <f t="shared" ref="CR56" ca="1" si="544">IF(AH56-SUM(OFFSET(BM56,,-$J56+1,,$J56))-IF($J56&gt;1,SUM(OFFSET(CR56,,-$J56+1,,$J56-1)),0)&gt;0,AH56-SUM(OFFSET(BM56,,-$J56+1,,$J56))-IF($J56&gt;1,SUM(OFFSET(CR56,,-$J56+1,,$J56-1)),0),0)</f>
        <v>0</v>
      </c>
      <c r="CS56" s="1571">
        <f t="shared" ref="CS56" ca="1" si="545">IF(AI56-SUM(OFFSET(BN56,,-$J56+1,,$J56))-IF($J56&gt;1,SUM(OFFSET(CS56,,-$J56+1,,$J56-1)),0)&gt;0,AI56-SUM(OFFSET(BN56,,-$J56+1,,$J56))-IF($J56&gt;1,SUM(OFFSET(CS56,,-$J56+1,,$J56-1)),0),0)</f>
        <v>0</v>
      </c>
      <c r="CT56" s="1571">
        <f t="shared" ref="CT56" ca="1" si="546">IF(AJ56-SUM(OFFSET(BT56,,-$J56+1,,$J56))-IF($J56&gt;1,SUM(OFFSET(CT56,,-$J56+1,,$J56-1)),0)&gt;0,AJ56-SUM(OFFSET(BT56,,-$J56+1,,$J56))-IF($J56&gt;1,SUM(OFFSET(CT56,,-$J56+1,,$J56-1)),0),0)</f>
        <v>0</v>
      </c>
      <c r="CU56" s="1571">
        <f t="shared" ref="CU56" ca="1" si="547">IF(AK56-SUM(OFFSET(BU56,,-$J56+1,,$J56))-IF($J56&gt;1,SUM(OFFSET(CU56,,-$J56+1,,$J56-1)),0)&gt;0,AK56-SUM(OFFSET(BU56,,-$J56+1,,$J56))-IF($J56&gt;1,SUM(OFFSET(CU56,,-$J56+1,,$J56-1)),0),0)</f>
        <v>5</v>
      </c>
      <c r="CV56" s="1571">
        <f t="shared" ref="CV56" ca="1" si="548">IF(AL56-SUM(OFFSET(BV56,,-$J56+1,,$J56))-IF($J56&gt;1,SUM(OFFSET(CV56,,-$J56+1,,$J56-1)),0)&gt;0,AL56-SUM(OFFSET(BV56,,-$J56+1,,$J56))-IF($J56&gt;1,SUM(OFFSET(CV56,,-$J56+1,,$J56-1)),0),0)</f>
        <v>0</v>
      </c>
      <c r="CW56" s="1571">
        <f t="shared" ref="CW56" ca="1" si="549">IF(AM56-SUM(OFFSET(BW56,,-$J56+1,,$J56))-IF($J56&gt;1,SUM(OFFSET(CW56,,-$J56+1,,$J56-1)),0)&gt;0,AM56-SUM(OFFSET(BW56,,-$J56+1,,$J56))-IF($J56&gt;1,SUM(OFFSET(CW56,,-$J56+1,,$J56-1)),0),0)</f>
        <v>0</v>
      </c>
      <c r="CX56" s="1571">
        <f t="shared" ref="CX56" ca="1" si="550">IF(AN56-SUM(OFFSET(BX56,,-$J56+1,,$J56))-IF($J56&gt;1,SUM(OFFSET(CX56,,-$J56+1,,$J56-1)),0)&gt;0,AN56-SUM(OFFSET(BX56,,-$J56+1,,$J56))-IF($J56&gt;1,SUM(OFFSET(CX56,,-$J56+1,,$J56-1)),0),0)</f>
        <v>0</v>
      </c>
      <c r="CY56" s="1571">
        <f t="shared" ref="CY56" ca="1" si="551">IF(AO56-SUM(OFFSET(BY56,,-$J56+1,,$J56))-IF($J56&gt;1,SUM(OFFSET(CY56,,-$J56+1,,$J56-1)),0)&gt;0,AO56-SUM(OFFSET(BY56,,-$J56+1,,$J56))-IF($J56&gt;1,SUM(OFFSET(CY56,,-$J56+1,,$J56-1)),0),0)</f>
        <v>0</v>
      </c>
      <c r="CZ56" s="78"/>
      <c r="DA56" s="1572">
        <f t="shared" ref="DA56:DX56" si="552">AQ56*$H56</f>
        <v>0</v>
      </c>
      <c r="DB56" s="1572">
        <f t="shared" si="552"/>
        <v>0</v>
      </c>
      <c r="DC56" s="1572">
        <f t="shared" si="552"/>
        <v>0</v>
      </c>
      <c r="DD56" s="1572">
        <f t="shared" si="552"/>
        <v>0</v>
      </c>
      <c r="DE56" s="1572">
        <f t="shared" si="552"/>
        <v>0</v>
      </c>
      <c r="DF56" s="1572">
        <f t="shared" si="552"/>
        <v>0</v>
      </c>
      <c r="DG56" s="1572">
        <f t="shared" si="552"/>
        <v>0</v>
      </c>
      <c r="DH56" s="1572">
        <f t="shared" si="552"/>
        <v>0</v>
      </c>
      <c r="DI56" s="1572">
        <f t="shared" si="552"/>
        <v>0</v>
      </c>
      <c r="DJ56" s="1572">
        <f t="shared" si="552"/>
        <v>0</v>
      </c>
      <c r="DK56" s="1572">
        <f t="shared" si="552"/>
        <v>0</v>
      </c>
      <c r="DL56" s="1572">
        <f t="shared" si="552"/>
        <v>0</v>
      </c>
      <c r="DM56" s="1572">
        <f t="shared" si="552"/>
        <v>0</v>
      </c>
      <c r="DN56" s="1572">
        <f t="shared" si="552"/>
        <v>0</v>
      </c>
      <c r="DO56" s="1572">
        <f t="shared" si="552"/>
        <v>0</v>
      </c>
      <c r="DP56" s="1572">
        <f t="shared" si="552"/>
        <v>0</v>
      </c>
      <c r="DQ56" s="1572">
        <f t="shared" si="552"/>
        <v>0</v>
      </c>
      <c r="DR56" s="1572">
        <f t="shared" si="552"/>
        <v>0</v>
      </c>
      <c r="DS56" s="1572">
        <f t="shared" si="552"/>
        <v>0</v>
      </c>
      <c r="DT56" s="1572">
        <f t="shared" si="552"/>
        <v>0</v>
      </c>
      <c r="DU56" s="1572">
        <f t="shared" si="552"/>
        <v>0</v>
      </c>
      <c r="DV56" s="1572">
        <f t="shared" si="552"/>
        <v>0</v>
      </c>
      <c r="DW56" s="1572">
        <f t="shared" si="552"/>
        <v>0</v>
      </c>
      <c r="DX56" s="1572">
        <f t="shared" si="552"/>
        <v>0</v>
      </c>
      <c r="DY56" s="1572"/>
      <c r="DZ56" s="1572"/>
      <c r="EA56" s="1572"/>
      <c r="EB56" s="1572"/>
      <c r="EC56" s="1572"/>
      <c r="ED56" s="1572">
        <f>BT56*$H56</f>
        <v>0</v>
      </c>
      <c r="EE56" s="79"/>
      <c r="EF56" s="1572">
        <f t="shared" ref="EF56:EZ56" ca="1" si="553">BV56*$I56</f>
        <v>0</v>
      </c>
      <c r="EG56" s="1572">
        <f t="shared" ca="1" si="553"/>
        <v>0</v>
      </c>
      <c r="EH56" s="1572">
        <f t="shared" ca="1" si="553"/>
        <v>0</v>
      </c>
      <c r="EI56" s="1572">
        <f t="shared" ca="1" si="553"/>
        <v>0</v>
      </c>
      <c r="EJ56" s="1572">
        <f t="shared" ca="1" si="553"/>
        <v>0</v>
      </c>
      <c r="EK56" s="1572">
        <f t="shared" ca="1" si="553"/>
        <v>0</v>
      </c>
      <c r="EL56" s="1572">
        <f t="shared" ca="1" si="553"/>
        <v>0</v>
      </c>
      <c r="EM56" s="1572">
        <f t="shared" ca="1" si="553"/>
        <v>0</v>
      </c>
      <c r="EN56" s="1572">
        <f t="shared" ca="1" si="553"/>
        <v>0</v>
      </c>
      <c r="EO56" s="1572">
        <f t="shared" ca="1" si="553"/>
        <v>0</v>
      </c>
      <c r="EP56" s="1572">
        <f t="shared" ca="1" si="553"/>
        <v>0</v>
      </c>
      <c r="EQ56" s="1572">
        <f t="shared" ca="1" si="553"/>
        <v>0</v>
      </c>
      <c r="ER56" s="1572">
        <f t="shared" ca="1" si="553"/>
        <v>0</v>
      </c>
      <c r="ES56" s="1572">
        <f t="shared" ca="1" si="553"/>
        <v>0</v>
      </c>
      <c r="ET56" s="1572">
        <f t="shared" ca="1" si="553"/>
        <v>0</v>
      </c>
      <c r="EU56" s="1572">
        <f t="shared" ca="1" si="553"/>
        <v>0</v>
      </c>
      <c r="EV56" s="1572">
        <f t="shared" ca="1" si="553"/>
        <v>0</v>
      </c>
      <c r="EW56" s="1572">
        <f t="shared" ca="1" si="553"/>
        <v>0</v>
      </c>
      <c r="EX56" s="1572">
        <f t="shared" ca="1" si="553"/>
        <v>0</v>
      </c>
      <c r="EY56" s="1572">
        <f t="shared" ca="1" si="553"/>
        <v>0</v>
      </c>
      <c r="EZ56" s="1572">
        <f t="shared" ca="1" si="553"/>
        <v>0</v>
      </c>
      <c r="FA56" s="1572">
        <f t="shared" ref="FA56" ca="1" si="554">CQ56*$I56</f>
        <v>0</v>
      </c>
      <c r="FB56" s="1572">
        <f t="shared" ref="FB56" ca="1" si="555">CR56*$I56</f>
        <v>0</v>
      </c>
      <c r="FC56" s="1572">
        <f t="shared" ref="FC56" ca="1" si="556">CS56*$I56</f>
        <v>0</v>
      </c>
      <c r="FD56" s="1572">
        <f t="shared" ref="FD56" ca="1" si="557">CT56*$I56</f>
        <v>0</v>
      </c>
      <c r="FE56" s="1572">
        <f t="shared" ref="FE56" ca="1" si="558">CU56*$I56</f>
        <v>0</v>
      </c>
      <c r="FF56" s="1572">
        <f t="shared" ref="FF56" ca="1" si="559">CV56*$I56</f>
        <v>0</v>
      </c>
      <c r="FG56" s="1572">
        <f t="shared" ref="FG56" ca="1" si="560">CW56*$I56</f>
        <v>0</v>
      </c>
      <c r="FH56" s="1572">
        <f t="shared" ref="FH56" ca="1" si="561">CX56*$I56</f>
        <v>0</v>
      </c>
      <c r="FI56" s="1572">
        <f t="shared" ref="FI56" ca="1" si="562">CY56*$I56</f>
        <v>0</v>
      </c>
    </row>
    <row r="57" spans="1:165" ht="12.75" customHeight="1">
      <c r="A57" s="595"/>
      <c r="B57" s="598"/>
      <c r="C57" s="599"/>
      <c r="D57" s="68" t="s">
        <v>1730</v>
      </c>
      <c r="E57" s="68" t="str">
        <f>LEFT(D57,LEN(D57)-1) &amp; RIGHT(D57,1)+1</f>
        <v>8.7.6.2</v>
      </c>
      <c r="F57" s="1599"/>
      <c r="G57" s="401"/>
      <c r="H57" s="315">
        <f>SUM(DA57:ED57)</f>
        <v>0</v>
      </c>
      <c r="I57" s="316"/>
      <c r="J57" s="867"/>
      <c r="K57" s="97"/>
      <c r="L57" s="1479">
        <f>'Sistemas-Manutenção'!L53</f>
        <v>0</v>
      </c>
      <c r="M57" s="1479">
        <f>'Sistemas-Manutenção'!M53</f>
        <v>0</v>
      </c>
      <c r="N57" s="1479">
        <f>'Sistemas-Manutenção'!N53</f>
        <v>0</v>
      </c>
      <c r="O57" s="1479">
        <f>'Sistemas-Manutenção'!O53</f>
        <v>0</v>
      </c>
      <c r="P57" s="1479">
        <f>'Sistemas-Manutenção'!P53</f>
        <v>0</v>
      </c>
      <c r="Q57" s="1479">
        <f>'Sistemas-Manutenção'!Q53</f>
        <v>0</v>
      </c>
      <c r="R57" s="1479">
        <f>'Sistemas-Manutenção'!R53</f>
        <v>0</v>
      </c>
      <c r="S57" s="1479">
        <f>'Sistemas-Manutenção'!S53</f>
        <v>0</v>
      </c>
      <c r="T57" s="1479">
        <f>'Sistemas-Manutenção'!T53</f>
        <v>0</v>
      </c>
      <c r="U57" s="1479">
        <f>'Sistemas-Manutenção'!U53</f>
        <v>0</v>
      </c>
      <c r="V57" s="1479">
        <f>'Sistemas-Manutenção'!V53</f>
        <v>0</v>
      </c>
      <c r="W57" s="1479">
        <f>'Sistemas-Manutenção'!W53</f>
        <v>0</v>
      </c>
      <c r="X57" s="1479">
        <f>'Sistemas-Manutenção'!X53</f>
        <v>0</v>
      </c>
      <c r="Y57" s="1479">
        <f>'Sistemas-Manutenção'!Y53</f>
        <v>0</v>
      </c>
      <c r="Z57" s="1479">
        <f>'Sistemas-Manutenção'!Z53</f>
        <v>0</v>
      </c>
      <c r="AA57" s="1479">
        <f>'Sistemas-Manutenção'!AA53</f>
        <v>0</v>
      </c>
      <c r="AB57" s="1479">
        <f>'Sistemas-Manutenção'!AB53</f>
        <v>0</v>
      </c>
      <c r="AC57" s="1479">
        <f>'Sistemas-Manutenção'!AC53</f>
        <v>0</v>
      </c>
      <c r="AD57" s="1479">
        <f>'Sistemas-Manutenção'!AD53</f>
        <v>0</v>
      </c>
      <c r="AE57" s="1479">
        <f>'Sistemas-Manutenção'!AE53</f>
        <v>0</v>
      </c>
      <c r="AF57" s="1479">
        <f>'Sistemas-Manutenção'!AF53</f>
        <v>0</v>
      </c>
      <c r="AG57" s="1479">
        <f>'Sistemas-Manutenção'!AG53</f>
        <v>0</v>
      </c>
      <c r="AH57" s="1479">
        <f>'Sistemas-Manutenção'!AH53</f>
        <v>0</v>
      </c>
      <c r="AI57" s="1479">
        <f>'Sistemas-Manutenção'!AI53</f>
        <v>0</v>
      </c>
      <c r="AJ57" s="1479">
        <f>'Sistemas-Manutenção'!AJ53</f>
        <v>0</v>
      </c>
      <c r="AK57" s="1479">
        <f>'Sistemas-Manutenção'!AK53</f>
        <v>0</v>
      </c>
      <c r="AL57" s="1479">
        <f>'Sistemas-Manutenção'!AL53</f>
        <v>0</v>
      </c>
      <c r="AM57" s="1479">
        <f>'Sistemas-Manutenção'!AM53</f>
        <v>0</v>
      </c>
      <c r="AN57" s="1479">
        <f>'Sistemas-Manutenção'!AN53</f>
        <v>0</v>
      </c>
      <c r="AO57" s="1479">
        <f>'Sistemas-Manutenção'!AO53</f>
        <v>0</v>
      </c>
      <c r="AP57" s="77"/>
      <c r="AQ57" s="1479"/>
      <c r="AR57" s="1479"/>
      <c r="AS57" s="1479"/>
      <c r="AT57" s="1479"/>
      <c r="AU57" s="1479"/>
      <c r="AV57" s="1479"/>
      <c r="AW57" s="1479"/>
      <c r="AX57" s="1479"/>
      <c r="AY57" s="1479"/>
      <c r="AZ57" s="1479"/>
      <c r="BA57" s="1479"/>
      <c r="BB57" s="1479"/>
      <c r="BC57" s="1479"/>
      <c r="BD57" s="1479"/>
      <c r="BE57" s="1479"/>
      <c r="BF57" s="1479"/>
      <c r="BG57" s="1479"/>
      <c r="BH57" s="1479"/>
      <c r="BI57" s="1479"/>
      <c r="BJ57" s="1479"/>
      <c r="BK57" s="1479"/>
      <c r="BL57" s="1479"/>
      <c r="BM57" s="1479"/>
      <c r="BN57" s="1479"/>
      <c r="BO57" s="1479"/>
      <c r="BP57" s="1479"/>
      <c r="BQ57" s="1479"/>
      <c r="BR57" s="1479"/>
      <c r="BS57" s="1479"/>
      <c r="BT57" s="1479"/>
      <c r="BU57" s="77"/>
      <c r="BV57" s="1571"/>
      <c r="BW57" s="1571"/>
      <c r="BX57" s="1571"/>
      <c r="BY57" s="1571"/>
      <c r="BZ57" s="1571"/>
      <c r="CA57" s="1571"/>
      <c r="CB57" s="1571"/>
      <c r="CC57" s="1571"/>
      <c r="CD57" s="1571"/>
      <c r="CE57" s="1571"/>
      <c r="CF57" s="1571"/>
      <c r="CG57" s="1571"/>
      <c r="CH57" s="1571"/>
      <c r="CI57" s="1571"/>
      <c r="CJ57" s="1571"/>
      <c r="CK57" s="1571"/>
      <c r="CL57" s="1571"/>
      <c r="CM57" s="1571"/>
      <c r="CN57" s="1571"/>
      <c r="CO57" s="1571"/>
      <c r="CP57" s="1571"/>
      <c r="CQ57" s="1571"/>
      <c r="CR57" s="1571"/>
      <c r="CS57" s="1571"/>
      <c r="CT57" s="1571"/>
      <c r="CU57" s="1571"/>
      <c r="CV57" s="1571"/>
      <c r="CW57" s="1571"/>
      <c r="CX57" s="1571"/>
      <c r="CY57" s="1571"/>
      <c r="CZ57" s="78"/>
      <c r="DA57" s="1591">
        <f t="shared" ref="DA57:ED57" si="563">SUBTOTAL(9,DA58)</f>
        <v>0</v>
      </c>
      <c r="DB57" s="1591">
        <f t="shared" si="563"/>
        <v>0</v>
      </c>
      <c r="DC57" s="1591">
        <f t="shared" si="563"/>
        <v>0</v>
      </c>
      <c r="DD57" s="1591">
        <f t="shared" si="563"/>
        <v>0</v>
      </c>
      <c r="DE57" s="1591">
        <f t="shared" si="563"/>
        <v>0</v>
      </c>
      <c r="DF57" s="1591">
        <f t="shared" si="563"/>
        <v>0</v>
      </c>
      <c r="DG57" s="1591">
        <f t="shared" si="563"/>
        <v>0</v>
      </c>
      <c r="DH57" s="1591">
        <f t="shared" si="563"/>
        <v>0</v>
      </c>
      <c r="DI57" s="1591">
        <f t="shared" si="563"/>
        <v>0</v>
      </c>
      <c r="DJ57" s="1591">
        <f t="shared" si="563"/>
        <v>0</v>
      </c>
      <c r="DK57" s="1591">
        <f t="shared" si="563"/>
        <v>0</v>
      </c>
      <c r="DL57" s="1591">
        <f t="shared" si="563"/>
        <v>0</v>
      </c>
      <c r="DM57" s="1591">
        <f t="shared" si="563"/>
        <v>0</v>
      </c>
      <c r="DN57" s="1591">
        <f t="shared" si="563"/>
        <v>0</v>
      </c>
      <c r="DO57" s="1591">
        <f t="shared" si="563"/>
        <v>0</v>
      </c>
      <c r="DP57" s="1591">
        <f t="shared" si="563"/>
        <v>0</v>
      </c>
      <c r="DQ57" s="1591">
        <f t="shared" si="563"/>
        <v>0</v>
      </c>
      <c r="DR57" s="1591">
        <f t="shared" si="563"/>
        <v>0</v>
      </c>
      <c r="DS57" s="1591">
        <f t="shared" si="563"/>
        <v>0</v>
      </c>
      <c r="DT57" s="1591">
        <f t="shared" si="563"/>
        <v>0</v>
      </c>
      <c r="DU57" s="1591">
        <f t="shared" si="563"/>
        <v>0</v>
      </c>
      <c r="DV57" s="1591">
        <f t="shared" si="563"/>
        <v>0</v>
      </c>
      <c r="DW57" s="1591">
        <f t="shared" si="563"/>
        <v>0</v>
      </c>
      <c r="DX57" s="1591">
        <f t="shared" si="563"/>
        <v>0</v>
      </c>
      <c r="DY57" s="1591"/>
      <c r="DZ57" s="1591"/>
      <c r="EA57" s="1591"/>
      <c r="EB57" s="1591"/>
      <c r="EC57" s="1591"/>
      <c r="ED57" s="1591">
        <f t="shared" si="563"/>
        <v>0</v>
      </c>
      <c r="EE57" s="79"/>
      <c r="EF57" s="1591"/>
      <c r="EG57" s="1591"/>
      <c r="EH57" s="1591"/>
      <c r="EI57" s="1591"/>
      <c r="EJ57" s="1591"/>
      <c r="EK57" s="1591"/>
      <c r="EL57" s="1591"/>
      <c r="EM57" s="1591"/>
      <c r="EN57" s="1591"/>
      <c r="EO57" s="1591"/>
      <c r="EP57" s="1591"/>
      <c r="EQ57" s="1591"/>
      <c r="ER57" s="1591"/>
      <c r="ES57" s="1591"/>
      <c r="ET57" s="1591"/>
      <c r="EU57" s="1591"/>
      <c r="EV57" s="1591"/>
      <c r="EW57" s="1591"/>
      <c r="EX57" s="1591"/>
      <c r="EY57" s="1591"/>
      <c r="EZ57" s="1591"/>
      <c r="FA57" s="1591"/>
      <c r="FB57" s="1591"/>
      <c r="FC57" s="1591"/>
      <c r="FD57" s="1591"/>
      <c r="FE57" s="1591"/>
      <c r="FF57" s="1591"/>
      <c r="FG57" s="1591"/>
      <c r="FH57" s="1591"/>
      <c r="FI57" s="1591"/>
    </row>
    <row r="58" spans="1:165">
      <c r="A58" s="595"/>
      <c r="B58" s="598"/>
      <c r="C58" s="599"/>
      <c r="F58" s="1499"/>
      <c r="G58" s="1600"/>
      <c r="H58" s="1597">
        <f>'Sistemas - Cotações'!F49</f>
        <v>0</v>
      </c>
      <c r="I58" s="1598">
        <f>H58*0.8</f>
        <v>0</v>
      </c>
      <c r="J58" s="867"/>
      <c r="K58" s="97"/>
      <c r="L58" s="1479">
        <f>'Sistemas-Manutenção'!L54</f>
        <v>0</v>
      </c>
      <c r="M58" s="1479">
        <f>'Sistemas-Manutenção'!M54</f>
        <v>0</v>
      </c>
      <c r="N58" s="1479">
        <f>'Sistemas-Manutenção'!N54</f>
        <v>0</v>
      </c>
      <c r="O58" s="1479">
        <f>'Sistemas-Manutenção'!O54</f>
        <v>0</v>
      </c>
      <c r="P58" s="1479">
        <f>'Sistemas-Manutenção'!P54</f>
        <v>0</v>
      </c>
      <c r="Q58" s="1479">
        <f>'Sistemas-Manutenção'!Q54</f>
        <v>0</v>
      </c>
      <c r="R58" s="1479">
        <f>'Sistemas-Manutenção'!R54</f>
        <v>0</v>
      </c>
      <c r="S58" s="1479">
        <f>'Sistemas-Manutenção'!S54</f>
        <v>0</v>
      </c>
      <c r="T58" s="1479">
        <f>'Sistemas-Manutenção'!T54</f>
        <v>0</v>
      </c>
      <c r="U58" s="1479">
        <f>'Sistemas-Manutenção'!U54</f>
        <v>0</v>
      </c>
      <c r="V58" s="1479">
        <f>'Sistemas-Manutenção'!V54</f>
        <v>0</v>
      </c>
      <c r="W58" s="1479">
        <f>'Sistemas-Manutenção'!W54</f>
        <v>0</v>
      </c>
      <c r="X58" s="1479">
        <f>'Sistemas-Manutenção'!X54</f>
        <v>0</v>
      </c>
      <c r="Y58" s="1479">
        <f>'Sistemas-Manutenção'!Y54</f>
        <v>0</v>
      </c>
      <c r="Z58" s="1479">
        <f>'Sistemas-Manutenção'!Z54</f>
        <v>0</v>
      </c>
      <c r="AA58" s="1479">
        <f>'Sistemas-Manutenção'!AA54</f>
        <v>0</v>
      </c>
      <c r="AB58" s="1479">
        <f>'Sistemas-Manutenção'!AB54</f>
        <v>0</v>
      </c>
      <c r="AC58" s="1479">
        <f>'Sistemas-Manutenção'!AC54</f>
        <v>0</v>
      </c>
      <c r="AD58" s="1479">
        <f>'Sistemas-Manutenção'!AD54</f>
        <v>0</v>
      </c>
      <c r="AE58" s="1479">
        <f>'Sistemas-Manutenção'!AE54</f>
        <v>0</v>
      </c>
      <c r="AF58" s="1479">
        <f>'Sistemas-Manutenção'!AF54</f>
        <v>0</v>
      </c>
      <c r="AG58" s="1479">
        <f>'Sistemas-Manutenção'!AG54</f>
        <v>0</v>
      </c>
      <c r="AH58" s="1479">
        <f>'Sistemas-Manutenção'!AH54</f>
        <v>0</v>
      </c>
      <c r="AI58" s="1479">
        <f>'Sistemas-Manutenção'!AI54</f>
        <v>0</v>
      </c>
      <c r="AJ58" s="1479">
        <f>'Sistemas-Manutenção'!AJ54</f>
        <v>0</v>
      </c>
      <c r="AK58" s="1479">
        <f>'Sistemas-Manutenção'!AK54</f>
        <v>0</v>
      </c>
      <c r="AL58" s="1479">
        <f>'Sistemas-Manutenção'!AL54</f>
        <v>0</v>
      </c>
      <c r="AM58" s="1479">
        <f>'Sistemas-Manutenção'!AM54</f>
        <v>0</v>
      </c>
      <c r="AN58" s="1479">
        <f>'Sistemas-Manutenção'!AN54</f>
        <v>0</v>
      </c>
      <c r="AO58" s="1479">
        <f>'Sistemas-Manutenção'!AO54</f>
        <v>0</v>
      </c>
      <c r="AP58" s="77"/>
      <c r="AQ58" s="1479">
        <f t="shared" ref="AQ58" si="564">IF(L58&gt;K58,L58-K58,0)</f>
        <v>0</v>
      </c>
      <c r="AR58" s="1479">
        <f t="shared" ref="AR58" si="565">IF(M58&gt;L58,M58-L58,0)</f>
        <v>0</v>
      </c>
      <c r="AS58" s="1479">
        <f t="shared" ref="AS58" si="566">IF(N58&gt;M58,N58-M58,0)</f>
        <v>0</v>
      </c>
      <c r="AT58" s="1479">
        <f t="shared" ref="AT58" si="567">IF(O58&gt;N58,O58-N58,0)</f>
        <v>0</v>
      </c>
      <c r="AU58" s="1479">
        <f t="shared" ref="AU58" si="568">IF(P58&gt;O58,P58-O58,0)</f>
        <v>0</v>
      </c>
      <c r="AV58" s="1479">
        <f t="shared" ref="AV58" si="569">IF(Q58&gt;P58,Q58-P58,0)</f>
        <v>0</v>
      </c>
      <c r="AW58" s="1479">
        <f t="shared" ref="AW58" si="570">IF(R58&gt;Q58,R58-Q58,0)</f>
        <v>0</v>
      </c>
      <c r="AX58" s="1479">
        <f t="shared" ref="AX58" si="571">IF(S58&gt;R58,S58-R58,0)</f>
        <v>0</v>
      </c>
      <c r="AY58" s="1479">
        <f t="shared" ref="AY58" si="572">IF(T58&gt;S58,T58-S58,0)</f>
        <v>0</v>
      </c>
      <c r="AZ58" s="1479">
        <f t="shared" ref="AZ58" si="573">IF(U58&gt;T58,U58-T58,0)</f>
        <v>0</v>
      </c>
      <c r="BA58" s="1479">
        <f t="shared" ref="BA58" si="574">IF(V58&gt;U58,V58-U58,0)</f>
        <v>0</v>
      </c>
      <c r="BB58" s="1479">
        <f t="shared" ref="BB58" si="575">IF(W58&gt;V58,W58-V58,0)</f>
        <v>0</v>
      </c>
      <c r="BC58" s="1479">
        <f t="shared" ref="BC58" si="576">IF(X58&gt;W58,X58-W58,0)</f>
        <v>0</v>
      </c>
      <c r="BD58" s="1479">
        <f t="shared" ref="BD58" si="577">IF(Y58&gt;X58,Y58-X58,0)</f>
        <v>0</v>
      </c>
      <c r="BE58" s="1479">
        <f t="shared" ref="BE58" si="578">IF(Z58&gt;Y58,Z58-Y58,0)</f>
        <v>0</v>
      </c>
      <c r="BF58" s="1479">
        <f t="shared" ref="BF58" si="579">IF(AA58&gt;Z58,AA58-Z58,0)</f>
        <v>0</v>
      </c>
      <c r="BG58" s="1479">
        <f t="shared" ref="BG58" si="580">IF(AB58&gt;AA58,AB58-AA58,0)</f>
        <v>0</v>
      </c>
      <c r="BH58" s="1479">
        <f t="shared" ref="BH58" si="581">IF(AC58&gt;AB58,AC58-AB58,0)</f>
        <v>0</v>
      </c>
      <c r="BI58" s="1479">
        <f t="shared" ref="BI58" si="582">IF(AD58&gt;AC58,AD58-AC58,0)</f>
        <v>0</v>
      </c>
      <c r="BJ58" s="1479">
        <f t="shared" ref="BJ58" si="583">IF(AE58&gt;AD58,AE58-AD58,0)</f>
        <v>0</v>
      </c>
      <c r="BK58" s="1479">
        <f t="shared" ref="BK58" si="584">IF(AF58&gt;AE58,AF58-AE58,0)</f>
        <v>0</v>
      </c>
      <c r="BL58" s="1479">
        <f t="shared" ref="BL58" si="585">IF(AG58&gt;AF58,AG58-AF58,0)</f>
        <v>0</v>
      </c>
      <c r="BM58" s="1479">
        <f t="shared" ref="BM58" si="586">IF(AH58&gt;AG58,AH58-AG58,0)</f>
        <v>0</v>
      </c>
      <c r="BN58" s="1479">
        <f t="shared" ref="BN58" si="587">IF(AI58&gt;AH58,AI58-AH58,0)</f>
        <v>0</v>
      </c>
      <c r="BO58" s="1479"/>
      <c r="BP58" s="1479"/>
      <c r="BQ58" s="1479"/>
      <c r="BR58" s="1479"/>
      <c r="BS58" s="1479"/>
      <c r="BT58" s="1479">
        <f t="shared" ref="BT58" si="588">IF(AJ58&gt;AI58,AJ58-AI58,0)</f>
        <v>0</v>
      </c>
      <c r="BU58" s="77"/>
      <c r="BV58" s="1571"/>
      <c r="BW58" s="1571"/>
      <c r="BX58" s="1571"/>
      <c r="BY58" s="1571"/>
      <c r="BZ58" s="1571"/>
      <c r="CA58" s="1571"/>
      <c r="CB58" s="1571"/>
      <c r="CC58" s="1571"/>
      <c r="CD58" s="1571"/>
      <c r="CE58" s="1571"/>
      <c r="CF58" s="1571"/>
      <c r="CG58" s="1571"/>
      <c r="CH58" s="1571"/>
      <c r="CI58" s="1571"/>
      <c r="CJ58" s="1571"/>
      <c r="CK58" s="1571"/>
      <c r="CL58" s="1571"/>
      <c r="CM58" s="1571"/>
      <c r="CN58" s="1571"/>
      <c r="CO58" s="1571"/>
      <c r="CP58" s="1571"/>
      <c r="CQ58" s="1571"/>
      <c r="CR58" s="1571"/>
      <c r="CS58" s="1571"/>
      <c r="CT58" s="1571"/>
      <c r="CU58" s="1571"/>
      <c r="CV58" s="1571"/>
      <c r="CW58" s="1571"/>
      <c r="CX58" s="1571"/>
      <c r="CY58" s="1571"/>
      <c r="CZ58" s="78"/>
      <c r="DA58" s="1572">
        <f t="shared" ref="DA58:DX59" si="589">AQ58*$H58</f>
        <v>0</v>
      </c>
      <c r="DB58" s="1572">
        <f t="shared" si="589"/>
        <v>0</v>
      </c>
      <c r="DC58" s="1572">
        <f t="shared" si="589"/>
        <v>0</v>
      </c>
      <c r="DD58" s="1572">
        <f t="shared" si="589"/>
        <v>0</v>
      </c>
      <c r="DE58" s="1572">
        <f t="shared" si="589"/>
        <v>0</v>
      </c>
      <c r="DF58" s="1572">
        <f t="shared" si="589"/>
        <v>0</v>
      </c>
      <c r="DG58" s="1572">
        <f t="shared" si="589"/>
        <v>0</v>
      </c>
      <c r="DH58" s="1572">
        <f t="shared" si="589"/>
        <v>0</v>
      </c>
      <c r="DI58" s="1572">
        <f t="shared" si="589"/>
        <v>0</v>
      </c>
      <c r="DJ58" s="1572">
        <f t="shared" si="589"/>
        <v>0</v>
      </c>
      <c r="DK58" s="1572">
        <f t="shared" si="589"/>
        <v>0</v>
      </c>
      <c r="DL58" s="1572">
        <f t="shared" si="589"/>
        <v>0</v>
      </c>
      <c r="DM58" s="1572">
        <f t="shared" si="589"/>
        <v>0</v>
      </c>
      <c r="DN58" s="1572">
        <f t="shared" si="589"/>
        <v>0</v>
      </c>
      <c r="DO58" s="1572">
        <f t="shared" si="589"/>
        <v>0</v>
      </c>
      <c r="DP58" s="1572">
        <f t="shared" si="589"/>
        <v>0</v>
      </c>
      <c r="DQ58" s="1572">
        <f t="shared" si="589"/>
        <v>0</v>
      </c>
      <c r="DR58" s="1572">
        <f t="shared" si="589"/>
        <v>0</v>
      </c>
      <c r="DS58" s="1572">
        <f t="shared" si="589"/>
        <v>0</v>
      </c>
      <c r="DT58" s="1572">
        <f t="shared" si="589"/>
        <v>0</v>
      </c>
      <c r="DU58" s="1572">
        <f t="shared" si="589"/>
        <v>0</v>
      </c>
      <c r="DV58" s="1572">
        <f t="shared" si="589"/>
        <v>0</v>
      </c>
      <c r="DW58" s="1572">
        <f t="shared" si="589"/>
        <v>0</v>
      </c>
      <c r="DX58" s="1572">
        <f t="shared" si="589"/>
        <v>0</v>
      </c>
      <c r="DY58" s="1572"/>
      <c r="DZ58" s="1572"/>
      <c r="EA58" s="1572"/>
      <c r="EB58" s="1572"/>
      <c r="EC58" s="1572"/>
      <c r="ED58" s="1572">
        <f>BT58*$H58</f>
        <v>0</v>
      </c>
      <c r="EE58" s="79"/>
      <c r="EF58" s="1572"/>
      <c r="EG58" s="1572"/>
      <c r="EH58" s="1572"/>
      <c r="EI58" s="1572"/>
      <c r="EJ58" s="1572"/>
      <c r="EK58" s="1572"/>
      <c r="EL58" s="1572"/>
      <c r="EM58" s="1572"/>
      <c r="EN58" s="1572"/>
      <c r="EO58" s="1572"/>
      <c r="EP58" s="1572"/>
      <c r="EQ58" s="1572"/>
      <c r="ER58" s="1572"/>
      <c r="ES58" s="1572"/>
      <c r="ET58" s="1572"/>
      <c r="EU58" s="1572"/>
      <c r="EV58" s="1572"/>
      <c r="EW58" s="1572"/>
      <c r="EX58" s="1572"/>
      <c r="EY58" s="1572"/>
      <c r="EZ58" s="1572"/>
      <c r="FA58" s="1572"/>
      <c r="FB58" s="1572"/>
      <c r="FC58" s="1572"/>
      <c r="FD58" s="1572"/>
      <c r="FE58" s="1572"/>
      <c r="FF58" s="1572"/>
      <c r="FG58" s="1572"/>
      <c r="FH58" s="1572"/>
      <c r="FI58" s="1572"/>
    </row>
    <row r="59" spans="1:165">
      <c r="A59" s="595"/>
      <c r="B59" s="598"/>
      <c r="C59" s="599"/>
      <c r="F59" s="1502"/>
      <c r="G59" s="1602"/>
      <c r="H59" s="1597">
        <f>'Sistemas - Cotações'!F53</f>
        <v>0</v>
      </c>
      <c r="I59" s="1598">
        <f>H59*0.8</f>
        <v>0</v>
      </c>
      <c r="J59" s="867">
        <f>'Sistemas - Cotações'!H53</f>
        <v>0</v>
      </c>
      <c r="K59" s="97"/>
      <c r="L59" s="1479">
        <f>'Sistemas-Manutenção'!L55</f>
        <v>0</v>
      </c>
      <c r="M59" s="1479">
        <f>'Sistemas-Manutenção'!M55</f>
        <v>0</v>
      </c>
      <c r="N59" s="1479">
        <f>'Sistemas-Manutenção'!N55</f>
        <v>0</v>
      </c>
      <c r="O59" s="1479">
        <f>'Sistemas-Manutenção'!O55</f>
        <v>0</v>
      </c>
      <c r="P59" s="1479">
        <f>'Sistemas-Manutenção'!P55</f>
        <v>0</v>
      </c>
      <c r="Q59" s="1479">
        <f>'Sistemas-Manutenção'!Q55</f>
        <v>0</v>
      </c>
      <c r="R59" s="1479">
        <f>'Sistemas-Manutenção'!R55</f>
        <v>0</v>
      </c>
      <c r="S59" s="1479">
        <f>'Sistemas-Manutenção'!S55</f>
        <v>0</v>
      </c>
      <c r="T59" s="1479">
        <f>'Sistemas-Manutenção'!T55</f>
        <v>0</v>
      </c>
      <c r="U59" s="1479">
        <f>'Sistemas-Manutenção'!U55</f>
        <v>0</v>
      </c>
      <c r="V59" s="1479">
        <f>'Sistemas-Manutenção'!V55</f>
        <v>0</v>
      </c>
      <c r="W59" s="1479">
        <f>'Sistemas-Manutenção'!W55</f>
        <v>0</v>
      </c>
      <c r="X59" s="1479">
        <f>'Sistemas-Manutenção'!X55</f>
        <v>0</v>
      </c>
      <c r="Y59" s="1479">
        <f>'Sistemas-Manutenção'!Y55</f>
        <v>0</v>
      </c>
      <c r="Z59" s="1479">
        <f>'Sistemas-Manutenção'!Z55</f>
        <v>0</v>
      </c>
      <c r="AA59" s="1479">
        <f>'Sistemas-Manutenção'!AA55</f>
        <v>0</v>
      </c>
      <c r="AB59" s="1479">
        <f>'Sistemas-Manutenção'!AB55</f>
        <v>0</v>
      </c>
      <c r="AC59" s="1479">
        <f>'Sistemas-Manutenção'!AC55</f>
        <v>0</v>
      </c>
      <c r="AD59" s="1479">
        <f>'Sistemas-Manutenção'!AD55</f>
        <v>0</v>
      </c>
      <c r="AE59" s="1479">
        <f>'Sistemas-Manutenção'!AE55</f>
        <v>0</v>
      </c>
      <c r="AF59" s="1479">
        <f>'Sistemas-Manutenção'!AF55</f>
        <v>0</v>
      </c>
      <c r="AG59" s="1479">
        <f>'Sistemas-Manutenção'!AG55</f>
        <v>0</v>
      </c>
      <c r="AH59" s="1479">
        <f>'Sistemas-Manutenção'!AH55</f>
        <v>0</v>
      </c>
      <c r="AI59" s="1479">
        <f>'Sistemas-Manutenção'!AI55</f>
        <v>0</v>
      </c>
      <c r="AJ59" s="1479">
        <f>'Sistemas-Manutenção'!AJ55</f>
        <v>0</v>
      </c>
      <c r="AK59" s="1479">
        <f>'Sistemas-Manutenção'!AK55</f>
        <v>0</v>
      </c>
      <c r="AL59" s="1479">
        <f>'Sistemas-Manutenção'!AL55</f>
        <v>0</v>
      </c>
      <c r="AM59" s="1479">
        <f>'Sistemas-Manutenção'!AM55</f>
        <v>0</v>
      </c>
      <c r="AN59" s="1479">
        <f>'Sistemas-Manutenção'!AN55</f>
        <v>0</v>
      </c>
      <c r="AO59" s="1479">
        <f>'Sistemas-Manutenção'!AO55</f>
        <v>0</v>
      </c>
      <c r="AP59" s="77"/>
      <c r="AQ59" s="1479">
        <f t="shared" ref="AQ59" si="590">IF(L59&gt;K59,L59-K59,0)</f>
        <v>0</v>
      </c>
      <c r="AR59" s="1479">
        <f t="shared" ref="AR59" si="591">IF(M59&gt;L59,M59-L59,0)</f>
        <v>0</v>
      </c>
      <c r="AS59" s="1479">
        <f t="shared" ref="AS59" si="592">IF(N59&gt;M59,N59-M59,0)</f>
        <v>0</v>
      </c>
      <c r="AT59" s="1479">
        <f t="shared" ref="AT59" si="593">IF(O59&gt;N59,O59-N59,0)</f>
        <v>0</v>
      </c>
      <c r="AU59" s="1479">
        <f t="shared" ref="AU59" si="594">IF(P59&gt;O59,P59-O59,0)</f>
        <v>0</v>
      </c>
      <c r="AV59" s="1479"/>
      <c r="AW59" s="1479"/>
      <c r="AX59" s="1479"/>
      <c r="AY59" s="1479"/>
      <c r="AZ59" s="1479"/>
      <c r="BA59" s="1479"/>
      <c r="BB59" s="1479"/>
      <c r="BC59" s="1479"/>
      <c r="BD59" s="1479"/>
      <c r="BE59" s="1479"/>
      <c r="BF59" s="1479"/>
      <c r="BG59" s="1479"/>
      <c r="BH59" s="1479"/>
      <c r="BI59" s="1479"/>
      <c r="BJ59" s="1479"/>
      <c r="BK59" s="1479"/>
      <c r="BL59" s="1479"/>
      <c r="BM59" s="1479"/>
      <c r="BN59" s="1479"/>
      <c r="BO59" s="1479"/>
      <c r="BP59" s="1479"/>
      <c r="BQ59" s="1479"/>
      <c r="BR59" s="1479"/>
      <c r="BS59" s="1479"/>
      <c r="BT59" s="1479"/>
      <c r="BU59" s="77"/>
      <c r="BV59" s="1571"/>
      <c r="BW59" s="1571"/>
      <c r="BX59" s="1571"/>
      <c r="BY59" s="1571"/>
      <c r="BZ59" s="1571"/>
      <c r="CA59" s="1571"/>
      <c r="CB59" s="1571"/>
      <c r="CC59" s="1571"/>
      <c r="CD59" s="1571"/>
      <c r="CE59" s="1571"/>
      <c r="CF59" s="1571"/>
      <c r="CG59" s="1571"/>
      <c r="CH59" s="1571"/>
      <c r="CI59" s="1571"/>
      <c r="CJ59" s="1571"/>
      <c r="CK59" s="1571"/>
      <c r="CL59" s="1571"/>
      <c r="CM59" s="1571"/>
      <c r="CN59" s="1571"/>
      <c r="CO59" s="1571"/>
      <c r="CP59" s="1571"/>
      <c r="CQ59" s="1571"/>
      <c r="CR59" s="1571"/>
      <c r="CS59" s="1571"/>
      <c r="CT59" s="1571"/>
      <c r="CU59" s="1571"/>
      <c r="CV59" s="1571"/>
      <c r="CW59" s="1571"/>
      <c r="CX59" s="1571"/>
      <c r="CY59" s="1571"/>
      <c r="CZ59" s="78"/>
      <c r="DA59" s="1572">
        <f t="shared" si="589"/>
        <v>0</v>
      </c>
      <c r="DB59" s="1572">
        <f t="shared" si="589"/>
        <v>0</v>
      </c>
      <c r="DC59" s="1572"/>
      <c r="DD59" s="1572"/>
      <c r="DE59" s="1572"/>
      <c r="DF59" s="1572"/>
      <c r="DG59" s="1572"/>
      <c r="DH59" s="1572"/>
      <c r="DI59" s="1572"/>
      <c r="DJ59" s="1572"/>
      <c r="DK59" s="1572"/>
      <c r="DL59" s="1572"/>
      <c r="DM59" s="1572"/>
      <c r="DN59" s="1572"/>
      <c r="DO59" s="1572"/>
      <c r="DP59" s="1572"/>
      <c r="DQ59" s="1572"/>
      <c r="DR59" s="1572"/>
      <c r="DS59" s="1572"/>
      <c r="DT59" s="1572"/>
      <c r="DU59" s="1572"/>
      <c r="DV59" s="1572"/>
      <c r="DW59" s="1572"/>
      <c r="DX59" s="1572"/>
      <c r="DY59" s="1572"/>
      <c r="DZ59" s="1572"/>
      <c r="EA59" s="1572"/>
      <c r="EB59" s="1572"/>
      <c r="EC59" s="1572"/>
      <c r="ED59" s="1572"/>
      <c r="EE59" s="79"/>
      <c r="EF59" s="1572"/>
      <c r="EG59" s="1572"/>
      <c r="EH59" s="1572"/>
      <c r="EI59" s="1572"/>
      <c r="EJ59" s="1572"/>
      <c r="EK59" s="1572"/>
      <c r="EL59" s="1572"/>
      <c r="EM59" s="1572"/>
      <c r="EN59" s="1572"/>
      <c r="EO59" s="1572"/>
      <c r="EP59" s="1572"/>
      <c r="EQ59" s="1572"/>
      <c r="ER59" s="1572"/>
      <c r="ES59" s="1572"/>
      <c r="ET59" s="1572"/>
      <c r="EU59" s="1572"/>
      <c r="EV59" s="1572"/>
      <c r="EW59" s="1572"/>
      <c r="EX59" s="1572"/>
      <c r="EY59" s="1572"/>
      <c r="EZ59" s="1572"/>
      <c r="FA59" s="1572"/>
      <c r="FB59" s="1572"/>
      <c r="FC59" s="1572"/>
      <c r="FD59" s="1572"/>
      <c r="FE59" s="1572"/>
      <c r="FF59" s="1572"/>
      <c r="FG59" s="1572"/>
      <c r="FH59" s="1572"/>
      <c r="FI59" s="1572"/>
    </row>
    <row r="60" spans="1:165">
      <c r="A60" s="595"/>
      <c r="B60" s="598"/>
      <c r="C60" s="599"/>
      <c r="D60" s="68" t="s">
        <v>1731</v>
      </c>
      <c r="E60" s="68" t="str">
        <f>LEFT(D60,LEN(D60)-1) &amp; RIGHT(D60,1)+1</f>
        <v>8.7.7.2</v>
      </c>
      <c r="F60" s="1599" t="s">
        <v>1656</v>
      </c>
      <c r="G60" s="401" t="s">
        <v>1717</v>
      </c>
      <c r="H60" s="315">
        <f>SUM(DA60:ED60)</f>
        <v>1023049.76904416</v>
      </c>
      <c r="I60" s="316">
        <f ca="1">SUM(EF60:FI60)</f>
        <v>0</v>
      </c>
      <c r="J60" s="867"/>
      <c r="K60" s="97"/>
      <c r="L60" s="1479">
        <f>'Sistemas-Manutenção'!L56</f>
        <v>0</v>
      </c>
      <c r="M60" s="1479">
        <f>'Sistemas-Manutenção'!M56</f>
        <v>0</v>
      </c>
      <c r="N60" s="1479">
        <f>'Sistemas-Manutenção'!N56</f>
        <v>0</v>
      </c>
      <c r="O60" s="1479">
        <f>'Sistemas-Manutenção'!O56</f>
        <v>0</v>
      </c>
      <c r="P60" s="1479">
        <f>'Sistemas-Manutenção'!P56</f>
        <v>0</v>
      </c>
      <c r="Q60" s="1479">
        <f>'Sistemas-Manutenção'!Q56</f>
        <v>0</v>
      </c>
      <c r="R60" s="1479">
        <f>'Sistemas-Manutenção'!R56</f>
        <v>0</v>
      </c>
      <c r="S60" s="1479">
        <f>'Sistemas-Manutenção'!S56</f>
        <v>0</v>
      </c>
      <c r="T60" s="1479">
        <f>'Sistemas-Manutenção'!T56</f>
        <v>0</v>
      </c>
      <c r="U60" s="1479">
        <f>'Sistemas-Manutenção'!U56</f>
        <v>0</v>
      </c>
      <c r="V60" s="1479">
        <f>'Sistemas-Manutenção'!V56</f>
        <v>0</v>
      </c>
      <c r="W60" s="1479">
        <f>'Sistemas-Manutenção'!W56</f>
        <v>0</v>
      </c>
      <c r="X60" s="1479">
        <f>'Sistemas-Manutenção'!X56</f>
        <v>0</v>
      </c>
      <c r="Y60" s="1479">
        <f>'Sistemas-Manutenção'!Y56</f>
        <v>0</v>
      </c>
      <c r="Z60" s="1479">
        <f>'Sistemas-Manutenção'!Z56</f>
        <v>0</v>
      </c>
      <c r="AA60" s="1479">
        <f>'Sistemas-Manutenção'!AA56</f>
        <v>0</v>
      </c>
      <c r="AB60" s="1479">
        <f>'Sistemas-Manutenção'!AB56</f>
        <v>0</v>
      </c>
      <c r="AC60" s="1479">
        <f>'Sistemas-Manutenção'!AC56</f>
        <v>0</v>
      </c>
      <c r="AD60" s="1479">
        <f>'Sistemas-Manutenção'!AD56</f>
        <v>0</v>
      </c>
      <c r="AE60" s="1479">
        <f>'Sistemas-Manutenção'!AE56</f>
        <v>0</v>
      </c>
      <c r="AF60" s="1479">
        <f>'Sistemas-Manutenção'!AF56</f>
        <v>0</v>
      </c>
      <c r="AG60" s="1479">
        <f>'Sistemas-Manutenção'!AG56</f>
        <v>0</v>
      </c>
      <c r="AH60" s="1479">
        <f>'Sistemas-Manutenção'!AH56</f>
        <v>0</v>
      </c>
      <c r="AI60" s="1479">
        <f>'Sistemas-Manutenção'!AI56</f>
        <v>0</v>
      </c>
      <c r="AJ60" s="1479">
        <f>'Sistemas-Manutenção'!AJ56</f>
        <v>0</v>
      </c>
      <c r="AK60" s="1479">
        <f>'Sistemas-Manutenção'!AK56</f>
        <v>0</v>
      </c>
      <c r="AL60" s="1479">
        <f>'Sistemas-Manutenção'!AL56</f>
        <v>0</v>
      </c>
      <c r="AM60" s="1479">
        <f>'Sistemas-Manutenção'!AM56</f>
        <v>0</v>
      </c>
      <c r="AN60" s="1479">
        <f>'Sistemas-Manutenção'!AN56</f>
        <v>0</v>
      </c>
      <c r="AO60" s="1479">
        <f>'Sistemas-Manutenção'!AO56</f>
        <v>0</v>
      </c>
      <c r="AP60" s="77"/>
      <c r="AQ60" s="1479"/>
      <c r="AR60" s="1479"/>
      <c r="AS60" s="1479"/>
      <c r="AT60" s="1479"/>
      <c r="AU60" s="1479"/>
      <c r="AV60" s="1479"/>
      <c r="AW60" s="1479"/>
      <c r="AX60" s="1479"/>
      <c r="AY60" s="1479"/>
      <c r="AZ60" s="1479"/>
      <c r="BA60" s="1479"/>
      <c r="BB60" s="1479"/>
      <c r="BC60" s="1479"/>
      <c r="BD60" s="1479"/>
      <c r="BE60" s="1479"/>
      <c r="BF60" s="1479"/>
      <c r="BG60" s="1479"/>
      <c r="BH60" s="1479"/>
      <c r="BI60" s="1479"/>
      <c r="BJ60" s="1479"/>
      <c r="BK60" s="1479"/>
      <c r="BL60" s="1479"/>
      <c r="BM60" s="1479"/>
      <c r="BN60" s="1479"/>
      <c r="BO60" s="1479"/>
      <c r="BP60" s="1479"/>
      <c r="BQ60" s="1479"/>
      <c r="BR60" s="1479"/>
      <c r="BS60" s="1479"/>
      <c r="BT60" s="1479"/>
      <c r="BU60" s="77"/>
      <c r="BV60" s="1571"/>
      <c r="BW60" s="1571"/>
      <c r="BX60" s="1571"/>
      <c r="BY60" s="1571"/>
      <c r="BZ60" s="1571"/>
      <c r="CA60" s="1571"/>
      <c r="CB60" s="1571"/>
      <c r="CC60" s="1571"/>
      <c r="CD60" s="1571"/>
      <c r="CE60" s="1571"/>
      <c r="CF60" s="1571"/>
      <c r="CG60" s="1571"/>
      <c r="CH60" s="1571"/>
      <c r="CI60" s="1571"/>
      <c r="CJ60" s="1571"/>
      <c r="CK60" s="1571"/>
      <c r="CL60" s="1571"/>
      <c r="CM60" s="1571"/>
      <c r="CN60" s="1571"/>
      <c r="CO60" s="1571"/>
      <c r="CP60" s="1571"/>
      <c r="CQ60" s="1571"/>
      <c r="CR60" s="1571"/>
      <c r="CS60" s="1571"/>
      <c r="CT60" s="1571"/>
      <c r="CU60" s="1571"/>
      <c r="CV60" s="1571"/>
      <c r="CW60" s="1571"/>
      <c r="CX60" s="1571"/>
      <c r="CY60" s="1571"/>
      <c r="CZ60" s="78"/>
      <c r="DA60" s="1591">
        <f t="shared" ref="DA60:ED60" si="595">SUBTOTAL(9,DA61)</f>
        <v>1023049.76904416</v>
      </c>
      <c r="DB60" s="1591">
        <f t="shared" si="595"/>
        <v>0</v>
      </c>
      <c r="DC60" s="1591">
        <f t="shared" si="595"/>
        <v>0</v>
      </c>
      <c r="DD60" s="1591">
        <f t="shared" si="595"/>
        <v>0</v>
      </c>
      <c r="DE60" s="1591">
        <f t="shared" si="595"/>
        <v>0</v>
      </c>
      <c r="DF60" s="1591">
        <f t="shared" si="595"/>
        <v>0</v>
      </c>
      <c r="DG60" s="1591">
        <f t="shared" si="595"/>
        <v>0</v>
      </c>
      <c r="DH60" s="1591">
        <f t="shared" si="595"/>
        <v>0</v>
      </c>
      <c r="DI60" s="1591">
        <f t="shared" si="595"/>
        <v>0</v>
      </c>
      <c r="DJ60" s="1591">
        <f t="shared" si="595"/>
        <v>0</v>
      </c>
      <c r="DK60" s="1591">
        <f t="shared" si="595"/>
        <v>0</v>
      </c>
      <c r="DL60" s="1591">
        <f t="shared" si="595"/>
        <v>0</v>
      </c>
      <c r="DM60" s="1591">
        <f t="shared" si="595"/>
        <v>0</v>
      </c>
      <c r="DN60" s="1591">
        <f t="shared" si="595"/>
        <v>0</v>
      </c>
      <c r="DO60" s="1591">
        <f t="shared" si="595"/>
        <v>0</v>
      </c>
      <c r="DP60" s="1591">
        <f t="shared" si="595"/>
        <v>0</v>
      </c>
      <c r="DQ60" s="1591">
        <f t="shared" si="595"/>
        <v>0</v>
      </c>
      <c r="DR60" s="1591">
        <f t="shared" si="595"/>
        <v>0</v>
      </c>
      <c r="DS60" s="1591">
        <f t="shared" si="595"/>
        <v>0</v>
      </c>
      <c r="DT60" s="1591">
        <f t="shared" si="595"/>
        <v>0</v>
      </c>
      <c r="DU60" s="1591">
        <f t="shared" si="595"/>
        <v>0</v>
      </c>
      <c r="DV60" s="1591">
        <f t="shared" si="595"/>
        <v>0</v>
      </c>
      <c r="DW60" s="1591">
        <f t="shared" si="595"/>
        <v>0</v>
      </c>
      <c r="DX60" s="1591">
        <f t="shared" si="595"/>
        <v>0</v>
      </c>
      <c r="DY60" s="1591"/>
      <c r="DZ60" s="1591"/>
      <c r="EA60" s="1591"/>
      <c r="EB60" s="1591"/>
      <c r="EC60" s="1591"/>
      <c r="ED60" s="1591">
        <f t="shared" si="595"/>
        <v>0</v>
      </c>
      <c r="EE60" s="79"/>
      <c r="EF60" s="1591">
        <f t="shared" ref="EF60:FI60" ca="1" si="596">SUBTOTAL(9,EF61)</f>
        <v>0</v>
      </c>
      <c r="EG60" s="1591">
        <f t="shared" ca="1" si="596"/>
        <v>0</v>
      </c>
      <c r="EH60" s="1591">
        <f t="shared" ca="1" si="596"/>
        <v>0</v>
      </c>
      <c r="EI60" s="1591">
        <f t="shared" ca="1" si="596"/>
        <v>0</v>
      </c>
      <c r="EJ60" s="1591">
        <f t="shared" ca="1" si="596"/>
        <v>0</v>
      </c>
      <c r="EK60" s="1591">
        <f t="shared" ca="1" si="596"/>
        <v>0</v>
      </c>
      <c r="EL60" s="1591">
        <f t="shared" ca="1" si="596"/>
        <v>0</v>
      </c>
      <c r="EM60" s="1591">
        <f t="shared" ca="1" si="596"/>
        <v>0</v>
      </c>
      <c r="EN60" s="1591">
        <f t="shared" ca="1" si="596"/>
        <v>0</v>
      </c>
      <c r="EO60" s="1591">
        <f t="shared" ca="1" si="596"/>
        <v>0</v>
      </c>
      <c r="EP60" s="1591">
        <f t="shared" ca="1" si="596"/>
        <v>0</v>
      </c>
      <c r="EQ60" s="1591">
        <f t="shared" ca="1" si="596"/>
        <v>0</v>
      </c>
      <c r="ER60" s="1591">
        <f t="shared" ca="1" si="596"/>
        <v>0</v>
      </c>
      <c r="ES60" s="1591">
        <f t="shared" ca="1" si="596"/>
        <v>0</v>
      </c>
      <c r="ET60" s="1591">
        <f t="shared" ca="1" si="596"/>
        <v>0</v>
      </c>
      <c r="EU60" s="1591">
        <f t="shared" ca="1" si="596"/>
        <v>0</v>
      </c>
      <c r="EV60" s="1591">
        <f t="shared" ca="1" si="596"/>
        <v>0</v>
      </c>
      <c r="EW60" s="1591">
        <f t="shared" ca="1" si="596"/>
        <v>0</v>
      </c>
      <c r="EX60" s="1591">
        <f t="shared" ca="1" si="596"/>
        <v>0</v>
      </c>
      <c r="EY60" s="1591">
        <f t="shared" ca="1" si="596"/>
        <v>0</v>
      </c>
      <c r="EZ60" s="1591">
        <f t="shared" ca="1" si="596"/>
        <v>0</v>
      </c>
      <c r="FA60" s="1591">
        <f t="shared" ca="1" si="596"/>
        <v>0</v>
      </c>
      <c r="FB60" s="1591">
        <f t="shared" ca="1" si="596"/>
        <v>0</v>
      </c>
      <c r="FC60" s="1591">
        <f t="shared" ca="1" si="596"/>
        <v>0</v>
      </c>
      <c r="FD60" s="1591">
        <f t="shared" ca="1" si="596"/>
        <v>0</v>
      </c>
      <c r="FE60" s="1591">
        <f t="shared" ca="1" si="596"/>
        <v>0</v>
      </c>
      <c r="FF60" s="1591">
        <f t="shared" ca="1" si="596"/>
        <v>0</v>
      </c>
      <c r="FG60" s="1591">
        <f t="shared" ca="1" si="596"/>
        <v>0</v>
      </c>
      <c r="FH60" s="1591">
        <f t="shared" ca="1" si="596"/>
        <v>0</v>
      </c>
      <c r="FI60" s="1591">
        <f t="shared" ca="1" si="596"/>
        <v>0</v>
      </c>
    </row>
    <row r="61" spans="1:165">
      <c r="A61" s="595"/>
      <c r="B61" s="598"/>
      <c r="C61" s="599"/>
      <c r="F61" s="1500" t="s">
        <v>1657</v>
      </c>
      <c r="G61" s="1600" t="s">
        <v>1718</v>
      </c>
      <c r="H61" s="1597">
        <f>'Sistemas - Cotações'!F48</f>
        <v>46502.262229280001</v>
      </c>
      <c r="I61" s="1598">
        <f>H61*0.9</f>
        <v>41852.036006351998</v>
      </c>
      <c r="J61" s="867">
        <f>'Sistemas - Cotações'!H48</f>
        <v>30</v>
      </c>
      <c r="K61" s="97"/>
      <c r="L61" s="1479">
        <f>'Sistemas-Manutenção'!L57</f>
        <v>22</v>
      </c>
      <c r="M61" s="1479">
        <f>'Sistemas-Manutenção'!M57</f>
        <v>22</v>
      </c>
      <c r="N61" s="1479">
        <f>'Sistemas-Manutenção'!N57</f>
        <v>22</v>
      </c>
      <c r="O61" s="1479">
        <f>'Sistemas-Manutenção'!O57</f>
        <v>22</v>
      </c>
      <c r="P61" s="1479">
        <f>'Sistemas-Manutenção'!P57</f>
        <v>22</v>
      </c>
      <c r="Q61" s="1479">
        <f>'Sistemas-Manutenção'!Q57</f>
        <v>22</v>
      </c>
      <c r="R61" s="1479">
        <f>'Sistemas-Manutenção'!R57</f>
        <v>22</v>
      </c>
      <c r="S61" s="1479">
        <f>'Sistemas-Manutenção'!S57</f>
        <v>22</v>
      </c>
      <c r="T61" s="1479">
        <f>'Sistemas-Manutenção'!T57</f>
        <v>22</v>
      </c>
      <c r="U61" s="1479">
        <f>'Sistemas-Manutenção'!U57</f>
        <v>22</v>
      </c>
      <c r="V61" s="1479">
        <f>'Sistemas-Manutenção'!V57</f>
        <v>22</v>
      </c>
      <c r="W61" s="1479">
        <f>'Sistemas-Manutenção'!W57</f>
        <v>22</v>
      </c>
      <c r="X61" s="1479">
        <f>'Sistemas-Manutenção'!X57</f>
        <v>22</v>
      </c>
      <c r="Y61" s="1479">
        <f>'Sistemas-Manutenção'!Y57</f>
        <v>22</v>
      </c>
      <c r="Z61" s="1479">
        <f>'Sistemas-Manutenção'!Z57</f>
        <v>22</v>
      </c>
      <c r="AA61" s="1479">
        <f>'Sistemas-Manutenção'!AA57</f>
        <v>22</v>
      </c>
      <c r="AB61" s="1479">
        <f>'Sistemas-Manutenção'!AB57</f>
        <v>22</v>
      </c>
      <c r="AC61" s="1479">
        <f>'Sistemas-Manutenção'!AC57</f>
        <v>22</v>
      </c>
      <c r="AD61" s="1479">
        <f>'Sistemas-Manutenção'!AD57</f>
        <v>22</v>
      </c>
      <c r="AE61" s="1479">
        <f>'Sistemas-Manutenção'!AE57</f>
        <v>22</v>
      </c>
      <c r="AF61" s="1479">
        <f>'Sistemas-Manutenção'!AF57</f>
        <v>22</v>
      </c>
      <c r="AG61" s="1479">
        <f>'Sistemas-Manutenção'!AG57</f>
        <v>22</v>
      </c>
      <c r="AH61" s="1479">
        <f>'Sistemas-Manutenção'!AH57</f>
        <v>22</v>
      </c>
      <c r="AI61" s="1479">
        <f>'Sistemas-Manutenção'!AI57</f>
        <v>22</v>
      </c>
      <c r="AJ61" s="1479">
        <f>'Sistemas-Manutenção'!AJ57</f>
        <v>22</v>
      </c>
      <c r="AK61" s="1479">
        <f>'Sistemas-Manutenção'!AK57</f>
        <v>22</v>
      </c>
      <c r="AL61" s="1479">
        <f>'Sistemas-Manutenção'!AL57</f>
        <v>22</v>
      </c>
      <c r="AM61" s="1479">
        <f>'Sistemas-Manutenção'!AM57</f>
        <v>22</v>
      </c>
      <c r="AN61" s="1479">
        <f>'Sistemas-Manutenção'!AN57</f>
        <v>22</v>
      </c>
      <c r="AO61" s="1479">
        <f>'Sistemas-Manutenção'!AO57</f>
        <v>22</v>
      </c>
      <c r="AP61" s="77"/>
      <c r="AQ61" s="1479">
        <f t="shared" ref="AQ61:BN61" si="597">IF(L61&gt;K61,L61-K61,0)</f>
        <v>22</v>
      </c>
      <c r="AR61" s="1479">
        <f t="shared" si="597"/>
        <v>0</v>
      </c>
      <c r="AS61" s="1479">
        <f t="shared" si="597"/>
        <v>0</v>
      </c>
      <c r="AT61" s="1479">
        <f t="shared" si="597"/>
        <v>0</v>
      </c>
      <c r="AU61" s="1479">
        <f t="shared" si="597"/>
        <v>0</v>
      </c>
      <c r="AV61" s="1479">
        <f t="shared" si="597"/>
        <v>0</v>
      </c>
      <c r="AW61" s="1479">
        <f t="shared" si="597"/>
        <v>0</v>
      </c>
      <c r="AX61" s="1479">
        <f t="shared" si="597"/>
        <v>0</v>
      </c>
      <c r="AY61" s="1479">
        <f t="shared" si="597"/>
        <v>0</v>
      </c>
      <c r="AZ61" s="1479">
        <f t="shared" si="597"/>
        <v>0</v>
      </c>
      <c r="BA61" s="1479">
        <f t="shared" si="597"/>
        <v>0</v>
      </c>
      <c r="BB61" s="1479">
        <f t="shared" si="597"/>
        <v>0</v>
      </c>
      <c r="BC61" s="1479">
        <f t="shared" si="597"/>
        <v>0</v>
      </c>
      <c r="BD61" s="1479">
        <f t="shared" si="597"/>
        <v>0</v>
      </c>
      <c r="BE61" s="1479">
        <f t="shared" si="597"/>
        <v>0</v>
      </c>
      <c r="BF61" s="1479">
        <f t="shared" si="597"/>
        <v>0</v>
      </c>
      <c r="BG61" s="1479">
        <f t="shared" si="597"/>
        <v>0</v>
      </c>
      <c r="BH61" s="1479">
        <f t="shared" si="597"/>
        <v>0</v>
      </c>
      <c r="BI61" s="1479">
        <f t="shared" si="597"/>
        <v>0</v>
      </c>
      <c r="BJ61" s="1479">
        <f t="shared" si="597"/>
        <v>0</v>
      </c>
      <c r="BK61" s="1479">
        <f t="shared" si="597"/>
        <v>0</v>
      </c>
      <c r="BL61" s="1479">
        <f t="shared" si="597"/>
        <v>0</v>
      </c>
      <c r="BM61" s="1479">
        <f t="shared" si="597"/>
        <v>0</v>
      </c>
      <c r="BN61" s="1479">
        <f t="shared" si="597"/>
        <v>0</v>
      </c>
      <c r="BO61" s="1479"/>
      <c r="BP61" s="1479"/>
      <c r="BQ61" s="1479"/>
      <c r="BR61" s="1479"/>
      <c r="BS61" s="1479"/>
      <c r="BT61" s="1479">
        <f>IF(AO61&gt;AI61,AO61-AI61,0)</f>
        <v>0</v>
      </c>
      <c r="BU61" s="77"/>
      <c r="BV61" s="1571">
        <f t="shared" ref="BV61:CK61" ca="1" si="598">IF(L61-SUM(OFFSET(AQ61,,-$J61+1,,$J61))-IF($J61&gt;1,SUM(OFFSET(BV61,,-$J61+1,,$J61-1)),0)&gt;0,L61-SUM(OFFSET(AQ61,,-$J61+1,,$J61))-IF($J61&gt;1,SUM(OFFSET(BV61,,-$J61+1,,$J61-1)),0),0)</f>
        <v>0</v>
      </c>
      <c r="BW61" s="1571">
        <f t="shared" ca="1" si="598"/>
        <v>0</v>
      </c>
      <c r="BX61" s="1571">
        <f t="shared" ca="1" si="598"/>
        <v>0</v>
      </c>
      <c r="BY61" s="1571">
        <f t="shared" ca="1" si="598"/>
        <v>0</v>
      </c>
      <c r="BZ61" s="1571">
        <f t="shared" ca="1" si="598"/>
        <v>0</v>
      </c>
      <c r="CA61" s="1571">
        <f t="shared" ca="1" si="598"/>
        <v>0</v>
      </c>
      <c r="CB61" s="1571">
        <f t="shared" ca="1" si="598"/>
        <v>0</v>
      </c>
      <c r="CC61" s="1571">
        <f t="shared" ca="1" si="598"/>
        <v>0</v>
      </c>
      <c r="CD61" s="1571">
        <f t="shared" ca="1" si="598"/>
        <v>0</v>
      </c>
      <c r="CE61" s="1571">
        <f t="shared" ca="1" si="598"/>
        <v>0</v>
      </c>
      <c r="CF61" s="1571">
        <f t="shared" ca="1" si="598"/>
        <v>0</v>
      </c>
      <c r="CG61" s="1571">
        <f t="shared" ca="1" si="598"/>
        <v>0</v>
      </c>
      <c r="CH61" s="1571">
        <f t="shared" ca="1" si="598"/>
        <v>0</v>
      </c>
      <c r="CI61" s="1571">
        <f t="shared" ca="1" si="598"/>
        <v>0</v>
      </c>
      <c r="CJ61" s="1571">
        <f t="shared" ca="1" si="598"/>
        <v>0</v>
      </c>
      <c r="CK61" s="1571">
        <f t="shared" ca="1" si="598"/>
        <v>0</v>
      </c>
      <c r="CL61" s="1571">
        <f t="shared" ref="CL61" ca="1" si="599">IF(AB61-SUM(OFFSET(BG61,,-$J61+1,,$J61))-IF($J61&gt;1,SUM(OFFSET(CL61,,-$J61+1,,$J61-1)),0)&gt;0,AB61-SUM(OFFSET(BG61,,-$J61+1,,$J61))-IF($J61&gt;1,SUM(OFFSET(CL61,,-$J61+1,,$J61-1)),0),0)</f>
        <v>0</v>
      </c>
      <c r="CM61" s="1571">
        <f t="shared" ref="CM61" ca="1" si="600">IF(AC61-SUM(OFFSET(BH61,,-$J61+1,,$J61))-IF($J61&gt;1,SUM(OFFSET(CM61,,-$J61+1,,$J61-1)),0)&gt;0,AC61-SUM(OFFSET(BH61,,-$J61+1,,$J61))-IF($J61&gt;1,SUM(OFFSET(CM61,,-$J61+1,,$J61-1)),0),0)</f>
        <v>0</v>
      </c>
      <c r="CN61" s="1571">
        <f t="shared" ref="CN61" ca="1" si="601">IF(AD61-SUM(OFFSET(BI61,,-$J61+1,,$J61))-IF($J61&gt;1,SUM(OFFSET(CN61,,-$J61+1,,$J61-1)),0)&gt;0,AD61-SUM(OFFSET(BI61,,-$J61+1,,$J61))-IF($J61&gt;1,SUM(OFFSET(CN61,,-$J61+1,,$J61-1)),0),0)</f>
        <v>0</v>
      </c>
      <c r="CO61" s="1571">
        <f t="shared" ref="CO61" ca="1" si="602">IF(AE61-SUM(OFFSET(BJ61,,-$J61+1,,$J61))-IF($J61&gt;1,SUM(OFFSET(CO61,,-$J61+1,,$J61-1)),0)&gt;0,AE61-SUM(OFFSET(BJ61,,-$J61+1,,$J61))-IF($J61&gt;1,SUM(OFFSET(CO61,,-$J61+1,,$J61-1)),0),0)</f>
        <v>0</v>
      </c>
      <c r="CP61" s="1571">
        <f t="shared" ref="CP61" ca="1" si="603">IF(AF61-SUM(OFFSET(BK61,,-$J61+1,,$J61))-IF($J61&gt;1,SUM(OFFSET(CP61,,-$J61+1,,$J61-1)),0)&gt;0,AF61-SUM(OFFSET(BK61,,-$J61+1,,$J61))-IF($J61&gt;1,SUM(OFFSET(CP61,,-$J61+1,,$J61-1)),0),0)</f>
        <v>0</v>
      </c>
      <c r="CQ61" s="1571">
        <f t="shared" ref="CQ61" ca="1" si="604">IF(AG61-SUM(OFFSET(BL61,,-$J61+1,,$J61))-IF($J61&gt;1,SUM(OFFSET(CQ61,,-$J61+1,,$J61-1)),0)&gt;0,AG61-SUM(OFFSET(BL61,,-$J61+1,,$J61))-IF($J61&gt;1,SUM(OFFSET(CQ61,,-$J61+1,,$J61-1)),0),0)</f>
        <v>0</v>
      </c>
      <c r="CR61" s="1571">
        <f t="shared" ref="CR61" ca="1" si="605">IF(AH61-SUM(OFFSET(BM61,,-$J61+1,,$J61))-IF($J61&gt;1,SUM(OFFSET(CR61,,-$J61+1,,$J61-1)),0)&gt;0,AH61-SUM(OFFSET(BM61,,-$J61+1,,$J61))-IF($J61&gt;1,SUM(OFFSET(CR61,,-$J61+1,,$J61-1)),0),0)</f>
        <v>0</v>
      </c>
      <c r="CS61" s="1571">
        <f t="shared" ref="CS61" ca="1" si="606">IF(AI61-SUM(OFFSET(BN61,,-$J61+1,,$J61))-IF($J61&gt;1,SUM(OFFSET(CS61,,-$J61+1,,$J61-1)),0)&gt;0,AI61-SUM(OFFSET(BN61,,-$J61+1,,$J61))-IF($J61&gt;1,SUM(OFFSET(CS61,,-$J61+1,,$J61-1)),0),0)</f>
        <v>0</v>
      </c>
      <c r="CT61" s="1571">
        <f t="shared" ref="CT61" ca="1" si="607">IF(AJ61-SUM(OFFSET(BO61,,-$J61+1,,$J61))-IF($J61&gt;1,SUM(OFFSET(CT61,,-$J61+1,,$J61-1)),0)&gt;0,AJ61-SUM(OFFSET(BO61,,-$J61+1,,$J61))-IF($J61&gt;1,SUM(OFFSET(CT61,,-$J61+1,,$J61-1)),0),0)</f>
        <v>0</v>
      </c>
      <c r="CU61" s="1571">
        <f t="shared" ref="CU61" ca="1" si="608">IF(AK61-SUM(OFFSET(BP61,,-$J61+1,,$J61))-IF($J61&gt;1,SUM(OFFSET(CU61,,-$J61+1,,$J61-1)),0)&gt;0,AK61-SUM(OFFSET(BP61,,-$J61+1,,$J61))-IF($J61&gt;1,SUM(OFFSET(CU61,,-$J61+1,,$J61-1)),0),0)</f>
        <v>0</v>
      </c>
      <c r="CV61" s="1571">
        <f t="shared" ref="CV61" ca="1" si="609">IF(AL61-SUM(OFFSET(BQ61,,-$J61+1,,$J61))-IF($J61&gt;1,SUM(OFFSET(CV61,,-$J61+1,,$J61-1)),0)&gt;0,AL61-SUM(OFFSET(BQ61,,-$J61+1,,$J61))-IF($J61&gt;1,SUM(OFFSET(CV61,,-$J61+1,,$J61-1)),0),0)</f>
        <v>0</v>
      </c>
      <c r="CW61" s="1571">
        <f t="shared" ref="CW61" ca="1" si="610">IF(AM61-SUM(OFFSET(BR61,,-$J61+1,,$J61))-IF($J61&gt;1,SUM(OFFSET(CW61,,-$J61+1,,$J61-1)),0)&gt;0,AM61-SUM(OFFSET(BR61,,-$J61+1,,$J61))-IF($J61&gt;1,SUM(OFFSET(CW61,,-$J61+1,,$J61-1)),0),0)</f>
        <v>0</v>
      </c>
      <c r="CX61" s="1571">
        <f t="shared" ref="CX61:CY61" ca="1" si="611">IF(AN61-SUM(OFFSET(BS61,,-$J61+1,,$J61))-IF($J61&gt;1,SUM(OFFSET(CX61,,-$J61+1,,$J61-1)),0)&gt;0,AN61-SUM(OFFSET(BS61,,-$J61+1,,$J61))-IF($J61&gt;1,SUM(OFFSET(CX61,,-$J61+1,,$J61-1)),0),0)</f>
        <v>0</v>
      </c>
      <c r="CY61" s="1571">
        <f t="shared" ca="1" si="611"/>
        <v>0</v>
      </c>
      <c r="CZ61" s="78"/>
      <c r="DA61" s="1572">
        <f t="shared" ref="DA61:DX61" si="612">AQ61*$H61</f>
        <v>1023049.76904416</v>
      </c>
      <c r="DB61" s="1572">
        <f t="shared" si="612"/>
        <v>0</v>
      </c>
      <c r="DC61" s="1572">
        <f t="shared" si="612"/>
        <v>0</v>
      </c>
      <c r="DD61" s="1572">
        <f t="shared" si="612"/>
        <v>0</v>
      </c>
      <c r="DE61" s="1572">
        <f t="shared" si="612"/>
        <v>0</v>
      </c>
      <c r="DF61" s="1572">
        <f t="shared" si="612"/>
        <v>0</v>
      </c>
      <c r="DG61" s="1572">
        <f t="shared" si="612"/>
        <v>0</v>
      </c>
      <c r="DH61" s="1572">
        <f t="shared" si="612"/>
        <v>0</v>
      </c>
      <c r="DI61" s="1572">
        <f t="shared" si="612"/>
        <v>0</v>
      </c>
      <c r="DJ61" s="1572">
        <f t="shared" si="612"/>
        <v>0</v>
      </c>
      <c r="DK61" s="1572">
        <f t="shared" si="612"/>
        <v>0</v>
      </c>
      <c r="DL61" s="1572">
        <f t="shared" si="612"/>
        <v>0</v>
      </c>
      <c r="DM61" s="1572">
        <f t="shared" si="612"/>
        <v>0</v>
      </c>
      <c r="DN61" s="1572">
        <f t="shared" si="612"/>
        <v>0</v>
      </c>
      <c r="DO61" s="1572">
        <f t="shared" si="612"/>
        <v>0</v>
      </c>
      <c r="DP61" s="1572">
        <f t="shared" si="612"/>
        <v>0</v>
      </c>
      <c r="DQ61" s="1572">
        <f t="shared" si="612"/>
        <v>0</v>
      </c>
      <c r="DR61" s="1572">
        <f t="shared" si="612"/>
        <v>0</v>
      </c>
      <c r="DS61" s="1572">
        <f t="shared" si="612"/>
        <v>0</v>
      </c>
      <c r="DT61" s="1572">
        <f t="shared" si="612"/>
        <v>0</v>
      </c>
      <c r="DU61" s="1572">
        <f t="shared" si="612"/>
        <v>0</v>
      </c>
      <c r="DV61" s="1572">
        <f t="shared" si="612"/>
        <v>0</v>
      </c>
      <c r="DW61" s="1572">
        <f t="shared" si="612"/>
        <v>0</v>
      </c>
      <c r="DX61" s="1572">
        <f t="shared" si="612"/>
        <v>0</v>
      </c>
      <c r="DY61" s="1572"/>
      <c r="DZ61" s="1572"/>
      <c r="EA61" s="1572"/>
      <c r="EB61" s="1572"/>
      <c r="EC61" s="1572"/>
      <c r="ED61" s="1572">
        <f>BT61*$H61</f>
        <v>0</v>
      </c>
      <c r="EE61" s="79"/>
      <c r="EF61" s="1572">
        <f t="shared" ref="EF61:EZ61" ca="1" si="613">BV61*$I61</f>
        <v>0</v>
      </c>
      <c r="EG61" s="1572">
        <f t="shared" ca="1" si="613"/>
        <v>0</v>
      </c>
      <c r="EH61" s="1572">
        <f t="shared" ca="1" si="613"/>
        <v>0</v>
      </c>
      <c r="EI61" s="1572">
        <f t="shared" ca="1" si="613"/>
        <v>0</v>
      </c>
      <c r="EJ61" s="1572">
        <f t="shared" ca="1" si="613"/>
        <v>0</v>
      </c>
      <c r="EK61" s="1572">
        <f t="shared" ca="1" si="613"/>
        <v>0</v>
      </c>
      <c r="EL61" s="1572">
        <f t="shared" ca="1" si="613"/>
        <v>0</v>
      </c>
      <c r="EM61" s="1572">
        <f t="shared" ca="1" si="613"/>
        <v>0</v>
      </c>
      <c r="EN61" s="1572">
        <f t="shared" ca="1" si="613"/>
        <v>0</v>
      </c>
      <c r="EO61" s="1572">
        <f t="shared" ca="1" si="613"/>
        <v>0</v>
      </c>
      <c r="EP61" s="1572">
        <f t="shared" ca="1" si="613"/>
        <v>0</v>
      </c>
      <c r="EQ61" s="1572">
        <f t="shared" ca="1" si="613"/>
        <v>0</v>
      </c>
      <c r="ER61" s="1572">
        <f t="shared" ca="1" si="613"/>
        <v>0</v>
      </c>
      <c r="ES61" s="1572">
        <f t="shared" ca="1" si="613"/>
        <v>0</v>
      </c>
      <c r="ET61" s="1572">
        <f t="shared" ca="1" si="613"/>
        <v>0</v>
      </c>
      <c r="EU61" s="1572">
        <f t="shared" ca="1" si="613"/>
        <v>0</v>
      </c>
      <c r="EV61" s="1572">
        <f t="shared" ca="1" si="613"/>
        <v>0</v>
      </c>
      <c r="EW61" s="1572">
        <f t="shared" ca="1" si="613"/>
        <v>0</v>
      </c>
      <c r="EX61" s="1572">
        <f t="shared" ca="1" si="613"/>
        <v>0</v>
      </c>
      <c r="EY61" s="1572">
        <f t="shared" ca="1" si="613"/>
        <v>0</v>
      </c>
      <c r="EZ61" s="1572">
        <f t="shared" ca="1" si="613"/>
        <v>0</v>
      </c>
      <c r="FA61" s="1572">
        <f t="shared" ref="FA61" ca="1" si="614">CQ61*$I61</f>
        <v>0</v>
      </c>
      <c r="FB61" s="1572">
        <f t="shared" ref="FB61" ca="1" si="615">CR61*$I61</f>
        <v>0</v>
      </c>
      <c r="FC61" s="1572">
        <f t="shared" ref="FC61" ca="1" si="616">CS61*$I61</f>
        <v>0</v>
      </c>
      <c r="FD61" s="1572">
        <f t="shared" ref="FD61" ca="1" si="617">CT61*$I61</f>
        <v>0</v>
      </c>
      <c r="FE61" s="1572">
        <f t="shared" ref="FE61" ca="1" si="618">CU61*$I61</f>
        <v>0</v>
      </c>
      <c r="FF61" s="1572">
        <f t="shared" ref="FF61" ca="1" si="619">CV61*$I61</f>
        <v>0</v>
      </c>
      <c r="FG61" s="1572">
        <f t="shared" ref="FG61" ca="1" si="620">CW61*$I61</f>
        <v>0</v>
      </c>
      <c r="FH61" s="1572">
        <f t="shared" ref="FH61" ca="1" si="621">CX61*$I61</f>
        <v>0</v>
      </c>
      <c r="FI61" s="1572">
        <f t="shared" ref="FI61" ca="1" si="622">CY61*$I61</f>
        <v>0</v>
      </c>
    </row>
    <row r="62" spans="1:165">
      <c r="A62" s="595"/>
      <c r="B62" s="598"/>
      <c r="C62" s="599"/>
      <c r="D62" s="68" t="s">
        <v>1732</v>
      </c>
      <c r="E62" s="68" t="str">
        <f>LEFT(D62,LEN(D62)-1) &amp; RIGHT(D62,1)+1</f>
        <v>8.7.8.2</v>
      </c>
      <c r="F62" s="1599" t="s">
        <v>1658</v>
      </c>
      <c r="G62" s="401" t="s">
        <v>1717</v>
      </c>
      <c r="H62" s="315">
        <f>SUM(DA62:ED62)</f>
        <v>616051.18595680001</v>
      </c>
      <c r="I62" s="316">
        <f ca="1">SUM(EF62:FI62)</f>
        <v>1108892.13472224</v>
      </c>
      <c r="J62" s="867"/>
      <c r="K62" s="97"/>
      <c r="L62" s="1479">
        <f>'Sistemas-Manutenção'!L58</f>
        <v>0</v>
      </c>
      <c r="M62" s="1479">
        <f>'Sistemas-Manutenção'!M58</f>
        <v>0</v>
      </c>
      <c r="N62" s="1479">
        <f>'Sistemas-Manutenção'!N58</f>
        <v>0</v>
      </c>
      <c r="O62" s="1479">
        <f>'Sistemas-Manutenção'!O58</f>
        <v>0</v>
      </c>
      <c r="P62" s="1479">
        <f>'Sistemas-Manutenção'!P58</f>
        <v>0</v>
      </c>
      <c r="Q62" s="1479">
        <f>'Sistemas-Manutenção'!Q58</f>
        <v>0</v>
      </c>
      <c r="R62" s="1479">
        <f>'Sistemas-Manutenção'!R58</f>
        <v>0</v>
      </c>
      <c r="S62" s="1479">
        <f>'Sistemas-Manutenção'!S58</f>
        <v>0</v>
      </c>
      <c r="T62" s="1479">
        <f>'Sistemas-Manutenção'!T58</f>
        <v>0</v>
      </c>
      <c r="U62" s="1479">
        <f>'Sistemas-Manutenção'!U58</f>
        <v>0</v>
      </c>
      <c r="V62" s="1479">
        <f>'Sistemas-Manutenção'!V58</f>
        <v>0</v>
      </c>
      <c r="W62" s="1479">
        <f>'Sistemas-Manutenção'!W58</f>
        <v>0</v>
      </c>
      <c r="X62" s="1479">
        <f>'Sistemas-Manutenção'!X58</f>
        <v>0</v>
      </c>
      <c r="Y62" s="1479">
        <f>'Sistemas-Manutenção'!Y58</f>
        <v>0</v>
      </c>
      <c r="Z62" s="1479">
        <f>'Sistemas-Manutenção'!Z58</f>
        <v>0</v>
      </c>
      <c r="AA62" s="1479">
        <f>'Sistemas-Manutenção'!AA58</f>
        <v>0</v>
      </c>
      <c r="AB62" s="1479">
        <f>'Sistemas-Manutenção'!AB58</f>
        <v>0</v>
      </c>
      <c r="AC62" s="1479">
        <f>'Sistemas-Manutenção'!AC58</f>
        <v>0</v>
      </c>
      <c r="AD62" s="1479">
        <f>'Sistemas-Manutenção'!AD58</f>
        <v>0</v>
      </c>
      <c r="AE62" s="1479">
        <f>'Sistemas-Manutenção'!AE58</f>
        <v>0</v>
      </c>
      <c r="AF62" s="1479">
        <f>'Sistemas-Manutenção'!AF58</f>
        <v>0</v>
      </c>
      <c r="AG62" s="1479">
        <f>'Sistemas-Manutenção'!AG58</f>
        <v>0</v>
      </c>
      <c r="AH62" s="1479">
        <f>'Sistemas-Manutenção'!AH58</f>
        <v>0</v>
      </c>
      <c r="AI62" s="1479">
        <f>'Sistemas-Manutenção'!AI58</f>
        <v>0</v>
      </c>
      <c r="AJ62" s="1479">
        <f>'Sistemas-Manutenção'!AJ58</f>
        <v>0</v>
      </c>
      <c r="AK62" s="1479">
        <f>'Sistemas-Manutenção'!AK58</f>
        <v>0</v>
      </c>
      <c r="AL62" s="1479">
        <f>'Sistemas-Manutenção'!AL58</f>
        <v>0</v>
      </c>
      <c r="AM62" s="1479">
        <f>'Sistemas-Manutenção'!AM58</f>
        <v>0</v>
      </c>
      <c r="AN62" s="1479">
        <f>'Sistemas-Manutenção'!AN58</f>
        <v>0</v>
      </c>
      <c r="AO62" s="1479">
        <f>'Sistemas-Manutenção'!AO58</f>
        <v>0</v>
      </c>
      <c r="AP62" s="77"/>
      <c r="AQ62" s="1479"/>
      <c r="AR62" s="1479"/>
      <c r="AS62" s="1479"/>
      <c r="AT62" s="1479"/>
      <c r="AU62" s="1479"/>
      <c r="AV62" s="1479"/>
      <c r="AW62" s="1479"/>
      <c r="AX62" s="1479"/>
      <c r="AY62" s="1479"/>
      <c r="AZ62" s="1479"/>
      <c r="BA62" s="1479"/>
      <c r="BB62" s="1479"/>
      <c r="BC62" s="1479"/>
      <c r="BD62" s="1479"/>
      <c r="BE62" s="1479"/>
      <c r="BF62" s="1479"/>
      <c r="BG62" s="1479"/>
      <c r="BH62" s="1479"/>
      <c r="BI62" s="1479"/>
      <c r="BJ62" s="1479"/>
      <c r="BK62" s="1479"/>
      <c r="BL62" s="1479"/>
      <c r="BM62" s="1479"/>
      <c r="BN62" s="1479"/>
      <c r="BO62" s="1479"/>
      <c r="BP62" s="1479"/>
      <c r="BQ62" s="1479"/>
      <c r="BR62" s="1479"/>
      <c r="BS62" s="1479"/>
      <c r="BT62" s="1479"/>
      <c r="BU62" s="77"/>
      <c r="BV62" s="1571"/>
      <c r="BW62" s="1571"/>
      <c r="BX62" s="1571"/>
      <c r="BY62" s="1571"/>
      <c r="BZ62" s="1571"/>
      <c r="CA62" s="1571"/>
      <c r="CB62" s="1571"/>
      <c r="CC62" s="1571"/>
      <c r="CD62" s="1571"/>
      <c r="CE62" s="1571"/>
      <c r="CF62" s="1571"/>
      <c r="CG62" s="1571"/>
      <c r="CH62" s="1571"/>
      <c r="CI62" s="1571"/>
      <c r="CJ62" s="1571"/>
      <c r="CK62" s="1571"/>
      <c r="CL62" s="1571"/>
      <c r="CM62" s="1571"/>
      <c r="CN62" s="1571"/>
      <c r="CO62" s="1571"/>
      <c r="CP62" s="1571"/>
      <c r="CQ62" s="1571"/>
      <c r="CR62" s="1571"/>
      <c r="CS62" s="1571"/>
      <c r="CT62" s="1571"/>
      <c r="CU62" s="1571"/>
      <c r="CV62" s="1571"/>
      <c r="CW62" s="1571"/>
      <c r="CX62" s="1571"/>
      <c r="CY62" s="1571"/>
      <c r="CZ62" s="78"/>
      <c r="DA62" s="1567">
        <f t="shared" ref="DA62:ED62" si="623">SUBTOTAL(9,DA63:DA64)</f>
        <v>616051.18595680001</v>
      </c>
      <c r="DB62" s="1567">
        <f t="shared" si="623"/>
        <v>0</v>
      </c>
      <c r="DC62" s="1567">
        <f t="shared" si="623"/>
        <v>0</v>
      </c>
      <c r="DD62" s="1567">
        <f t="shared" si="623"/>
        <v>0</v>
      </c>
      <c r="DE62" s="1567">
        <f t="shared" si="623"/>
        <v>0</v>
      </c>
      <c r="DF62" s="1567">
        <f t="shared" si="623"/>
        <v>0</v>
      </c>
      <c r="DG62" s="1567">
        <f t="shared" si="623"/>
        <v>0</v>
      </c>
      <c r="DH62" s="1567">
        <f t="shared" si="623"/>
        <v>0</v>
      </c>
      <c r="DI62" s="1567">
        <f t="shared" si="623"/>
        <v>0</v>
      </c>
      <c r="DJ62" s="1567">
        <f t="shared" si="623"/>
        <v>0</v>
      </c>
      <c r="DK62" s="1567">
        <f t="shared" si="623"/>
        <v>0</v>
      </c>
      <c r="DL62" s="1567">
        <f t="shared" si="623"/>
        <v>0</v>
      </c>
      <c r="DM62" s="1567">
        <f t="shared" si="623"/>
        <v>0</v>
      </c>
      <c r="DN62" s="1567">
        <f t="shared" si="623"/>
        <v>0</v>
      </c>
      <c r="DO62" s="1567">
        <f t="shared" si="623"/>
        <v>0</v>
      </c>
      <c r="DP62" s="1567">
        <f t="shared" si="623"/>
        <v>0</v>
      </c>
      <c r="DQ62" s="1567">
        <f t="shared" si="623"/>
        <v>0</v>
      </c>
      <c r="DR62" s="1567">
        <f t="shared" si="623"/>
        <v>0</v>
      </c>
      <c r="DS62" s="1567">
        <f t="shared" si="623"/>
        <v>0</v>
      </c>
      <c r="DT62" s="1567">
        <f t="shared" si="623"/>
        <v>0</v>
      </c>
      <c r="DU62" s="1567">
        <f t="shared" si="623"/>
        <v>0</v>
      </c>
      <c r="DV62" s="1567">
        <f t="shared" si="623"/>
        <v>0</v>
      </c>
      <c r="DW62" s="1567">
        <f t="shared" si="623"/>
        <v>0</v>
      </c>
      <c r="DX62" s="1567">
        <f t="shared" si="623"/>
        <v>0</v>
      </c>
      <c r="DY62" s="1567"/>
      <c r="DZ62" s="1567"/>
      <c r="EA62" s="1567"/>
      <c r="EB62" s="1567"/>
      <c r="EC62" s="1567"/>
      <c r="ED62" s="1567">
        <f t="shared" si="623"/>
        <v>0</v>
      </c>
      <c r="EE62" s="79"/>
      <c r="EF62" s="1567">
        <f t="shared" ref="EF62:EZ62" ca="1" si="624">SUBTOTAL(9,EF63:EF64)</f>
        <v>0</v>
      </c>
      <c r="EG62" s="1567">
        <f t="shared" ca="1" si="624"/>
        <v>0</v>
      </c>
      <c r="EH62" s="1567">
        <f t="shared" ca="1" si="624"/>
        <v>0</v>
      </c>
      <c r="EI62" s="1567">
        <f t="shared" ca="1" si="624"/>
        <v>0</v>
      </c>
      <c r="EJ62" s="1567">
        <f t="shared" ca="1" si="624"/>
        <v>0</v>
      </c>
      <c r="EK62" s="1567">
        <f t="shared" ca="1" si="624"/>
        <v>0</v>
      </c>
      <c r="EL62" s="1567">
        <f t="shared" ca="1" si="624"/>
        <v>0</v>
      </c>
      <c r="EM62" s="1567">
        <f t="shared" ca="1" si="624"/>
        <v>0</v>
      </c>
      <c r="EN62" s="1567">
        <f t="shared" ca="1" si="624"/>
        <v>0</v>
      </c>
      <c r="EO62" s="1567">
        <f t="shared" ca="1" si="624"/>
        <v>0</v>
      </c>
      <c r="EP62" s="1567">
        <f t="shared" ca="1" si="624"/>
        <v>554446.06736112002</v>
      </c>
      <c r="EQ62" s="1567">
        <f t="shared" ca="1" si="624"/>
        <v>0</v>
      </c>
      <c r="ER62" s="1567">
        <f t="shared" ca="1" si="624"/>
        <v>0</v>
      </c>
      <c r="ES62" s="1567">
        <f t="shared" ca="1" si="624"/>
        <v>0</v>
      </c>
      <c r="ET62" s="1567">
        <f t="shared" ca="1" si="624"/>
        <v>0</v>
      </c>
      <c r="EU62" s="1567">
        <f t="shared" ca="1" si="624"/>
        <v>0</v>
      </c>
      <c r="EV62" s="1567">
        <f t="shared" ca="1" si="624"/>
        <v>0</v>
      </c>
      <c r="EW62" s="1567">
        <f t="shared" ca="1" si="624"/>
        <v>0</v>
      </c>
      <c r="EX62" s="1567">
        <f t="shared" ca="1" si="624"/>
        <v>0</v>
      </c>
      <c r="EY62" s="1567">
        <f t="shared" ca="1" si="624"/>
        <v>0</v>
      </c>
      <c r="EZ62" s="1567">
        <f t="shared" ca="1" si="624"/>
        <v>554446.06736112002</v>
      </c>
      <c r="FA62" s="1567">
        <f t="shared" ref="FA62:FI62" ca="1" si="625">SUBTOTAL(9,FA63:FA64)</f>
        <v>0</v>
      </c>
      <c r="FB62" s="1567">
        <f t="shared" ca="1" si="625"/>
        <v>0</v>
      </c>
      <c r="FC62" s="1567">
        <f t="shared" ca="1" si="625"/>
        <v>0</v>
      </c>
      <c r="FD62" s="1567">
        <f t="shared" ca="1" si="625"/>
        <v>0</v>
      </c>
      <c r="FE62" s="1567">
        <f t="shared" ca="1" si="625"/>
        <v>0</v>
      </c>
      <c r="FF62" s="1567">
        <f t="shared" ca="1" si="625"/>
        <v>0</v>
      </c>
      <c r="FG62" s="1567">
        <f t="shared" ca="1" si="625"/>
        <v>0</v>
      </c>
      <c r="FH62" s="1567">
        <f t="shared" ca="1" si="625"/>
        <v>0</v>
      </c>
      <c r="FI62" s="1567">
        <f t="shared" ca="1" si="625"/>
        <v>0</v>
      </c>
    </row>
    <row r="63" spans="1:165">
      <c r="A63" s="595"/>
      <c r="B63" s="598"/>
      <c r="C63" s="599"/>
      <c r="F63" s="1500" t="s">
        <v>1659</v>
      </c>
      <c r="G63" s="1600" t="s">
        <v>1718</v>
      </c>
      <c r="H63" s="1597">
        <f>'Sistemas - Cotações'!F50</f>
        <v>61605.118595679996</v>
      </c>
      <c r="I63" s="1598">
        <f>H63*0.9</f>
        <v>55444.606736112</v>
      </c>
      <c r="J63" s="867">
        <v>10</v>
      </c>
      <c r="K63" s="97"/>
      <c r="L63" s="1479">
        <f>'Sistemas-Manutenção'!L59</f>
        <v>10</v>
      </c>
      <c r="M63" s="1479">
        <f>'Sistemas-Manutenção'!M59</f>
        <v>10</v>
      </c>
      <c r="N63" s="1479">
        <f>'Sistemas-Manutenção'!N59</f>
        <v>10</v>
      </c>
      <c r="O63" s="1479">
        <f>'Sistemas-Manutenção'!O59</f>
        <v>10</v>
      </c>
      <c r="P63" s="1479">
        <f>'Sistemas-Manutenção'!P59</f>
        <v>10</v>
      </c>
      <c r="Q63" s="1479">
        <f>'Sistemas-Manutenção'!Q59</f>
        <v>10</v>
      </c>
      <c r="R63" s="1479">
        <f>'Sistemas-Manutenção'!R59</f>
        <v>10</v>
      </c>
      <c r="S63" s="1479">
        <f>'Sistemas-Manutenção'!S59</f>
        <v>10</v>
      </c>
      <c r="T63" s="1479">
        <f>'Sistemas-Manutenção'!T59</f>
        <v>10</v>
      </c>
      <c r="U63" s="1479">
        <f>'Sistemas-Manutenção'!U59</f>
        <v>10</v>
      </c>
      <c r="V63" s="1479">
        <f>'Sistemas-Manutenção'!V59</f>
        <v>10</v>
      </c>
      <c r="W63" s="1479">
        <f>'Sistemas-Manutenção'!W59</f>
        <v>10</v>
      </c>
      <c r="X63" s="1479">
        <f>'Sistemas-Manutenção'!X59</f>
        <v>10</v>
      </c>
      <c r="Y63" s="1479">
        <f>'Sistemas-Manutenção'!Y59</f>
        <v>10</v>
      </c>
      <c r="Z63" s="1479">
        <f>'Sistemas-Manutenção'!Z59</f>
        <v>10</v>
      </c>
      <c r="AA63" s="1479">
        <f>'Sistemas-Manutenção'!AA59</f>
        <v>10</v>
      </c>
      <c r="AB63" s="1479">
        <f>'Sistemas-Manutenção'!AB59</f>
        <v>10</v>
      </c>
      <c r="AC63" s="1479">
        <f>'Sistemas-Manutenção'!AC59</f>
        <v>10</v>
      </c>
      <c r="AD63" s="1479">
        <f>'Sistemas-Manutenção'!AD59</f>
        <v>10</v>
      </c>
      <c r="AE63" s="1479">
        <f>'Sistemas-Manutenção'!AE59</f>
        <v>10</v>
      </c>
      <c r="AF63" s="1479">
        <f>'Sistemas-Manutenção'!AF59</f>
        <v>10</v>
      </c>
      <c r="AG63" s="1479">
        <f>'Sistemas-Manutenção'!AG59</f>
        <v>10</v>
      </c>
      <c r="AH63" s="1479">
        <f>'Sistemas-Manutenção'!AH59</f>
        <v>10</v>
      </c>
      <c r="AI63" s="1479">
        <f>'Sistemas-Manutenção'!AI59</f>
        <v>10</v>
      </c>
      <c r="AJ63" s="1479">
        <f>'Sistemas-Manutenção'!AJ59</f>
        <v>10</v>
      </c>
      <c r="AK63" s="1479">
        <f>'Sistemas-Manutenção'!AK59</f>
        <v>10</v>
      </c>
      <c r="AL63" s="1479">
        <f>'Sistemas-Manutenção'!AL59</f>
        <v>10</v>
      </c>
      <c r="AM63" s="1479">
        <f>'Sistemas-Manutenção'!AM59</f>
        <v>10</v>
      </c>
      <c r="AN63" s="1479">
        <f>'Sistemas-Manutenção'!AN59</f>
        <v>10</v>
      </c>
      <c r="AO63" s="1479">
        <f>'Sistemas-Manutenção'!AO59</f>
        <v>10</v>
      </c>
      <c r="AP63" s="77"/>
      <c r="AQ63" s="1479">
        <f t="shared" ref="AQ63:BF64" si="626">IF(L63&gt;K63,L63-K63,0)</f>
        <v>10</v>
      </c>
      <c r="AR63" s="1479">
        <f t="shared" si="626"/>
        <v>0</v>
      </c>
      <c r="AS63" s="1479">
        <f t="shared" si="626"/>
        <v>0</v>
      </c>
      <c r="AT63" s="1479">
        <f t="shared" si="626"/>
        <v>0</v>
      </c>
      <c r="AU63" s="1479">
        <f t="shared" si="626"/>
        <v>0</v>
      </c>
      <c r="AV63" s="1479">
        <f t="shared" si="626"/>
        <v>0</v>
      </c>
      <c r="AW63" s="1479">
        <f t="shared" si="626"/>
        <v>0</v>
      </c>
      <c r="AX63" s="1479">
        <f t="shared" si="626"/>
        <v>0</v>
      </c>
      <c r="AY63" s="1479">
        <f t="shared" si="626"/>
        <v>0</v>
      </c>
      <c r="AZ63" s="1479">
        <f t="shared" si="626"/>
        <v>0</v>
      </c>
      <c r="BA63" s="1479">
        <f t="shared" si="626"/>
        <v>0</v>
      </c>
      <c r="BB63" s="1479">
        <f t="shared" si="626"/>
        <v>0</v>
      </c>
      <c r="BC63" s="1479">
        <f t="shared" si="626"/>
        <v>0</v>
      </c>
      <c r="BD63" s="1479">
        <f t="shared" si="626"/>
        <v>0</v>
      </c>
      <c r="BE63" s="1479">
        <f t="shared" si="626"/>
        <v>0</v>
      </c>
      <c r="BF63" s="1479">
        <f t="shared" si="626"/>
        <v>0</v>
      </c>
      <c r="BG63" s="1479">
        <f t="shared" ref="BG63:BN64" si="627">IF(AB63&gt;AA63,AB63-AA63,0)</f>
        <v>0</v>
      </c>
      <c r="BH63" s="1479">
        <f t="shared" si="627"/>
        <v>0</v>
      </c>
      <c r="BI63" s="1479">
        <f t="shared" si="627"/>
        <v>0</v>
      </c>
      <c r="BJ63" s="1479">
        <f t="shared" si="627"/>
        <v>0</v>
      </c>
      <c r="BK63" s="1479">
        <f t="shared" si="627"/>
        <v>0</v>
      </c>
      <c r="BL63" s="1479">
        <f t="shared" si="627"/>
        <v>0</v>
      </c>
      <c r="BM63" s="1479">
        <f t="shared" si="627"/>
        <v>0</v>
      </c>
      <c r="BN63" s="1479">
        <f t="shared" si="627"/>
        <v>0</v>
      </c>
      <c r="BO63" s="1479"/>
      <c r="BP63" s="1479"/>
      <c r="BQ63" s="1479"/>
      <c r="BR63" s="1479"/>
      <c r="BS63" s="1479"/>
      <c r="BT63" s="1479">
        <f>IF(AO63&gt;AI63,AO63-AI63,0)</f>
        <v>0</v>
      </c>
      <c r="BU63" s="77"/>
      <c r="BV63" s="1571">
        <f t="shared" ref="BV63:CP63" ca="1" si="628">IF(L63-SUM(OFFSET(AQ63,,-$J63+1,,$J63))-IF($J63&gt;1,SUM(OFFSET(BV63,,-$J63+1,,$J63-1)),0)&gt;0,L63-SUM(OFFSET(AQ63,,-$J63+1,,$J63))-IF($J63&gt;1,SUM(OFFSET(BV63,,-$J63+1,,$J63-1)),0),0)</f>
        <v>0</v>
      </c>
      <c r="BW63" s="1571">
        <f t="shared" ca="1" si="628"/>
        <v>0</v>
      </c>
      <c r="BX63" s="1571">
        <f t="shared" ca="1" si="628"/>
        <v>0</v>
      </c>
      <c r="BY63" s="1571">
        <f t="shared" ca="1" si="628"/>
        <v>0</v>
      </c>
      <c r="BZ63" s="1571">
        <f t="shared" ca="1" si="628"/>
        <v>0</v>
      </c>
      <c r="CA63" s="1571">
        <f t="shared" ca="1" si="628"/>
        <v>0</v>
      </c>
      <c r="CB63" s="1571">
        <f t="shared" ca="1" si="628"/>
        <v>0</v>
      </c>
      <c r="CC63" s="1571">
        <f t="shared" ca="1" si="628"/>
        <v>0</v>
      </c>
      <c r="CD63" s="1571">
        <f t="shared" ca="1" si="628"/>
        <v>0</v>
      </c>
      <c r="CE63" s="1571">
        <f t="shared" ca="1" si="628"/>
        <v>0</v>
      </c>
      <c r="CF63" s="1571">
        <f t="shared" ca="1" si="628"/>
        <v>10</v>
      </c>
      <c r="CG63" s="1571">
        <f t="shared" ca="1" si="628"/>
        <v>0</v>
      </c>
      <c r="CH63" s="1571">
        <f t="shared" ca="1" si="628"/>
        <v>0</v>
      </c>
      <c r="CI63" s="1571">
        <f t="shared" ca="1" si="628"/>
        <v>0</v>
      </c>
      <c r="CJ63" s="1571">
        <f t="shared" ca="1" si="628"/>
        <v>0</v>
      </c>
      <c r="CK63" s="1571">
        <f t="shared" ca="1" si="628"/>
        <v>0</v>
      </c>
      <c r="CL63" s="1571">
        <f t="shared" ca="1" si="628"/>
        <v>0</v>
      </c>
      <c r="CM63" s="1571">
        <f t="shared" ca="1" si="628"/>
        <v>0</v>
      </c>
      <c r="CN63" s="1571">
        <f t="shared" ca="1" si="628"/>
        <v>0</v>
      </c>
      <c r="CO63" s="1571">
        <f t="shared" ca="1" si="628"/>
        <v>0</v>
      </c>
      <c r="CP63" s="1571">
        <f t="shared" ca="1" si="628"/>
        <v>10</v>
      </c>
      <c r="CQ63" s="1571">
        <f t="shared" ref="CQ63" ca="1" si="629">IF(AG63-SUM(OFFSET(BL63,,-$J63+1,,$J63))-IF($J63&gt;1,SUM(OFFSET(CQ63,,-$J63+1,,$J63-1)),0)&gt;0,AG63-SUM(OFFSET(BL63,,-$J63+1,,$J63))-IF($J63&gt;1,SUM(OFFSET(CQ63,,-$J63+1,,$J63-1)),0),0)</f>
        <v>0</v>
      </c>
      <c r="CR63" s="1571">
        <f t="shared" ref="CR63" ca="1" si="630">IF(AH63-SUM(OFFSET(BM63,,-$J63+1,,$J63))-IF($J63&gt;1,SUM(OFFSET(CR63,,-$J63+1,,$J63-1)),0)&gt;0,AH63-SUM(OFFSET(BM63,,-$J63+1,,$J63))-IF($J63&gt;1,SUM(OFFSET(CR63,,-$J63+1,,$J63-1)),0),0)</f>
        <v>0</v>
      </c>
      <c r="CS63" s="1571">
        <f t="shared" ref="CS63" ca="1" si="631">IF(AI63-SUM(OFFSET(BN63,,-$J63+1,,$J63))-IF($J63&gt;1,SUM(OFFSET(CS63,,-$J63+1,,$J63-1)),0)&gt;0,AI63-SUM(OFFSET(BN63,,-$J63+1,,$J63))-IF($J63&gt;1,SUM(OFFSET(CS63,,-$J63+1,,$J63-1)),0),0)</f>
        <v>0</v>
      </c>
      <c r="CT63" s="1571">
        <f t="shared" ref="CT63" ca="1" si="632">IF(AJ63-SUM(OFFSET(BT63,,-$J63+1,,$J63))-IF($J63&gt;1,SUM(OFFSET(CT63,,-$J63+1,,$J63-1)),0)&gt;0,AJ63-SUM(OFFSET(BT63,,-$J63+1,,$J63))-IF($J63&gt;1,SUM(OFFSET(CT63,,-$J63+1,,$J63-1)),0),0)</f>
        <v>0</v>
      </c>
      <c r="CU63" s="1571">
        <f t="shared" ref="CU63" ca="1" si="633">IF(AK63-SUM(OFFSET(BU63,,-$J63+1,,$J63))-IF($J63&gt;1,SUM(OFFSET(CU63,,-$J63+1,,$J63-1)),0)&gt;0,AK63-SUM(OFFSET(BU63,,-$J63+1,,$J63))-IF($J63&gt;1,SUM(OFFSET(CU63,,-$J63+1,,$J63-1)),0),0)</f>
        <v>0</v>
      </c>
      <c r="CV63" s="1571">
        <f t="shared" ref="CV63" ca="1" si="634">IF(AL63-SUM(OFFSET(BV63,,-$J63+1,,$J63))-IF($J63&gt;1,SUM(OFFSET(CV63,,-$J63+1,,$J63-1)),0)&gt;0,AL63-SUM(OFFSET(BV63,,-$J63+1,,$J63))-IF($J63&gt;1,SUM(OFFSET(CV63,,-$J63+1,,$J63-1)),0),0)</f>
        <v>0</v>
      </c>
      <c r="CW63" s="1571">
        <f t="shared" ref="CW63" ca="1" si="635">IF(AM63-SUM(OFFSET(BW63,,-$J63+1,,$J63))-IF($J63&gt;1,SUM(OFFSET(CW63,,-$J63+1,,$J63-1)),0)&gt;0,AM63-SUM(OFFSET(BW63,,-$J63+1,,$J63))-IF($J63&gt;1,SUM(OFFSET(CW63,,-$J63+1,,$J63-1)),0),0)</f>
        <v>0</v>
      </c>
      <c r="CX63" s="1571">
        <f t="shared" ref="CX63" ca="1" si="636">IF(AN63-SUM(OFFSET(BX63,,-$J63+1,,$J63))-IF($J63&gt;1,SUM(OFFSET(CX63,,-$J63+1,,$J63-1)),0)&gt;0,AN63-SUM(OFFSET(BX63,,-$J63+1,,$J63))-IF($J63&gt;1,SUM(OFFSET(CX63,,-$J63+1,,$J63-1)),0),0)</f>
        <v>0</v>
      </c>
      <c r="CY63" s="1571">
        <f t="shared" ref="CY63" ca="1" si="637">IF(AO63-SUM(OFFSET(BY63,,-$J63+1,,$J63))-IF($J63&gt;1,SUM(OFFSET(CY63,,-$J63+1,,$J63-1)),0)&gt;0,AO63-SUM(OFFSET(BY63,,-$J63+1,,$J63))-IF($J63&gt;1,SUM(OFFSET(CY63,,-$J63+1,,$J63-1)),0),0)</f>
        <v>0</v>
      </c>
      <c r="CZ63" s="78"/>
      <c r="DA63" s="1572">
        <f t="shared" ref="DA63:DP65" si="638">AQ63*$H63</f>
        <v>616051.18595680001</v>
      </c>
      <c r="DB63" s="1572">
        <f t="shared" si="638"/>
        <v>0</v>
      </c>
      <c r="DC63" s="1572">
        <f t="shared" si="638"/>
        <v>0</v>
      </c>
      <c r="DD63" s="1572">
        <f t="shared" si="638"/>
        <v>0</v>
      </c>
      <c r="DE63" s="1572">
        <f t="shared" si="638"/>
        <v>0</v>
      </c>
      <c r="DF63" s="1572">
        <f t="shared" si="638"/>
        <v>0</v>
      </c>
      <c r="DG63" s="1572">
        <f t="shared" si="638"/>
        <v>0</v>
      </c>
      <c r="DH63" s="1572">
        <f t="shared" si="638"/>
        <v>0</v>
      </c>
      <c r="DI63" s="1572">
        <f t="shared" si="638"/>
        <v>0</v>
      </c>
      <c r="DJ63" s="1572">
        <f t="shared" si="638"/>
        <v>0</v>
      </c>
      <c r="DK63" s="1572">
        <f t="shared" si="638"/>
        <v>0</v>
      </c>
      <c r="DL63" s="1572">
        <f t="shared" si="638"/>
        <v>0</v>
      </c>
      <c r="DM63" s="1572">
        <f t="shared" si="638"/>
        <v>0</v>
      </c>
      <c r="DN63" s="1572">
        <f t="shared" si="638"/>
        <v>0</v>
      </c>
      <c r="DO63" s="1572">
        <f t="shared" si="638"/>
        <v>0</v>
      </c>
      <c r="DP63" s="1572">
        <f t="shared" si="638"/>
        <v>0</v>
      </c>
      <c r="DQ63" s="1572">
        <f t="shared" ref="DK63:DX65" si="639">BG63*$H63</f>
        <v>0</v>
      </c>
      <c r="DR63" s="1572">
        <f t="shared" si="639"/>
        <v>0</v>
      </c>
      <c r="DS63" s="1572">
        <f t="shared" si="639"/>
        <v>0</v>
      </c>
      <c r="DT63" s="1572">
        <f t="shared" si="639"/>
        <v>0</v>
      </c>
      <c r="DU63" s="1572">
        <f t="shared" si="639"/>
        <v>0</v>
      </c>
      <c r="DV63" s="1572">
        <f t="shared" si="639"/>
        <v>0</v>
      </c>
      <c r="DW63" s="1572">
        <f t="shared" si="639"/>
        <v>0</v>
      </c>
      <c r="DX63" s="1572">
        <f t="shared" si="639"/>
        <v>0</v>
      </c>
      <c r="DY63" s="1572"/>
      <c r="DZ63" s="1572"/>
      <c r="EA63" s="1572"/>
      <c r="EB63" s="1572"/>
      <c r="EC63" s="1572"/>
      <c r="ED63" s="1572">
        <f>BT63*$H63</f>
        <v>0</v>
      </c>
      <c r="EE63" s="79"/>
      <c r="EF63" s="1572">
        <f t="shared" ref="EF63:EU65" ca="1" si="640">BV63*$I63</f>
        <v>0</v>
      </c>
      <c r="EG63" s="1572">
        <f t="shared" ca="1" si="640"/>
        <v>0</v>
      </c>
      <c r="EH63" s="1572">
        <f t="shared" ca="1" si="640"/>
        <v>0</v>
      </c>
      <c r="EI63" s="1572">
        <f t="shared" ca="1" si="640"/>
        <v>0</v>
      </c>
      <c r="EJ63" s="1572">
        <f t="shared" ca="1" si="640"/>
        <v>0</v>
      </c>
      <c r="EK63" s="1572">
        <f t="shared" ca="1" si="640"/>
        <v>0</v>
      </c>
      <c r="EL63" s="1572">
        <f t="shared" ca="1" si="640"/>
        <v>0</v>
      </c>
      <c r="EM63" s="1572">
        <f t="shared" ca="1" si="640"/>
        <v>0</v>
      </c>
      <c r="EN63" s="1572">
        <f t="shared" ca="1" si="640"/>
        <v>0</v>
      </c>
      <c r="EO63" s="1572">
        <f t="shared" ca="1" si="640"/>
        <v>0</v>
      </c>
      <c r="EP63" s="1572">
        <f t="shared" ca="1" si="640"/>
        <v>554446.06736112002</v>
      </c>
      <c r="EQ63" s="1572">
        <f t="shared" ca="1" si="640"/>
        <v>0</v>
      </c>
      <c r="ER63" s="1572">
        <f t="shared" ca="1" si="640"/>
        <v>0</v>
      </c>
      <c r="ES63" s="1572">
        <f t="shared" ca="1" si="640"/>
        <v>0</v>
      </c>
      <c r="ET63" s="1572">
        <f t="shared" ca="1" si="640"/>
        <v>0</v>
      </c>
      <c r="EU63" s="1572">
        <f t="shared" ca="1" si="640"/>
        <v>0</v>
      </c>
      <c r="EV63" s="1572">
        <f t="shared" ref="EV63:EZ65" ca="1" si="641">CL63*$I63</f>
        <v>0</v>
      </c>
      <c r="EW63" s="1572">
        <f t="shared" ca="1" si="641"/>
        <v>0</v>
      </c>
      <c r="EX63" s="1572">
        <f t="shared" ca="1" si="641"/>
        <v>0</v>
      </c>
      <c r="EY63" s="1572">
        <f t="shared" ca="1" si="641"/>
        <v>0</v>
      </c>
      <c r="EZ63" s="1572">
        <f t="shared" ca="1" si="641"/>
        <v>554446.06736112002</v>
      </c>
      <c r="FA63" s="1572">
        <f t="shared" ref="FA63:FA65" ca="1" si="642">CQ63*$I63</f>
        <v>0</v>
      </c>
      <c r="FB63" s="1572">
        <f t="shared" ref="FB63:FB65" ca="1" si="643">CR63*$I63</f>
        <v>0</v>
      </c>
      <c r="FC63" s="1572">
        <f t="shared" ref="FC63:FC65" ca="1" si="644">CS63*$I63</f>
        <v>0</v>
      </c>
      <c r="FD63" s="1572">
        <f t="shared" ref="FD63:FD65" ca="1" si="645">CT63*$I63</f>
        <v>0</v>
      </c>
      <c r="FE63" s="1572">
        <f t="shared" ref="FE63:FE65" ca="1" si="646">CU63*$I63</f>
        <v>0</v>
      </c>
      <c r="FF63" s="1572">
        <f t="shared" ref="FF63:FF65" ca="1" si="647">CV63*$I63</f>
        <v>0</v>
      </c>
      <c r="FG63" s="1572">
        <f t="shared" ref="FG63:FG65" ca="1" si="648">CW63*$I63</f>
        <v>0</v>
      </c>
      <c r="FH63" s="1572">
        <f t="shared" ref="FH63:FH65" ca="1" si="649">CX63*$I63</f>
        <v>0</v>
      </c>
      <c r="FI63" s="1572">
        <f t="shared" ref="FI63:FI65" ca="1" si="650">CY63*$I63</f>
        <v>0</v>
      </c>
    </row>
    <row r="64" spans="1:165">
      <c r="A64" s="595"/>
      <c r="B64" s="598"/>
      <c r="C64" s="599"/>
      <c r="F64" s="1440" t="s">
        <v>1660</v>
      </c>
      <c r="G64" s="1600"/>
      <c r="H64" s="1597">
        <f>'Sistemas - Cotações'!F51</f>
        <v>0</v>
      </c>
      <c r="I64" s="1598">
        <f t="shared" ref="I64" si="651">H64*0.8</f>
        <v>0</v>
      </c>
      <c r="J64" s="867">
        <f>'Sistemas - Cotações'!H51</f>
        <v>0</v>
      </c>
      <c r="K64" s="97"/>
      <c r="L64" s="1479">
        <f>'Sistemas-Manutenção'!L60</f>
        <v>0</v>
      </c>
      <c r="M64" s="1479">
        <f>'Sistemas-Manutenção'!M60</f>
        <v>0</v>
      </c>
      <c r="N64" s="1479">
        <f>'Sistemas-Manutenção'!N60</f>
        <v>0</v>
      </c>
      <c r="O64" s="1479">
        <f>'Sistemas-Manutenção'!O60</f>
        <v>0</v>
      </c>
      <c r="P64" s="1479">
        <f>'Sistemas-Manutenção'!P60</f>
        <v>0</v>
      </c>
      <c r="Q64" s="1479">
        <f>'Sistemas-Manutenção'!Q60</f>
        <v>0</v>
      </c>
      <c r="R64" s="1479">
        <f>'Sistemas-Manutenção'!R60</f>
        <v>0</v>
      </c>
      <c r="S64" s="1479">
        <f>'Sistemas-Manutenção'!S60</f>
        <v>0</v>
      </c>
      <c r="T64" s="1479">
        <f>'Sistemas-Manutenção'!T60</f>
        <v>0</v>
      </c>
      <c r="U64" s="1479">
        <f>'Sistemas-Manutenção'!U60</f>
        <v>0</v>
      </c>
      <c r="V64" s="1479">
        <f>'Sistemas-Manutenção'!V60</f>
        <v>0</v>
      </c>
      <c r="W64" s="1479">
        <f>'Sistemas-Manutenção'!W60</f>
        <v>0</v>
      </c>
      <c r="X64" s="1479">
        <f>'Sistemas-Manutenção'!X60</f>
        <v>0</v>
      </c>
      <c r="Y64" s="1479">
        <f>'Sistemas-Manutenção'!Y60</f>
        <v>0</v>
      </c>
      <c r="Z64" s="1479">
        <f>'Sistemas-Manutenção'!Z60</f>
        <v>0</v>
      </c>
      <c r="AA64" s="1479">
        <f>'Sistemas-Manutenção'!AA60</f>
        <v>0</v>
      </c>
      <c r="AB64" s="1479">
        <f>'Sistemas-Manutenção'!AB60</f>
        <v>0</v>
      </c>
      <c r="AC64" s="1479">
        <f>'Sistemas-Manutenção'!AC60</f>
        <v>0</v>
      </c>
      <c r="AD64" s="1479">
        <f>'Sistemas-Manutenção'!AD60</f>
        <v>0</v>
      </c>
      <c r="AE64" s="1479">
        <f>'Sistemas-Manutenção'!AE60</f>
        <v>0</v>
      </c>
      <c r="AF64" s="1479">
        <f>'Sistemas-Manutenção'!AF60</f>
        <v>0</v>
      </c>
      <c r="AG64" s="1479">
        <f>'Sistemas-Manutenção'!AG60</f>
        <v>0</v>
      </c>
      <c r="AH64" s="1479">
        <f>'Sistemas-Manutenção'!AH60</f>
        <v>0</v>
      </c>
      <c r="AI64" s="1479">
        <f>'Sistemas-Manutenção'!AI60</f>
        <v>0</v>
      </c>
      <c r="AJ64" s="1479">
        <f>'Sistemas-Manutenção'!AJ60</f>
        <v>0</v>
      </c>
      <c r="AK64" s="1479">
        <f>'Sistemas-Manutenção'!AK60</f>
        <v>0</v>
      </c>
      <c r="AL64" s="1479">
        <f>'Sistemas-Manutenção'!AL60</f>
        <v>0</v>
      </c>
      <c r="AM64" s="1479">
        <f>'Sistemas-Manutenção'!AM60</f>
        <v>0</v>
      </c>
      <c r="AN64" s="1479">
        <f>'Sistemas-Manutenção'!AN60</f>
        <v>0</v>
      </c>
      <c r="AO64" s="1479">
        <f>'Sistemas-Manutenção'!AO60</f>
        <v>0</v>
      </c>
      <c r="AP64" s="77"/>
      <c r="AQ64" s="1479">
        <f t="shared" si="626"/>
        <v>0</v>
      </c>
      <c r="AR64" s="1479">
        <f t="shared" si="626"/>
        <v>0</v>
      </c>
      <c r="AS64" s="1479">
        <f t="shared" si="626"/>
        <v>0</v>
      </c>
      <c r="AT64" s="1479">
        <f t="shared" si="626"/>
        <v>0</v>
      </c>
      <c r="AU64" s="1479">
        <f t="shared" si="626"/>
        <v>0</v>
      </c>
      <c r="AV64" s="1479">
        <f t="shared" si="626"/>
        <v>0</v>
      </c>
      <c r="AW64" s="1479">
        <f t="shared" si="626"/>
        <v>0</v>
      </c>
      <c r="AX64" s="1479">
        <f t="shared" si="626"/>
        <v>0</v>
      </c>
      <c r="AY64" s="1479">
        <f t="shared" si="626"/>
        <v>0</v>
      </c>
      <c r="AZ64" s="1479">
        <f t="shared" si="626"/>
        <v>0</v>
      </c>
      <c r="BA64" s="1479">
        <f t="shared" ref="BA64:BF64" si="652">IF(V64&gt;U64,V64-U64,0)</f>
        <v>0</v>
      </c>
      <c r="BB64" s="1479">
        <f t="shared" si="652"/>
        <v>0</v>
      </c>
      <c r="BC64" s="1479">
        <f t="shared" si="652"/>
        <v>0</v>
      </c>
      <c r="BD64" s="1479">
        <f t="shared" si="652"/>
        <v>0</v>
      </c>
      <c r="BE64" s="1479">
        <f t="shared" si="652"/>
        <v>0</v>
      </c>
      <c r="BF64" s="1479">
        <f t="shared" si="652"/>
        <v>0</v>
      </c>
      <c r="BG64" s="1479">
        <f t="shared" si="627"/>
        <v>0</v>
      </c>
      <c r="BH64" s="1479">
        <f t="shared" si="627"/>
        <v>0</v>
      </c>
      <c r="BI64" s="1479">
        <f t="shared" si="627"/>
        <v>0</v>
      </c>
      <c r="BJ64" s="1479">
        <f t="shared" si="627"/>
        <v>0</v>
      </c>
      <c r="BK64" s="1479">
        <f t="shared" si="627"/>
        <v>0</v>
      </c>
      <c r="BL64" s="1479">
        <f t="shared" si="627"/>
        <v>0</v>
      </c>
      <c r="BM64" s="1479">
        <f t="shared" si="627"/>
        <v>0</v>
      </c>
      <c r="BN64" s="1479">
        <f t="shared" si="627"/>
        <v>0</v>
      </c>
      <c r="BO64" s="1479"/>
      <c r="BP64" s="1479"/>
      <c r="BQ64" s="1479"/>
      <c r="BR64" s="1479"/>
      <c r="BS64" s="1479"/>
      <c r="BT64" s="1479">
        <f>IF(AO64&gt;AI64,AO64-AI64,0)</f>
        <v>0</v>
      </c>
      <c r="BU64" s="77"/>
      <c r="BV64" s="1479"/>
      <c r="BW64" s="1479"/>
      <c r="BX64" s="1479"/>
      <c r="BY64" s="1479"/>
      <c r="BZ64" s="1479"/>
      <c r="CA64" s="1479"/>
      <c r="CB64" s="1479"/>
      <c r="CC64" s="1479"/>
      <c r="CD64" s="1479"/>
      <c r="CE64" s="1479"/>
      <c r="CF64" s="1479"/>
      <c r="CG64" s="1479"/>
      <c r="CH64" s="1479"/>
      <c r="CI64" s="1479"/>
      <c r="CJ64" s="1479"/>
      <c r="CK64" s="1479"/>
      <c r="CL64" s="1479"/>
      <c r="CM64" s="1479"/>
      <c r="CN64" s="1479"/>
      <c r="CO64" s="1479"/>
      <c r="CP64" s="1479"/>
      <c r="CQ64" s="1479"/>
      <c r="CR64" s="1479"/>
      <c r="CS64" s="1479"/>
      <c r="CT64" s="1479"/>
      <c r="CU64" s="1479"/>
      <c r="CV64" s="1479"/>
      <c r="CW64" s="1479"/>
      <c r="CX64" s="1479"/>
      <c r="CY64" s="1479"/>
      <c r="CZ64" s="78"/>
      <c r="DA64" s="1572">
        <f t="shared" si="638"/>
        <v>0</v>
      </c>
      <c r="DB64" s="1572">
        <f t="shared" si="638"/>
        <v>0</v>
      </c>
      <c r="DC64" s="1572">
        <f t="shared" si="638"/>
        <v>0</v>
      </c>
      <c r="DD64" s="1572">
        <f t="shared" si="638"/>
        <v>0</v>
      </c>
      <c r="DE64" s="1572">
        <f t="shared" si="638"/>
        <v>0</v>
      </c>
      <c r="DF64" s="1572">
        <f t="shared" si="638"/>
        <v>0</v>
      </c>
      <c r="DG64" s="1572">
        <f t="shared" si="638"/>
        <v>0</v>
      </c>
      <c r="DH64" s="1572">
        <f t="shared" si="638"/>
        <v>0</v>
      </c>
      <c r="DI64" s="1572">
        <f t="shared" si="638"/>
        <v>0</v>
      </c>
      <c r="DJ64" s="1572">
        <f t="shared" si="638"/>
        <v>0</v>
      </c>
      <c r="DK64" s="1572">
        <f t="shared" si="639"/>
        <v>0</v>
      </c>
      <c r="DL64" s="1572">
        <f t="shared" si="639"/>
        <v>0</v>
      </c>
      <c r="DM64" s="1572">
        <f t="shared" si="639"/>
        <v>0</v>
      </c>
      <c r="DN64" s="1572">
        <f t="shared" si="639"/>
        <v>0</v>
      </c>
      <c r="DO64" s="1572">
        <f t="shared" si="639"/>
        <v>0</v>
      </c>
      <c r="DP64" s="1572">
        <f t="shared" si="639"/>
        <v>0</v>
      </c>
      <c r="DQ64" s="1572">
        <f t="shared" si="639"/>
        <v>0</v>
      </c>
      <c r="DR64" s="1572">
        <f t="shared" si="639"/>
        <v>0</v>
      </c>
      <c r="DS64" s="1572">
        <f t="shared" si="639"/>
        <v>0</v>
      </c>
      <c r="DT64" s="1572">
        <f t="shared" si="639"/>
        <v>0</v>
      </c>
      <c r="DU64" s="1572">
        <f t="shared" si="639"/>
        <v>0</v>
      </c>
      <c r="DV64" s="1572">
        <f t="shared" si="639"/>
        <v>0</v>
      </c>
      <c r="DW64" s="1572">
        <f t="shared" si="639"/>
        <v>0</v>
      </c>
      <c r="DX64" s="1572">
        <f t="shared" si="639"/>
        <v>0</v>
      </c>
      <c r="DY64" s="1572"/>
      <c r="DZ64" s="1572"/>
      <c r="EA64" s="1572"/>
      <c r="EB64" s="1572"/>
      <c r="EC64" s="1572"/>
      <c r="ED64" s="1572">
        <f>BT64*$H64</f>
        <v>0</v>
      </c>
      <c r="EE64" s="79"/>
      <c r="EF64" s="1572">
        <f t="shared" si="640"/>
        <v>0</v>
      </c>
      <c r="EG64" s="1572">
        <f t="shared" si="640"/>
        <v>0</v>
      </c>
      <c r="EH64" s="1572">
        <f t="shared" si="640"/>
        <v>0</v>
      </c>
      <c r="EI64" s="1572">
        <f t="shared" si="640"/>
        <v>0</v>
      </c>
      <c r="EJ64" s="1572">
        <f t="shared" si="640"/>
        <v>0</v>
      </c>
      <c r="EK64" s="1572">
        <f t="shared" si="640"/>
        <v>0</v>
      </c>
      <c r="EL64" s="1572">
        <f t="shared" si="640"/>
        <v>0</v>
      </c>
      <c r="EM64" s="1572">
        <f t="shared" si="640"/>
        <v>0</v>
      </c>
      <c r="EN64" s="1572">
        <f t="shared" si="640"/>
        <v>0</v>
      </c>
      <c r="EO64" s="1572">
        <f t="shared" si="640"/>
        <v>0</v>
      </c>
      <c r="EP64" s="1572">
        <f t="shared" ref="EP64:EU65" si="653">CF64*$I64</f>
        <v>0</v>
      </c>
      <c r="EQ64" s="1572">
        <f t="shared" si="653"/>
        <v>0</v>
      </c>
      <c r="ER64" s="1572">
        <f t="shared" si="653"/>
        <v>0</v>
      </c>
      <c r="ES64" s="1572">
        <f t="shared" si="653"/>
        <v>0</v>
      </c>
      <c r="ET64" s="1572">
        <f t="shared" si="653"/>
        <v>0</v>
      </c>
      <c r="EU64" s="1572">
        <f t="shared" si="653"/>
        <v>0</v>
      </c>
      <c r="EV64" s="1572">
        <f t="shared" si="641"/>
        <v>0</v>
      </c>
      <c r="EW64" s="1572">
        <f t="shared" si="641"/>
        <v>0</v>
      </c>
      <c r="EX64" s="1572">
        <f t="shared" si="641"/>
        <v>0</v>
      </c>
      <c r="EY64" s="1572">
        <f t="shared" si="641"/>
        <v>0</v>
      </c>
      <c r="EZ64" s="1572">
        <f t="shared" si="641"/>
        <v>0</v>
      </c>
      <c r="FA64" s="1572">
        <f t="shared" si="642"/>
        <v>0</v>
      </c>
      <c r="FB64" s="1572">
        <f t="shared" si="643"/>
        <v>0</v>
      </c>
      <c r="FC64" s="1572">
        <f t="shared" si="644"/>
        <v>0</v>
      </c>
      <c r="FD64" s="1572">
        <f t="shared" si="645"/>
        <v>0</v>
      </c>
      <c r="FE64" s="1572">
        <f t="shared" si="646"/>
        <v>0</v>
      </c>
      <c r="FF64" s="1572">
        <f t="shared" si="647"/>
        <v>0</v>
      </c>
      <c r="FG64" s="1572">
        <f t="shared" si="648"/>
        <v>0</v>
      </c>
      <c r="FH64" s="1572">
        <f t="shared" si="649"/>
        <v>0</v>
      </c>
      <c r="FI64" s="1572">
        <f t="shared" si="650"/>
        <v>0</v>
      </c>
    </row>
    <row r="65" spans="1:165">
      <c r="A65" s="595"/>
      <c r="B65" s="598"/>
      <c r="C65" s="599"/>
      <c r="F65" s="1575"/>
      <c r="G65" s="1603"/>
      <c r="H65" s="1604"/>
      <c r="I65" s="865"/>
      <c r="J65" s="1575"/>
      <c r="K65" s="99"/>
      <c r="L65" s="863"/>
      <c r="M65" s="863"/>
      <c r="N65" s="863"/>
      <c r="O65" s="863"/>
      <c r="P65" s="863"/>
      <c r="Q65" s="863"/>
      <c r="R65" s="863"/>
      <c r="S65" s="863"/>
      <c r="T65" s="863"/>
      <c r="U65" s="863"/>
      <c r="V65" s="863"/>
      <c r="W65" s="863"/>
      <c r="X65" s="863"/>
      <c r="Y65" s="863"/>
      <c r="Z65" s="863"/>
      <c r="AA65" s="863"/>
      <c r="AB65" s="863"/>
      <c r="AC65" s="863"/>
      <c r="AD65" s="863"/>
      <c r="AE65" s="863"/>
      <c r="AF65" s="863"/>
      <c r="AG65" s="863"/>
      <c r="AH65" s="863"/>
      <c r="AI65" s="863"/>
      <c r="AJ65" s="863"/>
      <c r="AK65" s="863"/>
      <c r="AL65" s="863"/>
      <c r="AM65" s="863"/>
      <c r="AN65" s="863"/>
      <c r="AO65" s="863"/>
      <c r="AP65" s="81"/>
      <c r="AQ65" s="863"/>
      <c r="AR65" s="863"/>
      <c r="AS65" s="863"/>
      <c r="AT65" s="863"/>
      <c r="AU65" s="863"/>
      <c r="AV65" s="863"/>
      <c r="AW65" s="863"/>
      <c r="AX65" s="863"/>
      <c r="AY65" s="863"/>
      <c r="AZ65" s="863"/>
      <c r="BA65" s="863"/>
      <c r="BB65" s="863"/>
      <c r="BC65" s="863"/>
      <c r="BD65" s="863"/>
      <c r="BE65" s="863"/>
      <c r="BF65" s="863"/>
      <c r="BG65" s="863"/>
      <c r="BH65" s="863"/>
      <c r="BI65" s="863"/>
      <c r="BJ65" s="863"/>
      <c r="BK65" s="863"/>
      <c r="BL65" s="863"/>
      <c r="BM65" s="863"/>
      <c r="BN65" s="863"/>
      <c r="BO65" s="863"/>
      <c r="BP65" s="863"/>
      <c r="BQ65" s="863"/>
      <c r="BR65" s="863"/>
      <c r="BS65" s="863"/>
      <c r="BT65" s="863"/>
      <c r="BU65" s="81"/>
      <c r="BV65" s="863"/>
      <c r="BW65" s="863"/>
      <c r="BX65" s="863"/>
      <c r="BY65" s="863"/>
      <c r="BZ65" s="863"/>
      <c r="CA65" s="863"/>
      <c r="CB65" s="863"/>
      <c r="CC65" s="863"/>
      <c r="CD65" s="863"/>
      <c r="CE65" s="863"/>
      <c r="CF65" s="863"/>
      <c r="CG65" s="863"/>
      <c r="CH65" s="863"/>
      <c r="CI65" s="863"/>
      <c r="CJ65" s="863"/>
      <c r="CK65" s="863"/>
      <c r="CL65" s="863"/>
      <c r="CM65" s="863"/>
      <c r="CN65" s="863"/>
      <c r="CO65" s="863"/>
      <c r="CP65" s="863"/>
      <c r="CQ65" s="863"/>
      <c r="CR65" s="863"/>
      <c r="CS65" s="863"/>
      <c r="CT65" s="863"/>
      <c r="CU65" s="863"/>
      <c r="CV65" s="863"/>
      <c r="CW65" s="863"/>
      <c r="CX65" s="863"/>
      <c r="CY65" s="863"/>
      <c r="CZ65" s="82"/>
      <c r="DA65" s="865">
        <f t="shared" si="638"/>
        <v>0</v>
      </c>
      <c r="DB65" s="865">
        <f t="shared" si="638"/>
        <v>0</v>
      </c>
      <c r="DC65" s="865">
        <f t="shared" si="638"/>
        <v>0</v>
      </c>
      <c r="DD65" s="865">
        <f t="shared" si="638"/>
        <v>0</v>
      </c>
      <c r="DE65" s="865">
        <f t="shared" si="638"/>
        <v>0</v>
      </c>
      <c r="DF65" s="865">
        <f t="shared" si="638"/>
        <v>0</v>
      </c>
      <c r="DG65" s="865">
        <f t="shared" si="638"/>
        <v>0</v>
      </c>
      <c r="DH65" s="865">
        <f t="shared" si="638"/>
        <v>0</v>
      </c>
      <c r="DI65" s="865">
        <f t="shared" si="638"/>
        <v>0</v>
      </c>
      <c r="DJ65" s="865">
        <f t="shared" si="638"/>
        <v>0</v>
      </c>
      <c r="DK65" s="865">
        <f t="shared" si="639"/>
        <v>0</v>
      </c>
      <c r="DL65" s="865">
        <f t="shared" si="639"/>
        <v>0</v>
      </c>
      <c r="DM65" s="865">
        <f t="shared" si="639"/>
        <v>0</v>
      </c>
      <c r="DN65" s="865">
        <f t="shared" si="639"/>
        <v>0</v>
      </c>
      <c r="DO65" s="865">
        <f t="shared" si="639"/>
        <v>0</v>
      </c>
      <c r="DP65" s="865">
        <f t="shared" si="639"/>
        <v>0</v>
      </c>
      <c r="DQ65" s="865">
        <f t="shared" si="639"/>
        <v>0</v>
      </c>
      <c r="DR65" s="865">
        <f t="shared" si="639"/>
        <v>0</v>
      </c>
      <c r="DS65" s="865">
        <f t="shared" si="639"/>
        <v>0</v>
      </c>
      <c r="DT65" s="865">
        <f t="shared" si="639"/>
        <v>0</v>
      </c>
      <c r="DU65" s="865">
        <f t="shared" si="639"/>
        <v>0</v>
      </c>
      <c r="DV65" s="865">
        <f t="shared" si="639"/>
        <v>0</v>
      </c>
      <c r="DW65" s="865">
        <f t="shared" si="639"/>
        <v>0</v>
      </c>
      <c r="DX65" s="865">
        <f t="shared" si="639"/>
        <v>0</v>
      </c>
      <c r="DY65" s="865"/>
      <c r="DZ65" s="865"/>
      <c r="EA65" s="865"/>
      <c r="EB65" s="865"/>
      <c r="EC65" s="865"/>
      <c r="ED65" s="865">
        <f>BT65*$H65</f>
        <v>0</v>
      </c>
      <c r="EE65" s="79"/>
      <c r="EF65" s="865">
        <f t="shared" si="640"/>
        <v>0</v>
      </c>
      <c r="EG65" s="865">
        <f t="shared" si="640"/>
        <v>0</v>
      </c>
      <c r="EH65" s="865">
        <f t="shared" si="640"/>
        <v>0</v>
      </c>
      <c r="EI65" s="865">
        <f t="shared" si="640"/>
        <v>0</v>
      </c>
      <c r="EJ65" s="865">
        <f t="shared" si="640"/>
        <v>0</v>
      </c>
      <c r="EK65" s="865">
        <f t="shared" si="640"/>
        <v>0</v>
      </c>
      <c r="EL65" s="865">
        <f t="shared" si="640"/>
        <v>0</v>
      </c>
      <c r="EM65" s="865">
        <f t="shared" si="640"/>
        <v>0</v>
      </c>
      <c r="EN65" s="865">
        <f t="shared" si="640"/>
        <v>0</v>
      </c>
      <c r="EO65" s="865">
        <f t="shared" si="640"/>
        <v>0</v>
      </c>
      <c r="EP65" s="865">
        <f t="shared" si="653"/>
        <v>0</v>
      </c>
      <c r="EQ65" s="865">
        <f t="shared" si="653"/>
        <v>0</v>
      </c>
      <c r="ER65" s="865">
        <f t="shared" si="653"/>
        <v>0</v>
      </c>
      <c r="ES65" s="865">
        <f t="shared" si="653"/>
        <v>0</v>
      </c>
      <c r="ET65" s="865">
        <f t="shared" si="653"/>
        <v>0</v>
      </c>
      <c r="EU65" s="865">
        <f t="shared" si="653"/>
        <v>0</v>
      </c>
      <c r="EV65" s="865">
        <f t="shared" si="641"/>
        <v>0</v>
      </c>
      <c r="EW65" s="865">
        <f t="shared" si="641"/>
        <v>0</v>
      </c>
      <c r="EX65" s="865">
        <f t="shared" si="641"/>
        <v>0</v>
      </c>
      <c r="EY65" s="865">
        <f t="shared" si="641"/>
        <v>0</v>
      </c>
      <c r="EZ65" s="865">
        <f t="shared" si="641"/>
        <v>0</v>
      </c>
      <c r="FA65" s="865">
        <f t="shared" si="642"/>
        <v>0</v>
      </c>
      <c r="FB65" s="865">
        <f t="shared" si="643"/>
        <v>0</v>
      </c>
      <c r="FC65" s="865">
        <f t="shared" si="644"/>
        <v>0</v>
      </c>
      <c r="FD65" s="865">
        <f t="shared" si="645"/>
        <v>0</v>
      </c>
      <c r="FE65" s="865">
        <f t="shared" si="646"/>
        <v>0</v>
      </c>
      <c r="FF65" s="865">
        <f t="shared" si="647"/>
        <v>0</v>
      </c>
      <c r="FG65" s="865">
        <f t="shared" si="648"/>
        <v>0</v>
      </c>
      <c r="FH65" s="865">
        <f t="shared" si="649"/>
        <v>0</v>
      </c>
      <c r="FI65" s="865">
        <f t="shared" si="650"/>
        <v>0</v>
      </c>
    </row>
    <row r="66" spans="1:165">
      <c r="A66" s="595"/>
      <c r="B66" s="598"/>
      <c r="C66" s="599"/>
      <c r="D66" s="68" t="s">
        <v>1733</v>
      </c>
      <c r="E66" s="68" t="str">
        <f>LEFT(D66,LEN(D66)-1) &amp; RIGHT(D66,1)+1</f>
        <v>8.9</v>
      </c>
      <c r="F66" s="1605" t="s">
        <v>1661</v>
      </c>
      <c r="G66" s="1606" t="s">
        <v>1717</v>
      </c>
      <c r="H66" s="734">
        <f>SUM(DA66:ED66)</f>
        <v>712443.67249999999</v>
      </c>
      <c r="I66" s="734">
        <f ca="1">SUM(EF66:FI66)</f>
        <v>1006887.26</v>
      </c>
      <c r="J66" s="1577"/>
      <c r="K66" s="98"/>
      <c r="L66" s="1588"/>
      <c r="M66" s="1588"/>
      <c r="N66" s="1588"/>
      <c r="O66" s="1588"/>
      <c r="P66" s="1588"/>
      <c r="Q66" s="1588"/>
      <c r="R66" s="1588"/>
      <c r="S66" s="1588"/>
      <c r="T66" s="1588"/>
      <c r="U66" s="1588"/>
      <c r="V66" s="1588"/>
      <c r="W66" s="1588"/>
      <c r="X66" s="1588"/>
      <c r="Y66" s="1588"/>
      <c r="Z66" s="1588"/>
      <c r="AA66" s="1588"/>
      <c r="AB66" s="1588"/>
      <c r="AC66" s="1588"/>
      <c r="AD66" s="1588"/>
      <c r="AE66" s="1588"/>
      <c r="AF66" s="1588"/>
      <c r="AG66" s="1588"/>
      <c r="AH66" s="1589"/>
      <c r="AI66" s="1589"/>
      <c r="AJ66" s="1589"/>
      <c r="AK66" s="1589"/>
      <c r="AL66" s="1589"/>
      <c r="AM66" s="1589"/>
      <c r="AN66" s="1589"/>
      <c r="AO66" s="1589"/>
      <c r="AP66" s="392"/>
      <c r="AQ66" s="1590"/>
      <c r="AR66" s="1588"/>
      <c r="AS66" s="1588"/>
      <c r="AT66" s="1588"/>
      <c r="AU66" s="1588"/>
      <c r="AV66" s="1588"/>
      <c r="AW66" s="1588"/>
      <c r="AX66" s="1588"/>
      <c r="AY66" s="1588"/>
      <c r="AZ66" s="1588"/>
      <c r="BA66" s="1588"/>
      <c r="BB66" s="1588"/>
      <c r="BC66" s="1588"/>
      <c r="BD66" s="1588"/>
      <c r="BE66" s="1588"/>
      <c r="BF66" s="1588"/>
      <c r="BG66" s="1588"/>
      <c r="BH66" s="1588"/>
      <c r="BI66" s="1588"/>
      <c r="BJ66" s="1588"/>
      <c r="BK66" s="1588"/>
      <c r="BL66" s="1588"/>
      <c r="BM66" s="1589"/>
      <c r="BN66" s="1589"/>
      <c r="BO66" s="1589"/>
      <c r="BP66" s="1589"/>
      <c r="BQ66" s="1589"/>
      <c r="BR66" s="1589"/>
      <c r="BS66" s="1589"/>
      <c r="BT66" s="1589"/>
      <c r="BU66" s="392"/>
      <c r="BV66" s="1590"/>
      <c r="BW66" s="1588"/>
      <c r="BX66" s="1588"/>
      <c r="BY66" s="1588"/>
      <c r="BZ66" s="1588"/>
      <c r="CA66" s="1588"/>
      <c r="CB66" s="1588"/>
      <c r="CC66" s="1588"/>
      <c r="CD66" s="1588"/>
      <c r="CE66" s="1588"/>
      <c r="CF66" s="1588"/>
      <c r="CG66" s="1588"/>
      <c r="CH66" s="1588"/>
      <c r="CI66" s="1588"/>
      <c r="CJ66" s="1588"/>
      <c r="CK66" s="1588"/>
      <c r="CL66" s="1588"/>
      <c r="CM66" s="1588"/>
      <c r="CN66" s="1588"/>
      <c r="CO66" s="1588"/>
      <c r="CP66" s="1588"/>
      <c r="CQ66" s="1588"/>
      <c r="CR66" s="1589"/>
      <c r="CS66" s="1589"/>
      <c r="CT66" s="1589"/>
      <c r="CU66" s="1589"/>
      <c r="CV66" s="1589"/>
      <c r="CW66" s="1589"/>
      <c r="CX66" s="1589"/>
      <c r="CY66" s="1589"/>
      <c r="CZ66" s="84"/>
      <c r="DA66" s="1591">
        <f>SUBTOTAL(9,DA67:DA82)-145956</f>
        <v>712443.67249999999</v>
      </c>
      <c r="DB66" s="1591">
        <f t="shared" ref="DB66:ED66" si="654">SUBTOTAL(9,DB67:DB82)</f>
        <v>0</v>
      </c>
      <c r="DC66" s="1591">
        <f t="shared" si="654"/>
        <v>0</v>
      </c>
      <c r="DD66" s="1591">
        <f t="shared" si="654"/>
        <v>0</v>
      </c>
      <c r="DE66" s="1591">
        <f t="shared" si="654"/>
        <v>0</v>
      </c>
      <c r="DF66" s="1591">
        <f t="shared" si="654"/>
        <v>0</v>
      </c>
      <c r="DG66" s="1591">
        <f t="shared" si="654"/>
        <v>0</v>
      </c>
      <c r="DH66" s="1591">
        <f t="shared" si="654"/>
        <v>0</v>
      </c>
      <c r="DI66" s="1591">
        <f t="shared" si="654"/>
        <v>0</v>
      </c>
      <c r="DJ66" s="1591">
        <f t="shared" si="654"/>
        <v>0</v>
      </c>
      <c r="DK66" s="1591">
        <f t="shared" si="654"/>
        <v>0</v>
      </c>
      <c r="DL66" s="1591">
        <f t="shared" si="654"/>
        <v>0</v>
      </c>
      <c r="DM66" s="1591">
        <f t="shared" si="654"/>
        <v>0</v>
      </c>
      <c r="DN66" s="1591">
        <f t="shared" si="654"/>
        <v>0</v>
      </c>
      <c r="DO66" s="1591">
        <f t="shared" si="654"/>
        <v>0</v>
      </c>
      <c r="DP66" s="1591">
        <f t="shared" si="654"/>
        <v>0</v>
      </c>
      <c r="DQ66" s="1591">
        <f t="shared" si="654"/>
        <v>0</v>
      </c>
      <c r="DR66" s="1591">
        <f t="shared" si="654"/>
        <v>0</v>
      </c>
      <c r="DS66" s="1591">
        <f t="shared" si="654"/>
        <v>0</v>
      </c>
      <c r="DT66" s="1591">
        <f t="shared" si="654"/>
        <v>0</v>
      </c>
      <c r="DU66" s="1591">
        <f t="shared" si="654"/>
        <v>0</v>
      </c>
      <c r="DV66" s="1591">
        <f t="shared" si="654"/>
        <v>0</v>
      </c>
      <c r="DW66" s="1591">
        <f t="shared" si="654"/>
        <v>0</v>
      </c>
      <c r="DX66" s="1591">
        <f t="shared" si="654"/>
        <v>0</v>
      </c>
      <c r="DY66" s="1591"/>
      <c r="DZ66" s="1591"/>
      <c r="EA66" s="1591"/>
      <c r="EB66" s="1591"/>
      <c r="EC66" s="1591"/>
      <c r="ED66" s="1591">
        <f t="shared" si="654"/>
        <v>0</v>
      </c>
      <c r="EE66" s="79"/>
      <c r="EF66" s="1591">
        <f t="shared" ref="EF66:EZ66" ca="1" si="655">SUBTOTAL(9,EF67:EF82)</f>
        <v>0</v>
      </c>
      <c r="EG66" s="1591">
        <f t="shared" ca="1" si="655"/>
        <v>0</v>
      </c>
      <c r="EH66" s="1591">
        <f t="shared" ca="1" si="655"/>
        <v>0</v>
      </c>
      <c r="EI66" s="1591">
        <f t="shared" ca="1" si="655"/>
        <v>0</v>
      </c>
      <c r="EJ66" s="1591">
        <f t="shared" ca="1" si="655"/>
        <v>0</v>
      </c>
      <c r="EK66" s="1591">
        <f t="shared" ca="1" si="655"/>
        <v>0</v>
      </c>
      <c r="EL66" s="1591">
        <f t="shared" ca="1" si="655"/>
        <v>0</v>
      </c>
      <c r="EM66" s="1591">
        <f t="shared" ca="1" si="655"/>
        <v>0</v>
      </c>
      <c r="EN66" s="1591">
        <f t="shared" ca="1" si="655"/>
        <v>0</v>
      </c>
      <c r="EO66" s="1591">
        <f t="shared" ca="1" si="655"/>
        <v>0</v>
      </c>
      <c r="EP66" s="1591">
        <f t="shared" ca="1" si="655"/>
        <v>503443.63</v>
      </c>
      <c r="EQ66" s="1591">
        <f t="shared" ca="1" si="655"/>
        <v>0</v>
      </c>
      <c r="ER66" s="1591">
        <f t="shared" ca="1" si="655"/>
        <v>0</v>
      </c>
      <c r="ES66" s="1591">
        <f t="shared" ca="1" si="655"/>
        <v>0</v>
      </c>
      <c r="ET66" s="1591">
        <f t="shared" ca="1" si="655"/>
        <v>0</v>
      </c>
      <c r="EU66" s="1591">
        <f t="shared" ca="1" si="655"/>
        <v>0</v>
      </c>
      <c r="EV66" s="1591">
        <f t="shared" ca="1" si="655"/>
        <v>0</v>
      </c>
      <c r="EW66" s="1591">
        <f t="shared" ca="1" si="655"/>
        <v>0</v>
      </c>
      <c r="EX66" s="1591">
        <f t="shared" ca="1" si="655"/>
        <v>0</v>
      </c>
      <c r="EY66" s="1591">
        <f t="shared" ca="1" si="655"/>
        <v>0</v>
      </c>
      <c r="EZ66" s="1591">
        <f t="shared" ca="1" si="655"/>
        <v>503443.63</v>
      </c>
      <c r="FA66" s="1591">
        <f t="shared" ref="FA66:FI66" ca="1" si="656">SUBTOTAL(9,FA67:FA82)</f>
        <v>0</v>
      </c>
      <c r="FB66" s="1591">
        <f t="shared" ca="1" si="656"/>
        <v>0</v>
      </c>
      <c r="FC66" s="1591">
        <f t="shared" ca="1" si="656"/>
        <v>0</v>
      </c>
      <c r="FD66" s="1591">
        <f t="shared" ca="1" si="656"/>
        <v>0</v>
      </c>
      <c r="FE66" s="1591">
        <f t="shared" ca="1" si="656"/>
        <v>0</v>
      </c>
      <c r="FF66" s="1591">
        <f t="shared" ca="1" si="656"/>
        <v>0</v>
      </c>
      <c r="FG66" s="1591">
        <f t="shared" ca="1" si="656"/>
        <v>0</v>
      </c>
      <c r="FH66" s="1591">
        <f t="shared" ca="1" si="656"/>
        <v>0</v>
      </c>
      <c r="FI66" s="1591">
        <f t="shared" ca="1" si="656"/>
        <v>0</v>
      </c>
    </row>
    <row r="67" spans="1:165" ht="12.75" customHeight="1">
      <c r="A67" s="595"/>
      <c r="B67" s="598"/>
      <c r="C67" s="599"/>
      <c r="D67" s="68" t="s">
        <v>1734</v>
      </c>
      <c r="E67" s="68" t="str">
        <f>LEFT(D67,LEN(D67)-1) &amp; RIGHT(D67,1)+1</f>
        <v>8.8.1.1.2</v>
      </c>
      <c r="F67" s="1599" t="s">
        <v>1662</v>
      </c>
      <c r="G67" s="401" t="s">
        <v>1717</v>
      </c>
      <c r="H67" s="315">
        <f>SUM(DA67:ED67)</f>
        <v>0</v>
      </c>
      <c r="I67" s="316">
        <f ca="1">SUM(EF67:FI67)</f>
        <v>0</v>
      </c>
      <c r="J67" s="1505"/>
      <c r="K67" s="100"/>
      <c r="L67" s="1479"/>
      <c r="M67" s="1479"/>
      <c r="N67" s="1479"/>
      <c r="O67" s="1479"/>
      <c r="P67" s="1479"/>
      <c r="Q67" s="1479"/>
      <c r="R67" s="1479"/>
      <c r="S67" s="1479"/>
      <c r="T67" s="1479"/>
      <c r="U67" s="1479"/>
      <c r="V67" s="1479"/>
      <c r="W67" s="1479"/>
      <c r="X67" s="1479"/>
      <c r="Y67" s="1479"/>
      <c r="Z67" s="1479"/>
      <c r="AA67" s="1479"/>
      <c r="AB67" s="1479"/>
      <c r="AC67" s="1479"/>
      <c r="AD67" s="1479"/>
      <c r="AE67" s="1479"/>
      <c r="AF67" s="1479"/>
      <c r="AG67" s="1479"/>
      <c r="AH67" s="1479"/>
      <c r="AI67" s="1479"/>
      <c r="AJ67" s="1479"/>
      <c r="AK67" s="1479"/>
      <c r="AL67" s="1479"/>
      <c r="AM67" s="1479"/>
      <c r="AN67" s="1479"/>
      <c r="AO67" s="1479"/>
      <c r="AP67" s="77"/>
      <c r="AQ67" s="1479"/>
      <c r="AR67" s="1479"/>
      <c r="AS67" s="1479"/>
      <c r="AT67" s="1479"/>
      <c r="AU67" s="1479"/>
      <c r="AV67" s="1479"/>
      <c r="AW67" s="1479"/>
      <c r="AX67" s="1479"/>
      <c r="AY67" s="1479"/>
      <c r="AZ67" s="1479"/>
      <c r="BA67" s="1479"/>
      <c r="BB67" s="1479"/>
      <c r="BC67" s="1479"/>
      <c r="BD67" s="1479"/>
      <c r="BE67" s="1479"/>
      <c r="BF67" s="1479"/>
      <c r="BG67" s="1479"/>
      <c r="BH67" s="1479"/>
      <c r="BI67" s="1479"/>
      <c r="BJ67" s="1479"/>
      <c r="BK67" s="1479"/>
      <c r="BL67" s="1479"/>
      <c r="BM67" s="1479"/>
      <c r="BN67" s="1479"/>
      <c r="BO67" s="1479"/>
      <c r="BP67" s="1479"/>
      <c r="BQ67" s="1479"/>
      <c r="BR67" s="1479"/>
      <c r="BS67" s="1479"/>
      <c r="BT67" s="1479"/>
      <c r="BU67" s="77"/>
      <c r="BV67" s="1479"/>
      <c r="BW67" s="1479"/>
      <c r="BX67" s="1479"/>
      <c r="BY67" s="1479"/>
      <c r="BZ67" s="1479"/>
      <c r="CA67" s="1479"/>
      <c r="CB67" s="1479"/>
      <c r="CC67" s="1479"/>
      <c r="CD67" s="1479"/>
      <c r="CE67" s="1479"/>
      <c r="CF67" s="1479"/>
      <c r="CG67" s="1479"/>
      <c r="CH67" s="1479"/>
      <c r="CI67" s="1479"/>
      <c r="CJ67" s="1479"/>
      <c r="CK67" s="1479"/>
      <c r="CL67" s="1479"/>
      <c r="CM67" s="1479"/>
      <c r="CN67" s="1479"/>
      <c r="CO67" s="1479"/>
      <c r="CP67" s="1479"/>
      <c r="CQ67" s="1479"/>
      <c r="CR67" s="1479"/>
      <c r="CS67" s="1479"/>
      <c r="CT67" s="1479"/>
      <c r="CU67" s="1479"/>
      <c r="CV67" s="1479"/>
      <c r="CW67" s="1479"/>
      <c r="CX67" s="1479"/>
      <c r="CY67" s="1479"/>
      <c r="CZ67" s="78"/>
      <c r="DA67" s="1567">
        <f t="shared" ref="DA67:ED67" si="657">SUBTOTAL(9,DA68:DA69)</f>
        <v>0</v>
      </c>
      <c r="DB67" s="1567">
        <f t="shared" si="657"/>
        <v>0</v>
      </c>
      <c r="DC67" s="1567">
        <f t="shared" si="657"/>
        <v>0</v>
      </c>
      <c r="DD67" s="1567">
        <f t="shared" si="657"/>
        <v>0</v>
      </c>
      <c r="DE67" s="1567">
        <f t="shared" si="657"/>
        <v>0</v>
      </c>
      <c r="DF67" s="1567">
        <f t="shared" si="657"/>
        <v>0</v>
      </c>
      <c r="DG67" s="1567">
        <f t="shared" si="657"/>
        <v>0</v>
      </c>
      <c r="DH67" s="1567">
        <f t="shared" si="657"/>
        <v>0</v>
      </c>
      <c r="DI67" s="1567">
        <f t="shared" si="657"/>
        <v>0</v>
      </c>
      <c r="DJ67" s="1567">
        <f t="shared" si="657"/>
        <v>0</v>
      </c>
      <c r="DK67" s="1567">
        <f t="shared" si="657"/>
        <v>0</v>
      </c>
      <c r="DL67" s="1567">
        <f t="shared" si="657"/>
        <v>0</v>
      </c>
      <c r="DM67" s="1567">
        <f t="shared" si="657"/>
        <v>0</v>
      </c>
      <c r="DN67" s="1567">
        <f t="shared" si="657"/>
        <v>0</v>
      </c>
      <c r="DO67" s="1567">
        <f t="shared" si="657"/>
        <v>0</v>
      </c>
      <c r="DP67" s="1567">
        <f t="shared" si="657"/>
        <v>0</v>
      </c>
      <c r="DQ67" s="1567">
        <f t="shared" si="657"/>
        <v>0</v>
      </c>
      <c r="DR67" s="1567">
        <f t="shared" si="657"/>
        <v>0</v>
      </c>
      <c r="DS67" s="1567">
        <f t="shared" si="657"/>
        <v>0</v>
      </c>
      <c r="DT67" s="1567">
        <f t="shared" si="657"/>
        <v>0</v>
      </c>
      <c r="DU67" s="1567">
        <f t="shared" si="657"/>
        <v>0</v>
      </c>
      <c r="DV67" s="1567">
        <f t="shared" si="657"/>
        <v>0</v>
      </c>
      <c r="DW67" s="1567">
        <f t="shared" si="657"/>
        <v>0</v>
      </c>
      <c r="DX67" s="1567">
        <f t="shared" si="657"/>
        <v>0</v>
      </c>
      <c r="DY67" s="1567"/>
      <c r="DZ67" s="1567"/>
      <c r="EA67" s="1567"/>
      <c r="EB67" s="1567"/>
      <c r="EC67" s="1567"/>
      <c r="ED67" s="1567">
        <f t="shared" si="657"/>
        <v>0</v>
      </c>
      <c r="EE67" s="79"/>
      <c r="EF67" s="1567">
        <f t="shared" ref="EF67:EZ67" ca="1" si="658">SUBTOTAL(9,EF68:EF69)</f>
        <v>0</v>
      </c>
      <c r="EG67" s="1567">
        <f t="shared" ca="1" si="658"/>
        <v>0</v>
      </c>
      <c r="EH67" s="1567">
        <f t="shared" ca="1" si="658"/>
        <v>0</v>
      </c>
      <c r="EI67" s="1567">
        <f t="shared" ca="1" si="658"/>
        <v>0</v>
      </c>
      <c r="EJ67" s="1567">
        <f t="shared" ca="1" si="658"/>
        <v>0</v>
      </c>
      <c r="EK67" s="1567">
        <f t="shared" ca="1" si="658"/>
        <v>0</v>
      </c>
      <c r="EL67" s="1567">
        <f t="shared" ca="1" si="658"/>
        <v>0</v>
      </c>
      <c r="EM67" s="1567">
        <f t="shared" ca="1" si="658"/>
        <v>0</v>
      </c>
      <c r="EN67" s="1567">
        <f t="shared" ca="1" si="658"/>
        <v>0</v>
      </c>
      <c r="EO67" s="1567">
        <f t="shared" ca="1" si="658"/>
        <v>0</v>
      </c>
      <c r="EP67" s="1567">
        <f t="shared" ca="1" si="658"/>
        <v>0</v>
      </c>
      <c r="EQ67" s="1567">
        <f t="shared" ca="1" si="658"/>
        <v>0</v>
      </c>
      <c r="ER67" s="1567">
        <f t="shared" ca="1" si="658"/>
        <v>0</v>
      </c>
      <c r="ES67" s="1567">
        <f t="shared" ca="1" si="658"/>
        <v>0</v>
      </c>
      <c r="ET67" s="1567">
        <f t="shared" ca="1" si="658"/>
        <v>0</v>
      </c>
      <c r="EU67" s="1567">
        <f t="shared" ca="1" si="658"/>
        <v>0</v>
      </c>
      <c r="EV67" s="1567">
        <f t="shared" ca="1" si="658"/>
        <v>0</v>
      </c>
      <c r="EW67" s="1567">
        <f t="shared" ca="1" si="658"/>
        <v>0</v>
      </c>
      <c r="EX67" s="1567">
        <f t="shared" ca="1" si="658"/>
        <v>0</v>
      </c>
      <c r="EY67" s="1567">
        <f t="shared" ca="1" si="658"/>
        <v>0</v>
      </c>
      <c r="EZ67" s="1567">
        <f t="shared" ca="1" si="658"/>
        <v>0</v>
      </c>
      <c r="FA67" s="1567">
        <f t="shared" ref="FA67:FI67" ca="1" si="659">SUBTOTAL(9,FA68:FA69)</f>
        <v>0</v>
      </c>
      <c r="FB67" s="1567">
        <f t="shared" ca="1" si="659"/>
        <v>0</v>
      </c>
      <c r="FC67" s="1567">
        <f t="shared" ca="1" si="659"/>
        <v>0</v>
      </c>
      <c r="FD67" s="1567">
        <f t="shared" ca="1" si="659"/>
        <v>0</v>
      </c>
      <c r="FE67" s="1567">
        <f t="shared" ca="1" si="659"/>
        <v>0</v>
      </c>
      <c r="FF67" s="1567">
        <f t="shared" ca="1" si="659"/>
        <v>0</v>
      </c>
      <c r="FG67" s="1567">
        <f t="shared" ca="1" si="659"/>
        <v>0</v>
      </c>
      <c r="FH67" s="1567">
        <f t="shared" ca="1" si="659"/>
        <v>0</v>
      </c>
      <c r="FI67" s="1567">
        <f t="shared" ca="1" si="659"/>
        <v>0</v>
      </c>
    </row>
    <row r="68" spans="1:165">
      <c r="A68" s="595"/>
      <c r="B68" s="598"/>
      <c r="C68" s="599"/>
      <c r="F68" s="1500" t="s">
        <v>1663</v>
      </c>
      <c r="G68" s="1568" t="s">
        <v>1718</v>
      </c>
      <c r="H68" s="1598">
        <f>'Sistemas - Cotações'!F12</f>
        <v>0</v>
      </c>
      <c r="I68" s="1598">
        <f>H68*0.6</f>
        <v>0</v>
      </c>
      <c r="J68" s="867">
        <v>10</v>
      </c>
      <c r="K68" s="97"/>
      <c r="L68" s="1479">
        <f>'Sistemas-Manutenção'!L64</f>
        <v>5</v>
      </c>
      <c r="M68" s="1479">
        <f>'Sistemas-Manutenção'!M64</f>
        <v>5</v>
      </c>
      <c r="N68" s="1479">
        <f>'Sistemas-Manutenção'!N64</f>
        <v>5</v>
      </c>
      <c r="O68" s="1479">
        <f>'Sistemas-Manutenção'!O64</f>
        <v>5</v>
      </c>
      <c r="P68" s="1479">
        <f>'Sistemas-Manutenção'!P64</f>
        <v>5</v>
      </c>
      <c r="Q68" s="1479">
        <f>'Sistemas-Manutenção'!Q64</f>
        <v>5</v>
      </c>
      <c r="R68" s="1479">
        <f>'Sistemas-Manutenção'!R64</f>
        <v>5</v>
      </c>
      <c r="S68" s="1479">
        <f>'Sistemas-Manutenção'!S64</f>
        <v>5</v>
      </c>
      <c r="T68" s="1479">
        <f>'Sistemas-Manutenção'!T64</f>
        <v>5</v>
      </c>
      <c r="U68" s="1479">
        <f>'Sistemas-Manutenção'!U64</f>
        <v>5</v>
      </c>
      <c r="V68" s="1479">
        <f>'Sistemas-Manutenção'!V64</f>
        <v>5</v>
      </c>
      <c r="W68" s="1479">
        <f>'Sistemas-Manutenção'!W64</f>
        <v>5</v>
      </c>
      <c r="X68" s="1479">
        <f>'Sistemas-Manutenção'!X64</f>
        <v>5</v>
      </c>
      <c r="Y68" s="1479">
        <f>'Sistemas-Manutenção'!Y64</f>
        <v>5</v>
      </c>
      <c r="Z68" s="1479">
        <f>'Sistemas-Manutenção'!Z64</f>
        <v>5</v>
      </c>
      <c r="AA68" s="1479">
        <f>'Sistemas-Manutenção'!AA64</f>
        <v>5</v>
      </c>
      <c r="AB68" s="1479">
        <f>'Sistemas-Manutenção'!AB64</f>
        <v>5</v>
      </c>
      <c r="AC68" s="1479">
        <f>'Sistemas-Manutenção'!AC64</f>
        <v>5</v>
      </c>
      <c r="AD68" s="1479">
        <f>'Sistemas-Manutenção'!AD64</f>
        <v>5</v>
      </c>
      <c r="AE68" s="1479">
        <f>'Sistemas-Manutenção'!AE64</f>
        <v>5</v>
      </c>
      <c r="AF68" s="1479">
        <f>'Sistemas-Manutenção'!AF64</f>
        <v>5</v>
      </c>
      <c r="AG68" s="1479">
        <f>'Sistemas-Manutenção'!AG64</f>
        <v>5</v>
      </c>
      <c r="AH68" s="1479">
        <f>'Sistemas-Manutenção'!AH64</f>
        <v>5</v>
      </c>
      <c r="AI68" s="1479">
        <f>'Sistemas-Manutenção'!AI64</f>
        <v>5</v>
      </c>
      <c r="AJ68" s="1479">
        <f>'Sistemas-Manutenção'!AJ64</f>
        <v>5</v>
      </c>
      <c r="AK68" s="1479">
        <f>'Sistemas-Manutenção'!AK64</f>
        <v>5</v>
      </c>
      <c r="AL68" s="1479">
        <f>'Sistemas-Manutenção'!AL64</f>
        <v>5</v>
      </c>
      <c r="AM68" s="1479">
        <f>'Sistemas-Manutenção'!AM64</f>
        <v>5</v>
      </c>
      <c r="AN68" s="1479">
        <f>'Sistemas-Manutenção'!AN64</f>
        <v>5</v>
      </c>
      <c r="AO68" s="1479">
        <f>'Sistemas-Manutenção'!AO64</f>
        <v>5</v>
      </c>
      <c r="AP68" s="77"/>
      <c r="AQ68" s="1479">
        <f t="shared" ref="AQ68:BF77" si="660">IF(L68&gt;K68,L68-K68,0)</f>
        <v>5</v>
      </c>
      <c r="AR68" s="1479">
        <f t="shared" si="660"/>
        <v>0</v>
      </c>
      <c r="AS68" s="1479">
        <f t="shared" si="660"/>
        <v>0</v>
      </c>
      <c r="AT68" s="1479">
        <f t="shared" si="660"/>
        <v>0</v>
      </c>
      <c r="AU68" s="1479">
        <f t="shared" si="660"/>
        <v>0</v>
      </c>
      <c r="AV68" s="1479">
        <f t="shared" si="660"/>
        <v>0</v>
      </c>
      <c r="AW68" s="1479">
        <f t="shared" si="660"/>
        <v>0</v>
      </c>
      <c r="AX68" s="1479">
        <f t="shared" si="660"/>
        <v>0</v>
      </c>
      <c r="AY68" s="1479">
        <f t="shared" si="660"/>
        <v>0</v>
      </c>
      <c r="AZ68" s="1479">
        <f t="shared" si="660"/>
        <v>0</v>
      </c>
      <c r="BA68" s="1479">
        <f t="shared" si="660"/>
        <v>0</v>
      </c>
      <c r="BB68" s="1479">
        <f t="shared" si="660"/>
        <v>0</v>
      </c>
      <c r="BC68" s="1479">
        <f t="shared" si="660"/>
        <v>0</v>
      </c>
      <c r="BD68" s="1479">
        <f t="shared" si="660"/>
        <v>0</v>
      </c>
      <c r="BE68" s="1479">
        <f t="shared" si="660"/>
        <v>0</v>
      </c>
      <c r="BF68" s="1479">
        <f t="shared" si="660"/>
        <v>0</v>
      </c>
      <c r="BG68" s="1479">
        <f t="shared" ref="BG68:BN69" si="661">IF(AB68&gt;AA68,AB68-AA68,0)</f>
        <v>0</v>
      </c>
      <c r="BH68" s="1479">
        <f t="shared" si="661"/>
        <v>0</v>
      </c>
      <c r="BI68" s="1479">
        <f t="shared" si="661"/>
        <v>0</v>
      </c>
      <c r="BJ68" s="1479">
        <f t="shared" si="661"/>
        <v>0</v>
      </c>
      <c r="BK68" s="1479">
        <f t="shared" si="661"/>
        <v>0</v>
      </c>
      <c r="BL68" s="1479">
        <f t="shared" si="661"/>
        <v>0</v>
      </c>
      <c r="BM68" s="1479">
        <f t="shared" si="661"/>
        <v>0</v>
      </c>
      <c r="BN68" s="1479">
        <f t="shared" si="661"/>
        <v>0</v>
      </c>
      <c r="BO68" s="1479"/>
      <c r="BP68" s="1479"/>
      <c r="BQ68" s="1479"/>
      <c r="BR68" s="1479"/>
      <c r="BS68" s="1479"/>
      <c r="BT68" s="1479">
        <f>IF(AO68&gt;AI68,AO68-AI68,0)</f>
        <v>0</v>
      </c>
      <c r="BU68" s="77"/>
      <c r="BV68" s="1571">
        <f t="shared" ref="BV68:CE68" ca="1" si="662">IF(L68-SUM(OFFSET(AQ68,,-$J68+1,,$J68))-IF($J68&gt;1,SUM(OFFSET(BV68,,-$J68+1,,$J68-1)),0)&gt;0,L68-SUM(OFFSET(AQ68,,-$J68+1,,$J68))-IF($J68&gt;1,SUM(OFFSET(BV68,,-$J68+1,,$J68-1)),0),0)</f>
        <v>0</v>
      </c>
      <c r="BW68" s="1571">
        <f t="shared" ca="1" si="662"/>
        <v>0</v>
      </c>
      <c r="BX68" s="1571">
        <f t="shared" ca="1" si="662"/>
        <v>0</v>
      </c>
      <c r="BY68" s="1571">
        <f t="shared" ca="1" si="662"/>
        <v>0</v>
      </c>
      <c r="BZ68" s="1571">
        <f t="shared" ca="1" si="662"/>
        <v>0</v>
      </c>
      <c r="CA68" s="1571">
        <f t="shared" ca="1" si="662"/>
        <v>0</v>
      </c>
      <c r="CB68" s="1571">
        <f t="shared" ca="1" si="662"/>
        <v>0</v>
      </c>
      <c r="CC68" s="1571">
        <f t="shared" ca="1" si="662"/>
        <v>0</v>
      </c>
      <c r="CD68" s="1571">
        <f t="shared" ca="1" si="662"/>
        <v>0</v>
      </c>
      <c r="CE68" s="1571">
        <f t="shared" ca="1" si="662"/>
        <v>0</v>
      </c>
      <c r="CF68" s="1571">
        <f t="shared" ref="CF68:CO68" ca="1" si="663">IF(V68-SUM(OFFSET(BA68,,-$J68+1,,$J68))-IF($J68&gt;1,SUM(OFFSET(CF68,,-$J68+1,,$J68-1)),0)&gt;0,V68-SUM(OFFSET(BA68,,-$J68+1,,$J68))-IF($J68&gt;1,SUM(OFFSET(CF68,,-$J68+1,,$J68-1)),0),0)</f>
        <v>5</v>
      </c>
      <c r="CG68" s="1571">
        <f t="shared" ca="1" si="663"/>
        <v>0</v>
      </c>
      <c r="CH68" s="1571">
        <f t="shared" ca="1" si="663"/>
        <v>0</v>
      </c>
      <c r="CI68" s="1571">
        <f t="shared" ca="1" si="663"/>
        <v>0</v>
      </c>
      <c r="CJ68" s="1571">
        <f t="shared" ca="1" si="663"/>
        <v>0</v>
      </c>
      <c r="CK68" s="1571">
        <f t="shared" ca="1" si="663"/>
        <v>0</v>
      </c>
      <c r="CL68" s="1571">
        <f t="shared" ca="1" si="663"/>
        <v>0</v>
      </c>
      <c r="CM68" s="1571">
        <f t="shared" ca="1" si="663"/>
        <v>0</v>
      </c>
      <c r="CN68" s="1571">
        <f t="shared" ca="1" si="663"/>
        <v>0</v>
      </c>
      <c r="CO68" s="1571">
        <f t="shared" ca="1" si="663"/>
        <v>0</v>
      </c>
      <c r="CP68" s="1571">
        <f t="shared" ref="CP68" ca="1" si="664">IF(AF68-SUM(OFFSET(BK68,,-$J68+1,,$J68))-IF($J68&gt;1,SUM(OFFSET(CP68,,-$J68+1,,$J68-1)),0)&gt;0,AF68-SUM(OFFSET(BK68,,-$J68+1,,$J68))-IF($J68&gt;1,SUM(OFFSET(CP68,,-$J68+1,,$J68-1)),0),0)</f>
        <v>5</v>
      </c>
      <c r="CQ68" s="1571">
        <f t="shared" ref="CQ68" ca="1" si="665">IF(AG68-SUM(OFFSET(BL68,,-$J68+1,,$J68))-IF($J68&gt;1,SUM(OFFSET(CQ68,,-$J68+1,,$J68-1)),0)&gt;0,AG68-SUM(OFFSET(BL68,,-$J68+1,,$J68))-IF($J68&gt;1,SUM(OFFSET(CQ68,,-$J68+1,,$J68-1)),0),0)</f>
        <v>0</v>
      </c>
      <c r="CR68" s="1571">
        <f t="shared" ref="CR68" ca="1" si="666">IF(AH68-SUM(OFFSET(BM68,,-$J68+1,,$J68))-IF($J68&gt;1,SUM(OFFSET(CR68,,-$J68+1,,$J68-1)),0)&gt;0,AH68-SUM(OFFSET(BM68,,-$J68+1,,$J68))-IF($J68&gt;1,SUM(OFFSET(CR68,,-$J68+1,,$J68-1)),0),0)</f>
        <v>0</v>
      </c>
      <c r="CS68" s="1571">
        <f t="shared" ref="CS68" ca="1" si="667">IF(AI68-SUM(OFFSET(BN68,,-$J68+1,,$J68))-IF($J68&gt;1,SUM(OFFSET(CS68,,-$J68+1,,$J68-1)),0)&gt;0,AI68-SUM(OFFSET(BN68,,-$J68+1,,$J68))-IF($J68&gt;1,SUM(OFFSET(CS68,,-$J68+1,,$J68-1)),0),0)</f>
        <v>0</v>
      </c>
      <c r="CT68" s="1571">
        <f t="shared" ref="CT68" ca="1" si="668">IF(AJ68-SUM(OFFSET(BT68,,-$J68+1,,$J68))-IF($J68&gt;1,SUM(OFFSET(CT68,,-$J68+1,,$J68-1)),0)&gt;0,AJ68-SUM(OFFSET(BT68,,-$J68+1,,$J68))-IF($J68&gt;1,SUM(OFFSET(CT68,,-$J68+1,,$J68-1)),0),0)</f>
        <v>0</v>
      </c>
      <c r="CU68" s="1571">
        <f t="shared" ref="CU68" ca="1" si="669">IF(AK68-SUM(OFFSET(BU68,,-$J68+1,,$J68))-IF($J68&gt;1,SUM(OFFSET(CU68,,-$J68+1,,$J68-1)),0)&gt;0,AK68-SUM(OFFSET(BU68,,-$J68+1,,$J68))-IF($J68&gt;1,SUM(OFFSET(CU68,,-$J68+1,,$J68-1)),0),0)</f>
        <v>0</v>
      </c>
      <c r="CV68" s="1571">
        <f t="shared" ref="CV68" ca="1" si="670">IF(AL68-SUM(OFFSET(BV68,,-$J68+1,,$J68))-IF($J68&gt;1,SUM(OFFSET(CV68,,-$J68+1,,$J68-1)),0)&gt;0,AL68-SUM(OFFSET(BV68,,-$J68+1,,$J68))-IF($J68&gt;1,SUM(OFFSET(CV68,,-$J68+1,,$J68-1)),0),0)</f>
        <v>0</v>
      </c>
      <c r="CW68" s="1571">
        <f t="shared" ref="CW68" ca="1" si="671">IF(AM68-SUM(OFFSET(BW68,,-$J68+1,,$J68))-IF($J68&gt;1,SUM(OFFSET(CW68,,-$J68+1,,$J68-1)),0)&gt;0,AM68-SUM(OFFSET(BW68,,-$J68+1,,$J68))-IF($J68&gt;1,SUM(OFFSET(CW68,,-$J68+1,,$J68-1)),0),0)</f>
        <v>0</v>
      </c>
      <c r="CX68" s="1571">
        <f t="shared" ref="CX68" ca="1" si="672">IF(AN68-SUM(OFFSET(BX68,,-$J68+1,,$J68))-IF($J68&gt;1,SUM(OFFSET(CX68,,-$J68+1,,$J68-1)),0)&gt;0,AN68-SUM(OFFSET(BX68,,-$J68+1,,$J68))-IF($J68&gt;1,SUM(OFFSET(CX68,,-$J68+1,,$J68-1)),0),0)</f>
        <v>0</v>
      </c>
      <c r="CY68" s="1571">
        <f t="shared" ref="CY68" ca="1" si="673">IF(AO68-SUM(OFFSET(BY68,,-$J68+1,,$J68))-IF($J68&gt;1,SUM(OFFSET(CY68,,-$J68+1,,$J68-1)),0)&gt;0,AO68-SUM(OFFSET(BY68,,-$J68+1,,$J68))-IF($J68&gt;1,SUM(OFFSET(CY68,,-$J68+1,,$J68-1)),0),0)</f>
        <v>0</v>
      </c>
      <c r="CZ68" s="78"/>
      <c r="DA68" s="1572">
        <f t="shared" ref="DA68:DP69" si="674">AQ68*$H68</f>
        <v>0</v>
      </c>
      <c r="DB68" s="1572">
        <f t="shared" si="674"/>
        <v>0</v>
      </c>
      <c r="DC68" s="1572">
        <f t="shared" si="674"/>
        <v>0</v>
      </c>
      <c r="DD68" s="1572">
        <f t="shared" si="674"/>
        <v>0</v>
      </c>
      <c r="DE68" s="1572">
        <f t="shared" si="674"/>
        <v>0</v>
      </c>
      <c r="DF68" s="1572">
        <f t="shared" si="674"/>
        <v>0</v>
      </c>
      <c r="DG68" s="1572">
        <f t="shared" si="674"/>
        <v>0</v>
      </c>
      <c r="DH68" s="1572">
        <f t="shared" si="674"/>
        <v>0</v>
      </c>
      <c r="DI68" s="1572">
        <f t="shared" si="674"/>
        <v>0</v>
      </c>
      <c r="DJ68" s="1572">
        <f t="shared" si="674"/>
        <v>0</v>
      </c>
      <c r="DK68" s="1572">
        <f t="shared" si="674"/>
        <v>0</v>
      </c>
      <c r="DL68" s="1572">
        <f t="shared" si="674"/>
        <v>0</v>
      </c>
      <c r="DM68" s="1572">
        <f t="shared" si="674"/>
        <v>0</v>
      </c>
      <c r="DN68" s="1572">
        <f t="shared" si="674"/>
        <v>0</v>
      </c>
      <c r="DO68" s="1572">
        <f t="shared" si="674"/>
        <v>0</v>
      </c>
      <c r="DP68" s="1572">
        <f t="shared" si="674"/>
        <v>0</v>
      </c>
      <c r="DQ68" s="1572">
        <f t="shared" ref="DK68:DX69" si="675">BG68*$H68</f>
        <v>0</v>
      </c>
      <c r="DR68" s="1572">
        <f t="shared" si="675"/>
        <v>0</v>
      </c>
      <c r="DS68" s="1572">
        <f t="shared" si="675"/>
        <v>0</v>
      </c>
      <c r="DT68" s="1572">
        <f t="shared" si="675"/>
        <v>0</v>
      </c>
      <c r="DU68" s="1572">
        <f t="shared" si="675"/>
        <v>0</v>
      </c>
      <c r="DV68" s="1572">
        <f t="shared" si="675"/>
        <v>0</v>
      </c>
      <c r="DW68" s="1572">
        <f t="shared" si="675"/>
        <v>0</v>
      </c>
      <c r="DX68" s="1572">
        <f t="shared" si="675"/>
        <v>0</v>
      </c>
      <c r="DY68" s="1572"/>
      <c r="DZ68" s="1572"/>
      <c r="EA68" s="1572"/>
      <c r="EB68" s="1572"/>
      <c r="EC68" s="1572"/>
      <c r="ED68" s="1572">
        <f>BT68*$H68</f>
        <v>0</v>
      </c>
      <c r="EE68" s="79"/>
      <c r="EF68" s="1572">
        <f t="shared" ref="EF68:EU69" ca="1" si="676">BV68*$I68</f>
        <v>0</v>
      </c>
      <c r="EG68" s="1572">
        <f t="shared" ca="1" si="676"/>
        <v>0</v>
      </c>
      <c r="EH68" s="1572">
        <f t="shared" ca="1" si="676"/>
        <v>0</v>
      </c>
      <c r="EI68" s="1572">
        <f t="shared" ca="1" si="676"/>
        <v>0</v>
      </c>
      <c r="EJ68" s="1572">
        <f t="shared" ca="1" si="676"/>
        <v>0</v>
      </c>
      <c r="EK68" s="1572">
        <f t="shared" ca="1" si="676"/>
        <v>0</v>
      </c>
      <c r="EL68" s="1572">
        <f t="shared" ca="1" si="676"/>
        <v>0</v>
      </c>
      <c r="EM68" s="1572">
        <f t="shared" ca="1" si="676"/>
        <v>0</v>
      </c>
      <c r="EN68" s="1572">
        <f t="shared" ca="1" si="676"/>
        <v>0</v>
      </c>
      <c r="EO68" s="1572">
        <f t="shared" ca="1" si="676"/>
        <v>0</v>
      </c>
      <c r="EP68" s="1572">
        <f t="shared" ca="1" si="676"/>
        <v>0</v>
      </c>
      <c r="EQ68" s="1572">
        <f t="shared" ca="1" si="676"/>
        <v>0</v>
      </c>
      <c r="ER68" s="1572">
        <f t="shared" ca="1" si="676"/>
        <v>0</v>
      </c>
      <c r="ES68" s="1572">
        <f t="shared" ca="1" si="676"/>
        <v>0</v>
      </c>
      <c r="ET68" s="1572">
        <f t="shared" ca="1" si="676"/>
        <v>0</v>
      </c>
      <c r="EU68" s="1572">
        <f t="shared" ca="1" si="676"/>
        <v>0</v>
      </c>
      <c r="EV68" s="1572">
        <f t="shared" ref="EV68:EZ69" ca="1" si="677">CL68*$I68</f>
        <v>0</v>
      </c>
      <c r="EW68" s="1572">
        <f t="shared" ca="1" si="677"/>
        <v>0</v>
      </c>
      <c r="EX68" s="1572">
        <f t="shared" ca="1" si="677"/>
        <v>0</v>
      </c>
      <c r="EY68" s="1572">
        <f t="shared" ca="1" si="677"/>
        <v>0</v>
      </c>
      <c r="EZ68" s="1572">
        <f t="shared" ca="1" si="677"/>
        <v>0</v>
      </c>
      <c r="FA68" s="1572">
        <f t="shared" ref="FA68:FA69" ca="1" si="678">CQ68*$I68</f>
        <v>0</v>
      </c>
      <c r="FB68" s="1572">
        <f t="shared" ref="FB68:FB69" ca="1" si="679">CR68*$I68</f>
        <v>0</v>
      </c>
      <c r="FC68" s="1572">
        <f t="shared" ref="FC68:FC69" ca="1" si="680">CS68*$I68</f>
        <v>0</v>
      </c>
      <c r="FD68" s="1572">
        <f t="shared" ref="FD68:FD69" ca="1" si="681">CT68*$I68</f>
        <v>0</v>
      </c>
      <c r="FE68" s="1572">
        <f t="shared" ref="FE68:FE69" ca="1" si="682">CU68*$I68</f>
        <v>0</v>
      </c>
      <c r="FF68" s="1572">
        <f t="shared" ref="FF68:FF69" ca="1" si="683">CV68*$I68</f>
        <v>0</v>
      </c>
      <c r="FG68" s="1572">
        <f t="shared" ref="FG68:FG69" ca="1" si="684">CW68*$I68</f>
        <v>0</v>
      </c>
      <c r="FH68" s="1572">
        <f t="shared" ref="FH68:FH69" ca="1" si="685">CX68*$I68</f>
        <v>0</v>
      </c>
      <c r="FI68" s="1572">
        <f t="shared" ref="FI68:FI69" ca="1" si="686">CY68*$I68</f>
        <v>0</v>
      </c>
    </row>
    <row r="69" spans="1:165">
      <c r="A69" s="595"/>
      <c r="B69" s="598"/>
      <c r="C69" s="599"/>
      <c r="F69" s="1499" t="s">
        <v>1735</v>
      </c>
      <c r="G69" s="1568"/>
      <c r="H69" s="1598">
        <f>'Sistemas - Cotações'!F13</f>
        <v>0</v>
      </c>
      <c r="I69" s="1598">
        <f>H69*0.8</f>
        <v>0</v>
      </c>
      <c r="J69" s="867">
        <f>'Sistemas - Cotações'!H13</f>
        <v>0</v>
      </c>
      <c r="K69" s="97"/>
      <c r="L69" s="1479">
        <f>'Sistemas-Manutenção'!L65</f>
        <v>1</v>
      </c>
      <c r="M69" s="1479">
        <f>'Sistemas-Manutenção'!M65</f>
        <v>1</v>
      </c>
      <c r="N69" s="1479">
        <f>'Sistemas-Manutenção'!N65</f>
        <v>1</v>
      </c>
      <c r="O69" s="1479">
        <f>'Sistemas-Manutenção'!O65</f>
        <v>1</v>
      </c>
      <c r="P69" s="1479">
        <f>'Sistemas-Manutenção'!P65</f>
        <v>1</v>
      </c>
      <c r="Q69" s="1479">
        <f>'Sistemas-Manutenção'!Q65</f>
        <v>1</v>
      </c>
      <c r="R69" s="1479">
        <f>'Sistemas-Manutenção'!R65</f>
        <v>1</v>
      </c>
      <c r="S69" s="1479">
        <f>'Sistemas-Manutenção'!S65</f>
        <v>1</v>
      </c>
      <c r="T69" s="1479">
        <f>'Sistemas-Manutenção'!T65</f>
        <v>1</v>
      </c>
      <c r="U69" s="1479">
        <f>'Sistemas-Manutenção'!U65</f>
        <v>1</v>
      </c>
      <c r="V69" s="1479">
        <f>'Sistemas-Manutenção'!V65</f>
        <v>1</v>
      </c>
      <c r="W69" s="1479">
        <f>'Sistemas-Manutenção'!W65</f>
        <v>1</v>
      </c>
      <c r="X69" s="1479">
        <f>'Sistemas-Manutenção'!X65</f>
        <v>1</v>
      </c>
      <c r="Y69" s="1479">
        <f>'Sistemas-Manutenção'!Y65</f>
        <v>1</v>
      </c>
      <c r="Z69" s="1479">
        <f>'Sistemas-Manutenção'!Z65</f>
        <v>1</v>
      </c>
      <c r="AA69" s="1479">
        <f>'Sistemas-Manutenção'!AA65</f>
        <v>1</v>
      </c>
      <c r="AB69" s="1479">
        <f>'Sistemas-Manutenção'!AB65</f>
        <v>1</v>
      </c>
      <c r="AC69" s="1479">
        <f>'Sistemas-Manutenção'!AC65</f>
        <v>1</v>
      </c>
      <c r="AD69" s="1479">
        <f>'Sistemas-Manutenção'!AD65</f>
        <v>1</v>
      </c>
      <c r="AE69" s="1479">
        <f>'Sistemas-Manutenção'!AE65</f>
        <v>1</v>
      </c>
      <c r="AF69" s="1479">
        <f>'Sistemas-Manutenção'!AF65</f>
        <v>1</v>
      </c>
      <c r="AG69" s="1479">
        <f>'Sistemas-Manutenção'!AG65</f>
        <v>1</v>
      </c>
      <c r="AH69" s="1479">
        <f>'Sistemas-Manutenção'!AH65</f>
        <v>1</v>
      </c>
      <c r="AI69" s="1479">
        <f>'Sistemas-Manutenção'!AI65</f>
        <v>1</v>
      </c>
      <c r="AJ69" s="1479">
        <f>'Sistemas-Manutenção'!AJ65</f>
        <v>1</v>
      </c>
      <c r="AK69" s="1479">
        <f>'Sistemas-Manutenção'!AK65</f>
        <v>1</v>
      </c>
      <c r="AL69" s="1479">
        <f>'Sistemas-Manutenção'!AL65</f>
        <v>1</v>
      </c>
      <c r="AM69" s="1479">
        <f>'Sistemas-Manutenção'!AM65</f>
        <v>1</v>
      </c>
      <c r="AN69" s="1479">
        <f>'Sistemas-Manutenção'!AN65</f>
        <v>1</v>
      </c>
      <c r="AO69" s="1479">
        <f>'Sistemas-Manutenção'!AO65</f>
        <v>1</v>
      </c>
      <c r="AP69" s="77"/>
      <c r="AQ69" s="1479">
        <f t="shared" si="660"/>
        <v>1</v>
      </c>
      <c r="AR69" s="1479">
        <f t="shared" si="660"/>
        <v>0</v>
      </c>
      <c r="AS69" s="1479">
        <f t="shared" si="660"/>
        <v>0</v>
      </c>
      <c r="AT69" s="1479">
        <f t="shared" si="660"/>
        <v>0</v>
      </c>
      <c r="AU69" s="1479">
        <f t="shared" si="660"/>
        <v>0</v>
      </c>
      <c r="AV69" s="1479">
        <f t="shared" si="660"/>
        <v>0</v>
      </c>
      <c r="AW69" s="1479">
        <f t="shared" si="660"/>
        <v>0</v>
      </c>
      <c r="AX69" s="1479">
        <f t="shared" si="660"/>
        <v>0</v>
      </c>
      <c r="AY69" s="1479">
        <f t="shared" si="660"/>
        <v>0</v>
      </c>
      <c r="AZ69" s="1479">
        <f t="shared" si="660"/>
        <v>0</v>
      </c>
      <c r="BA69" s="1479">
        <f t="shared" ref="BA69:BF69" si="687">IF(V69&gt;U69,V69-U69,0)</f>
        <v>0</v>
      </c>
      <c r="BB69" s="1479">
        <f t="shared" si="687"/>
        <v>0</v>
      </c>
      <c r="BC69" s="1479">
        <f t="shared" si="687"/>
        <v>0</v>
      </c>
      <c r="BD69" s="1479">
        <f t="shared" si="687"/>
        <v>0</v>
      </c>
      <c r="BE69" s="1479">
        <f t="shared" si="687"/>
        <v>0</v>
      </c>
      <c r="BF69" s="1479">
        <f t="shared" si="687"/>
        <v>0</v>
      </c>
      <c r="BG69" s="1479">
        <f t="shared" si="661"/>
        <v>0</v>
      </c>
      <c r="BH69" s="1479">
        <f t="shared" si="661"/>
        <v>0</v>
      </c>
      <c r="BI69" s="1479">
        <f t="shared" si="661"/>
        <v>0</v>
      </c>
      <c r="BJ69" s="1479">
        <f t="shared" si="661"/>
        <v>0</v>
      </c>
      <c r="BK69" s="1479">
        <f t="shared" si="661"/>
        <v>0</v>
      </c>
      <c r="BL69" s="1479">
        <f t="shared" si="661"/>
        <v>0</v>
      </c>
      <c r="BM69" s="1479">
        <f t="shared" si="661"/>
        <v>0</v>
      </c>
      <c r="BN69" s="1479">
        <f t="shared" si="661"/>
        <v>0</v>
      </c>
      <c r="BO69" s="1479"/>
      <c r="BP69" s="1479"/>
      <c r="BQ69" s="1479"/>
      <c r="BR69" s="1479"/>
      <c r="BS69" s="1479"/>
      <c r="BT69" s="1479">
        <f>IF(AO69&gt;AI69,AO69-AI69,0)</f>
        <v>0</v>
      </c>
      <c r="BU69" s="77"/>
      <c r="BV69" s="1571"/>
      <c r="BW69" s="1571"/>
      <c r="BX69" s="1571"/>
      <c r="BY69" s="1571"/>
      <c r="BZ69" s="1571"/>
      <c r="CA69" s="1571"/>
      <c r="CB69" s="1571"/>
      <c r="CC69" s="1571"/>
      <c r="CD69" s="1571"/>
      <c r="CE69" s="1571"/>
      <c r="CF69" s="1571"/>
      <c r="CG69" s="1571"/>
      <c r="CH69" s="1571"/>
      <c r="CI69" s="1571"/>
      <c r="CJ69" s="1571"/>
      <c r="CK69" s="1571"/>
      <c r="CL69" s="1571"/>
      <c r="CM69" s="1571"/>
      <c r="CN69" s="1571"/>
      <c r="CO69" s="1571"/>
      <c r="CP69" s="1571"/>
      <c r="CQ69" s="1571"/>
      <c r="CR69" s="1571"/>
      <c r="CS69" s="1571"/>
      <c r="CT69" s="1571"/>
      <c r="CU69" s="1571"/>
      <c r="CV69" s="1571"/>
      <c r="CW69" s="1571"/>
      <c r="CX69" s="1571"/>
      <c r="CY69" s="1571"/>
      <c r="CZ69" s="78"/>
      <c r="DA69" s="1572">
        <f t="shared" si="674"/>
        <v>0</v>
      </c>
      <c r="DB69" s="1572">
        <f t="shared" si="674"/>
        <v>0</v>
      </c>
      <c r="DC69" s="1572">
        <f t="shared" si="674"/>
        <v>0</v>
      </c>
      <c r="DD69" s="1572">
        <f t="shared" si="674"/>
        <v>0</v>
      </c>
      <c r="DE69" s="1572">
        <f t="shared" si="674"/>
        <v>0</v>
      </c>
      <c r="DF69" s="1572">
        <f t="shared" si="674"/>
        <v>0</v>
      </c>
      <c r="DG69" s="1572">
        <f t="shared" si="674"/>
        <v>0</v>
      </c>
      <c r="DH69" s="1572">
        <f t="shared" si="674"/>
        <v>0</v>
      </c>
      <c r="DI69" s="1572">
        <f t="shared" si="674"/>
        <v>0</v>
      </c>
      <c r="DJ69" s="1572">
        <f t="shared" si="674"/>
        <v>0</v>
      </c>
      <c r="DK69" s="1572">
        <f t="shared" si="675"/>
        <v>0</v>
      </c>
      <c r="DL69" s="1572">
        <f t="shared" si="675"/>
        <v>0</v>
      </c>
      <c r="DM69" s="1572">
        <f t="shared" si="675"/>
        <v>0</v>
      </c>
      <c r="DN69" s="1572">
        <f t="shared" si="675"/>
        <v>0</v>
      </c>
      <c r="DO69" s="1572">
        <f t="shared" si="675"/>
        <v>0</v>
      </c>
      <c r="DP69" s="1572">
        <f t="shared" si="675"/>
        <v>0</v>
      </c>
      <c r="DQ69" s="1572">
        <f t="shared" si="675"/>
        <v>0</v>
      </c>
      <c r="DR69" s="1572">
        <f t="shared" si="675"/>
        <v>0</v>
      </c>
      <c r="DS69" s="1572">
        <f t="shared" si="675"/>
        <v>0</v>
      </c>
      <c r="DT69" s="1572">
        <f t="shared" si="675"/>
        <v>0</v>
      </c>
      <c r="DU69" s="1572">
        <f t="shared" si="675"/>
        <v>0</v>
      </c>
      <c r="DV69" s="1572">
        <f t="shared" si="675"/>
        <v>0</v>
      </c>
      <c r="DW69" s="1572">
        <f t="shared" si="675"/>
        <v>0</v>
      </c>
      <c r="DX69" s="1572">
        <f t="shared" si="675"/>
        <v>0</v>
      </c>
      <c r="DY69" s="1572"/>
      <c r="DZ69" s="1572"/>
      <c r="EA69" s="1572"/>
      <c r="EB69" s="1572"/>
      <c r="EC69" s="1572"/>
      <c r="ED69" s="1572">
        <f>BT69*$H69</f>
        <v>0</v>
      </c>
      <c r="EE69" s="79"/>
      <c r="EF69" s="1572">
        <f t="shared" si="676"/>
        <v>0</v>
      </c>
      <c r="EG69" s="1572">
        <f t="shared" si="676"/>
        <v>0</v>
      </c>
      <c r="EH69" s="1572">
        <f t="shared" si="676"/>
        <v>0</v>
      </c>
      <c r="EI69" s="1572">
        <f t="shared" si="676"/>
        <v>0</v>
      </c>
      <c r="EJ69" s="1572">
        <f t="shared" si="676"/>
        <v>0</v>
      </c>
      <c r="EK69" s="1572">
        <f t="shared" si="676"/>
        <v>0</v>
      </c>
      <c r="EL69" s="1572">
        <f t="shared" si="676"/>
        <v>0</v>
      </c>
      <c r="EM69" s="1572">
        <f t="shared" si="676"/>
        <v>0</v>
      </c>
      <c r="EN69" s="1572">
        <f t="shared" si="676"/>
        <v>0</v>
      </c>
      <c r="EO69" s="1572">
        <f t="shared" si="676"/>
        <v>0</v>
      </c>
      <c r="EP69" s="1572">
        <f t="shared" ref="EP69:EU69" si="688">CF69*$I69</f>
        <v>0</v>
      </c>
      <c r="EQ69" s="1572">
        <f t="shared" si="688"/>
        <v>0</v>
      </c>
      <c r="ER69" s="1572">
        <f t="shared" si="688"/>
        <v>0</v>
      </c>
      <c r="ES69" s="1572">
        <f t="shared" si="688"/>
        <v>0</v>
      </c>
      <c r="ET69" s="1572">
        <f t="shared" si="688"/>
        <v>0</v>
      </c>
      <c r="EU69" s="1572">
        <f t="shared" si="688"/>
        <v>0</v>
      </c>
      <c r="EV69" s="1572">
        <f t="shared" si="677"/>
        <v>0</v>
      </c>
      <c r="EW69" s="1572">
        <f t="shared" si="677"/>
        <v>0</v>
      </c>
      <c r="EX69" s="1572">
        <f t="shared" si="677"/>
        <v>0</v>
      </c>
      <c r="EY69" s="1572">
        <f t="shared" si="677"/>
        <v>0</v>
      </c>
      <c r="EZ69" s="1572">
        <f t="shared" si="677"/>
        <v>0</v>
      </c>
      <c r="FA69" s="1572">
        <f t="shared" si="678"/>
        <v>0</v>
      </c>
      <c r="FB69" s="1572">
        <f t="shared" si="679"/>
        <v>0</v>
      </c>
      <c r="FC69" s="1572">
        <f t="shared" si="680"/>
        <v>0</v>
      </c>
      <c r="FD69" s="1572">
        <f t="shared" si="681"/>
        <v>0</v>
      </c>
      <c r="FE69" s="1572">
        <f t="shared" si="682"/>
        <v>0</v>
      </c>
      <c r="FF69" s="1572">
        <f t="shared" si="683"/>
        <v>0</v>
      </c>
      <c r="FG69" s="1572">
        <f t="shared" si="684"/>
        <v>0</v>
      </c>
      <c r="FH69" s="1572">
        <f t="shared" si="685"/>
        <v>0</v>
      </c>
      <c r="FI69" s="1572">
        <f t="shared" si="686"/>
        <v>0</v>
      </c>
    </row>
    <row r="70" spans="1:165">
      <c r="A70" s="595"/>
      <c r="B70" s="598"/>
      <c r="C70" s="599"/>
      <c r="D70" s="68" t="s">
        <v>1736</v>
      </c>
      <c r="E70" s="68" t="str">
        <f>LEFT(D70,LEN(D70)-1) &amp; RIGHT(D70,1)+1</f>
        <v>8.8.1.2.2</v>
      </c>
      <c r="F70" s="1607" t="s">
        <v>1665</v>
      </c>
      <c r="G70" s="400" t="s">
        <v>1717</v>
      </c>
      <c r="H70" s="315">
        <f>SUM(DA70:ED70)</f>
        <v>0</v>
      </c>
      <c r="I70" s="316">
        <f ca="1">SUM(EF70:FI70)</f>
        <v>0</v>
      </c>
      <c r="J70" s="867"/>
      <c r="K70" s="97"/>
      <c r="L70" s="1479">
        <f>'Sistemas-Manutenção'!L66</f>
        <v>0</v>
      </c>
      <c r="M70" s="1479">
        <f>'Sistemas-Manutenção'!M66</f>
        <v>0</v>
      </c>
      <c r="N70" s="1479">
        <f>'Sistemas-Manutenção'!N66</f>
        <v>0</v>
      </c>
      <c r="O70" s="1479">
        <f>'Sistemas-Manutenção'!O66</f>
        <v>0</v>
      </c>
      <c r="P70" s="1479">
        <f>'Sistemas-Manutenção'!P66</f>
        <v>0</v>
      </c>
      <c r="Q70" s="1479">
        <f>'Sistemas-Manutenção'!Q66</f>
        <v>0</v>
      </c>
      <c r="R70" s="1479">
        <f>'Sistemas-Manutenção'!R66</f>
        <v>0</v>
      </c>
      <c r="S70" s="1479">
        <f>'Sistemas-Manutenção'!S66</f>
        <v>0</v>
      </c>
      <c r="T70" s="1479">
        <f>'Sistemas-Manutenção'!T66</f>
        <v>0</v>
      </c>
      <c r="U70" s="1479">
        <f>'Sistemas-Manutenção'!U66</f>
        <v>0</v>
      </c>
      <c r="V70" s="1479">
        <f>'Sistemas-Manutenção'!V66</f>
        <v>0</v>
      </c>
      <c r="W70" s="1479">
        <f>'Sistemas-Manutenção'!W66</f>
        <v>0</v>
      </c>
      <c r="X70" s="1479">
        <f>'Sistemas-Manutenção'!X66</f>
        <v>0</v>
      </c>
      <c r="Y70" s="1479">
        <f>'Sistemas-Manutenção'!Y66</f>
        <v>0</v>
      </c>
      <c r="Z70" s="1479">
        <f>'Sistemas-Manutenção'!Z66</f>
        <v>0</v>
      </c>
      <c r="AA70" s="1479">
        <f>'Sistemas-Manutenção'!AA66</f>
        <v>0</v>
      </c>
      <c r="AB70" s="1479">
        <f>'Sistemas-Manutenção'!AB66</f>
        <v>0</v>
      </c>
      <c r="AC70" s="1479">
        <f>'Sistemas-Manutenção'!AC66</f>
        <v>0</v>
      </c>
      <c r="AD70" s="1479">
        <f>'Sistemas-Manutenção'!AD66</f>
        <v>0</v>
      </c>
      <c r="AE70" s="1479">
        <f>'Sistemas-Manutenção'!AE66</f>
        <v>0</v>
      </c>
      <c r="AF70" s="1479">
        <f>'Sistemas-Manutenção'!AF66</f>
        <v>0</v>
      </c>
      <c r="AG70" s="1479">
        <f>'Sistemas-Manutenção'!AG66</f>
        <v>0</v>
      </c>
      <c r="AH70" s="1479">
        <f>'Sistemas-Manutenção'!AH66</f>
        <v>0</v>
      </c>
      <c r="AI70" s="1479">
        <f>'Sistemas-Manutenção'!AI66</f>
        <v>0</v>
      </c>
      <c r="AJ70" s="1479">
        <f>'Sistemas-Manutenção'!AJ66</f>
        <v>0</v>
      </c>
      <c r="AK70" s="1479">
        <f>'Sistemas-Manutenção'!AK66</f>
        <v>0</v>
      </c>
      <c r="AL70" s="1479">
        <f>'Sistemas-Manutenção'!AL66</f>
        <v>0</v>
      </c>
      <c r="AM70" s="1479">
        <f>'Sistemas-Manutenção'!AM66</f>
        <v>0</v>
      </c>
      <c r="AN70" s="1479">
        <f>'Sistemas-Manutenção'!AN66</f>
        <v>0</v>
      </c>
      <c r="AO70" s="1479">
        <f>'Sistemas-Manutenção'!AO66</f>
        <v>0</v>
      </c>
      <c r="AP70" s="77"/>
      <c r="AQ70" s="1479"/>
      <c r="AR70" s="1479"/>
      <c r="AS70" s="1479"/>
      <c r="AT70" s="1479"/>
      <c r="AU70" s="1479"/>
      <c r="AV70" s="1479"/>
      <c r="AW70" s="1479"/>
      <c r="AX70" s="1479"/>
      <c r="AY70" s="1479"/>
      <c r="AZ70" s="1479"/>
      <c r="BA70" s="1479"/>
      <c r="BB70" s="1479"/>
      <c r="BC70" s="1479"/>
      <c r="BD70" s="1479"/>
      <c r="BE70" s="1479"/>
      <c r="BF70" s="1479"/>
      <c r="BG70" s="1479"/>
      <c r="BH70" s="1479"/>
      <c r="BI70" s="1479"/>
      <c r="BJ70" s="1479"/>
      <c r="BK70" s="1479"/>
      <c r="BL70" s="1479"/>
      <c r="BM70" s="1479"/>
      <c r="BN70" s="1479"/>
      <c r="BO70" s="1479"/>
      <c r="BP70" s="1479"/>
      <c r="BQ70" s="1479"/>
      <c r="BR70" s="1479"/>
      <c r="BS70" s="1479"/>
      <c r="BT70" s="1479"/>
      <c r="BU70" s="77"/>
      <c r="BV70" s="1571"/>
      <c r="BW70" s="1571"/>
      <c r="BX70" s="1571"/>
      <c r="BY70" s="1571"/>
      <c r="BZ70" s="1571"/>
      <c r="CA70" s="1571"/>
      <c r="CB70" s="1571"/>
      <c r="CC70" s="1571"/>
      <c r="CD70" s="1571"/>
      <c r="CE70" s="1571"/>
      <c r="CF70" s="1571"/>
      <c r="CG70" s="1571"/>
      <c r="CH70" s="1571"/>
      <c r="CI70" s="1571"/>
      <c r="CJ70" s="1571"/>
      <c r="CK70" s="1571"/>
      <c r="CL70" s="1571"/>
      <c r="CM70" s="1571"/>
      <c r="CN70" s="1571"/>
      <c r="CO70" s="1571"/>
      <c r="CP70" s="1571"/>
      <c r="CQ70" s="1571"/>
      <c r="CR70" s="1571"/>
      <c r="CS70" s="1571"/>
      <c r="CT70" s="1571"/>
      <c r="CU70" s="1571"/>
      <c r="CV70" s="1571"/>
      <c r="CW70" s="1571"/>
      <c r="CX70" s="1571"/>
      <c r="CY70" s="1571"/>
      <c r="CZ70" s="78"/>
      <c r="DA70" s="1567">
        <f t="shared" ref="DA70:ED70" si="689">SUBTOTAL(9,DA71:DA72)</f>
        <v>0</v>
      </c>
      <c r="DB70" s="1567">
        <f t="shared" si="689"/>
        <v>0</v>
      </c>
      <c r="DC70" s="1567">
        <f t="shared" si="689"/>
        <v>0</v>
      </c>
      <c r="DD70" s="1567">
        <f t="shared" si="689"/>
        <v>0</v>
      </c>
      <c r="DE70" s="1567">
        <f t="shared" si="689"/>
        <v>0</v>
      </c>
      <c r="DF70" s="1567">
        <f t="shared" si="689"/>
        <v>0</v>
      </c>
      <c r="DG70" s="1567">
        <f t="shared" si="689"/>
        <v>0</v>
      </c>
      <c r="DH70" s="1567">
        <f t="shared" si="689"/>
        <v>0</v>
      </c>
      <c r="DI70" s="1567">
        <f t="shared" si="689"/>
        <v>0</v>
      </c>
      <c r="DJ70" s="1567">
        <f t="shared" si="689"/>
        <v>0</v>
      </c>
      <c r="DK70" s="1567">
        <f t="shared" si="689"/>
        <v>0</v>
      </c>
      <c r="DL70" s="1567">
        <f t="shared" si="689"/>
        <v>0</v>
      </c>
      <c r="DM70" s="1567">
        <f t="shared" si="689"/>
        <v>0</v>
      </c>
      <c r="DN70" s="1567">
        <f t="shared" si="689"/>
        <v>0</v>
      </c>
      <c r="DO70" s="1567">
        <f t="shared" si="689"/>
        <v>0</v>
      </c>
      <c r="DP70" s="1567">
        <f t="shared" si="689"/>
        <v>0</v>
      </c>
      <c r="DQ70" s="1567">
        <f t="shared" si="689"/>
        <v>0</v>
      </c>
      <c r="DR70" s="1567">
        <f t="shared" si="689"/>
        <v>0</v>
      </c>
      <c r="DS70" s="1567">
        <f t="shared" si="689"/>
        <v>0</v>
      </c>
      <c r="DT70" s="1567">
        <f t="shared" si="689"/>
        <v>0</v>
      </c>
      <c r="DU70" s="1567">
        <f t="shared" si="689"/>
        <v>0</v>
      </c>
      <c r="DV70" s="1567">
        <f t="shared" si="689"/>
        <v>0</v>
      </c>
      <c r="DW70" s="1567">
        <f t="shared" si="689"/>
        <v>0</v>
      </c>
      <c r="DX70" s="1567">
        <f t="shared" si="689"/>
        <v>0</v>
      </c>
      <c r="DY70" s="1567"/>
      <c r="DZ70" s="1567"/>
      <c r="EA70" s="1567"/>
      <c r="EB70" s="1567"/>
      <c r="EC70" s="1567"/>
      <c r="ED70" s="1567">
        <f t="shared" si="689"/>
        <v>0</v>
      </c>
      <c r="EE70" s="79"/>
      <c r="EF70" s="1567">
        <f t="shared" ref="EF70:EZ70" ca="1" si="690">SUBTOTAL(9,EF71:EF72)</f>
        <v>0</v>
      </c>
      <c r="EG70" s="1567">
        <f t="shared" ca="1" si="690"/>
        <v>0</v>
      </c>
      <c r="EH70" s="1567">
        <f t="shared" ca="1" si="690"/>
        <v>0</v>
      </c>
      <c r="EI70" s="1567">
        <f t="shared" ca="1" si="690"/>
        <v>0</v>
      </c>
      <c r="EJ70" s="1567">
        <f t="shared" ca="1" si="690"/>
        <v>0</v>
      </c>
      <c r="EK70" s="1567">
        <f t="shared" ca="1" si="690"/>
        <v>0</v>
      </c>
      <c r="EL70" s="1567">
        <f t="shared" ca="1" si="690"/>
        <v>0</v>
      </c>
      <c r="EM70" s="1567">
        <f t="shared" ca="1" si="690"/>
        <v>0</v>
      </c>
      <c r="EN70" s="1567">
        <f t="shared" ca="1" si="690"/>
        <v>0</v>
      </c>
      <c r="EO70" s="1567">
        <f t="shared" ca="1" si="690"/>
        <v>0</v>
      </c>
      <c r="EP70" s="1567">
        <f t="shared" ca="1" si="690"/>
        <v>0</v>
      </c>
      <c r="EQ70" s="1567">
        <f t="shared" ca="1" si="690"/>
        <v>0</v>
      </c>
      <c r="ER70" s="1567">
        <f t="shared" ca="1" si="690"/>
        <v>0</v>
      </c>
      <c r="ES70" s="1567">
        <f t="shared" ca="1" si="690"/>
        <v>0</v>
      </c>
      <c r="ET70" s="1567">
        <f t="shared" ca="1" si="690"/>
        <v>0</v>
      </c>
      <c r="EU70" s="1567">
        <f t="shared" ca="1" si="690"/>
        <v>0</v>
      </c>
      <c r="EV70" s="1567">
        <f t="shared" ca="1" si="690"/>
        <v>0</v>
      </c>
      <c r="EW70" s="1567">
        <f t="shared" ca="1" si="690"/>
        <v>0</v>
      </c>
      <c r="EX70" s="1567">
        <f t="shared" ca="1" si="690"/>
        <v>0</v>
      </c>
      <c r="EY70" s="1567">
        <f t="shared" ca="1" si="690"/>
        <v>0</v>
      </c>
      <c r="EZ70" s="1567">
        <f t="shared" ca="1" si="690"/>
        <v>0</v>
      </c>
      <c r="FA70" s="1567">
        <f t="shared" ref="FA70:FI70" ca="1" si="691">SUBTOTAL(9,FA71:FA72)</f>
        <v>0</v>
      </c>
      <c r="FB70" s="1567">
        <f t="shared" ca="1" si="691"/>
        <v>0</v>
      </c>
      <c r="FC70" s="1567">
        <f t="shared" ca="1" si="691"/>
        <v>0</v>
      </c>
      <c r="FD70" s="1567">
        <f t="shared" ca="1" si="691"/>
        <v>0</v>
      </c>
      <c r="FE70" s="1567">
        <f t="shared" ca="1" si="691"/>
        <v>0</v>
      </c>
      <c r="FF70" s="1567">
        <f t="shared" ca="1" si="691"/>
        <v>0</v>
      </c>
      <c r="FG70" s="1567">
        <f t="shared" ca="1" si="691"/>
        <v>0</v>
      </c>
      <c r="FH70" s="1567">
        <f t="shared" ca="1" si="691"/>
        <v>0</v>
      </c>
      <c r="FI70" s="1567">
        <f t="shared" ca="1" si="691"/>
        <v>0</v>
      </c>
    </row>
    <row r="71" spans="1:165">
      <c r="A71" s="595"/>
      <c r="B71" s="598"/>
      <c r="C71" s="599"/>
      <c r="F71" s="1500" t="s">
        <v>1666</v>
      </c>
      <c r="G71" s="1568" t="s">
        <v>1718</v>
      </c>
      <c r="H71" s="1598">
        <f>'Sistemas - Cotações'!F14</f>
        <v>0</v>
      </c>
      <c r="I71" s="1598">
        <f>H71*0.6</f>
        <v>0</v>
      </c>
      <c r="J71" s="867">
        <v>5</v>
      </c>
      <c r="K71" s="97"/>
      <c r="L71" s="1479">
        <f>'Sistemas-Manutenção'!L67</f>
        <v>5</v>
      </c>
      <c r="M71" s="1479">
        <f>'Sistemas-Manutenção'!M67</f>
        <v>5</v>
      </c>
      <c r="N71" s="1479">
        <f>'Sistemas-Manutenção'!N67</f>
        <v>5</v>
      </c>
      <c r="O71" s="1479">
        <f>'Sistemas-Manutenção'!O67</f>
        <v>5</v>
      </c>
      <c r="P71" s="1479">
        <f>'Sistemas-Manutenção'!P67</f>
        <v>5</v>
      </c>
      <c r="Q71" s="1479">
        <f>'Sistemas-Manutenção'!Q67</f>
        <v>5</v>
      </c>
      <c r="R71" s="1479">
        <f>'Sistemas-Manutenção'!R67</f>
        <v>5</v>
      </c>
      <c r="S71" s="1479">
        <f>'Sistemas-Manutenção'!S67</f>
        <v>5</v>
      </c>
      <c r="T71" s="1479">
        <f>'Sistemas-Manutenção'!T67</f>
        <v>5</v>
      </c>
      <c r="U71" s="1479">
        <f>'Sistemas-Manutenção'!U67</f>
        <v>5</v>
      </c>
      <c r="V71" s="1479">
        <f>'Sistemas-Manutenção'!V67</f>
        <v>5</v>
      </c>
      <c r="W71" s="1479">
        <f>'Sistemas-Manutenção'!W67</f>
        <v>5</v>
      </c>
      <c r="X71" s="1479">
        <f>'Sistemas-Manutenção'!X67</f>
        <v>5</v>
      </c>
      <c r="Y71" s="1479">
        <f>'Sistemas-Manutenção'!Y67</f>
        <v>5</v>
      </c>
      <c r="Z71" s="1479">
        <f>'Sistemas-Manutenção'!Z67</f>
        <v>5</v>
      </c>
      <c r="AA71" s="1479">
        <f>'Sistemas-Manutenção'!AA67</f>
        <v>5</v>
      </c>
      <c r="AB71" s="1479">
        <f>'Sistemas-Manutenção'!AB67</f>
        <v>5</v>
      </c>
      <c r="AC71" s="1479">
        <f>'Sistemas-Manutenção'!AC67</f>
        <v>5</v>
      </c>
      <c r="AD71" s="1479">
        <f>'Sistemas-Manutenção'!AD67</f>
        <v>5</v>
      </c>
      <c r="AE71" s="1479">
        <f>'Sistemas-Manutenção'!AE67</f>
        <v>5</v>
      </c>
      <c r="AF71" s="1479">
        <f>'Sistemas-Manutenção'!AF67</f>
        <v>5</v>
      </c>
      <c r="AG71" s="1479">
        <f>'Sistemas-Manutenção'!AG67</f>
        <v>5</v>
      </c>
      <c r="AH71" s="1479">
        <f>'Sistemas-Manutenção'!AH67</f>
        <v>5</v>
      </c>
      <c r="AI71" s="1479">
        <f>'Sistemas-Manutenção'!AI67</f>
        <v>5</v>
      </c>
      <c r="AJ71" s="1479">
        <f>'Sistemas-Manutenção'!AJ67</f>
        <v>5</v>
      </c>
      <c r="AK71" s="1479">
        <f>'Sistemas-Manutenção'!AK67</f>
        <v>5</v>
      </c>
      <c r="AL71" s="1479">
        <f>'Sistemas-Manutenção'!AL67</f>
        <v>5</v>
      </c>
      <c r="AM71" s="1479">
        <f>'Sistemas-Manutenção'!AM67</f>
        <v>5</v>
      </c>
      <c r="AN71" s="1479">
        <f>'Sistemas-Manutenção'!AN67</f>
        <v>5</v>
      </c>
      <c r="AO71" s="1479">
        <f>'Sistemas-Manutenção'!AO67</f>
        <v>5</v>
      </c>
      <c r="AP71" s="77"/>
      <c r="AQ71" s="1479">
        <f t="shared" si="660"/>
        <v>5</v>
      </c>
      <c r="AR71" s="1479">
        <f t="shared" si="660"/>
        <v>0</v>
      </c>
      <c r="AS71" s="1479">
        <f t="shared" si="660"/>
        <v>0</v>
      </c>
      <c r="AT71" s="1479">
        <f t="shared" si="660"/>
        <v>0</v>
      </c>
      <c r="AU71" s="1479">
        <f t="shared" si="660"/>
        <v>0</v>
      </c>
      <c r="AV71" s="1479">
        <f t="shared" si="660"/>
        <v>0</v>
      </c>
      <c r="AW71" s="1479">
        <f t="shared" si="660"/>
        <v>0</v>
      </c>
      <c r="AX71" s="1479">
        <f t="shared" si="660"/>
        <v>0</v>
      </c>
      <c r="AY71" s="1479">
        <f t="shared" si="660"/>
        <v>0</v>
      </c>
      <c r="AZ71" s="1479">
        <f t="shared" si="660"/>
        <v>0</v>
      </c>
      <c r="BA71" s="1479">
        <f t="shared" ref="BA71:BN72" si="692">IF(V71&gt;U71,V71-U71,0)</f>
        <v>0</v>
      </c>
      <c r="BB71" s="1479">
        <f t="shared" si="692"/>
        <v>0</v>
      </c>
      <c r="BC71" s="1479">
        <f t="shared" si="692"/>
        <v>0</v>
      </c>
      <c r="BD71" s="1479">
        <f t="shared" si="692"/>
        <v>0</v>
      </c>
      <c r="BE71" s="1479">
        <f t="shared" si="692"/>
        <v>0</v>
      </c>
      <c r="BF71" s="1479">
        <f t="shared" si="692"/>
        <v>0</v>
      </c>
      <c r="BG71" s="1479">
        <f t="shared" si="692"/>
        <v>0</v>
      </c>
      <c r="BH71" s="1479">
        <f t="shared" si="692"/>
        <v>0</v>
      </c>
      <c r="BI71" s="1479">
        <f t="shared" si="692"/>
        <v>0</v>
      </c>
      <c r="BJ71" s="1479">
        <f t="shared" si="692"/>
        <v>0</v>
      </c>
      <c r="BK71" s="1479">
        <f t="shared" si="692"/>
        <v>0</v>
      </c>
      <c r="BL71" s="1479">
        <f t="shared" si="692"/>
        <v>0</v>
      </c>
      <c r="BM71" s="1479">
        <f t="shared" si="692"/>
        <v>0</v>
      </c>
      <c r="BN71" s="1479">
        <f t="shared" si="692"/>
        <v>0</v>
      </c>
      <c r="BO71" s="1479"/>
      <c r="BP71" s="1479"/>
      <c r="BQ71" s="1479"/>
      <c r="BR71" s="1479"/>
      <c r="BS71" s="1479"/>
      <c r="BT71" s="1479">
        <f>IF(AO71&gt;AI71,AO71-AI71,0)</f>
        <v>0</v>
      </c>
      <c r="BU71" s="77"/>
      <c r="BV71" s="1571">
        <f t="shared" ref="BV71:CE72" ca="1" si="693">IF(L71-SUM(OFFSET(AQ71,,-$J71+1,,$J71))-IF($J71&gt;1,SUM(OFFSET(BV71,,-$J71+1,,$J71-1)),0)&gt;0,L71-SUM(OFFSET(AQ71,,-$J71+1,,$J71))-IF($J71&gt;1,SUM(OFFSET(BV71,,-$J71+1,,$J71-1)),0),0)</f>
        <v>0</v>
      </c>
      <c r="BW71" s="1571">
        <f t="shared" ca="1" si="693"/>
        <v>0</v>
      </c>
      <c r="BX71" s="1571">
        <f t="shared" ca="1" si="693"/>
        <v>0</v>
      </c>
      <c r="BY71" s="1571">
        <f t="shared" ca="1" si="693"/>
        <v>0</v>
      </c>
      <c r="BZ71" s="1571">
        <f t="shared" ca="1" si="693"/>
        <v>0</v>
      </c>
      <c r="CA71" s="1571">
        <f t="shared" ca="1" si="693"/>
        <v>5</v>
      </c>
      <c r="CB71" s="1571">
        <f t="shared" ca="1" si="693"/>
        <v>0</v>
      </c>
      <c r="CC71" s="1571">
        <f t="shared" ca="1" si="693"/>
        <v>0</v>
      </c>
      <c r="CD71" s="1571">
        <f t="shared" ca="1" si="693"/>
        <v>0</v>
      </c>
      <c r="CE71" s="1571">
        <f t="shared" ca="1" si="693"/>
        <v>0</v>
      </c>
      <c r="CF71" s="1571">
        <f t="shared" ref="CF71:CO72" ca="1" si="694">IF(V71-SUM(OFFSET(BA71,,-$J71+1,,$J71))-IF($J71&gt;1,SUM(OFFSET(CF71,,-$J71+1,,$J71-1)),0)&gt;0,V71-SUM(OFFSET(BA71,,-$J71+1,,$J71))-IF($J71&gt;1,SUM(OFFSET(CF71,,-$J71+1,,$J71-1)),0),0)</f>
        <v>5</v>
      </c>
      <c r="CG71" s="1571">
        <f t="shared" ca="1" si="694"/>
        <v>0</v>
      </c>
      <c r="CH71" s="1571">
        <f t="shared" ca="1" si="694"/>
        <v>0</v>
      </c>
      <c r="CI71" s="1571">
        <f t="shared" ca="1" si="694"/>
        <v>0</v>
      </c>
      <c r="CJ71" s="1571">
        <f t="shared" ca="1" si="694"/>
        <v>0</v>
      </c>
      <c r="CK71" s="1571">
        <f t="shared" ca="1" si="694"/>
        <v>5</v>
      </c>
      <c r="CL71" s="1571">
        <f t="shared" ca="1" si="694"/>
        <v>0</v>
      </c>
      <c r="CM71" s="1571">
        <f t="shared" ca="1" si="694"/>
        <v>0</v>
      </c>
      <c r="CN71" s="1571">
        <f t="shared" ca="1" si="694"/>
        <v>0</v>
      </c>
      <c r="CO71" s="1571">
        <f t="shared" ca="1" si="694"/>
        <v>0</v>
      </c>
      <c r="CP71" s="1571">
        <f t="shared" ref="CP71:CP72" ca="1" si="695">IF(AF71-SUM(OFFSET(BK71,,-$J71+1,,$J71))-IF($J71&gt;1,SUM(OFFSET(CP71,,-$J71+1,,$J71-1)),0)&gt;0,AF71-SUM(OFFSET(BK71,,-$J71+1,,$J71))-IF($J71&gt;1,SUM(OFFSET(CP71,,-$J71+1,,$J71-1)),0),0)</f>
        <v>5</v>
      </c>
      <c r="CQ71" s="1571">
        <f t="shared" ref="CQ71:CQ72" ca="1" si="696">IF(AG71-SUM(OFFSET(BL71,,-$J71+1,,$J71))-IF($J71&gt;1,SUM(OFFSET(CQ71,,-$J71+1,,$J71-1)),0)&gt;0,AG71-SUM(OFFSET(BL71,,-$J71+1,,$J71))-IF($J71&gt;1,SUM(OFFSET(CQ71,,-$J71+1,,$J71-1)),0),0)</f>
        <v>0</v>
      </c>
      <c r="CR71" s="1571">
        <f t="shared" ref="CR71:CR72" ca="1" si="697">IF(AH71-SUM(OFFSET(BM71,,-$J71+1,,$J71))-IF($J71&gt;1,SUM(OFFSET(CR71,,-$J71+1,,$J71-1)),0)&gt;0,AH71-SUM(OFFSET(BM71,,-$J71+1,,$J71))-IF($J71&gt;1,SUM(OFFSET(CR71,,-$J71+1,,$J71-1)),0),0)</f>
        <v>0</v>
      </c>
      <c r="CS71" s="1571">
        <f t="shared" ref="CS71:CS72" ca="1" si="698">IF(AI71-SUM(OFFSET(BN71,,-$J71+1,,$J71))-IF($J71&gt;1,SUM(OFFSET(CS71,,-$J71+1,,$J71-1)),0)&gt;0,AI71-SUM(OFFSET(BN71,,-$J71+1,,$J71))-IF($J71&gt;1,SUM(OFFSET(CS71,,-$J71+1,,$J71-1)),0),0)</f>
        <v>0</v>
      </c>
      <c r="CT71" s="1571">
        <f t="shared" ref="CT71:CT72" ca="1" si="699">IF(AJ71-SUM(OFFSET(BT71,,-$J71+1,,$J71))-IF($J71&gt;1,SUM(OFFSET(CT71,,-$J71+1,,$J71-1)),0)&gt;0,AJ71-SUM(OFFSET(BT71,,-$J71+1,,$J71))-IF($J71&gt;1,SUM(OFFSET(CT71,,-$J71+1,,$J71-1)),0),0)</f>
        <v>0</v>
      </c>
      <c r="CU71" s="1571">
        <f t="shared" ref="CU71:CU72" ca="1" si="700">IF(AK71-SUM(OFFSET(BU71,,-$J71+1,,$J71))-IF($J71&gt;1,SUM(OFFSET(CU71,,-$J71+1,,$J71-1)),0)&gt;0,AK71-SUM(OFFSET(BU71,,-$J71+1,,$J71))-IF($J71&gt;1,SUM(OFFSET(CU71,,-$J71+1,,$J71-1)),0),0)</f>
        <v>5</v>
      </c>
      <c r="CV71" s="1571">
        <f t="shared" ref="CV71:CV72" ca="1" si="701">IF(AL71-SUM(OFFSET(BV71,,-$J71+1,,$J71))-IF($J71&gt;1,SUM(OFFSET(CV71,,-$J71+1,,$J71-1)),0)&gt;0,AL71-SUM(OFFSET(BV71,,-$J71+1,,$J71))-IF($J71&gt;1,SUM(OFFSET(CV71,,-$J71+1,,$J71-1)),0),0)</f>
        <v>0</v>
      </c>
      <c r="CW71" s="1571">
        <f t="shared" ref="CW71:CW72" ca="1" si="702">IF(AM71-SUM(OFFSET(BW71,,-$J71+1,,$J71))-IF($J71&gt;1,SUM(OFFSET(CW71,,-$J71+1,,$J71-1)),0)&gt;0,AM71-SUM(OFFSET(BW71,,-$J71+1,,$J71))-IF($J71&gt;1,SUM(OFFSET(CW71,,-$J71+1,,$J71-1)),0),0)</f>
        <v>0</v>
      </c>
      <c r="CX71" s="1571">
        <f t="shared" ref="CX71:CX72" ca="1" si="703">IF(AN71-SUM(OFFSET(BX71,,-$J71+1,,$J71))-IF($J71&gt;1,SUM(OFFSET(CX71,,-$J71+1,,$J71-1)),0)&gt;0,AN71-SUM(OFFSET(BX71,,-$J71+1,,$J71))-IF($J71&gt;1,SUM(OFFSET(CX71,,-$J71+1,,$J71-1)),0),0)</f>
        <v>0</v>
      </c>
      <c r="CY71" s="1571">
        <f t="shared" ref="CY71:CY72" ca="1" si="704">IF(AO71-SUM(OFFSET(BY71,,-$J71+1,,$J71))-IF($J71&gt;1,SUM(OFFSET(CY71,,-$J71+1,,$J71-1)),0)&gt;0,AO71-SUM(OFFSET(BY71,,-$J71+1,,$J71))-IF($J71&gt;1,SUM(OFFSET(CY71,,-$J71+1,,$J71-1)),0),0)</f>
        <v>0</v>
      </c>
      <c r="CZ71" s="78"/>
      <c r="DA71" s="1572">
        <f t="shared" ref="DA71:DP72" si="705">AQ71*$H71</f>
        <v>0</v>
      </c>
      <c r="DB71" s="1572">
        <f t="shared" si="705"/>
        <v>0</v>
      </c>
      <c r="DC71" s="1572">
        <f t="shared" si="705"/>
        <v>0</v>
      </c>
      <c r="DD71" s="1572">
        <f t="shared" si="705"/>
        <v>0</v>
      </c>
      <c r="DE71" s="1572">
        <f t="shared" si="705"/>
        <v>0</v>
      </c>
      <c r="DF71" s="1572">
        <f t="shared" si="705"/>
        <v>0</v>
      </c>
      <c r="DG71" s="1572">
        <f t="shared" si="705"/>
        <v>0</v>
      </c>
      <c r="DH71" s="1572">
        <f t="shared" si="705"/>
        <v>0</v>
      </c>
      <c r="DI71" s="1572">
        <f t="shared" si="705"/>
        <v>0</v>
      </c>
      <c r="DJ71" s="1572">
        <f t="shared" si="705"/>
        <v>0</v>
      </c>
      <c r="DK71" s="1572">
        <f t="shared" si="705"/>
        <v>0</v>
      </c>
      <c r="DL71" s="1572">
        <f t="shared" si="705"/>
        <v>0</v>
      </c>
      <c r="DM71" s="1572">
        <f t="shared" si="705"/>
        <v>0</v>
      </c>
      <c r="DN71" s="1572">
        <f t="shared" si="705"/>
        <v>0</v>
      </c>
      <c r="DO71" s="1572">
        <f t="shared" si="705"/>
        <v>0</v>
      </c>
      <c r="DP71" s="1572">
        <f t="shared" si="705"/>
        <v>0</v>
      </c>
      <c r="DQ71" s="1572">
        <f t="shared" ref="DK71:DX72" si="706">BG71*$H71</f>
        <v>0</v>
      </c>
      <c r="DR71" s="1572">
        <f t="shared" si="706"/>
        <v>0</v>
      </c>
      <c r="DS71" s="1572">
        <f t="shared" si="706"/>
        <v>0</v>
      </c>
      <c r="DT71" s="1572">
        <f t="shared" si="706"/>
        <v>0</v>
      </c>
      <c r="DU71" s="1572">
        <f t="shared" si="706"/>
        <v>0</v>
      </c>
      <c r="DV71" s="1572">
        <f t="shared" si="706"/>
        <v>0</v>
      </c>
      <c r="DW71" s="1572">
        <f t="shared" si="706"/>
        <v>0</v>
      </c>
      <c r="DX71" s="1572">
        <f t="shared" si="706"/>
        <v>0</v>
      </c>
      <c r="DY71" s="1572"/>
      <c r="DZ71" s="1572"/>
      <c r="EA71" s="1572"/>
      <c r="EB71" s="1572"/>
      <c r="EC71" s="1572"/>
      <c r="ED71" s="1572">
        <f>BT71*$H71</f>
        <v>0</v>
      </c>
      <c r="EE71" s="79"/>
      <c r="EF71" s="1572">
        <f t="shared" ref="EF71:EU72" ca="1" si="707">BV71*$I71</f>
        <v>0</v>
      </c>
      <c r="EG71" s="1572">
        <f t="shared" ca="1" si="707"/>
        <v>0</v>
      </c>
      <c r="EH71" s="1572">
        <f t="shared" ca="1" si="707"/>
        <v>0</v>
      </c>
      <c r="EI71" s="1572">
        <f t="shared" ca="1" si="707"/>
        <v>0</v>
      </c>
      <c r="EJ71" s="1572">
        <f t="shared" ca="1" si="707"/>
        <v>0</v>
      </c>
      <c r="EK71" s="1572">
        <f t="shared" ca="1" si="707"/>
        <v>0</v>
      </c>
      <c r="EL71" s="1572">
        <f t="shared" ca="1" si="707"/>
        <v>0</v>
      </c>
      <c r="EM71" s="1572">
        <f t="shared" ca="1" si="707"/>
        <v>0</v>
      </c>
      <c r="EN71" s="1572">
        <f t="shared" ca="1" si="707"/>
        <v>0</v>
      </c>
      <c r="EO71" s="1572">
        <f t="shared" ca="1" si="707"/>
        <v>0</v>
      </c>
      <c r="EP71" s="1572">
        <f t="shared" ca="1" si="707"/>
        <v>0</v>
      </c>
      <c r="EQ71" s="1572">
        <f t="shared" ca="1" si="707"/>
        <v>0</v>
      </c>
      <c r="ER71" s="1572">
        <f t="shared" ca="1" si="707"/>
        <v>0</v>
      </c>
      <c r="ES71" s="1572">
        <f t="shared" ca="1" si="707"/>
        <v>0</v>
      </c>
      <c r="ET71" s="1572">
        <f t="shared" ca="1" si="707"/>
        <v>0</v>
      </c>
      <c r="EU71" s="1572">
        <f t="shared" ca="1" si="707"/>
        <v>0</v>
      </c>
      <c r="EV71" s="1572">
        <f t="shared" ref="EV71:EZ72" ca="1" si="708">CL71*$I71</f>
        <v>0</v>
      </c>
      <c r="EW71" s="1572">
        <f t="shared" ca="1" si="708"/>
        <v>0</v>
      </c>
      <c r="EX71" s="1572">
        <f t="shared" ca="1" si="708"/>
        <v>0</v>
      </c>
      <c r="EY71" s="1572">
        <f t="shared" ca="1" si="708"/>
        <v>0</v>
      </c>
      <c r="EZ71" s="1572">
        <f t="shared" ca="1" si="708"/>
        <v>0</v>
      </c>
      <c r="FA71" s="1572">
        <f t="shared" ref="FA71:FA72" ca="1" si="709">CQ71*$I71</f>
        <v>0</v>
      </c>
      <c r="FB71" s="1572">
        <f t="shared" ref="FB71:FB72" ca="1" si="710">CR71*$I71</f>
        <v>0</v>
      </c>
      <c r="FC71" s="1572">
        <f t="shared" ref="FC71:FC72" ca="1" si="711">CS71*$I71</f>
        <v>0</v>
      </c>
      <c r="FD71" s="1572">
        <f t="shared" ref="FD71:FD72" ca="1" si="712">CT71*$I71</f>
        <v>0</v>
      </c>
      <c r="FE71" s="1572">
        <f t="shared" ref="FE71:FE72" ca="1" si="713">CU71*$I71</f>
        <v>0</v>
      </c>
      <c r="FF71" s="1572">
        <f t="shared" ref="FF71:FF72" ca="1" si="714">CV71*$I71</f>
        <v>0</v>
      </c>
      <c r="FG71" s="1572">
        <f t="shared" ref="FG71:FG72" ca="1" si="715">CW71*$I71</f>
        <v>0</v>
      </c>
      <c r="FH71" s="1572">
        <f t="shared" ref="FH71:FH72" ca="1" si="716">CX71*$I71</f>
        <v>0</v>
      </c>
      <c r="FI71" s="1572">
        <f t="shared" ref="FI71:FI72" ca="1" si="717">CY71*$I71</f>
        <v>0</v>
      </c>
    </row>
    <row r="72" spans="1:165" ht="12.75" customHeight="1">
      <c r="A72" s="595"/>
      <c r="B72" s="598"/>
      <c r="C72" s="599"/>
      <c r="F72" s="1608" t="s">
        <v>1667</v>
      </c>
      <c r="G72" s="1568" t="s">
        <v>1718</v>
      </c>
      <c r="H72" s="1598">
        <f>'Sistemas - Cotações'!F15</f>
        <v>0</v>
      </c>
      <c r="I72" s="1598">
        <f>H72*0.6</f>
        <v>0</v>
      </c>
      <c r="J72" s="867">
        <v>5</v>
      </c>
      <c r="K72" s="97"/>
      <c r="L72" s="1479">
        <f>'Sistemas-Manutenção'!L68</f>
        <v>3.3333333333333335</v>
      </c>
      <c r="M72" s="1479">
        <f>'Sistemas-Manutenção'!M68</f>
        <v>3.3333333333333335</v>
      </c>
      <c r="N72" s="1479">
        <f>'Sistemas-Manutenção'!N68</f>
        <v>3.3333333333333335</v>
      </c>
      <c r="O72" s="1479">
        <f>'Sistemas-Manutenção'!O68</f>
        <v>3.3333333333333335</v>
      </c>
      <c r="P72" s="1479">
        <f>'Sistemas-Manutenção'!P68</f>
        <v>3.3333333333333335</v>
      </c>
      <c r="Q72" s="1479">
        <f>'Sistemas-Manutenção'!Q68</f>
        <v>3.3333333333333335</v>
      </c>
      <c r="R72" s="1479">
        <f>'Sistemas-Manutenção'!R68</f>
        <v>3.3333333333333335</v>
      </c>
      <c r="S72" s="1479">
        <f>'Sistemas-Manutenção'!S68</f>
        <v>3.3333333333333335</v>
      </c>
      <c r="T72" s="1479">
        <f>'Sistemas-Manutenção'!T68</f>
        <v>3.3333333333333335</v>
      </c>
      <c r="U72" s="1479">
        <f>'Sistemas-Manutenção'!U68</f>
        <v>3.3333333333333335</v>
      </c>
      <c r="V72" s="1479">
        <f>'Sistemas-Manutenção'!V68</f>
        <v>3.3333333333333335</v>
      </c>
      <c r="W72" s="1479">
        <f>'Sistemas-Manutenção'!W68</f>
        <v>3.3333333333333335</v>
      </c>
      <c r="X72" s="1479">
        <f>'Sistemas-Manutenção'!X68</f>
        <v>3.3333333333333335</v>
      </c>
      <c r="Y72" s="1479">
        <f>'Sistemas-Manutenção'!Y68</f>
        <v>3.3333333333333335</v>
      </c>
      <c r="Z72" s="1479">
        <f>'Sistemas-Manutenção'!Z68</f>
        <v>3.3333333333333335</v>
      </c>
      <c r="AA72" s="1479">
        <f>'Sistemas-Manutenção'!AA68</f>
        <v>3.3333333333333335</v>
      </c>
      <c r="AB72" s="1479">
        <f>'Sistemas-Manutenção'!AB68</f>
        <v>3.3333333333333335</v>
      </c>
      <c r="AC72" s="1479">
        <f>'Sistemas-Manutenção'!AC68</f>
        <v>3.3333333333333335</v>
      </c>
      <c r="AD72" s="1479">
        <f>'Sistemas-Manutenção'!AD68</f>
        <v>3.3333333333333335</v>
      </c>
      <c r="AE72" s="1479">
        <f>'Sistemas-Manutenção'!AE68</f>
        <v>3.3333333333333335</v>
      </c>
      <c r="AF72" s="1479">
        <f>'Sistemas-Manutenção'!AF68</f>
        <v>3.3333333333333335</v>
      </c>
      <c r="AG72" s="1479">
        <f>'Sistemas-Manutenção'!AG68</f>
        <v>3.3333333333333335</v>
      </c>
      <c r="AH72" s="1479">
        <f>'Sistemas-Manutenção'!AH68</f>
        <v>3.3333333333333335</v>
      </c>
      <c r="AI72" s="1479">
        <f>'Sistemas-Manutenção'!AI68</f>
        <v>3.3333333333333335</v>
      </c>
      <c r="AJ72" s="1479">
        <f>'Sistemas-Manutenção'!AJ68</f>
        <v>3.3333333333333335</v>
      </c>
      <c r="AK72" s="1479">
        <f>'Sistemas-Manutenção'!AK68</f>
        <v>3.3333333333333335</v>
      </c>
      <c r="AL72" s="1479">
        <f>'Sistemas-Manutenção'!AL68</f>
        <v>3.3333333333333335</v>
      </c>
      <c r="AM72" s="1479">
        <f>'Sistemas-Manutenção'!AM68</f>
        <v>3.3333333333333335</v>
      </c>
      <c r="AN72" s="1479">
        <f>'Sistemas-Manutenção'!AN68</f>
        <v>3.3333333333333335</v>
      </c>
      <c r="AO72" s="1479">
        <f>'Sistemas-Manutenção'!AO68</f>
        <v>3.3333333333333335</v>
      </c>
      <c r="AP72" s="77"/>
      <c r="AQ72" s="1479">
        <f t="shared" si="660"/>
        <v>3.3333333333333335</v>
      </c>
      <c r="AR72" s="1479">
        <f t="shared" si="660"/>
        <v>0</v>
      </c>
      <c r="AS72" s="1479">
        <f t="shared" si="660"/>
        <v>0</v>
      </c>
      <c r="AT72" s="1479">
        <f t="shared" si="660"/>
        <v>0</v>
      </c>
      <c r="AU72" s="1479">
        <f t="shared" si="660"/>
        <v>0</v>
      </c>
      <c r="AV72" s="1479">
        <f t="shared" si="660"/>
        <v>0</v>
      </c>
      <c r="AW72" s="1479">
        <f t="shared" si="660"/>
        <v>0</v>
      </c>
      <c r="AX72" s="1479">
        <f t="shared" si="660"/>
        <v>0</v>
      </c>
      <c r="AY72" s="1479">
        <f t="shared" si="660"/>
        <v>0</v>
      </c>
      <c r="AZ72" s="1479">
        <f t="shared" si="660"/>
        <v>0</v>
      </c>
      <c r="BA72" s="1479">
        <f t="shared" si="692"/>
        <v>0</v>
      </c>
      <c r="BB72" s="1479">
        <f t="shared" si="692"/>
        <v>0</v>
      </c>
      <c r="BC72" s="1479">
        <f t="shared" si="692"/>
        <v>0</v>
      </c>
      <c r="BD72" s="1479">
        <f t="shared" si="692"/>
        <v>0</v>
      </c>
      <c r="BE72" s="1479">
        <f t="shared" si="692"/>
        <v>0</v>
      </c>
      <c r="BF72" s="1479">
        <f t="shared" si="692"/>
        <v>0</v>
      </c>
      <c r="BG72" s="1479">
        <f t="shared" si="692"/>
        <v>0</v>
      </c>
      <c r="BH72" s="1479">
        <f t="shared" si="692"/>
        <v>0</v>
      </c>
      <c r="BI72" s="1479">
        <f t="shared" si="692"/>
        <v>0</v>
      </c>
      <c r="BJ72" s="1479">
        <f t="shared" si="692"/>
        <v>0</v>
      </c>
      <c r="BK72" s="1479">
        <f t="shared" si="692"/>
        <v>0</v>
      </c>
      <c r="BL72" s="1479">
        <f t="shared" si="692"/>
        <v>0</v>
      </c>
      <c r="BM72" s="1479">
        <f t="shared" si="692"/>
        <v>0</v>
      </c>
      <c r="BN72" s="1479">
        <f t="shared" si="692"/>
        <v>0</v>
      </c>
      <c r="BO72" s="1479"/>
      <c r="BP72" s="1479"/>
      <c r="BQ72" s="1479"/>
      <c r="BR72" s="1479"/>
      <c r="BS72" s="1479"/>
      <c r="BT72" s="1479">
        <f>IF(AO72&gt;AI72,AO72-AI72,0)</f>
        <v>0</v>
      </c>
      <c r="BU72" s="77"/>
      <c r="BV72" s="1571">
        <f t="shared" ca="1" si="693"/>
        <v>0</v>
      </c>
      <c r="BW72" s="1571">
        <f t="shared" ca="1" si="693"/>
        <v>0</v>
      </c>
      <c r="BX72" s="1571">
        <f t="shared" ca="1" si="693"/>
        <v>0</v>
      </c>
      <c r="BY72" s="1571">
        <f t="shared" ca="1" si="693"/>
        <v>0</v>
      </c>
      <c r="BZ72" s="1571">
        <f t="shared" ca="1" si="693"/>
        <v>0</v>
      </c>
      <c r="CA72" s="1571">
        <f t="shared" ca="1" si="693"/>
        <v>3.3333333333333335</v>
      </c>
      <c r="CB72" s="1571">
        <f t="shared" ca="1" si="693"/>
        <v>0</v>
      </c>
      <c r="CC72" s="1571">
        <f t="shared" ca="1" si="693"/>
        <v>0</v>
      </c>
      <c r="CD72" s="1571">
        <f t="shared" ca="1" si="693"/>
        <v>0</v>
      </c>
      <c r="CE72" s="1571">
        <f t="shared" ca="1" si="693"/>
        <v>0</v>
      </c>
      <c r="CF72" s="1571">
        <f t="shared" ca="1" si="694"/>
        <v>3.3333333333333335</v>
      </c>
      <c r="CG72" s="1571">
        <f t="shared" ca="1" si="694"/>
        <v>0</v>
      </c>
      <c r="CH72" s="1571">
        <f t="shared" ca="1" si="694"/>
        <v>0</v>
      </c>
      <c r="CI72" s="1571">
        <f t="shared" ca="1" si="694"/>
        <v>0</v>
      </c>
      <c r="CJ72" s="1571">
        <f t="shared" ca="1" si="694"/>
        <v>0</v>
      </c>
      <c r="CK72" s="1571">
        <f t="shared" ca="1" si="694"/>
        <v>3.3333333333333335</v>
      </c>
      <c r="CL72" s="1571">
        <f t="shared" ca="1" si="694"/>
        <v>0</v>
      </c>
      <c r="CM72" s="1571">
        <f t="shared" ca="1" si="694"/>
        <v>0</v>
      </c>
      <c r="CN72" s="1571">
        <f t="shared" ca="1" si="694"/>
        <v>0</v>
      </c>
      <c r="CO72" s="1571">
        <f t="shared" ca="1" si="694"/>
        <v>0</v>
      </c>
      <c r="CP72" s="1571">
        <f t="shared" ca="1" si="695"/>
        <v>3.3333333333333335</v>
      </c>
      <c r="CQ72" s="1571">
        <f t="shared" ca="1" si="696"/>
        <v>0</v>
      </c>
      <c r="CR72" s="1571">
        <f t="shared" ca="1" si="697"/>
        <v>0</v>
      </c>
      <c r="CS72" s="1571">
        <f t="shared" ca="1" si="698"/>
        <v>0</v>
      </c>
      <c r="CT72" s="1571">
        <f t="shared" ca="1" si="699"/>
        <v>0</v>
      </c>
      <c r="CU72" s="1571">
        <f t="shared" ca="1" si="700"/>
        <v>3.3333333333333335</v>
      </c>
      <c r="CV72" s="1571">
        <f t="shared" ca="1" si="701"/>
        <v>0</v>
      </c>
      <c r="CW72" s="1571">
        <f t="shared" ca="1" si="702"/>
        <v>0</v>
      </c>
      <c r="CX72" s="1571">
        <f t="shared" ca="1" si="703"/>
        <v>0</v>
      </c>
      <c r="CY72" s="1571">
        <f t="shared" ca="1" si="704"/>
        <v>0</v>
      </c>
      <c r="CZ72" s="78"/>
      <c r="DA72" s="1572">
        <f t="shared" si="705"/>
        <v>0</v>
      </c>
      <c r="DB72" s="1572">
        <f t="shared" si="705"/>
        <v>0</v>
      </c>
      <c r="DC72" s="1572">
        <f t="shared" si="705"/>
        <v>0</v>
      </c>
      <c r="DD72" s="1572">
        <f t="shared" si="705"/>
        <v>0</v>
      </c>
      <c r="DE72" s="1572">
        <f t="shared" si="705"/>
        <v>0</v>
      </c>
      <c r="DF72" s="1572">
        <f t="shared" si="705"/>
        <v>0</v>
      </c>
      <c r="DG72" s="1572">
        <f t="shared" si="705"/>
        <v>0</v>
      </c>
      <c r="DH72" s="1572">
        <f t="shared" si="705"/>
        <v>0</v>
      </c>
      <c r="DI72" s="1572">
        <f t="shared" si="705"/>
        <v>0</v>
      </c>
      <c r="DJ72" s="1572">
        <f t="shared" si="705"/>
        <v>0</v>
      </c>
      <c r="DK72" s="1572">
        <f t="shared" si="706"/>
        <v>0</v>
      </c>
      <c r="DL72" s="1572">
        <f t="shared" si="706"/>
        <v>0</v>
      </c>
      <c r="DM72" s="1572">
        <f t="shared" si="706"/>
        <v>0</v>
      </c>
      <c r="DN72" s="1572">
        <f t="shared" si="706"/>
        <v>0</v>
      </c>
      <c r="DO72" s="1572">
        <f t="shared" si="706"/>
        <v>0</v>
      </c>
      <c r="DP72" s="1572">
        <f t="shared" si="706"/>
        <v>0</v>
      </c>
      <c r="DQ72" s="1572">
        <f t="shared" si="706"/>
        <v>0</v>
      </c>
      <c r="DR72" s="1572">
        <f t="shared" si="706"/>
        <v>0</v>
      </c>
      <c r="DS72" s="1572">
        <f t="shared" si="706"/>
        <v>0</v>
      </c>
      <c r="DT72" s="1572">
        <f t="shared" si="706"/>
        <v>0</v>
      </c>
      <c r="DU72" s="1572">
        <f t="shared" si="706"/>
        <v>0</v>
      </c>
      <c r="DV72" s="1572">
        <f t="shared" si="706"/>
        <v>0</v>
      </c>
      <c r="DW72" s="1572">
        <f t="shared" si="706"/>
        <v>0</v>
      </c>
      <c r="DX72" s="1572">
        <f t="shared" si="706"/>
        <v>0</v>
      </c>
      <c r="DY72" s="1572"/>
      <c r="DZ72" s="1572"/>
      <c r="EA72" s="1572"/>
      <c r="EB72" s="1572"/>
      <c r="EC72" s="1572"/>
      <c r="ED72" s="1572">
        <f>BT72*$H72</f>
        <v>0</v>
      </c>
      <c r="EE72" s="79"/>
      <c r="EF72" s="1572">
        <f t="shared" ca="1" si="707"/>
        <v>0</v>
      </c>
      <c r="EG72" s="1572">
        <f t="shared" ca="1" si="707"/>
        <v>0</v>
      </c>
      <c r="EH72" s="1572">
        <f t="shared" ca="1" si="707"/>
        <v>0</v>
      </c>
      <c r="EI72" s="1572">
        <f t="shared" ca="1" si="707"/>
        <v>0</v>
      </c>
      <c r="EJ72" s="1572">
        <f t="shared" ca="1" si="707"/>
        <v>0</v>
      </c>
      <c r="EK72" s="1572">
        <f t="shared" ca="1" si="707"/>
        <v>0</v>
      </c>
      <c r="EL72" s="1572">
        <f t="shared" ca="1" si="707"/>
        <v>0</v>
      </c>
      <c r="EM72" s="1572">
        <f t="shared" ca="1" si="707"/>
        <v>0</v>
      </c>
      <c r="EN72" s="1572">
        <f t="shared" ca="1" si="707"/>
        <v>0</v>
      </c>
      <c r="EO72" s="1572">
        <f t="shared" ca="1" si="707"/>
        <v>0</v>
      </c>
      <c r="EP72" s="1572">
        <f t="shared" ref="EP72:EU72" ca="1" si="718">CF72*$I72</f>
        <v>0</v>
      </c>
      <c r="EQ72" s="1572">
        <f t="shared" ca="1" si="718"/>
        <v>0</v>
      </c>
      <c r="ER72" s="1572">
        <f t="shared" ca="1" si="718"/>
        <v>0</v>
      </c>
      <c r="ES72" s="1572">
        <f t="shared" ca="1" si="718"/>
        <v>0</v>
      </c>
      <c r="ET72" s="1572">
        <f t="shared" ca="1" si="718"/>
        <v>0</v>
      </c>
      <c r="EU72" s="1572">
        <f t="shared" ca="1" si="718"/>
        <v>0</v>
      </c>
      <c r="EV72" s="1572">
        <f t="shared" ca="1" si="708"/>
        <v>0</v>
      </c>
      <c r="EW72" s="1572">
        <f t="shared" ca="1" si="708"/>
        <v>0</v>
      </c>
      <c r="EX72" s="1572">
        <f t="shared" ca="1" si="708"/>
        <v>0</v>
      </c>
      <c r="EY72" s="1572">
        <f t="shared" ca="1" si="708"/>
        <v>0</v>
      </c>
      <c r="EZ72" s="1572">
        <f t="shared" ca="1" si="708"/>
        <v>0</v>
      </c>
      <c r="FA72" s="1572">
        <f t="shared" ca="1" si="709"/>
        <v>0</v>
      </c>
      <c r="FB72" s="1572">
        <f t="shared" ca="1" si="710"/>
        <v>0</v>
      </c>
      <c r="FC72" s="1572">
        <f t="shared" ca="1" si="711"/>
        <v>0</v>
      </c>
      <c r="FD72" s="1572">
        <f t="shared" ca="1" si="712"/>
        <v>0</v>
      </c>
      <c r="FE72" s="1572">
        <f t="shared" ca="1" si="713"/>
        <v>0</v>
      </c>
      <c r="FF72" s="1572">
        <f t="shared" ca="1" si="714"/>
        <v>0</v>
      </c>
      <c r="FG72" s="1572">
        <f t="shared" ca="1" si="715"/>
        <v>0</v>
      </c>
      <c r="FH72" s="1572">
        <f t="shared" ca="1" si="716"/>
        <v>0</v>
      </c>
      <c r="FI72" s="1572">
        <f t="shared" ca="1" si="717"/>
        <v>0</v>
      </c>
    </row>
    <row r="73" spans="1:165" ht="12.75" customHeight="1">
      <c r="A73" s="595"/>
      <c r="B73" s="598"/>
      <c r="C73" s="599"/>
      <c r="D73" s="68" t="s">
        <v>1737</v>
      </c>
      <c r="E73" s="68" t="str">
        <f>LEFT(D73,LEN(D73)-1) &amp; RIGHT(D73,1)+1</f>
        <v>8.8.1.3.2</v>
      </c>
      <c r="F73" s="1599" t="s">
        <v>1668</v>
      </c>
      <c r="G73" s="401" t="s">
        <v>1717</v>
      </c>
      <c r="H73" s="315">
        <f>SUM(DA73:ED73)</f>
        <v>0</v>
      </c>
      <c r="I73" s="316">
        <f ca="1">SUM(EF73:FI73)</f>
        <v>0</v>
      </c>
      <c r="J73" s="867"/>
      <c r="K73" s="97"/>
      <c r="L73" s="1479">
        <f>'Sistemas-Manutenção'!L69</f>
        <v>0</v>
      </c>
      <c r="M73" s="1479">
        <f>'Sistemas-Manutenção'!M69</f>
        <v>0</v>
      </c>
      <c r="N73" s="1479">
        <f>'Sistemas-Manutenção'!N69</f>
        <v>0</v>
      </c>
      <c r="O73" s="1479">
        <f>'Sistemas-Manutenção'!O69</f>
        <v>0</v>
      </c>
      <c r="P73" s="1479">
        <f>'Sistemas-Manutenção'!P69</f>
        <v>0</v>
      </c>
      <c r="Q73" s="1479">
        <f>'Sistemas-Manutenção'!Q69</f>
        <v>0</v>
      </c>
      <c r="R73" s="1479">
        <f>'Sistemas-Manutenção'!R69</f>
        <v>0</v>
      </c>
      <c r="S73" s="1479">
        <f>'Sistemas-Manutenção'!S69</f>
        <v>0</v>
      </c>
      <c r="T73" s="1479">
        <f>'Sistemas-Manutenção'!T69</f>
        <v>0</v>
      </c>
      <c r="U73" s="1479">
        <f>'Sistemas-Manutenção'!U69</f>
        <v>0</v>
      </c>
      <c r="V73" s="1479">
        <f>'Sistemas-Manutenção'!V69</f>
        <v>0</v>
      </c>
      <c r="W73" s="1479">
        <f>'Sistemas-Manutenção'!W69</f>
        <v>0</v>
      </c>
      <c r="X73" s="1479">
        <f>'Sistemas-Manutenção'!X69</f>
        <v>0</v>
      </c>
      <c r="Y73" s="1479">
        <f>'Sistemas-Manutenção'!Y69</f>
        <v>0</v>
      </c>
      <c r="Z73" s="1479">
        <f>'Sistemas-Manutenção'!Z69</f>
        <v>0</v>
      </c>
      <c r="AA73" s="1479">
        <f>'Sistemas-Manutenção'!AA69</f>
        <v>0</v>
      </c>
      <c r="AB73" s="1479">
        <f>'Sistemas-Manutenção'!AB69</f>
        <v>0</v>
      </c>
      <c r="AC73" s="1479">
        <f>'Sistemas-Manutenção'!AC69</f>
        <v>0</v>
      </c>
      <c r="AD73" s="1479">
        <f>'Sistemas-Manutenção'!AD69</f>
        <v>0</v>
      </c>
      <c r="AE73" s="1479">
        <f>'Sistemas-Manutenção'!AE69</f>
        <v>0</v>
      </c>
      <c r="AF73" s="1479">
        <f>'Sistemas-Manutenção'!AF69</f>
        <v>0</v>
      </c>
      <c r="AG73" s="1479">
        <f>'Sistemas-Manutenção'!AG69</f>
        <v>0</v>
      </c>
      <c r="AH73" s="1479">
        <f>'Sistemas-Manutenção'!AH69</f>
        <v>0</v>
      </c>
      <c r="AI73" s="1479">
        <f>'Sistemas-Manutenção'!AI69</f>
        <v>0</v>
      </c>
      <c r="AJ73" s="1479">
        <f>'Sistemas-Manutenção'!AJ69</f>
        <v>0</v>
      </c>
      <c r="AK73" s="1479">
        <f>'Sistemas-Manutenção'!AK69</f>
        <v>0</v>
      </c>
      <c r="AL73" s="1479">
        <f>'Sistemas-Manutenção'!AL69</f>
        <v>0</v>
      </c>
      <c r="AM73" s="1479">
        <f>'Sistemas-Manutenção'!AM69</f>
        <v>0</v>
      </c>
      <c r="AN73" s="1479">
        <f>'Sistemas-Manutenção'!AN69</f>
        <v>0</v>
      </c>
      <c r="AO73" s="1479">
        <f>'Sistemas-Manutenção'!AO69</f>
        <v>0</v>
      </c>
      <c r="AP73" s="77"/>
      <c r="AQ73" s="1479"/>
      <c r="AR73" s="1479"/>
      <c r="AS73" s="1479"/>
      <c r="AT73" s="1479"/>
      <c r="AU73" s="1479"/>
      <c r="AV73" s="1479"/>
      <c r="AW73" s="1479"/>
      <c r="AX73" s="1479"/>
      <c r="AY73" s="1479"/>
      <c r="AZ73" s="1479"/>
      <c r="BA73" s="1479"/>
      <c r="BB73" s="1479"/>
      <c r="BC73" s="1479"/>
      <c r="BD73" s="1479"/>
      <c r="BE73" s="1479"/>
      <c r="BF73" s="1479"/>
      <c r="BG73" s="1479"/>
      <c r="BH73" s="1479"/>
      <c r="BI73" s="1479"/>
      <c r="BJ73" s="1479"/>
      <c r="BK73" s="1479"/>
      <c r="BL73" s="1479"/>
      <c r="BM73" s="1479"/>
      <c r="BN73" s="1479"/>
      <c r="BO73" s="1479"/>
      <c r="BP73" s="1479"/>
      <c r="BQ73" s="1479"/>
      <c r="BR73" s="1479"/>
      <c r="BS73" s="1479"/>
      <c r="BT73" s="1479"/>
      <c r="BU73" s="77"/>
      <c r="BV73" s="1571"/>
      <c r="BW73" s="1571"/>
      <c r="BX73" s="1571"/>
      <c r="BY73" s="1571"/>
      <c r="BZ73" s="1571"/>
      <c r="CA73" s="1571"/>
      <c r="CB73" s="1571"/>
      <c r="CC73" s="1571"/>
      <c r="CD73" s="1571"/>
      <c r="CE73" s="1571"/>
      <c r="CF73" s="1571"/>
      <c r="CG73" s="1571"/>
      <c r="CH73" s="1571"/>
      <c r="CI73" s="1571"/>
      <c r="CJ73" s="1571"/>
      <c r="CK73" s="1571"/>
      <c r="CL73" s="1571"/>
      <c r="CM73" s="1571"/>
      <c r="CN73" s="1571"/>
      <c r="CO73" s="1571"/>
      <c r="CP73" s="1571"/>
      <c r="CQ73" s="1571"/>
      <c r="CR73" s="1571"/>
      <c r="CS73" s="1571"/>
      <c r="CT73" s="1571"/>
      <c r="CU73" s="1571"/>
      <c r="CV73" s="1571"/>
      <c r="CW73" s="1571"/>
      <c r="CX73" s="1571"/>
      <c r="CY73" s="1571"/>
      <c r="CZ73" s="78"/>
      <c r="DA73" s="1567">
        <f t="shared" ref="DA73:ED73" si="719">SUBTOTAL(9,DA74:DA75)</f>
        <v>0</v>
      </c>
      <c r="DB73" s="1567">
        <f t="shared" si="719"/>
        <v>0</v>
      </c>
      <c r="DC73" s="1567">
        <f t="shared" si="719"/>
        <v>0</v>
      </c>
      <c r="DD73" s="1567">
        <f t="shared" si="719"/>
        <v>0</v>
      </c>
      <c r="DE73" s="1567">
        <f t="shared" si="719"/>
        <v>0</v>
      </c>
      <c r="DF73" s="1567">
        <f t="shared" si="719"/>
        <v>0</v>
      </c>
      <c r="DG73" s="1567">
        <f t="shared" si="719"/>
        <v>0</v>
      </c>
      <c r="DH73" s="1567">
        <f t="shared" si="719"/>
        <v>0</v>
      </c>
      <c r="DI73" s="1567">
        <f t="shared" si="719"/>
        <v>0</v>
      </c>
      <c r="DJ73" s="1567">
        <f t="shared" si="719"/>
        <v>0</v>
      </c>
      <c r="DK73" s="1567">
        <f t="shared" si="719"/>
        <v>0</v>
      </c>
      <c r="DL73" s="1567">
        <f t="shared" si="719"/>
        <v>0</v>
      </c>
      <c r="DM73" s="1567">
        <f t="shared" si="719"/>
        <v>0</v>
      </c>
      <c r="DN73" s="1567">
        <f t="shared" si="719"/>
        <v>0</v>
      </c>
      <c r="DO73" s="1567">
        <f t="shared" si="719"/>
        <v>0</v>
      </c>
      <c r="DP73" s="1567">
        <f t="shared" si="719"/>
        <v>0</v>
      </c>
      <c r="DQ73" s="1567">
        <f t="shared" si="719"/>
        <v>0</v>
      </c>
      <c r="DR73" s="1567">
        <f t="shared" si="719"/>
        <v>0</v>
      </c>
      <c r="DS73" s="1567">
        <f t="shared" si="719"/>
        <v>0</v>
      </c>
      <c r="DT73" s="1567">
        <f t="shared" si="719"/>
        <v>0</v>
      </c>
      <c r="DU73" s="1567">
        <f t="shared" si="719"/>
        <v>0</v>
      </c>
      <c r="DV73" s="1567">
        <f t="shared" si="719"/>
        <v>0</v>
      </c>
      <c r="DW73" s="1567">
        <f t="shared" si="719"/>
        <v>0</v>
      </c>
      <c r="DX73" s="1567">
        <f t="shared" si="719"/>
        <v>0</v>
      </c>
      <c r="DY73" s="1567"/>
      <c r="DZ73" s="1567"/>
      <c r="EA73" s="1567"/>
      <c r="EB73" s="1567"/>
      <c r="EC73" s="1567"/>
      <c r="ED73" s="1567">
        <f t="shared" si="719"/>
        <v>0</v>
      </c>
      <c r="EE73" s="79"/>
      <c r="EF73" s="1567">
        <f t="shared" ref="EF73:EZ73" ca="1" si="720">SUBTOTAL(9,EF74:EF75)</f>
        <v>0</v>
      </c>
      <c r="EG73" s="1567">
        <f t="shared" ca="1" si="720"/>
        <v>0</v>
      </c>
      <c r="EH73" s="1567">
        <f t="shared" ca="1" si="720"/>
        <v>0</v>
      </c>
      <c r="EI73" s="1567">
        <f t="shared" ca="1" si="720"/>
        <v>0</v>
      </c>
      <c r="EJ73" s="1567">
        <f t="shared" ca="1" si="720"/>
        <v>0</v>
      </c>
      <c r="EK73" s="1567">
        <f t="shared" ca="1" si="720"/>
        <v>0</v>
      </c>
      <c r="EL73" s="1567">
        <f t="shared" ca="1" si="720"/>
        <v>0</v>
      </c>
      <c r="EM73" s="1567">
        <f t="shared" ca="1" si="720"/>
        <v>0</v>
      </c>
      <c r="EN73" s="1567">
        <f t="shared" ca="1" si="720"/>
        <v>0</v>
      </c>
      <c r="EO73" s="1567">
        <f t="shared" ca="1" si="720"/>
        <v>0</v>
      </c>
      <c r="EP73" s="1567">
        <f t="shared" ca="1" si="720"/>
        <v>0</v>
      </c>
      <c r="EQ73" s="1567">
        <f t="shared" ca="1" si="720"/>
        <v>0</v>
      </c>
      <c r="ER73" s="1567">
        <f t="shared" ca="1" si="720"/>
        <v>0</v>
      </c>
      <c r="ES73" s="1567">
        <f t="shared" ca="1" si="720"/>
        <v>0</v>
      </c>
      <c r="ET73" s="1567">
        <f t="shared" ca="1" si="720"/>
        <v>0</v>
      </c>
      <c r="EU73" s="1567">
        <f t="shared" ca="1" si="720"/>
        <v>0</v>
      </c>
      <c r="EV73" s="1567">
        <f t="shared" ca="1" si="720"/>
        <v>0</v>
      </c>
      <c r="EW73" s="1567">
        <f t="shared" ca="1" si="720"/>
        <v>0</v>
      </c>
      <c r="EX73" s="1567">
        <f t="shared" ca="1" si="720"/>
        <v>0</v>
      </c>
      <c r="EY73" s="1567">
        <f t="shared" ca="1" si="720"/>
        <v>0</v>
      </c>
      <c r="EZ73" s="1567">
        <f t="shared" ca="1" si="720"/>
        <v>0</v>
      </c>
      <c r="FA73" s="1567">
        <f t="shared" ref="FA73:FI73" ca="1" si="721">SUBTOTAL(9,FA74:FA75)</f>
        <v>0</v>
      </c>
      <c r="FB73" s="1567">
        <f t="shared" ca="1" si="721"/>
        <v>0</v>
      </c>
      <c r="FC73" s="1567">
        <f t="shared" ca="1" si="721"/>
        <v>0</v>
      </c>
      <c r="FD73" s="1567">
        <f t="shared" ca="1" si="721"/>
        <v>0</v>
      </c>
      <c r="FE73" s="1567">
        <f t="shared" ca="1" si="721"/>
        <v>0</v>
      </c>
      <c r="FF73" s="1567">
        <f t="shared" ca="1" si="721"/>
        <v>0</v>
      </c>
      <c r="FG73" s="1567">
        <f t="shared" ca="1" si="721"/>
        <v>0</v>
      </c>
      <c r="FH73" s="1567">
        <f t="shared" ca="1" si="721"/>
        <v>0</v>
      </c>
      <c r="FI73" s="1567">
        <f t="shared" ca="1" si="721"/>
        <v>0</v>
      </c>
    </row>
    <row r="74" spans="1:165" ht="12.75" customHeight="1">
      <c r="A74" s="595"/>
      <c r="B74" s="598"/>
      <c r="C74" s="599"/>
      <c r="F74" s="1498" t="s">
        <v>1669</v>
      </c>
      <c r="G74" s="1609" t="s">
        <v>1718</v>
      </c>
      <c r="H74" s="1598">
        <f>'Sistemas - Cotações'!F16</f>
        <v>0</v>
      </c>
      <c r="I74" s="1598">
        <f>H74*0.6</f>
        <v>0</v>
      </c>
      <c r="J74" s="867">
        <v>5</v>
      </c>
      <c r="K74" s="97"/>
      <c r="L74" s="1479">
        <f>'Sistemas-Manutenção'!L70</f>
        <v>5</v>
      </c>
      <c r="M74" s="1479">
        <f>'Sistemas-Manutenção'!M70</f>
        <v>5</v>
      </c>
      <c r="N74" s="1479">
        <f>'Sistemas-Manutenção'!N70</f>
        <v>5</v>
      </c>
      <c r="O74" s="1479">
        <f>'Sistemas-Manutenção'!O70</f>
        <v>5</v>
      </c>
      <c r="P74" s="1479">
        <f>'Sistemas-Manutenção'!P70</f>
        <v>5</v>
      </c>
      <c r="Q74" s="1479">
        <f>'Sistemas-Manutenção'!Q70</f>
        <v>5</v>
      </c>
      <c r="R74" s="1479">
        <f>'Sistemas-Manutenção'!R70</f>
        <v>5</v>
      </c>
      <c r="S74" s="1479">
        <f>'Sistemas-Manutenção'!S70</f>
        <v>5</v>
      </c>
      <c r="T74" s="1479">
        <f>'Sistemas-Manutenção'!T70</f>
        <v>5</v>
      </c>
      <c r="U74" s="1479">
        <f>'Sistemas-Manutenção'!U70</f>
        <v>5</v>
      </c>
      <c r="V74" s="1479">
        <f>'Sistemas-Manutenção'!V70</f>
        <v>5</v>
      </c>
      <c r="W74" s="1479">
        <f>'Sistemas-Manutenção'!W70</f>
        <v>5</v>
      </c>
      <c r="X74" s="1479">
        <f>'Sistemas-Manutenção'!X70</f>
        <v>5</v>
      </c>
      <c r="Y74" s="1479">
        <f>'Sistemas-Manutenção'!Y70</f>
        <v>5</v>
      </c>
      <c r="Z74" s="1479">
        <f>'Sistemas-Manutenção'!Z70</f>
        <v>5</v>
      </c>
      <c r="AA74" s="1479">
        <f>'Sistemas-Manutenção'!AA70</f>
        <v>5</v>
      </c>
      <c r="AB74" s="1479">
        <f>'Sistemas-Manutenção'!AB70</f>
        <v>5</v>
      </c>
      <c r="AC74" s="1479">
        <f>'Sistemas-Manutenção'!AC70</f>
        <v>5</v>
      </c>
      <c r="AD74" s="1479">
        <f>'Sistemas-Manutenção'!AD70</f>
        <v>5</v>
      </c>
      <c r="AE74" s="1479">
        <f>'Sistemas-Manutenção'!AE70</f>
        <v>5</v>
      </c>
      <c r="AF74" s="1479">
        <f>'Sistemas-Manutenção'!AF70</f>
        <v>5</v>
      </c>
      <c r="AG74" s="1479">
        <f>'Sistemas-Manutenção'!AG70</f>
        <v>5</v>
      </c>
      <c r="AH74" s="1479">
        <f>'Sistemas-Manutenção'!AH70</f>
        <v>5</v>
      </c>
      <c r="AI74" s="1479">
        <f>'Sistemas-Manutenção'!AI70</f>
        <v>5</v>
      </c>
      <c r="AJ74" s="1479">
        <f>'Sistemas-Manutenção'!AJ70</f>
        <v>5</v>
      </c>
      <c r="AK74" s="1479">
        <f>'Sistemas-Manutenção'!AK70</f>
        <v>5</v>
      </c>
      <c r="AL74" s="1479">
        <f>'Sistemas-Manutenção'!AL70</f>
        <v>5</v>
      </c>
      <c r="AM74" s="1479">
        <f>'Sistemas-Manutenção'!AM70</f>
        <v>5</v>
      </c>
      <c r="AN74" s="1479">
        <f>'Sistemas-Manutenção'!AN70</f>
        <v>5</v>
      </c>
      <c r="AO74" s="1479">
        <f>'Sistemas-Manutenção'!AO70</f>
        <v>5</v>
      </c>
      <c r="AP74" s="77"/>
      <c r="AQ74" s="1479">
        <f t="shared" si="660"/>
        <v>5</v>
      </c>
      <c r="AR74" s="1479">
        <f t="shared" si="660"/>
        <v>0</v>
      </c>
      <c r="AS74" s="1479">
        <f t="shared" si="660"/>
        <v>0</v>
      </c>
      <c r="AT74" s="1479">
        <f t="shared" si="660"/>
        <v>0</v>
      </c>
      <c r="AU74" s="1479">
        <f t="shared" si="660"/>
        <v>0</v>
      </c>
      <c r="AV74" s="1479">
        <f t="shared" si="660"/>
        <v>0</v>
      </c>
      <c r="AW74" s="1479">
        <f t="shared" si="660"/>
        <v>0</v>
      </c>
      <c r="AX74" s="1479">
        <f t="shared" si="660"/>
        <v>0</v>
      </c>
      <c r="AY74" s="1479">
        <f t="shared" si="660"/>
        <v>0</v>
      </c>
      <c r="AZ74" s="1479">
        <f t="shared" si="660"/>
        <v>0</v>
      </c>
      <c r="BA74" s="1479">
        <f t="shared" ref="BA74:BN75" si="722">IF(V74&gt;U74,V74-U74,0)</f>
        <v>0</v>
      </c>
      <c r="BB74" s="1479">
        <f t="shared" si="722"/>
        <v>0</v>
      </c>
      <c r="BC74" s="1479">
        <f t="shared" si="722"/>
        <v>0</v>
      </c>
      <c r="BD74" s="1479">
        <f t="shared" si="722"/>
        <v>0</v>
      </c>
      <c r="BE74" s="1479">
        <f t="shared" si="722"/>
        <v>0</v>
      </c>
      <c r="BF74" s="1479">
        <f t="shared" si="722"/>
        <v>0</v>
      </c>
      <c r="BG74" s="1479">
        <f t="shared" si="722"/>
        <v>0</v>
      </c>
      <c r="BH74" s="1479">
        <f t="shared" si="722"/>
        <v>0</v>
      </c>
      <c r="BI74" s="1479">
        <f t="shared" si="722"/>
        <v>0</v>
      </c>
      <c r="BJ74" s="1479">
        <f t="shared" si="722"/>
        <v>0</v>
      </c>
      <c r="BK74" s="1479">
        <f t="shared" si="722"/>
        <v>0</v>
      </c>
      <c r="BL74" s="1479">
        <f t="shared" si="722"/>
        <v>0</v>
      </c>
      <c r="BM74" s="1479">
        <f t="shared" si="722"/>
        <v>0</v>
      </c>
      <c r="BN74" s="1479">
        <f t="shared" si="722"/>
        <v>0</v>
      </c>
      <c r="BO74" s="1479"/>
      <c r="BP74" s="1479"/>
      <c r="BQ74" s="1479"/>
      <c r="BR74" s="1479"/>
      <c r="BS74" s="1479"/>
      <c r="BT74" s="1479">
        <f>IF(AO74&gt;AI74,AO74-AI74,0)</f>
        <v>0</v>
      </c>
      <c r="BU74" s="77"/>
      <c r="BV74" s="1571">
        <f t="shared" ref="BV74:CE75" ca="1" si="723">IF(L74-SUM(OFFSET(AQ74,,-$J74+1,,$J74))-IF($J74&gt;1,SUM(OFFSET(BV74,,-$J74+1,,$J74-1)),0)&gt;0,L74-SUM(OFFSET(AQ74,,-$J74+1,,$J74))-IF($J74&gt;1,SUM(OFFSET(BV74,,-$J74+1,,$J74-1)),0),0)</f>
        <v>0</v>
      </c>
      <c r="BW74" s="1571">
        <f t="shared" ca="1" si="723"/>
        <v>0</v>
      </c>
      <c r="BX74" s="1571">
        <f t="shared" ca="1" si="723"/>
        <v>0</v>
      </c>
      <c r="BY74" s="1571">
        <f t="shared" ca="1" si="723"/>
        <v>0</v>
      </c>
      <c r="BZ74" s="1571">
        <f t="shared" ca="1" si="723"/>
        <v>0</v>
      </c>
      <c r="CA74" s="1571">
        <f t="shared" ca="1" si="723"/>
        <v>5</v>
      </c>
      <c r="CB74" s="1571">
        <f t="shared" ca="1" si="723"/>
        <v>0</v>
      </c>
      <c r="CC74" s="1571">
        <f t="shared" ca="1" si="723"/>
        <v>0</v>
      </c>
      <c r="CD74" s="1571">
        <f t="shared" ca="1" si="723"/>
        <v>0</v>
      </c>
      <c r="CE74" s="1571">
        <f t="shared" ca="1" si="723"/>
        <v>0</v>
      </c>
      <c r="CF74" s="1571">
        <f t="shared" ref="CF74:CO75" ca="1" si="724">IF(V74-SUM(OFFSET(BA74,,-$J74+1,,$J74))-IF($J74&gt;1,SUM(OFFSET(CF74,,-$J74+1,,$J74-1)),0)&gt;0,V74-SUM(OFFSET(BA74,,-$J74+1,,$J74))-IF($J74&gt;1,SUM(OFFSET(CF74,,-$J74+1,,$J74-1)),0),0)</f>
        <v>5</v>
      </c>
      <c r="CG74" s="1571">
        <f t="shared" ca="1" si="724"/>
        <v>0</v>
      </c>
      <c r="CH74" s="1571">
        <f t="shared" ca="1" si="724"/>
        <v>0</v>
      </c>
      <c r="CI74" s="1571">
        <f t="shared" ca="1" si="724"/>
        <v>0</v>
      </c>
      <c r="CJ74" s="1571">
        <f t="shared" ca="1" si="724"/>
        <v>0</v>
      </c>
      <c r="CK74" s="1571">
        <f t="shared" ca="1" si="724"/>
        <v>5</v>
      </c>
      <c r="CL74" s="1571">
        <f t="shared" ca="1" si="724"/>
        <v>0</v>
      </c>
      <c r="CM74" s="1571">
        <f t="shared" ca="1" si="724"/>
        <v>0</v>
      </c>
      <c r="CN74" s="1571">
        <f t="shared" ca="1" si="724"/>
        <v>0</v>
      </c>
      <c r="CO74" s="1571">
        <f t="shared" ca="1" si="724"/>
        <v>0</v>
      </c>
      <c r="CP74" s="1571">
        <f t="shared" ref="CP74:CP75" ca="1" si="725">IF(AF74-SUM(OFFSET(BK74,,-$J74+1,,$J74))-IF($J74&gt;1,SUM(OFFSET(CP74,,-$J74+1,,$J74-1)),0)&gt;0,AF74-SUM(OFFSET(BK74,,-$J74+1,,$J74))-IF($J74&gt;1,SUM(OFFSET(CP74,,-$J74+1,,$J74-1)),0),0)</f>
        <v>5</v>
      </c>
      <c r="CQ74" s="1571">
        <f t="shared" ref="CQ74:CQ75" ca="1" si="726">IF(AG74-SUM(OFFSET(BL74,,-$J74+1,,$J74))-IF($J74&gt;1,SUM(OFFSET(CQ74,,-$J74+1,,$J74-1)),0)&gt;0,AG74-SUM(OFFSET(BL74,,-$J74+1,,$J74))-IF($J74&gt;1,SUM(OFFSET(CQ74,,-$J74+1,,$J74-1)),0),0)</f>
        <v>0</v>
      </c>
      <c r="CR74" s="1571">
        <f t="shared" ref="CR74:CR75" ca="1" si="727">IF(AH74-SUM(OFFSET(BM74,,-$J74+1,,$J74))-IF($J74&gt;1,SUM(OFFSET(CR74,,-$J74+1,,$J74-1)),0)&gt;0,AH74-SUM(OFFSET(BM74,,-$J74+1,,$J74))-IF($J74&gt;1,SUM(OFFSET(CR74,,-$J74+1,,$J74-1)),0),0)</f>
        <v>0</v>
      </c>
      <c r="CS74" s="1571">
        <f t="shared" ref="CS74:CS75" ca="1" si="728">IF(AI74-SUM(OFFSET(BN74,,-$J74+1,,$J74))-IF($J74&gt;1,SUM(OFFSET(CS74,,-$J74+1,,$J74-1)),0)&gt;0,AI74-SUM(OFFSET(BN74,,-$J74+1,,$J74))-IF($J74&gt;1,SUM(OFFSET(CS74,,-$J74+1,,$J74-1)),0),0)</f>
        <v>0</v>
      </c>
      <c r="CT74" s="1571">
        <f t="shared" ref="CT74:CT75" ca="1" si="729">IF(AJ74-SUM(OFFSET(BT74,,-$J74+1,,$J74))-IF($J74&gt;1,SUM(OFFSET(CT74,,-$J74+1,,$J74-1)),0)&gt;0,AJ74-SUM(OFFSET(BT74,,-$J74+1,,$J74))-IF($J74&gt;1,SUM(OFFSET(CT74,,-$J74+1,,$J74-1)),0),0)</f>
        <v>0</v>
      </c>
      <c r="CU74" s="1571">
        <f t="shared" ref="CU74:CU75" ca="1" si="730">IF(AK74-SUM(OFFSET(BU74,,-$J74+1,,$J74))-IF($J74&gt;1,SUM(OFFSET(CU74,,-$J74+1,,$J74-1)),0)&gt;0,AK74-SUM(OFFSET(BU74,,-$J74+1,,$J74))-IF($J74&gt;1,SUM(OFFSET(CU74,,-$J74+1,,$J74-1)),0),0)</f>
        <v>5</v>
      </c>
      <c r="CV74" s="1571">
        <f t="shared" ref="CV74:CV75" ca="1" si="731">IF(AL74-SUM(OFFSET(BV74,,-$J74+1,,$J74))-IF($J74&gt;1,SUM(OFFSET(CV74,,-$J74+1,,$J74-1)),0)&gt;0,AL74-SUM(OFFSET(BV74,,-$J74+1,,$J74))-IF($J74&gt;1,SUM(OFFSET(CV74,,-$J74+1,,$J74-1)),0),0)</f>
        <v>0</v>
      </c>
      <c r="CW74" s="1571">
        <f t="shared" ref="CW74:CW75" ca="1" si="732">IF(AM74-SUM(OFFSET(BW74,,-$J74+1,,$J74))-IF($J74&gt;1,SUM(OFFSET(CW74,,-$J74+1,,$J74-1)),0)&gt;0,AM74-SUM(OFFSET(BW74,,-$J74+1,,$J74))-IF($J74&gt;1,SUM(OFFSET(CW74,,-$J74+1,,$J74-1)),0),0)</f>
        <v>0</v>
      </c>
      <c r="CX74" s="1571">
        <f t="shared" ref="CX74:CX75" ca="1" si="733">IF(AN74-SUM(OFFSET(BX74,,-$J74+1,,$J74))-IF($J74&gt;1,SUM(OFFSET(CX74,,-$J74+1,,$J74-1)),0)&gt;0,AN74-SUM(OFFSET(BX74,,-$J74+1,,$J74))-IF($J74&gt;1,SUM(OFFSET(CX74,,-$J74+1,,$J74-1)),0),0)</f>
        <v>0</v>
      </c>
      <c r="CY74" s="1571">
        <f t="shared" ref="CY74:CY75" ca="1" si="734">IF(AO74-SUM(OFFSET(BY74,,-$J74+1,,$J74))-IF($J74&gt;1,SUM(OFFSET(CY74,,-$J74+1,,$J74-1)),0)&gt;0,AO74-SUM(OFFSET(BY74,,-$J74+1,,$J74))-IF($J74&gt;1,SUM(OFFSET(CY74,,-$J74+1,,$J74-1)),0),0)</f>
        <v>0</v>
      </c>
      <c r="CZ74" s="78"/>
      <c r="DA74" s="1572">
        <f t="shared" ref="DA74:DP77" si="735">AQ74*$H74</f>
        <v>0</v>
      </c>
      <c r="DB74" s="1572">
        <f t="shared" si="735"/>
        <v>0</v>
      </c>
      <c r="DC74" s="1572">
        <f t="shared" si="735"/>
        <v>0</v>
      </c>
      <c r="DD74" s="1572">
        <f t="shared" si="735"/>
        <v>0</v>
      </c>
      <c r="DE74" s="1572">
        <f t="shared" si="735"/>
        <v>0</v>
      </c>
      <c r="DF74" s="1572">
        <f t="shared" si="735"/>
        <v>0</v>
      </c>
      <c r="DG74" s="1572">
        <f t="shared" si="735"/>
        <v>0</v>
      </c>
      <c r="DH74" s="1572">
        <f t="shared" si="735"/>
        <v>0</v>
      </c>
      <c r="DI74" s="1572">
        <f t="shared" si="735"/>
        <v>0</v>
      </c>
      <c r="DJ74" s="1572">
        <f t="shared" si="735"/>
        <v>0</v>
      </c>
      <c r="DK74" s="1572">
        <f t="shared" si="735"/>
        <v>0</v>
      </c>
      <c r="DL74" s="1572">
        <f t="shared" si="735"/>
        <v>0</v>
      </c>
      <c r="DM74" s="1572">
        <f t="shared" si="735"/>
        <v>0</v>
      </c>
      <c r="DN74" s="1572">
        <f t="shared" si="735"/>
        <v>0</v>
      </c>
      <c r="DO74" s="1572">
        <f t="shared" si="735"/>
        <v>0</v>
      </c>
      <c r="DP74" s="1572">
        <f t="shared" si="735"/>
        <v>0</v>
      </c>
      <c r="DQ74" s="1572">
        <f t="shared" ref="DK74:DX75" si="736">BG74*$H74</f>
        <v>0</v>
      </c>
      <c r="DR74" s="1572">
        <f t="shared" si="736"/>
        <v>0</v>
      </c>
      <c r="DS74" s="1572">
        <f t="shared" si="736"/>
        <v>0</v>
      </c>
      <c r="DT74" s="1572">
        <f t="shared" si="736"/>
        <v>0</v>
      </c>
      <c r="DU74" s="1572">
        <f t="shared" si="736"/>
        <v>0</v>
      </c>
      <c r="DV74" s="1572">
        <f t="shared" si="736"/>
        <v>0</v>
      </c>
      <c r="DW74" s="1572">
        <f t="shared" si="736"/>
        <v>0</v>
      </c>
      <c r="DX74" s="1572">
        <f t="shared" si="736"/>
        <v>0</v>
      </c>
      <c r="DY74" s="1572"/>
      <c r="DZ74" s="1572"/>
      <c r="EA74" s="1572"/>
      <c r="EB74" s="1572"/>
      <c r="EC74" s="1572"/>
      <c r="ED74" s="1572">
        <f>BT74*$H74</f>
        <v>0</v>
      </c>
      <c r="EE74" s="79"/>
      <c r="EF74" s="1572">
        <f t="shared" ref="EF74:EU75" ca="1" si="737">BV74*$I74</f>
        <v>0</v>
      </c>
      <c r="EG74" s="1572">
        <f t="shared" ca="1" si="737"/>
        <v>0</v>
      </c>
      <c r="EH74" s="1572">
        <f t="shared" ca="1" si="737"/>
        <v>0</v>
      </c>
      <c r="EI74" s="1572">
        <f t="shared" ca="1" si="737"/>
        <v>0</v>
      </c>
      <c r="EJ74" s="1572">
        <f t="shared" ca="1" si="737"/>
        <v>0</v>
      </c>
      <c r="EK74" s="1572">
        <f t="shared" ca="1" si="737"/>
        <v>0</v>
      </c>
      <c r="EL74" s="1572">
        <f t="shared" ca="1" si="737"/>
        <v>0</v>
      </c>
      <c r="EM74" s="1572">
        <f t="shared" ca="1" si="737"/>
        <v>0</v>
      </c>
      <c r="EN74" s="1572">
        <f t="shared" ca="1" si="737"/>
        <v>0</v>
      </c>
      <c r="EO74" s="1572">
        <f t="shared" ca="1" si="737"/>
        <v>0</v>
      </c>
      <c r="EP74" s="1572">
        <f t="shared" ca="1" si="737"/>
        <v>0</v>
      </c>
      <c r="EQ74" s="1572">
        <f t="shared" ca="1" si="737"/>
        <v>0</v>
      </c>
      <c r="ER74" s="1572">
        <f t="shared" ca="1" si="737"/>
        <v>0</v>
      </c>
      <c r="ES74" s="1572">
        <f t="shared" ca="1" si="737"/>
        <v>0</v>
      </c>
      <c r="ET74" s="1572">
        <f t="shared" ca="1" si="737"/>
        <v>0</v>
      </c>
      <c r="EU74" s="1572">
        <f t="shared" ca="1" si="737"/>
        <v>0</v>
      </c>
      <c r="EV74" s="1572">
        <f t="shared" ref="EV74:EZ75" ca="1" si="738">CL74*$I74</f>
        <v>0</v>
      </c>
      <c r="EW74" s="1572">
        <f t="shared" ca="1" si="738"/>
        <v>0</v>
      </c>
      <c r="EX74" s="1572">
        <f t="shared" ca="1" si="738"/>
        <v>0</v>
      </c>
      <c r="EY74" s="1572">
        <f t="shared" ca="1" si="738"/>
        <v>0</v>
      </c>
      <c r="EZ74" s="1572">
        <f t="shared" ca="1" si="738"/>
        <v>0</v>
      </c>
      <c r="FA74" s="1572">
        <f t="shared" ref="FA74:FA75" ca="1" si="739">CQ74*$I74</f>
        <v>0</v>
      </c>
      <c r="FB74" s="1572">
        <f t="shared" ref="FB74:FB75" ca="1" si="740">CR74*$I74</f>
        <v>0</v>
      </c>
      <c r="FC74" s="1572">
        <f t="shared" ref="FC74:FC75" ca="1" si="741">CS74*$I74</f>
        <v>0</v>
      </c>
      <c r="FD74" s="1572">
        <f t="shared" ref="FD74:FD75" ca="1" si="742">CT74*$I74</f>
        <v>0</v>
      </c>
      <c r="FE74" s="1572">
        <f t="shared" ref="FE74:FE75" ca="1" si="743">CU74*$I74</f>
        <v>0</v>
      </c>
      <c r="FF74" s="1572">
        <f t="shared" ref="FF74:FF75" ca="1" si="744">CV74*$I74</f>
        <v>0</v>
      </c>
      <c r="FG74" s="1572">
        <f t="shared" ref="FG74:FG75" ca="1" si="745">CW74*$I74</f>
        <v>0</v>
      </c>
      <c r="FH74" s="1572">
        <f t="shared" ref="FH74:FH75" ca="1" si="746">CX74*$I74</f>
        <v>0</v>
      </c>
      <c r="FI74" s="1572">
        <f t="shared" ref="FI74:FI75" ca="1" si="747">CY74*$I74</f>
        <v>0</v>
      </c>
    </row>
    <row r="75" spans="1:165">
      <c r="A75" s="595"/>
      <c r="B75" s="598"/>
      <c r="C75" s="599"/>
      <c r="F75" s="1498" t="s">
        <v>1670</v>
      </c>
      <c r="G75" s="1609" t="s">
        <v>1718</v>
      </c>
      <c r="H75" s="1598">
        <f>'Sistemas - Cotações'!F17</f>
        <v>0</v>
      </c>
      <c r="I75" s="1598">
        <f>H75*0.6</f>
        <v>0</v>
      </c>
      <c r="J75" s="867">
        <v>5</v>
      </c>
      <c r="K75" s="97"/>
      <c r="L75" s="1479">
        <f>'Sistemas-Manutenção'!L71</f>
        <v>2</v>
      </c>
      <c r="M75" s="1479">
        <f>'Sistemas-Manutenção'!M71</f>
        <v>2</v>
      </c>
      <c r="N75" s="1479">
        <f>'Sistemas-Manutenção'!N71</f>
        <v>2</v>
      </c>
      <c r="O75" s="1479">
        <f>'Sistemas-Manutenção'!O71</f>
        <v>2</v>
      </c>
      <c r="P75" s="1479">
        <f>'Sistemas-Manutenção'!P71</f>
        <v>2</v>
      </c>
      <c r="Q75" s="1479">
        <f>'Sistemas-Manutenção'!Q71</f>
        <v>2</v>
      </c>
      <c r="R75" s="1479">
        <f>'Sistemas-Manutenção'!R71</f>
        <v>2</v>
      </c>
      <c r="S75" s="1479">
        <f>'Sistemas-Manutenção'!S71</f>
        <v>2</v>
      </c>
      <c r="T75" s="1479">
        <f>'Sistemas-Manutenção'!T71</f>
        <v>2</v>
      </c>
      <c r="U75" s="1479">
        <f>'Sistemas-Manutenção'!U71</f>
        <v>2</v>
      </c>
      <c r="V75" s="1479">
        <f>'Sistemas-Manutenção'!V71</f>
        <v>2</v>
      </c>
      <c r="W75" s="1479">
        <f>'Sistemas-Manutenção'!W71</f>
        <v>2</v>
      </c>
      <c r="X75" s="1479">
        <f>'Sistemas-Manutenção'!X71</f>
        <v>2</v>
      </c>
      <c r="Y75" s="1479">
        <f>'Sistemas-Manutenção'!Y71</f>
        <v>2</v>
      </c>
      <c r="Z75" s="1479">
        <f>'Sistemas-Manutenção'!Z71</f>
        <v>2</v>
      </c>
      <c r="AA75" s="1479">
        <f>'Sistemas-Manutenção'!AA71</f>
        <v>2</v>
      </c>
      <c r="AB75" s="1479">
        <f>'Sistemas-Manutenção'!AB71</f>
        <v>2</v>
      </c>
      <c r="AC75" s="1479">
        <f>'Sistemas-Manutenção'!AC71</f>
        <v>2</v>
      </c>
      <c r="AD75" s="1479">
        <f>'Sistemas-Manutenção'!AD71</f>
        <v>2</v>
      </c>
      <c r="AE75" s="1479">
        <f>'Sistemas-Manutenção'!AE71</f>
        <v>2</v>
      </c>
      <c r="AF75" s="1479">
        <f>'Sistemas-Manutenção'!AF71</f>
        <v>2</v>
      </c>
      <c r="AG75" s="1479">
        <f>'Sistemas-Manutenção'!AG71</f>
        <v>2</v>
      </c>
      <c r="AH75" s="1479">
        <f>'Sistemas-Manutenção'!AH71</f>
        <v>2</v>
      </c>
      <c r="AI75" s="1479">
        <f>'Sistemas-Manutenção'!AI71</f>
        <v>2</v>
      </c>
      <c r="AJ75" s="1479">
        <f>'Sistemas-Manutenção'!AJ71</f>
        <v>2</v>
      </c>
      <c r="AK75" s="1479">
        <f>'Sistemas-Manutenção'!AK71</f>
        <v>2</v>
      </c>
      <c r="AL75" s="1479">
        <f>'Sistemas-Manutenção'!AL71</f>
        <v>2</v>
      </c>
      <c r="AM75" s="1479">
        <f>'Sistemas-Manutenção'!AM71</f>
        <v>2</v>
      </c>
      <c r="AN75" s="1479">
        <f>'Sistemas-Manutenção'!AN71</f>
        <v>2</v>
      </c>
      <c r="AO75" s="1479">
        <f>'Sistemas-Manutenção'!AO71</f>
        <v>2</v>
      </c>
      <c r="AP75" s="77"/>
      <c r="AQ75" s="1479">
        <f t="shared" si="660"/>
        <v>2</v>
      </c>
      <c r="AR75" s="1479">
        <f t="shared" si="660"/>
        <v>0</v>
      </c>
      <c r="AS75" s="1479">
        <f t="shared" si="660"/>
        <v>0</v>
      </c>
      <c r="AT75" s="1479">
        <f t="shared" si="660"/>
        <v>0</v>
      </c>
      <c r="AU75" s="1479">
        <f t="shared" si="660"/>
        <v>0</v>
      </c>
      <c r="AV75" s="1479">
        <f t="shared" si="660"/>
        <v>0</v>
      </c>
      <c r="AW75" s="1479">
        <f t="shared" si="660"/>
        <v>0</v>
      </c>
      <c r="AX75" s="1479">
        <f t="shared" si="660"/>
        <v>0</v>
      </c>
      <c r="AY75" s="1479">
        <f t="shared" si="660"/>
        <v>0</v>
      </c>
      <c r="AZ75" s="1479">
        <f t="shared" si="660"/>
        <v>0</v>
      </c>
      <c r="BA75" s="1479">
        <f t="shared" si="722"/>
        <v>0</v>
      </c>
      <c r="BB75" s="1479">
        <f t="shared" si="722"/>
        <v>0</v>
      </c>
      <c r="BC75" s="1479">
        <f t="shared" si="722"/>
        <v>0</v>
      </c>
      <c r="BD75" s="1479">
        <f t="shared" si="722"/>
        <v>0</v>
      </c>
      <c r="BE75" s="1479">
        <f t="shared" si="722"/>
        <v>0</v>
      </c>
      <c r="BF75" s="1479">
        <f t="shared" si="722"/>
        <v>0</v>
      </c>
      <c r="BG75" s="1479">
        <f t="shared" si="722"/>
        <v>0</v>
      </c>
      <c r="BH75" s="1479">
        <f t="shared" si="722"/>
        <v>0</v>
      </c>
      <c r="BI75" s="1479">
        <f t="shared" si="722"/>
        <v>0</v>
      </c>
      <c r="BJ75" s="1479">
        <f t="shared" si="722"/>
        <v>0</v>
      </c>
      <c r="BK75" s="1479">
        <f t="shared" si="722"/>
        <v>0</v>
      </c>
      <c r="BL75" s="1479">
        <f t="shared" si="722"/>
        <v>0</v>
      </c>
      <c r="BM75" s="1479">
        <f t="shared" si="722"/>
        <v>0</v>
      </c>
      <c r="BN75" s="1479">
        <f t="shared" si="722"/>
        <v>0</v>
      </c>
      <c r="BO75" s="1479"/>
      <c r="BP75" s="1479"/>
      <c r="BQ75" s="1479"/>
      <c r="BR75" s="1479"/>
      <c r="BS75" s="1479"/>
      <c r="BT75" s="1479">
        <f>IF(AO75&gt;AI75,AO75-AI75,0)</f>
        <v>0</v>
      </c>
      <c r="BU75" s="77"/>
      <c r="BV75" s="1571">
        <f t="shared" ca="1" si="723"/>
        <v>0</v>
      </c>
      <c r="BW75" s="1571">
        <f t="shared" ca="1" si="723"/>
        <v>0</v>
      </c>
      <c r="BX75" s="1571">
        <f t="shared" ca="1" si="723"/>
        <v>0</v>
      </c>
      <c r="BY75" s="1571">
        <f t="shared" ca="1" si="723"/>
        <v>0</v>
      </c>
      <c r="BZ75" s="1571">
        <f t="shared" ca="1" si="723"/>
        <v>0</v>
      </c>
      <c r="CA75" s="1571">
        <f t="shared" ca="1" si="723"/>
        <v>2</v>
      </c>
      <c r="CB75" s="1571">
        <f t="shared" ca="1" si="723"/>
        <v>0</v>
      </c>
      <c r="CC75" s="1571">
        <f t="shared" ca="1" si="723"/>
        <v>0</v>
      </c>
      <c r="CD75" s="1571">
        <f t="shared" ca="1" si="723"/>
        <v>0</v>
      </c>
      <c r="CE75" s="1571">
        <f t="shared" ca="1" si="723"/>
        <v>0</v>
      </c>
      <c r="CF75" s="1571">
        <f t="shared" ca="1" si="724"/>
        <v>2</v>
      </c>
      <c r="CG75" s="1571">
        <f t="shared" ca="1" si="724"/>
        <v>0</v>
      </c>
      <c r="CH75" s="1571">
        <f t="shared" ca="1" si="724"/>
        <v>0</v>
      </c>
      <c r="CI75" s="1571">
        <f t="shared" ca="1" si="724"/>
        <v>0</v>
      </c>
      <c r="CJ75" s="1571">
        <f t="shared" ca="1" si="724"/>
        <v>0</v>
      </c>
      <c r="CK75" s="1571">
        <f t="shared" ca="1" si="724"/>
        <v>2</v>
      </c>
      <c r="CL75" s="1571">
        <f t="shared" ca="1" si="724"/>
        <v>0</v>
      </c>
      <c r="CM75" s="1571">
        <f t="shared" ca="1" si="724"/>
        <v>0</v>
      </c>
      <c r="CN75" s="1571">
        <f t="shared" ca="1" si="724"/>
        <v>0</v>
      </c>
      <c r="CO75" s="1571">
        <f t="shared" ca="1" si="724"/>
        <v>0</v>
      </c>
      <c r="CP75" s="1571">
        <f t="shared" ca="1" si="725"/>
        <v>2</v>
      </c>
      <c r="CQ75" s="1571">
        <f t="shared" ca="1" si="726"/>
        <v>0</v>
      </c>
      <c r="CR75" s="1571">
        <f t="shared" ca="1" si="727"/>
        <v>0</v>
      </c>
      <c r="CS75" s="1571">
        <f t="shared" ca="1" si="728"/>
        <v>0</v>
      </c>
      <c r="CT75" s="1571">
        <f t="shared" ca="1" si="729"/>
        <v>0</v>
      </c>
      <c r="CU75" s="1571">
        <f t="shared" ca="1" si="730"/>
        <v>2</v>
      </c>
      <c r="CV75" s="1571">
        <f t="shared" ca="1" si="731"/>
        <v>0</v>
      </c>
      <c r="CW75" s="1571">
        <f t="shared" ca="1" si="732"/>
        <v>0</v>
      </c>
      <c r="CX75" s="1571">
        <f t="shared" ca="1" si="733"/>
        <v>0</v>
      </c>
      <c r="CY75" s="1571">
        <f t="shared" ca="1" si="734"/>
        <v>0</v>
      </c>
      <c r="CZ75" s="78"/>
      <c r="DA75" s="1572">
        <f t="shared" si="735"/>
        <v>0</v>
      </c>
      <c r="DB75" s="1572">
        <f t="shared" si="735"/>
        <v>0</v>
      </c>
      <c r="DC75" s="1572">
        <f t="shared" si="735"/>
        <v>0</v>
      </c>
      <c r="DD75" s="1572">
        <f t="shared" si="735"/>
        <v>0</v>
      </c>
      <c r="DE75" s="1572">
        <f t="shared" si="735"/>
        <v>0</v>
      </c>
      <c r="DF75" s="1572">
        <f t="shared" si="735"/>
        <v>0</v>
      </c>
      <c r="DG75" s="1572">
        <f t="shared" si="735"/>
        <v>0</v>
      </c>
      <c r="DH75" s="1572">
        <f t="shared" si="735"/>
        <v>0</v>
      </c>
      <c r="DI75" s="1572">
        <f t="shared" si="735"/>
        <v>0</v>
      </c>
      <c r="DJ75" s="1572">
        <f t="shared" si="735"/>
        <v>0</v>
      </c>
      <c r="DK75" s="1572">
        <f t="shared" si="736"/>
        <v>0</v>
      </c>
      <c r="DL75" s="1572">
        <f t="shared" si="736"/>
        <v>0</v>
      </c>
      <c r="DM75" s="1572">
        <f t="shared" si="736"/>
        <v>0</v>
      </c>
      <c r="DN75" s="1572">
        <f t="shared" si="736"/>
        <v>0</v>
      </c>
      <c r="DO75" s="1572">
        <f t="shared" si="736"/>
        <v>0</v>
      </c>
      <c r="DP75" s="1572">
        <f t="shared" si="736"/>
        <v>0</v>
      </c>
      <c r="DQ75" s="1572">
        <f t="shared" si="736"/>
        <v>0</v>
      </c>
      <c r="DR75" s="1572">
        <f t="shared" si="736"/>
        <v>0</v>
      </c>
      <c r="DS75" s="1572">
        <f t="shared" si="736"/>
        <v>0</v>
      </c>
      <c r="DT75" s="1572">
        <f t="shared" si="736"/>
        <v>0</v>
      </c>
      <c r="DU75" s="1572">
        <f t="shared" si="736"/>
        <v>0</v>
      </c>
      <c r="DV75" s="1572">
        <f t="shared" si="736"/>
        <v>0</v>
      </c>
      <c r="DW75" s="1572">
        <f t="shared" si="736"/>
        <v>0</v>
      </c>
      <c r="DX75" s="1572">
        <f t="shared" si="736"/>
        <v>0</v>
      </c>
      <c r="DY75" s="1572"/>
      <c r="DZ75" s="1572"/>
      <c r="EA75" s="1572"/>
      <c r="EB75" s="1572"/>
      <c r="EC75" s="1572"/>
      <c r="ED75" s="1572">
        <f>BT75*$H75</f>
        <v>0</v>
      </c>
      <c r="EE75" s="79"/>
      <c r="EF75" s="1572">
        <f t="shared" ca="1" si="737"/>
        <v>0</v>
      </c>
      <c r="EG75" s="1572">
        <f t="shared" ca="1" si="737"/>
        <v>0</v>
      </c>
      <c r="EH75" s="1572">
        <f t="shared" ca="1" si="737"/>
        <v>0</v>
      </c>
      <c r="EI75" s="1572">
        <f t="shared" ca="1" si="737"/>
        <v>0</v>
      </c>
      <c r="EJ75" s="1572">
        <f t="shared" ca="1" si="737"/>
        <v>0</v>
      </c>
      <c r="EK75" s="1572">
        <f t="shared" ca="1" si="737"/>
        <v>0</v>
      </c>
      <c r="EL75" s="1572">
        <f t="shared" ca="1" si="737"/>
        <v>0</v>
      </c>
      <c r="EM75" s="1572">
        <f t="shared" ca="1" si="737"/>
        <v>0</v>
      </c>
      <c r="EN75" s="1572">
        <f t="shared" ca="1" si="737"/>
        <v>0</v>
      </c>
      <c r="EO75" s="1572">
        <f t="shared" ca="1" si="737"/>
        <v>0</v>
      </c>
      <c r="EP75" s="1572">
        <f t="shared" ref="EP75:EU75" ca="1" si="748">CF75*$I75</f>
        <v>0</v>
      </c>
      <c r="EQ75" s="1572">
        <f t="shared" ca="1" si="748"/>
        <v>0</v>
      </c>
      <c r="ER75" s="1572">
        <f t="shared" ca="1" si="748"/>
        <v>0</v>
      </c>
      <c r="ES75" s="1572">
        <f t="shared" ca="1" si="748"/>
        <v>0</v>
      </c>
      <c r="ET75" s="1572">
        <f t="shared" ca="1" si="748"/>
        <v>0</v>
      </c>
      <c r="EU75" s="1572">
        <f t="shared" ca="1" si="748"/>
        <v>0</v>
      </c>
      <c r="EV75" s="1572">
        <f t="shared" ca="1" si="738"/>
        <v>0</v>
      </c>
      <c r="EW75" s="1572">
        <f t="shared" ca="1" si="738"/>
        <v>0</v>
      </c>
      <c r="EX75" s="1572">
        <f t="shared" ca="1" si="738"/>
        <v>0</v>
      </c>
      <c r="EY75" s="1572">
        <f t="shared" ca="1" si="738"/>
        <v>0</v>
      </c>
      <c r="EZ75" s="1572">
        <f t="shared" ca="1" si="738"/>
        <v>0</v>
      </c>
      <c r="FA75" s="1572">
        <f t="shared" ca="1" si="739"/>
        <v>0</v>
      </c>
      <c r="FB75" s="1572">
        <f t="shared" ca="1" si="740"/>
        <v>0</v>
      </c>
      <c r="FC75" s="1572">
        <f t="shared" ca="1" si="741"/>
        <v>0</v>
      </c>
      <c r="FD75" s="1572">
        <f t="shared" ca="1" si="742"/>
        <v>0</v>
      </c>
      <c r="FE75" s="1572">
        <f t="shared" ca="1" si="743"/>
        <v>0</v>
      </c>
      <c r="FF75" s="1572">
        <f t="shared" ca="1" si="744"/>
        <v>0</v>
      </c>
      <c r="FG75" s="1572">
        <f t="shared" ca="1" si="745"/>
        <v>0</v>
      </c>
      <c r="FH75" s="1572">
        <f t="shared" ca="1" si="746"/>
        <v>0</v>
      </c>
      <c r="FI75" s="1572">
        <f t="shared" ca="1" si="747"/>
        <v>0</v>
      </c>
    </row>
    <row r="76" spans="1:165">
      <c r="A76" s="595"/>
      <c r="B76" s="598"/>
      <c r="C76" s="599"/>
      <c r="D76" s="68" t="s">
        <v>1738</v>
      </c>
      <c r="E76" s="68" t="str">
        <f>LEFT(D76,LEN(D76)-1) &amp; RIGHT(D76,1)+1</f>
        <v>8.8.2.2</v>
      </c>
      <c r="F76" s="1507" t="s">
        <v>200</v>
      </c>
      <c r="G76" s="406" t="s">
        <v>1717</v>
      </c>
      <c r="H76" s="315">
        <f>H77</f>
        <v>0</v>
      </c>
      <c r="I76" s="316">
        <f>I77</f>
        <v>0</v>
      </c>
      <c r="J76" s="1610"/>
      <c r="K76" s="99"/>
      <c r="L76" s="1479">
        <f>'Sistemas-Manutenção'!L72</f>
        <v>0</v>
      </c>
      <c r="M76" s="863"/>
      <c r="N76" s="863"/>
      <c r="O76" s="863"/>
      <c r="P76" s="863"/>
      <c r="Q76" s="863"/>
      <c r="R76" s="863"/>
      <c r="S76" s="863"/>
      <c r="T76" s="863"/>
      <c r="U76" s="863"/>
      <c r="V76" s="863"/>
      <c r="W76" s="863"/>
      <c r="X76" s="863"/>
      <c r="Y76" s="863"/>
      <c r="Z76" s="863"/>
      <c r="AA76" s="863"/>
      <c r="AB76" s="863"/>
      <c r="AC76" s="863"/>
      <c r="AD76" s="863"/>
      <c r="AE76" s="863"/>
      <c r="AF76" s="863"/>
      <c r="AG76" s="863"/>
      <c r="AH76" s="863"/>
      <c r="AI76" s="863"/>
      <c r="AJ76" s="863"/>
      <c r="AK76" s="863"/>
      <c r="AL76" s="863"/>
      <c r="AM76" s="863"/>
      <c r="AN76" s="863"/>
      <c r="AO76" s="863"/>
      <c r="AP76" s="81"/>
      <c r="AQ76" s="1479">
        <f t="shared" si="660"/>
        <v>0</v>
      </c>
      <c r="AR76" s="863"/>
      <c r="AS76" s="863"/>
      <c r="AT76" s="863"/>
      <c r="AU76" s="863"/>
      <c r="AV76" s="863"/>
      <c r="AW76" s="863"/>
      <c r="AX76" s="863"/>
      <c r="AY76" s="863"/>
      <c r="AZ76" s="863"/>
      <c r="BA76" s="863"/>
      <c r="BB76" s="863"/>
      <c r="BC76" s="863"/>
      <c r="BD76" s="863"/>
      <c r="BE76" s="863"/>
      <c r="BF76" s="863"/>
      <c r="BG76" s="863"/>
      <c r="BH76" s="863"/>
      <c r="BI76" s="863"/>
      <c r="BJ76" s="863"/>
      <c r="BK76" s="863"/>
      <c r="BL76" s="863"/>
      <c r="BM76" s="863"/>
      <c r="BN76" s="863"/>
      <c r="BO76" s="863"/>
      <c r="BP76" s="863"/>
      <c r="BQ76" s="863"/>
      <c r="BR76" s="863"/>
      <c r="BS76" s="863"/>
      <c r="BT76" s="863"/>
      <c r="BU76" s="81"/>
      <c r="BV76" s="1571"/>
      <c r="BW76" s="1571"/>
      <c r="BX76" s="1571"/>
      <c r="BY76" s="1571"/>
      <c r="BZ76" s="1571"/>
      <c r="CA76" s="1571"/>
      <c r="CB76" s="1571"/>
      <c r="CC76" s="1571"/>
      <c r="CD76" s="1571"/>
      <c r="CE76" s="1571"/>
      <c r="CF76" s="1571"/>
      <c r="CG76" s="1571"/>
      <c r="CH76" s="1571"/>
      <c r="CI76" s="1571"/>
      <c r="CJ76" s="1571"/>
      <c r="CK76" s="1571"/>
      <c r="CL76" s="1571"/>
      <c r="CM76" s="1571"/>
      <c r="CN76" s="1571"/>
      <c r="CO76" s="1571"/>
      <c r="CP76" s="1571"/>
      <c r="CQ76" s="1571"/>
      <c r="CR76" s="1571"/>
      <c r="CS76" s="1571"/>
      <c r="CT76" s="1571"/>
      <c r="CU76" s="1571"/>
      <c r="CV76" s="1571"/>
      <c r="CW76" s="1571"/>
      <c r="CX76" s="1571"/>
      <c r="CY76" s="1571"/>
      <c r="CZ76" s="82"/>
      <c r="DA76" s="1567">
        <f>DA77</f>
        <v>0</v>
      </c>
      <c r="DB76" s="1567">
        <f t="shared" ref="DB76:FH76" si="749">DB77</f>
        <v>0</v>
      </c>
      <c r="DC76" s="1567">
        <f t="shared" si="749"/>
        <v>0</v>
      </c>
      <c r="DD76" s="1567">
        <f t="shared" si="749"/>
        <v>0</v>
      </c>
      <c r="DE76" s="1567">
        <f t="shared" si="749"/>
        <v>0</v>
      </c>
      <c r="DF76" s="1567">
        <f t="shared" si="749"/>
        <v>0</v>
      </c>
      <c r="DG76" s="1567">
        <f t="shared" si="749"/>
        <v>0</v>
      </c>
      <c r="DH76" s="1567">
        <f t="shared" si="749"/>
        <v>0</v>
      </c>
      <c r="DI76" s="1567">
        <f t="shared" si="749"/>
        <v>0</v>
      </c>
      <c r="DJ76" s="1567">
        <f t="shared" si="749"/>
        <v>0</v>
      </c>
      <c r="DK76" s="1567">
        <f t="shared" si="749"/>
        <v>0</v>
      </c>
      <c r="DL76" s="1567">
        <f t="shared" si="749"/>
        <v>0</v>
      </c>
      <c r="DM76" s="1567">
        <f t="shared" si="749"/>
        <v>0</v>
      </c>
      <c r="DN76" s="1567">
        <f t="shared" si="749"/>
        <v>0</v>
      </c>
      <c r="DO76" s="1567">
        <f t="shared" si="749"/>
        <v>0</v>
      </c>
      <c r="DP76" s="1567">
        <f t="shared" si="749"/>
        <v>0</v>
      </c>
      <c r="DQ76" s="1567">
        <f t="shared" si="749"/>
        <v>0</v>
      </c>
      <c r="DR76" s="1567">
        <f t="shared" si="749"/>
        <v>0</v>
      </c>
      <c r="DS76" s="1567">
        <f t="shared" si="749"/>
        <v>0</v>
      </c>
      <c r="DT76" s="1567">
        <f t="shared" si="749"/>
        <v>0</v>
      </c>
      <c r="DU76" s="1567">
        <f t="shared" si="749"/>
        <v>0</v>
      </c>
      <c r="DV76" s="1567">
        <f t="shared" si="749"/>
        <v>0</v>
      </c>
      <c r="DW76" s="1567">
        <f t="shared" si="749"/>
        <v>0</v>
      </c>
      <c r="DX76" s="1567">
        <f t="shared" si="749"/>
        <v>0</v>
      </c>
      <c r="DY76" s="1567">
        <f t="shared" si="749"/>
        <v>0</v>
      </c>
      <c r="DZ76" s="1567">
        <f t="shared" si="749"/>
        <v>0</v>
      </c>
      <c r="EA76" s="1567">
        <f t="shared" si="749"/>
        <v>0</v>
      </c>
      <c r="EB76" s="1567">
        <f t="shared" si="749"/>
        <v>0</v>
      </c>
      <c r="EC76" s="1567">
        <f t="shared" si="749"/>
        <v>0</v>
      </c>
      <c r="ED76" s="1567">
        <f t="shared" si="749"/>
        <v>0</v>
      </c>
      <c r="EE76" s="1567">
        <f t="shared" si="749"/>
        <v>0</v>
      </c>
      <c r="EF76" s="1567">
        <f t="shared" ca="1" si="749"/>
        <v>0</v>
      </c>
      <c r="EG76" s="1567">
        <f t="shared" ca="1" si="749"/>
        <v>0</v>
      </c>
      <c r="EH76" s="1567">
        <f t="shared" ca="1" si="749"/>
        <v>0</v>
      </c>
      <c r="EI76" s="1567">
        <f t="shared" ca="1" si="749"/>
        <v>0</v>
      </c>
      <c r="EJ76" s="1567">
        <f t="shared" ca="1" si="749"/>
        <v>0</v>
      </c>
      <c r="EK76" s="1567">
        <f t="shared" ca="1" si="749"/>
        <v>0</v>
      </c>
      <c r="EL76" s="1567">
        <f t="shared" ca="1" si="749"/>
        <v>0</v>
      </c>
      <c r="EM76" s="1567">
        <f t="shared" ca="1" si="749"/>
        <v>0</v>
      </c>
      <c r="EN76" s="1567">
        <f t="shared" ca="1" si="749"/>
        <v>0</v>
      </c>
      <c r="EO76" s="1567">
        <f t="shared" ca="1" si="749"/>
        <v>0</v>
      </c>
      <c r="EP76" s="1567">
        <f t="shared" ca="1" si="749"/>
        <v>0</v>
      </c>
      <c r="EQ76" s="1567">
        <f t="shared" ca="1" si="749"/>
        <v>0</v>
      </c>
      <c r="ER76" s="1567">
        <f t="shared" ca="1" si="749"/>
        <v>0</v>
      </c>
      <c r="ES76" s="1567">
        <f t="shared" ca="1" si="749"/>
        <v>0</v>
      </c>
      <c r="ET76" s="1567">
        <f t="shared" ca="1" si="749"/>
        <v>0</v>
      </c>
      <c r="EU76" s="1567">
        <f t="shared" ca="1" si="749"/>
        <v>0</v>
      </c>
      <c r="EV76" s="1567">
        <f t="shared" ca="1" si="749"/>
        <v>0</v>
      </c>
      <c r="EW76" s="1567">
        <f t="shared" ca="1" si="749"/>
        <v>0</v>
      </c>
      <c r="EX76" s="1567">
        <f t="shared" ca="1" si="749"/>
        <v>0</v>
      </c>
      <c r="EY76" s="1567">
        <f t="shared" ca="1" si="749"/>
        <v>0</v>
      </c>
      <c r="EZ76" s="1567">
        <f t="shared" ca="1" si="749"/>
        <v>0</v>
      </c>
      <c r="FA76" s="1567">
        <f t="shared" ca="1" si="749"/>
        <v>0</v>
      </c>
      <c r="FB76" s="1567">
        <f t="shared" ca="1" si="749"/>
        <v>0</v>
      </c>
      <c r="FC76" s="1567">
        <f t="shared" ca="1" si="749"/>
        <v>0</v>
      </c>
      <c r="FD76" s="1567">
        <f t="shared" ca="1" si="749"/>
        <v>0</v>
      </c>
      <c r="FE76" s="1567">
        <f t="shared" ca="1" si="749"/>
        <v>0</v>
      </c>
      <c r="FF76" s="1567">
        <f t="shared" ca="1" si="749"/>
        <v>0</v>
      </c>
      <c r="FG76" s="1567">
        <f t="shared" ca="1" si="749"/>
        <v>0</v>
      </c>
      <c r="FH76" s="1567">
        <f t="shared" ca="1" si="749"/>
        <v>0</v>
      </c>
      <c r="FI76" s="1572">
        <f t="shared" ref="FI76:FI78" si="750">CY76*$I76</f>
        <v>0</v>
      </c>
    </row>
    <row r="77" spans="1:165">
      <c r="A77" s="595"/>
      <c r="B77" s="598"/>
      <c r="C77" s="599"/>
      <c r="F77" s="1509" t="s">
        <v>1641</v>
      </c>
      <c r="G77" s="1611" t="s">
        <v>1718</v>
      </c>
      <c r="H77" s="1598">
        <f>'Sistemas - Cotações'!F23</f>
        <v>0</v>
      </c>
      <c r="I77" s="1598">
        <f>H77*0.6</f>
        <v>0</v>
      </c>
      <c r="J77" s="867">
        <v>4</v>
      </c>
      <c r="K77" s="99"/>
      <c r="L77" s="1479">
        <f>'Sistemas-Manutenção'!L74</f>
        <v>1</v>
      </c>
      <c r="M77" s="1479">
        <f>'Sistemas-Manutenção'!M74</f>
        <v>1</v>
      </c>
      <c r="N77" s="1479">
        <f>'Sistemas-Manutenção'!N74</f>
        <v>1</v>
      </c>
      <c r="O77" s="1479">
        <f>'Sistemas-Manutenção'!O74</f>
        <v>1</v>
      </c>
      <c r="P77" s="1479">
        <f>'Sistemas-Manutenção'!P74</f>
        <v>1</v>
      </c>
      <c r="Q77" s="1479">
        <f>'Sistemas-Manutenção'!Q74</f>
        <v>1</v>
      </c>
      <c r="R77" s="1479">
        <f>'Sistemas-Manutenção'!R74</f>
        <v>1</v>
      </c>
      <c r="S77" s="1479">
        <f>'Sistemas-Manutenção'!S74</f>
        <v>1</v>
      </c>
      <c r="T77" s="1479">
        <f>'Sistemas-Manutenção'!T74</f>
        <v>1</v>
      </c>
      <c r="U77" s="1479">
        <f>'Sistemas-Manutenção'!U74</f>
        <v>1</v>
      </c>
      <c r="V77" s="1479">
        <f>'Sistemas-Manutenção'!V74</f>
        <v>1</v>
      </c>
      <c r="W77" s="1479">
        <f>'Sistemas-Manutenção'!W74</f>
        <v>1</v>
      </c>
      <c r="X77" s="1479">
        <f>'Sistemas-Manutenção'!X74</f>
        <v>1</v>
      </c>
      <c r="Y77" s="1479">
        <f>'Sistemas-Manutenção'!Y74</f>
        <v>1</v>
      </c>
      <c r="Z77" s="1479">
        <f>'Sistemas-Manutenção'!Z74</f>
        <v>1</v>
      </c>
      <c r="AA77" s="1479">
        <f>'Sistemas-Manutenção'!AA74</f>
        <v>1</v>
      </c>
      <c r="AB77" s="1479">
        <f>'Sistemas-Manutenção'!AB74</f>
        <v>1</v>
      </c>
      <c r="AC77" s="1479">
        <f>'Sistemas-Manutenção'!AC74</f>
        <v>1</v>
      </c>
      <c r="AD77" s="1479">
        <f>'Sistemas-Manutenção'!AD74</f>
        <v>1</v>
      </c>
      <c r="AE77" s="1479">
        <f>'Sistemas-Manutenção'!AE74</f>
        <v>1</v>
      </c>
      <c r="AF77" s="1479">
        <f>'Sistemas-Manutenção'!AF74</f>
        <v>1</v>
      </c>
      <c r="AG77" s="1479">
        <f>'Sistemas-Manutenção'!AG74</f>
        <v>1</v>
      </c>
      <c r="AH77" s="1479">
        <f>'Sistemas-Manutenção'!AH74</f>
        <v>1</v>
      </c>
      <c r="AI77" s="1479">
        <f>'Sistemas-Manutenção'!AI74</f>
        <v>1</v>
      </c>
      <c r="AJ77" s="1479">
        <f>'Sistemas-Manutenção'!AJ74</f>
        <v>1</v>
      </c>
      <c r="AK77" s="1479">
        <f>'Sistemas-Manutenção'!AK74</f>
        <v>1</v>
      </c>
      <c r="AL77" s="1479">
        <f>'Sistemas-Manutenção'!AL74</f>
        <v>1</v>
      </c>
      <c r="AM77" s="1479">
        <f>'Sistemas-Manutenção'!AM74</f>
        <v>1</v>
      </c>
      <c r="AN77" s="1479">
        <f>'Sistemas-Manutenção'!AN74</f>
        <v>1</v>
      </c>
      <c r="AO77" s="1479">
        <f>'Sistemas-Manutenção'!AO74</f>
        <v>1</v>
      </c>
      <c r="AP77" s="1479">
        <f>'Sistemas-Manutenção'!AP74</f>
        <v>0</v>
      </c>
      <c r="AQ77" s="1479">
        <f t="shared" si="660"/>
        <v>1</v>
      </c>
      <c r="AR77" s="1479">
        <f t="shared" ref="AR77" si="751">IF(M77&gt;L77,M77-L77,0)</f>
        <v>0</v>
      </c>
      <c r="AS77" s="1479">
        <f t="shared" ref="AS77" si="752">IF(N77&gt;M77,N77-M77,0)</f>
        <v>0</v>
      </c>
      <c r="AT77" s="1479">
        <f t="shared" ref="AT77" si="753">IF(O77&gt;N77,O77-N77,0)</f>
        <v>0</v>
      </c>
      <c r="AU77" s="1479">
        <f t="shared" ref="AU77" si="754">IF(P77&gt;O77,P77-O77,0)</f>
        <v>0</v>
      </c>
      <c r="AV77" s="1479">
        <f t="shared" ref="AV77" si="755">IF(Q77&gt;P77,Q77-P77,0)</f>
        <v>0</v>
      </c>
      <c r="AW77" s="1479">
        <f t="shared" ref="AW77" si="756">IF(R77&gt;Q77,R77-Q77,0)</f>
        <v>0</v>
      </c>
      <c r="AX77" s="1479">
        <f t="shared" ref="AX77" si="757">IF(S77&gt;R77,S77-R77,0)</f>
        <v>0</v>
      </c>
      <c r="AY77" s="1479">
        <f t="shared" ref="AY77" si="758">IF(T77&gt;S77,T77-S77,0)</f>
        <v>0</v>
      </c>
      <c r="AZ77" s="1479">
        <f t="shared" ref="AZ77" si="759">IF(U77&gt;T77,U77-T77,0)</f>
        <v>0</v>
      </c>
      <c r="BA77" s="1479">
        <f t="shared" ref="BA77" si="760">IF(V77&gt;U77,V77-U77,0)</f>
        <v>0</v>
      </c>
      <c r="BB77" s="1479">
        <f t="shared" ref="BB77" si="761">IF(W77&gt;V77,W77-V77,0)</f>
        <v>0</v>
      </c>
      <c r="BC77" s="1479">
        <f t="shared" ref="BC77" si="762">IF(X77&gt;W77,X77-W77,0)</f>
        <v>0</v>
      </c>
      <c r="BD77" s="1479">
        <f t="shared" ref="BD77" si="763">IF(Y77&gt;X77,Y77-X77,0)</f>
        <v>0</v>
      </c>
      <c r="BE77" s="1479">
        <f t="shared" ref="BE77" si="764">IF(Z77&gt;Y77,Z77-Y77,0)</f>
        <v>0</v>
      </c>
      <c r="BF77" s="1479">
        <f t="shared" ref="BF77" si="765">IF(AA77&gt;Z77,AA77-Z77,0)</f>
        <v>0</v>
      </c>
      <c r="BG77" s="1479">
        <f t="shared" ref="BG77" si="766">IF(AB77&gt;AA77,AB77-AA77,0)</f>
        <v>0</v>
      </c>
      <c r="BH77" s="1479">
        <f t="shared" ref="BH77" si="767">IF(AC77&gt;AB77,AC77-AB77,0)</f>
        <v>0</v>
      </c>
      <c r="BI77" s="1479">
        <f t="shared" ref="BI77" si="768">IF(AD77&gt;AC77,AD77-AC77,0)</f>
        <v>0</v>
      </c>
      <c r="BJ77" s="1479">
        <f t="shared" ref="BJ77" si="769">IF(AE77&gt;AD77,AE77-AD77,0)</f>
        <v>0</v>
      </c>
      <c r="BK77" s="1479">
        <f t="shared" ref="BK77" si="770">IF(AF77&gt;AE77,AF77-AE77,0)</f>
        <v>0</v>
      </c>
      <c r="BL77" s="1479">
        <f t="shared" ref="BL77" si="771">IF(AG77&gt;AF77,AG77-AF77,0)</f>
        <v>0</v>
      </c>
      <c r="BM77" s="1479">
        <f t="shared" ref="BM77" si="772">IF(AH77&gt;AG77,AH77-AG77,0)</f>
        <v>0</v>
      </c>
      <c r="BN77" s="1479">
        <f t="shared" ref="BN77" si="773">IF(AI77&gt;AH77,AI77-AH77,0)</f>
        <v>0</v>
      </c>
      <c r="BO77" s="1479">
        <f t="shared" ref="BO77" si="774">IF(AJ77&gt;AI77,AJ77-AI77,0)</f>
        <v>0</v>
      </c>
      <c r="BP77" s="1479">
        <f t="shared" ref="BP77" si="775">IF(AK77&gt;AJ77,AK77-AJ77,0)</f>
        <v>0</v>
      </c>
      <c r="BQ77" s="1479">
        <f t="shared" ref="BQ77" si="776">IF(AL77&gt;AK77,AL77-AK77,0)</f>
        <v>0</v>
      </c>
      <c r="BR77" s="1479">
        <f t="shared" ref="BR77" si="777">IF(AM77&gt;AL77,AM77-AL77,0)</f>
        <v>0</v>
      </c>
      <c r="BS77" s="1479">
        <f t="shared" ref="BS77" si="778">IF(AN77&gt;AM77,AN77-AM77,0)</f>
        <v>0</v>
      </c>
      <c r="BT77" s="1479">
        <f t="shared" ref="BT77" si="779">IF(AO77&gt;AN77,AO77-AN77,0)</f>
        <v>0</v>
      </c>
      <c r="BU77" s="81"/>
      <c r="BV77" s="1571">
        <f t="shared" ref="BV77" ca="1" si="780">IF(L77-SUM(OFFSET(AQ77,,-$J77+1,,$J77))-IF($J77&gt;1,SUM(OFFSET(BV77,,-$J77+1,,$J77-1)),0)&gt;0,L77-SUM(OFFSET(AQ77,,-$J77+1,,$J77))-IF($J77&gt;1,SUM(OFFSET(BV77,,-$J77+1,,$J77-1)),0),0)</f>
        <v>0</v>
      </c>
      <c r="BW77" s="1571">
        <f t="shared" ref="BW77" ca="1" si="781">IF(M77-SUM(OFFSET(AR77,,-$J77+1,,$J77))-IF($J77&gt;1,SUM(OFFSET(BW77,,-$J77+1,,$J77-1)),0)&gt;0,M77-SUM(OFFSET(AR77,,-$J77+1,,$J77))-IF($J77&gt;1,SUM(OFFSET(BW77,,-$J77+1,,$J77-1)),0),0)</f>
        <v>0</v>
      </c>
      <c r="BX77" s="1571">
        <f t="shared" ref="BX77" ca="1" si="782">IF(N77-SUM(OFFSET(AS77,,-$J77+1,,$J77))-IF($J77&gt;1,SUM(OFFSET(BX77,,-$J77+1,,$J77-1)),0)&gt;0,N77-SUM(OFFSET(AS77,,-$J77+1,,$J77))-IF($J77&gt;1,SUM(OFFSET(BX77,,-$J77+1,,$J77-1)),0),0)</f>
        <v>0</v>
      </c>
      <c r="BY77" s="1571">
        <f t="shared" ref="BY77" ca="1" si="783">IF(O77-SUM(OFFSET(AT77,,-$J77+1,,$J77))-IF($J77&gt;1,SUM(OFFSET(BY77,,-$J77+1,,$J77-1)),0)&gt;0,O77-SUM(OFFSET(AT77,,-$J77+1,,$J77))-IF($J77&gt;1,SUM(OFFSET(BY77,,-$J77+1,,$J77-1)),0),0)</f>
        <v>0</v>
      </c>
      <c r="BZ77" s="1571">
        <f t="shared" ref="BZ77" ca="1" si="784">IF(P77-SUM(OFFSET(AU77,,-$J77+1,,$J77))-IF($J77&gt;1,SUM(OFFSET(BZ77,,-$J77+1,,$J77-1)),0)&gt;0,P77-SUM(OFFSET(AU77,,-$J77+1,,$J77))-IF($J77&gt;1,SUM(OFFSET(BZ77,,-$J77+1,,$J77-1)),0),0)</f>
        <v>1</v>
      </c>
      <c r="CA77" s="1571">
        <f t="shared" ref="CA77" ca="1" si="785">IF(Q77-SUM(OFFSET(AV77,,-$J77+1,,$J77))-IF($J77&gt;1,SUM(OFFSET(CA77,,-$J77+1,,$J77-1)),0)&gt;0,Q77-SUM(OFFSET(AV77,,-$J77+1,,$J77))-IF($J77&gt;1,SUM(OFFSET(CA77,,-$J77+1,,$J77-1)),0),0)</f>
        <v>0</v>
      </c>
      <c r="CB77" s="1571">
        <f t="shared" ref="CB77" ca="1" si="786">IF(R77-SUM(OFFSET(AW77,,-$J77+1,,$J77))-IF($J77&gt;1,SUM(OFFSET(CB77,,-$J77+1,,$J77-1)),0)&gt;0,R77-SUM(OFFSET(AW77,,-$J77+1,,$J77))-IF($J77&gt;1,SUM(OFFSET(CB77,,-$J77+1,,$J77-1)),0),0)</f>
        <v>0</v>
      </c>
      <c r="CC77" s="1571">
        <f t="shared" ref="CC77" ca="1" si="787">IF(S77-SUM(OFFSET(AX77,,-$J77+1,,$J77))-IF($J77&gt;1,SUM(OFFSET(CC77,,-$J77+1,,$J77-1)),0)&gt;0,S77-SUM(OFFSET(AX77,,-$J77+1,,$J77))-IF($J77&gt;1,SUM(OFFSET(CC77,,-$J77+1,,$J77-1)),0),0)</f>
        <v>0</v>
      </c>
      <c r="CD77" s="1571">
        <f t="shared" ref="CD77" ca="1" si="788">IF(T77-SUM(OFFSET(AY77,,-$J77+1,,$J77))-IF($J77&gt;1,SUM(OFFSET(CD77,,-$J77+1,,$J77-1)),0)&gt;0,T77-SUM(OFFSET(AY77,,-$J77+1,,$J77))-IF($J77&gt;1,SUM(OFFSET(CD77,,-$J77+1,,$J77-1)),0),0)</f>
        <v>1</v>
      </c>
      <c r="CE77" s="1571">
        <f t="shared" ref="CE77" ca="1" si="789">IF(U77-SUM(OFFSET(AZ77,,-$J77+1,,$J77))-IF($J77&gt;1,SUM(OFFSET(CE77,,-$J77+1,,$J77-1)),0)&gt;0,U77-SUM(OFFSET(AZ77,,-$J77+1,,$J77))-IF($J77&gt;1,SUM(OFFSET(CE77,,-$J77+1,,$J77-1)),0),0)</f>
        <v>0</v>
      </c>
      <c r="CF77" s="1571">
        <f t="shared" ref="CF77" ca="1" si="790">IF(V77-SUM(OFFSET(BA77,,-$J77+1,,$J77))-IF($J77&gt;1,SUM(OFFSET(CF77,,-$J77+1,,$J77-1)),0)&gt;0,V77-SUM(OFFSET(BA77,,-$J77+1,,$J77))-IF($J77&gt;1,SUM(OFFSET(CF77,,-$J77+1,,$J77-1)),0),0)</f>
        <v>0</v>
      </c>
      <c r="CG77" s="1571">
        <f t="shared" ref="CG77" ca="1" si="791">IF(W77-SUM(OFFSET(BB77,,-$J77+1,,$J77))-IF($J77&gt;1,SUM(OFFSET(CG77,,-$J77+1,,$J77-1)),0)&gt;0,W77-SUM(OFFSET(BB77,,-$J77+1,,$J77))-IF($J77&gt;1,SUM(OFFSET(CG77,,-$J77+1,,$J77-1)),0),0)</f>
        <v>0</v>
      </c>
      <c r="CH77" s="1571">
        <f t="shared" ref="CH77" ca="1" si="792">IF(X77-SUM(OFFSET(BC77,,-$J77+1,,$J77))-IF($J77&gt;1,SUM(OFFSET(CH77,,-$J77+1,,$J77-1)),0)&gt;0,X77-SUM(OFFSET(BC77,,-$J77+1,,$J77))-IF($J77&gt;1,SUM(OFFSET(CH77,,-$J77+1,,$J77-1)),0),0)</f>
        <v>1</v>
      </c>
      <c r="CI77" s="1571">
        <f t="shared" ref="CI77" ca="1" si="793">IF(Y77-SUM(OFFSET(BD77,,-$J77+1,,$J77))-IF($J77&gt;1,SUM(OFFSET(CI77,,-$J77+1,,$J77-1)),0)&gt;0,Y77-SUM(OFFSET(BD77,,-$J77+1,,$J77))-IF($J77&gt;1,SUM(OFFSET(CI77,,-$J77+1,,$J77-1)),0),0)</f>
        <v>0</v>
      </c>
      <c r="CJ77" s="1571">
        <f t="shared" ref="CJ77" ca="1" si="794">IF(Z77-SUM(OFFSET(BE77,,-$J77+1,,$J77))-IF($J77&gt;1,SUM(OFFSET(CJ77,,-$J77+1,,$J77-1)),0)&gt;0,Z77-SUM(OFFSET(BE77,,-$J77+1,,$J77))-IF($J77&gt;1,SUM(OFFSET(CJ77,,-$J77+1,,$J77-1)),0),0)</f>
        <v>0</v>
      </c>
      <c r="CK77" s="1571">
        <f t="shared" ref="CK77" ca="1" si="795">IF(AA77-SUM(OFFSET(BF77,,-$J77+1,,$J77))-IF($J77&gt;1,SUM(OFFSET(CK77,,-$J77+1,,$J77-1)),0)&gt;0,AA77-SUM(OFFSET(BF77,,-$J77+1,,$J77))-IF($J77&gt;1,SUM(OFFSET(CK77,,-$J77+1,,$J77-1)),0),0)</f>
        <v>0</v>
      </c>
      <c r="CL77" s="1571">
        <f t="shared" ref="CL77" ca="1" si="796">IF(AB77-SUM(OFFSET(BG77,,-$J77+1,,$J77))-IF($J77&gt;1,SUM(OFFSET(CL77,,-$J77+1,,$J77-1)),0)&gt;0,AB77-SUM(OFFSET(BG77,,-$J77+1,,$J77))-IF($J77&gt;1,SUM(OFFSET(CL77,,-$J77+1,,$J77-1)),0),0)</f>
        <v>1</v>
      </c>
      <c r="CM77" s="1571">
        <f t="shared" ref="CM77" ca="1" si="797">IF(AC77-SUM(OFFSET(BH77,,-$J77+1,,$J77))-IF($J77&gt;1,SUM(OFFSET(CM77,,-$J77+1,,$J77-1)),0)&gt;0,AC77-SUM(OFFSET(BH77,,-$J77+1,,$J77))-IF($J77&gt;1,SUM(OFFSET(CM77,,-$J77+1,,$J77-1)),0),0)</f>
        <v>0</v>
      </c>
      <c r="CN77" s="1571">
        <f t="shared" ref="CN77" ca="1" si="798">IF(AD77-SUM(OFFSET(BI77,,-$J77+1,,$J77))-IF($J77&gt;1,SUM(OFFSET(CN77,,-$J77+1,,$J77-1)),0)&gt;0,AD77-SUM(OFFSET(BI77,,-$J77+1,,$J77))-IF($J77&gt;1,SUM(OFFSET(CN77,,-$J77+1,,$J77-1)),0),0)</f>
        <v>0</v>
      </c>
      <c r="CO77" s="1571">
        <f t="shared" ref="CO77" ca="1" si="799">IF(AE77-SUM(OFFSET(BJ77,,-$J77+1,,$J77))-IF($J77&gt;1,SUM(OFFSET(CO77,,-$J77+1,,$J77-1)),0)&gt;0,AE77-SUM(OFFSET(BJ77,,-$J77+1,,$J77))-IF($J77&gt;1,SUM(OFFSET(CO77,,-$J77+1,,$J77-1)),0),0)</f>
        <v>0</v>
      </c>
      <c r="CP77" s="1571">
        <f t="shared" ref="CP77" ca="1" si="800">IF(AF77-SUM(OFFSET(BK77,,-$J77+1,,$J77))-IF($J77&gt;1,SUM(OFFSET(CP77,,-$J77+1,,$J77-1)),0)&gt;0,AF77-SUM(OFFSET(BK77,,-$J77+1,,$J77))-IF($J77&gt;1,SUM(OFFSET(CP77,,-$J77+1,,$J77-1)),0),0)</f>
        <v>1</v>
      </c>
      <c r="CQ77" s="1571">
        <f t="shared" ref="CQ77" ca="1" si="801">IF(AG77-SUM(OFFSET(BL77,,-$J77+1,,$J77))-IF($J77&gt;1,SUM(OFFSET(CQ77,,-$J77+1,,$J77-1)),0)&gt;0,AG77-SUM(OFFSET(BL77,,-$J77+1,,$J77))-IF($J77&gt;1,SUM(OFFSET(CQ77,,-$J77+1,,$J77-1)),0),0)</f>
        <v>0</v>
      </c>
      <c r="CR77" s="1571">
        <f t="shared" ref="CR77" ca="1" si="802">IF(AH77-SUM(OFFSET(BM77,,-$J77+1,,$J77))-IF($J77&gt;1,SUM(OFFSET(CR77,,-$J77+1,,$J77-1)),0)&gt;0,AH77-SUM(OFFSET(BM77,,-$J77+1,,$J77))-IF($J77&gt;1,SUM(OFFSET(CR77,,-$J77+1,,$J77-1)),0),0)</f>
        <v>0</v>
      </c>
      <c r="CS77" s="1571">
        <f t="shared" ref="CS77" ca="1" si="803">IF(AI77-SUM(OFFSET(BN77,,-$J77+1,,$J77))-IF($J77&gt;1,SUM(OFFSET(CS77,,-$J77+1,,$J77-1)),0)&gt;0,AI77-SUM(OFFSET(BN77,,-$J77+1,,$J77))-IF($J77&gt;1,SUM(OFFSET(CS77,,-$J77+1,,$J77-1)),0),0)</f>
        <v>0</v>
      </c>
      <c r="CT77" s="1571">
        <f t="shared" ref="CT77" ca="1" si="804">IF(AJ77-SUM(OFFSET(BT77,,-$J77+1,,$J77))-IF($J77&gt;1,SUM(OFFSET(CT77,,-$J77+1,,$J77-1)),0)&gt;0,AJ77-SUM(OFFSET(BT77,,-$J77+1,,$J77))-IF($J77&gt;1,SUM(OFFSET(CT77,,-$J77+1,,$J77-1)),0),0)</f>
        <v>1</v>
      </c>
      <c r="CU77" s="1571">
        <f t="shared" ref="CU77" ca="1" si="805">IF(AK77-SUM(OFFSET(BU77,,-$J77+1,,$J77))-IF($J77&gt;1,SUM(OFFSET(CU77,,-$J77+1,,$J77-1)),0)&gt;0,AK77-SUM(OFFSET(BU77,,-$J77+1,,$J77))-IF($J77&gt;1,SUM(OFFSET(CU77,,-$J77+1,,$J77-1)),0),0)</f>
        <v>0</v>
      </c>
      <c r="CV77" s="1571">
        <f t="shared" ref="CV77" ca="1" si="806">IF(AL77-SUM(OFFSET(BV77,,-$J77+1,,$J77))-IF($J77&gt;1,SUM(OFFSET(CV77,,-$J77+1,,$J77-1)),0)&gt;0,AL77-SUM(OFFSET(BV77,,-$J77+1,,$J77))-IF($J77&gt;1,SUM(OFFSET(CV77,,-$J77+1,,$J77-1)),0),0)</f>
        <v>0</v>
      </c>
      <c r="CW77" s="1571">
        <f t="shared" ref="CW77" ca="1" si="807">IF(AM77-SUM(OFFSET(BW77,,-$J77+1,,$J77))-IF($J77&gt;1,SUM(OFFSET(CW77,,-$J77+1,,$J77-1)),0)&gt;0,AM77-SUM(OFFSET(BW77,,-$J77+1,,$J77))-IF($J77&gt;1,SUM(OFFSET(CW77,,-$J77+1,,$J77-1)),0),0)</f>
        <v>0</v>
      </c>
      <c r="CX77" s="1571">
        <f t="shared" ref="CX77" ca="1" si="808">IF(AN77-SUM(OFFSET(BX77,,-$J77+1,,$J77))-IF($J77&gt;1,SUM(OFFSET(CX77,,-$J77+1,,$J77-1)),0)&gt;0,AN77-SUM(OFFSET(BX77,,-$J77+1,,$J77))-IF($J77&gt;1,SUM(OFFSET(CX77,,-$J77+1,,$J77-1)),0),0)</f>
        <v>1</v>
      </c>
      <c r="CY77" s="1571">
        <f t="shared" ref="CY77" ca="1" si="809">IF(AO77-SUM(OFFSET(BY77,,-$J77+1,,$J77))-IF($J77&gt;1,SUM(OFFSET(CY77,,-$J77+1,,$J77-1)),0)&gt;0,AO77-SUM(OFFSET(BY77,,-$J77+1,,$J77))-IF($J77&gt;1,SUM(OFFSET(CY77,,-$J77+1,,$J77-1)),0),0)</f>
        <v>0</v>
      </c>
      <c r="CZ77" s="82"/>
      <c r="DA77" s="1572">
        <f t="shared" si="735"/>
        <v>0</v>
      </c>
      <c r="DB77" s="1572">
        <f t="shared" ref="DB77" si="810">AR77*$H77</f>
        <v>0</v>
      </c>
      <c r="DC77" s="1572">
        <f t="shared" ref="DC77" si="811">AS77*$H77</f>
        <v>0</v>
      </c>
      <c r="DD77" s="1572">
        <f t="shared" ref="DD77" si="812">AT77*$H77</f>
        <v>0</v>
      </c>
      <c r="DE77" s="1572">
        <f t="shared" ref="DE77" si="813">AU77*$H77</f>
        <v>0</v>
      </c>
      <c r="DF77" s="1572">
        <f t="shared" ref="DF77" si="814">AV77*$H77</f>
        <v>0</v>
      </c>
      <c r="DG77" s="1572">
        <f t="shared" ref="DG77" si="815">AW77*$H77</f>
        <v>0</v>
      </c>
      <c r="DH77" s="1572">
        <f t="shared" ref="DH77" si="816">AX77*$H77</f>
        <v>0</v>
      </c>
      <c r="DI77" s="1572">
        <f t="shared" ref="DI77" si="817">AY77*$H77</f>
        <v>0</v>
      </c>
      <c r="DJ77" s="1572">
        <f t="shared" ref="DJ77" si="818">AZ77*$H77</f>
        <v>0</v>
      </c>
      <c r="DK77" s="1572">
        <f t="shared" ref="DK77" si="819">BA77*$H77</f>
        <v>0</v>
      </c>
      <c r="DL77" s="1572">
        <f t="shared" ref="DL77" si="820">BB77*$H77</f>
        <v>0</v>
      </c>
      <c r="DM77" s="1572">
        <f t="shared" ref="DM77" si="821">BC77*$H77</f>
        <v>0</v>
      </c>
      <c r="DN77" s="1572">
        <f t="shared" ref="DN77" si="822">BD77*$H77</f>
        <v>0</v>
      </c>
      <c r="DO77" s="1572">
        <f t="shared" ref="DO77" si="823">BE77*$H77</f>
        <v>0</v>
      </c>
      <c r="DP77" s="1572">
        <f t="shared" ref="DP77" si="824">BF77*$H77</f>
        <v>0</v>
      </c>
      <c r="DQ77" s="1572">
        <f t="shared" ref="DQ77" si="825">BG77*$H77</f>
        <v>0</v>
      </c>
      <c r="DR77" s="1572">
        <f t="shared" ref="DR77" si="826">BH77*$H77</f>
        <v>0</v>
      </c>
      <c r="DS77" s="1572">
        <f t="shared" ref="DS77" si="827">BI77*$H77</f>
        <v>0</v>
      </c>
      <c r="DT77" s="1572">
        <f t="shared" ref="DT77" si="828">BJ77*$H77</f>
        <v>0</v>
      </c>
      <c r="DU77" s="1572">
        <f t="shared" ref="DU77" si="829">BK77*$H77</f>
        <v>0</v>
      </c>
      <c r="DV77" s="1572">
        <f t="shared" ref="DV77" si="830">BL77*$H77</f>
        <v>0</v>
      </c>
      <c r="DW77" s="1572">
        <f t="shared" ref="DW77" si="831">BM77*$H77</f>
        <v>0</v>
      </c>
      <c r="DX77" s="1572">
        <f t="shared" ref="DX77" si="832">BN77*$H77</f>
        <v>0</v>
      </c>
      <c r="DY77" s="1572"/>
      <c r="DZ77" s="1572"/>
      <c r="EA77" s="1572"/>
      <c r="EB77" s="1572"/>
      <c r="EC77" s="1572"/>
      <c r="ED77" s="1572">
        <f>BT77*$H77</f>
        <v>0</v>
      </c>
      <c r="EE77" s="79"/>
      <c r="EF77" s="1572">
        <f t="shared" ref="EF77:EF78" ca="1" si="833">BV77*$I77</f>
        <v>0</v>
      </c>
      <c r="EG77" s="1572">
        <f t="shared" ref="EG77:EG78" ca="1" si="834">BW77*$I77</f>
        <v>0</v>
      </c>
      <c r="EH77" s="1572">
        <f t="shared" ref="EH77:EH78" ca="1" si="835">BX77*$I77</f>
        <v>0</v>
      </c>
      <c r="EI77" s="1572">
        <f t="shared" ref="EI77:EI78" ca="1" si="836">BY77*$I77</f>
        <v>0</v>
      </c>
      <c r="EJ77" s="1572">
        <f t="shared" ref="EJ77:EJ78" ca="1" si="837">BZ77*$I77</f>
        <v>0</v>
      </c>
      <c r="EK77" s="1572">
        <f t="shared" ref="EK77:EK78" ca="1" si="838">CA77*$I77</f>
        <v>0</v>
      </c>
      <c r="EL77" s="1572">
        <f t="shared" ref="EL77:EL78" ca="1" si="839">CB77*$I77</f>
        <v>0</v>
      </c>
      <c r="EM77" s="1572">
        <f t="shared" ref="EM77:EM78" ca="1" si="840">CC77*$I77</f>
        <v>0</v>
      </c>
      <c r="EN77" s="1572">
        <f t="shared" ref="EN77:EN78" ca="1" si="841">CD77*$I77</f>
        <v>0</v>
      </c>
      <c r="EO77" s="1572">
        <f t="shared" ref="EO77:EO78" ca="1" si="842">CE77*$I77</f>
        <v>0</v>
      </c>
      <c r="EP77" s="1572">
        <f t="shared" ref="EP77:EP78" ca="1" si="843">CF77*$I77</f>
        <v>0</v>
      </c>
      <c r="EQ77" s="1572">
        <f t="shared" ref="EQ77:EQ78" ca="1" si="844">CG77*$I77</f>
        <v>0</v>
      </c>
      <c r="ER77" s="1572">
        <f t="shared" ref="ER77:ER78" ca="1" si="845">CH77*$I77</f>
        <v>0</v>
      </c>
      <c r="ES77" s="1572">
        <f t="shared" ref="ES77:ES78" ca="1" si="846">CI77*$I77</f>
        <v>0</v>
      </c>
      <c r="ET77" s="1572">
        <f t="shared" ref="ET77:ET78" ca="1" si="847">CJ77*$I77</f>
        <v>0</v>
      </c>
      <c r="EU77" s="1572">
        <f t="shared" ref="EU77:EU78" ca="1" si="848">CK77*$I77</f>
        <v>0</v>
      </c>
      <c r="EV77" s="1572">
        <f t="shared" ref="EV77:EV78" ca="1" si="849">CL77*$I77</f>
        <v>0</v>
      </c>
      <c r="EW77" s="1572">
        <f t="shared" ref="EW77:EW78" ca="1" si="850">CM77*$I77</f>
        <v>0</v>
      </c>
      <c r="EX77" s="1572">
        <f t="shared" ref="EX77:EX78" ca="1" si="851">CN77*$I77</f>
        <v>0</v>
      </c>
      <c r="EY77" s="1572">
        <f t="shared" ref="EY77:EY78" ca="1" si="852">CO77*$I77</f>
        <v>0</v>
      </c>
      <c r="EZ77" s="1572">
        <f t="shared" ref="EZ77:EZ78" ca="1" si="853">CP77*$I77</f>
        <v>0</v>
      </c>
      <c r="FA77" s="1572">
        <f t="shared" ref="FA77:FA78" ca="1" si="854">CQ77*$I77</f>
        <v>0</v>
      </c>
      <c r="FB77" s="1572">
        <f t="shared" ref="FB77:FB78" ca="1" si="855">CR77*$I77</f>
        <v>0</v>
      </c>
      <c r="FC77" s="1572">
        <f t="shared" ref="FC77:FC78" ca="1" si="856">CS77*$I77</f>
        <v>0</v>
      </c>
      <c r="FD77" s="1572">
        <f t="shared" ref="FD77:FD78" ca="1" si="857">CT77*$I77</f>
        <v>0</v>
      </c>
      <c r="FE77" s="1572">
        <f t="shared" ref="FE77:FE78" ca="1" si="858">CU77*$I77</f>
        <v>0</v>
      </c>
      <c r="FF77" s="1572">
        <f t="shared" ref="FF77:FF78" ca="1" si="859">CV77*$I77</f>
        <v>0</v>
      </c>
      <c r="FG77" s="1572">
        <f t="shared" ref="FG77:FG78" ca="1" si="860">CW77*$I77</f>
        <v>0</v>
      </c>
      <c r="FH77" s="1572">
        <f t="shared" ref="FH77:FH78" ca="1" si="861">CX77*$I77</f>
        <v>0</v>
      </c>
      <c r="FI77" s="1572">
        <f t="shared" ca="1" si="750"/>
        <v>0</v>
      </c>
    </row>
    <row r="78" spans="1:165">
      <c r="A78" s="595"/>
      <c r="B78" s="598"/>
      <c r="C78" s="599"/>
      <c r="F78" s="1511"/>
      <c r="G78" s="402"/>
      <c r="H78" s="86"/>
      <c r="I78" s="87"/>
      <c r="J78" s="1612"/>
      <c r="K78" s="99"/>
      <c r="L78" s="863"/>
      <c r="M78" s="863"/>
      <c r="N78" s="863"/>
      <c r="O78" s="863"/>
      <c r="P78" s="863"/>
      <c r="Q78" s="863"/>
      <c r="R78" s="863"/>
      <c r="S78" s="863"/>
      <c r="T78" s="863"/>
      <c r="U78" s="863"/>
      <c r="V78" s="863"/>
      <c r="W78" s="863"/>
      <c r="X78" s="863"/>
      <c r="Y78" s="863"/>
      <c r="Z78" s="863"/>
      <c r="AA78" s="863"/>
      <c r="AB78" s="863"/>
      <c r="AC78" s="863"/>
      <c r="AD78" s="863"/>
      <c r="AE78" s="863"/>
      <c r="AF78" s="863"/>
      <c r="AG78" s="863"/>
      <c r="AH78" s="863"/>
      <c r="AI78" s="863"/>
      <c r="AJ78" s="863"/>
      <c r="AK78" s="863"/>
      <c r="AL78" s="863"/>
      <c r="AM78" s="863"/>
      <c r="AN78" s="863"/>
      <c r="AO78" s="863"/>
      <c r="AP78" s="81"/>
      <c r="AQ78" s="863"/>
      <c r="AR78" s="863"/>
      <c r="AS78" s="863"/>
      <c r="AT78" s="863"/>
      <c r="AU78" s="863"/>
      <c r="AV78" s="863"/>
      <c r="AW78" s="863"/>
      <c r="AX78" s="863"/>
      <c r="AY78" s="863"/>
      <c r="AZ78" s="863"/>
      <c r="BA78" s="863"/>
      <c r="BB78" s="863"/>
      <c r="BC78" s="863"/>
      <c r="BD78" s="863"/>
      <c r="BE78" s="863"/>
      <c r="BF78" s="863"/>
      <c r="BG78" s="863"/>
      <c r="BH78" s="863"/>
      <c r="BI78" s="863"/>
      <c r="BJ78" s="863"/>
      <c r="BK78" s="863"/>
      <c r="BL78" s="863"/>
      <c r="BM78" s="863"/>
      <c r="BN78" s="863"/>
      <c r="BO78" s="863"/>
      <c r="BP78" s="863"/>
      <c r="BQ78" s="863"/>
      <c r="BR78" s="863"/>
      <c r="BS78" s="863"/>
      <c r="BT78" s="863"/>
      <c r="BU78" s="81"/>
      <c r="BV78" s="863"/>
      <c r="BW78" s="863"/>
      <c r="BX78" s="863"/>
      <c r="BY78" s="863"/>
      <c r="BZ78" s="863"/>
      <c r="CA78" s="863"/>
      <c r="CB78" s="863"/>
      <c r="CC78" s="863"/>
      <c r="CD78" s="863"/>
      <c r="CE78" s="863"/>
      <c r="CF78" s="863"/>
      <c r="CG78" s="863"/>
      <c r="CH78" s="863"/>
      <c r="CI78" s="863"/>
      <c r="CJ78" s="863"/>
      <c r="CK78" s="863"/>
      <c r="CL78" s="863"/>
      <c r="CM78" s="863"/>
      <c r="CN78" s="863"/>
      <c r="CO78" s="863"/>
      <c r="CP78" s="863"/>
      <c r="CQ78" s="863"/>
      <c r="CR78" s="863"/>
      <c r="CS78" s="863"/>
      <c r="CT78" s="863"/>
      <c r="CU78" s="863"/>
      <c r="CV78" s="863"/>
      <c r="CW78" s="863"/>
      <c r="CX78" s="863"/>
      <c r="CY78" s="863"/>
      <c r="CZ78" s="82"/>
      <c r="DA78" s="865"/>
      <c r="DB78" s="865"/>
      <c r="DC78" s="865"/>
      <c r="DD78" s="865"/>
      <c r="DE78" s="865"/>
      <c r="DF78" s="865"/>
      <c r="DG78" s="865"/>
      <c r="DH78" s="865"/>
      <c r="DI78" s="865"/>
      <c r="DJ78" s="865"/>
      <c r="DK78" s="865"/>
      <c r="DL78" s="865"/>
      <c r="DM78" s="865"/>
      <c r="DN78" s="865"/>
      <c r="DO78" s="865"/>
      <c r="DP78" s="865"/>
      <c r="DQ78" s="865"/>
      <c r="DR78" s="865"/>
      <c r="DS78" s="865"/>
      <c r="DT78" s="865"/>
      <c r="DU78" s="865"/>
      <c r="DV78" s="865"/>
      <c r="DW78" s="865"/>
      <c r="DX78" s="865"/>
      <c r="DY78" s="865"/>
      <c r="DZ78" s="865"/>
      <c r="EA78" s="865"/>
      <c r="EB78" s="865"/>
      <c r="EC78" s="865"/>
      <c r="ED78" s="865"/>
      <c r="EE78" s="79"/>
      <c r="EF78" s="1572">
        <f t="shared" si="833"/>
        <v>0</v>
      </c>
      <c r="EG78" s="1572">
        <f t="shared" si="834"/>
        <v>0</v>
      </c>
      <c r="EH78" s="1572">
        <f t="shared" si="835"/>
        <v>0</v>
      </c>
      <c r="EI78" s="1572">
        <f t="shared" si="836"/>
        <v>0</v>
      </c>
      <c r="EJ78" s="1572">
        <f t="shared" si="837"/>
        <v>0</v>
      </c>
      <c r="EK78" s="1572">
        <f t="shared" si="838"/>
        <v>0</v>
      </c>
      <c r="EL78" s="1572">
        <f t="shared" si="839"/>
        <v>0</v>
      </c>
      <c r="EM78" s="1572">
        <f t="shared" si="840"/>
        <v>0</v>
      </c>
      <c r="EN78" s="1572">
        <f t="shared" si="841"/>
        <v>0</v>
      </c>
      <c r="EO78" s="1572">
        <f t="shared" si="842"/>
        <v>0</v>
      </c>
      <c r="EP78" s="1572">
        <f t="shared" si="843"/>
        <v>0</v>
      </c>
      <c r="EQ78" s="1572">
        <f t="shared" si="844"/>
        <v>0</v>
      </c>
      <c r="ER78" s="1572">
        <f t="shared" si="845"/>
        <v>0</v>
      </c>
      <c r="ES78" s="1572">
        <f t="shared" si="846"/>
        <v>0</v>
      </c>
      <c r="ET78" s="1572">
        <f t="shared" si="847"/>
        <v>0</v>
      </c>
      <c r="EU78" s="1572">
        <f t="shared" si="848"/>
        <v>0</v>
      </c>
      <c r="EV78" s="1572">
        <f t="shared" si="849"/>
        <v>0</v>
      </c>
      <c r="EW78" s="1572">
        <f t="shared" si="850"/>
        <v>0</v>
      </c>
      <c r="EX78" s="1572">
        <f t="shared" si="851"/>
        <v>0</v>
      </c>
      <c r="EY78" s="1572">
        <f t="shared" si="852"/>
        <v>0</v>
      </c>
      <c r="EZ78" s="1572">
        <f t="shared" si="853"/>
        <v>0</v>
      </c>
      <c r="FA78" s="1572">
        <f t="shared" si="854"/>
        <v>0</v>
      </c>
      <c r="FB78" s="1572">
        <f t="shared" si="855"/>
        <v>0</v>
      </c>
      <c r="FC78" s="1572">
        <f t="shared" si="856"/>
        <v>0</v>
      </c>
      <c r="FD78" s="1572">
        <f t="shared" si="857"/>
        <v>0</v>
      </c>
      <c r="FE78" s="1572">
        <f t="shared" si="858"/>
        <v>0</v>
      </c>
      <c r="FF78" s="1572">
        <f t="shared" si="859"/>
        <v>0</v>
      </c>
      <c r="FG78" s="1572">
        <f t="shared" si="860"/>
        <v>0</v>
      </c>
      <c r="FH78" s="1572">
        <f t="shared" si="861"/>
        <v>0</v>
      </c>
      <c r="FI78" s="1572">
        <f t="shared" si="750"/>
        <v>0</v>
      </c>
    </row>
    <row r="79" spans="1:165">
      <c r="A79" s="595"/>
      <c r="B79" s="598"/>
      <c r="C79" s="599"/>
      <c r="F79" s="1511"/>
      <c r="G79" s="402"/>
      <c r="H79" s="86"/>
      <c r="I79" s="87"/>
      <c r="J79" s="1612"/>
      <c r="K79" s="99"/>
      <c r="L79" s="863"/>
      <c r="M79" s="863"/>
      <c r="N79" s="863"/>
      <c r="O79" s="863"/>
      <c r="P79" s="863"/>
      <c r="Q79" s="863"/>
      <c r="R79" s="863"/>
      <c r="S79" s="863"/>
      <c r="T79" s="863"/>
      <c r="U79" s="863"/>
      <c r="V79" s="863"/>
      <c r="W79" s="863"/>
      <c r="X79" s="863"/>
      <c r="Y79" s="863"/>
      <c r="Z79" s="863"/>
      <c r="AA79" s="863"/>
      <c r="AB79" s="863"/>
      <c r="AC79" s="863"/>
      <c r="AD79" s="863"/>
      <c r="AE79" s="863"/>
      <c r="AF79" s="863"/>
      <c r="AG79" s="863"/>
      <c r="AH79" s="863"/>
      <c r="AI79" s="863"/>
      <c r="AJ79" s="863"/>
      <c r="AK79" s="863"/>
      <c r="AL79" s="863"/>
      <c r="AM79" s="863"/>
      <c r="AN79" s="863"/>
      <c r="AO79" s="863"/>
      <c r="AP79" s="81"/>
      <c r="AQ79" s="863"/>
      <c r="AR79" s="863"/>
      <c r="AS79" s="863"/>
      <c r="AT79" s="863"/>
      <c r="AU79" s="863"/>
      <c r="AV79" s="863"/>
      <c r="AW79" s="863"/>
      <c r="AX79" s="863"/>
      <c r="AY79" s="863"/>
      <c r="AZ79" s="863"/>
      <c r="BA79" s="863"/>
      <c r="BB79" s="863"/>
      <c r="BC79" s="863"/>
      <c r="BD79" s="863"/>
      <c r="BE79" s="863"/>
      <c r="BF79" s="863"/>
      <c r="BG79" s="863"/>
      <c r="BH79" s="863"/>
      <c r="BI79" s="863"/>
      <c r="BJ79" s="863"/>
      <c r="BK79" s="863"/>
      <c r="BL79" s="863"/>
      <c r="BM79" s="863"/>
      <c r="BN79" s="863"/>
      <c r="BO79" s="863"/>
      <c r="BP79" s="863"/>
      <c r="BQ79" s="863"/>
      <c r="BR79" s="863"/>
      <c r="BS79" s="863"/>
      <c r="BT79" s="863"/>
      <c r="BU79" s="81"/>
      <c r="BV79" s="863"/>
      <c r="BW79" s="863"/>
      <c r="BX79" s="863"/>
      <c r="BY79" s="863"/>
      <c r="BZ79" s="863"/>
      <c r="CA79" s="863"/>
      <c r="CB79" s="863"/>
      <c r="CC79" s="863"/>
      <c r="CD79" s="863"/>
      <c r="CE79" s="863"/>
      <c r="CF79" s="863"/>
      <c r="CG79" s="863"/>
      <c r="CH79" s="863"/>
      <c r="CI79" s="863"/>
      <c r="CJ79" s="863"/>
      <c r="CK79" s="863"/>
      <c r="CL79" s="863"/>
      <c r="CM79" s="863"/>
      <c r="CN79" s="863"/>
      <c r="CO79" s="863"/>
      <c r="CP79" s="863"/>
      <c r="CQ79" s="863"/>
      <c r="CR79" s="863"/>
      <c r="CS79" s="863"/>
      <c r="CT79" s="863"/>
      <c r="CU79" s="863"/>
      <c r="CV79" s="863"/>
      <c r="CW79" s="863"/>
      <c r="CX79" s="863"/>
      <c r="CY79" s="863"/>
      <c r="CZ79" s="82"/>
      <c r="DA79" s="865"/>
      <c r="DB79" s="865"/>
      <c r="DC79" s="865"/>
      <c r="DD79" s="865"/>
      <c r="DE79" s="865"/>
      <c r="DF79" s="865"/>
      <c r="DG79" s="865"/>
      <c r="DH79" s="865"/>
      <c r="DI79" s="865"/>
      <c r="DJ79" s="865"/>
      <c r="DK79" s="865"/>
      <c r="DL79" s="865"/>
      <c r="DM79" s="865"/>
      <c r="DN79" s="865"/>
      <c r="DO79" s="865"/>
      <c r="DP79" s="865"/>
      <c r="DQ79" s="865"/>
      <c r="DR79" s="865"/>
      <c r="DS79" s="865"/>
      <c r="DT79" s="865"/>
      <c r="DU79" s="865"/>
      <c r="DV79" s="865"/>
      <c r="DW79" s="865"/>
      <c r="DX79" s="865"/>
      <c r="DY79" s="865"/>
      <c r="DZ79" s="865"/>
      <c r="EA79" s="865"/>
      <c r="EB79" s="865"/>
      <c r="EC79" s="865"/>
      <c r="ED79" s="865"/>
      <c r="EE79" s="79"/>
      <c r="EF79" s="865"/>
      <c r="EG79" s="865"/>
      <c r="EH79" s="865"/>
      <c r="EI79" s="865"/>
      <c r="EJ79" s="865"/>
      <c r="EK79" s="865"/>
      <c r="EL79" s="865"/>
      <c r="EM79" s="865"/>
      <c r="EN79" s="865"/>
      <c r="EO79" s="865"/>
      <c r="EP79" s="865"/>
      <c r="EQ79" s="865"/>
      <c r="ER79" s="865"/>
      <c r="ES79" s="865"/>
      <c r="ET79" s="865"/>
      <c r="EU79" s="865"/>
      <c r="EV79" s="865"/>
      <c r="EW79" s="865"/>
      <c r="EX79" s="865"/>
      <c r="EY79" s="865"/>
      <c r="EZ79" s="865"/>
      <c r="FA79" s="865"/>
      <c r="FB79" s="865"/>
      <c r="FC79" s="865"/>
      <c r="FD79" s="865"/>
      <c r="FE79" s="865"/>
      <c r="FF79" s="865"/>
      <c r="FG79" s="865"/>
      <c r="FH79" s="865"/>
      <c r="FI79" s="865"/>
    </row>
    <row r="80" spans="1:165">
      <c r="A80" s="595"/>
      <c r="B80" s="598"/>
      <c r="C80" s="599"/>
      <c r="D80" s="68" t="s">
        <v>1739</v>
      </c>
      <c r="E80" s="68" t="str">
        <f>LEFT(D80,LEN(D80)-1) &amp; RIGHT(D80,1)+1</f>
        <v>8.8.3.2</v>
      </c>
      <c r="F80" s="1507" t="s">
        <v>1671</v>
      </c>
      <c r="G80" s="406" t="s">
        <v>1717</v>
      </c>
      <c r="H80" s="315">
        <f>SUM(DA80:ED80)</f>
        <v>429199.83624999999</v>
      </c>
      <c r="I80" s="316">
        <f ca="1">SUM(EF80:FI80)</f>
        <v>503443.63</v>
      </c>
      <c r="J80" s="1610"/>
      <c r="K80" s="99"/>
      <c r="L80" s="863"/>
      <c r="M80" s="863"/>
      <c r="N80" s="863"/>
      <c r="O80" s="863"/>
      <c r="P80" s="863"/>
      <c r="Q80" s="863"/>
      <c r="R80" s="863"/>
      <c r="S80" s="863"/>
      <c r="T80" s="863"/>
      <c r="U80" s="863"/>
      <c r="V80" s="863"/>
      <c r="W80" s="863"/>
      <c r="X80" s="863"/>
      <c r="Y80" s="863"/>
      <c r="Z80" s="863"/>
      <c r="AA80" s="863"/>
      <c r="AB80" s="863"/>
      <c r="AC80" s="863"/>
      <c r="AD80" s="863"/>
      <c r="AE80" s="863"/>
      <c r="AF80" s="863"/>
      <c r="AG80" s="863"/>
      <c r="AH80" s="863"/>
      <c r="AI80" s="863"/>
      <c r="AJ80" s="863"/>
      <c r="AK80" s="863"/>
      <c r="AL80" s="863"/>
      <c r="AM80" s="863"/>
      <c r="AN80" s="863"/>
      <c r="AO80" s="863"/>
      <c r="AP80" s="81"/>
      <c r="AQ80" s="863"/>
      <c r="AR80" s="863"/>
      <c r="AS80" s="863"/>
      <c r="AT80" s="863"/>
      <c r="AU80" s="863"/>
      <c r="AV80" s="863"/>
      <c r="AW80" s="863"/>
      <c r="AX80" s="863"/>
      <c r="AY80" s="863"/>
      <c r="AZ80" s="863"/>
      <c r="BA80" s="863"/>
      <c r="BB80" s="863"/>
      <c r="BC80" s="863"/>
      <c r="BD80" s="863"/>
      <c r="BE80" s="863"/>
      <c r="BF80" s="863"/>
      <c r="BG80" s="863"/>
      <c r="BH80" s="863"/>
      <c r="BI80" s="863"/>
      <c r="BJ80" s="863"/>
      <c r="BK80" s="863"/>
      <c r="BL80" s="863"/>
      <c r="BM80" s="863"/>
      <c r="BN80" s="863"/>
      <c r="BO80" s="863"/>
      <c r="BP80" s="863"/>
      <c r="BQ80" s="863"/>
      <c r="BR80" s="863"/>
      <c r="BS80" s="863"/>
      <c r="BT80" s="863"/>
      <c r="BU80" s="81"/>
      <c r="BV80" s="863"/>
      <c r="BW80" s="863"/>
      <c r="BX80" s="863"/>
      <c r="BY80" s="863"/>
      <c r="BZ80" s="863"/>
      <c r="CA80" s="863"/>
      <c r="CB80" s="863"/>
      <c r="CC80" s="863"/>
      <c r="CD80" s="863"/>
      <c r="CE80" s="863"/>
      <c r="CF80" s="863"/>
      <c r="CG80" s="863"/>
      <c r="CH80" s="863"/>
      <c r="CI80" s="863"/>
      <c r="CJ80" s="863"/>
      <c r="CK80" s="863"/>
      <c r="CL80" s="863"/>
      <c r="CM80" s="863"/>
      <c r="CN80" s="863"/>
      <c r="CO80" s="863"/>
      <c r="CP80" s="863"/>
      <c r="CQ80" s="863"/>
      <c r="CR80" s="863"/>
      <c r="CS80" s="863"/>
      <c r="CT80" s="863"/>
      <c r="CU80" s="863"/>
      <c r="CV80" s="863"/>
      <c r="CW80" s="863"/>
      <c r="CX80" s="863"/>
      <c r="CY80" s="863"/>
      <c r="CZ80" s="82"/>
      <c r="DA80" s="1582">
        <f>SUM(DA81:DA82)</f>
        <v>429199.83624999999</v>
      </c>
      <c r="DB80" s="1582">
        <f t="shared" ref="DB80:EG80" si="862">SUM(DB81:DB82)</f>
        <v>0</v>
      </c>
      <c r="DC80" s="1582">
        <f t="shared" si="862"/>
        <v>0</v>
      </c>
      <c r="DD80" s="1582">
        <f t="shared" si="862"/>
        <v>0</v>
      </c>
      <c r="DE80" s="1582">
        <f t="shared" si="862"/>
        <v>0</v>
      </c>
      <c r="DF80" s="1582">
        <f t="shared" si="862"/>
        <v>0</v>
      </c>
      <c r="DG80" s="1582">
        <f t="shared" si="862"/>
        <v>0</v>
      </c>
      <c r="DH80" s="1582">
        <f t="shared" si="862"/>
        <v>0</v>
      </c>
      <c r="DI80" s="1582">
        <f t="shared" si="862"/>
        <v>0</v>
      </c>
      <c r="DJ80" s="1582">
        <f t="shared" si="862"/>
        <v>0</v>
      </c>
      <c r="DK80" s="1582">
        <f t="shared" si="862"/>
        <v>0</v>
      </c>
      <c r="DL80" s="1582">
        <f t="shared" si="862"/>
        <v>0</v>
      </c>
      <c r="DM80" s="1582">
        <f t="shared" si="862"/>
        <v>0</v>
      </c>
      <c r="DN80" s="1582">
        <f t="shared" si="862"/>
        <v>0</v>
      </c>
      <c r="DO80" s="1582">
        <f t="shared" si="862"/>
        <v>0</v>
      </c>
      <c r="DP80" s="1582">
        <f t="shared" si="862"/>
        <v>0</v>
      </c>
      <c r="DQ80" s="1582">
        <f t="shared" si="862"/>
        <v>0</v>
      </c>
      <c r="DR80" s="1582">
        <f t="shared" si="862"/>
        <v>0</v>
      </c>
      <c r="DS80" s="1582">
        <f t="shared" si="862"/>
        <v>0</v>
      </c>
      <c r="DT80" s="1582">
        <f t="shared" si="862"/>
        <v>0</v>
      </c>
      <c r="DU80" s="1582">
        <f t="shared" si="862"/>
        <v>0</v>
      </c>
      <c r="DV80" s="1582">
        <f t="shared" si="862"/>
        <v>0</v>
      </c>
      <c r="DW80" s="1582">
        <f t="shared" si="862"/>
        <v>0</v>
      </c>
      <c r="DX80" s="1582">
        <f t="shared" si="862"/>
        <v>0</v>
      </c>
      <c r="DY80" s="1582">
        <f t="shared" si="862"/>
        <v>0</v>
      </c>
      <c r="DZ80" s="1582">
        <f t="shared" si="862"/>
        <v>0</v>
      </c>
      <c r="EA80" s="1582">
        <f t="shared" si="862"/>
        <v>0</v>
      </c>
      <c r="EB80" s="1582">
        <f t="shared" si="862"/>
        <v>0</v>
      </c>
      <c r="EC80" s="1582">
        <f t="shared" si="862"/>
        <v>0</v>
      </c>
      <c r="ED80" s="1582">
        <f t="shared" si="862"/>
        <v>0</v>
      </c>
      <c r="EE80" s="1582">
        <f t="shared" si="862"/>
        <v>0</v>
      </c>
      <c r="EF80" s="1582">
        <f t="shared" ca="1" si="862"/>
        <v>0</v>
      </c>
      <c r="EG80" s="1582">
        <f t="shared" ca="1" si="862"/>
        <v>0</v>
      </c>
      <c r="EH80" s="1582">
        <f ca="1">SUM(EH81:EH82)</f>
        <v>0</v>
      </c>
      <c r="EI80" s="1582">
        <f t="shared" ref="EI80" ca="1" si="863">SUM(EI81:EI82)</f>
        <v>0</v>
      </c>
      <c r="EJ80" s="1582">
        <f t="shared" ref="EJ80" ca="1" si="864">SUM(EJ81:EJ82)</f>
        <v>0</v>
      </c>
      <c r="EK80" s="1582">
        <f t="shared" ref="EK80" ca="1" si="865">SUM(EK81:EK82)</f>
        <v>0</v>
      </c>
      <c r="EL80" s="1582">
        <f t="shared" ref="EL80" ca="1" si="866">SUM(EL81:EL82)</f>
        <v>0</v>
      </c>
      <c r="EM80" s="1582">
        <f t="shared" ref="EM80" ca="1" si="867">SUM(EM81:EM82)</f>
        <v>0</v>
      </c>
      <c r="EN80" s="1582">
        <f t="shared" ref="EN80" ca="1" si="868">SUM(EN81:EN82)</f>
        <v>0</v>
      </c>
      <c r="EO80" s="1582">
        <f t="shared" ref="EO80" ca="1" si="869">SUM(EO81:EO82)</f>
        <v>0</v>
      </c>
      <c r="EP80" s="1582">
        <f t="shared" ref="EP80" ca="1" si="870">SUM(EP81:EP82)</f>
        <v>251721.815</v>
      </c>
      <c r="EQ80" s="1582">
        <f t="shared" ref="EQ80" ca="1" si="871">SUM(EQ81:EQ82)</f>
        <v>0</v>
      </c>
      <c r="ER80" s="1582">
        <f t="shared" ref="ER80" ca="1" si="872">SUM(ER81:ER82)</f>
        <v>0</v>
      </c>
      <c r="ES80" s="1582">
        <f t="shared" ref="ES80" ca="1" si="873">SUM(ES81:ES82)</f>
        <v>0</v>
      </c>
      <c r="ET80" s="1582">
        <f t="shared" ref="ET80" ca="1" si="874">SUM(ET81:ET82)</f>
        <v>0</v>
      </c>
      <c r="EU80" s="1582">
        <f t="shared" ref="EU80" ca="1" si="875">SUM(EU81:EU82)</f>
        <v>0</v>
      </c>
      <c r="EV80" s="1582">
        <f t="shared" ref="EV80" ca="1" si="876">SUM(EV81:EV82)</f>
        <v>0</v>
      </c>
      <c r="EW80" s="1582">
        <f t="shared" ref="EW80" ca="1" si="877">SUM(EW81:EW82)</f>
        <v>0</v>
      </c>
      <c r="EX80" s="1582">
        <f t="shared" ref="EX80" ca="1" si="878">SUM(EX81:EX82)</f>
        <v>0</v>
      </c>
      <c r="EY80" s="1582">
        <f t="shared" ref="EY80" ca="1" si="879">SUM(EY81:EY82)</f>
        <v>0</v>
      </c>
      <c r="EZ80" s="1582">
        <f t="shared" ref="EZ80" ca="1" si="880">SUM(EZ81:EZ82)</f>
        <v>251721.815</v>
      </c>
      <c r="FA80" s="1582">
        <f t="shared" ref="FA80" ca="1" si="881">SUM(FA81:FA82)</f>
        <v>0</v>
      </c>
      <c r="FB80" s="1582">
        <f t="shared" ref="FB80" ca="1" si="882">SUM(FB81:FB82)</f>
        <v>0</v>
      </c>
      <c r="FC80" s="1582">
        <f t="shared" ref="FC80" ca="1" si="883">SUM(FC81:FC82)</f>
        <v>0</v>
      </c>
      <c r="FD80" s="1582">
        <f t="shared" ref="FD80" ca="1" si="884">SUM(FD81:FD82)</f>
        <v>0</v>
      </c>
      <c r="FE80" s="1582">
        <f t="shared" ref="FE80" ca="1" si="885">SUM(FE81:FE82)</f>
        <v>0</v>
      </c>
      <c r="FF80" s="1582">
        <f t="shared" ref="FF80" ca="1" si="886">SUM(FF81:FF82)</f>
        <v>0</v>
      </c>
      <c r="FG80" s="1582">
        <f t="shared" ref="FG80" ca="1" si="887">SUM(FG81:FG82)</f>
        <v>0</v>
      </c>
      <c r="FH80" s="1582">
        <f t="shared" ref="FH80" ca="1" si="888">SUM(FH81:FH82)</f>
        <v>0</v>
      </c>
      <c r="FI80" s="1582">
        <f t="shared" ref="FI80" ca="1" si="889">SUM(FI81:FI82)</f>
        <v>0</v>
      </c>
    </row>
    <row r="81" spans="1:165">
      <c r="A81" s="595"/>
      <c r="B81" s="598"/>
      <c r="C81" s="599"/>
      <c r="F81" s="1500" t="s">
        <v>1672</v>
      </c>
      <c r="G81" s="1568" t="s">
        <v>1718</v>
      </c>
      <c r="H81" s="1598">
        <f>'Sistemas - Cotações'!F26</f>
        <v>314652.26874999999</v>
      </c>
      <c r="I81" s="1598">
        <f>H81*0.8</f>
        <v>251721.815</v>
      </c>
      <c r="J81" s="867">
        <v>10</v>
      </c>
      <c r="K81" s="97"/>
      <c r="L81" s="1479">
        <f>'Sistemas-Manutenção'!L77</f>
        <v>1</v>
      </c>
      <c r="M81" s="1479">
        <f>'Sistemas-Manutenção'!M77</f>
        <v>1</v>
      </c>
      <c r="N81" s="1479">
        <f>'Sistemas-Manutenção'!N77</f>
        <v>1</v>
      </c>
      <c r="O81" s="1479">
        <f>'Sistemas-Manutenção'!O77</f>
        <v>1</v>
      </c>
      <c r="P81" s="1479">
        <f>'Sistemas-Manutenção'!P77</f>
        <v>1</v>
      </c>
      <c r="Q81" s="1479">
        <f>'Sistemas-Manutenção'!Q77</f>
        <v>1</v>
      </c>
      <c r="R81" s="1479">
        <f>'Sistemas-Manutenção'!R77</f>
        <v>1</v>
      </c>
      <c r="S81" s="1479">
        <f>'Sistemas-Manutenção'!S77</f>
        <v>1</v>
      </c>
      <c r="T81" s="1479">
        <f>'Sistemas-Manutenção'!T77</f>
        <v>1</v>
      </c>
      <c r="U81" s="1479">
        <f>'Sistemas-Manutenção'!U77</f>
        <v>1</v>
      </c>
      <c r="V81" s="1479">
        <f>'Sistemas-Manutenção'!V77</f>
        <v>1</v>
      </c>
      <c r="W81" s="1479">
        <f>'Sistemas-Manutenção'!W77</f>
        <v>1</v>
      </c>
      <c r="X81" s="1479">
        <f>'Sistemas-Manutenção'!X77</f>
        <v>1</v>
      </c>
      <c r="Y81" s="1479">
        <f>'Sistemas-Manutenção'!Y77</f>
        <v>1</v>
      </c>
      <c r="Z81" s="1479">
        <f>'Sistemas-Manutenção'!Z77</f>
        <v>1</v>
      </c>
      <c r="AA81" s="1479">
        <f>'Sistemas-Manutenção'!AA77</f>
        <v>1</v>
      </c>
      <c r="AB81" s="1479">
        <f>'Sistemas-Manutenção'!AB77</f>
        <v>1</v>
      </c>
      <c r="AC81" s="1479">
        <f>'Sistemas-Manutenção'!AC77</f>
        <v>1</v>
      </c>
      <c r="AD81" s="1479">
        <f>'Sistemas-Manutenção'!AD77</f>
        <v>1</v>
      </c>
      <c r="AE81" s="1479">
        <f>'Sistemas-Manutenção'!AE77</f>
        <v>1</v>
      </c>
      <c r="AF81" s="1479">
        <f>'Sistemas-Manutenção'!AF77</f>
        <v>1</v>
      </c>
      <c r="AG81" s="1479">
        <f>'Sistemas-Manutenção'!AG77</f>
        <v>1</v>
      </c>
      <c r="AH81" s="1479">
        <f>'Sistemas-Manutenção'!AH77</f>
        <v>1</v>
      </c>
      <c r="AI81" s="1479">
        <f>'Sistemas-Manutenção'!AI77</f>
        <v>1</v>
      </c>
      <c r="AJ81" s="1479">
        <f>'Sistemas-Manutenção'!AJ77</f>
        <v>1</v>
      </c>
      <c r="AK81" s="1479">
        <f>'Sistemas-Manutenção'!AK77</f>
        <v>1</v>
      </c>
      <c r="AL81" s="1479">
        <f>'Sistemas-Manutenção'!AL77</f>
        <v>1</v>
      </c>
      <c r="AM81" s="1479">
        <f>'Sistemas-Manutenção'!AM77</f>
        <v>1</v>
      </c>
      <c r="AN81" s="1479">
        <f>'Sistemas-Manutenção'!AN77</f>
        <v>1</v>
      </c>
      <c r="AO81" s="1479">
        <f>'Sistemas-Manutenção'!AO77</f>
        <v>1</v>
      </c>
      <c r="AP81" s="77"/>
      <c r="AQ81" s="1479">
        <v>1</v>
      </c>
      <c r="AR81" s="1479"/>
      <c r="AS81" s="1479"/>
      <c r="AT81" s="1479"/>
      <c r="AU81" s="1479"/>
      <c r="AV81" s="1479"/>
      <c r="AW81" s="1479"/>
      <c r="AX81" s="1479"/>
      <c r="AY81" s="1479"/>
      <c r="AZ81" s="1479"/>
      <c r="BA81" s="1479"/>
      <c r="BB81" s="1479"/>
      <c r="BC81" s="1479"/>
      <c r="BD81" s="1479"/>
      <c r="BE81" s="1479"/>
      <c r="BF81" s="1479"/>
      <c r="BG81" s="1479"/>
      <c r="BH81" s="1479"/>
      <c r="BI81" s="1479"/>
      <c r="BJ81" s="1479"/>
      <c r="BK81" s="1479"/>
      <c r="BL81" s="1479"/>
      <c r="BM81" s="1479"/>
      <c r="BN81" s="1479"/>
      <c r="BO81" s="1479"/>
      <c r="BP81" s="1479"/>
      <c r="BQ81" s="1479"/>
      <c r="BR81" s="1479"/>
      <c r="BS81" s="1479"/>
      <c r="BT81" s="1479"/>
      <c r="BU81" s="77"/>
      <c r="BV81" s="1571">
        <f t="shared" ref="BV81:BV82" ca="1" si="890">IF(L81-SUM(OFFSET(AQ81,,-$J81+1,,$J81))-IF($J81&gt;1,SUM(OFFSET(BV81,,-$J81+1,,$J81-1)),0)&gt;0,L81-SUM(OFFSET(AQ81,,-$J81+1,,$J81))-IF($J81&gt;1,SUM(OFFSET(BV81,,-$J81+1,,$J81-1)),0),0)</f>
        <v>0</v>
      </c>
      <c r="BW81" s="1571">
        <f t="shared" ref="BW81:BW82" ca="1" si="891">IF(M81-SUM(OFFSET(AR81,,-$J81+1,,$J81))-IF($J81&gt;1,SUM(OFFSET(BW81,,-$J81+1,,$J81-1)),0)&gt;0,M81-SUM(OFFSET(AR81,,-$J81+1,,$J81))-IF($J81&gt;1,SUM(OFFSET(BW81,,-$J81+1,,$J81-1)),0),0)</f>
        <v>0</v>
      </c>
      <c r="BX81" s="1571">
        <f t="shared" ref="BX81:BX82" ca="1" si="892">IF(N81-SUM(OFFSET(AS81,,-$J81+1,,$J81))-IF($J81&gt;1,SUM(OFFSET(BX81,,-$J81+1,,$J81-1)),0)&gt;0,N81-SUM(OFFSET(AS81,,-$J81+1,,$J81))-IF($J81&gt;1,SUM(OFFSET(BX81,,-$J81+1,,$J81-1)),0),0)</f>
        <v>0</v>
      </c>
      <c r="BY81" s="1571">
        <f t="shared" ref="BY81:BY82" ca="1" si="893">IF(O81-SUM(OFFSET(AT81,,-$J81+1,,$J81))-IF($J81&gt;1,SUM(OFFSET(BY81,,-$J81+1,,$J81-1)),0)&gt;0,O81-SUM(OFFSET(AT81,,-$J81+1,,$J81))-IF($J81&gt;1,SUM(OFFSET(BY81,,-$J81+1,,$J81-1)),0),0)</f>
        <v>0</v>
      </c>
      <c r="BZ81" s="1571">
        <f t="shared" ref="BZ81:BZ82" ca="1" si="894">IF(P81-SUM(OFFSET(AU81,,-$J81+1,,$J81))-IF($J81&gt;1,SUM(OFFSET(BZ81,,-$J81+1,,$J81-1)),0)&gt;0,P81-SUM(OFFSET(AU81,,-$J81+1,,$J81))-IF($J81&gt;1,SUM(OFFSET(BZ81,,-$J81+1,,$J81-1)),0),0)</f>
        <v>0</v>
      </c>
      <c r="CA81" s="1571">
        <f t="shared" ref="CA81:CA82" ca="1" si="895">IF(Q81-SUM(OFFSET(AV81,,-$J81+1,,$J81))-IF($J81&gt;1,SUM(OFFSET(CA81,,-$J81+1,,$J81-1)),0)&gt;0,Q81-SUM(OFFSET(AV81,,-$J81+1,,$J81))-IF($J81&gt;1,SUM(OFFSET(CA81,,-$J81+1,,$J81-1)),0),0)</f>
        <v>0</v>
      </c>
      <c r="CB81" s="1571">
        <f t="shared" ref="CB81:CB82" ca="1" si="896">IF(R81-SUM(OFFSET(AW81,,-$J81+1,,$J81))-IF($J81&gt;1,SUM(OFFSET(CB81,,-$J81+1,,$J81-1)),0)&gt;0,R81-SUM(OFFSET(AW81,,-$J81+1,,$J81))-IF($J81&gt;1,SUM(OFFSET(CB81,,-$J81+1,,$J81-1)),0),0)</f>
        <v>0</v>
      </c>
      <c r="CC81" s="1571">
        <f t="shared" ref="CC81:CC82" ca="1" si="897">IF(S81-SUM(OFFSET(AX81,,-$J81+1,,$J81))-IF($J81&gt;1,SUM(OFFSET(CC81,,-$J81+1,,$J81-1)),0)&gt;0,S81-SUM(OFFSET(AX81,,-$J81+1,,$J81))-IF($J81&gt;1,SUM(OFFSET(CC81,,-$J81+1,,$J81-1)),0),0)</f>
        <v>0</v>
      </c>
      <c r="CD81" s="1571">
        <f t="shared" ref="CD81:CD82" ca="1" si="898">IF(T81-SUM(OFFSET(AY81,,-$J81+1,,$J81))-IF($J81&gt;1,SUM(OFFSET(CD81,,-$J81+1,,$J81-1)),0)&gt;0,T81-SUM(OFFSET(AY81,,-$J81+1,,$J81))-IF($J81&gt;1,SUM(OFFSET(CD81,,-$J81+1,,$J81-1)),0),0)</f>
        <v>0</v>
      </c>
      <c r="CE81" s="1571">
        <f t="shared" ref="CE81:CE82" ca="1" si="899">IF(U81-SUM(OFFSET(AZ81,,-$J81+1,,$J81))-IF($J81&gt;1,SUM(OFFSET(CE81,,-$J81+1,,$J81-1)),0)&gt;0,U81-SUM(OFFSET(AZ81,,-$J81+1,,$J81))-IF($J81&gt;1,SUM(OFFSET(CE81,,-$J81+1,,$J81-1)),0),0)</f>
        <v>0</v>
      </c>
      <c r="CF81" s="1571">
        <f t="shared" ref="CF81:CF82" ca="1" si="900">IF(V81-SUM(OFFSET(BA81,,-$J81+1,,$J81))-IF($J81&gt;1,SUM(OFFSET(CF81,,-$J81+1,,$J81-1)),0)&gt;0,V81-SUM(OFFSET(BA81,,-$J81+1,,$J81))-IF($J81&gt;1,SUM(OFFSET(CF81,,-$J81+1,,$J81-1)),0),0)</f>
        <v>1</v>
      </c>
      <c r="CG81" s="1571">
        <f t="shared" ref="CG81:CG82" ca="1" si="901">IF(W81-SUM(OFFSET(BB81,,-$J81+1,,$J81))-IF($J81&gt;1,SUM(OFFSET(CG81,,-$J81+1,,$J81-1)),0)&gt;0,W81-SUM(OFFSET(BB81,,-$J81+1,,$J81))-IF($J81&gt;1,SUM(OFFSET(CG81,,-$J81+1,,$J81-1)),0),0)</f>
        <v>0</v>
      </c>
      <c r="CH81" s="1571">
        <f t="shared" ref="CH81:CH82" ca="1" si="902">IF(X81-SUM(OFFSET(BC81,,-$J81+1,,$J81))-IF($J81&gt;1,SUM(OFFSET(CH81,,-$J81+1,,$J81-1)),0)&gt;0,X81-SUM(OFFSET(BC81,,-$J81+1,,$J81))-IF($J81&gt;1,SUM(OFFSET(CH81,,-$J81+1,,$J81-1)),0),0)</f>
        <v>0</v>
      </c>
      <c r="CI81" s="1571">
        <f t="shared" ref="CI81:CI82" ca="1" si="903">IF(Y81-SUM(OFFSET(BD81,,-$J81+1,,$J81))-IF($J81&gt;1,SUM(OFFSET(CI81,,-$J81+1,,$J81-1)),0)&gt;0,Y81-SUM(OFFSET(BD81,,-$J81+1,,$J81))-IF($J81&gt;1,SUM(OFFSET(CI81,,-$J81+1,,$J81-1)),0),0)</f>
        <v>0</v>
      </c>
      <c r="CJ81" s="1571">
        <f t="shared" ref="CJ81:CJ82" ca="1" si="904">IF(Z81-SUM(OFFSET(BE81,,-$J81+1,,$J81))-IF($J81&gt;1,SUM(OFFSET(CJ81,,-$J81+1,,$J81-1)),0)&gt;0,Z81-SUM(OFFSET(BE81,,-$J81+1,,$J81))-IF($J81&gt;1,SUM(OFFSET(CJ81,,-$J81+1,,$J81-1)),0),0)</f>
        <v>0</v>
      </c>
      <c r="CK81" s="1571">
        <f t="shared" ref="CK81:CK82" ca="1" si="905">IF(AA81-SUM(OFFSET(BF81,,-$J81+1,,$J81))-IF($J81&gt;1,SUM(OFFSET(CK81,,-$J81+1,,$J81-1)),0)&gt;0,AA81-SUM(OFFSET(BF81,,-$J81+1,,$J81))-IF($J81&gt;1,SUM(OFFSET(CK81,,-$J81+1,,$J81-1)),0),0)</f>
        <v>0</v>
      </c>
      <c r="CL81" s="1571">
        <f t="shared" ref="CL81:CL82" ca="1" si="906">IF(AB81-SUM(OFFSET(BG81,,-$J81+1,,$J81))-IF($J81&gt;1,SUM(OFFSET(CL81,,-$J81+1,,$J81-1)),0)&gt;0,AB81-SUM(OFFSET(BG81,,-$J81+1,,$J81))-IF($J81&gt;1,SUM(OFFSET(CL81,,-$J81+1,,$J81-1)),0),0)</f>
        <v>0</v>
      </c>
      <c r="CM81" s="1571">
        <f t="shared" ref="CM81:CM82" ca="1" si="907">IF(AC81-SUM(OFFSET(BH81,,-$J81+1,,$J81))-IF($J81&gt;1,SUM(OFFSET(CM81,,-$J81+1,,$J81-1)),0)&gt;0,AC81-SUM(OFFSET(BH81,,-$J81+1,,$J81))-IF($J81&gt;1,SUM(OFFSET(CM81,,-$J81+1,,$J81-1)),0),0)</f>
        <v>0</v>
      </c>
      <c r="CN81" s="1571">
        <f t="shared" ref="CN81:CN82" ca="1" si="908">IF(AD81-SUM(OFFSET(BI81,,-$J81+1,,$J81))-IF($J81&gt;1,SUM(OFFSET(CN81,,-$J81+1,,$J81-1)),0)&gt;0,AD81-SUM(OFFSET(BI81,,-$J81+1,,$J81))-IF($J81&gt;1,SUM(OFFSET(CN81,,-$J81+1,,$J81-1)),0),0)</f>
        <v>0</v>
      </c>
      <c r="CO81" s="1571">
        <f t="shared" ref="CO81:CO82" ca="1" si="909">IF(AE81-SUM(OFFSET(BJ81,,-$J81+1,,$J81))-IF($J81&gt;1,SUM(OFFSET(CO81,,-$J81+1,,$J81-1)),0)&gt;0,AE81-SUM(OFFSET(BJ81,,-$J81+1,,$J81))-IF($J81&gt;1,SUM(OFFSET(CO81,,-$J81+1,,$J81-1)),0),0)</f>
        <v>0</v>
      </c>
      <c r="CP81" s="1571">
        <f t="shared" ref="CP81:CP82" ca="1" si="910">IF(AF81-SUM(OFFSET(BK81,,-$J81+1,,$J81))-IF($J81&gt;1,SUM(OFFSET(CP81,,-$J81+1,,$J81-1)),0)&gt;0,AF81-SUM(OFFSET(BK81,,-$J81+1,,$J81))-IF($J81&gt;1,SUM(OFFSET(CP81,,-$J81+1,,$J81-1)),0),0)</f>
        <v>1</v>
      </c>
      <c r="CQ81" s="1571">
        <f t="shared" ref="CQ81:CQ82" ca="1" si="911">IF(AG81-SUM(OFFSET(BL81,,-$J81+1,,$J81))-IF($J81&gt;1,SUM(OFFSET(CQ81,,-$J81+1,,$J81-1)),0)&gt;0,AG81-SUM(OFFSET(BL81,,-$J81+1,,$J81))-IF($J81&gt;1,SUM(OFFSET(CQ81,,-$J81+1,,$J81-1)),0),0)</f>
        <v>0</v>
      </c>
      <c r="CR81" s="1571">
        <f t="shared" ref="CR81:CR82" ca="1" si="912">IF(AH81-SUM(OFFSET(BM81,,-$J81+1,,$J81))-IF($J81&gt;1,SUM(OFFSET(CR81,,-$J81+1,,$J81-1)),0)&gt;0,AH81-SUM(OFFSET(BM81,,-$J81+1,,$J81))-IF($J81&gt;1,SUM(OFFSET(CR81,,-$J81+1,,$J81-1)),0),0)</f>
        <v>0</v>
      </c>
      <c r="CS81" s="1571">
        <f t="shared" ref="CS81:CS82" ca="1" si="913">IF(AI81-SUM(OFFSET(BN81,,-$J81+1,,$J81))-IF($J81&gt;1,SUM(OFFSET(CS81,,-$J81+1,,$J81-1)),0)&gt;0,AI81-SUM(OFFSET(BN81,,-$J81+1,,$J81))-IF($J81&gt;1,SUM(OFFSET(CS81,,-$J81+1,,$J81-1)),0),0)</f>
        <v>0</v>
      </c>
      <c r="CT81" s="1571">
        <f t="shared" ref="CT81:CT82" ca="1" si="914">IF(AJ81-SUM(OFFSET(BO81,,-$J81+1,,$J81))-IF($J81&gt;1,SUM(OFFSET(CT81,,-$J81+1,,$J81-1)),0)&gt;0,AJ81-SUM(OFFSET(BO81,,-$J81+1,,$J81))-IF($J81&gt;1,SUM(OFFSET(CT81,,-$J81+1,,$J81-1)),0),0)</f>
        <v>0</v>
      </c>
      <c r="CU81" s="1571">
        <f t="shared" ref="CU81:CU82" ca="1" si="915">IF(AK81-SUM(OFFSET(BP81,,-$J81+1,,$J81))-IF($J81&gt;1,SUM(OFFSET(CU81,,-$J81+1,,$J81-1)),0)&gt;0,AK81-SUM(OFFSET(BP81,,-$J81+1,,$J81))-IF($J81&gt;1,SUM(OFFSET(CU81,,-$J81+1,,$J81-1)),0),0)</f>
        <v>0</v>
      </c>
      <c r="CV81" s="1571">
        <f t="shared" ref="CV81:CV82" ca="1" si="916">IF(AL81-SUM(OFFSET(BQ81,,-$J81+1,,$J81))-IF($J81&gt;1,SUM(OFFSET(CV81,,-$J81+1,,$J81-1)),0)&gt;0,AL81-SUM(OFFSET(BQ81,,-$J81+1,,$J81))-IF($J81&gt;1,SUM(OFFSET(CV81,,-$J81+1,,$J81-1)),0),0)</f>
        <v>0</v>
      </c>
      <c r="CW81" s="1571">
        <f t="shared" ref="CW81:CW82" ca="1" si="917">IF(AM81-SUM(OFFSET(BR81,,-$J81+1,,$J81))-IF($J81&gt;1,SUM(OFFSET(CW81,,-$J81+1,,$J81-1)),0)&gt;0,AM81-SUM(OFFSET(BR81,,-$J81+1,,$J81))-IF($J81&gt;1,SUM(OFFSET(CW81,,-$J81+1,,$J81-1)),0),0)</f>
        <v>0</v>
      </c>
      <c r="CX81" s="1571">
        <f t="shared" ref="CX81:CX82" ca="1" si="918">IF(AN81-SUM(OFFSET(BS81,,-$J81+1,,$J81))-IF($J81&gt;1,SUM(OFFSET(CX81,,-$J81+1,,$J81-1)),0)&gt;0,AN81-SUM(OFFSET(BS81,,-$J81+1,,$J81))-IF($J81&gt;1,SUM(OFFSET(CX81,,-$J81+1,,$J81-1)),0),0)</f>
        <v>0</v>
      </c>
      <c r="CY81" s="1571">
        <f t="shared" ref="CY81:CY82" ca="1" si="919">IF(AO81-SUM(OFFSET(BT81,,-$J81+1,,$J81))-IF($J81&gt;1,SUM(OFFSET(CY81,,-$J81+1,,$J81-1)),0)&gt;0,AO81-SUM(OFFSET(BT81,,-$J81+1,,$J81))-IF($J81&gt;1,SUM(OFFSET(CY81,,-$J81+1,,$J81-1)),0),0)</f>
        <v>0</v>
      </c>
      <c r="CZ81" s="78"/>
      <c r="DA81" s="1572">
        <f t="shared" ref="DA81:DA82" si="920">AQ81*$H81</f>
        <v>314652.26874999999</v>
      </c>
      <c r="DB81" s="1572">
        <f t="shared" ref="DB81:DB82" si="921">AR81*$H81</f>
        <v>0</v>
      </c>
      <c r="DC81" s="1572">
        <f t="shared" ref="DC81:DC82" si="922">AS81*$H81</f>
        <v>0</v>
      </c>
      <c r="DD81" s="1572"/>
      <c r="DE81" s="1572"/>
      <c r="DF81" s="1572"/>
      <c r="DG81" s="1572"/>
      <c r="DH81" s="1572"/>
      <c r="DI81" s="1572"/>
      <c r="DJ81" s="1572"/>
      <c r="DK81" s="1572"/>
      <c r="DL81" s="1572"/>
      <c r="DM81" s="1572"/>
      <c r="DN81" s="1572"/>
      <c r="DO81" s="1572"/>
      <c r="DP81" s="1572"/>
      <c r="DQ81" s="1572"/>
      <c r="DR81" s="1572"/>
      <c r="DS81" s="1572"/>
      <c r="DT81" s="1572"/>
      <c r="DU81" s="1572"/>
      <c r="DV81" s="1572"/>
      <c r="DW81" s="1572"/>
      <c r="DX81" s="1572"/>
      <c r="DY81" s="1572"/>
      <c r="DZ81" s="1572"/>
      <c r="EA81" s="1572"/>
      <c r="EB81" s="1572"/>
      <c r="EC81" s="1572"/>
      <c r="ED81" s="1572"/>
      <c r="EE81" s="79"/>
      <c r="EF81" s="1572">
        <f t="shared" ref="EF81:EF82" ca="1" si="923">BV81*$I81</f>
        <v>0</v>
      </c>
      <c r="EG81" s="1572">
        <f t="shared" ref="EG81:EG82" ca="1" si="924">BW81*$I81</f>
        <v>0</v>
      </c>
      <c r="EH81" s="1572">
        <f t="shared" ref="EH81:EH82" ca="1" si="925">BX81*$I81</f>
        <v>0</v>
      </c>
      <c r="EI81" s="1572">
        <f t="shared" ref="EI81:EI82" ca="1" si="926">BY81*$I81</f>
        <v>0</v>
      </c>
      <c r="EJ81" s="1572">
        <f t="shared" ref="EJ81:EJ82" ca="1" si="927">BZ81*$I81</f>
        <v>0</v>
      </c>
      <c r="EK81" s="1572">
        <f t="shared" ref="EK81:EK82" ca="1" si="928">CA81*$I81</f>
        <v>0</v>
      </c>
      <c r="EL81" s="1572">
        <f t="shared" ref="EL81:EL82" ca="1" si="929">CB81*$I81</f>
        <v>0</v>
      </c>
      <c r="EM81" s="1572">
        <f t="shared" ref="EM81:EM82" ca="1" si="930">CC81*$I81</f>
        <v>0</v>
      </c>
      <c r="EN81" s="1572">
        <f t="shared" ref="EN81:EN82" ca="1" si="931">CD81*$I81</f>
        <v>0</v>
      </c>
      <c r="EO81" s="1572">
        <f t="shared" ref="EO81:EO82" ca="1" si="932">CE81*$I81</f>
        <v>0</v>
      </c>
      <c r="EP81" s="1572">
        <f t="shared" ref="EP81:EP82" ca="1" si="933">CF81*$I81</f>
        <v>251721.815</v>
      </c>
      <c r="EQ81" s="1572">
        <f t="shared" ref="EQ81:EQ82" ca="1" si="934">CG81*$I81</f>
        <v>0</v>
      </c>
      <c r="ER81" s="1572">
        <f t="shared" ref="ER81:ER82" ca="1" si="935">CH81*$I81</f>
        <v>0</v>
      </c>
      <c r="ES81" s="1572">
        <f t="shared" ref="ES81:ES82" ca="1" si="936">CI81*$I81</f>
        <v>0</v>
      </c>
      <c r="ET81" s="1572">
        <f t="shared" ref="ET81:ET82" ca="1" si="937">CJ81*$I81</f>
        <v>0</v>
      </c>
      <c r="EU81" s="1572">
        <f t="shared" ref="EU81:EU82" ca="1" si="938">CK81*$I81</f>
        <v>0</v>
      </c>
      <c r="EV81" s="1572">
        <f t="shared" ref="EV81:EV82" ca="1" si="939">CL81*$I81</f>
        <v>0</v>
      </c>
      <c r="EW81" s="1572">
        <f t="shared" ref="EW81:EW82" ca="1" si="940">CM81*$I81</f>
        <v>0</v>
      </c>
      <c r="EX81" s="1572">
        <f t="shared" ref="EX81:EX82" ca="1" si="941">CN81*$I81</f>
        <v>0</v>
      </c>
      <c r="EY81" s="1572">
        <f t="shared" ref="EY81:EY82" ca="1" si="942">CO81*$I81</f>
        <v>0</v>
      </c>
      <c r="EZ81" s="1572">
        <f t="shared" ref="EZ81:EZ82" ca="1" si="943">CP81*$I81</f>
        <v>251721.815</v>
      </c>
      <c r="FA81" s="1572">
        <f t="shared" ref="FA81:FA82" ca="1" si="944">CQ81*$I81</f>
        <v>0</v>
      </c>
      <c r="FB81" s="1572">
        <f t="shared" ref="FB81:FB82" ca="1" si="945">CR81*$I81</f>
        <v>0</v>
      </c>
      <c r="FC81" s="1572">
        <f t="shared" ref="FC81:FC82" ca="1" si="946">CS81*$I81</f>
        <v>0</v>
      </c>
      <c r="FD81" s="1572">
        <f t="shared" ref="FD81:FD82" ca="1" si="947">CT81*$I81</f>
        <v>0</v>
      </c>
      <c r="FE81" s="1572">
        <f t="shared" ref="FE81:FE82" ca="1" si="948">CU81*$I81</f>
        <v>0</v>
      </c>
      <c r="FF81" s="1572">
        <f t="shared" ref="FF81:FF82" ca="1" si="949">CV81*$I81</f>
        <v>0</v>
      </c>
      <c r="FG81" s="1572">
        <f t="shared" ref="FG81:FG82" ca="1" si="950">CW81*$I81</f>
        <v>0</v>
      </c>
      <c r="FH81" s="1572">
        <f t="shared" ref="FH81:FH82" ca="1" si="951">CX81*$I81</f>
        <v>0</v>
      </c>
      <c r="FI81" s="1572">
        <f t="shared" ref="FI81:FI82" ca="1" si="952">CY81*$I81</f>
        <v>0</v>
      </c>
    </row>
    <row r="82" spans="1:165">
      <c r="A82" s="595"/>
      <c r="B82" s="598"/>
      <c r="C82" s="599"/>
      <c r="F82" s="1500" t="s">
        <v>1673</v>
      </c>
      <c r="G82" s="1568" t="s">
        <v>1718</v>
      </c>
      <c r="H82" s="1598">
        <f>'Sistemas - Cotações'!F27</f>
        <v>114547.5675</v>
      </c>
      <c r="I82" s="1569">
        <f>H82*0.6</f>
        <v>68728.540500000003</v>
      </c>
      <c r="J82" s="867">
        <f>'Sistemas - Cotações'!H27</f>
        <v>30</v>
      </c>
      <c r="K82" s="97"/>
      <c r="L82" s="1479">
        <f>'Sistemas-Manutenção'!L78</f>
        <v>1</v>
      </c>
      <c r="M82" s="1479">
        <f>'Sistemas-Manutenção'!M78</f>
        <v>1</v>
      </c>
      <c r="N82" s="1479">
        <f>'Sistemas-Manutenção'!N78</f>
        <v>1</v>
      </c>
      <c r="O82" s="1479">
        <f>'Sistemas-Manutenção'!O78</f>
        <v>1</v>
      </c>
      <c r="P82" s="1479">
        <f>'Sistemas-Manutenção'!P78</f>
        <v>1</v>
      </c>
      <c r="Q82" s="1479">
        <f>'Sistemas-Manutenção'!Q78</f>
        <v>1</v>
      </c>
      <c r="R82" s="1479">
        <f>'Sistemas-Manutenção'!R78</f>
        <v>1</v>
      </c>
      <c r="S82" s="1479">
        <f>'Sistemas-Manutenção'!S78</f>
        <v>1</v>
      </c>
      <c r="T82" s="1479">
        <f>'Sistemas-Manutenção'!T78</f>
        <v>1</v>
      </c>
      <c r="U82" s="1479">
        <f>'Sistemas-Manutenção'!U78</f>
        <v>1</v>
      </c>
      <c r="V82" s="1479">
        <f>'Sistemas-Manutenção'!V78</f>
        <v>1</v>
      </c>
      <c r="W82" s="1479">
        <f>'Sistemas-Manutenção'!W78</f>
        <v>1</v>
      </c>
      <c r="X82" s="1479">
        <f>'Sistemas-Manutenção'!X78</f>
        <v>1</v>
      </c>
      <c r="Y82" s="1479">
        <f>'Sistemas-Manutenção'!Y78</f>
        <v>1</v>
      </c>
      <c r="Z82" s="1479">
        <f>'Sistemas-Manutenção'!Z78</f>
        <v>1</v>
      </c>
      <c r="AA82" s="1479">
        <f>'Sistemas-Manutenção'!AA78</f>
        <v>1</v>
      </c>
      <c r="AB82" s="1479">
        <f>'Sistemas-Manutenção'!AB78</f>
        <v>1</v>
      </c>
      <c r="AC82" s="1479">
        <f>'Sistemas-Manutenção'!AC78</f>
        <v>1</v>
      </c>
      <c r="AD82" s="1479">
        <f>'Sistemas-Manutenção'!AD78</f>
        <v>1</v>
      </c>
      <c r="AE82" s="1479">
        <f>'Sistemas-Manutenção'!AE78</f>
        <v>1</v>
      </c>
      <c r="AF82" s="1479">
        <f>'Sistemas-Manutenção'!AF78</f>
        <v>1</v>
      </c>
      <c r="AG82" s="1479">
        <f>'Sistemas-Manutenção'!AG78</f>
        <v>1</v>
      </c>
      <c r="AH82" s="1479">
        <f>'Sistemas-Manutenção'!AH78</f>
        <v>1</v>
      </c>
      <c r="AI82" s="1479">
        <f>'Sistemas-Manutenção'!AI78</f>
        <v>1</v>
      </c>
      <c r="AJ82" s="1479">
        <f>'Sistemas-Manutenção'!AJ78</f>
        <v>1</v>
      </c>
      <c r="AK82" s="1479">
        <f>'Sistemas-Manutenção'!AK78</f>
        <v>1</v>
      </c>
      <c r="AL82" s="1479">
        <f>'Sistemas-Manutenção'!AL78</f>
        <v>1</v>
      </c>
      <c r="AM82" s="1479">
        <f>'Sistemas-Manutenção'!AM78</f>
        <v>1</v>
      </c>
      <c r="AN82" s="1479">
        <f>'Sistemas-Manutenção'!AN78</f>
        <v>1</v>
      </c>
      <c r="AO82" s="1479">
        <f>'Sistemas-Manutenção'!AO78</f>
        <v>1</v>
      </c>
      <c r="AP82" s="77"/>
      <c r="AQ82" s="1479">
        <v>1</v>
      </c>
      <c r="AR82" s="1479"/>
      <c r="AS82" s="1479"/>
      <c r="AT82" s="1479"/>
      <c r="AU82" s="1479"/>
      <c r="AV82" s="1479"/>
      <c r="AW82" s="1479"/>
      <c r="AX82" s="1479"/>
      <c r="AY82" s="1479"/>
      <c r="AZ82" s="1479"/>
      <c r="BA82" s="1479"/>
      <c r="BB82" s="1479"/>
      <c r="BC82" s="1479"/>
      <c r="BD82" s="1479"/>
      <c r="BE82" s="1479"/>
      <c r="BF82" s="1479"/>
      <c r="BG82" s="1479"/>
      <c r="BH82" s="1479"/>
      <c r="BI82" s="1479"/>
      <c r="BJ82" s="1479"/>
      <c r="BK82" s="1479"/>
      <c r="BL82" s="1479"/>
      <c r="BM82" s="1479"/>
      <c r="BN82" s="1479"/>
      <c r="BO82" s="1479"/>
      <c r="BP82" s="1479"/>
      <c r="BQ82" s="1479"/>
      <c r="BR82" s="1479"/>
      <c r="BS82" s="1479"/>
      <c r="BT82" s="1479"/>
      <c r="BU82" s="77"/>
      <c r="BV82" s="1571">
        <f t="shared" ca="1" si="890"/>
        <v>0</v>
      </c>
      <c r="BW82" s="1571">
        <f t="shared" ca="1" si="891"/>
        <v>0</v>
      </c>
      <c r="BX82" s="1571">
        <f t="shared" ca="1" si="892"/>
        <v>0</v>
      </c>
      <c r="BY82" s="1571">
        <f t="shared" ca="1" si="893"/>
        <v>0</v>
      </c>
      <c r="BZ82" s="1571">
        <f t="shared" ca="1" si="894"/>
        <v>0</v>
      </c>
      <c r="CA82" s="1571">
        <f t="shared" ca="1" si="895"/>
        <v>0</v>
      </c>
      <c r="CB82" s="1571">
        <f t="shared" ca="1" si="896"/>
        <v>0</v>
      </c>
      <c r="CC82" s="1571">
        <f t="shared" ca="1" si="897"/>
        <v>0</v>
      </c>
      <c r="CD82" s="1571">
        <f t="shared" ca="1" si="898"/>
        <v>0</v>
      </c>
      <c r="CE82" s="1571">
        <f t="shared" ca="1" si="899"/>
        <v>0</v>
      </c>
      <c r="CF82" s="1571">
        <f t="shared" ca="1" si="900"/>
        <v>0</v>
      </c>
      <c r="CG82" s="1571">
        <f t="shared" ca="1" si="901"/>
        <v>0</v>
      </c>
      <c r="CH82" s="1571">
        <f t="shared" ca="1" si="902"/>
        <v>0</v>
      </c>
      <c r="CI82" s="1571">
        <f t="shared" ca="1" si="903"/>
        <v>0</v>
      </c>
      <c r="CJ82" s="1571">
        <f t="shared" ca="1" si="904"/>
        <v>0</v>
      </c>
      <c r="CK82" s="1571">
        <f t="shared" ca="1" si="905"/>
        <v>0</v>
      </c>
      <c r="CL82" s="1571">
        <f t="shared" ca="1" si="906"/>
        <v>0</v>
      </c>
      <c r="CM82" s="1571">
        <f t="shared" ca="1" si="907"/>
        <v>0</v>
      </c>
      <c r="CN82" s="1571">
        <f t="shared" ca="1" si="908"/>
        <v>0</v>
      </c>
      <c r="CO82" s="1571">
        <f t="shared" ca="1" si="909"/>
        <v>0</v>
      </c>
      <c r="CP82" s="1571">
        <f t="shared" ca="1" si="910"/>
        <v>0</v>
      </c>
      <c r="CQ82" s="1571">
        <f t="shared" ca="1" si="911"/>
        <v>0</v>
      </c>
      <c r="CR82" s="1571">
        <f t="shared" ca="1" si="912"/>
        <v>0</v>
      </c>
      <c r="CS82" s="1571">
        <f t="shared" ca="1" si="913"/>
        <v>0</v>
      </c>
      <c r="CT82" s="1571">
        <f t="shared" ca="1" si="914"/>
        <v>0</v>
      </c>
      <c r="CU82" s="1571">
        <f t="shared" ca="1" si="915"/>
        <v>0</v>
      </c>
      <c r="CV82" s="1571">
        <f t="shared" ca="1" si="916"/>
        <v>0</v>
      </c>
      <c r="CW82" s="1571">
        <f t="shared" ca="1" si="917"/>
        <v>0</v>
      </c>
      <c r="CX82" s="1571">
        <f t="shared" ca="1" si="918"/>
        <v>0</v>
      </c>
      <c r="CY82" s="1571">
        <f t="shared" ca="1" si="919"/>
        <v>0</v>
      </c>
      <c r="CZ82" s="78"/>
      <c r="DA82" s="1572">
        <f t="shared" si="920"/>
        <v>114547.5675</v>
      </c>
      <c r="DB82" s="1572">
        <f t="shared" si="921"/>
        <v>0</v>
      </c>
      <c r="DC82" s="1572">
        <f t="shared" si="922"/>
        <v>0</v>
      </c>
      <c r="DD82" s="1572"/>
      <c r="DE82" s="1572"/>
      <c r="DF82" s="1572"/>
      <c r="DG82" s="1572"/>
      <c r="DH82" s="1572"/>
      <c r="DI82" s="1572"/>
      <c r="DJ82" s="1572"/>
      <c r="DK82" s="1572"/>
      <c r="DL82" s="1572"/>
      <c r="DM82" s="1572"/>
      <c r="DN82" s="1572"/>
      <c r="DO82" s="1572"/>
      <c r="DP82" s="1572"/>
      <c r="DQ82" s="1572"/>
      <c r="DR82" s="1572"/>
      <c r="DS82" s="1572"/>
      <c r="DT82" s="1572"/>
      <c r="DU82" s="1572"/>
      <c r="DV82" s="1572"/>
      <c r="DW82" s="1572"/>
      <c r="DX82" s="1572"/>
      <c r="DY82" s="1572"/>
      <c r="DZ82" s="1572"/>
      <c r="EA82" s="1572"/>
      <c r="EB82" s="1572"/>
      <c r="EC82" s="1572"/>
      <c r="ED82" s="1572"/>
      <c r="EE82" s="79"/>
      <c r="EF82" s="1572">
        <f t="shared" ca="1" si="923"/>
        <v>0</v>
      </c>
      <c r="EG82" s="1572">
        <f t="shared" ca="1" si="924"/>
        <v>0</v>
      </c>
      <c r="EH82" s="1572">
        <f t="shared" ca="1" si="925"/>
        <v>0</v>
      </c>
      <c r="EI82" s="1572">
        <f t="shared" ca="1" si="926"/>
        <v>0</v>
      </c>
      <c r="EJ82" s="1572">
        <f t="shared" ca="1" si="927"/>
        <v>0</v>
      </c>
      <c r="EK82" s="1572">
        <f t="shared" ca="1" si="928"/>
        <v>0</v>
      </c>
      <c r="EL82" s="1572">
        <f t="shared" ca="1" si="929"/>
        <v>0</v>
      </c>
      <c r="EM82" s="1572">
        <f t="shared" ca="1" si="930"/>
        <v>0</v>
      </c>
      <c r="EN82" s="1572">
        <f t="shared" ca="1" si="931"/>
        <v>0</v>
      </c>
      <c r="EO82" s="1572">
        <f t="shared" ca="1" si="932"/>
        <v>0</v>
      </c>
      <c r="EP82" s="1572">
        <f t="shared" ca="1" si="933"/>
        <v>0</v>
      </c>
      <c r="EQ82" s="1572">
        <f t="shared" ca="1" si="934"/>
        <v>0</v>
      </c>
      <c r="ER82" s="1572">
        <f t="shared" ca="1" si="935"/>
        <v>0</v>
      </c>
      <c r="ES82" s="1572">
        <f t="shared" ca="1" si="936"/>
        <v>0</v>
      </c>
      <c r="ET82" s="1572">
        <f t="shared" ca="1" si="937"/>
        <v>0</v>
      </c>
      <c r="EU82" s="1572">
        <f t="shared" ca="1" si="938"/>
        <v>0</v>
      </c>
      <c r="EV82" s="1572">
        <f t="shared" ca="1" si="939"/>
        <v>0</v>
      </c>
      <c r="EW82" s="1572">
        <f t="shared" ca="1" si="940"/>
        <v>0</v>
      </c>
      <c r="EX82" s="1572">
        <f t="shared" ca="1" si="941"/>
        <v>0</v>
      </c>
      <c r="EY82" s="1572">
        <f t="shared" ca="1" si="942"/>
        <v>0</v>
      </c>
      <c r="EZ82" s="1572">
        <f t="shared" ca="1" si="943"/>
        <v>0</v>
      </c>
      <c r="FA82" s="1572">
        <f t="shared" ca="1" si="944"/>
        <v>0</v>
      </c>
      <c r="FB82" s="1572">
        <f t="shared" ca="1" si="945"/>
        <v>0</v>
      </c>
      <c r="FC82" s="1572">
        <f t="shared" ca="1" si="946"/>
        <v>0</v>
      </c>
      <c r="FD82" s="1572">
        <f t="shared" ca="1" si="947"/>
        <v>0</v>
      </c>
      <c r="FE82" s="1572">
        <f t="shared" ca="1" si="948"/>
        <v>0</v>
      </c>
      <c r="FF82" s="1572">
        <f t="shared" ca="1" si="949"/>
        <v>0</v>
      </c>
      <c r="FG82" s="1572">
        <f t="shared" ca="1" si="950"/>
        <v>0</v>
      </c>
      <c r="FH82" s="1572">
        <f t="shared" ca="1" si="951"/>
        <v>0</v>
      </c>
      <c r="FI82" s="1572">
        <f t="shared" ca="1" si="952"/>
        <v>0</v>
      </c>
    </row>
    <row r="83" spans="1:165">
      <c r="A83" s="595"/>
      <c r="B83" s="598"/>
      <c r="C83" s="599"/>
      <c r="D83" s="68" t="s">
        <v>1740</v>
      </c>
      <c r="E83" s="68" t="str">
        <f>LEFT(D83,LEN(D83)-1) &amp; RIGHT(D83,1)+1</f>
        <v>8.9.3</v>
      </c>
      <c r="F83" s="1564" t="s">
        <v>1674</v>
      </c>
      <c r="G83" s="733" t="s">
        <v>1717</v>
      </c>
      <c r="H83" s="734">
        <f>SUM(DA83:ED83)</f>
        <v>0</v>
      </c>
      <c r="I83" s="734">
        <f ca="1">SUM(EF83:FI83)</f>
        <v>0</v>
      </c>
      <c r="J83" s="1577"/>
      <c r="K83" s="98"/>
      <c r="L83" s="1588"/>
      <c r="M83" s="1588"/>
      <c r="N83" s="1588"/>
      <c r="O83" s="1588"/>
      <c r="P83" s="1588"/>
      <c r="Q83" s="1588"/>
      <c r="R83" s="1588"/>
      <c r="S83" s="1588"/>
      <c r="T83" s="1588"/>
      <c r="U83" s="1588"/>
      <c r="V83" s="1588"/>
      <c r="W83" s="1588"/>
      <c r="X83" s="1588"/>
      <c r="Y83" s="1588"/>
      <c r="Z83" s="1588"/>
      <c r="AA83" s="1588"/>
      <c r="AB83" s="1588"/>
      <c r="AC83" s="1588"/>
      <c r="AD83" s="1588"/>
      <c r="AE83" s="1588"/>
      <c r="AF83" s="1588"/>
      <c r="AG83" s="1588"/>
      <c r="AH83" s="1589"/>
      <c r="AI83" s="1589"/>
      <c r="AJ83" s="1589"/>
      <c r="AK83" s="1589"/>
      <c r="AL83" s="1589"/>
      <c r="AM83" s="1589"/>
      <c r="AN83" s="1589"/>
      <c r="AO83" s="1589"/>
      <c r="AP83" s="392"/>
      <c r="AQ83" s="1590"/>
      <c r="AR83" s="1588"/>
      <c r="AS83" s="1588"/>
      <c r="AT83" s="1588"/>
      <c r="AU83" s="1588"/>
      <c r="AV83" s="1588"/>
      <c r="AW83" s="1588"/>
      <c r="AX83" s="1588"/>
      <c r="AY83" s="1588"/>
      <c r="AZ83" s="1588"/>
      <c r="BA83" s="1588"/>
      <c r="BB83" s="1588"/>
      <c r="BC83" s="1588"/>
      <c r="BD83" s="1588"/>
      <c r="BE83" s="1588"/>
      <c r="BF83" s="1588"/>
      <c r="BG83" s="1588"/>
      <c r="BH83" s="1588"/>
      <c r="BI83" s="1588"/>
      <c r="BJ83" s="1588"/>
      <c r="BK83" s="1588"/>
      <c r="BL83" s="1588"/>
      <c r="BM83" s="1589"/>
      <c r="BN83" s="1589"/>
      <c r="BO83" s="1589"/>
      <c r="BP83" s="1589"/>
      <c r="BQ83" s="1589"/>
      <c r="BR83" s="1589"/>
      <c r="BS83" s="1589"/>
      <c r="BT83" s="1589"/>
      <c r="BU83" s="392"/>
      <c r="BV83" s="1571"/>
      <c r="BW83" s="1588"/>
      <c r="BX83" s="1588"/>
      <c r="BY83" s="1588"/>
      <c r="BZ83" s="1588"/>
      <c r="CA83" s="1588"/>
      <c r="CB83" s="1588"/>
      <c r="CC83" s="1588"/>
      <c r="CD83" s="1588"/>
      <c r="CE83" s="1588"/>
      <c r="CF83" s="1588"/>
      <c r="CG83" s="1588"/>
      <c r="CH83" s="1588"/>
      <c r="CI83" s="1588"/>
      <c r="CJ83" s="1588"/>
      <c r="CK83" s="1588"/>
      <c r="CL83" s="1588"/>
      <c r="CM83" s="1588"/>
      <c r="CN83" s="1588"/>
      <c r="CO83" s="1588"/>
      <c r="CP83" s="1588"/>
      <c r="CQ83" s="1588"/>
      <c r="CR83" s="1589"/>
      <c r="CS83" s="1589"/>
      <c r="CT83" s="1589"/>
      <c r="CU83" s="1589"/>
      <c r="CV83" s="1589"/>
      <c r="CW83" s="1589"/>
      <c r="CX83" s="1589"/>
      <c r="CY83" s="1589"/>
      <c r="CZ83" s="84"/>
      <c r="DA83" s="1591">
        <f>SUBTOTAL(9,DA84:DA93)</f>
        <v>0</v>
      </c>
      <c r="DB83" s="1591">
        <f t="shared" ref="DB83:ED83" si="953">SUBTOTAL(9,DB84:DB93)</f>
        <v>0</v>
      </c>
      <c r="DC83" s="1591">
        <f t="shared" si="953"/>
        <v>0</v>
      </c>
      <c r="DD83" s="1591">
        <f t="shared" si="953"/>
        <v>0</v>
      </c>
      <c r="DE83" s="1591">
        <f t="shared" si="953"/>
        <v>0</v>
      </c>
      <c r="DF83" s="1591">
        <f t="shared" si="953"/>
        <v>0</v>
      </c>
      <c r="DG83" s="1591">
        <f t="shared" si="953"/>
        <v>0</v>
      </c>
      <c r="DH83" s="1591">
        <f t="shared" si="953"/>
        <v>0</v>
      </c>
      <c r="DI83" s="1591">
        <f t="shared" si="953"/>
        <v>0</v>
      </c>
      <c r="DJ83" s="1591">
        <f t="shared" si="953"/>
        <v>0</v>
      </c>
      <c r="DK83" s="1591">
        <f t="shared" si="953"/>
        <v>0</v>
      </c>
      <c r="DL83" s="1591">
        <f t="shared" si="953"/>
        <v>0</v>
      </c>
      <c r="DM83" s="1591">
        <f t="shared" si="953"/>
        <v>0</v>
      </c>
      <c r="DN83" s="1591">
        <f t="shared" si="953"/>
        <v>0</v>
      </c>
      <c r="DO83" s="1591">
        <f t="shared" si="953"/>
        <v>0</v>
      </c>
      <c r="DP83" s="1591">
        <f t="shared" si="953"/>
        <v>0</v>
      </c>
      <c r="DQ83" s="1591">
        <f t="shared" si="953"/>
        <v>0</v>
      </c>
      <c r="DR83" s="1591">
        <f t="shared" si="953"/>
        <v>0</v>
      </c>
      <c r="DS83" s="1591">
        <f t="shared" si="953"/>
        <v>0</v>
      </c>
      <c r="DT83" s="1591">
        <f t="shared" si="953"/>
        <v>0</v>
      </c>
      <c r="DU83" s="1591">
        <f t="shared" si="953"/>
        <v>0</v>
      </c>
      <c r="DV83" s="1591">
        <f t="shared" si="953"/>
        <v>0</v>
      </c>
      <c r="DW83" s="1591">
        <f t="shared" si="953"/>
        <v>0</v>
      </c>
      <c r="DX83" s="1591">
        <f t="shared" si="953"/>
        <v>0</v>
      </c>
      <c r="DY83" s="1591"/>
      <c r="DZ83" s="1591"/>
      <c r="EA83" s="1591"/>
      <c r="EB83" s="1591"/>
      <c r="EC83" s="1591"/>
      <c r="ED83" s="1591">
        <f t="shared" si="953"/>
        <v>0</v>
      </c>
      <c r="EE83" s="79"/>
      <c r="EF83" s="1591">
        <f t="shared" ref="EF83:EZ83" ca="1" si="954">SUBTOTAL(9,EF84:EF93)</f>
        <v>0</v>
      </c>
      <c r="EG83" s="1591">
        <f t="shared" ca="1" si="954"/>
        <v>0</v>
      </c>
      <c r="EH83" s="1591">
        <f t="shared" ca="1" si="954"/>
        <v>0</v>
      </c>
      <c r="EI83" s="1591">
        <f t="shared" ca="1" si="954"/>
        <v>0</v>
      </c>
      <c r="EJ83" s="1591">
        <f t="shared" ca="1" si="954"/>
        <v>0</v>
      </c>
      <c r="EK83" s="1591">
        <f t="shared" ca="1" si="954"/>
        <v>0</v>
      </c>
      <c r="EL83" s="1591">
        <f t="shared" ca="1" si="954"/>
        <v>0</v>
      </c>
      <c r="EM83" s="1591">
        <f t="shared" ca="1" si="954"/>
        <v>0</v>
      </c>
      <c r="EN83" s="1591">
        <f t="shared" ca="1" si="954"/>
        <v>0</v>
      </c>
      <c r="EO83" s="1591">
        <f t="shared" ca="1" si="954"/>
        <v>0</v>
      </c>
      <c r="EP83" s="1591">
        <f t="shared" ca="1" si="954"/>
        <v>0</v>
      </c>
      <c r="EQ83" s="1591">
        <f t="shared" ca="1" si="954"/>
        <v>0</v>
      </c>
      <c r="ER83" s="1591">
        <f t="shared" ca="1" si="954"/>
        <v>0</v>
      </c>
      <c r="ES83" s="1591">
        <f t="shared" ca="1" si="954"/>
        <v>0</v>
      </c>
      <c r="ET83" s="1591">
        <f t="shared" ca="1" si="954"/>
        <v>0</v>
      </c>
      <c r="EU83" s="1591">
        <f t="shared" ca="1" si="954"/>
        <v>0</v>
      </c>
      <c r="EV83" s="1591">
        <f t="shared" ca="1" si="954"/>
        <v>0</v>
      </c>
      <c r="EW83" s="1591">
        <f t="shared" ca="1" si="954"/>
        <v>0</v>
      </c>
      <c r="EX83" s="1591">
        <f t="shared" ca="1" si="954"/>
        <v>0</v>
      </c>
      <c r="EY83" s="1591">
        <f t="shared" ca="1" si="954"/>
        <v>0</v>
      </c>
      <c r="EZ83" s="1591">
        <f t="shared" ca="1" si="954"/>
        <v>0</v>
      </c>
      <c r="FA83" s="1591">
        <f t="shared" ref="FA83:FI83" ca="1" si="955">SUBTOTAL(9,FA84:FA93)</f>
        <v>0</v>
      </c>
      <c r="FB83" s="1591">
        <f t="shared" ca="1" si="955"/>
        <v>0</v>
      </c>
      <c r="FC83" s="1591">
        <f t="shared" ca="1" si="955"/>
        <v>0</v>
      </c>
      <c r="FD83" s="1591">
        <f t="shared" ca="1" si="955"/>
        <v>0</v>
      </c>
      <c r="FE83" s="1591">
        <f t="shared" ca="1" si="955"/>
        <v>0</v>
      </c>
      <c r="FF83" s="1591">
        <f t="shared" ca="1" si="955"/>
        <v>0</v>
      </c>
      <c r="FG83" s="1591">
        <f t="shared" ca="1" si="955"/>
        <v>0</v>
      </c>
      <c r="FH83" s="1591">
        <f t="shared" ca="1" si="955"/>
        <v>0</v>
      </c>
      <c r="FI83" s="1591">
        <f t="shared" ca="1" si="955"/>
        <v>0</v>
      </c>
    </row>
    <row r="84" spans="1:165" ht="15.95" customHeight="1">
      <c r="A84" s="595"/>
      <c r="B84" s="598"/>
      <c r="C84" s="599"/>
      <c r="F84" s="866" t="s">
        <v>1675</v>
      </c>
      <c r="G84" s="1609" t="s">
        <v>1718</v>
      </c>
      <c r="H84" s="1569">
        <f>'Sistemas - Cotações'!F60</f>
        <v>0</v>
      </c>
      <c r="I84" s="1569">
        <f>H84*0.8</f>
        <v>0</v>
      </c>
      <c r="J84" s="867">
        <f>'Sistemas - Cotações'!H60</f>
        <v>30</v>
      </c>
      <c r="K84" s="97"/>
      <c r="L84" s="1479">
        <f>'Sistemas-Manutenção'!L81</f>
        <v>0</v>
      </c>
      <c r="M84" s="1479">
        <f>'Sistemas-Manutenção'!M81</f>
        <v>0</v>
      </c>
      <c r="N84" s="1479">
        <f>'Sistemas-Manutenção'!N81</f>
        <v>0</v>
      </c>
      <c r="O84" s="1479">
        <f>'Sistemas-Manutenção'!O81</f>
        <v>0</v>
      </c>
      <c r="P84" s="1479">
        <f>'Sistemas-Manutenção'!P81</f>
        <v>0</v>
      </c>
      <c r="Q84" s="1479">
        <f>'Sistemas-Manutenção'!Q81</f>
        <v>0</v>
      </c>
      <c r="R84" s="1479">
        <f>'Sistemas-Manutenção'!R81</f>
        <v>0</v>
      </c>
      <c r="S84" s="1479">
        <f>'Sistemas-Manutenção'!S81</f>
        <v>0</v>
      </c>
      <c r="T84" s="1479">
        <f>'Sistemas-Manutenção'!T81</f>
        <v>0</v>
      </c>
      <c r="U84" s="1479">
        <f>'Sistemas-Manutenção'!U81</f>
        <v>0</v>
      </c>
      <c r="V84" s="1479">
        <f>'Sistemas-Manutenção'!V81</f>
        <v>0</v>
      </c>
      <c r="W84" s="1479">
        <f>'Sistemas-Manutenção'!W81</f>
        <v>0</v>
      </c>
      <c r="X84" s="1479">
        <f>'Sistemas-Manutenção'!X81</f>
        <v>0</v>
      </c>
      <c r="Y84" s="1479">
        <f>'Sistemas-Manutenção'!Y81</f>
        <v>0</v>
      </c>
      <c r="Z84" s="1479">
        <f>'Sistemas-Manutenção'!Z81</f>
        <v>0</v>
      </c>
      <c r="AA84" s="1479">
        <f>'Sistemas-Manutenção'!AA81</f>
        <v>0</v>
      </c>
      <c r="AB84" s="1479">
        <f>'Sistemas-Manutenção'!AB81</f>
        <v>0</v>
      </c>
      <c r="AC84" s="1479">
        <f>'Sistemas-Manutenção'!AC81</f>
        <v>0</v>
      </c>
      <c r="AD84" s="1479">
        <f>'Sistemas-Manutenção'!AD81</f>
        <v>0</v>
      </c>
      <c r="AE84" s="1479">
        <f>'Sistemas-Manutenção'!AE81</f>
        <v>0</v>
      </c>
      <c r="AF84" s="1479">
        <f>'Sistemas-Manutenção'!AF81</f>
        <v>0</v>
      </c>
      <c r="AG84" s="1479">
        <f>'Sistemas-Manutenção'!AG81</f>
        <v>0</v>
      </c>
      <c r="AH84" s="1479">
        <f>'Sistemas-Manutenção'!AH81</f>
        <v>0</v>
      </c>
      <c r="AI84" s="1479">
        <f>'Sistemas-Manutenção'!AI81</f>
        <v>0</v>
      </c>
      <c r="AJ84" s="1479">
        <f>'Sistemas-Manutenção'!AJ81</f>
        <v>0</v>
      </c>
      <c r="AK84" s="1479">
        <f>'Sistemas-Manutenção'!AK81</f>
        <v>0</v>
      </c>
      <c r="AL84" s="1479">
        <f>'Sistemas-Manutenção'!AL81</f>
        <v>0</v>
      </c>
      <c r="AM84" s="1479">
        <f>'Sistemas-Manutenção'!AM81</f>
        <v>0</v>
      </c>
      <c r="AN84" s="1479">
        <f>'Sistemas-Manutenção'!AN81</f>
        <v>0</v>
      </c>
      <c r="AO84" s="1479">
        <f>'Sistemas-Manutenção'!AO81</f>
        <v>0</v>
      </c>
      <c r="AP84" s="77"/>
      <c r="AQ84" s="1479">
        <f t="shared" ref="AQ84:BF92" si="956">IF(L84&gt;K84,L84-K84,0)</f>
        <v>0</v>
      </c>
      <c r="AR84" s="1479">
        <f t="shared" si="956"/>
        <v>0</v>
      </c>
      <c r="AS84" s="1479">
        <f t="shared" si="956"/>
        <v>0</v>
      </c>
      <c r="AT84" s="1479">
        <f t="shared" si="956"/>
        <v>0</v>
      </c>
      <c r="AU84" s="1479">
        <f t="shared" si="956"/>
        <v>0</v>
      </c>
      <c r="AV84" s="1479">
        <f t="shared" si="956"/>
        <v>0</v>
      </c>
      <c r="AW84" s="1479">
        <f t="shared" si="956"/>
        <v>0</v>
      </c>
      <c r="AX84" s="1479">
        <f t="shared" si="956"/>
        <v>0</v>
      </c>
      <c r="AY84" s="1479">
        <f t="shared" si="956"/>
        <v>0</v>
      </c>
      <c r="AZ84" s="1479">
        <f t="shared" si="956"/>
        <v>0</v>
      </c>
      <c r="BA84" s="1479">
        <f t="shared" si="956"/>
        <v>0</v>
      </c>
      <c r="BB84" s="1479">
        <f t="shared" si="956"/>
        <v>0</v>
      </c>
      <c r="BC84" s="1479">
        <f t="shared" si="956"/>
        <v>0</v>
      </c>
      <c r="BD84" s="1479">
        <f t="shared" si="956"/>
        <v>0</v>
      </c>
      <c r="BE84" s="1479">
        <f t="shared" si="956"/>
        <v>0</v>
      </c>
      <c r="BF84" s="1479">
        <f t="shared" si="956"/>
        <v>0</v>
      </c>
      <c r="BG84" s="1479">
        <f t="shared" ref="BG84:BG92" si="957">IF(AB84&gt;AA84,AB84-AA84,0)</f>
        <v>0</v>
      </c>
      <c r="BH84" s="1479">
        <f t="shared" ref="BH84:BH92" si="958">IF(AC84&gt;AB84,AC84-AB84,0)</f>
        <v>0</v>
      </c>
      <c r="BI84" s="1479">
        <f t="shared" ref="BI84:BI92" si="959">IF(AD84&gt;AC84,AD84-AC84,0)</f>
        <v>0</v>
      </c>
      <c r="BJ84" s="1479">
        <f t="shared" ref="BJ84:BJ92" si="960">IF(AE84&gt;AD84,AE84-AD84,0)</f>
        <v>0</v>
      </c>
      <c r="BK84" s="1479">
        <f t="shared" ref="BK84:BK92" si="961">IF(AF84&gt;AE84,AF84-AE84,0)</f>
        <v>0</v>
      </c>
      <c r="BL84" s="1479">
        <f t="shared" ref="BL84:BL92" si="962">IF(AG84&gt;AF84,AG84-AF84,0)</f>
        <v>0</v>
      </c>
      <c r="BM84" s="1479">
        <f t="shared" ref="BM84:BM92" si="963">IF(AH84&gt;AG84,AH84-AG84,0)</f>
        <v>0</v>
      </c>
      <c r="BN84" s="1479">
        <f t="shared" ref="BN84:BN92" si="964">IF(AI84&gt;AH84,AI84-AH84,0)</f>
        <v>0</v>
      </c>
      <c r="BO84" s="1479"/>
      <c r="BP84" s="1479"/>
      <c r="BQ84" s="1479"/>
      <c r="BR84" s="1479"/>
      <c r="BS84" s="1479"/>
      <c r="BT84" s="1479">
        <f t="shared" ref="BT84:BT92" si="965">IF(AO84&gt;AI84,AO84-AI84,0)</f>
        <v>0</v>
      </c>
      <c r="BU84" s="77"/>
      <c r="BV84" s="1571">
        <f t="shared" ref="BV84:BV92" ca="1" si="966">IF(L84-SUM(OFFSET(AQ84,,-$J84+1,,$J84))-IF($J84&gt;1,SUM(OFFSET(BV84,,-$J84+1,,$J84-1)),0)&gt;0,L84-SUM(OFFSET(AQ84,,-$J84+1,,$J84))-IF($J84&gt;1,SUM(OFFSET(BV84,,-$J84+1,,$J84-1)),0),0)</f>
        <v>0</v>
      </c>
      <c r="BW84" s="1571">
        <f t="shared" ref="BW84:BW92" ca="1" si="967">IF(M84-SUM(OFFSET(AR84,,-$J84+1,,$J84))-IF($J84&gt;1,SUM(OFFSET(BW84,,-$J84+1,,$J84-1)),0)&gt;0,M84-SUM(OFFSET(AR84,,-$J84+1,,$J84))-IF($J84&gt;1,SUM(OFFSET(BW84,,-$J84+1,,$J84-1)),0),0)</f>
        <v>0</v>
      </c>
      <c r="BX84" s="1571">
        <f t="shared" ref="BX84:BX92" ca="1" si="968">IF(N84-SUM(OFFSET(AS84,,-$J84+1,,$J84))-IF($J84&gt;1,SUM(OFFSET(BX84,,-$J84+1,,$J84-1)),0)&gt;0,N84-SUM(OFFSET(AS84,,-$J84+1,,$J84))-IF($J84&gt;1,SUM(OFFSET(BX84,,-$J84+1,,$J84-1)),0),0)</f>
        <v>0</v>
      </c>
      <c r="BY84" s="1571">
        <f t="shared" ref="BY84:BY92" ca="1" si="969">IF(O84-SUM(OFFSET(AT84,,-$J84+1,,$J84))-IF($J84&gt;1,SUM(OFFSET(BY84,,-$J84+1,,$J84-1)),0)&gt;0,O84-SUM(OFFSET(AT84,,-$J84+1,,$J84))-IF($J84&gt;1,SUM(OFFSET(BY84,,-$J84+1,,$J84-1)),0),0)</f>
        <v>0</v>
      </c>
      <c r="BZ84" s="1571">
        <f t="shared" ref="BZ84:BZ92" ca="1" si="970">IF(P84-SUM(OFFSET(AU84,,-$J84+1,,$J84))-IF($J84&gt;1,SUM(OFFSET(BZ84,,-$J84+1,,$J84-1)),0)&gt;0,P84-SUM(OFFSET(AU84,,-$J84+1,,$J84))-IF($J84&gt;1,SUM(OFFSET(BZ84,,-$J84+1,,$J84-1)),0),0)</f>
        <v>0</v>
      </c>
      <c r="CA84" s="1571">
        <f t="shared" ref="CA84:CA92" ca="1" si="971">IF(Q84-SUM(OFFSET(AV84,,-$J84+1,,$J84))-IF($J84&gt;1,SUM(OFFSET(CA84,,-$J84+1,,$J84-1)),0)&gt;0,Q84-SUM(OFFSET(AV84,,-$J84+1,,$J84))-IF($J84&gt;1,SUM(OFFSET(CA84,,-$J84+1,,$J84-1)),0),0)</f>
        <v>0</v>
      </c>
      <c r="CB84" s="1571">
        <f t="shared" ref="CB84:CB92" ca="1" si="972">IF(R84-SUM(OFFSET(AW84,,-$J84+1,,$J84))-IF($J84&gt;1,SUM(OFFSET(CB84,,-$J84+1,,$J84-1)),0)&gt;0,R84-SUM(OFFSET(AW84,,-$J84+1,,$J84))-IF($J84&gt;1,SUM(OFFSET(CB84,,-$J84+1,,$J84-1)),0),0)</f>
        <v>0</v>
      </c>
      <c r="CC84" s="1571">
        <f t="shared" ref="CC84:CC92" ca="1" si="973">IF(S84-SUM(OFFSET(AX84,,-$J84+1,,$J84))-IF($J84&gt;1,SUM(OFFSET(CC84,,-$J84+1,,$J84-1)),0)&gt;0,S84-SUM(OFFSET(AX84,,-$J84+1,,$J84))-IF($J84&gt;1,SUM(OFFSET(CC84,,-$J84+1,,$J84-1)),0),0)</f>
        <v>0</v>
      </c>
      <c r="CD84" s="1571">
        <f t="shared" ref="CD84:CD92" ca="1" si="974">IF(T84-SUM(OFFSET(AY84,,-$J84+1,,$J84))-IF($J84&gt;1,SUM(OFFSET(CD84,,-$J84+1,,$J84-1)),0)&gt;0,T84-SUM(OFFSET(AY84,,-$J84+1,,$J84))-IF($J84&gt;1,SUM(OFFSET(CD84,,-$J84+1,,$J84-1)),0),0)</f>
        <v>0</v>
      </c>
      <c r="CE84" s="1571">
        <f t="shared" ref="CE84:CE92" ca="1" si="975">IF(U84-SUM(OFFSET(AZ84,,-$J84+1,,$J84))-IF($J84&gt;1,SUM(OFFSET(CE84,,-$J84+1,,$J84-1)),0)&gt;0,U84-SUM(OFFSET(AZ84,,-$J84+1,,$J84))-IF($J84&gt;1,SUM(OFFSET(CE84,,-$J84+1,,$J84-1)),0),0)</f>
        <v>0</v>
      </c>
      <c r="CF84" s="1571">
        <f t="shared" ref="CF84:CF92" ca="1" si="976">IF(V84-SUM(OFFSET(BA84,,-$J84+1,,$J84))-IF($J84&gt;1,SUM(OFFSET(CF84,,-$J84+1,,$J84-1)),0)&gt;0,V84-SUM(OFFSET(BA84,,-$J84+1,,$J84))-IF($J84&gt;1,SUM(OFFSET(CF84,,-$J84+1,,$J84-1)),0),0)</f>
        <v>0</v>
      </c>
      <c r="CG84" s="1571">
        <f t="shared" ref="CG84:CG92" ca="1" si="977">IF(W84-SUM(OFFSET(BB84,,-$J84+1,,$J84))-IF($J84&gt;1,SUM(OFFSET(CG84,,-$J84+1,,$J84-1)),0)&gt;0,W84-SUM(OFFSET(BB84,,-$J84+1,,$J84))-IF($J84&gt;1,SUM(OFFSET(CG84,,-$J84+1,,$J84-1)),0),0)</f>
        <v>0</v>
      </c>
      <c r="CH84" s="1571">
        <f t="shared" ref="CH84:CH90" ca="1" si="978">IF(X84-SUM(OFFSET(BC84,,-$J84+1,,$J84))-IF($J84&gt;1,SUM(OFFSET(CH84,,-$J84+1,,$J84-1)),0)&gt;0,X84-SUM(OFFSET(BC84,,-$J84+1,,$J84))-IF($J84&gt;1,SUM(OFFSET(CH84,,-$J84+1,,$J84-1)),0),0)</f>
        <v>0</v>
      </c>
      <c r="CI84" s="1571">
        <f t="shared" ref="CI84:CI90" ca="1" si="979">IF(Y84-SUM(OFFSET(BD84,,-$J84+1,,$J84))-IF($J84&gt;1,SUM(OFFSET(CI84,,-$J84+1,,$J84-1)),0)&gt;0,Y84-SUM(OFFSET(BD84,,-$J84+1,,$J84))-IF($J84&gt;1,SUM(OFFSET(CI84,,-$J84+1,,$J84-1)),0),0)</f>
        <v>0</v>
      </c>
      <c r="CJ84" s="1571">
        <f t="shared" ref="CJ84:CJ90" ca="1" si="980">IF(Z84-SUM(OFFSET(BE84,,-$J84+1,,$J84))-IF($J84&gt;1,SUM(OFFSET(CJ84,,-$J84+1,,$J84-1)),0)&gt;0,Z84-SUM(OFFSET(BE84,,-$J84+1,,$J84))-IF($J84&gt;1,SUM(OFFSET(CJ84,,-$J84+1,,$J84-1)),0),0)</f>
        <v>0</v>
      </c>
      <c r="CK84" s="1571">
        <f t="shared" ref="CK84:CK90" ca="1" si="981">IF(AA84-SUM(OFFSET(BF84,,-$J84+1,,$J84))-IF($J84&gt;1,SUM(OFFSET(CK84,,-$J84+1,,$J84-1)),0)&gt;0,AA84-SUM(OFFSET(BF84,,-$J84+1,,$J84))-IF($J84&gt;1,SUM(OFFSET(CK84,,-$J84+1,,$J84-1)),0),0)</f>
        <v>0</v>
      </c>
      <c r="CL84" s="1571">
        <f t="shared" ref="CL84:CL90" ca="1" si="982">IF(AB84-SUM(OFFSET(BG84,,-$J84+1,,$J84))-IF($J84&gt;1,SUM(OFFSET(CL84,,-$J84+1,,$J84-1)),0)&gt;0,AB84-SUM(OFFSET(BG84,,-$J84+1,,$J84))-IF($J84&gt;1,SUM(OFFSET(CL84,,-$J84+1,,$J84-1)),0),0)</f>
        <v>0</v>
      </c>
      <c r="CM84" s="1571">
        <f t="shared" ref="CM84:CM90" ca="1" si="983">IF(AC84-SUM(OFFSET(BH84,,-$J84+1,,$J84))-IF($J84&gt;1,SUM(OFFSET(CM84,,-$J84+1,,$J84-1)),0)&gt;0,AC84-SUM(OFFSET(BH84,,-$J84+1,,$J84))-IF($J84&gt;1,SUM(OFFSET(CM84,,-$J84+1,,$J84-1)),0),0)</f>
        <v>0</v>
      </c>
      <c r="CN84" s="1571">
        <f t="shared" ref="CN84:CN90" ca="1" si="984">IF(AD84-SUM(OFFSET(BI84,,-$J84+1,,$J84))-IF($J84&gt;1,SUM(OFFSET(CN84,,-$J84+1,,$J84-1)),0)&gt;0,AD84-SUM(OFFSET(BI84,,-$J84+1,,$J84))-IF($J84&gt;1,SUM(OFFSET(CN84,,-$J84+1,,$J84-1)),0),0)</f>
        <v>0</v>
      </c>
      <c r="CO84" s="1571">
        <f t="shared" ref="CO84:CO90" ca="1" si="985">IF(AE84-SUM(OFFSET(BJ84,,-$J84+1,,$J84))-IF($J84&gt;1,SUM(OFFSET(CO84,,-$J84+1,,$J84-1)),0)&gt;0,AE84-SUM(OFFSET(BJ84,,-$J84+1,,$J84))-IF($J84&gt;1,SUM(OFFSET(CO84,,-$J84+1,,$J84-1)),0),0)</f>
        <v>0</v>
      </c>
      <c r="CP84" s="1571">
        <f t="shared" ref="CP84:CP90" ca="1" si="986">IF(AF84-SUM(OFFSET(BK84,,-$J84+1,,$J84))-IF($J84&gt;1,SUM(OFFSET(CP84,,-$J84+1,,$J84-1)),0)&gt;0,AF84-SUM(OFFSET(BK84,,-$J84+1,,$J84))-IF($J84&gt;1,SUM(OFFSET(CP84,,-$J84+1,,$J84-1)),0),0)</f>
        <v>0</v>
      </c>
      <c r="CQ84" s="1571">
        <f t="shared" ref="CQ84:CQ90" ca="1" si="987">IF(AG84-SUM(OFFSET(BL84,,-$J84+1,,$J84))-IF($J84&gt;1,SUM(OFFSET(CQ84,,-$J84+1,,$J84-1)),0)&gt;0,AG84-SUM(OFFSET(BL84,,-$J84+1,,$J84))-IF($J84&gt;1,SUM(OFFSET(CQ84,,-$J84+1,,$J84-1)),0),0)</f>
        <v>0</v>
      </c>
      <c r="CR84" s="1571">
        <f t="shared" ref="CR84:CR90" ca="1" si="988">IF(AH84-SUM(OFFSET(BM84,,-$J84+1,,$J84))-IF($J84&gt;1,SUM(OFFSET(CR84,,-$J84+1,,$J84-1)),0)&gt;0,AH84-SUM(OFFSET(BM84,,-$J84+1,,$J84))-IF($J84&gt;1,SUM(OFFSET(CR84,,-$J84+1,,$J84-1)),0),0)</f>
        <v>0</v>
      </c>
      <c r="CS84" s="1571">
        <f t="shared" ref="CS84:CS90" ca="1" si="989">IF(AI84-SUM(OFFSET(BN84,,-$J84+1,,$J84))-IF($J84&gt;1,SUM(OFFSET(CS84,,-$J84+1,,$J84-1)),0)&gt;0,AI84-SUM(OFFSET(BN84,,-$J84+1,,$J84))-IF($J84&gt;1,SUM(OFFSET(CS84,,-$J84+1,,$J84-1)),0),0)</f>
        <v>0</v>
      </c>
      <c r="CT84" s="1571">
        <f t="shared" ref="CT84:CT90" ca="1" si="990">IF(AJ84-SUM(OFFSET(BO84,,-$J84+1,,$J84))-IF($J84&gt;1,SUM(OFFSET(CT84,,-$J84+1,,$J84-1)),0)&gt;0,AJ84-SUM(OFFSET(BO84,,-$J84+1,,$J84))-IF($J84&gt;1,SUM(OFFSET(CT84,,-$J84+1,,$J84-1)),0),0)</f>
        <v>0</v>
      </c>
      <c r="CU84" s="1571">
        <f t="shared" ref="CU84:CU90" ca="1" si="991">IF(AK84-SUM(OFFSET(BP84,,-$J84+1,,$J84))-IF($J84&gt;1,SUM(OFFSET(CU84,,-$J84+1,,$J84-1)),0)&gt;0,AK84-SUM(OFFSET(BP84,,-$J84+1,,$J84))-IF($J84&gt;1,SUM(OFFSET(CU84,,-$J84+1,,$J84-1)),0),0)</f>
        <v>0</v>
      </c>
      <c r="CV84" s="1571">
        <f t="shared" ref="CV84:CV90" ca="1" si="992">IF(AL84-SUM(OFFSET(BQ84,,-$J84+1,,$J84))-IF($J84&gt;1,SUM(OFFSET(CV84,,-$J84+1,,$J84-1)),0)&gt;0,AL84-SUM(OFFSET(BQ84,,-$J84+1,,$J84))-IF($J84&gt;1,SUM(OFFSET(CV84,,-$J84+1,,$J84-1)),0),0)</f>
        <v>0</v>
      </c>
      <c r="CW84" s="1571">
        <f t="shared" ref="CW84:CW90" ca="1" si="993">IF(AM84-SUM(OFFSET(BR84,,-$J84+1,,$J84))-IF($J84&gt;1,SUM(OFFSET(CW84,,-$J84+1,,$J84-1)),0)&gt;0,AM84-SUM(OFFSET(BR84,,-$J84+1,,$J84))-IF($J84&gt;1,SUM(OFFSET(CW84,,-$J84+1,,$J84-1)),0),0)</f>
        <v>0</v>
      </c>
      <c r="CX84" s="1571">
        <f t="shared" ref="CX84:CX89" ca="1" si="994">IF(AN84-SUM(OFFSET(BS84,,-$J84+1,,$J84))-IF($J84&gt;1,SUM(OFFSET(CX84,,-$J84+1,,$J84-1)),0)&gt;0,AN84-SUM(OFFSET(BS84,,-$J84+1,,$J84))-IF($J84&gt;1,SUM(OFFSET(CX84,,-$J84+1,,$J84-1)),0),0)</f>
        <v>0</v>
      </c>
      <c r="CY84" s="1571">
        <f t="shared" ref="CY84:CY89" ca="1" si="995">IF(AO84-SUM(OFFSET(BT84,,-$J84+1,,$J84))-IF($J84&gt;1,SUM(OFFSET(CY84,,-$J84+1,,$J84-1)),0)&gt;0,AO84-SUM(OFFSET(BT84,,-$J84+1,,$J84))-IF($J84&gt;1,SUM(OFFSET(CY84,,-$J84+1,,$J84-1)),0),0)</f>
        <v>0</v>
      </c>
      <c r="CZ84" s="78"/>
      <c r="DA84" s="1572">
        <f t="shared" ref="DA84:DP93" si="996">AQ84*$H84</f>
        <v>0</v>
      </c>
      <c r="DB84" s="1572">
        <f t="shared" si="996"/>
        <v>0</v>
      </c>
      <c r="DC84" s="1572">
        <f t="shared" si="996"/>
        <v>0</v>
      </c>
      <c r="DD84" s="1572">
        <f t="shared" si="996"/>
        <v>0</v>
      </c>
      <c r="DE84" s="1572">
        <f t="shared" si="996"/>
        <v>0</v>
      </c>
      <c r="DF84" s="1572">
        <f t="shared" si="996"/>
        <v>0</v>
      </c>
      <c r="DG84" s="1572">
        <f t="shared" si="996"/>
        <v>0</v>
      </c>
      <c r="DH84" s="1572">
        <f t="shared" si="996"/>
        <v>0</v>
      </c>
      <c r="DI84" s="1572">
        <f t="shared" si="996"/>
        <v>0</v>
      </c>
      <c r="DJ84" s="1572">
        <f t="shared" si="996"/>
        <v>0</v>
      </c>
      <c r="DK84" s="1572">
        <f t="shared" si="996"/>
        <v>0</v>
      </c>
      <c r="DL84" s="1572">
        <f t="shared" si="996"/>
        <v>0</v>
      </c>
      <c r="DM84" s="1572">
        <f t="shared" si="996"/>
        <v>0</v>
      </c>
      <c r="DN84" s="1572">
        <f t="shared" si="996"/>
        <v>0</v>
      </c>
      <c r="DO84" s="1572">
        <f t="shared" si="996"/>
        <v>0</v>
      </c>
      <c r="DP84" s="1572">
        <f t="shared" si="996"/>
        <v>0</v>
      </c>
      <c r="DQ84" s="1572">
        <f t="shared" ref="DQ84:DX93" si="997">BG84*$H84</f>
        <v>0</v>
      </c>
      <c r="DR84" s="1572">
        <f t="shared" si="997"/>
        <v>0</v>
      </c>
      <c r="DS84" s="1572">
        <f t="shared" si="997"/>
        <v>0</v>
      </c>
      <c r="DT84" s="1572">
        <f t="shared" si="997"/>
        <v>0</v>
      </c>
      <c r="DU84" s="1572">
        <f t="shared" si="997"/>
        <v>0</v>
      </c>
      <c r="DV84" s="1572">
        <f t="shared" si="997"/>
        <v>0</v>
      </c>
      <c r="DW84" s="1572">
        <f t="shared" si="997"/>
        <v>0</v>
      </c>
      <c r="DX84" s="1572">
        <f t="shared" si="997"/>
        <v>0</v>
      </c>
      <c r="DY84" s="1572"/>
      <c r="DZ84" s="1572"/>
      <c r="EA84" s="1572"/>
      <c r="EB84" s="1572"/>
      <c r="EC84" s="1572"/>
      <c r="ED84" s="1572">
        <f t="shared" ref="ED84:ED93" si="998">BT84*$H84</f>
        <v>0</v>
      </c>
      <c r="EE84" s="79"/>
      <c r="EF84" s="1572">
        <f t="shared" ref="EF84:EU93" ca="1" si="999">BV84*$I84</f>
        <v>0</v>
      </c>
      <c r="EG84" s="1572">
        <f t="shared" ca="1" si="999"/>
        <v>0</v>
      </c>
      <c r="EH84" s="1572">
        <f t="shared" ca="1" si="999"/>
        <v>0</v>
      </c>
      <c r="EI84" s="1572">
        <f t="shared" ca="1" si="999"/>
        <v>0</v>
      </c>
      <c r="EJ84" s="1572">
        <f t="shared" ca="1" si="999"/>
        <v>0</v>
      </c>
      <c r="EK84" s="1572">
        <f t="shared" ca="1" si="999"/>
        <v>0</v>
      </c>
      <c r="EL84" s="1572">
        <f t="shared" ca="1" si="999"/>
        <v>0</v>
      </c>
      <c r="EM84" s="1572">
        <f t="shared" ca="1" si="999"/>
        <v>0</v>
      </c>
      <c r="EN84" s="1572">
        <f t="shared" ca="1" si="999"/>
        <v>0</v>
      </c>
      <c r="EO84" s="1572">
        <f t="shared" ca="1" si="999"/>
        <v>0</v>
      </c>
      <c r="EP84" s="1572">
        <f t="shared" ca="1" si="999"/>
        <v>0</v>
      </c>
      <c r="EQ84" s="1572">
        <f t="shared" ca="1" si="999"/>
        <v>0</v>
      </c>
      <c r="ER84" s="1572">
        <f t="shared" ca="1" si="999"/>
        <v>0</v>
      </c>
      <c r="ES84" s="1572">
        <f t="shared" ca="1" si="999"/>
        <v>0</v>
      </c>
      <c r="ET84" s="1572">
        <f t="shared" ca="1" si="999"/>
        <v>0</v>
      </c>
      <c r="EU84" s="1572">
        <f t="shared" ca="1" si="999"/>
        <v>0</v>
      </c>
      <c r="EV84" s="1572">
        <f t="shared" ref="EV84:EV93" ca="1" si="1000">CL84*$I84</f>
        <v>0</v>
      </c>
      <c r="EW84" s="1572">
        <f t="shared" ref="EW84:EW93" ca="1" si="1001">CM84*$I84</f>
        <v>0</v>
      </c>
      <c r="EX84" s="1572">
        <f t="shared" ref="EX84:EX93" ca="1" si="1002">CN84*$I84</f>
        <v>0</v>
      </c>
      <c r="EY84" s="1572">
        <f t="shared" ref="EY84:EY93" ca="1" si="1003">CO84*$I84</f>
        <v>0</v>
      </c>
      <c r="EZ84" s="1572">
        <f t="shared" ref="EZ84:EZ93" ca="1" si="1004">CP84*$I84</f>
        <v>0</v>
      </c>
      <c r="FA84" s="1572">
        <f t="shared" ref="FA84:FA93" ca="1" si="1005">CQ84*$I84</f>
        <v>0</v>
      </c>
      <c r="FB84" s="1572">
        <f t="shared" ref="FB84:FB93" ca="1" si="1006">CR84*$I84</f>
        <v>0</v>
      </c>
      <c r="FC84" s="1572">
        <f t="shared" ref="FC84:FC93" ca="1" si="1007">CS84*$I84</f>
        <v>0</v>
      </c>
      <c r="FD84" s="1572">
        <f t="shared" ref="FD84:FD93" ca="1" si="1008">CT84*$I84</f>
        <v>0</v>
      </c>
      <c r="FE84" s="1572">
        <f t="shared" ref="FE84:FE93" ca="1" si="1009">CU84*$I84</f>
        <v>0</v>
      </c>
      <c r="FF84" s="1572">
        <f t="shared" ref="FF84:FF93" ca="1" si="1010">CV84*$I84</f>
        <v>0</v>
      </c>
      <c r="FG84" s="1572">
        <f t="shared" ref="FG84:FG93" ca="1" si="1011">CW84*$I84</f>
        <v>0</v>
      </c>
      <c r="FH84" s="1572">
        <f t="shared" ref="FH84:FH93" ca="1" si="1012">CX84*$I84</f>
        <v>0</v>
      </c>
      <c r="FI84" s="1572">
        <f t="shared" ref="FI84:FI93" ca="1" si="1013">CY84*$I84</f>
        <v>0</v>
      </c>
    </row>
    <row r="85" spans="1:165" ht="15.95" customHeight="1">
      <c r="A85" s="595"/>
      <c r="B85" s="598"/>
      <c r="C85" s="599"/>
      <c r="F85" s="1440" t="s">
        <v>1676</v>
      </c>
      <c r="G85" s="1609" t="s">
        <v>1718</v>
      </c>
      <c r="H85" s="1569">
        <f>'Sistemas - Cotações'!F55</f>
        <v>0</v>
      </c>
      <c r="I85" s="1569">
        <f t="shared" ref="I85:I93" si="1014">H85*0.8</f>
        <v>0</v>
      </c>
      <c r="J85" s="867">
        <f>'Sistemas - Cotações'!H55</f>
        <v>30</v>
      </c>
      <c r="K85" s="97"/>
      <c r="L85" s="1479">
        <f>'Sistemas-Manutenção'!L82</f>
        <v>0</v>
      </c>
      <c r="M85" s="1479">
        <f>'Sistemas-Manutenção'!M82</f>
        <v>0</v>
      </c>
      <c r="N85" s="1479">
        <f>'Sistemas-Manutenção'!N82</f>
        <v>0</v>
      </c>
      <c r="O85" s="1479">
        <f>'Sistemas-Manutenção'!O82</f>
        <v>0</v>
      </c>
      <c r="P85" s="1479">
        <f>'Sistemas-Manutenção'!P82</f>
        <v>0</v>
      </c>
      <c r="Q85" s="1479">
        <f>'Sistemas-Manutenção'!Q82</f>
        <v>0</v>
      </c>
      <c r="R85" s="1479">
        <f>'Sistemas-Manutenção'!R82</f>
        <v>0</v>
      </c>
      <c r="S85" s="1479">
        <f>'Sistemas-Manutenção'!S82</f>
        <v>0</v>
      </c>
      <c r="T85" s="1479">
        <f>'Sistemas-Manutenção'!T82</f>
        <v>0</v>
      </c>
      <c r="U85" s="1479">
        <f>'Sistemas-Manutenção'!U82</f>
        <v>0</v>
      </c>
      <c r="V85" s="1479">
        <f>'Sistemas-Manutenção'!V82</f>
        <v>0</v>
      </c>
      <c r="W85" s="1479">
        <f>'Sistemas-Manutenção'!W82</f>
        <v>0</v>
      </c>
      <c r="X85" s="1479">
        <f>'Sistemas-Manutenção'!X82</f>
        <v>0</v>
      </c>
      <c r="Y85" s="1479">
        <f>'Sistemas-Manutenção'!Y82</f>
        <v>0</v>
      </c>
      <c r="Z85" s="1479">
        <f>'Sistemas-Manutenção'!Z82</f>
        <v>0</v>
      </c>
      <c r="AA85" s="1479">
        <f>'Sistemas-Manutenção'!AA82</f>
        <v>0</v>
      </c>
      <c r="AB85" s="1479">
        <f>'Sistemas-Manutenção'!AB82</f>
        <v>0</v>
      </c>
      <c r="AC85" s="1479">
        <f>'Sistemas-Manutenção'!AC82</f>
        <v>0</v>
      </c>
      <c r="AD85" s="1479">
        <f>'Sistemas-Manutenção'!AD82</f>
        <v>0</v>
      </c>
      <c r="AE85" s="1479">
        <f>'Sistemas-Manutenção'!AE82</f>
        <v>0</v>
      </c>
      <c r="AF85" s="1479">
        <f>'Sistemas-Manutenção'!AF82</f>
        <v>0</v>
      </c>
      <c r="AG85" s="1479">
        <f>'Sistemas-Manutenção'!AG82</f>
        <v>0</v>
      </c>
      <c r="AH85" s="1479">
        <f>'Sistemas-Manutenção'!AH82</f>
        <v>0</v>
      </c>
      <c r="AI85" s="1479">
        <f>'Sistemas-Manutenção'!AI82</f>
        <v>0</v>
      </c>
      <c r="AJ85" s="1479">
        <f>'Sistemas-Manutenção'!AJ82</f>
        <v>0</v>
      </c>
      <c r="AK85" s="1479">
        <f>'Sistemas-Manutenção'!AK82</f>
        <v>0</v>
      </c>
      <c r="AL85" s="1479">
        <f>'Sistemas-Manutenção'!AL82</f>
        <v>0</v>
      </c>
      <c r="AM85" s="1479">
        <f>'Sistemas-Manutenção'!AM82</f>
        <v>0</v>
      </c>
      <c r="AN85" s="1479">
        <f>'Sistemas-Manutenção'!AN82</f>
        <v>0</v>
      </c>
      <c r="AO85" s="1479">
        <f>'Sistemas-Manutenção'!AO82</f>
        <v>0</v>
      </c>
      <c r="AP85" s="77"/>
      <c r="AQ85" s="1479">
        <f t="shared" si="956"/>
        <v>0</v>
      </c>
      <c r="AR85" s="1479">
        <f t="shared" si="956"/>
        <v>0</v>
      </c>
      <c r="AS85" s="1479">
        <f t="shared" si="956"/>
        <v>0</v>
      </c>
      <c r="AT85" s="1479">
        <f t="shared" si="956"/>
        <v>0</v>
      </c>
      <c r="AU85" s="1479">
        <f t="shared" si="956"/>
        <v>0</v>
      </c>
      <c r="AV85" s="1479">
        <f t="shared" si="956"/>
        <v>0</v>
      </c>
      <c r="AW85" s="1479">
        <f t="shared" si="956"/>
        <v>0</v>
      </c>
      <c r="AX85" s="1479">
        <f t="shared" si="956"/>
        <v>0</v>
      </c>
      <c r="AY85" s="1479">
        <f t="shared" si="956"/>
        <v>0</v>
      </c>
      <c r="AZ85" s="1479">
        <f t="shared" si="956"/>
        <v>0</v>
      </c>
      <c r="BA85" s="1479">
        <f t="shared" ref="BA85:BF89" si="1015">IF(V85&gt;U85,V85-U85,0)</f>
        <v>0</v>
      </c>
      <c r="BB85" s="1479">
        <f t="shared" si="1015"/>
        <v>0</v>
      </c>
      <c r="BC85" s="1479">
        <f t="shared" si="1015"/>
        <v>0</v>
      </c>
      <c r="BD85" s="1479">
        <f t="shared" si="1015"/>
        <v>0</v>
      </c>
      <c r="BE85" s="1479">
        <f t="shared" si="1015"/>
        <v>0</v>
      </c>
      <c r="BF85" s="1479">
        <f t="shared" si="1015"/>
        <v>0</v>
      </c>
      <c r="BG85" s="1479">
        <f t="shared" si="957"/>
        <v>0</v>
      </c>
      <c r="BH85" s="1479">
        <f t="shared" si="958"/>
        <v>0</v>
      </c>
      <c r="BI85" s="1479">
        <f t="shared" si="959"/>
        <v>0</v>
      </c>
      <c r="BJ85" s="1479">
        <f t="shared" si="960"/>
        <v>0</v>
      </c>
      <c r="BK85" s="1479">
        <f t="shared" si="961"/>
        <v>0</v>
      </c>
      <c r="BL85" s="1479">
        <f t="shared" si="962"/>
        <v>0</v>
      </c>
      <c r="BM85" s="1479">
        <f t="shared" si="963"/>
        <v>0</v>
      </c>
      <c r="BN85" s="1479">
        <f t="shared" si="964"/>
        <v>0</v>
      </c>
      <c r="BO85" s="1479"/>
      <c r="BP85" s="1479"/>
      <c r="BQ85" s="1479"/>
      <c r="BR85" s="1479"/>
      <c r="BS85" s="1479"/>
      <c r="BT85" s="1479">
        <f t="shared" si="965"/>
        <v>0</v>
      </c>
      <c r="BU85" s="77"/>
      <c r="BV85" s="1571">
        <f t="shared" ca="1" si="966"/>
        <v>0</v>
      </c>
      <c r="BW85" s="1571">
        <f t="shared" ca="1" si="967"/>
        <v>0</v>
      </c>
      <c r="BX85" s="1571">
        <f t="shared" ca="1" si="968"/>
        <v>0</v>
      </c>
      <c r="BY85" s="1571">
        <f t="shared" ca="1" si="969"/>
        <v>0</v>
      </c>
      <c r="BZ85" s="1571">
        <f t="shared" ca="1" si="970"/>
        <v>0</v>
      </c>
      <c r="CA85" s="1571">
        <f t="shared" ca="1" si="971"/>
        <v>0</v>
      </c>
      <c r="CB85" s="1571">
        <f t="shared" ca="1" si="972"/>
        <v>0</v>
      </c>
      <c r="CC85" s="1571">
        <f t="shared" ca="1" si="973"/>
        <v>0</v>
      </c>
      <c r="CD85" s="1571">
        <f t="shared" ca="1" si="974"/>
        <v>0</v>
      </c>
      <c r="CE85" s="1571">
        <f t="shared" ca="1" si="975"/>
        <v>0</v>
      </c>
      <c r="CF85" s="1571">
        <f t="shared" ca="1" si="976"/>
        <v>0</v>
      </c>
      <c r="CG85" s="1571">
        <f t="shared" ca="1" si="977"/>
        <v>0</v>
      </c>
      <c r="CH85" s="1571">
        <f t="shared" ca="1" si="978"/>
        <v>0</v>
      </c>
      <c r="CI85" s="1571">
        <f t="shared" ca="1" si="979"/>
        <v>0</v>
      </c>
      <c r="CJ85" s="1571">
        <f t="shared" ca="1" si="980"/>
        <v>0</v>
      </c>
      <c r="CK85" s="1571">
        <f t="shared" ca="1" si="981"/>
        <v>0</v>
      </c>
      <c r="CL85" s="1571">
        <f t="shared" ca="1" si="982"/>
        <v>0</v>
      </c>
      <c r="CM85" s="1571">
        <f t="shared" ca="1" si="983"/>
        <v>0</v>
      </c>
      <c r="CN85" s="1571">
        <f t="shared" ca="1" si="984"/>
        <v>0</v>
      </c>
      <c r="CO85" s="1571">
        <f t="shared" ca="1" si="985"/>
        <v>0</v>
      </c>
      <c r="CP85" s="1571">
        <f t="shared" ca="1" si="986"/>
        <v>0</v>
      </c>
      <c r="CQ85" s="1571">
        <f t="shared" ca="1" si="987"/>
        <v>0</v>
      </c>
      <c r="CR85" s="1571">
        <f t="shared" ca="1" si="988"/>
        <v>0</v>
      </c>
      <c r="CS85" s="1571">
        <f t="shared" ca="1" si="989"/>
        <v>0</v>
      </c>
      <c r="CT85" s="1571">
        <f t="shared" ca="1" si="990"/>
        <v>0</v>
      </c>
      <c r="CU85" s="1571">
        <f t="shared" ca="1" si="991"/>
        <v>0</v>
      </c>
      <c r="CV85" s="1571">
        <f t="shared" ca="1" si="992"/>
        <v>0</v>
      </c>
      <c r="CW85" s="1571">
        <f t="shared" ca="1" si="993"/>
        <v>0</v>
      </c>
      <c r="CX85" s="1571">
        <f t="shared" ca="1" si="994"/>
        <v>0</v>
      </c>
      <c r="CY85" s="1571">
        <f t="shared" ca="1" si="995"/>
        <v>0</v>
      </c>
      <c r="CZ85" s="78"/>
      <c r="DA85" s="1572">
        <f t="shared" si="996"/>
        <v>0</v>
      </c>
      <c r="DB85" s="1572">
        <f t="shared" si="996"/>
        <v>0</v>
      </c>
      <c r="DC85" s="1572">
        <f t="shared" si="996"/>
        <v>0</v>
      </c>
      <c r="DD85" s="1572">
        <f t="shared" si="996"/>
        <v>0</v>
      </c>
      <c r="DE85" s="1572">
        <f t="shared" si="996"/>
        <v>0</v>
      </c>
      <c r="DF85" s="1572">
        <f t="shared" si="996"/>
        <v>0</v>
      </c>
      <c r="DG85" s="1572">
        <f t="shared" si="996"/>
        <v>0</v>
      </c>
      <c r="DH85" s="1572">
        <f t="shared" si="996"/>
        <v>0</v>
      </c>
      <c r="DI85" s="1572">
        <f t="shared" si="996"/>
        <v>0</v>
      </c>
      <c r="DJ85" s="1572">
        <f t="shared" si="996"/>
        <v>0</v>
      </c>
      <c r="DK85" s="1572">
        <f t="shared" si="996"/>
        <v>0</v>
      </c>
      <c r="DL85" s="1572">
        <f t="shared" si="996"/>
        <v>0</v>
      </c>
      <c r="DM85" s="1572">
        <f t="shared" si="996"/>
        <v>0</v>
      </c>
      <c r="DN85" s="1572">
        <f t="shared" si="996"/>
        <v>0</v>
      </c>
      <c r="DO85" s="1572">
        <f t="shared" si="996"/>
        <v>0</v>
      </c>
      <c r="DP85" s="1572">
        <f t="shared" si="996"/>
        <v>0</v>
      </c>
      <c r="DQ85" s="1572">
        <f t="shared" si="997"/>
        <v>0</v>
      </c>
      <c r="DR85" s="1572">
        <f t="shared" si="997"/>
        <v>0</v>
      </c>
      <c r="DS85" s="1572">
        <f t="shared" si="997"/>
        <v>0</v>
      </c>
      <c r="DT85" s="1572">
        <f t="shared" si="997"/>
        <v>0</v>
      </c>
      <c r="DU85" s="1572">
        <f t="shared" si="997"/>
        <v>0</v>
      </c>
      <c r="DV85" s="1572">
        <f t="shared" si="997"/>
        <v>0</v>
      </c>
      <c r="DW85" s="1572">
        <f t="shared" si="997"/>
        <v>0</v>
      </c>
      <c r="DX85" s="1572">
        <f t="shared" si="997"/>
        <v>0</v>
      </c>
      <c r="DY85" s="1572"/>
      <c r="DZ85" s="1572"/>
      <c r="EA85" s="1572"/>
      <c r="EB85" s="1572"/>
      <c r="EC85" s="1572"/>
      <c r="ED85" s="1572">
        <f t="shared" si="998"/>
        <v>0</v>
      </c>
      <c r="EE85" s="79"/>
      <c r="EF85" s="1572">
        <f t="shared" ca="1" si="999"/>
        <v>0</v>
      </c>
      <c r="EG85" s="1572">
        <f t="shared" ca="1" si="999"/>
        <v>0</v>
      </c>
      <c r="EH85" s="1572">
        <f t="shared" ca="1" si="999"/>
        <v>0</v>
      </c>
      <c r="EI85" s="1572">
        <f t="shared" ca="1" si="999"/>
        <v>0</v>
      </c>
      <c r="EJ85" s="1572">
        <f t="shared" ca="1" si="999"/>
        <v>0</v>
      </c>
      <c r="EK85" s="1572">
        <f t="shared" ca="1" si="999"/>
        <v>0</v>
      </c>
      <c r="EL85" s="1572">
        <f t="shared" ca="1" si="999"/>
        <v>0</v>
      </c>
      <c r="EM85" s="1572">
        <f t="shared" ca="1" si="999"/>
        <v>0</v>
      </c>
      <c r="EN85" s="1572">
        <f t="shared" ca="1" si="999"/>
        <v>0</v>
      </c>
      <c r="EO85" s="1572">
        <f t="shared" ca="1" si="999"/>
        <v>0</v>
      </c>
      <c r="EP85" s="1572">
        <f t="shared" ca="1" si="999"/>
        <v>0</v>
      </c>
      <c r="EQ85" s="1572">
        <f t="shared" ca="1" si="999"/>
        <v>0</v>
      </c>
      <c r="ER85" s="1572">
        <f t="shared" ca="1" si="999"/>
        <v>0</v>
      </c>
      <c r="ES85" s="1572">
        <f t="shared" ca="1" si="999"/>
        <v>0</v>
      </c>
      <c r="ET85" s="1572">
        <f t="shared" ca="1" si="999"/>
        <v>0</v>
      </c>
      <c r="EU85" s="1572">
        <f t="shared" ca="1" si="999"/>
        <v>0</v>
      </c>
      <c r="EV85" s="1572">
        <f t="shared" ca="1" si="1000"/>
        <v>0</v>
      </c>
      <c r="EW85" s="1572">
        <f t="shared" ca="1" si="1001"/>
        <v>0</v>
      </c>
      <c r="EX85" s="1572">
        <f t="shared" ca="1" si="1002"/>
        <v>0</v>
      </c>
      <c r="EY85" s="1572">
        <f t="shared" ca="1" si="1003"/>
        <v>0</v>
      </c>
      <c r="EZ85" s="1572">
        <f t="shared" ca="1" si="1004"/>
        <v>0</v>
      </c>
      <c r="FA85" s="1572">
        <f t="shared" ca="1" si="1005"/>
        <v>0</v>
      </c>
      <c r="FB85" s="1572">
        <f t="shared" ca="1" si="1006"/>
        <v>0</v>
      </c>
      <c r="FC85" s="1572">
        <f t="shared" ca="1" si="1007"/>
        <v>0</v>
      </c>
      <c r="FD85" s="1572">
        <f t="shared" ca="1" si="1008"/>
        <v>0</v>
      </c>
      <c r="FE85" s="1572">
        <f t="shared" ca="1" si="1009"/>
        <v>0</v>
      </c>
      <c r="FF85" s="1572">
        <f t="shared" ca="1" si="1010"/>
        <v>0</v>
      </c>
      <c r="FG85" s="1572">
        <f t="shared" ca="1" si="1011"/>
        <v>0</v>
      </c>
      <c r="FH85" s="1572">
        <f t="shared" ca="1" si="1012"/>
        <v>0</v>
      </c>
      <c r="FI85" s="1572">
        <f t="shared" ca="1" si="1013"/>
        <v>0</v>
      </c>
    </row>
    <row r="86" spans="1:165" ht="15.95" customHeight="1">
      <c r="A86" s="595"/>
      <c r="B86" s="598"/>
      <c r="C86" s="599"/>
      <c r="F86" s="1440" t="s">
        <v>1677</v>
      </c>
      <c r="G86" s="1609" t="s">
        <v>1718</v>
      </c>
      <c r="H86" s="1569">
        <f>'Sistemas - Cotações'!F56</f>
        <v>0</v>
      </c>
      <c r="I86" s="1569">
        <f t="shared" si="1014"/>
        <v>0</v>
      </c>
      <c r="J86" s="867">
        <f>'Sistemas - Cotações'!H56</f>
        <v>30</v>
      </c>
      <c r="K86" s="97"/>
      <c r="L86" s="1479">
        <f>'Sistemas-Manutenção'!L83</f>
        <v>0</v>
      </c>
      <c r="M86" s="1479">
        <f>'Sistemas-Manutenção'!M83</f>
        <v>0</v>
      </c>
      <c r="N86" s="1479">
        <f>'Sistemas-Manutenção'!N83</f>
        <v>0</v>
      </c>
      <c r="O86" s="1479">
        <f>'Sistemas-Manutenção'!O83</f>
        <v>0</v>
      </c>
      <c r="P86" s="1479">
        <f>'Sistemas-Manutenção'!P83</f>
        <v>0</v>
      </c>
      <c r="Q86" s="1479">
        <f>'Sistemas-Manutenção'!Q83</f>
        <v>0</v>
      </c>
      <c r="R86" s="1479">
        <f>'Sistemas-Manutenção'!R83</f>
        <v>0</v>
      </c>
      <c r="S86" s="1479">
        <f>'Sistemas-Manutenção'!S83</f>
        <v>0</v>
      </c>
      <c r="T86" s="1479">
        <f>'Sistemas-Manutenção'!T83</f>
        <v>0</v>
      </c>
      <c r="U86" s="1479">
        <f>'Sistemas-Manutenção'!U83</f>
        <v>0</v>
      </c>
      <c r="V86" s="1479">
        <f>'Sistemas-Manutenção'!V83</f>
        <v>0</v>
      </c>
      <c r="W86" s="1479">
        <f>'Sistemas-Manutenção'!W83</f>
        <v>0</v>
      </c>
      <c r="X86" s="1479">
        <f>'Sistemas-Manutenção'!X83</f>
        <v>0</v>
      </c>
      <c r="Y86" s="1479">
        <f>'Sistemas-Manutenção'!Y83</f>
        <v>0</v>
      </c>
      <c r="Z86" s="1479">
        <f>'Sistemas-Manutenção'!Z83</f>
        <v>0</v>
      </c>
      <c r="AA86" s="1479">
        <f>'Sistemas-Manutenção'!AA83</f>
        <v>0</v>
      </c>
      <c r="AB86" s="1479">
        <f>'Sistemas-Manutenção'!AB83</f>
        <v>0</v>
      </c>
      <c r="AC86" s="1479">
        <f>'Sistemas-Manutenção'!AC83</f>
        <v>0</v>
      </c>
      <c r="AD86" s="1479">
        <f>'Sistemas-Manutenção'!AD83</f>
        <v>0</v>
      </c>
      <c r="AE86" s="1479">
        <f>'Sistemas-Manutenção'!AE83</f>
        <v>0</v>
      </c>
      <c r="AF86" s="1479">
        <f>'Sistemas-Manutenção'!AF83</f>
        <v>0</v>
      </c>
      <c r="AG86" s="1479">
        <f>'Sistemas-Manutenção'!AG83</f>
        <v>0</v>
      </c>
      <c r="AH86" s="1479">
        <f>'Sistemas-Manutenção'!AH83</f>
        <v>0</v>
      </c>
      <c r="AI86" s="1479">
        <f>'Sistemas-Manutenção'!AI83</f>
        <v>0</v>
      </c>
      <c r="AJ86" s="1479">
        <f>'Sistemas-Manutenção'!AJ83</f>
        <v>0</v>
      </c>
      <c r="AK86" s="1479">
        <f>'Sistemas-Manutenção'!AK83</f>
        <v>0</v>
      </c>
      <c r="AL86" s="1479">
        <f>'Sistemas-Manutenção'!AL83</f>
        <v>0</v>
      </c>
      <c r="AM86" s="1479">
        <f>'Sistemas-Manutenção'!AM83</f>
        <v>0</v>
      </c>
      <c r="AN86" s="1479">
        <f>'Sistemas-Manutenção'!AN83</f>
        <v>0</v>
      </c>
      <c r="AO86" s="1479">
        <f>'Sistemas-Manutenção'!AO83</f>
        <v>0</v>
      </c>
      <c r="AP86" s="77"/>
      <c r="AQ86" s="1479">
        <f t="shared" si="956"/>
        <v>0</v>
      </c>
      <c r="AR86" s="1479">
        <f t="shared" si="956"/>
        <v>0</v>
      </c>
      <c r="AS86" s="1479">
        <f t="shared" si="956"/>
        <v>0</v>
      </c>
      <c r="AT86" s="1479">
        <f t="shared" si="956"/>
        <v>0</v>
      </c>
      <c r="AU86" s="1479">
        <f t="shared" si="956"/>
        <v>0</v>
      </c>
      <c r="AV86" s="1479">
        <f t="shared" si="956"/>
        <v>0</v>
      </c>
      <c r="AW86" s="1479">
        <f t="shared" si="956"/>
        <v>0</v>
      </c>
      <c r="AX86" s="1479">
        <f t="shared" si="956"/>
        <v>0</v>
      </c>
      <c r="AY86" s="1479">
        <f t="shared" si="956"/>
        <v>0</v>
      </c>
      <c r="AZ86" s="1479">
        <f t="shared" si="956"/>
        <v>0</v>
      </c>
      <c r="BA86" s="1479">
        <f t="shared" si="1015"/>
        <v>0</v>
      </c>
      <c r="BB86" s="1479">
        <f t="shared" si="1015"/>
        <v>0</v>
      </c>
      <c r="BC86" s="1479">
        <f t="shared" si="1015"/>
        <v>0</v>
      </c>
      <c r="BD86" s="1479">
        <f t="shared" si="1015"/>
        <v>0</v>
      </c>
      <c r="BE86" s="1479">
        <f t="shared" si="1015"/>
        <v>0</v>
      </c>
      <c r="BF86" s="1479">
        <f t="shared" si="1015"/>
        <v>0</v>
      </c>
      <c r="BG86" s="1479">
        <f t="shared" si="957"/>
        <v>0</v>
      </c>
      <c r="BH86" s="1479">
        <f t="shared" si="958"/>
        <v>0</v>
      </c>
      <c r="BI86" s="1479">
        <f t="shared" si="959"/>
        <v>0</v>
      </c>
      <c r="BJ86" s="1479">
        <f t="shared" si="960"/>
        <v>0</v>
      </c>
      <c r="BK86" s="1479">
        <f t="shared" si="961"/>
        <v>0</v>
      </c>
      <c r="BL86" s="1479">
        <f t="shared" si="962"/>
        <v>0</v>
      </c>
      <c r="BM86" s="1479">
        <f t="shared" si="963"/>
        <v>0</v>
      </c>
      <c r="BN86" s="1479">
        <f t="shared" si="964"/>
        <v>0</v>
      </c>
      <c r="BO86" s="1479"/>
      <c r="BP86" s="1479"/>
      <c r="BQ86" s="1479"/>
      <c r="BR86" s="1479"/>
      <c r="BS86" s="1479"/>
      <c r="BT86" s="1479">
        <f t="shared" si="965"/>
        <v>0</v>
      </c>
      <c r="BU86" s="77"/>
      <c r="BV86" s="1571">
        <f t="shared" ca="1" si="966"/>
        <v>0</v>
      </c>
      <c r="BW86" s="1571">
        <f t="shared" ca="1" si="967"/>
        <v>0</v>
      </c>
      <c r="BX86" s="1571">
        <f t="shared" ca="1" si="968"/>
        <v>0</v>
      </c>
      <c r="BY86" s="1571">
        <f t="shared" ca="1" si="969"/>
        <v>0</v>
      </c>
      <c r="BZ86" s="1571">
        <f t="shared" ca="1" si="970"/>
        <v>0</v>
      </c>
      <c r="CA86" s="1571">
        <f t="shared" ca="1" si="971"/>
        <v>0</v>
      </c>
      <c r="CB86" s="1571">
        <f t="shared" ca="1" si="972"/>
        <v>0</v>
      </c>
      <c r="CC86" s="1571">
        <f t="shared" ca="1" si="973"/>
        <v>0</v>
      </c>
      <c r="CD86" s="1571">
        <f t="shared" ca="1" si="974"/>
        <v>0</v>
      </c>
      <c r="CE86" s="1571">
        <f t="shared" ca="1" si="975"/>
        <v>0</v>
      </c>
      <c r="CF86" s="1571">
        <f t="shared" ca="1" si="976"/>
        <v>0</v>
      </c>
      <c r="CG86" s="1571">
        <f t="shared" ca="1" si="977"/>
        <v>0</v>
      </c>
      <c r="CH86" s="1571">
        <f t="shared" ca="1" si="978"/>
        <v>0</v>
      </c>
      <c r="CI86" s="1571">
        <f t="shared" ca="1" si="979"/>
        <v>0</v>
      </c>
      <c r="CJ86" s="1571">
        <f t="shared" ca="1" si="980"/>
        <v>0</v>
      </c>
      <c r="CK86" s="1571">
        <f t="shared" ca="1" si="981"/>
        <v>0</v>
      </c>
      <c r="CL86" s="1571">
        <f t="shared" ca="1" si="982"/>
        <v>0</v>
      </c>
      <c r="CM86" s="1571">
        <f t="shared" ca="1" si="983"/>
        <v>0</v>
      </c>
      <c r="CN86" s="1571">
        <f t="shared" ca="1" si="984"/>
        <v>0</v>
      </c>
      <c r="CO86" s="1571">
        <f t="shared" ca="1" si="985"/>
        <v>0</v>
      </c>
      <c r="CP86" s="1571">
        <f t="shared" ca="1" si="986"/>
        <v>0</v>
      </c>
      <c r="CQ86" s="1571">
        <f t="shared" ca="1" si="987"/>
        <v>0</v>
      </c>
      <c r="CR86" s="1571">
        <f t="shared" ca="1" si="988"/>
        <v>0</v>
      </c>
      <c r="CS86" s="1571">
        <f t="shared" ca="1" si="989"/>
        <v>0</v>
      </c>
      <c r="CT86" s="1571">
        <f t="shared" ca="1" si="990"/>
        <v>0</v>
      </c>
      <c r="CU86" s="1571">
        <f t="shared" ca="1" si="991"/>
        <v>0</v>
      </c>
      <c r="CV86" s="1571">
        <f t="shared" ca="1" si="992"/>
        <v>0</v>
      </c>
      <c r="CW86" s="1571">
        <f t="shared" ca="1" si="993"/>
        <v>0</v>
      </c>
      <c r="CX86" s="1571">
        <f t="shared" ca="1" si="994"/>
        <v>0</v>
      </c>
      <c r="CY86" s="1571">
        <f t="shared" ca="1" si="995"/>
        <v>0</v>
      </c>
      <c r="CZ86" s="78"/>
      <c r="DA86" s="1572">
        <f t="shared" si="996"/>
        <v>0</v>
      </c>
      <c r="DB86" s="1572">
        <f t="shared" si="996"/>
        <v>0</v>
      </c>
      <c r="DC86" s="1572">
        <f t="shared" si="996"/>
        <v>0</v>
      </c>
      <c r="DD86" s="1572">
        <f t="shared" si="996"/>
        <v>0</v>
      </c>
      <c r="DE86" s="1572">
        <f t="shared" si="996"/>
        <v>0</v>
      </c>
      <c r="DF86" s="1572">
        <f t="shared" si="996"/>
        <v>0</v>
      </c>
      <c r="DG86" s="1572">
        <f t="shared" si="996"/>
        <v>0</v>
      </c>
      <c r="DH86" s="1572">
        <f t="shared" si="996"/>
        <v>0</v>
      </c>
      <c r="DI86" s="1572">
        <f t="shared" si="996"/>
        <v>0</v>
      </c>
      <c r="DJ86" s="1572">
        <f t="shared" si="996"/>
        <v>0</v>
      </c>
      <c r="DK86" s="1572">
        <f t="shared" si="996"/>
        <v>0</v>
      </c>
      <c r="DL86" s="1572">
        <f t="shared" si="996"/>
        <v>0</v>
      </c>
      <c r="DM86" s="1572">
        <f t="shared" si="996"/>
        <v>0</v>
      </c>
      <c r="DN86" s="1572">
        <f t="shared" si="996"/>
        <v>0</v>
      </c>
      <c r="DO86" s="1572">
        <f t="shared" si="996"/>
        <v>0</v>
      </c>
      <c r="DP86" s="1572">
        <f t="shared" si="996"/>
        <v>0</v>
      </c>
      <c r="DQ86" s="1572">
        <f t="shared" si="997"/>
        <v>0</v>
      </c>
      <c r="DR86" s="1572">
        <f t="shared" si="997"/>
        <v>0</v>
      </c>
      <c r="DS86" s="1572">
        <f t="shared" si="997"/>
        <v>0</v>
      </c>
      <c r="DT86" s="1572">
        <f t="shared" si="997"/>
        <v>0</v>
      </c>
      <c r="DU86" s="1572">
        <f t="shared" si="997"/>
        <v>0</v>
      </c>
      <c r="DV86" s="1572">
        <f t="shared" si="997"/>
        <v>0</v>
      </c>
      <c r="DW86" s="1572">
        <f t="shared" si="997"/>
        <v>0</v>
      </c>
      <c r="DX86" s="1572">
        <f t="shared" si="997"/>
        <v>0</v>
      </c>
      <c r="DY86" s="1572"/>
      <c r="DZ86" s="1572"/>
      <c r="EA86" s="1572"/>
      <c r="EB86" s="1572"/>
      <c r="EC86" s="1572"/>
      <c r="ED86" s="1572">
        <f t="shared" si="998"/>
        <v>0</v>
      </c>
      <c r="EE86" s="79"/>
      <c r="EF86" s="1572">
        <f t="shared" ca="1" si="999"/>
        <v>0</v>
      </c>
      <c r="EG86" s="1572">
        <f t="shared" ca="1" si="999"/>
        <v>0</v>
      </c>
      <c r="EH86" s="1572">
        <f t="shared" ca="1" si="999"/>
        <v>0</v>
      </c>
      <c r="EI86" s="1572">
        <f t="shared" ca="1" si="999"/>
        <v>0</v>
      </c>
      <c r="EJ86" s="1572">
        <f t="shared" ca="1" si="999"/>
        <v>0</v>
      </c>
      <c r="EK86" s="1572">
        <f t="shared" ca="1" si="999"/>
        <v>0</v>
      </c>
      <c r="EL86" s="1572">
        <f t="shared" ca="1" si="999"/>
        <v>0</v>
      </c>
      <c r="EM86" s="1572">
        <f t="shared" ca="1" si="999"/>
        <v>0</v>
      </c>
      <c r="EN86" s="1572">
        <f t="shared" ca="1" si="999"/>
        <v>0</v>
      </c>
      <c r="EO86" s="1572">
        <f t="shared" ca="1" si="999"/>
        <v>0</v>
      </c>
      <c r="EP86" s="1572">
        <f t="shared" ca="1" si="999"/>
        <v>0</v>
      </c>
      <c r="EQ86" s="1572">
        <f t="shared" ca="1" si="999"/>
        <v>0</v>
      </c>
      <c r="ER86" s="1572">
        <f t="shared" ca="1" si="999"/>
        <v>0</v>
      </c>
      <c r="ES86" s="1572">
        <f t="shared" ca="1" si="999"/>
        <v>0</v>
      </c>
      <c r="ET86" s="1572">
        <f t="shared" ca="1" si="999"/>
        <v>0</v>
      </c>
      <c r="EU86" s="1572">
        <f t="shared" ca="1" si="999"/>
        <v>0</v>
      </c>
      <c r="EV86" s="1572">
        <f t="shared" ca="1" si="1000"/>
        <v>0</v>
      </c>
      <c r="EW86" s="1572">
        <f t="shared" ca="1" si="1001"/>
        <v>0</v>
      </c>
      <c r="EX86" s="1572">
        <f t="shared" ca="1" si="1002"/>
        <v>0</v>
      </c>
      <c r="EY86" s="1572">
        <f t="shared" ca="1" si="1003"/>
        <v>0</v>
      </c>
      <c r="EZ86" s="1572">
        <f t="shared" ca="1" si="1004"/>
        <v>0</v>
      </c>
      <c r="FA86" s="1572">
        <f t="shared" ca="1" si="1005"/>
        <v>0</v>
      </c>
      <c r="FB86" s="1572">
        <f t="shared" ca="1" si="1006"/>
        <v>0</v>
      </c>
      <c r="FC86" s="1572">
        <f t="shared" ca="1" si="1007"/>
        <v>0</v>
      </c>
      <c r="FD86" s="1572">
        <f t="shared" ca="1" si="1008"/>
        <v>0</v>
      </c>
      <c r="FE86" s="1572">
        <f t="shared" ca="1" si="1009"/>
        <v>0</v>
      </c>
      <c r="FF86" s="1572">
        <f t="shared" ca="1" si="1010"/>
        <v>0</v>
      </c>
      <c r="FG86" s="1572">
        <f t="shared" ca="1" si="1011"/>
        <v>0</v>
      </c>
      <c r="FH86" s="1572">
        <f t="shared" ca="1" si="1012"/>
        <v>0</v>
      </c>
      <c r="FI86" s="1572">
        <f t="shared" ca="1" si="1013"/>
        <v>0</v>
      </c>
    </row>
    <row r="87" spans="1:165" ht="15.95" customHeight="1">
      <c r="A87" s="595"/>
      <c r="B87" s="598"/>
      <c r="C87" s="599"/>
      <c r="F87" s="1440" t="s">
        <v>1678</v>
      </c>
      <c r="G87" s="1609" t="s">
        <v>1718</v>
      </c>
      <c r="H87" s="1569">
        <f>'Sistemas - Cotações'!F57</f>
        <v>0</v>
      </c>
      <c r="I87" s="1569">
        <f t="shared" si="1014"/>
        <v>0</v>
      </c>
      <c r="J87" s="867">
        <f>'Sistemas - Cotações'!H57</f>
        <v>30</v>
      </c>
      <c r="K87" s="76"/>
      <c r="L87" s="1479">
        <f>'Sistemas-Manutenção'!L84</f>
        <v>0</v>
      </c>
      <c r="M87" s="1479">
        <f>'Sistemas-Manutenção'!M84</f>
        <v>0</v>
      </c>
      <c r="N87" s="1479">
        <f>'Sistemas-Manutenção'!N84</f>
        <v>0</v>
      </c>
      <c r="O87" s="1479">
        <f>'Sistemas-Manutenção'!O84</f>
        <v>0</v>
      </c>
      <c r="P87" s="1479">
        <f>'Sistemas-Manutenção'!P84</f>
        <v>0</v>
      </c>
      <c r="Q87" s="1479">
        <f>'Sistemas-Manutenção'!Q84</f>
        <v>0</v>
      </c>
      <c r="R87" s="1479">
        <f>'Sistemas-Manutenção'!R84</f>
        <v>0</v>
      </c>
      <c r="S87" s="1479">
        <f>'Sistemas-Manutenção'!S84</f>
        <v>0</v>
      </c>
      <c r="T87" s="1479">
        <f>'Sistemas-Manutenção'!T84</f>
        <v>0</v>
      </c>
      <c r="U87" s="1479">
        <f>'Sistemas-Manutenção'!U84</f>
        <v>0</v>
      </c>
      <c r="V87" s="1479">
        <f>'Sistemas-Manutenção'!V84</f>
        <v>0</v>
      </c>
      <c r="W87" s="1479">
        <f>'Sistemas-Manutenção'!W84</f>
        <v>0</v>
      </c>
      <c r="X87" s="1479">
        <f>'Sistemas-Manutenção'!X84</f>
        <v>0</v>
      </c>
      <c r="Y87" s="1479">
        <f>'Sistemas-Manutenção'!Y84</f>
        <v>0</v>
      </c>
      <c r="Z87" s="1479">
        <f>'Sistemas-Manutenção'!Z84</f>
        <v>0</v>
      </c>
      <c r="AA87" s="1479">
        <f>'Sistemas-Manutenção'!AA84</f>
        <v>0</v>
      </c>
      <c r="AB87" s="1479">
        <f>'Sistemas-Manutenção'!AB84</f>
        <v>0</v>
      </c>
      <c r="AC87" s="1479">
        <f>'Sistemas-Manutenção'!AC84</f>
        <v>0</v>
      </c>
      <c r="AD87" s="1479">
        <f>'Sistemas-Manutenção'!AD84</f>
        <v>0</v>
      </c>
      <c r="AE87" s="1479">
        <f>'Sistemas-Manutenção'!AE84</f>
        <v>0</v>
      </c>
      <c r="AF87" s="1479">
        <f>'Sistemas-Manutenção'!AF84</f>
        <v>0</v>
      </c>
      <c r="AG87" s="1479">
        <f>'Sistemas-Manutenção'!AG84</f>
        <v>0</v>
      </c>
      <c r="AH87" s="1479">
        <f>'Sistemas-Manutenção'!AH84</f>
        <v>0</v>
      </c>
      <c r="AI87" s="1479">
        <f>'Sistemas-Manutenção'!AI84</f>
        <v>0</v>
      </c>
      <c r="AJ87" s="1479">
        <f>'Sistemas-Manutenção'!AJ84</f>
        <v>0</v>
      </c>
      <c r="AK87" s="1479">
        <f>'Sistemas-Manutenção'!AK84</f>
        <v>0</v>
      </c>
      <c r="AL87" s="1479">
        <f>'Sistemas-Manutenção'!AL84</f>
        <v>0</v>
      </c>
      <c r="AM87" s="1479">
        <f>'Sistemas-Manutenção'!AM84</f>
        <v>0</v>
      </c>
      <c r="AN87" s="1479">
        <f>'Sistemas-Manutenção'!AN84</f>
        <v>0</v>
      </c>
      <c r="AO87" s="1479">
        <f>'Sistemas-Manutenção'!AO84</f>
        <v>0</v>
      </c>
      <c r="AP87" s="77"/>
      <c r="AQ87" s="1479">
        <f t="shared" si="956"/>
        <v>0</v>
      </c>
      <c r="AR87" s="1479">
        <f t="shared" si="956"/>
        <v>0</v>
      </c>
      <c r="AS87" s="1479">
        <f t="shared" si="956"/>
        <v>0</v>
      </c>
      <c r="AT87" s="1479">
        <f t="shared" si="956"/>
        <v>0</v>
      </c>
      <c r="AU87" s="1479">
        <f t="shared" si="956"/>
        <v>0</v>
      </c>
      <c r="AV87" s="1479">
        <f t="shared" si="956"/>
        <v>0</v>
      </c>
      <c r="AW87" s="1479">
        <f t="shared" si="956"/>
        <v>0</v>
      </c>
      <c r="AX87" s="1479">
        <f t="shared" si="956"/>
        <v>0</v>
      </c>
      <c r="AY87" s="1479">
        <f t="shared" si="956"/>
        <v>0</v>
      </c>
      <c r="AZ87" s="1479">
        <f t="shared" si="956"/>
        <v>0</v>
      </c>
      <c r="BA87" s="1479">
        <f t="shared" si="1015"/>
        <v>0</v>
      </c>
      <c r="BB87" s="1479">
        <f t="shared" si="1015"/>
        <v>0</v>
      </c>
      <c r="BC87" s="1479">
        <f t="shared" si="1015"/>
        <v>0</v>
      </c>
      <c r="BD87" s="1479">
        <f t="shared" si="1015"/>
        <v>0</v>
      </c>
      <c r="BE87" s="1479">
        <f t="shared" si="1015"/>
        <v>0</v>
      </c>
      <c r="BF87" s="1479">
        <f t="shared" si="1015"/>
        <v>0</v>
      </c>
      <c r="BG87" s="1479">
        <f t="shared" si="957"/>
        <v>0</v>
      </c>
      <c r="BH87" s="1479">
        <f t="shared" si="958"/>
        <v>0</v>
      </c>
      <c r="BI87" s="1479">
        <f t="shared" si="959"/>
        <v>0</v>
      </c>
      <c r="BJ87" s="1479">
        <f t="shared" si="960"/>
        <v>0</v>
      </c>
      <c r="BK87" s="1479">
        <f t="shared" si="961"/>
        <v>0</v>
      </c>
      <c r="BL87" s="1479">
        <f t="shared" si="962"/>
        <v>0</v>
      </c>
      <c r="BM87" s="1479">
        <f t="shared" si="963"/>
        <v>0</v>
      </c>
      <c r="BN87" s="1479">
        <f t="shared" si="964"/>
        <v>0</v>
      </c>
      <c r="BO87" s="1479"/>
      <c r="BP87" s="1479"/>
      <c r="BQ87" s="1479"/>
      <c r="BR87" s="1479"/>
      <c r="BS87" s="1479"/>
      <c r="BT87" s="1479">
        <f t="shared" si="965"/>
        <v>0</v>
      </c>
      <c r="BU87" s="77"/>
      <c r="BV87" s="1571">
        <f t="shared" ca="1" si="966"/>
        <v>0</v>
      </c>
      <c r="BW87" s="1571">
        <f t="shared" ca="1" si="967"/>
        <v>0</v>
      </c>
      <c r="BX87" s="1571">
        <f t="shared" ca="1" si="968"/>
        <v>0</v>
      </c>
      <c r="BY87" s="1571">
        <f t="shared" ca="1" si="969"/>
        <v>0</v>
      </c>
      <c r="BZ87" s="1571">
        <f t="shared" ca="1" si="970"/>
        <v>0</v>
      </c>
      <c r="CA87" s="1571">
        <f t="shared" ca="1" si="971"/>
        <v>0</v>
      </c>
      <c r="CB87" s="1571">
        <f t="shared" ca="1" si="972"/>
        <v>0</v>
      </c>
      <c r="CC87" s="1571">
        <f t="shared" ca="1" si="973"/>
        <v>0</v>
      </c>
      <c r="CD87" s="1571">
        <f t="shared" ca="1" si="974"/>
        <v>0</v>
      </c>
      <c r="CE87" s="1571">
        <f t="shared" ca="1" si="975"/>
        <v>0</v>
      </c>
      <c r="CF87" s="1571">
        <f t="shared" ca="1" si="976"/>
        <v>0</v>
      </c>
      <c r="CG87" s="1571">
        <f t="shared" ca="1" si="977"/>
        <v>0</v>
      </c>
      <c r="CH87" s="1571">
        <f t="shared" ca="1" si="978"/>
        <v>0</v>
      </c>
      <c r="CI87" s="1571">
        <f t="shared" ca="1" si="979"/>
        <v>0</v>
      </c>
      <c r="CJ87" s="1571">
        <f t="shared" ca="1" si="980"/>
        <v>0</v>
      </c>
      <c r="CK87" s="1571">
        <f t="shared" ca="1" si="981"/>
        <v>0</v>
      </c>
      <c r="CL87" s="1571">
        <f t="shared" ca="1" si="982"/>
        <v>0</v>
      </c>
      <c r="CM87" s="1571">
        <f t="shared" ca="1" si="983"/>
        <v>0</v>
      </c>
      <c r="CN87" s="1571">
        <f t="shared" ca="1" si="984"/>
        <v>0</v>
      </c>
      <c r="CO87" s="1571">
        <f t="shared" ca="1" si="985"/>
        <v>0</v>
      </c>
      <c r="CP87" s="1571">
        <f t="shared" ca="1" si="986"/>
        <v>0</v>
      </c>
      <c r="CQ87" s="1571">
        <f t="shared" ca="1" si="987"/>
        <v>0</v>
      </c>
      <c r="CR87" s="1571">
        <f t="shared" ca="1" si="988"/>
        <v>0</v>
      </c>
      <c r="CS87" s="1571">
        <f t="shared" ca="1" si="989"/>
        <v>0</v>
      </c>
      <c r="CT87" s="1571">
        <f t="shared" ca="1" si="990"/>
        <v>0</v>
      </c>
      <c r="CU87" s="1571">
        <f t="shared" ca="1" si="991"/>
        <v>0</v>
      </c>
      <c r="CV87" s="1571">
        <f t="shared" ca="1" si="992"/>
        <v>0</v>
      </c>
      <c r="CW87" s="1571">
        <f t="shared" ca="1" si="993"/>
        <v>0</v>
      </c>
      <c r="CX87" s="1571">
        <f t="shared" ca="1" si="994"/>
        <v>0</v>
      </c>
      <c r="CY87" s="1571">
        <f t="shared" ca="1" si="995"/>
        <v>0</v>
      </c>
      <c r="CZ87" s="78"/>
      <c r="DA87" s="1572">
        <f t="shared" si="996"/>
        <v>0</v>
      </c>
      <c r="DB87" s="1572">
        <f t="shared" si="996"/>
        <v>0</v>
      </c>
      <c r="DC87" s="1572">
        <f t="shared" si="996"/>
        <v>0</v>
      </c>
      <c r="DD87" s="1572">
        <f t="shared" si="996"/>
        <v>0</v>
      </c>
      <c r="DE87" s="1572">
        <f t="shared" si="996"/>
        <v>0</v>
      </c>
      <c r="DF87" s="1572">
        <f t="shared" si="996"/>
        <v>0</v>
      </c>
      <c r="DG87" s="1572">
        <f t="shared" si="996"/>
        <v>0</v>
      </c>
      <c r="DH87" s="1572">
        <f t="shared" si="996"/>
        <v>0</v>
      </c>
      <c r="DI87" s="1572">
        <f t="shared" si="996"/>
        <v>0</v>
      </c>
      <c r="DJ87" s="1572">
        <f t="shared" si="996"/>
        <v>0</v>
      </c>
      <c r="DK87" s="1572">
        <f t="shared" si="996"/>
        <v>0</v>
      </c>
      <c r="DL87" s="1572">
        <f t="shared" si="996"/>
        <v>0</v>
      </c>
      <c r="DM87" s="1572">
        <f t="shared" si="996"/>
        <v>0</v>
      </c>
      <c r="DN87" s="1572">
        <f t="shared" si="996"/>
        <v>0</v>
      </c>
      <c r="DO87" s="1572">
        <f t="shared" si="996"/>
        <v>0</v>
      </c>
      <c r="DP87" s="1572">
        <f t="shared" si="996"/>
        <v>0</v>
      </c>
      <c r="DQ87" s="1572">
        <f t="shared" si="997"/>
        <v>0</v>
      </c>
      <c r="DR87" s="1572">
        <f t="shared" si="997"/>
        <v>0</v>
      </c>
      <c r="DS87" s="1572">
        <f t="shared" si="997"/>
        <v>0</v>
      </c>
      <c r="DT87" s="1572">
        <f t="shared" si="997"/>
        <v>0</v>
      </c>
      <c r="DU87" s="1572">
        <f t="shared" si="997"/>
        <v>0</v>
      </c>
      <c r="DV87" s="1572">
        <f t="shared" si="997"/>
        <v>0</v>
      </c>
      <c r="DW87" s="1572">
        <f t="shared" si="997"/>
        <v>0</v>
      </c>
      <c r="DX87" s="1572">
        <f t="shared" si="997"/>
        <v>0</v>
      </c>
      <c r="DY87" s="1572"/>
      <c r="DZ87" s="1572"/>
      <c r="EA87" s="1572"/>
      <c r="EB87" s="1572"/>
      <c r="EC87" s="1572"/>
      <c r="ED87" s="1572">
        <f t="shared" si="998"/>
        <v>0</v>
      </c>
      <c r="EE87" s="79"/>
      <c r="EF87" s="1572">
        <f t="shared" ca="1" si="999"/>
        <v>0</v>
      </c>
      <c r="EG87" s="1572">
        <f t="shared" ca="1" si="999"/>
        <v>0</v>
      </c>
      <c r="EH87" s="1572">
        <f t="shared" ca="1" si="999"/>
        <v>0</v>
      </c>
      <c r="EI87" s="1572">
        <f t="shared" ca="1" si="999"/>
        <v>0</v>
      </c>
      <c r="EJ87" s="1572">
        <f t="shared" ca="1" si="999"/>
        <v>0</v>
      </c>
      <c r="EK87" s="1572">
        <f t="shared" ca="1" si="999"/>
        <v>0</v>
      </c>
      <c r="EL87" s="1572">
        <f t="shared" ca="1" si="999"/>
        <v>0</v>
      </c>
      <c r="EM87" s="1572">
        <f t="shared" ca="1" si="999"/>
        <v>0</v>
      </c>
      <c r="EN87" s="1572">
        <f t="shared" ca="1" si="999"/>
        <v>0</v>
      </c>
      <c r="EO87" s="1572">
        <f t="shared" ca="1" si="999"/>
        <v>0</v>
      </c>
      <c r="EP87" s="1572">
        <f t="shared" ca="1" si="999"/>
        <v>0</v>
      </c>
      <c r="EQ87" s="1572">
        <f t="shared" ca="1" si="999"/>
        <v>0</v>
      </c>
      <c r="ER87" s="1572">
        <f t="shared" ca="1" si="999"/>
        <v>0</v>
      </c>
      <c r="ES87" s="1572">
        <f t="shared" ca="1" si="999"/>
        <v>0</v>
      </c>
      <c r="ET87" s="1572">
        <f t="shared" ca="1" si="999"/>
        <v>0</v>
      </c>
      <c r="EU87" s="1572">
        <f t="shared" ca="1" si="999"/>
        <v>0</v>
      </c>
      <c r="EV87" s="1572">
        <f t="shared" ca="1" si="1000"/>
        <v>0</v>
      </c>
      <c r="EW87" s="1572">
        <f t="shared" ca="1" si="1001"/>
        <v>0</v>
      </c>
      <c r="EX87" s="1572">
        <f t="shared" ca="1" si="1002"/>
        <v>0</v>
      </c>
      <c r="EY87" s="1572">
        <f t="shared" ca="1" si="1003"/>
        <v>0</v>
      </c>
      <c r="EZ87" s="1572">
        <f t="shared" ca="1" si="1004"/>
        <v>0</v>
      </c>
      <c r="FA87" s="1572">
        <f t="shared" ca="1" si="1005"/>
        <v>0</v>
      </c>
      <c r="FB87" s="1572">
        <f t="shared" ca="1" si="1006"/>
        <v>0</v>
      </c>
      <c r="FC87" s="1572">
        <f t="shared" ca="1" si="1007"/>
        <v>0</v>
      </c>
      <c r="FD87" s="1572">
        <f t="shared" ca="1" si="1008"/>
        <v>0</v>
      </c>
      <c r="FE87" s="1572">
        <f t="shared" ca="1" si="1009"/>
        <v>0</v>
      </c>
      <c r="FF87" s="1572">
        <f t="shared" ca="1" si="1010"/>
        <v>0</v>
      </c>
      <c r="FG87" s="1572">
        <f t="shared" ca="1" si="1011"/>
        <v>0</v>
      </c>
      <c r="FH87" s="1572">
        <f t="shared" ca="1" si="1012"/>
        <v>0</v>
      </c>
      <c r="FI87" s="1572">
        <f t="shared" ca="1" si="1013"/>
        <v>0</v>
      </c>
    </row>
    <row r="88" spans="1:165" s="88" customFormat="1" ht="15.95" customHeight="1">
      <c r="A88" s="595"/>
      <c r="B88" s="598"/>
      <c r="C88" s="599"/>
      <c r="D88" s="68"/>
      <c r="E88" s="68"/>
      <c r="F88" s="1440" t="s">
        <v>1679</v>
      </c>
      <c r="G88" s="1609" t="s">
        <v>1718</v>
      </c>
      <c r="H88" s="1569">
        <f>'Sistemas - Cotações'!F58</f>
        <v>0</v>
      </c>
      <c r="I88" s="1569">
        <f t="shared" si="1014"/>
        <v>0</v>
      </c>
      <c r="J88" s="867">
        <f>'Sistemas - Cotações'!H58</f>
        <v>30</v>
      </c>
      <c r="K88" s="76"/>
      <c r="L88" s="1479">
        <f>'Sistemas-Manutenção'!L85</f>
        <v>0</v>
      </c>
      <c r="M88" s="1479">
        <f>'Sistemas-Manutenção'!M85</f>
        <v>0</v>
      </c>
      <c r="N88" s="1479">
        <f>'Sistemas-Manutenção'!N85</f>
        <v>0</v>
      </c>
      <c r="O88" s="1479">
        <f>'Sistemas-Manutenção'!O85</f>
        <v>0</v>
      </c>
      <c r="P88" s="1479">
        <f>'Sistemas-Manutenção'!P85</f>
        <v>0</v>
      </c>
      <c r="Q88" s="1479">
        <f>'Sistemas-Manutenção'!Q85</f>
        <v>0</v>
      </c>
      <c r="R88" s="1479">
        <f>'Sistemas-Manutenção'!R85</f>
        <v>0</v>
      </c>
      <c r="S88" s="1479">
        <f>'Sistemas-Manutenção'!S85</f>
        <v>0</v>
      </c>
      <c r="T88" s="1479">
        <f>'Sistemas-Manutenção'!T85</f>
        <v>0</v>
      </c>
      <c r="U88" s="1479">
        <f>'Sistemas-Manutenção'!U85</f>
        <v>0</v>
      </c>
      <c r="V88" s="1479">
        <f>'Sistemas-Manutenção'!V85</f>
        <v>0</v>
      </c>
      <c r="W88" s="1479">
        <f>'Sistemas-Manutenção'!W85</f>
        <v>0</v>
      </c>
      <c r="X88" s="1479">
        <f>'Sistemas-Manutenção'!X85</f>
        <v>0</v>
      </c>
      <c r="Y88" s="1479">
        <f>'Sistemas-Manutenção'!Y85</f>
        <v>0</v>
      </c>
      <c r="Z88" s="1479">
        <f>'Sistemas-Manutenção'!Z85</f>
        <v>0</v>
      </c>
      <c r="AA88" s="1479">
        <f>'Sistemas-Manutenção'!AA85</f>
        <v>0</v>
      </c>
      <c r="AB88" s="1479">
        <f>'Sistemas-Manutenção'!AB85</f>
        <v>0</v>
      </c>
      <c r="AC88" s="1479">
        <f>'Sistemas-Manutenção'!AC85</f>
        <v>0</v>
      </c>
      <c r="AD88" s="1479">
        <f>'Sistemas-Manutenção'!AD85</f>
        <v>0</v>
      </c>
      <c r="AE88" s="1479">
        <f>'Sistemas-Manutenção'!AE85</f>
        <v>0</v>
      </c>
      <c r="AF88" s="1479">
        <f>'Sistemas-Manutenção'!AF85</f>
        <v>0</v>
      </c>
      <c r="AG88" s="1479">
        <f>'Sistemas-Manutenção'!AG85</f>
        <v>0</v>
      </c>
      <c r="AH88" s="1479">
        <f>'Sistemas-Manutenção'!AH85</f>
        <v>0</v>
      </c>
      <c r="AI88" s="1479">
        <f>'Sistemas-Manutenção'!AI85</f>
        <v>0</v>
      </c>
      <c r="AJ88" s="1479">
        <f>'Sistemas-Manutenção'!AJ85</f>
        <v>0</v>
      </c>
      <c r="AK88" s="1479">
        <f>'Sistemas-Manutenção'!AK85</f>
        <v>0</v>
      </c>
      <c r="AL88" s="1479">
        <f>'Sistemas-Manutenção'!AL85</f>
        <v>0</v>
      </c>
      <c r="AM88" s="1479">
        <f>'Sistemas-Manutenção'!AM85</f>
        <v>0</v>
      </c>
      <c r="AN88" s="1479">
        <f>'Sistemas-Manutenção'!AN85</f>
        <v>0</v>
      </c>
      <c r="AO88" s="1479">
        <f>'Sistemas-Manutenção'!AO85</f>
        <v>0</v>
      </c>
      <c r="AP88" s="77"/>
      <c r="AQ88" s="1479">
        <f t="shared" si="956"/>
        <v>0</v>
      </c>
      <c r="AR88" s="1479">
        <f t="shared" si="956"/>
        <v>0</v>
      </c>
      <c r="AS88" s="1479">
        <f t="shared" si="956"/>
        <v>0</v>
      </c>
      <c r="AT88" s="1479">
        <f t="shared" si="956"/>
        <v>0</v>
      </c>
      <c r="AU88" s="1479">
        <f t="shared" si="956"/>
        <v>0</v>
      </c>
      <c r="AV88" s="1479">
        <f t="shared" si="956"/>
        <v>0</v>
      </c>
      <c r="AW88" s="1479">
        <f t="shared" si="956"/>
        <v>0</v>
      </c>
      <c r="AX88" s="1479">
        <f t="shared" si="956"/>
        <v>0</v>
      </c>
      <c r="AY88" s="1479">
        <f t="shared" si="956"/>
        <v>0</v>
      </c>
      <c r="AZ88" s="1479">
        <f t="shared" si="956"/>
        <v>0</v>
      </c>
      <c r="BA88" s="1479">
        <f t="shared" si="1015"/>
        <v>0</v>
      </c>
      <c r="BB88" s="1479">
        <f t="shared" si="1015"/>
        <v>0</v>
      </c>
      <c r="BC88" s="1479">
        <f t="shared" si="1015"/>
        <v>0</v>
      </c>
      <c r="BD88" s="1479">
        <f t="shared" si="1015"/>
        <v>0</v>
      </c>
      <c r="BE88" s="1479">
        <f t="shared" si="1015"/>
        <v>0</v>
      </c>
      <c r="BF88" s="1479">
        <f t="shared" si="1015"/>
        <v>0</v>
      </c>
      <c r="BG88" s="1479">
        <f t="shared" si="957"/>
        <v>0</v>
      </c>
      <c r="BH88" s="1479">
        <f t="shared" si="958"/>
        <v>0</v>
      </c>
      <c r="BI88" s="1479">
        <f t="shared" si="959"/>
        <v>0</v>
      </c>
      <c r="BJ88" s="1479">
        <f t="shared" si="960"/>
        <v>0</v>
      </c>
      <c r="BK88" s="1479">
        <f t="shared" si="961"/>
        <v>0</v>
      </c>
      <c r="BL88" s="1479">
        <f t="shared" si="962"/>
        <v>0</v>
      </c>
      <c r="BM88" s="1479">
        <f t="shared" si="963"/>
        <v>0</v>
      </c>
      <c r="BN88" s="1479">
        <f t="shared" si="964"/>
        <v>0</v>
      </c>
      <c r="BO88" s="1479"/>
      <c r="BP88" s="1479"/>
      <c r="BQ88" s="1479"/>
      <c r="BR88" s="1479"/>
      <c r="BS88" s="1479"/>
      <c r="BT88" s="1479">
        <f t="shared" si="965"/>
        <v>0</v>
      </c>
      <c r="BU88" s="77"/>
      <c r="BV88" s="1571">
        <f t="shared" ca="1" si="966"/>
        <v>0</v>
      </c>
      <c r="BW88" s="1571">
        <f t="shared" ca="1" si="967"/>
        <v>0</v>
      </c>
      <c r="BX88" s="1571">
        <f t="shared" ca="1" si="968"/>
        <v>0</v>
      </c>
      <c r="BY88" s="1571">
        <f t="shared" ca="1" si="969"/>
        <v>0</v>
      </c>
      <c r="BZ88" s="1571">
        <f t="shared" ca="1" si="970"/>
        <v>0</v>
      </c>
      <c r="CA88" s="1571">
        <f t="shared" ca="1" si="971"/>
        <v>0</v>
      </c>
      <c r="CB88" s="1571">
        <f t="shared" ca="1" si="972"/>
        <v>0</v>
      </c>
      <c r="CC88" s="1571">
        <f t="shared" ca="1" si="973"/>
        <v>0</v>
      </c>
      <c r="CD88" s="1571">
        <f t="shared" ca="1" si="974"/>
        <v>0</v>
      </c>
      <c r="CE88" s="1571">
        <f t="shared" ca="1" si="975"/>
        <v>0</v>
      </c>
      <c r="CF88" s="1571">
        <f t="shared" ca="1" si="976"/>
        <v>0</v>
      </c>
      <c r="CG88" s="1571">
        <f t="shared" ca="1" si="977"/>
        <v>0</v>
      </c>
      <c r="CH88" s="1571">
        <f t="shared" ca="1" si="978"/>
        <v>0</v>
      </c>
      <c r="CI88" s="1571">
        <f t="shared" ca="1" si="979"/>
        <v>0</v>
      </c>
      <c r="CJ88" s="1571">
        <f t="shared" ca="1" si="980"/>
        <v>0</v>
      </c>
      <c r="CK88" s="1571">
        <f t="shared" ca="1" si="981"/>
        <v>0</v>
      </c>
      <c r="CL88" s="1571">
        <f t="shared" ca="1" si="982"/>
        <v>0</v>
      </c>
      <c r="CM88" s="1571">
        <f t="shared" ca="1" si="983"/>
        <v>0</v>
      </c>
      <c r="CN88" s="1571">
        <f t="shared" ca="1" si="984"/>
        <v>0</v>
      </c>
      <c r="CO88" s="1571">
        <f t="shared" ca="1" si="985"/>
        <v>0</v>
      </c>
      <c r="CP88" s="1571">
        <f t="shared" ca="1" si="986"/>
        <v>0</v>
      </c>
      <c r="CQ88" s="1571">
        <f t="shared" ca="1" si="987"/>
        <v>0</v>
      </c>
      <c r="CR88" s="1571">
        <f t="shared" ca="1" si="988"/>
        <v>0</v>
      </c>
      <c r="CS88" s="1571">
        <f t="shared" ca="1" si="989"/>
        <v>0</v>
      </c>
      <c r="CT88" s="1571">
        <f t="shared" ca="1" si="990"/>
        <v>0</v>
      </c>
      <c r="CU88" s="1571">
        <f t="shared" ca="1" si="991"/>
        <v>0</v>
      </c>
      <c r="CV88" s="1571">
        <f t="shared" ca="1" si="992"/>
        <v>0</v>
      </c>
      <c r="CW88" s="1571">
        <f t="shared" ca="1" si="993"/>
        <v>0</v>
      </c>
      <c r="CX88" s="1571">
        <f t="shared" ca="1" si="994"/>
        <v>0</v>
      </c>
      <c r="CY88" s="1571">
        <f t="shared" ca="1" si="995"/>
        <v>0</v>
      </c>
      <c r="CZ88" s="78"/>
      <c r="DA88" s="1572">
        <f t="shared" si="996"/>
        <v>0</v>
      </c>
      <c r="DB88" s="1572">
        <f t="shared" si="996"/>
        <v>0</v>
      </c>
      <c r="DC88" s="1572">
        <f t="shared" si="996"/>
        <v>0</v>
      </c>
      <c r="DD88" s="1572">
        <f t="shared" si="996"/>
        <v>0</v>
      </c>
      <c r="DE88" s="1572">
        <f t="shared" si="996"/>
        <v>0</v>
      </c>
      <c r="DF88" s="1572">
        <f t="shared" si="996"/>
        <v>0</v>
      </c>
      <c r="DG88" s="1572">
        <f t="shared" si="996"/>
        <v>0</v>
      </c>
      <c r="DH88" s="1572">
        <f t="shared" si="996"/>
        <v>0</v>
      </c>
      <c r="DI88" s="1572">
        <f t="shared" si="996"/>
        <v>0</v>
      </c>
      <c r="DJ88" s="1572">
        <f t="shared" si="996"/>
        <v>0</v>
      </c>
      <c r="DK88" s="1572">
        <f t="shared" si="996"/>
        <v>0</v>
      </c>
      <c r="DL88" s="1572">
        <f t="shared" si="996"/>
        <v>0</v>
      </c>
      <c r="DM88" s="1572">
        <f t="shared" si="996"/>
        <v>0</v>
      </c>
      <c r="DN88" s="1572">
        <f t="shared" si="996"/>
        <v>0</v>
      </c>
      <c r="DO88" s="1572">
        <f t="shared" si="996"/>
        <v>0</v>
      </c>
      <c r="DP88" s="1572">
        <f t="shared" si="996"/>
        <v>0</v>
      </c>
      <c r="DQ88" s="1572">
        <f t="shared" si="997"/>
        <v>0</v>
      </c>
      <c r="DR88" s="1572">
        <f t="shared" si="997"/>
        <v>0</v>
      </c>
      <c r="DS88" s="1572">
        <f t="shared" si="997"/>
        <v>0</v>
      </c>
      <c r="DT88" s="1572">
        <f t="shared" si="997"/>
        <v>0</v>
      </c>
      <c r="DU88" s="1572">
        <f t="shared" si="997"/>
        <v>0</v>
      </c>
      <c r="DV88" s="1572">
        <f t="shared" si="997"/>
        <v>0</v>
      </c>
      <c r="DW88" s="1572">
        <f t="shared" si="997"/>
        <v>0</v>
      </c>
      <c r="DX88" s="1572">
        <f t="shared" si="997"/>
        <v>0</v>
      </c>
      <c r="DY88" s="1572"/>
      <c r="DZ88" s="1572"/>
      <c r="EA88" s="1572"/>
      <c r="EB88" s="1572"/>
      <c r="EC88" s="1572"/>
      <c r="ED88" s="1572">
        <f t="shared" si="998"/>
        <v>0</v>
      </c>
      <c r="EE88" s="79"/>
      <c r="EF88" s="1572">
        <f t="shared" ca="1" si="999"/>
        <v>0</v>
      </c>
      <c r="EG88" s="1572">
        <f t="shared" ca="1" si="999"/>
        <v>0</v>
      </c>
      <c r="EH88" s="1572">
        <f t="shared" ca="1" si="999"/>
        <v>0</v>
      </c>
      <c r="EI88" s="1572">
        <f t="shared" ca="1" si="999"/>
        <v>0</v>
      </c>
      <c r="EJ88" s="1572">
        <f t="shared" ca="1" si="999"/>
        <v>0</v>
      </c>
      <c r="EK88" s="1572">
        <f t="shared" ca="1" si="999"/>
        <v>0</v>
      </c>
      <c r="EL88" s="1572">
        <f t="shared" ca="1" si="999"/>
        <v>0</v>
      </c>
      <c r="EM88" s="1572">
        <f t="shared" ca="1" si="999"/>
        <v>0</v>
      </c>
      <c r="EN88" s="1572">
        <f t="shared" ca="1" si="999"/>
        <v>0</v>
      </c>
      <c r="EO88" s="1572">
        <f t="shared" ca="1" si="999"/>
        <v>0</v>
      </c>
      <c r="EP88" s="1572">
        <f t="shared" ca="1" si="999"/>
        <v>0</v>
      </c>
      <c r="EQ88" s="1572">
        <f t="shared" ca="1" si="999"/>
        <v>0</v>
      </c>
      <c r="ER88" s="1572">
        <f t="shared" ca="1" si="999"/>
        <v>0</v>
      </c>
      <c r="ES88" s="1572">
        <f t="shared" ca="1" si="999"/>
        <v>0</v>
      </c>
      <c r="ET88" s="1572">
        <f t="shared" ca="1" si="999"/>
        <v>0</v>
      </c>
      <c r="EU88" s="1572">
        <f t="shared" ca="1" si="999"/>
        <v>0</v>
      </c>
      <c r="EV88" s="1572">
        <f t="shared" ca="1" si="1000"/>
        <v>0</v>
      </c>
      <c r="EW88" s="1572">
        <f t="shared" ca="1" si="1001"/>
        <v>0</v>
      </c>
      <c r="EX88" s="1572">
        <f t="shared" ca="1" si="1002"/>
        <v>0</v>
      </c>
      <c r="EY88" s="1572">
        <f t="shared" ca="1" si="1003"/>
        <v>0</v>
      </c>
      <c r="EZ88" s="1572">
        <f t="shared" ca="1" si="1004"/>
        <v>0</v>
      </c>
      <c r="FA88" s="1572">
        <f t="shared" ca="1" si="1005"/>
        <v>0</v>
      </c>
      <c r="FB88" s="1572">
        <f t="shared" ca="1" si="1006"/>
        <v>0</v>
      </c>
      <c r="FC88" s="1572">
        <f t="shared" ca="1" si="1007"/>
        <v>0</v>
      </c>
      <c r="FD88" s="1572">
        <f t="shared" ca="1" si="1008"/>
        <v>0</v>
      </c>
      <c r="FE88" s="1572">
        <f t="shared" ca="1" si="1009"/>
        <v>0</v>
      </c>
      <c r="FF88" s="1572">
        <f t="shared" ca="1" si="1010"/>
        <v>0</v>
      </c>
      <c r="FG88" s="1572">
        <f t="shared" ca="1" si="1011"/>
        <v>0</v>
      </c>
      <c r="FH88" s="1572">
        <f t="shared" ca="1" si="1012"/>
        <v>0</v>
      </c>
      <c r="FI88" s="1572">
        <f t="shared" ca="1" si="1013"/>
        <v>0</v>
      </c>
    </row>
    <row r="89" spans="1:165" ht="15.95" customHeight="1">
      <c r="A89" s="595"/>
      <c r="B89" s="598"/>
      <c r="C89" s="599"/>
      <c r="F89" s="866" t="s">
        <v>1680</v>
      </c>
      <c r="G89" s="1609" t="s">
        <v>1718</v>
      </c>
      <c r="H89" s="1569">
        <f>'Sistemas - Cotações'!F59</f>
        <v>0</v>
      </c>
      <c r="I89" s="1569">
        <f t="shared" si="1014"/>
        <v>0</v>
      </c>
      <c r="J89" s="867">
        <f>'Sistemas - Cotações'!H59</f>
        <v>30</v>
      </c>
      <c r="K89" s="76"/>
      <c r="L89" s="1479">
        <f>'Sistemas-Manutenção'!L86</f>
        <v>0</v>
      </c>
      <c r="M89" s="1479">
        <f>'Sistemas-Manutenção'!M86</f>
        <v>0</v>
      </c>
      <c r="N89" s="1479">
        <f>'Sistemas-Manutenção'!N86</f>
        <v>0</v>
      </c>
      <c r="O89" s="1479">
        <f>'Sistemas-Manutenção'!O86</f>
        <v>0</v>
      </c>
      <c r="P89" s="1479">
        <f>'Sistemas-Manutenção'!P86</f>
        <v>0</v>
      </c>
      <c r="Q89" s="1479">
        <f>'Sistemas-Manutenção'!Q86</f>
        <v>0</v>
      </c>
      <c r="R89" s="1479">
        <f>'Sistemas-Manutenção'!R86</f>
        <v>0</v>
      </c>
      <c r="S89" s="1479">
        <f>'Sistemas-Manutenção'!S86</f>
        <v>0</v>
      </c>
      <c r="T89" s="1479">
        <f>'Sistemas-Manutenção'!T86</f>
        <v>0</v>
      </c>
      <c r="U89" s="1479">
        <f>'Sistemas-Manutenção'!U86</f>
        <v>0</v>
      </c>
      <c r="V89" s="1479">
        <f>'Sistemas-Manutenção'!V86</f>
        <v>0</v>
      </c>
      <c r="W89" s="1479">
        <f>'Sistemas-Manutenção'!W86</f>
        <v>0</v>
      </c>
      <c r="X89" s="1479">
        <f>'Sistemas-Manutenção'!X86</f>
        <v>0</v>
      </c>
      <c r="Y89" s="1479">
        <f>'Sistemas-Manutenção'!Y86</f>
        <v>0</v>
      </c>
      <c r="Z89" s="1479">
        <f>'Sistemas-Manutenção'!Z86</f>
        <v>0</v>
      </c>
      <c r="AA89" s="1479">
        <f>'Sistemas-Manutenção'!AA86</f>
        <v>0</v>
      </c>
      <c r="AB89" s="1479">
        <f>'Sistemas-Manutenção'!AB86</f>
        <v>0</v>
      </c>
      <c r="AC89" s="1479">
        <f>'Sistemas-Manutenção'!AC86</f>
        <v>0</v>
      </c>
      <c r="AD89" s="1479">
        <f>'Sistemas-Manutenção'!AD86</f>
        <v>0</v>
      </c>
      <c r="AE89" s="1479">
        <f>'Sistemas-Manutenção'!AE86</f>
        <v>0</v>
      </c>
      <c r="AF89" s="1479">
        <f>'Sistemas-Manutenção'!AF86</f>
        <v>0</v>
      </c>
      <c r="AG89" s="1479">
        <f>'Sistemas-Manutenção'!AG86</f>
        <v>0</v>
      </c>
      <c r="AH89" s="1479">
        <f>'Sistemas-Manutenção'!AH86</f>
        <v>0</v>
      </c>
      <c r="AI89" s="1479">
        <f>'Sistemas-Manutenção'!AI86</f>
        <v>0</v>
      </c>
      <c r="AJ89" s="1479">
        <f>'Sistemas-Manutenção'!AJ86</f>
        <v>0</v>
      </c>
      <c r="AK89" s="1479">
        <f>'Sistemas-Manutenção'!AK86</f>
        <v>0</v>
      </c>
      <c r="AL89" s="1479">
        <f>'Sistemas-Manutenção'!AL86</f>
        <v>0</v>
      </c>
      <c r="AM89" s="1479">
        <f>'Sistemas-Manutenção'!AM86</f>
        <v>0</v>
      </c>
      <c r="AN89" s="1479">
        <f>'Sistemas-Manutenção'!AN86</f>
        <v>0</v>
      </c>
      <c r="AO89" s="1479">
        <f>'Sistemas-Manutenção'!AO86</f>
        <v>0</v>
      </c>
      <c r="AP89" s="77"/>
      <c r="AQ89" s="1479">
        <f t="shared" si="956"/>
        <v>0</v>
      </c>
      <c r="AR89" s="1479">
        <f t="shared" si="956"/>
        <v>0</v>
      </c>
      <c r="AS89" s="1479">
        <f t="shared" si="956"/>
        <v>0</v>
      </c>
      <c r="AT89" s="1479">
        <f t="shared" si="956"/>
        <v>0</v>
      </c>
      <c r="AU89" s="1479">
        <f t="shared" si="956"/>
        <v>0</v>
      </c>
      <c r="AV89" s="1479">
        <f t="shared" si="956"/>
        <v>0</v>
      </c>
      <c r="AW89" s="1479">
        <f t="shared" si="956"/>
        <v>0</v>
      </c>
      <c r="AX89" s="1479">
        <f t="shared" si="956"/>
        <v>0</v>
      </c>
      <c r="AY89" s="1479">
        <f t="shared" si="956"/>
        <v>0</v>
      </c>
      <c r="AZ89" s="1479">
        <f t="shared" si="956"/>
        <v>0</v>
      </c>
      <c r="BA89" s="1479">
        <f t="shared" si="1015"/>
        <v>0</v>
      </c>
      <c r="BB89" s="1479">
        <f t="shared" si="1015"/>
        <v>0</v>
      </c>
      <c r="BC89" s="1479">
        <f t="shared" si="1015"/>
        <v>0</v>
      </c>
      <c r="BD89" s="1479">
        <f t="shared" si="1015"/>
        <v>0</v>
      </c>
      <c r="BE89" s="1479">
        <f t="shared" si="1015"/>
        <v>0</v>
      </c>
      <c r="BF89" s="1479">
        <f t="shared" si="1015"/>
        <v>0</v>
      </c>
      <c r="BG89" s="1479">
        <f t="shared" si="957"/>
        <v>0</v>
      </c>
      <c r="BH89" s="1479">
        <f t="shared" si="958"/>
        <v>0</v>
      </c>
      <c r="BI89" s="1479">
        <f t="shared" si="959"/>
        <v>0</v>
      </c>
      <c r="BJ89" s="1479">
        <f t="shared" si="960"/>
        <v>0</v>
      </c>
      <c r="BK89" s="1479">
        <f t="shared" si="961"/>
        <v>0</v>
      </c>
      <c r="BL89" s="1479">
        <f t="shared" si="962"/>
        <v>0</v>
      </c>
      <c r="BM89" s="1479">
        <f t="shared" si="963"/>
        <v>0</v>
      </c>
      <c r="BN89" s="1479">
        <f t="shared" si="964"/>
        <v>0</v>
      </c>
      <c r="BO89" s="1479"/>
      <c r="BP89" s="1479"/>
      <c r="BQ89" s="1479"/>
      <c r="BR89" s="1479"/>
      <c r="BS89" s="1479"/>
      <c r="BT89" s="1479">
        <f t="shared" si="965"/>
        <v>0</v>
      </c>
      <c r="BU89" s="77"/>
      <c r="BV89" s="1571">
        <f t="shared" ca="1" si="966"/>
        <v>0</v>
      </c>
      <c r="BW89" s="1571">
        <f t="shared" ca="1" si="967"/>
        <v>0</v>
      </c>
      <c r="BX89" s="1571">
        <f t="shared" ca="1" si="968"/>
        <v>0</v>
      </c>
      <c r="BY89" s="1571">
        <f t="shared" ca="1" si="969"/>
        <v>0</v>
      </c>
      <c r="BZ89" s="1571">
        <f t="shared" ca="1" si="970"/>
        <v>0</v>
      </c>
      <c r="CA89" s="1571">
        <f t="shared" ca="1" si="971"/>
        <v>0</v>
      </c>
      <c r="CB89" s="1571">
        <f t="shared" ca="1" si="972"/>
        <v>0</v>
      </c>
      <c r="CC89" s="1571">
        <f t="shared" ca="1" si="973"/>
        <v>0</v>
      </c>
      <c r="CD89" s="1571">
        <f t="shared" ca="1" si="974"/>
        <v>0</v>
      </c>
      <c r="CE89" s="1571">
        <f t="shared" ca="1" si="975"/>
        <v>0</v>
      </c>
      <c r="CF89" s="1571">
        <f t="shared" ca="1" si="976"/>
        <v>0</v>
      </c>
      <c r="CG89" s="1571">
        <f t="shared" ca="1" si="977"/>
        <v>0</v>
      </c>
      <c r="CH89" s="1571">
        <f t="shared" ca="1" si="978"/>
        <v>0</v>
      </c>
      <c r="CI89" s="1571">
        <f t="shared" ca="1" si="979"/>
        <v>0</v>
      </c>
      <c r="CJ89" s="1571">
        <f t="shared" ca="1" si="980"/>
        <v>0</v>
      </c>
      <c r="CK89" s="1571">
        <f t="shared" ca="1" si="981"/>
        <v>0</v>
      </c>
      <c r="CL89" s="1571">
        <f t="shared" ca="1" si="982"/>
        <v>0</v>
      </c>
      <c r="CM89" s="1571">
        <f t="shared" ca="1" si="983"/>
        <v>0</v>
      </c>
      <c r="CN89" s="1571">
        <f t="shared" ca="1" si="984"/>
        <v>0</v>
      </c>
      <c r="CO89" s="1571">
        <f t="shared" ca="1" si="985"/>
        <v>0</v>
      </c>
      <c r="CP89" s="1571">
        <f t="shared" ca="1" si="986"/>
        <v>0</v>
      </c>
      <c r="CQ89" s="1571">
        <f t="shared" ca="1" si="987"/>
        <v>0</v>
      </c>
      <c r="CR89" s="1571">
        <f t="shared" ca="1" si="988"/>
        <v>0</v>
      </c>
      <c r="CS89" s="1571">
        <f t="shared" ca="1" si="989"/>
        <v>0</v>
      </c>
      <c r="CT89" s="1571">
        <f t="shared" ca="1" si="990"/>
        <v>0</v>
      </c>
      <c r="CU89" s="1571">
        <f t="shared" ca="1" si="991"/>
        <v>0</v>
      </c>
      <c r="CV89" s="1571">
        <f t="shared" ca="1" si="992"/>
        <v>0</v>
      </c>
      <c r="CW89" s="1571">
        <f t="shared" ca="1" si="993"/>
        <v>0</v>
      </c>
      <c r="CX89" s="1571">
        <f t="shared" ca="1" si="994"/>
        <v>0</v>
      </c>
      <c r="CY89" s="1571">
        <f t="shared" ca="1" si="995"/>
        <v>0</v>
      </c>
      <c r="CZ89" s="78"/>
      <c r="DA89" s="1572">
        <f t="shared" si="996"/>
        <v>0</v>
      </c>
      <c r="DB89" s="1572">
        <f t="shared" si="996"/>
        <v>0</v>
      </c>
      <c r="DC89" s="1572">
        <f t="shared" si="996"/>
        <v>0</v>
      </c>
      <c r="DD89" s="1572">
        <f t="shared" si="996"/>
        <v>0</v>
      </c>
      <c r="DE89" s="1572">
        <f t="shared" si="996"/>
        <v>0</v>
      </c>
      <c r="DF89" s="1572">
        <f t="shared" si="996"/>
        <v>0</v>
      </c>
      <c r="DG89" s="1572">
        <f t="shared" si="996"/>
        <v>0</v>
      </c>
      <c r="DH89" s="1572">
        <f t="shared" si="996"/>
        <v>0</v>
      </c>
      <c r="DI89" s="1572">
        <f t="shared" si="996"/>
        <v>0</v>
      </c>
      <c r="DJ89" s="1572">
        <f t="shared" si="996"/>
        <v>0</v>
      </c>
      <c r="DK89" s="1572">
        <f t="shared" si="996"/>
        <v>0</v>
      </c>
      <c r="DL89" s="1572">
        <f t="shared" si="996"/>
        <v>0</v>
      </c>
      <c r="DM89" s="1572">
        <f t="shared" si="996"/>
        <v>0</v>
      </c>
      <c r="DN89" s="1572">
        <f t="shared" si="996"/>
        <v>0</v>
      </c>
      <c r="DO89" s="1572">
        <f t="shared" si="996"/>
        <v>0</v>
      </c>
      <c r="DP89" s="1572">
        <f t="shared" si="996"/>
        <v>0</v>
      </c>
      <c r="DQ89" s="1572">
        <f t="shared" si="997"/>
        <v>0</v>
      </c>
      <c r="DR89" s="1572">
        <f t="shared" si="997"/>
        <v>0</v>
      </c>
      <c r="DS89" s="1572">
        <f t="shared" si="997"/>
        <v>0</v>
      </c>
      <c r="DT89" s="1572">
        <f t="shared" si="997"/>
        <v>0</v>
      </c>
      <c r="DU89" s="1572">
        <f t="shared" si="997"/>
        <v>0</v>
      </c>
      <c r="DV89" s="1572">
        <f t="shared" si="997"/>
        <v>0</v>
      </c>
      <c r="DW89" s="1572">
        <f t="shared" si="997"/>
        <v>0</v>
      </c>
      <c r="DX89" s="1572">
        <f t="shared" si="997"/>
        <v>0</v>
      </c>
      <c r="DY89" s="1572"/>
      <c r="DZ89" s="1572"/>
      <c r="EA89" s="1572"/>
      <c r="EB89" s="1572"/>
      <c r="EC89" s="1572"/>
      <c r="ED89" s="1572">
        <f t="shared" si="998"/>
        <v>0</v>
      </c>
      <c r="EE89" s="79"/>
      <c r="EF89" s="1572">
        <f t="shared" ca="1" si="999"/>
        <v>0</v>
      </c>
      <c r="EG89" s="1572">
        <f t="shared" ca="1" si="999"/>
        <v>0</v>
      </c>
      <c r="EH89" s="1572">
        <f t="shared" ca="1" si="999"/>
        <v>0</v>
      </c>
      <c r="EI89" s="1572">
        <f t="shared" ca="1" si="999"/>
        <v>0</v>
      </c>
      <c r="EJ89" s="1572">
        <f t="shared" ca="1" si="999"/>
        <v>0</v>
      </c>
      <c r="EK89" s="1572">
        <f t="shared" ca="1" si="999"/>
        <v>0</v>
      </c>
      <c r="EL89" s="1572">
        <f t="shared" ca="1" si="999"/>
        <v>0</v>
      </c>
      <c r="EM89" s="1572">
        <f t="shared" ca="1" si="999"/>
        <v>0</v>
      </c>
      <c r="EN89" s="1572">
        <f t="shared" ca="1" si="999"/>
        <v>0</v>
      </c>
      <c r="EO89" s="1572">
        <f t="shared" ca="1" si="999"/>
        <v>0</v>
      </c>
      <c r="EP89" s="1572">
        <f t="shared" ca="1" si="999"/>
        <v>0</v>
      </c>
      <c r="EQ89" s="1572">
        <f t="shared" ca="1" si="999"/>
        <v>0</v>
      </c>
      <c r="ER89" s="1572">
        <f t="shared" ca="1" si="999"/>
        <v>0</v>
      </c>
      <c r="ES89" s="1572">
        <f t="shared" ca="1" si="999"/>
        <v>0</v>
      </c>
      <c r="ET89" s="1572">
        <f t="shared" ca="1" si="999"/>
        <v>0</v>
      </c>
      <c r="EU89" s="1572">
        <f t="shared" ca="1" si="999"/>
        <v>0</v>
      </c>
      <c r="EV89" s="1572">
        <f t="shared" ca="1" si="1000"/>
        <v>0</v>
      </c>
      <c r="EW89" s="1572">
        <f t="shared" ca="1" si="1001"/>
        <v>0</v>
      </c>
      <c r="EX89" s="1572">
        <f t="shared" ca="1" si="1002"/>
        <v>0</v>
      </c>
      <c r="EY89" s="1572">
        <f t="shared" ca="1" si="1003"/>
        <v>0</v>
      </c>
      <c r="EZ89" s="1572">
        <f t="shared" ca="1" si="1004"/>
        <v>0</v>
      </c>
      <c r="FA89" s="1572">
        <f t="shared" ca="1" si="1005"/>
        <v>0</v>
      </c>
      <c r="FB89" s="1572">
        <f t="shared" ca="1" si="1006"/>
        <v>0</v>
      </c>
      <c r="FC89" s="1572">
        <f t="shared" ca="1" si="1007"/>
        <v>0</v>
      </c>
      <c r="FD89" s="1572">
        <f t="shared" ca="1" si="1008"/>
        <v>0</v>
      </c>
      <c r="FE89" s="1572">
        <f t="shared" ca="1" si="1009"/>
        <v>0</v>
      </c>
      <c r="FF89" s="1572">
        <f t="shared" ca="1" si="1010"/>
        <v>0</v>
      </c>
      <c r="FG89" s="1572">
        <f t="shared" ca="1" si="1011"/>
        <v>0</v>
      </c>
      <c r="FH89" s="1572">
        <f t="shared" ca="1" si="1012"/>
        <v>0</v>
      </c>
      <c r="FI89" s="1572">
        <f t="shared" ca="1" si="1013"/>
        <v>0</v>
      </c>
    </row>
    <row r="90" spans="1:165">
      <c r="A90" s="595"/>
      <c r="B90" s="598"/>
      <c r="C90" s="599"/>
      <c r="F90" s="866" t="s">
        <v>1681</v>
      </c>
      <c r="G90" s="1609" t="s">
        <v>1718</v>
      </c>
      <c r="H90" s="1569">
        <f>'Sistemas - Cotações'!F61</f>
        <v>0</v>
      </c>
      <c r="I90" s="1569">
        <f t="shared" si="1014"/>
        <v>0</v>
      </c>
      <c r="J90" s="867">
        <f>'Sistemas - Cotações'!H61</f>
        <v>30</v>
      </c>
      <c r="K90" s="76"/>
      <c r="L90" s="1479">
        <f>'Sistemas-Manutenção'!L87</f>
        <v>0</v>
      </c>
      <c r="M90" s="1479">
        <f>'Sistemas-Manutenção'!M87</f>
        <v>0</v>
      </c>
      <c r="N90" s="1479">
        <f>'Sistemas-Manutenção'!N87</f>
        <v>0</v>
      </c>
      <c r="O90" s="1479">
        <f>'Sistemas-Manutenção'!O87</f>
        <v>0</v>
      </c>
      <c r="P90" s="1479">
        <f>'Sistemas-Manutenção'!P87</f>
        <v>0</v>
      </c>
      <c r="Q90" s="1479">
        <f>'Sistemas-Manutenção'!Q87</f>
        <v>0</v>
      </c>
      <c r="R90" s="1479">
        <f>'Sistemas-Manutenção'!R87</f>
        <v>0</v>
      </c>
      <c r="S90" s="1479">
        <f>'Sistemas-Manutenção'!S87</f>
        <v>0</v>
      </c>
      <c r="T90" s="1479">
        <f>'Sistemas-Manutenção'!T87</f>
        <v>0</v>
      </c>
      <c r="U90" s="1479">
        <f>'Sistemas-Manutenção'!U87</f>
        <v>0</v>
      </c>
      <c r="V90" s="1479">
        <f>'Sistemas-Manutenção'!V87</f>
        <v>0</v>
      </c>
      <c r="W90" s="1479">
        <f>'Sistemas-Manutenção'!W87</f>
        <v>0</v>
      </c>
      <c r="X90" s="1479">
        <f>'Sistemas-Manutenção'!X87</f>
        <v>0</v>
      </c>
      <c r="Y90" s="1479">
        <f>'Sistemas-Manutenção'!Y87</f>
        <v>0</v>
      </c>
      <c r="Z90" s="1479">
        <f>'Sistemas-Manutenção'!Z87</f>
        <v>0</v>
      </c>
      <c r="AA90" s="1479">
        <f>'Sistemas-Manutenção'!AA87</f>
        <v>0</v>
      </c>
      <c r="AB90" s="1479">
        <f>'Sistemas-Manutenção'!AB87</f>
        <v>0</v>
      </c>
      <c r="AC90" s="1479">
        <f>'Sistemas-Manutenção'!AC87</f>
        <v>0</v>
      </c>
      <c r="AD90" s="1479">
        <f>'Sistemas-Manutenção'!AD87</f>
        <v>0</v>
      </c>
      <c r="AE90" s="1479">
        <f>'Sistemas-Manutenção'!AE87</f>
        <v>0</v>
      </c>
      <c r="AF90" s="1479">
        <f>'Sistemas-Manutenção'!AF87</f>
        <v>0</v>
      </c>
      <c r="AG90" s="1479">
        <f>'Sistemas-Manutenção'!AG87</f>
        <v>0</v>
      </c>
      <c r="AH90" s="1479">
        <f>'Sistemas-Manutenção'!AH87</f>
        <v>0</v>
      </c>
      <c r="AI90" s="1479">
        <f>'Sistemas-Manutenção'!AI87</f>
        <v>0</v>
      </c>
      <c r="AJ90" s="1479">
        <f>'Sistemas-Manutenção'!AJ87</f>
        <v>0</v>
      </c>
      <c r="AK90" s="1479">
        <f>'Sistemas-Manutenção'!AK87</f>
        <v>0</v>
      </c>
      <c r="AL90" s="1479">
        <f>'Sistemas-Manutenção'!AL87</f>
        <v>0</v>
      </c>
      <c r="AM90" s="1479">
        <f>'Sistemas-Manutenção'!AM87</f>
        <v>0</v>
      </c>
      <c r="AN90" s="1479">
        <f>'Sistemas-Manutenção'!AN87</f>
        <v>0</v>
      </c>
      <c r="AO90" s="1479">
        <f>'Sistemas-Manutenção'!AO87</f>
        <v>0</v>
      </c>
      <c r="AP90" s="77"/>
      <c r="AQ90" s="1479">
        <f t="shared" si="956"/>
        <v>0</v>
      </c>
      <c r="AR90" s="1479">
        <f t="shared" si="956"/>
        <v>0</v>
      </c>
      <c r="AS90" s="1479">
        <f t="shared" si="956"/>
        <v>0</v>
      </c>
      <c r="AT90" s="1479">
        <f t="shared" si="956"/>
        <v>0</v>
      </c>
      <c r="AU90" s="1479">
        <f t="shared" si="956"/>
        <v>0</v>
      </c>
      <c r="AV90" s="1479">
        <f t="shared" si="956"/>
        <v>0</v>
      </c>
      <c r="AW90" s="1479">
        <f t="shared" si="956"/>
        <v>0</v>
      </c>
      <c r="AX90" s="1479">
        <f t="shared" si="956"/>
        <v>0</v>
      </c>
      <c r="AY90" s="1479">
        <f t="shared" si="956"/>
        <v>0</v>
      </c>
      <c r="AZ90" s="1479">
        <f t="shared" si="956"/>
        <v>0</v>
      </c>
      <c r="BA90" s="1479">
        <f t="shared" si="956"/>
        <v>0</v>
      </c>
      <c r="BB90" s="1479">
        <f t="shared" ref="BB90:BF92" si="1016">IF(W90&gt;V90,W90-V90,0)</f>
        <v>0</v>
      </c>
      <c r="BC90" s="1479">
        <f t="shared" si="1016"/>
        <v>0</v>
      </c>
      <c r="BD90" s="1479">
        <f t="shared" si="1016"/>
        <v>0</v>
      </c>
      <c r="BE90" s="1479">
        <f t="shared" si="1016"/>
        <v>0</v>
      </c>
      <c r="BF90" s="1479">
        <f t="shared" si="1016"/>
        <v>0</v>
      </c>
      <c r="BG90" s="1479">
        <f t="shared" si="957"/>
        <v>0</v>
      </c>
      <c r="BH90" s="1479">
        <f t="shared" si="958"/>
        <v>0</v>
      </c>
      <c r="BI90" s="1479">
        <f t="shared" si="959"/>
        <v>0</v>
      </c>
      <c r="BJ90" s="1479">
        <f t="shared" si="960"/>
        <v>0</v>
      </c>
      <c r="BK90" s="1479">
        <f t="shared" si="961"/>
        <v>0</v>
      </c>
      <c r="BL90" s="1479">
        <f t="shared" si="962"/>
        <v>0</v>
      </c>
      <c r="BM90" s="1479">
        <f t="shared" si="963"/>
        <v>0</v>
      </c>
      <c r="BN90" s="1479">
        <f t="shared" si="964"/>
        <v>0</v>
      </c>
      <c r="BO90" s="1479"/>
      <c r="BP90" s="1479"/>
      <c r="BQ90" s="1479"/>
      <c r="BR90" s="1479"/>
      <c r="BS90" s="1479"/>
      <c r="BT90" s="1479">
        <f t="shared" si="965"/>
        <v>0</v>
      </c>
      <c r="BU90" s="77"/>
      <c r="BV90" s="1571">
        <f t="shared" ca="1" si="966"/>
        <v>0</v>
      </c>
      <c r="BW90" s="1571">
        <f t="shared" ca="1" si="967"/>
        <v>0</v>
      </c>
      <c r="BX90" s="1571">
        <f t="shared" ca="1" si="968"/>
        <v>0</v>
      </c>
      <c r="BY90" s="1571">
        <f t="shared" ca="1" si="969"/>
        <v>0</v>
      </c>
      <c r="BZ90" s="1571">
        <f t="shared" ca="1" si="970"/>
        <v>0</v>
      </c>
      <c r="CA90" s="1571">
        <f t="shared" ca="1" si="971"/>
        <v>0</v>
      </c>
      <c r="CB90" s="1571">
        <f t="shared" ca="1" si="972"/>
        <v>0</v>
      </c>
      <c r="CC90" s="1571">
        <f t="shared" ca="1" si="973"/>
        <v>0</v>
      </c>
      <c r="CD90" s="1571">
        <f t="shared" ca="1" si="974"/>
        <v>0</v>
      </c>
      <c r="CE90" s="1571">
        <f t="shared" ca="1" si="975"/>
        <v>0</v>
      </c>
      <c r="CF90" s="1571">
        <f t="shared" ca="1" si="976"/>
        <v>0</v>
      </c>
      <c r="CG90" s="1571">
        <f t="shared" ca="1" si="977"/>
        <v>0</v>
      </c>
      <c r="CH90" s="1571">
        <f t="shared" ca="1" si="978"/>
        <v>0</v>
      </c>
      <c r="CI90" s="1571">
        <f t="shared" ca="1" si="979"/>
        <v>0</v>
      </c>
      <c r="CJ90" s="1571">
        <f t="shared" ca="1" si="980"/>
        <v>0</v>
      </c>
      <c r="CK90" s="1571">
        <f t="shared" ca="1" si="981"/>
        <v>0</v>
      </c>
      <c r="CL90" s="1571">
        <f t="shared" ca="1" si="982"/>
        <v>0</v>
      </c>
      <c r="CM90" s="1571">
        <f t="shared" ca="1" si="983"/>
        <v>0</v>
      </c>
      <c r="CN90" s="1571">
        <f t="shared" ca="1" si="984"/>
        <v>0</v>
      </c>
      <c r="CO90" s="1571">
        <f t="shared" ca="1" si="985"/>
        <v>0</v>
      </c>
      <c r="CP90" s="1571">
        <f t="shared" ca="1" si="986"/>
        <v>0</v>
      </c>
      <c r="CQ90" s="1571">
        <f t="shared" ca="1" si="987"/>
        <v>0</v>
      </c>
      <c r="CR90" s="1571">
        <f t="shared" ca="1" si="988"/>
        <v>0</v>
      </c>
      <c r="CS90" s="1571">
        <f t="shared" ca="1" si="989"/>
        <v>0</v>
      </c>
      <c r="CT90" s="1571">
        <f t="shared" ca="1" si="990"/>
        <v>0</v>
      </c>
      <c r="CU90" s="1571">
        <f t="shared" ca="1" si="991"/>
        <v>0</v>
      </c>
      <c r="CV90" s="1571">
        <f t="shared" ca="1" si="992"/>
        <v>0</v>
      </c>
      <c r="CW90" s="1571">
        <f t="shared" ca="1" si="993"/>
        <v>0</v>
      </c>
      <c r="CX90" s="1571"/>
      <c r="CY90" s="1571"/>
      <c r="CZ90" s="78"/>
      <c r="DA90" s="1572">
        <f t="shared" si="996"/>
        <v>0</v>
      </c>
      <c r="DB90" s="1572">
        <f t="shared" si="996"/>
        <v>0</v>
      </c>
      <c r="DC90" s="1572">
        <f t="shared" si="996"/>
        <v>0</v>
      </c>
      <c r="DD90" s="1572">
        <f t="shared" si="996"/>
        <v>0</v>
      </c>
      <c r="DE90" s="1572">
        <f t="shared" si="996"/>
        <v>0</v>
      </c>
      <c r="DF90" s="1572">
        <f t="shared" si="996"/>
        <v>0</v>
      </c>
      <c r="DG90" s="1572">
        <f t="shared" si="996"/>
        <v>0</v>
      </c>
      <c r="DH90" s="1572">
        <f t="shared" si="996"/>
        <v>0</v>
      </c>
      <c r="DI90" s="1572">
        <f t="shared" si="996"/>
        <v>0</v>
      </c>
      <c r="DJ90" s="1572">
        <f t="shared" si="996"/>
        <v>0</v>
      </c>
      <c r="DK90" s="1572">
        <f t="shared" si="996"/>
        <v>0</v>
      </c>
      <c r="DL90" s="1572">
        <f t="shared" si="996"/>
        <v>0</v>
      </c>
      <c r="DM90" s="1572">
        <f t="shared" si="996"/>
        <v>0</v>
      </c>
      <c r="DN90" s="1572">
        <f t="shared" si="996"/>
        <v>0</v>
      </c>
      <c r="DO90" s="1572">
        <f t="shared" si="996"/>
        <v>0</v>
      </c>
      <c r="DP90" s="1572">
        <f t="shared" si="996"/>
        <v>0</v>
      </c>
      <c r="DQ90" s="1572">
        <f t="shared" si="997"/>
        <v>0</v>
      </c>
      <c r="DR90" s="1572">
        <f t="shared" si="997"/>
        <v>0</v>
      </c>
      <c r="DS90" s="1572">
        <f t="shared" si="997"/>
        <v>0</v>
      </c>
      <c r="DT90" s="1572">
        <f t="shared" si="997"/>
        <v>0</v>
      </c>
      <c r="DU90" s="1572">
        <f t="shared" si="997"/>
        <v>0</v>
      </c>
      <c r="DV90" s="1572">
        <f t="shared" si="997"/>
        <v>0</v>
      </c>
      <c r="DW90" s="1572">
        <f t="shared" si="997"/>
        <v>0</v>
      </c>
      <c r="DX90" s="1572">
        <f t="shared" si="997"/>
        <v>0</v>
      </c>
      <c r="DY90" s="1572"/>
      <c r="DZ90" s="1572"/>
      <c r="EA90" s="1572"/>
      <c r="EB90" s="1572"/>
      <c r="EC90" s="1572"/>
      <c r="ED90" s="1572">
        <f t="shared" si="998"/>
        <v>0</v>
      </c>
      <c r="EE90" s="79"/>
      <c r="EF90" s="1572">
        <f t="shared" ca="1" si="999"/>
        <v>0</v>
      </c>
      <c r="EG90" s="1572">
        <f t="shared" ca="1" si="999"/>
        <v>0</v>
      </c>
      <c r="EH90" s="1572">
        <f t="shared" ca="1" si="999"/>
        <v>0</v>
      </c>
      <c r="EI90" s="1572">
        <f t="shared" ca="1" si="999"/>
        <v>0</v>
      </c>
      <c r="EJ90" s="1572">
        <f t="shared" ca="1" si="999"/>
        <v>0</v>
      </c>
      <c r="EK90" s="1572">
        <f t="shared" ca="1" si="999"/>
        <v>0</v>
      </c>
      <c r="EL90" s="1572">
        <f t="shared" ca="1" si="999"/>
        <v>0</v>
      </c>
      <c r="EM90" s="1572">
        <f t="shared" ca="1" si="999"/>
        <v>0</v>
      </c>
      <c r="EN90" s="1572">
        <f t="shared" ca="1" si="999"/>
        <v>0</v>
      </c>
      <c r="EO90" s="1572">
        <f t="shared" ca="1" si="999"/>
        <v>0</v>
      </c>
      <c r="EP90" s="1572">
        <f t="shared" ca="1" si="999"/>
        <v>0</v>
      </c>
      <c r="EQ90" s="1572">
        <f t="shared" ca="1" si="999"/>
        <v>0</v>
      </c>
      <c r="ER90" s="1572">
        <f t="shared" ca="1" si="999"/>
        <v>0</v>
      </c>
      <c r="ES90" s="1572">
        <f t="shared" ca="1" si="999"/>
        <v>0</v>
      </c>
      <c r="ET90" s="1572">
        <f t="shared" ca="1" si="999"/>
        <v>0</v>
      </c>
      <c r="EU90" s="1572">
        <f t="shared" ca="1" si="999"/>
        <v>0</v>
      </c>
      <c r="EV90" s="1572">
        <f t="shared" ca="1" si="1000"/>
        <v>0</v>
      </c>
      <c r="EW90" s="1572">
        <f t="shared" ca="1" si="1001"/>
        <v>0</v>
      </c>
      <c r="EX90" s="1572">
        <f t="shared" ca="1" si="1002"/>
        <v>0</v>
      </c>
      <c r="EY90" s="1572">
        <f t="shared" ca="1" si="1003"/>
        <v>0</v>
      </c>
      <c r="EZ90" s="1572">
        <f t="shared" ca="1" si="1004"/>
        <v>0</v>
      </c>
      <c r="FA90" s="1572">
        <f t="shared" ca="1" si="1005"/>
        <v>0</v>
      </c>
      <c r="FB90" s="1572">
        <f t="shared" ca="1" si="1006"/>
        <v>0</v>
      </c>
      <c r="FC90" s="1572">
        <f t="shared" ca="1" si="1007"/>
        <v>0</v>
      </c>
      <c r="FD90" s="1572">
        <f t="shared" ca="1" si="1008"/>
        <v>0</v>
      </c>
      <c r="FE90" s="1572">
        <f t="shared" ca="1" si="1009"/>
        <v>0</v>
      </c>
      <c r="FF90" s="1572">
        <f t="shared" ca="1" si="1010"/>
        <v>0</v>
      </c>
      <c r="FG90" s="1572">
        <f t="shared" ca="1" si="1011"/>
        <v>0</v>
      </c>
      <c r="FH90" s="1572">
        <f t="shared" si="1012"/>
        <v>0</v>
      </c>
      <c r="FI90" s="1572">
        <f t="shared" si="1013"/>
        <v>0</v>
      </c>
    </row>
    <row r="91" spans="1:165">
      <c r="A91" s="595"/>
      <c r="B91" s="598"/>
      <c r="C91" s="599"/>
      <c r="F91" s="866" t="s">
        <v>1682</v>
      </c>
      <c r="G91" s="1609" t="s">
        <v>1718</v>
      </c>
      <c r="H91" s="1569">
        <f>'Sistemas - Cotações'!F62</f>
        <v>0</v>
      </c>
      <c r="I91" s="1569">
        <f>H91*0.8</f>
        <v>0</v>
      </c>
      <c r="J91" s="867">
        <v>10</v>
      </c>
      <c r="K91" s="76"/>
      <c r="L91" s="1479">
        <f>'Sistemas-Manutenção'!L88</f>
        <v>0</v>
      </c>
      <c r="M91" s="1479">
        <f>'Sistemas-Manutenção'!M88</f>
        <v>0</v>
      </c>
      <c r="N91" s="1479">
        <f>'Sistemas-Manutenção'!N88</f>
        <v>0</v>
      </c>
      <c r="O91" s="1479">
        <f>'Sistemas-Manutenção'!O88</f>
        <v>0</v>
      </c>
      <c r="P91" s="1479">
        <f>'Sistemas-Manutenção'!P88</f>
        <v>0</v>
      </c>
      <c r="Q91" s="1479">
        <f>'Sistemas-Manutenção'!Q88</f>
        <v>0</v>
      </c>
      <c r="R91" s="1479">
        <f>'Sistemas-Manutenção'!R88</f>
        <v>0</v>
      </c>
      <c r="S91" s="1479">
        <f>'Sistemas-Manutenção'!S88</f>
        <v>0</v>
      </c>
      <c r="T91" s="1479">
        <f>'Sistemas-Manutenção'!T88</f>
        <v>0</v>
      </c>
      <c r="U91" s="1479">
        <f>'Sistemas-Manutenção'!U88</f>
        <v>0</v>
      </c>
      <c r="V91" s="1479">
        <f>'Sistemas-Manutenção'!V88</f>
        <v>0</v>
      </c>
      <c r="W91" s="1479">
        <f>'Sistemas-Manutenção'!W88</f>
        <v>0</v>
      </c>
      <c r="X91" s="1479">
        <f>'Sistemas-Manutenção'!X88</f>
        <v>0</v>
      </c>
      <c r="Y91" s="1479">
        <f>'Sistemas-Manutenção'!Y88</f>
        <v>0</v>
      </c>
      <c r="Z91" s="1479">
        <f>'Sistemas-Manutenção'!Z88</f>
        <v>0</v>
      </c>
      <c r="AA91" s="1479">
        <f>'Sistemas-Manutenção'!AA88</f>
        <v>0</v>
      </c>
      <c r="AB91" s="1479">
        <f>'Sistemas-Manutenção'!AB88</f>
        <v>0</v>
      </c>
      <c r="AC91" s="1479">
        <f>'Sistemas-Manutenção'!AC88</f>
        <v>0</v>
      </c>
      <c r="AD91" s="1479">
        <f>'Sistemas-Manutenção'!AD88</f>
        <v>0</v>
      </c>
      <c r="AE91" s="1479">
        <f>'Sistemas-Manutenção'!AE88</f>
        <v>0</v>
      </c>
      <c r="AF91" s="1479">
        <f>'Sistemas-Manutenção'!AF88</f>
        <v>0</v>
      </c>
      <c r="AG91" s="1479">
        <f>'Sistemas-Manutenção'!AG88</f>
        <v>0</v>
      </c>
      <c r="AH91" s="1479">
        <f>'Sistemas-Manutenção'!AH88</f>
        <v>0</v>
      </c>
      <c r="AI91" s="1479">
        <f>'Sistemas-Manutenção'!AI88</f>
        <v>0</v>
      </c>
      <c r="AJ91" s="1479">
        <f>'Sistemas-Manutenção'!AJ88</f>
        <v>0</v>
      </c>
      <c r="AK91" s="1479">
        <f>'Sistemas-Manutenção'!AK88</f>
        <v>0</v>
      </c>
      <c r="AL91" s="1479">
        <f>'Sistemas-Manutenção'!AL88</f>
        <v>0</v>
      </c>
      <c r="AM91" s="1479">
        <f>'Sistemas-Manutenção'!AM88</f>
        <v>0</v>
      </c>
      <c r="AN91" s="1479">
        <f>'Sistemas-Manutenção'!AN88</f>
        <v>0</v>
      </c>
      <c r="AO91" s="1479">
        <f>'Sistemas-Manutenção'!AO88</f>
        <v>0</v>
      </c>
      <c r="AP91" s="77"/>
      <c r="AQ91" s="1479">
        <f>IF(L91&gt;K91,L91-K91,0)</f>
        <v>0</v>
      </c>
      <c r="AR91" s="1479">
        <f t="shared" si="956"/>
        <v>0</v>
      </c>
      <c r="AS91" s="1479">
        <f t="shared" si="956"/>
        <v>0</v>
      </c>
      <c r="AT91" s="1479">
        <f t="shared" si="956"/>
        <v>0</v>
      </c>
      <c r="AU91" s="1479">
        <f t="shared" si="956"/>
        <v>0</v>
      </c>
      <c r="AV91" s="1479">
        <f t="shared" si="956"/>
        <v>0</v>
      </c>
      <c r="AW91" s="1479">
        <f t="shared" si="956"/>
        <v>0</v>
      </c>
      <c r="AX91" s="1479">
        <f t="shared" si="956"/>
        <v>0</v>
      </c>
      <c r="AY91" s="1479">
        <f t="shared" si="956"/>
        <v>0</v>
      </c>
      <c r="AZ91" s="1479">
        <f t="shared" si="956"/>
        <v>0</v>
      </c>
      <c r="BA91" s="1479">
        <f t="shared" si="956"/>
        <v>0</v>
      </c>
      <c r="BB91" s="1479">
        <f t="shared" si="1016"/>
        <v>0</v>
      </c>
      <c r="BC91" s="1479">
        <f t="shared" si="1016"/>
        <v>0</v>
      </c>
      <c r="BD91" s="1479">
        <f t="shared" si="1016"/>
        <v>0</v>
      </c>
      <c r="BE91" s="1479">
        <f t="shared" si="1016"/>
        <v>0</v>
      </c>
      <c r="BF91" s="1479">
        <f t="shared" si="1016"/>
        <v>0</v>
      </c>
      <c r="BG91" s="1479">
        <f t="shared" si="957"/>
        <v>0</v>
      </c>
      <c r="BH91" s="1479">
        <f t="shared" si="958"/>
        <v>0</v>
      </c>
      <c r="BI91" s="1479">
        <f t="shared" si="959"/>
        <v>0</v>
      </c>
      <c r="BJ91" s="1479">
        <f t="shared" si="960"/>
        <v>0</v>
      </c>
      <c r="BK91" s="1479">
        <f t="shared" si="961"/>
        <v>0</v>
      </c>
      <c r="BL91" s="1479">
        <f t="shared" si="962"/>
        <v>0</v>
      </c>
      <c r="BM91" s="1479">
        <f t="shared" si="963"/>
        <v>0</v>
      </c>
      <c r="BN91" s="1479">
        <f t="shared" si="964"/>
        <v>0</v>
      </c>
      <c r="BO91" s="1479"/>
      <c r="BP91" s="1479"/>
      <c r="BQ91" s="1479"/>
      <c r="BR91" s="1479"/>
      <c r="BS91" s="1479"/>
      <c r="BT91" s="1479">
        <f t="shared" si="965"/>
        <v>0</v>
      </c>
      <c r="BU91" s="77"/>
      <c r="BV91" s="1571">
        <f t="shared" ca="1" si="966"/>
        <v>0</v>
      </c>
      <c r="BW91" s="1571">
        <f t="shared" ca="1" si="967"/>
        <v>0</v>
      </c>
      <c r="BX91" s="1571">
        <f t="shared" ca="1" si="968"/>
        <v>0</v>
      </c>
      <c r="BY91" s="1571">
        <f t="shared" ca="1" si="969"/>
        <v>0</v>
      </c>
      <c r="BZ91" s="1571">
        <f t="shared" ca="1" si="970"/>
        <v>0</v>
      </c>
      <c r="CA91" s="1571">
        <f t="shared" ca="1" si="971"/>
        <v>0</v>
      </c>
      <c r="CB91" s="1571">
        <f t="shared" ca="1" si="972"/>
        <v>0</v>
      </c>
      <c r="CC91" s="1571">
        <f t="shared" ca="1" si="973"/>
        <v>0</v>
      </c>
      <c r="CD91" s="1571">
        <f t="shared" ca="1" si="974"/>
        <v>0</v>
      </c>
      <c r="CE91" s="1571">
        <f t="shared" ca="1" si="975"/>
        <v>0</v>
      </c>
      <c r="CF91" s="1571">
        <f t="shared" ca="1" si="976"/>
        <v>0</v>
      </c>
      <c r="CG91" s="1571">
        <f t="shared" ca="1" si="977"/>
        <v>0</v>
      </c>
      <c r="CH91" s="1571">
        <f t="shared" ref="CH91:CH92" ca="1" si="1017">IF(X91-SUM(OFFSET(BC91,,-$J91+1,,$J91))-IF($J91&gt;1,SUM(OFFSET(CH91,,-$J91+1,,$J91-1)),0)&gt;0,X91-SUM(OFFSET(BC91,,-$J91+1,,$J91))-IF($J91&gt;1,SUM(OFFSET(CH91,,-$J91+1,,$J91-1)),0),0)</f>
        <v>0</v>
      </c>
      <c r="CI91" s="1571">
        <f t="shared" ref="CI91:CI92" ca="1" si="1018">IF(Y91-SUM(OFFSET(BD91,,-$J91+1,,$J91))-IF($J91&gt;1,SUM(OFFSET(CI91,,-$J91+1,,$J91-1)),0)&gt;0,Y91-SUM(OFFSET(BD91,,-$J91+1,,$J91))-IF($J91&gt;1,SUM(OFFSET(CI91,,-$J91+1,,$J91-1)),0),0)</f>
        <v>0</v>
      </c>
      <c r="CJ91" s="1571">
        <f t="shared" ref="CJ91:CJ92" ca="1" si="1019">IF(Z91-SUM(OFFSET(BE91,,-$J91+1,,$J91))-IF($J91&gt;1,SUM(OFFSET(CJ91,,-$J91+1,,$J91-1)),0)&gt;0,Z91-SUM(OFFSET(BE91,,-$J91+1,,$J91))-IF($J91&gt;1,SUM(OFFSET(CJ91,,-$J91+1,,$J91-1)),0),0)</f>
        <v>0</v>
      </c>
      <c r="CK91" s="1571">
        <f t="shared" ref="CK91:CK92" ca="1" si="1020">IF(AA91-SUM(OFFSET(BF91,,-$J91+1,,$J91))-IF($J91&gt;1,SUM(OFFSET(CK91,,-$J91+1,,$J91-1)),0)&gt;0,AA91-SUM(OFFSET(BF91,,-$J91+1,,$J91))-IF($J91&gt;1,SUM(OFFSET(CK91,,-$J91+1,,$J91-1)),0),0)</f>
        <v>0</v>
      </c>
      <c r="CL91" s="1571">
        <f t="shared" ref="CL91:CL92" ca="1" si="1021">IF(AB91-SUM(OFFSET(BG91,,-$J91+1,,$J91))-IF($J91&gt;1,SUM(OFFSET(CL91,,-$J91+1,,$J91-1)),0)&gt;0,AB91-SUM(OFFSET(BG91,,-$J91+1,,$J91))-IF($J91&gt;1,SUM(OFFSET(CL91,,-$J91+1,,$J91-1)),0),0)</f>
        <v>0</v>
      </c>
      <c r="CM91" s="1571">
        <f t="shared" ref="CM91:CM92" ca="1" si="1022">IF(AC91-SUM(OFFSET(BH91,,-$J91+1,,$J91))-IF($J91&gt;1,SUM(OFFSET(CM91,,-$J91+1,,$J91-1)),0)&gt;0,AC91-SUM(OFFSET(BH91,,-$J91+1,,$J91))-IF($J91&gt;1,SUM(OFFSET(CM91,,-$J91+1,,$J91-1)),0),0)</f>
        <v>0</v>
      </c>
      <c r="CN91" s="1571">
        <f t="shared" ref="CN91:CN92" ca="1" si="1023">IF(AD91-SUM(OFFSET(BI91,,-$J91+1,,$J91))-IF($J91&gt;1,SUM(OFFSET(CN91,,-$J91+1,,$J91-1)),0)&gt;0,AD91-SUM(OFFSET(BI91,,-$J91+1,,$J91))-IF($J91&gt;1,SUM(OFFSET(CN91,,-$J91+1,,$J91-1)),0),0)</f>
        <v>0</v>
      </c>
      <c r="CO91" s="1571">
        <f t="shared" ref="CO91:CO92" ca="1" si="1024">IF(AE91-SUM(OFFSET(BJ91,,-$J91+1,,$J91))-IF($J91&gt;1,SUM(OFFSET(CO91,,-$J91+1,,$J91-1)),0)&gt;0,AE91-SUM(OFFSET(BJ91,,-$J91+1,,$J91))-IF($J91&gt;1,SUM(OFFSET(CO91,,-$J91+1,,$J91-1)),0),0)</f>
        <v>0</v>
      </c>
      <c r="CP91" s="1571">
        <f t="shared" ref="CP91:CP92" ca="1" si="1025">IF(AF91-SUM(OFFSET(BK91,,-$J91+1,,$J91))-IF($J91&gt;1,SUM(OFFSET(CP91,,-$J91+1,,$J91-1)),0)&gt;0,AF91-SUM(OFFSET(BK91,,-$J91+1,,$J91))-IF($J91&gt;1,SUM(OFFSET(CP91,,-$J91+1,,$J91-1)),0),0)</f>
        <v>0</v>
      </c>
      <c r="CQ91" s="1571">
        <f t="shared" ref="CQ91:CQ92" ca="1" si="1026">IF(AG91-SUM(OFFSET(BL91,,-$J91+1,,$J91))-IF($J91&gt;1,SUM(OFFSET(CQ91,,-$J91+1,,$J91-1)),0)&gt;0,AG91-SUM(OFFSET(BL91,,-$J91+1,,$J91))-IF($J91&gt;1,SUM(OFFSET(CQ91,,-$J91+1,,$J91-1)),0),0)</f>
        <v>0</v>
      </c>
      <c r="CR91" s="1571">
        <f t="shared" ref="CR91:CR92" ca="1" si="1027">IF(AH91-SUM(OFFSET(BM91,,-$J91+1,,$J91))-IF($J91&gt;1,SUM(OFFSET(CR91,,-$J91+1,,$J91-1)),0)&gt;0,AH91-SUM(OFFSET(BM91,,-$J91+1,,$J91))-IF($J91&gt;1,SUM(OFFSET(CR91,,-$J91+1,,$J91-1)),0),0)</f>
        <v>0</v>
      </c>
      <c r="CS91" s="1571">
        <f t="shared" ref="CS91:CS92" ca="1" si="1028">IF(AI91-SUM(OFFSET(BN91,,-$J91+1,,$J91))-IF($J91&gt;1,SUM(OFFSET(CS91,,-$J91+1,,$J91-1)),0)&gt;0,AI91-SUM(OFFSET(BN91,,-$J91+1,,$J91))-IF($J91&gt;1,SUM(OFFSET(CS91,,-$J91+1,,$J91-1)),0),0)</f>
        <v>0</v>
      </c>
      <c r="CT91" s="1571">
        <f t="shared" ref="CT91:CT92" ca="1" si="1029">IF(AJ91-SUM(OFFSET(BT91,,-$J91+1,,$J91))-IF($J91&gt;1,SUM(OFFSET(CT91,,-$J91+1,,$J91-1)),0)&gt;0,AJ91-SUM(OFFSET(BT91,,-$J91+1,,$J91))-IF($J91&gt;1,SUM(OFFSET(CT91,,-$J91+1,,$J91-1)),0),0)</f>
        <v>0</v>
      </c>
      <c r="CU91" s="1571">
        <f t="shared" ref="CU91:CU92" ca="1" si="1030">IF(AK91-SUM(OFFSET(BU91,,-$J91+1,,$J91))-IF($J91&gt;1,SUM(OFFSET(CU91,,-$J91+1,,$J91-1)),0)&gt;0,AK91-SUM(OFFSET(BU91,,-$J91+1,,$J91))-IF($J91&gt;1,SUM(OFFSET(CU91,,-$J91+1,,$J91-1)),0),0)</f>
        <v>0</v>
      </c>
      <c r="CV91" s="1571">
        <f t="shared" ref="CV91:CV92" ca="1" si="1031">IF(AL91-SUM(OFFSET(BV91,,-$J91+1,,$J91))-IF($J91&gt;1,SUM(OFFSET(CV91,,-$J91+1,,$J91-1)),0)&gt;0,AL91-SUM(OFFSET(BV91,,-$J91+1,,$J91))-IF($J91&gt;1,SUM(OFFSET(CV91,,-$J91+1,,$J91-1)),0),0)</f>
        <v>0</v>
      </c>
      <c r="CW91" s="1571">
        <f t="shared" ref="CW91:CW92" ca="1" si="1032">IF(AM91-SUM(OFFSET(BW91,,-$J91+1,,$J91))-IF($J91&gt;1,SUM(OFFSET(CW91,,-$J91+1,,$J91-1)),0)&gt;0,AM91-SUM(OFFSET(BW91,,-$J91+1,,$J91))-IF($J91&gt;1,SUM(OFFSET(CW91,,-$J91+1,,$J91-1)),0),0)</f>
        <v>0</v>
      </c>
      <c r="CX91" s="1571">
        <f t="shared" ref="CX91:CX92" ca="1" si="1033">IF(AN91-SUM(OFFSET(BX91,,-$J91+1,,$J91))-IF($J91&gt;1,SUM(OFFSET(CX91,,-$J91+1,,$J91-1)),0)&gt;0,AN91-SUM(OFFSET(BX91,,-$J91+1,,$J91))-IF($J91&gt;1,SUM(OFFSET(CX91,,-$J91+1,,$J91-1)),0),0)</f>
        <v>0</v>
      </c>
      <c r="CY91" s="1571">
        <f t="shared" ref="CY91:CY92" ca="1" si="1034">IF(AO91-SUM(OFFSET(BY91,,-$J91+1,,$J91))-IF($J91&gt;1,SUM(OFFSET(CY91,,-$J91+1,,$J91-1)),0)&gt;0,AO91-SUM(OFFSET(BY91,,-$J91+1,,$J91))-IF($J91&gt;1,SUM(OFFSET(CY91,,-$J91+1,,$J91-1)),0),0)</f>
        <v>0</v>
      </c>
      <c r="CZ91" s="78"/>
      <c r="DA91" s="1572">
        <f t="shared" si="996"/>
        <v>0</v>
      </c>
      <c r="DB91" s="1572">
        <f t="shared" si="996"/>
        <v>0</v>
      </c>
      <c r="DC91" s="1572">
        <f t="shared" si="996"/>
        <v>0</v>
      </c>
      <c r="DD91" s="1572">
        <f t="shared" si="996"/>
        <v>0</v>
      </c>
      <c r="DE91" s="1572">
        <f t="shared" si="996"/>
        <v>0</v>
      </c>
      <c r="DF91" s="1572">
        <f t="shared" si="996"/>
        <v>0</v>
      </c>
      <c r="DG91" s="1572">
        <f t="shared" si="996"/>
        <v>0</v>
      </c>
      <c r="DH91" s="1572">
        <f t="shared" si="996"/>
        <v>0</v>
      </c>
      <c r="DI91" s="1572">
        <f t="shared" si="996"/>
        <v>0</v>
      </c>
      <c r="DJ91" s="1572">
        <f t="shared" si="996"/>
        <v>0</v>
      </c>
      <c r="DK91" s="1572">
        <f t="shared" si="996"/>
        <v>0</v>
      </c>
      <c r="DL91" s="1572">
        <f t="shared" si="996"/>
        <v>0</v>
      </c>
      <c r="DM91" s="1572">
        <f t="shared" si="996"/>
        <v>0</v>
      </c>
      <c r="DN91" s="1572">
        <f t="shared" si="996"/>
        <v>0</v>
      </c>
      <c r="DO91" s="1572">
        <f t="shared" si="996"/>
        <v>0</v>
      </c>
      <c r="DP91" s="1572">
        <f t="shared" si="996"/>
        <v>0</v>
      </c>
      <c r="DQ91" s="1572">
        <f t="shared" si="997"/>
        <v>0</v>
      </c>
      <c r="DR91" s="1572">
        <f t="shared" si="997"/>
        <v>0</v>
      </c>
      <c r="DS91" s="1572">
        <f t="shared" si="997"/>
        <v>0</v>
      </c>
      <c r="DT91" s="1572">
        <f t="shared" si="997"/>
        <v>0</v>
      </c>
      <c r="DU91" s="1572">
        <f t="shared" si="997"/>
        <v>0</v>
      </c>
      <c r="DV91" s="1572">
        <f t="shared" si="997"/>
        <v>0</v>
      </c>
      <c r="DW91" s="1572">
        <f t="shared" si="997"/>
        <v>0</v>
      </c>
      <c r="DX91" s="1572">
        <f t="shared" si="997"/>
        <v>0</v>
      </c>
      <c r="DY91" s="1572"/>
      <c r="DZ91" s="1572"/>
      <c r="EA91" s="1572"/>
      <c r="EB91" s="1572"/>
      <c r="EC91" s="1572"/>
      <c r="ED91" s="1572">
        <f t="shared" si="998"/>
        <v>0</v>
      </c>
      <c r="EE91" s="79"/>
      <c r="EF91" s="1572">
        <f t="shared" ca="1" si="999"/>
        <v>0</v>
      </c>
      <c r="EG91" s="1572">
        <f t="shared" ca="1" si="999"/>
        <v>0</v>
      </c>
      <c r="EH91" s="1572">
        <f t="shared" ca="1" si="999"/>
        <v>0</v>
      </c>
      <c r="EI91" s="1572">
        <f t="shared" ca="1" si="999"/>
        <v>0</v>
      </c>
      <c r="EJ91" s="1572">
        <f t="shared" ca="1" si="999"/>
        <v>0</v>
      </c>
      <c r="EK91" s="1572">
        <f t="shared" ca="1" si="999"/>
        <v>0</v>
      </c>
      <c r="EL91" s="1572">
        <f t="shared" ca="1" si="999"/>
        <v>0</v>
      </c>
      <c r="EM91" s="1572">
        <f t="shared" ca="1" si="999"/>
        <v>0</v>
      </c>
      <c r="EN91" s="1572">
        <f t="shared" ca="1" si="999"/>
        <v>0</v>
      </c>
      <c r="EO91" s="1572">
        <f t="shared" ca="1" si="999"/>
        <v>0</v>
      </c>
      <c r="EP91" s="1572">
        <f t="shared" ca="1" si="999"/>
        <v>0</v>
      </c>
      <c r="EQ91" s="1572">
        <f t="shared" ca="1" si="999"/>
        <v>0</v>
      </c>
      <c r="ER91" s="1572">
        <f t="shared" ca="1" si="999"/>
        <v>0</v>
      </c>
      <c r="ES91" s="1572">
        <f t="shared" ca="1" si="999"/>
        <v>0</v>
      </c>
      <c r="ET91" s="1572">
        <f t="shared" ca="1" si="999"/>
        <v>0</v>
      </c>
      <c r="EU91" s="1572">
        <f t="shared" ca="1" si="999"/>
        <v>0</v>
      </c>
      <c r="EV91" s="1572">
        <f t="shared" ca="1" si="1000"/>
        <v>0</v>
      </c>
      <c r="EW91" s="1572">
        <f t="shared" ca="1" si="1001"/>
        <v>0</v>
      </c>
      <c r="EX91" s="1572">
        <f t="shared" ca="1" si="1002"/>
        <v>0</v>
      </c>
      <c r="EY91" s="1572">
        <f t="shared" ca="1" si="1003"/>
        <v>0</v>
      </c>
      <c r="EZ91" s="1572">
        <f t="shared" ca="1" si="1004"/>
        <v>0</v>
      </c>
      <c r="FA91" s="1572">
        <f t="shared" ca="1" si="1005"/>
        <v>0</v>
      </c>
      <c r="FB91" s="1572">
        <f t="shared" ca="1" si="1006"/>
        <v>0</v>
      </c>
      <c r="FC91" s="1572">
        <f t="shared" ca="1" si="1007"/>
        <v>0</v>
      </c>
      <c r="FD91" s="1572">
        <f t="shared" ca="1" si="1008"/>
        <v>0</v>
      </c>
      <c r="FE91" s="1572">
        <f t="shared" ca="1" si="1009"/>
        <v>0</v>
      </c>
      <c r="FF91" s="1572">
        <f t="shared" ca="1" si="1010"/>
        <v>0</v>
      </c>
      <c r="FG91" s="1572">
        <f t="shared" ca="1" si="1011"/>
        <v>0</v>
      </c>
      <c r="FH91" s="1572">
        <f t="shared" ca="1" si="1012"/>
        <v>0</v>
      </c>
      <c r="FI91" s="1572">
        <f t="shared" ca="1" si="1013"/>
        <v>0</v>
      </c>
    </row>
    <row r="92" spans="1:165" ht="15.95" customHeight="1">
      <c r="A92" s="595"/>
      <c r="B92" s="598"/>
      <c r="C92" s="599"/>
      <c r="F92" s="866" t="s">
        <v>1683</v>
      </c>
      <c r="G92" s="1609" t="s">
        <v>1718</v>
      </c>
      <c r="H92" s="1569">
        <f>'Sistemas - Cotações'!F86</f>
        <v>69294.207500000004</v>
      </c>
      <c r="I92" s="1569">
        <f>H92*0.95</f>
        <v>65829.497124999994</v>
      </c>
      <c r="J92" s="867">
        <v>10</v>
      </c>
      <c r="K92" s="76"/>
      <c r="L92" s="1479">
        <f>'Sistemas-Manutenção'!L89</f>
        <v>0</v>
      </c>
      <c r="M92" s="1479">
        <f>'Sistemas-Manutenção'!M89</f>
        <v>0</v>
      </c>
      <c r="N92" s="1479">
        <f>'Sistemas-Manutenção'!N89</f>
        <v>0</v>
      </c>
      <c r="O92" s="1479">
        <f>'Sistemas-Manutenção'!O89</f>
        <v>0</v>
      </c>
      <c r="P92" s="1479">
        <f>'Sistemas-Manutenção'!P89</f>
        <v>0</v>
      </c>
      <c r="Q92" s="1479">
        <f>'Sistemas-Manutenção'!Q89</f>
        <v>0</v>
      </c>
      <c r="R92" s="1479">
        <f>'Sistemas-Manutenção'!R89</f>
        <v>0</v>
      </c>
      <c r="S92" s="1479">
        <f>'Sistemas-Manutenção'!S89</f>
        <v>0</v>
      </c>
      <c r="T92" s="1479">
        <f>'Sistemas-Manutenção'!T89</f>
        <v>0</v>
      </c>
      <c r="U92" s="1479">
        <f>'Sistemas-Manutenção'!U89</f>
        <v>0</v>
      </c>
      <c r="V92" s="1479">
        <f>'Sistemas-Manutenção'!V89</f>
        <v>0</v>
      </c>
      <c r="W92" s="1479">
        <f>'Sistemas-Manutenção'!W89</f>
        <v>0</v>
      </c>
      <c r="X92" s="1479">
        <f>'Sistemas-Manutenção'!X89</f>
        <v>0</v>
      </c>
      <c r="Y92" s="1479">
        <f>'Sistemas-Manutenção'!Y89</f>
        <v>0</v>
      </c>
      <c r="Z92" s="1479">
        <f>'Sistemas-Manutenção'!Z89</f>
        <v>0</v>
      </c>
      <c r="AA92" s="1479">
        <f>'Sistemas-Manutenção'!AA89</f>
        <v>0</v>
      </c>
      <c r="AB92" s="1479">
        <f>'Sistemas-Manutenção'!AB89</f>
        <v>0</v>
      </c>
      <c r="AC92" s="1479">
        <f>'Sistemas-Manutenção'!AC89</f>
        <v>0</v>
      </c>
      <c r="AD92" s="1479">
        <f>'Sistemas-Manutenção'!AD89</f>
        <v>0</v>
      </c>
      <c r="AE92" s="1479">
        <f>'Sistemas-Manutenção'!AE89</f>
        <v>0</v>
      </c>
      <c r="AF92" s="1479">
        <f>'Sistemas-Manutenção'!AF89</f>
        <v>0</v>
      </c>
      <c r="AG92" s="1479">
        <f>'Sistemas-Manutenção'!AG89</f>
        <v>0</v>
      </c>
      <c r="AH92" s="1479">
        <f>'Sistemas-Manutenção'!AH89</f>
        <v>0</v>
      </c>
      <c r="AI92" s="1479">
        <f>'Sistemas-Manutenção'!AI89</f>
        <v>0</v>
      </c>
      <c r="AJ92" s="1479">
        <f>'Sistemas-Manutenção'!AJ89</f>
        <v>0</v>
      </c>
      <c r="AK92" s="1479">
        <f>'Sistemas-Manutenção'!AK89</f>
        <v>0</v>
      </c>
      <c r="AL92" s="1479">
        <f>'Sistemas-Manutenção'!AL89</f>
        <v>0</v>
      </c>
      <c r="AM92" s="1479">
        <f>'Sistemas-Manutenção'!AM89</f>
        <v>0</v>
      </c>
      <c r="AN92" s="1479">
        <f>'Sistemas-Manutenção'!AN89</f>
        <v>0</v>
      </c>
      <c r="AO92" s="1479">
        <f>'Sistemas-Manutenção'!AO89</f>
        <v>0</v>
      </c>
      <c r="AP92" s="80"/>
      <c r="AQ92" s="1479">
        <f>IF(L92&gt;K92,L92-K92,0)</f>
        <v>0</v>
      </c>
      <c r="AR92" s="1479">
        <f t="shared" si="956"/>
        <v>0</v>
      </c>
      <c r="AS92" s="1479">
        <f t="shared" si="956"/>
        <v>0</v>
      </c>
      <c r="AT92" s="1479">
        <f t="shared" si="956"/>
        <v>0</v>
      </c>
      <c r="AU92" s="1479">
        <f t="shared" si="956"/>
        <v>0</v>
      </c>
      <c r="AV92" s="1479">
        <f t="shared" si="956"/>
        <v>0</v>
      </c>
      <c r="AW92" s="1479">
        <f t="shared" si="956"/>
        <v>0</v>
      </c>
      <c r="AX92" s="1479">
        <f t="shared" si="956"/>
        <v>0</v>
      </c>
      <c r="AY92" s="1479">
        <f t="shared" si="956"/>
        <v>0</v>
      </c>
      <c r="AZ92" s="1479">
        <f t="shared" si="956"/>
        <v>0</v>
      </c>
      <c r="BA92" s="1479">
        <f t="shared" si="956"/>
        <v>0</v>
      </c>
      <c r="BB92" s="1479">
        <f t="shared" si="1016"/>
        <v>0</v>
      </c>
      <c r="BC92" s="1479">
        <f t="shared" si="1016"/>
        <v>0</v>
      </c>
      <c r="BD92" s="1479">
        <f t="shared" si="1016"/>
        <v>0</v>
      </c>
      <c r="BE92" s="1479">
        <f t="shared" si="1016"/>
        <v>0</v>
      </c>
      <c r="BF92" s="1479">
        <f t="shared" si="1016"/>
        <v>0</v>
      </c>
      <c r="BG92" s="1479">
        <f t="shared" si="957"/>
        <v>0</v>
      </c>
      <c r="BH92" s="1479">
        <f t="shared" si="958"/>
        <v>0</v>
      </c>
      <c r="BI92" s="1479">
        <f t="shared" si="959"/>
        <v>0</v>
      </c>
      <c r="BJ92" s="1479">
        <f t="shared" si="960"/>
        <v>0</v>
      </c>
      <c r="BK92" s="1479">
        <f t="shared" si="961"/>
        <v>0</v>
      </c>
      <c r="BL92" s="1479">
        <f t="shared" si="962"/>
        <v>0</v>
      </c>
      <c r="BM92" s="1479">
        <f t="shared" si="963"/>
        <v>0</v>
      </c>
      <c r="BN92" s="1479">
        <f t="shared" si="964"/>
        <v>0</v>
      </c>
      <c r="BO92" s="1479"/>
      <c r="BP92" s="1479"/>
      <c r="BQ92" s="1479"/>
      <c r="BR92" s="1479"/>
      <c r="BS92" s="1479"/>
      <c r="BT92" s="1479">
        <f t="shared" si="965"/>
        <v>0</v>
      </c>
      <c r="BU92" s="77"/>
      <c r="BV92" s="1571">
        <f t="shared" ca="1" si="966"/>
        <v>0</v>
      </c>
      <c r="BW92" s="1571">
        <f t="shared" ca="1" si="967"/>
        <v>0</v>
      </c>
      <c r="BX92" s="1571">
        <f t="shared" ca="1" si="968"/>
        <v>0</v>
      </c>
      <c r="BY92" s="1571">
        <f t="shared" ca="1" si="969"/>
        <v>0</v>
      </c>
      <c r="BZ92" s="1571">
        <f t="shared" ca="1" si="970"/>
        <v>0</v>
      </c>
      <c r="CA92" s="1571">
        <f t="shared" ca="1" si="971"/>
        <v>0</v>
      </c>
      <c r="CB92" s="1571">
        <f t="shared" ca="1" si="972"/>
        <v>0</v>
      </c>
      <c r="CC92" s="1571">
        <f t="shared" ca="1" si="973"/>
        <v>0</v>
      </c>
      <c r="CD92" s="1571">
        <f t="shared" ca="1" si="974"/>
        <v>0</v>
      </c>
      <c r="CE92" s="1571">
        <f t="shared" ca="1" si="975"/>
        <v>0</v>
      </c>
      <c r="CF92" s="1571">
        <f t="shared" ca="1" si="976"/>
        <v>0</v>
      </c>
      <c r="CG92" s="1571">
        <f t="shared" ca="1" si="977"/>
        <v>0</v>
      </c>
      <c r="CH92" s="1571">
        <f t="shared" ca="1" si="1017"/>
        <v>0</v>
      </c>
      <c r="CI92" s="1571">
        <f t="shared" ca="1" si="1018"/>
        <v>0</v>
      </c>
      <c r="CJ92" s="1571">
        <f t="shared" ca="1" si="1019"/>
        <v>0</v>
      </c>
      <c r="CK92" s="1571">
        <f t="shared" ca="1" si="1020"/>
        <v>0</v>
      </c>
      <c r="CL92" s="1571">
        <f t="shared" ca="1" si="1021"/>
        <v>0</v>
      </c>
      <c r="CM92" s="1571">
        <f t="shared" ca="1" si="1022"/>
        <v>0</v>
      </c>
      <c r="CN92" s="1571">
        <f t="shared" ca="1" si="1023"/>
        <v>0</v>
      </c>
      <c r="CO92" s="1571">
        <f t="shared" ca="1" si="1024"/>
        <v>0</v>
      </c>
      <c r="CP92" s="1571">
        <f t="shared" ca="1" si="1025"/>
        <v>0</v>
      </c>
      <c r="CQ92" s="1571">
        <f t="shared" ca="1" si="1026"/>
        <v>0</v>
      </c>
      <c r="CR92" s="1571">
        <f t="shared" ca="1" si="1027"/>
        <v>0</v>
      </c>
      <c r="CS92" s="1571">
        <f t="shared" ca="1" si="1028"/>
        <v>0</v>
      </c>
      <c r="CT92" s="1571">
        <f t="shared" ca="1" si="1029"/>
        <v>0</v>
      </c>
      <c r="CU92" s="1571">
        <f t="shared" ca="1" si="1030"/>
        <v>0</v>
      </c>
      <c r="CV92" s="1571">
        <f t="shared" ca="1" si="1031"/>
        <v>0</v>
      </c>
      <c r="CW92" s="1571">
        <f t="shared" ca="1" si="1032"/>
        <v>0</v>
      </c>
      <c r="CX92" s="1571">
        <f t="shared" ca="1" si="1033"/>
        <v>0</v>
      </c>
      <c r="CY92" s="1571">
        <f t="shared" ca="1" si="1034"/>
        <v>0</v>
      </c>
      <c r="CZ92" s="78"/>
      <c r="DA92" s="1569">
        <f t="shared" si="996"/>
        <v>0</v>
      </c>
      <c r="DB92" s="1569">
        <f t="shared" si="996"/>
        <v>0</v>
      </c>
      <c r="DC92" s="1569">
        <f t="shared" si="996"/>
        <v>0</v>
      </c>
      <c r="DD92" s="1569">
        <f t="shared" si="996"/>
        <v>0</v>
      </c>
      <c r="DE92" s="1569">
        <f t="shared" si="996"/>
        <v>0</v>
      </c>
      <c r="DF92" s="1569">
        <f t="shared" si="996"/>
        <v>0</v>
      </c>
      <c r="DG92" s="1569">
        <f t="shared" si="996"/>
        <v>0</v>
      </c>
      <c r="DH92" s="1569">
        <f t="shared" si="996"/>
        <v>0</v>
      </c>
      <c r="DI92" s="1569">
        <f t="shared" si="996"/>
        <v>0</v>
      </c>
      <c r="DJ92" s="1569">
        <f t="shared" si="996"/>
        <v>0</v>
      </c>
      <c r="DK92" s="1569">
        <f t="shared" si="996"/>
        <v>0</v>
      </c>
      <c r="DL92" s="865">
        <f t="shared" si="996"/>
        <v>0</v>
      </c>
      <c r="DM92" s="1569">
        <f t="shared" si="996"/>
        <v>0</v>
      </c>
      <c r="DN92" s="1569">
        <f t="shared" si="996"/>
        <v>0</v>
      </c>
      <c r="DO92" s="1569">
        <f t="shared" si="996"/>
        <v>0</v>
      </c>
      <c r="DP92" s="1569">
        <f t="shared" si="996"/>
        <v>0</v>
      </c>
      <c r="DQ92" s="1569">
        <f t="shared" si="997"/>
        <v>0</v>
      </c>
      <c r="DR92" s="1569">
        <f t="shared" si="997"/>
        <v>0</v>
      </c>
      <c r="DS92" s="1569">
        <f t="shared" si="997"/>
        <v>0</v>
      </c>
      <c r="DT92" s="1569">
        <f t="shared" si="997"/>
        <v>0</v>
      </c>
      <c r="DU92" s="1569">
        <f t="shared" si="997"/>
        <v>0</v>
      </c>
      <c r="DV92" s="1569">
        <f t="shared" si="997"/>
        <v>0</v>
      </c>
      <c r="DW92" s="1569">
        <f t="shared" si="997"/>
        <v>0</v>
      </c>
      <c r="DX92" s="1569">
        <f t="shared" si="997"/>
        <v>0</v>
      </c>
      <c r="DY92" s="1569"/>
      <c r="DZ92" s="1569"/>
      <c r="EA92" s="1569"/>
      <c r="EB92" s="1569"/>
      <c r="EC92" s="1569"/>
      <c r="ED92" s="1569">
        <f t="shared" si="998"/>
        <v>0</v>
      </c>
      <c r="EE92" s="79"/>
      <c r="EF92" s="1569">
        <f t="shared" ca="1" si="999"/>
        <v>0</v>
      </c>
      <c r="EG92" s="1569">
        <f t="shared" ca="1" si="999"/>
        <v>0</v>
      </c>
      <c r="EH92" s="1569">
        <f t="shared" ca="1" si="999"/>
        <v>0</v>
      </c>
      <c r="EI92" s="1569">
        <f t="shared" ca="1" si="999"/>
        <v>0</v>
      </c>
      <c r="EJ92" s="1569">
        <f t="shared" ca="1" si="999"/>
        <v>0</v>
      </c>
      <c r="EK92" s="1569">
        <f t="shared" ca="1" si="999"/>
        <v>0</v>
      </c>
      <c r="EL92" s="1569">
        <f t="shared" ca="1" si="999"/>
        <v>0</v>
      </c>
      <c r="EM92" s="1569">
        <f t="shared" ca="1" si="999"/>
        <v>0</v>
      </c>
      <c r="EN92" s="1569">
        <f t="shared" ca="1" si="999"/>
        <v>0</v>
      </c>
      <c r="EO92" s="1569">
        <f t="shared" ca="1" si="999"/>
        <v>0</v>
      </c>
      <c r="EP92" s="1569">
        <f t="shared" ca="1" si="999"/>
        <v>0</v>
      </c>
      <c r="EQ92" s="865">
        <f t="shared" ca="1" si="999"/>
        <v>0</v>
      </c>
      <c r="ER92" s="1569">
        <f t="shared" ca="1" si="999"/>
        <v>0</v>
      </c>
      <c r="ES92" s="1569">
        <f t="shared" ca="1" si="999"/>
        <v>0</v>
      </c>
      <c r="ET92" s="1569">
        <f t="shared" ca="1" si="999"/>
        <v>0</v>
      </c>
      <c r="EU92" s="1569">
        <f t="shared" ca="1" si="999"/>
        <v>0</v>
      </c>
      <c r="EV92" s="1569">
        <f t="shared" ca="1" si="1000"/>
        <v>0</v>
      </c>
      <c r="EW92" s="1569">
        <f t="shared" ca="1" si="1001"/>
        <v>0</v>
      </c>
      <c r="EX92" s="1569">
        <f t="shared" ca="1" si="1002"/>
        <v>0</v>
      </c>
      <c r="EY92" s="1569">
        <f t="shared" ca="1" si="1003"/>
        <v>0</v>
      </c>
      <c r="EZ92" s="1569">
        <f t="shared" ca="1" si="1004"/>
        <v>0</v>
      </c>
      <c r="FA92" s="1569">
        <f t="shared" ca="1" si="1005"/>
        <v>0</v>
      </c>
      <c r="FB92" s="1569">
        <f t="shared" ca="1" si="1006"/>
        <v>0</v>
      </c>
      <c r="FC92" s="1569">
        <f t="shared" ca="1" si="1007"/>
        <v>0</v>
      </c>
      <c r="FD92" s="1569">
        <f t="shared" ca="1" si="1008"/>
        <v>0</v>
      </c>
      <c r="FE92" s="1569">
        <f t="shared" ca="1" si="1009"/>
        <v>0</v>
      </c>
      <c r="FF92" s="1569">
        <f t="shared" ca="1" si="1010"/>
        <v>0</v>
      </c>
      <c r="FG92" s="1569">
        <f t="shared" ca="1" si="1011"/>
        <v>0</v>
      </c>
      <c r="FH92" s="1569">
        <f t="shared" ca="1" si="1012"/>
        <v>0</v>
      </c>
      <c r="FI92" s="1569">
        <f t="shared" ca="1" si="1013"/>
        <v>0</v>
      </c>
    </row>
    <row r="93" spans="1:165">
      <c r="A93" s="595"/>
      <c r="B93" s="598"/>
      <c r="C93" s="599"/>
      <c r="F93" s="1575"/>
      <c r="G93" s="872"/>
      <c r="H93" s="865"/>
      <c r="I93" s="1569">
        <f t="shared" si="1014"/>
        <v>0</v>
      </c>
      <c r="J93" s="1575"/>
      <c r="K93" s="23"/>
      <c r="L93" s="863"/>
      <c r="M93" s="863"/>
      <c r="N93" s="863"/>
      <c r="O93" s="863"/>
      <c r="P93" s="863"/>
      <c r="Q93" s="863"/>
      <c r="R93" s="863"/>
      <c r="S93" s="863"/>
      <c r="T93" s="863"/>
      <c r="U93" s="863"/>
      <c r="V93" s="863"/>
      <c r="W93" s="863"/>
      <c r="X93" s="863"/>
      <c r="Y93" s="863"/>
      <c r="Z93" s="863"/>
      <c r="AA93" s="863"/>
      <c r="AB93" s="863"/>
      <c r="AC93" s="863"/>
      <c r="AD93" s="863"/>
      <c r="AE93" s="863"/>
      <c r="AF93" s="863"/>
      <c r="AG93" s="863"/>
      <c r="AH93" s="863"/>
      <c r="AI93" s="863"/>
      <c r="AJ93" s="863"/>
      <c r="AK93" s="863"/>
      <c r="AL93" s="863"/>
      <c r="AM93" s="863"/>
      <c r="AN93" s="863"/>
      <c r="AO93" s="863"/>
      <c r="AP93" s="81"/>
      <c r="AQ93" s="1479">
        <f t="shared" ref="AQ93:AQ95" si="1035">IF(L93&gt;K93,L93-K93,0)</f>
        <v>0</v>
      </c>
      <c r="AR93" s="864"/>
      <c r="AS93" s="864"/>
      <c r="AT93" s="864"/>
      <c r="AU93" s="864"/>
      <c r="AV93" s="864"/>
      <c r="AW93" s="864"/>
      <c r="AX93" s="864"/>
      <c r="AY93" s="864"/>
      <c r="AZ93" s="864"/>
      <c r="BA93" s="864"/>
      <c r="BB93" s="864"/>
      <c r="BC93" s="864"/>
      <c r="BD93" s="864"/>
      <c r="BE93" s="864"/>
      <c r="BF93" s="864"/>
      <c r="BG93" s="864"/>
      <c r="BH93" s="864"/>
      <c r="BI93" s="864"/>
      <c r="BJ93" s="864"/>
      <c r="BK93" s="864"/>
      <c r="BL93" s="864"/>
      <c r="BM93" s="864"/>
      <c r="BN93" s="864"/>
      <c r="BO93" s="864"/>
      <c r="BP93" s="864"/>
      <c r="BQ93" s="864"/>
      <c r="BR93" s="864"/>
      <c r="BS93" s="864"/>
      <c r="BT93" s="864"/>
      <c r="BU93" s="81"/>
      <c r="BV93" s="864"/>
      <c r="BW93" s="864"/>
      <c r="BX93" s="864"/>
      <c r="BY93" s="864"/>
      <c r="BZ93" s="864"/>
      <c r="CA93" s="864"/>
      <c r="CB93" s="864"/>
      <c r="CC93" s="864"/>
      <c r="CD93" s="864"/>
      <c r="CE93" s="864"/>
      <c r="CF93" s="864"/>
      <c r="CG93" s="864"/>
      <c r="CH93" s="864"/>
      <c r="CI93" s="864"/>
      <c r="CJ93" s="864"/>
      <c r="CK93" s="864"/>
      <c r="CL93" s="864"/>
      <c r="CM93" s="864"/>
      <c r="CN93" s="864"/>
      <c r="CO93" s="864"/>
      <c r="CP93" s="864"/>
      <c r="CQ93" s="864"/>
      <c r="CR93" s="864"/>
      <c r="CS93" s="864"/>
      <c r="CT93" s="864"/>
      <c r="CU93" s="864"/>
      <c r="CV93" s="864"/>
      <c r="CW93" s="864"/>
      <c r="CX93" s="864"/>
      <c r="CY93" s="864"/>
      <c r="CZ93" s="85"/>
      <c r="DA93" s="865">
        <f t="shared" si="996"/>
        <v>0</v>
      </c>
      <c r="DB93" s="865">
        <f t="shared" si="996"/>
        <v>0</v>
      </c>
      <c r="DC93" s="865">
        <f t="shared" si="996"/>
        <v>0</v>
      </c>
      <c r="DD93" s="865">
        <f t="shared" si="996"/>
        <v>0</v>
      </c>
      <c r="DE93" s="865">
        <f t="shared" si="996"/>
        <v>0</v>
      </c>
      <c r="DF93" s="865">
        <f t="shared" si="996"/>
        <v>0</v>
      </c>
      <c r="DG93" s="865">
        <f t="shared" si="996"/>
        <v>0</v>
      </c>
      <c r="DH93" s="865">
        <f t="shared" si="996"/>
        <v>0</v>
      </c>
      <c r="DI93" s="865">
        <f t="shared" si="996"/>
        <v>0</v>
      </c>
      <c r="DJ93" s="865">
        <f t="shared" si="996"/>
        <v>0</v>
      </c>
      <c r="DK93" s="865">
        <f t="shared" si="996"/>
        <v>0</v>
      </c>
      <c r="DL93" s="865">
        <f t="shared" si="996"/>
        <v>0</v>
      </c>
      <c r="DM93" s="865">
        <f t="shared" si="996"/>
        <v>0</v>
      </c>
      <c r="DN93" s="865">
        <f t="shared" si="996"/>
        <v>0</v>
      </c>
      <c r="DO93" s="865">
        <f t="shared" si="996"/>
        <v>0</v>
      </c>
      <c r="DP93" s="865">
        <f t="shared" si="996"/>
        <v>0</v>
      </c>
      <c r="DQ93" s="865">
        <f t="shared" si="997"/>
        <v>0</v>
      </c>
      <c r="DR93" s="865">
        <f t="shared" si="997"/>
        <v>0</v>
      </c>
      <c r="DS93" s="865">
        <f t="shared" si="997"/>
        <v>0</v>
      </c>
      <c r="DT93" s="865">
        <f t="shared" si="997"/>
        <v>0</v>
      </c>
      <c r="DU93" s="865">
        <f t="shared" si="997"/>
        <v>0</v>
      </c>
      <c r="DV93" s="865">
        <f t="shared" si="997"/>
        <v>0</v>
      </c>
      <c r="DW93" s="865">
        <f t="shared" si="997"/>
        <v>0</v>
      </c>
      <c r="DX93" s="865">
        <f t="shared" si="997"/>
        <v>0</v>
      </c>
      <c r="DY93" s="865"/>
      <c r="DZ93" s="865"/>
      <c r="EA93" s="865"/>
      <c r="EB93" s="865"/>
      <c r="EC93" s="865"/>
      <c r="ED93" s="865">
        <f t="shared" si="998"/>
        <v>0</v>
      </c>
      <c r="EE93" s="79"/>
      <c r="EF93" s="865">
        <f t="shared" si="999"/>
        <v>0</v>
      </c>
      <c r="EG93" s="865">
        <f t="shared" si="999"/>
        <v>0</v>
      </c>
      <c r="EH93" s="865">
        <f t="shared" si="999"/>
        <v>0</v>
      </c>
      <c r="EI93" s="865">
        <f t="shared" si="999"/>
        <v>0</v>
      </c>
      <c r="EJ93" s="865">
        <f t="shared" si="999"/>
        <v>0</v>
      </c>
      <c r="EK93" s="865">
        <f t="shared" si="999"/>
        <v>0</v>
      </c>
      <c r="EL93" s="865">
        <f t="shared" si="999"/>
        <v>0</v>
      </c>
      <c r="EM93" s="865">
        <f t="shared" si="999"/>
        <v>0</v>
      </c>
      <c r="EN93" s="865">
        <f t="shared" si="999"/>
        <v>0</v>
      </c>
      <c r="EO93" s="865">
        <f t="shared" si="999"/>
        <v>0</v>
      </c>
      <c r="EP93" s="865">
        <f t="shared" si="999"/>
        <v>0</v>
      </c>
      <c r="EQ93" s="865">
        <f t="shared" si="999"/>
        <v>0</v>
      </c>
      <c r="ER93" s="865">
        <f t="shared" si="999"/>
        <v>0</v>
      </c>
      <c r="ES93" s="865">
        <f t="shared" si="999"/>
        <v>0</v>
      </c>
      <c r="ET93" s="865">
        <f t="shared" si="999"/>
        <v>0</v>
      </c>
      <c r="EU93" s="865">
        <f t="shared" si="999"/>
        <v>0</v>
      </c>
      <c r="EV93" s="865">
        <f t="shared" si="1000"/>
        <v>0</v>
      </c>
      <c r="EW93" s="865">
        <f t="shared" si="1001"/>
        <v>0</v>
      </c>
      <c r="EX93" s="865">
        <f t="shared" si="1002"/>
        <v>0</v>
      </c>
      <c r="EY93" s="865">
        <f t="shared" si="1003"/>
        <v>0</v>
      </c>
      <c r="EZ93" s="865">
        <f t="shared" si="1004"/>
        <v>0</v>
      </c>
      <c r="FA93" s="865">
        <f t="shared" si="1005"/>
        <v>0</v>
      </c>
      <c r="FB93" s="865">
        <f t="shared" si="1006"/>
        <v>0</v>
      </c>
      <c r="FC93" s="865">
        <f t="shared" si="1007"/>
        <v>0</v>
      </c>
      <c r="FD93" s="865">
        <f t="shared" si="1008"/>
        <v>0</v>
      </c>
      <c r="FE93" s="865">
        <f t="shared" si="1009"/>
        <v>0</v>
      </c>
      <c r="FF93" s="865">
        <f t="shared" si="1010"/>
        <v>0</v>
      </c>
      <c r="FG93" s="865">
        <f t="shared" si="1011"/>
        <v>0</v>
      </c>
      <c r="FH93" s="865">
        <f t="shared" si="1012"/>
        <v>0</v>
      </c>
      <c r="FI93" s="865">
        <f t="shared" si="1013"/>
        <v>0</v>
      </c>
    </row>
    <row r="94" spans="1:165" ht="12.75" customHeight="1">
      <c r="A94" s="595"/>
      <c r="B94" s="598"/>
      <c r="C94" s="599"/>
      <c r="D94" s="68" t="s">
        <v>1741</v>
      </c>
      <c r="E94" s="68" t="str">
        <f>LEFT(D94,LEN(D94)-1) &amp; RIGHT(D94,1)+1</f>
        <v>8.11</v>
      </c>
      <c r="F94" s="1564" t="s">
        <v>1742</v>
      </c>
      <c r="G94" s="733" t="s">
        <v>1717</v>
      </c>
      <c r="H94" s="734">
        <f>SUM(DA94:ED94)</f>
        <v>38500000</v>
      </c>
      <c r="I94" s="734">
        <f>SUM(EF94:FI94)</f>
        <v>110729.31525</v>
      </c>
      <c r="J94" s="1577"/>
      <c r="K94" s="1613"/>
      <c r="L94" s="1588"/>
      <c r="M94" s="1588"/>
      <c r="N94" s="1588"/>
      <c r="O94" s="1588"/>
      <c r="P94" s="1588"/>
      <c r="Q94" s="1588"/>
      <c r="R94" s="1588"/>
      <c r="S94" s="1588"/>
      <c r="T94" s="1588"/>
      <c r="U94" s="1588"/>
      <c r="V94" s="1588"/>
      <c r="W94" s="1588"/>
      <c r="X94" s="1588"/>
      <c r="Y94" s="1588"/>
      <c r="Z94" s="1588"/>
      <c r="AA94" s="1588"/>
      <c r="AB94" s="1588"/>
      <c r="AC94" s="1588"/>
      <c r="AD94" s="1588"/>
      <c r="AE94" s="1588"/>
      <c r="AF94" s="1588"/>
      <c r="AG94" s="1588"/>
      <c r="AH94" s="1589"/>
      <c r="AI94" s="1589"/>
      <c r="AJ94" s="1589"/>
      <c r="AK94" s="1589"/>
      <c r="AL94" s="1589"/>
      <c r="AM94" s="1589"/>
      <c r="AN94" s="1589"/>
      <c r="AO94" s="1589"/>
      <c r="AP94" s="392"/>
      <c r="AQ94" s="1479">
        <f t="shared" si="1035"/>
        <v>0</v>
      </c>
      <c r="AR94" s="1588"/>
      <c r="AS94" s="1588"/>
      <c r="AT94" s="1588"/>
      <c r="AU94" s="1588"/>
      <c r="AV94" s="1588"/>
      <c r="AW94" s="1588"/>
      <c r="AX94" s="1588"/>
      <c r="AY94" s="1588"/>
      <c r="AZ94" s="1588"/>
      <c r="BA94" s="1588"/>
      <c r="BB94" s="1588"/>
      <c r="BC94" s="1588"/>
      <c r="BD94" s="1588"/>
      <c r="BE94" s="1588"/>
      <c r="BF94" s="1588"/>
      <c r="BG94" s="1588"/>
      <c r="BH94" s="1588"/>
      <c r="BI94" s="1588"/>
      <c r="BJ94" s="1588"/>
      <c r="BK94" s="1588"/>
      <c r="BL94" s="1588"/>
      <c r="BM94" s="1589"/>
      <c r="BN94" s="1589"/>
      <c r="BO94" s="1589"/>
      <c r="BP94" s="1589"/>
      <c r="BQ94" s="1589"/>
      <c r="BR94" s="1589"/>
      <c r="BS94" s="1589"/>
      <c r="BT94" s="1589"/>
      <c r="BU94" s="392"/>
      <c r="BV94" s="1590"/>
      <c r="BW94" s="1588"/>
      <c r="BX94" s="1588"/>
      <c r="BY94" s="1588"/>
      <c r="BZ94" s="1588"/>
      <c r="CA94" s="1588"/>
      <c r="CB94" s="1588"/>
      <c r="CC94" s="1588"/>
      <c r="CD94" s="1588"/>
      <c r="CE94" s="1588"/>
      <c r="CF94" s="1588"/>
      <c r="CG94" s="1588"/>
      <c r="CH94" s="1588"/>
      <c r="CI94" s="1588"/>
      <c r="CJ94" s="1588"/>
      <c r="CK94" s="1588"/>
      <c r="CL94" s="1588"/>
      <c r="CM94" s="1588"/>
      <c r="CN94" s="1588"/>
      <c r="CO94" s="1588"/>
      <c r="CP94" s="1588"/>
      <c r="CQ94" s="1588"/>
      <c r="CR94" s="1589"/>
      <c r="CS94" s="1589"/>
      <c r="CT94" s="1589"/>
      <c r="CU94" s="1589"/>
      <c r="CV94" s="1589"/>
      <c r="CW94" s="1589"/>
      <c r="CX94" s="1589"/>
      <c r="CY94" s="1589"/>
      <c r="CZ94" s="84"/>
      <c r="DA94" s="1614">
        <f>SUBTOTAL(9,DA95:DA96)</f>
        <v>38500000</v>
      </c>
      <c r="DB94" s="1614">
        <f t="shared" ref="DB94:ED94" si="1036">SUBTOTAL(9,DB95:DB96)</f>
        <v>0</v>
      </c>
      <c r="DC94" s="1614">
        <f t="shared" si="1036"/>
        <v>0</v>
      </c>
      <c r="DD94" s="1614">
        <f t="shared" si="1036"/>
        <v>0</v>
      </c>
      <c r="DE94" s="1614">
        <f t="shared" si="1036"/>
        <v>0</v>
      </c>
      <c r="DF94" s="1614">
        <f t="shared" si="1036"/>
        <v>0</v>
      </c>
      <c r="DG94" s="1614">
        <f t="shared" si="1036"/>
        <v>0</v>
      </c>
      <c r="DH94" s="1614">
        <f t="shared" si="1036"/>
        <v>0</v>
      </c>
      <c r="DI94" s="1614">
        <f t="shared" si="1036"/>
        <v>0</v>
      </c>
      <c r="DJ94" s="1614">
        <f t="shared" si="1036"/>
        <v>0</v>
      </c>
      <c r="DK94" s="1614">
        <f t="shared" si="1036"/>
        <v>0</v>
      </c>
      <c r="DL94" s="1614">
        <f t="shared" si="1036"/>
        <v>0</v>
      </c>
      <c r="DM94" s="1614">
        <f t="shared" si="1036"/>
        <v>0</v>
      </c>
      <c r="DN94" s="1614">
        <f t="shared" si="1036"/>
        <v>0</v>
      </c>
      <c r="DO94" s="1614">
        <f t="shared" si="1036"/>
        <v>0</v>
      </c>
      <c r="DP94" s="1614">
        <f t="shared" si="1036"/>
        <v>0</v>
      </c>
      <c r="DQ94" s="1614">
        <f t="shared" si="1036"/>
        <v>0</v>
      </c>
      <c r="DR94" s="1614">
        <f t="shared" si="1036"/>
        <v>0</v>
      </c>
      <c r="DS94" s="1614">
        <f t="shared" si="1036"/>
        <v>0</v>
      </c>
      <c r="DT94" s="1614">
        <f t="shared" si="1036"/>
        <v>0</v>
      </c>
      <c r="DU94" s="1614">
        <f t="shared" si="1036"/>
        <v>0</v>
      </c>
      <c r="DV94" s="1614">
        <f t="shared" si="1036"/>
        <v>0</v>
      </c>
      <c r="DW94" s="1614">
        <f t="shared" si="1036"/>
        <v>0</v>
      </c>
      <c r="DX94" s="1614">
        <f t="shared" si="1036"/>
        <v>0</v>
      </c>
      <c r="DY94" s="1614">
        <f t="shared" si="1036"/>
        <v>0</v>
      </c>
      <c r="DZ94" s="1614">
        <f t="shared" si="1036"/>
        <v>0</v>
      </c>
      <c r="EA94" s="1614">
        <f t="shared" si="1036"/>
        <v>0</v>
      </c>
      <c r="EB94" s="1614">
        <f t="shared" si="1036"/>
        <v>0</v>
      </c>
      <c r="EC94" s="1614">
        <f t="shared" si="1036"/>
        <v>0</v>
      </c>
      <c r="ED94" s="1614">
        <f t="shared" si="1036"/>
        <v>0</v>
      </c>
      <c r="EE94" s="79"/>
      <c r="EF94" s="1591">
        <v>0</v>
      </c>
      <c r="EG94" s="1591">
        <v>0</v>
      </c>
      <c r="EH94" s="1591">
        <v>0</v>
      </c>
      <c r="EI94" s="1591">
        <v>0</v>
      </c>
      <c r="EJ94" s="1591">
        <v>0</v>
      </c>
      <c r="EK94" s="1591">
        <v>0</v>
      </c>
      <c r="EL94" s="1591">
        <v>0</v>
      </c>
      <c r="EM94" s="1591">
        <v>0</v>
      </c>
      <c r="EN94" s="1591">
        <v>0</v>
      </c>
      <c r="EO94" s="1591">
        <v>0</v>
      </c>
      <c r="EP94" s="1591">
        <v>0</v>
      </c>
      <c r="EQ94" s="1591">
        <v>0</v>
      </c>
      <c r="ER94" s="1591">
        <v>0</v>
      </c>
      <c r="ES94" s="1591">
        <v>0</v>
      </c>
      <c r="ET94" s="1591">
        <v>0</v>
      </c>
      <c r="EU94" s="1591">
        <v>0</v>
      </c>
      <c r="EV94" s="1591">
        <v>0</v>
      </c>
      <c r="EW94" s="1591">
        <v>0</v>
      </c>
      <c r="EX94" s="1591">
        <v>0</v>
      </c>
      <c r="EY94" s="1591">
        <v>0</v>
      </c>
      <c r="EZ94" s="1591">
        <v>110729.31525</v>
      </c>
      <c r="FA94" s="1591">
        <v>0</v>
      </c>
      <c r="FB94" s="1591">
        <v>0</v>
      </c>
      <c r="FC94" s="1591">
        <v>0</v>
      </c>
      <c r="FD94" s="1591">
        <v>0</v>
      </c>
      <c r="FE94" s="1591">
        <v>0</v>
      </c>
      <c r="FF94" s="1591">
        <v>0</v>
      </c>
      <c r="FG94" s="1591">
        <v>0</v>
      </c>
      <c r="FH94" s="1591">
        <v>0</v>
      </c>
      <c r="FI94" s="1591">
        <v>0</v>
      </c>
    </row>
    <row r="95" spans="1:165">
      <c r="A95" s="595"/>
      <c r="B95" s="598"/>
      <c r="C95" s="599"/>
      <c r="F95" s="862" t="s">
        <v>1743</v>
      </c>
      <c r="G95" s="399" t="s">
        <v>1718</v>
      </c>
      <c r="H95" s="1615">
        <f>'Sistemas - Cotações'!F65</f>
        <v>3500000</v>
      </c>
      <c r="I95" s="83">
        <f>H95*0.95</f>
        <v>3325000</v>
      </c>
      <c r="J95" s="872">
        <v>30</v>
      </c>
      <c r="K95" s="23"/>
      <c r="L95" s="863">
        <f>'Sistemas-Manutenção'!L92</f>
        <v>11</v>
      </c>
      <c r="M95" s="863">
        <f>'Sistemas-Manutenção'!M92</f>
        <v>11</v>
      </c>
      <c r="N95" s="863">
        <f>'Sistemas-Manutenção'!N92</f>
        <v>11</v>
      </c>
      <c r="O95" s="863">
        <f>'Sistemas-Manutenção'!O92</f>
        <v>11</v>
      </c>
      <c r="P95" s="863">
        <f>'Sistemas-Manutenção'!P92</f>
        <v>11</v>
      </c>
      <c r="Q95" s="863">
        <f>'Sistemas-Manutenção'!Q92</f>
        <v>11</v>
      </c>
      <c r="R95" s="863">
        <f>'Sistemas-Manutenção'!R92</f>
        <v>11</v>
      </c>
      <c r="S95" s="863">
        <f>'Sistemas-Manutenção'!S92</f>
        <v>11</v>
      </c>
      <c r="T95" s="863">
        <f>'Sistemas-Manutenção'!T92</f>
        <v>11</v>
      </c>
      <c r="U95" s="863">
        <f>'Sistemas-Manutenção'!U92</f>
        <v>11</v>
      </c>
      <c r="V95" s="863">
        <f>'Sistemas-Manutenção'!V92</f>
        <v>11</v>
      </c>
      <c r="W95" s="863">
        <f>'Sistemas-Manutenção'!W92</f>
        <v>11</v>
      </c>
      <c r="X95" s="863">
        <f>'Sistemas-Manutenção'!X92</f>
        <v>11</v>
      </c>
      <c r="Y95" s="863">
        <f>'Sistemas-Manutenção'!Y92</f>
        <v>11</v>
      </c>
      <c r="Z95" s="863">
        <f>'Sistemas-Manutenção'!Z92</f>
        <v>11</v>
      </c>
      <c r="AA95" s="863">
        <f>'Sistemas-Manutenção'!AA92</f>
        <v>11</v>
      </c>
      <c r="AB95" s="863">
        <f>'Sistemas-Manutenção'!AB92</f>
        <v>11</v>
      </c>
      <c r="AC95" s="863">
        <f>'Sistemas-Manutenção'!AC92</f>
        <v>11</v>
      </c>
      <c r="AD95" s="863">
        <f>'Sistemas-Manutenção'!AD92</f>
        <v>11</v>
      </c>
      <c r="AE95" s="863">
        <f>'Sistemas-Manutenção'!AE92</f>
        <v>11</v>
      </c>
      <c r="AF95" s="863">
        <f>'Sistemas-Manutenção'!AF92</f>
        <v>11</v>
      </c>
      <c r="AG95" s="863">
        <f>'Sistemas-Manutenção'!AG92</f>
        <v>11</v>
      </c>
      <c r="AH95" s="863">
        <f>'Sistemas-Manutenção'!AH92</f>
        <v>11</v>
      </c>
      <c r="AI95" s="863">
        <f>'Sistemas-Manutenção'!AI92</f>
        <v>11</v>
      </c>
      <c r="AJ95" s="863">
        <f>'Sistemas-Manutenção'!AJ92</f>
        <v>11</v>
      </c>
      <c r="AK95" s="863">
        <f>'Sistemas-Manutenção'!AK92</f>
        <v>11</v>
      </c>
      <c r="AL95" s="863">
        <f>'Sistemas-Manutenção'!AL92</f>
        <v>11</v>
      </c>
      <c r="AM95" s="863">
        <f>'Sistemas-Manutenção'!AM92</f>
        <v>11</v>
      </c>
      <c r="AN95" s="863">
        <f>'Sistemas-Manutenção'!AN92</f>
        <v>11</v>
      </c>
      <c r="AO95" s="863">
        <f>'Sistemas-Manutenção'!AO92</f>
        <v>11</v>
      </c>
      <c r="AP95" s="863">
        <f>'Sistemas-Manutenção'!AP92</f>
        <v>0</v>
      </c>
      <c r="AQ95" s="1479">
        <f t="shared" si="1035"/>
        <v>11</v>
      </c>
      <c r="AR95" s="864"/>
      <c r="AS95" s="864"/>
      <c r="AT95" s="864"/>
      <c r="AU95" s="864"/>
      <c r="AV95" s="864"/>
      <c r="AW95" s="864"/>
      <c r="AX95" s="864"/>
      <c r="AY95" s="864"/>
      <c r="AZ95" s="864"/>
      <c r="BA95" s="864"/>
      <c r="BB95" s="864"/>
      <c r="BC95" s="864"/>
      <c r="BD95" s="864"/>
      <c r="BE95" s="864"/>
      <c r="BF95" s="864"/>
      <c r="BG95" s="864"/>
      <c r="BH95" s="864"/>
      <c r="BI95" s="864"/>
      <c r="BJ95" s="864"/>
      <c r="BK95" s="864"/>
      <c r="BL95" s="864"/>
      <c r="BM95" s="864"/>
      <c r="BN95" s="864"/>
      <c r="BO95" s="864"/>
      <c r="BP95" s="864"/>
      <c r="BQ95" s="864"/>
      <c r="BR95" s="864"/>
      <c r="BS95" s="864"/>
      <c r="BT95" s="864"/>
      <c r="BU95" s="81"/>
      <c r="BV95" s="864"/>
      <c r="BW95" s="864"/>
      <c r="BX95" s="864"/>
      <c r="BY95" s="864"/>
      <c r="BZ95" s="864"/>
      <c r="CA95" s="864"/>
      <c r="CB95" s="864"/>
      <c r="CC95" s="864"/>
      <c r="CD95" s="864"/>
      <c r="CE95" s="864"/>
      <c r="CF95" s="864"/>
      <c r="CG95" s="864"/>
      <c r="CH95" s="864"/>
      <c r="CI95" s="864"/>
      <c r="CJ95" s="864"/>
      <c r="CK95" s="864"/>
      <c r="CL95" s="864"/>
      <c r="CM95" s="864"/>
      <c r="CN95" s="864"/>
      <c r="CO95" s="864"/>
      <c r="CP95" s="864"/>
      <c r="CQ95" s="864"/>
      <c r="CR95" s="864"/>
      <c r="CS95" s="864"/>
      <c r="CT95" s="864"/>
      <c r="CU95" s="864"/>
      <c r="CV95" s="864"/>
      <c r="CW95" s="864"/>
      <c r="CX95" s="864"/>
      <c r="CY95" s="864"/>
      <c r="CZ95" s="85"/>
      <c r="DA95" s="865">
        <f t="shared" ref="DA95" si="1037">AQ95*$H95</f>
        <v>38500000</v>
      </c>
      <c r="DB95" s="865"/>
      <c r="DC95" s="865"/>
      <c r="DD95" s="865"/>
      <c r="DE95" s="865"/>
      <c r="DF95" s="865"/>
      <c r="DG95" s="865"/>
      <c r="DH95" s="865"/>
      <c r="DI95" s="865"/>
      <c r="DJ95" s="865"/>
      <c r="DK95" s="865"/>
      <c r="DL95" s="865"/>
      <c r="DM95" s="865"/>
      <c r="DN95" s="865"/>
      <c r="DO95" s="865"/>
      <c r="DP95" s="865"/>
      <c r="DQ95" s="865"/>
      <c r="DR95" s="865"/>
      <c r="DS95" s="865"/>
      <c r="DT95" s="865"/>
      <c r="DU95" s="865"/>
      <c r="DV95" s="865"/>
      <c r="DW95" s="865"/>
      <c r="DX95" s="865"/>
      <c r="DY95" s="865"/>
      <c r="DZ95" s="865"/>
      <c r="EA95" s="865"/>
      <c r="EB95" s="865"/>
      <c r="EC95" s="865"/>
      <c r="ED95" s="865"/>
      <c r="EE95" s="79"/>
      <c r="EF95" s="865"/>
      <c r="EG95" s="865"/>
      <c r="EH95" s="865"/>
      <c r="EI95" s="865"/>
      <c r="EJ95" s="865"/>
      <c r="EK95" s="865"/>
      <c r="EL95" s="865"/>
      <c r="EM95" s="865"/>
      <c r="EN95" s="865"/>
      <c r="EO95" s="865"/>
      <c r="EP95" s="865"/>
      <c r="EQ95" s="865"/>
      <c r="ER95" s="865"/>
      <c r="ES95" s="865"/>
      <c r="ET95" s="865"/>
      <c r="EU95" s="865"/>
      <c r="EV95" s="865"/>
      <c r="EW95" s="865"/>
      <c r="EX95" s="865"/>
      <c r="EY95" s="865"/>
      <c r="EZ95" s="865"/>
      <c r="FA95" s="865"/>
      <c r="FB95" s="865"/>
      <c r="FC95" s="865"/>
      <c r="FD95" s="865"/>
      <c r="FE95" s="865"/>
      <c r="FF95" s="865"/>
      <c r="FG95" s="865"/>
      <c r="FH95" s="865"/>
      <c r="FI95" s="865"/>
    </row>
    <row r="96" spans="1:165" ht="12.75" customHeight="1">
      <c r="A96" s="595"/>
      <c r="B96" s="598"/>
      <c r="C96" s="599"/>
      <c r="F96" s="862"/>
      <c r="G96" s="399"/>
      <c r="H96" s="1615"/>
      <c r="I96" s="83"/>
      <c r="J96" s="872"/>
      <c r="K96" s="23"/>
      <c r="L96" s="863"/>
      <c r="M96" s="863"/>
      <c r="N96" s="863"/>
      <c r="O96" s="863"/>
      <c r="P96" s="863"/>
      <c r="Q96" s="863"/>
      <c r="R96" s="863"/>
      <c r="S96" s="863"/>
      <c r="T96" s="863"/>
      <c r="U96" s="863"/>
      <c r="V96" s="863"/>
      <c r="W96" s="863"/>
      <c r="X96" s="863"/>
      <c r="Y96" s="863"/>
      <c r="Z96" s="863"/>
      <c r="AA96" s="863"/>
      <c r="AB96" s="863"/>
      <c r="AC96" s="863"/>
      <c r="AD96" s="863"/>
      <c r="AE96" s="863"/>
      <c r="AF96" s="863"/>
      <c r="AG96" s="863"/>
      <c r="AH96" s="863"/>
      <c r="AI96" s="863"/>
      <c r="AJ96" s="863"/>
      <c r="AK96" s="863"/>
      <c r="AL96" s="863"/>
      <c r="AM96" s="863"/>
      <c r="AN96" s="863"/>
      <c r="AO96" s="863"/>
      <c r="AP96" s="81"/>
      <c r="AQ96" s="864"/>
      <c r="AR96" s="864"/>
      <c r="AS96" s="864"/>
      <c r="AT96" s="864"/>
      <c r="AU96" s="864"/>
      <c r="AV96" s="864"/>
      <c r="AW96" s="864"/>
      <c r="AX96" s="864"/>
      <c r="AY96" s="864"/>
      <c r="AZ96" s="864"/>
      <c r="BA96" s="864"/>
      <c r="BB96" s="864"/>
      <c r="BC96" s="864"/>
      <c r="BD96" s="864"/>
      <c r="BE96" s="864"/>
      <c r="BF96" s="864"/>
      <c r="BG96" s="864"/>
      <c r="BH96" s="864"/>
      <c r="BI96" s="864"/>
      <c r="BJ96" s="864"/>
      <c r="BK96" s="864"/>
      <c r="BL96" s="864"/>
      <c r="BM96" s="864"/>
      <c r="BN96" s="864"/>
      <c r="BO96" s="864"/>
      <c r="BP96" s="864"/>
      <c r="BQ96" s="864"/>
      <c r="BR96" s="864"/>
      <c r="BS96" s="864"/>
      <c r="BT96" s="864"/>
      <c r="BU96" s="81"/>
      <c r="BV96" s="864"/>
      <c r="BW96" s="864"/>
      <c r="BX96" s="864"/>
      <c r="BY96" s="864"/>
      <c r="BZ96" s="864"/>
      <c r="CA96" s="864"/>
      <c r="CB96" s="864"/>
      <c r="CC96" s="864"/>
      <c r="CD96" s="864"/>
      <c r="CE96" s="864"/>
      <c r="CF96" s="864"/>
      <c r="CG96" s="864"/>
      <c r="CH96" s="864"/>
      <c r="CI96" s="864"/>
      <c r="CJ96" s="864"/>
      <c r="CK96" s="864"/>
      <c r="CL96" s="864"/>
      <c r="CM96" s="864"/>
      <c r="CN96" s="864"/>
      <c r="CO96" s="864"/>
      <c r="CP96" s="864"/>
      <c r="CQ96" s="864"/>
      <c r="CR96" s="864"/>
      <c r="CS96" s="864"/>
      <c r="CT96" s="864"/>
      <c r="CU96" s="864"/>
      <c r="CV96" s="864"/>
      <c r="CW96" s="864"/>
      <c r="CX96" s="864"/>
      <c r="CY96" s="864"/>
      <c r="CZ96" s="85"/>
      <c r="DA96" s="865"/>
      <c r="DB96" s="865"/>
      <c r="DC96" s="865"/>
      <c r="DD96" s="865"/>
      <c r="DE96" s="865"/>
      <c r="DF96" s="865"/>
      <c r="DG96" s="865"/>
      <c r="DH96" s="865"/>
      <c r="DI96" s="865"/>
      <c r="DJ96" s="865"/>
      <c r="DK96" s="865"/>
      <c r="DL96" s="865"/>
      <c r="DM96" s="865"/>
      <c r="DN96" s="865"/>
      <c r="DO96" s="865"/>
      <c r="DP96" s="865"/>
      <c r="DQ96" s="865"/>
      <c r="DR96" s="865"/>
      <c r="DS96" s="865"/>
      <c r="DT96" s="865"/>
      <c r="DU96" s="865"/>
      <c r="DV96" s="865"/>
      <c r="DW96" s="865"/>
      <c r="DX96" s="865"/>
      <c r="DY96" s="865"/>
      <c r="DZ96" s="865"/>
      <c r="EA96" s="865"/>
      <c r="EB96" s="865"/>
      <c r="EC96" s="865"/>
      <c r="ED96" s="865"/>
      <c r="EE96" s="79"/>
      <c r="EF96" s="865"/>
      <c r="EG96" s="865"/>
      <c r="EH96" s="865"/>
      <c r="EI96" s="865"/>
      <c r="EJ96" s="865"/>
      <c r="EK96" s="865"/>
      <c r="EL96" s="865"/>
      <c r="EM96" s="865"/>
      <c r="EN96" s="865"/>
      <c r="EO96" s="865"/>
      <c r="EP96" s="865"/>
      <c r="EQ96" s="865"/>
      <c r="ER96" s="865"/>
      <c r="ES96" s="865"/>
      <c r="ET96" s="865"/>
      <c r="EU96" s="865"/>
      <c r="EV96" s="865"/>
      <c r="EW96" s="865"/>
      <c r="EX96" s="865"/>
      <c r="EY96" s="865"/>
      <c r="EZ96" s="865"/>
      <c r="FA96" s="865"/>
      <c r="FB96" s="865"/>
      <c r="FC96" s="865"/>
      <c r="FD96" s="865"/>
      <c r="FE96" s="865"/>
      <c r="FF96" s="865"/>
      <c r="FG96" s="865"/>
      <c r="FH96" s="865"/>
      <c r="FI96" s="865"/>
    </row>
    <row r="97" spans="1:165" ht="12.75" customHeight="1">
      <c r="A97" s="595"/>
      <c r="B97" s="598"/>
      <c r="C97" s="599"/>
      <c r="D97" s="68" t="s">
        <v>1741</v>
      </c>
      <c r="E97" s="68" t="str">
        <f>LEFT(D97,LEN(D97)-1) &amp; RIGHT(D97,1)+1</f>
        <v>8.11</v>
      </c>
      <c r="F97" s="1564" t="s">
        <v>1686</v>
      </c>
      <c r="G97" s="733" t="s">
        <v>1717</v>
      </c>
      <c r="H97" s="734">
        <f>SUM(DA97:ED97)</f>
        <v>123032.57249999999</v>
      </c>
      <c r="I97" s="734">
        <f ca="1">SUM(EF97:FI97)</f>
        <v>110729.31525</v>
      </c>
      <c r="J97" s="1577"/>
      <c r="K97" s="1613"/>
      <c r="L97" s="1588"/>
      <c r="M97" s="1588"/>
      <c r="N97" s="1588"/>
      <c r="O97" s="1588"/>
      <c r="P97" s="1588"/>
      <c r="Q97" s="1588"/>
      <c r="R97" s="1588"/>
      <c r="S97" s="1588"/>
      <c r="T97" s="1588"/>
      <c r="U97" s="1588"/>
      <c r="V97" s="1588"/>
      <c r="W97" s="1588"/>
      <c r="X97" s="1588"/>
      <c r="Y97" s="1588"/>
      <c r="Z97" s="1588"/>
      <c r="AA97" s="1588"/>
      <c r="AB97" s="1588"/>
      <c r="AC97" s="1588"/>
      <c r="AD97" s="1588"/>
      <c r="AE97" s="1588"/>
      <c r="AF97" s="1588"/>
      <c r="AG97" s="1588"/>
      <c r="AH97" s="1589"/>
      <c r="AI97" s="1589"/>
      <c r="AJ97" s="1589"/>
      <c r="AK97" s="1589"/>
      <c r="AL97" s="1589"/>
      <c r="AM97" s="1589"/>
      <c r="AN97" s="1589"/>
      <c r="AO97" s="1589"/>
      <c r="AP97" s="392"/>
      <c r="AQ97" s="1590"/>
      <c r="AR97" s="1588"/>
      <c r="AS97" s="1588"/>
      <c r="AT97" s="1588"/>
      <c r="AU97" s="1588"/>
      <c r="AV97" s="1588"/>
      <c r="AW97" s="1588"/>
      <c r="AX97" s="1588"/>
      <c r="AY97" s="1588"/>
      <c r="AZ97" s="1588"/>
      <c r="BA97" s="1588"/>
      <c r="BB97" s="1588"/>
      <c r="BC97" s="1588"/>
      <c r="BD97" s="1588"/>
      <c r="BE97" s="1588"/>
      <c r="BF97" s="1588"/>
      <c r="BG97" s="1588"/>
      <c r="BH97" s="1588"/>
      <c r="BI97" s="1588"/>
      <c r="BJ97" s="1588"/>
      <c r="BK97" s="1588"/>
      <c r="BL97" s="1588"/>
      <c r="BM97" s="1589"/>
      <c r="BN97" s="1589"/>
      <c r="BO97" s="1589"/>
      <c r="BP97" s="1589"/>
      <c r="BQ97" s="1589"/>
      <c r="BR97" s="1589"/>
      <c r="BS97" s="1589"/>
      <c r="BT97" s="1589"/>
      <c r="BU97" s="392"/>
      <c r="BV97" s="1590"/>
      <c r="BW97" s="1588"/>
      <c r="BX97" s="1588"/>
      <c r="BY97" s="1588"/>
      <c r="BZ97" s="1588"/>
      <c r="CA97" s="1588"/>
      <c r="CB97" s="1588"/>
      <c r="CC97" s="1588"/>
      <c r="CD97" s="1588"/>
      <c r="CE97" s="1588"/>
      <c r="CF97" s="1588"/>
      <c r="CG97" s="1588"/>
      <c r="CH97" s="1588"/>
      <c r="CI97" s="1588"/>
      <c r="CJ97" s="1588"/>
      <c r="CK97" s="1588"/>
      <c r="CL97" s="1588"/>
      <c r="CM97" s="1588"/>
      <c r="CN97" s="1588"/>
      <c r="CO97" s="1588"/>
      <c r="CP97" s="1588"/>
      <c r="CQ97" s="1588"/>
      <c r="CR97" s="1589"/>
      <c r="CS97" s="1589"/>
      <c r="CT97" s="1589"/>
      <c r="CU97" s="1589"/>
      <c r="CV97" s="1589"/>
      <c r="CW97" s="1589"/>
      <c r="CX97" s="1589"/>
      <c r="CY97" s="1589"/>
      <c r="CZ97" s="84"/>
      <c r="DA97" s="1591">
        <f>SUBTOTAL(9,DA98:DA109)</f>
        <v>123032.57249999999</v>
      </c>
      <c r="DB97" s="1591">
        <f t="shared" ref="DB97:ED97" si="1038">SUBTOTAL(9,DB99:DB109)</f>
        <v>0</v>
      </c>
      <c r="DC97" s="1591">
        <f t="shared" si="1038"/>
        <v>0</v>
      </c>
      <c r="DD97" s="1591">
        <f t="shared" si="1038"/>
        <v>0</v>
      </c>
      <c r="DE97" s="1591">
        <f t="shared" si="1038"/>
        <v>0</v>
      </c>
      <c r="DF97" s="1591">
        <f t="shared" si="1038"/>
        <v>0</v>
      </c>
      <c r="DG97" s="1591">
        <f t="shared" si="1038"/>
        <v>0</v>
      </c>
      <c r="DH97" s="1591">
        <f t="shared" si="1038"/>
        <v>0</v>
      </c>
      <c r="DI97" s="1591">
        <f t="shared" si="1038"/>
        <v>0</v>
      </c>
      <c r="DJ97" s="1591">
        <f t="shared" si="1038"/>
        <v>0</v>
      </c>
      <c r="DK97" s="1591">
        <f t="shared" si="1038"/>
        <v>0</v>
      </c>
      <c r="DL97" s="1591">
        <f t="shared" si="1038"/>
        <v>0</v>
      </c>
      <c r="DM97" s="1591">
        <f t="shared" si="1038"/>
        <v>0</v>
      </c>
      <c r="DN97" s="1591">
        <f t="shared" si="1038"/>
        <v>0</v>
      </c>
      <c r="DO97" s="1591">
        <f t="shared" si="1038"/>
        <v>0</v>
      </c>
      <c r="DP97" s="1591">
        <f t="shared" si="1038"/>
        <v>0</v>
      </c>
      <c r="DQ97" s="1591">
        <f t="shared" si="1038"/>
        <v>0</v>
      </c>
      <c r="DR97" s="1591">
        <f t="shared" si="1038"/>
        <v>0</v>
      </c>
      <c r="DS97" s="1591">
        <f t="shared" si="1038"/>
        <v>0</v>
      </c>
      <c r="DT97" s="1591">
        <f t="shared" si="1038"/>
        <v>0</v>
      </c>
      <c r="DU97" s="1591">
        <f t="shared" si="1038"/>
        <v>0</v>
      </c>
      <c r="DV97" s="1591">
        <f t="shared" si="1038"/>
        <v>0</v>
      </c>
      <c r="DW97" s="1591">
        <f t="shared" si="1038"/>
        <v>0</v>
      </c>
      <c r="DX97" s="1591">
        <f t="shared" si="1038"/>
        <v>0</v>
      </c>
      <c r="DY97" s="1591"/>
      <c r="DZ97" s="1591"/>
      <c r="EA97" s="1591"/>
      <c r="EB97" s="1591"/>
      <c r="EC97" s="1591"/>
      <c r="ED97" s="1591">
        <f t="shared" si="1038"/>
        <v>0</v>
      </c>
      <c r="EE97" s="79"/>
      <c r="EF97" s="1591">
        <f t="shared" ref="EF97:EZ97" ca="1" si="1039">SUBTOTAL(9,EF99:EF109)</f>
        <v>0</v>
      </c>
      <c r="EG97" s="1591">
        <f t="shared" ca="1" si="1039"/>
        <v>0</v>
      </c>
      <c r="EH97" s="1591">
        <f t="shared" ca="1" si="1039"/>
        <v>0</v>
      </c>
      <c r="EI97" s="1591">
        <f t="shared" ca="1" si="1039"/>
        <v>0</v>
      </c>
      <c r="EJ97" s="1591">
        <f t="shared" ca="1" si="1039"/>
        <v>0</v>
      </c>
      <c r="EK97" s="1591">
        <f t="shared" ca="1" si="1039"/>
        <v>0</v>
      </c>
      <c r="EL97" s="1591">
        <f t="shared" ca="1" si="1039"/>
        <v>0</v>
      </c>
      <c r="EM97" s="1591">
        <f t="shared" ca="1" si="1039"/>
        <v>0</v>
      </c>
      <c r="EN97" s="1591">
        <f t="shared" ca="1" si="1039"/>
        <v>0</v>
      </c>
      <c r="EO97" s="1591">
        <f t="shared" ca="1" si="1039"/>
        <v>0</v>
      </c>
      <c r="EP97" s="1591">
        <f t="shared" ca="1" si="1039"/>
        <v>0</v>
      </c>
      <c r="EQ97" s="1591">
        <f t="shared" ca="1" si="1039"/>
        <v>0</v>
      </c>
      <c r="ER97" s="1591">
        <f t="shared" ca="1" si="1039"/>
        <v>0</v>
      </c>
      <c r="ES97" s="1591">
        <f t="shared" ca="1" si="1039"/>
        <v>0</v>
      </c>
      <c r="ET97" s="1591">
        <f t="shared" ca="1" si="1039"/>
        <v>0</v>
      </c>
      <c r="EU97" s="1591">
        <f t="shared" ca="1" si="1039"/>
        <v>0</v>
      </c>
      <c r="EV97" s="1591">
        <f t="shared" ca="1" si="1039"/>
        <v>0</v>
      </c>
      <c r="EW97" s="1591">
        <f t="shared" ca="1" si="1039"/>
        <v>0</v>
      </c>
      <c r="EX97" s="1591">
        <f t="shared" ca="1" si="1039"/>
        <v>0</v>
      </c>
      <c r="EY97" s="1591">
        <f t="shared" ca="1" si="1039"/>
        <v>0</v>
      </c>
      <c r="EZ97" s="1591">
        <f t="shared" ca="1" si="1039"/>
        <v>110729.31525</v>
      </c>
      <c r="FA97" s="1591">
        <f t="shared" ref="FA97:FI97" ca="1" si="1040">SUBTOTAL(9,FA99:FA109)</f>
        <v>0</v>
      </c>
      <c r="FB97" s="1591">
        <f t="shared" ca="1" si="1040"/>
        <v>0</v>
      </c>
      <c r="FC97" s="1591">
        <f t="shared" ca="1" si="1040"/>
        <v>0</v>
      </c>
      <c r="FD97" s="1591">
        <f t="shared" ca="1" si="1040"/>
        <v>0</v>
      </c>
      <c r="FE97" s="1591">
        <f t="shared" ca="1" si="1040"/>
        <v>0</v>
      </c>
      <c r="FF97" s="1591">
        <f t="shared" ca="1" si="1040"/>
        <v>0</v>
      </c>
      <c r="FG97" s="1591">
        <f t="shared" ca="1" si="1040"/>
        <v>0</v>
      </c>
      <c r="FH97" s="1591">
        <f t="shared" ca="1" si="1040"/>
        <v>0</v>
      </c>
      <c r="FI97" s="1591">
        <f t="shared" ca="1" si="1040"/>
        <v>0</v>
      </c>
    </row>
    <row r="98" spans="1:165" ht="12.75" customHeight="1">
      <c r="A98" s="595"/>
      <c r="B98" s="598"/>
      <c r="C98" s="599"/>
      <c r="D98" s="68" t="s">
        <v>1744</v>
      </c>
      <c r="E98" s="68" t="str">
        <f>LEFT(D98,LEN(D98)-1) &amp; RIGHT(D98,1)+1</f>
        <v>8.10.1.2</v>
      </c>
      <c r="F98" s="1599" t="s">
        <v>1687</v>
      </c>
      <c r="G98" s="1616" t="s">
        <v>1717</v>
      </c>
      <c r="H98" s="315">
        <f>SUM(DA98:ED98)</f>
        <v>123032.57249999999</v>
      </c>
      <c r="I98" s="316">
        <f ca="1">SUM(EF98:FI98)</f>
        <v>110729.31525</v>
      </c>
      <c r="J98" s="1613"/>
      <c r="K98" s="89"/>
      <c r="L98" s="1588"/>
      <c r="M98" s="394"/>
      <c r="N98" s="1588"/>
      <c r="O98" s="1588"/>
      <c r="P98" s="1588"/>
      <c r="Q98" s="1588"/>
      <c r="R98" s="1588"/>
      <c r="S98" s="1588"/>
      <c r="T98" s="1588"/>
      <c r="U98" s="1588"/>
      <c r="V98" s="1588"/>
      <c r="W98" s="1588"/>
      <c r="X98" s="1588"/>
      <c r="Y98" s="1588"/>
      <c r="Z98" s="1588"/>
      <c r="AA98" s="1588"/>
      <c r="AB98" s="1588"/>
      <c r="AC98" s="1588"/>
      <c r="AD98" s="1588"/>
      <c r="AE98" s="1588"/>
      <c r="AF98" s="1588"/>
      <c r="AG98" s="1588"/>
      <c r="AH98" s="1589"/>
      <c r="AI98" s="1589"/>
      <c r="AJ98" s="1589"/>
      <c r="AK98" s="1589"/>
      <c r="AL98" s="1589"/>
      <c r="AM98" s="1589"/>
      <c r="AN98" s="1589"/>
      <c r="AO98" s="1589"/>
      <c r="AP98" s="392"/>
      <c r="AQ98" s="1590"/>
      <c r="AR98" s="1588"/>
      <c r="AS98" s="1588"/>
      <c r="AT98" s="1588"/>
      <c r="AU98" s="1588"/>
      <c r="AV98" s="1588"/>
      <c r="AW98" s="1588"/>
      <c r="AX98" s="1588"/>
      <c r="AY98" s="1588"/>
      <c r="AZ98" s="1588"/>
      <c r="BA98" s="1588"/>
      <c r="BB98" s="1588"/>
      <c r="BC98" s="1588"/>
      <c r="BD98" s="1588"/>
      <c r="BE98" s="1588"/>
      <c r="BF98" s="1588"/>
      <c r="BG98" s="1588"/>
      <c r="BH98" s="1588"/>
      <c r="BI98" s="1588"/>
      <c r="BJ98" s="1588"/>
      <c r="BK98" s="1588"/>
      <c r="BL98" s="1588"/>
      <c r="BM98" s="1589"/>
      <c r="BN98" s="1589"/>
      <c r="BO98" s="1589"/>
      <c r="BP98" s="1589"/>
      <c r="BQ98" s="1589"/>
      <c r="BR98" s="1589"/>
      <c r="BS98" s="1589"/>
      <c r="BT98" s="1589"/>
      <c r="BU98" s="392"/>
      <c r="BV98" s="1594"/>
      <c r="BW98" s="1595"/>
      <c r="BX98" s="1595"/>
      <c r="BY98" s="1595"/>
      <c r="BZ98" s="1595"/>
      <c r="CA98" s="1595"/>
      <c r="CB98" s="1595"/>
      <c r="CC98" s="1595"/>
      <c r="CD98" s="1595"/>
      <c r="CE98" s="1595"/>
      <c r="CF98" s="1595"/>
      <c r="CG98" s="1595"/>
      <c r="CH98" s="1595"/>
      <c r="CI98" s="1595"/>
      <c r="CJ98" s="1595"/>
      <c r="CK98" s="1595"/>
      <c r="CL98" s="1595"/>
      <c r="CM98" s="1595"/>
      <c r="CN98" s="1595"/>
      <c r="CO98" s="1595"/>
      <c r="CP98" s="1595"/>
      <c r="CQ98" s="1595"/>
      <c r="CR98" s="1596"/>
      <c r="CS98" s="1596"/>
      <c r="CT98" s="1596"/>
      <c r="CU98" s="1596"/>
      <c r="CV98" s="1596"/>
      <c r="CW98" s="1596"/>
      <c r="CX98" s="1596"/>
      <c r="CY98" s="1596"/>
      <c r="CZ98" s="84"/>
      <c r="DA98" s="1591">
        <f t="shared" ref="DA98:ED98" si="1041">SUBTOTAL(9,DA99)</f>
        <v>123032.57249999999</v>
      </c>
      <c r="DB98" s="1591">
        <f t="shared" si="1041"/>
        <v>0</v>
      </c>
      <c r="DC98" s="1591">
        <f t="shared" si="1041"/>
        <v>0</v>
      </c>
      <c r="DD98" s="1591">
        <f t="shared" si="1041"/>
        <v>0</v>
      </c>
      <c r="DE98" s="1591">
        <f t="shared" si="1041"/>
        <v>0</v>
      </c>
      <c r="DF98" s="1591">
        <f t="shared" si="1041"/>
        <v>0</v>
      </c>
      <c r="DG98" s="1591">
        <f t="shared" si="1041"/>
        <v>0</v>
      </c>
      <c r="DH98" s="1591">
        <f t="shared" si="1041"/>
        <v>0</v>
      </c>
      <c r="DI98" s="1591">
        <f t="shared" si="1041"/>
        <v>0</v>
      </c>
      <c r="DJ98" s="1591">
        <f t="shared" si="1041"/>
        <v>0</v>
      </c>
      <c r="DK98" s="1591">
        <f t="shared" si="1041"/>
        <v>0</v>
      </c>
      <c r="DL98" s="1591">
        <f t="shared" si="1041"/>
        <v>0</v>
      </c>
      <c r="DM98" s="1591">
        <f t="shared" si="1041"/>
        <v>0</v>
      </c>
      <c r="DN98" s="1591">
        <f t="shared" si="1041"/>
        <v>0</v>
      </c>
      <c r="DO98" s="1591">
        <f t="shared" si="1041"/>
        <v>0</v>
      </c>
      <c r="DP98" s="1591">
        <f t="shared" si="1041"/>
        <v>0</v>
      </c>
      <c r="DQ98" s="1591">
        <f t="shared" si="1041"/>
        <v>0</v>
      </c>
      <c r="DR98" s="1591">
        <f t="shared" si="1041"/>
        <v>0</v>
      </c>
      <c r="DS98" s="1591">
        <f t="shared" si="1041"/>
        <v>0</v>
      </c>
      <c r="DT98" s="1591">
        <f t="shared" si="1041"/>
        <v>0</v>
      </c>
      <c r="DU98" s="1591">
        <f t="shared" si="1041"/>
        <v>0</v>
      </c>
      <c r="DV98" s="1591">
        <f t="shared" si="1041"/>
        <v>0</v>
      </c>
      <c r="DW98" s="1591">
        <f t="shared" si="1041"/>
        <v>0</v>
      </c>
      <c r="DX98" s="1591">
        <f t="shared" si="1041"/>
        <v>0</v>
      </c>
      <c r="DY98" s="1591"/>
      <c r="DZ98" s="1591"/>
      <c r="EA98" s="1591"/>
      <c r="EB98" s="1591"/>
      <c r="EC98" s="1591"/>
      <c r="ED98" s="1591">
        <f t="shared" si="1041"/>
        <v>0</v>
      </c>
      <c r="EE98" s="79"/>
      <c r="EF98" s="1591">
        <f t="shared" ref="EF98:FI98" ca="1" si="1042">SUBTOTAL(9,EF99)</f>
        <v>0</v>
      </c>
      <c r="EG98" s="1591">
        <f t="shared" ca="1" si="1042"/>
        <v>0</v>
      </c>
      <c r="EH98" s="1591">
        <f t="shared" ca="1" si="1042"/>
        <v>0</v>
      </c>
      <c r="EI98" s="1591">
        <f t="shared" ca="1" si="1042"/>
        <v>0</v>
      </c>
      <c r="EJ98" s="1591">
        <f t="shared" ca="1" si="1042"/>
        <v>0</v>
      </c>
      <c r="EK98" s="1591">
        <f t="shared" ca="1" si="1042"/>
        <v>0</v>
      </c>
      <c r="EL98" s="1591">
        <f t="shared" ca="1" si="1042"/>
        <v>0</v>
      </c>
      <c r="EM98" s="1591">
        <f t="shared" ca="1" si="1042"/>
        <v>0</v>
      </c>
      <c r="EN98" s="1591">
        <f t="shared" ca="1" si="1042"/>
        <v>0</v>
      </c>
      <c r="EO98" s="1591">
        <f t="shared" ca="1" si="1042"/>
        <v>0</v>
      </c>
      <c r="EP98" s="1591">
        <f t="shared" ca="1" si="1042"/>
        <v>0</v>
      </c>
      <c r="EQ98" s="1591">
        <f t="shared" ca="1" si="1042"/>
        <v>0</v>
      </c>
      <c r="ER98" s="1591">
        <f t="shared" ca="1" si="1042"/>
        <v>0</v>
      </c>
      <c r="ES98" s="1591">
        <f t="shared" ca="1" si="1042"/>
        <v>0</v>
      </c>
      <c r="ET98" s="1591">
        <f t="shared" ca="1" si="1042"/>
        <v>0</v>
      </c>
      <c r="EU98" s="1591">
        <f t="shared" ca="1" si="1042"/>
        <v>0</v>
      </c>
      <c r="EV98" s="1591">
        <f t="shared" ca="1" si="1042"/>
        <v>0</v>
      </c>
      <c r="EW98" s="1591">
        <f t="shared" ca="1" si="1042"/>
        <v>0</v>
      </c>
      <c r="EX98" s="1591">
        <f t="shared" ca="1" si="1042"/>
        <v>0</v>
      </c>
      <c r="EY98" s="1591">
        <f t="shared" ca="1" si="1042"/>
        <v>0</v>
      </c>
      <c r="EZ98" s="1591">
        <f t="shared" ca="1" si="1042"/>
        <v>110729.31525</v>
      </c>
      <c r="FA98" s="1591">
        <f t="shared" ca="1" si="1042"/>
        <v>0</v>
      </c>
      <c r="FB98" s="1591">
        <f t="shared" ca="1" si="1042"/>
        <v>0</v>
      </c>
      <c r="FC98" s="1591">
        <f t="shared" ca="1" si="1042"/>
        <v>0</v>
      </c>
      <c r="FD98" s="1591">
        <f t="shared" ca="1" si="1042"/>
        <v>0</v>
      </c>
      <c r="FE98" s="1591">
        <f t="shared" ca="1" si="1042"/>
        <v>0</v>
      </c>
      <c r="FF98" s="1591">
        <f t="shared" ca="1" si="1042"/>
        <v>0</v>
      </c>
      <c r="FG98" s="1591">
        <f t="shared" ca="1" si="1042"/>
        <v>0</v>
      </c>
      <c r="FH98" s="1591">
        <f t="shared" ca="1" si="1042"/>
        <v>0</v>
      </c>
      <c r="FI98" s="1591">
        <f t="shared" ca="1" si="1042"/>
        <v>0</v>
      </c>
    </row>
    <row r="99" spans="1:165" ht="12.75" customHeight="1">
      <c r="A99" s="595"/>
      <c r="B99" s="598"/>
      <c r="C99" s="599"/>
      <c r="F99" s="1498" t="s">
        <v>1686</v>
      </c>
      <c r="G99" s="1617" t="s">
        <v>1718</v>
      </c>
      <c r="H99" s="1597">
        <f>'Sistemas - Cotações'!F74</f>
        <v>123032.57249999999</v>
      </c>
      <c r="I99" s="1598">
        <f>H99*0.9</f>
        <v>110729.31525</v>
      </c>
      <c r="J99" s="867">
        <v>20</v>
      </c>
      <c r="K99" s="90"/>
      <c r="L99" s="1479">
        <v>1</v>
      </c>
      <c r="M99" s="1479">
        <v>1</v>
      </c>
      <c r="N99" s="1479">
        <v>1</v>
      </c>
      <c r="O99" s="1479">
        <v>1</v>
      </c>
      <c r="P99" s="1479">
        <v>1</v>
      </c>
      <c r="Q99" s="1479">
        <v>1</v>
      </c>
      <c r="R99" s="1479">
        <v>1</v>
      </c>
      <c r="S99" s="1479">
        <v>1</v>
      </c>
      <c r="T99" s="1479">
        <v>1</v>
      </c>
      <c r="U99" s="1479">
        <v>1</v>
      </c>
      <c r="V99" s="1479">
        <v>1</v>
      </c>
      <c r="W99" s="1479">
        <v>1</v>
      </c>
      <c r="X99" s="1479">
        <v>1</v>
      </c>
      <c r="Y99" s="1479">
        <v>1</v>
      </c>
      <c r="Z99" s="1479">
        <v>1</v>
      </c>
      <c r="AA99" s="1479">
        <v>1</v>
      </c>
      <c r="AB99" s="1479">
        <v>1</v>
      </c>
      <c r="AC99" s="1479">
        <v>1</v>
      </c>
      <c r="AD99" s="1479">
        <v>1</v>
      </c>
      <c r="AE99" s="1479">
        <v>1</v>
      </c>
      <c r="AF99" s="1479">
        <v>1</v>
      </c>
      <c r="AG99" s="1479">
        <v>1</v>
      </c>
      <c r="AH99" s="1479">
        <v>1</v>
      </c>
      <c r="AI99" s="1479">
        <v>1</v>
      </c>
      <c r="AJ99" s="1479">
        <v>1</v>
      </c>
      <c r="AK99" s="1479">
        <v>1</v>
      </c>
      <c r="AL99" s="1479">
        <v>1</v>
      </c>
      <c r="AM99" s="1479">
        <v>1</v>
      </c>
      <c r="AN99" s="1479">
        <v>1</v>
      </c>
      <c r="AO99" s="1479">
        <v>1</v>
      </c>
      <c r="AP99" s="77"/>
      <c r="AQ99" s="1479">
        <v>1</v>
      </c>
      <c r="AR99" s="1479">
        <f t="shared" ref="AR99:BN99" si="1043">IF(M99&gt;L99,M99-L99,0)</f>
        <v>0</v>
      </c>
      <c r="AS99" s="1479">
        <f t="shared" si="1043"/>
        <v>0</v>
      </c>
      <c r="AT99" s="1479">
        <f t="shared" si="1043"/>
        <v>0</v>
      </c>
      <c r="AU99" s="1479">
        <f t="shared" si="1043"/>
        <v>0</v>
      </c>
      <c r="AV99" s="1479">
        <f t="shared" si="1043"/>
        <v>0</v>
      </c>
      <c r="AW99" s="1479">
        <f t="shared" si="1043"/>
        <v>0</v>
      </c>
      <c r="AX99" s="1479">
        <f t="shared" si="1043"/>
        <v>0</v>
      </c>
      <c r="AY99" s="1479">
        <f t="shared" si="1043"/>
        <v>0</v>
      </c>
      <c r="AZ99" s="1479"/>
      <c r="BA99" s="1479">
        <f t="shared" si="1043"/>
        <v>0</v>
      </c>
      <c r="BB99" s="1479">
        <f t="shared" si="1043"/>
        <v>0</v>
      </c>
      <c r="BC99" s="1479">
        <f t="shared" si="1043"/>
        <v>0</v>
      </c>
      <c r="BD99" s="1479">
        <f t="shared" si="1043"/>
        <v>0</v>
      </c>
      <c r="BE99" s="1479">
        <f t="shared" si="1043"/>
        <v>0</v>
      </c>
      <c r="BF99" s="1479">
        <f t="shared" si="1043"/>
        <v>0</v>
      </c>
      <c r="BG99" s="1479">
        <f t="shared" si="1043"/>
        <v>0</v>
      </c>
      <c r="BH99" s="1479">
        <f t="shared" si="1043"/>
        <v>0</v>
      </c>
      <c r="BI99" s="1479">
        <f t="shared" si="1043"/>
        <v>0</v>
      </c>
      <c r="BJ99" s="1479">
        <f t="shared" si="1043"/>
        <v>0</v>
      </c>
      <c r="BK99" s="1479">
        <f t="shared" si="1043"/>
        <v>0</v>
      </c>
      <c r="BL99" s="1479">
        <f t="shared" si="1043"/>
        <v>0</v>
      </c>
      <c r="BM99" s="1479">
        <f t="shared" si="1043"/>
        <v>0</v>
      </c>
      <c r="BN99" s="1479">
        <f t="shared" si="1043"/>
        <v>0</v>
      </c>
      <c r="BO99" s="1479"/>
      <c r="BP99" s="1479"/>
      <c r="BQ99" s="1479"/>
      <c r="BR99" s="1479"/>
      <c r="BS99" s="1479"/>
      <c r="BT99" s="1479">
        <f>IF(AO99&gt;AI99,AO99-AI99,0)</f>
        <v>0</v>
      </c>
      <c r="BU99" s="77"/>
      <c r="BV99" s="1571">
        <f t="shared" ref="BV99" ca="1" si="1044">IF(L99-SUM(OFFSET(AQ99,,-$J99+1,,$J99))-IF($J99&gt;1,SUM(OFFSET(BV99,,-$J99+1,,$J99-1)),0)&gt;0,L99-SUM(OFFSET(AQ99,,-$J99+1,,$J99))-IF($J99&gt;1,SUM(OFFSET(BV99,,-$J99+1,,$J99-1)),0),0)</f>
        <v>0</v>
      </c>
      <c r="BW99" s="1571">
        <f t="shared" ref="BW99" ca="1" si="1045">IF(M99-SUM(OFFSET(AR99,,-$J99+1,,$J99))-IF($J99&gt;1,SUM(OFFSET(BW99,,-$J99+1,,$J99-1)),0)&gt;0,M99-SUM(OFFSET(AR99,,-$J99+1,,$J99))-IF($J99&gt;1,SUM(OFFSET(BW99,,-$J99+1,,$J99-1)),0),0)</f>
        <v>0</v>
      </c>
      <c r="BX99" s="1571">
        <f t="shared" ref="BX99" ca="1" si="1046">IF(N99-SUM(OFFSET(AS99,,-$J99+1,,$J99))-IF($J99&gt;1,SUM(OFFSET(BX99,,-$J99+1,,$J99-1)),0)&gt;0,N99-SUM(OFFSET(AS99,,-$J99+1,,$J99))-IF($J99&gt;1,SUM(OFFSET(BX99,,-$J99+1,,$J99-1)),0),0)</f>
        <v>0</v>
      </c>
      <c r="BY99" s="1571">
        <f t="shared" ref="BY99" ca="1" si="1047">IF(O99-SUM(OFFSET(AT99,,-$J99+1,,$J99))-IF($J99&gt;1,SUM(OFFSET(BY99,,-$J99+1,,$J99-1)),0)&gt;0,O99-SUM(OFFSET(AT99,,-$J99+1,,$J99))-IF($J99&gt;1,SUM(OFFSET(BY99,,-$J99+1,,$J99-1)),0),0)</f>
        <v>0</v>
      </c>
      <c r="BZ99" s="1571">
        <f t="shared" ref="BZ99" ca="1" si="1048">IF(P99-SUM(OFFSET(AU99,,-$J99+1,,$J99))-IF($J99&gt;1,SUM(OFFSET(BZ99,,-$J99+1,,$J99-1)),0)&gt;0,P99-SUM(OFFSET(AU99,,-$J99+1,,$J99))-IF($J99&gt;1,SUM(OFFSET(BZ99,,-$J99+1,,$J99-1)),0),0)</f>
        <v>0</v>
      </c>
      <c r="CA99" s="1571">
        <f t="shared" ref="CA99" ca="1" si="1049">IF(Q99-SUM(OFFSET(AV99,,-$J99+1,,$J99))-IF($J99&gt;1,SUM(OFFSET(CA99,,-$J99+1,,$J99-1)),0)&gt;0,Q99-SUM(OFFSET(AV99,,-$J99+1,,$J99))-IF($J99&gt;1,SUM(OFFSET(CA99,,-$J99+1,,$J99-1)),0),0)</f>
        <v>0</v>
      </c>
      <c r="CB99" s="1571">
        <f t="shared" ref="CB99" ca="1" si="1050">IF(R99-SUM(OFFSET(AW99,,-$J99+1,,$J99))-IF($J99&gt;1,SUM(OFFSET(CB99,,-$J99+1,,$J99-1)),0)&gt;0,R99-SUM(OFFSET(AW99,,-$J99+1,,$J99))-IF($J99&gt;1,SUM(OFFSET(CB99,,-$J99+1,,$J99-1)),0),0)</f>
        <v>0</v>
      </c>
      <c r="CC99" s="1571">
        <f t="shared" ref="CC99" ca="1" si="1051">IF(S99-SUM(OFFSET(AX99,,-$J99+1,,$J99))-IF($J99&gt;1,SUM(OFFSET(CC99,,-$J99+1,,$J99-1)),0)&gt;0,S99-SUM(OFFSET(AX99,,-$J99+1,,$J99))-IF($J99&gt;1,SUM(OFFSET(CC99,,-$J99+1,,$J99-1)),0),0)</f>
        <v>0</v>
      </c>
      <c r="CD99" s="1571">
        <f t="shared" ref="CD99" ca="1" si="1052">IF(T99-SUM(OFFSET(AY99,,-$J99+1,,$J99))-IF($J99&gt;1,SUM(OFFSET(CD99,,-$J99+1,,$J99-1)),0)&gt;0,T99-SUM(OFFSET(AY99,,-$J99+1,,$J99))-IF($J99&gt;1,SUM(OFFSET(CD99,,-$J99+1,,$J99-1)),0),0)</f>
        <v>0</v>
      </c>
      <c r="CE99" s="1571">
        <f t="shared" ref="CE99" ca="1" si="1053">IF(U99-SUM(OFFSET(AZ99,,-$J99+1,,$J99))-IF($J99&gt;1,SUM(OFFSET(CE99,,-$J99+1,,$J99-1)),0)&gt;0,U99-SUM(OFFSET(AZ99,,-$J99+1,,$J99))-IF($J99&gt;1,SUM(OFFSET(CE99,,-$J99+1,,$J99-1)),0),0)</f>
        <v>0</v>
      </c>
      <c r="CF99" s="1571">
        <f t="shared" ref="CF99" ca="1" si="1054">IF(V99-SUM(OFFSET(BA99,,-$J99+1,,$J99))-IF($J99&gt;1,SUM(OFFSET(CF99,,-$J99+1,,$J99-1)),0)&gt;0,V99-SUM(OFFSET(BA99,,-$J99+1,,$J99))-IF($J99&gt;1,SUM(OFFSET(CF99,,-$J99+1,,$J99-1)),0),0)</f>
        <v>0</v>
      </c>
      <c r="CG99" s="1571">
        <f t="shared" ref="CG99" ca="1" si="1055">IF(W99-SUM(OFFSET(BB99,,-$J99+1,,$J99))-IF($J99&gt;1,SUM(OFFSET(CG99,,-$J99+1,,$J99-1)),0)&gt;0,W99-SUM(OFFSET(BB99,,-$J99+1,,$J99))-IF($J99&gt;1,SUM(OFFSET(CG99,,-$J99+1,,$J99-1)),0),0)</f>
        <v>0</v>
      </c>
      <c r="CH99" s="1571">
        <f t="shared" ref="CH99" ca="1" si="1056">IF(X99-SUM(OFFSET(BC99,,-$J99+1,,$J99))-IF($J99&gt;1,SUM(OFFSET(CH99,,-$J99+1,,$J99-1)),0)&gt;0,X99-SUM(OFFSET(BC99,,-$J99+1,,$J99))-IF($J99&gt;1,SUM(OFFSET(CH99,,-$J99+1,,$J99-1)),0),0)</f>
        <v>0</v>
      </c>
      <c r="CI99" s="1571">
        <f t="shared" ref="CI99" ca="1" si="1057">IF(Y99-SUM(OFFSET(BD99,,-$J99+1,,$J99))-IF($J99&gt;1,SUM(OFFSET(CI99,,-$J99+1,,$J99-1)),0)&gt;0,Y99-SUM(OFFSET(BD99,,-$J99+1,,$J99))-IF($J99&gt;1,SUM(OFFSET(CI99,,-$J99+1,,$J99-1)),0),0)</f>
        <v>0</v>
      </c>
      <c r="CJ99" s="1571">
        <f t="shared" ref="CJ99" ca="1" si="1058">IF(Z99-SUM(OFFSET(BE99,,-$J99+1,,$J99))-IF($J99&gt;1,SUM(OFFSET(CJ99,,-$J99+1,,$J99-1)),0)&gt;0,Z99-SUM(OFFSET(BE99,,-$J99+1,,$J99))-IF($J99&gt;1,SUM(OFFSET(CJ99,,-$J99+1,,$J99-1)),0),0)</f>
        <v>0</v>
      </c>
      <c r="CK99" s="1571">
        <f t="shared" ref="CK99" ca="1" si="1059">IF(AA99-SUM(OFFSET(BF99,,-$J99+1,,$J99))-IF($J99&gt;1,SUM(OFFSET(CK99,,-$J99+1,,$J99-1)),0)&gt;0,AA99-SUM(OFFSET(BF99,,-$J99+1,,$J99))-IF($J99&gt;1,SUM(OFFSET(CK99,,-$J99+1,,$J99-1)),0),0)</f>
        <v>0</v>
      </c>
      <c r="CL99" s="1571">
        <f t="shared" ref="CL99" ca="1" si="1060">IF(AB99-SUM(OFFSET(BG99,,-$J99+1,,$J99))-IF($J99&gt;1,SUM(OFFSET(CL99,,-$J99+1,,$J99-1)),0)&gt;0,AB99-SUM(OFFSET(BG99,,-$J99+1,,$J99))-IF($J99&gt;1,SUM(OFFSET(CL99,,-$J99+1,,$J99-1)),0),0)</f>
        <v>0</v>
      </c>
      <c r="CM99" s="1571">
        <f t="shared" ref="CM99" ca="1" si="1061">IF(AC99-SUM(OFFSET(BH99,,-$J99+1,,$J99))-IF($J99&gt;1,SUM(OFFSET(CM99,,-$J99+1,,$J99-1)),0)&gt;0,AC99-SUM(OFFSET(BH99,,-$J99+1,,$J99))-IF($J99&gt;1,SUM(OFFSET(CM99,,-$J99+1,,$J99-1)),0),0)</f>
        <v>0</v>
      </c>
      <c r="CN99" s="1571">
        <f t="shared" ref="CN99" ca="1" si="1062">IF(AD99-SUM(OFFSET(BI99,,-$J99+1,,$J99))-IF($J99&gt;1,SUM(OFFSET(CN99,,-$J99+1,,$J99-1)),0)&gt;0,AD99-SUM(OFFSET(BI99,,-$J99+1,,$J99))-IF($J99&gt;1,SUM(OFFSET(CN99,,-$J99+1,,$J99-1)),0),0)</f>
        <v>0</v>
      </c>
      <c r="CO99" s="1571">
        <f t="shared" ref="CO99" ca="1" si="1063">IF(AE99-SUM(OFFSET(BJ99,,-$J99+1,,$J99))-IF($J99&gt;1,SUM(OFFSET(CO99,,-$J99+1,,$J99-1)),0)&gt;0,AE99-SUM(OFFSET(BJ99,,-$J99+1,,$J99))-IF($J99&gt;1,SUM(OFFSET(CO99,,-$J99+1,,$J99-1)),0),0)</f>
        <v>0</v>
      </c>
      <c r="CP99" s="1571">
        <f t="shared" ref="CP99" ca="1" si="1064">IF(AF99-SUM(OFFSET(BK99,,-$J99+1,,$J99))-IF($J99&gt;1,SUM(OFFSET(CP99,,-$J99+1,,$J99-1)),0)&gt;0,AF99-SUM(OFFSET(BK99,,-$J99+1,,$J99))-IF($J99&gt;1,SUM(OFFSET(CP99,,-$J99+1,,$J99-1)),0),0)</f>
        <v>1</v>
      </c>
      <c r="CQ99" s="1571">
        <f t="shared" ref="CQ99" ca="1" si="1065">IF(AG99-SUM(OFFSET(BL99,,-$J99+1,,$J99))-IF($J99&gt;1,SUM(OFFSET(CQ99,,-$J99+1,,$J99-1)),0)&gt;0,AG99-SUM(OFFSET(BL99,,-$J99+1,,$J99))-IF($J99&gt;1,SUM(OFFSET(CQ99,,-$J99+1,,$J99-1)),0),0)</f>
        <v>0</v>
      </c>
      <c r="CR99" s="1571">
        <f t="shared" ref="CR99" ca="1" si="1066">IF(AH99-SUM(OFFSET(BM99,,-$J99+1,,$J99))-IF($J99&gt;1,SUM(OFFSET(CR99,,-$J99+1,,$J99-1)),0)&gt;0,AH99-SUM(OFFSET(BM99,,-$J99+1,,$J99))-IF($J99&gt;1,SUM(OFFSET(CR99,,-$J99+1,,$J99-1)),0),0)</f>
        <v>0</v>
      </c>
      <c r="CS99" s="1571">
        <f t="shared" ref="CS99" ca="1" si="1067">IF(AI99-SUM(OFFSET(BN99,,-$J99+1,,$J99))-IF($J99&gt;1,SUM(OFFSET(CS99,,-$J99+1,,$J99-1)),0)&gt;0,AI99-SUM(OFFSET(BN99,,-$J99+1,,$J99))-IF($J99&gt;1,SUM(OFFSET(CS99,,-$J99+1,,$J99-1)),0),0)</f>
        <v>0</v>
      </c>
      <c r="CT99" s="1571">
        <f t="shared" ref="CT99" ca="1" si="1068">IF(AJ99-SUM(OFFSET(BT99,,-$J99+1,,$J99))-IF($J99&gt;1,SUM(OFFSET(CT99,,-$J99+1,,$J99-1)),0)&gt;0,AJ99-SUM(OFFSET(BT99,,-$J99+1,,$J99))-IF($J99&gt;1,SUM(OFFSET(CT99,,-$J99+1,,$J99-1)),0),0)</f>
        <v>0</v>
      </c>
      <c r="CU99" s="1571">
        <f t="shared" ref="CU99" ca="1" si="1069">IF(AK99-SUM(OFFSET(BU99,,-$J99+1,,$J99))-IF($J99&gt;1,SUM(OFFSET(CU99,,-$J99+1,,$J99-1)),0)&gt;0,AK99-SUM(OFFSET(BU99,,-$J99+1,,$J99))-IF($J99&gt;1,SUM(OFFSET(CU99,,-$J99+1,,$J99-1)),0),0)</f>
        <v>0</v>
      </c>
      <c r="CV99" s="1571">
        <f t="shared" ref="CV99" ca="1" si="1070">IF(AL99-SUM(OFFSET(BV99,,-$J99+1,,$J99))-IF($J99&gt;1,SUM(OFFSET(CV99,,-$J99+1,,$J99-1)),0)&gt;0,AL99-SUM(OFFSET(BV99,,-$J99+1,,$J99))-IF($J99&gt;1,SUM(OFFSET(CV99,,-$J99+1,,$J99-1)),0),0)</f>
        <v>0</v>
      </c>
      <c r="CW99" s="1571">
        <f t="shared" ref="CW99" ca="1" si="1071">IF(AM99-SUM(OFFSET(BW99,,-$J99+1,,$J99))-IF($J99&gt;1,SUM(OFFSET(CW99,,-$J99+1,,$J99-1)),0)&gt;0,AM99-SUM(OFFSET(BW99,,-$J99+1,,$J99))-IF($J99&gt;1,SUM(OFFSET(CW99,,-$J99+1,,$J99-1)),0),0)</f>
        <v>0</v>
      </c>
      <c r="CX99" s="1571">
        <f t="shared" ref="CX99" ca="1" si="1072">IF(AN99-SUM(OFFSET(BX99,,-$J99+1,,$J99))-IF($J99&gt;1,SUM(OFFSET(CX99,,-$J99+1,,$J99-1)),0)&gt;0,AN99-SUM(OFFSET(BX99,,-$J99+1,,$J99))-IF($J99&gt;1,SUM(OFFSET(CX99,,-$J99+1,,$J99-1)),0),0)</f>
        <v>0</v>
      </c>
      <c r="CY99" s="1571">
        <f t="shared" ref="CY99" ca="1" si="1073">IF(AO99-SUM(OFFSET(BY99,,-$J99+1,,$J99))-IF($J99&gt;1,SUM(OFFSET(CY99,,-$J99+1,,$J99-1)),0)&gt;0,AO99-SUM(OFFSET(BY99,,-$J99+1,,$J99))-IF($J99&gt;1,SUM(OFFSET(CY99,,-$J99+1,,$J99-1)),0),0)</f>
        <v>0</v>
      </c>
      <c r="CZ99" s="78"/>
      <c r="DA99" s="1572">
        <f t="shared" ref="DA99:DX99" si="1074">AQ99*$H99</f>
        <v>123032.57249999999</v>
      </c>
      <c r="DB99" s="1572">
        <f t="shared" si="1074"/>
        <v>0</v>
      </c>
      <c r="DC99" s="1572">
        <f t="shared" si="1074"/>
        <v>0</v>
      </c>
      <c r="DD99" s="1572">
        <f t="shared" si="1074"/>
        <v>0</v>
      </c>
      <c r="DE99" s="1572">
        <f t="shared" si="1074"/>
        <v>0</v>
      </c>
      <c r="DF99" s="1572">
        <f t="shared" si="1074"/>
        <v>0</v>
      </c>
      <c r="DG99" s="1572">
        <f t="shared" si="1074"/>
        <v>0</v>
      </c>
      <c r="DH99" s="1572">
        <f t="shared" si="1074"/>
        <v>0</v>
      </c>
      <c r="DI99" s="1572">
        <f t="shared" si="1074"/>
        <v>0</v>
      </c>
      <c r="DJ99" s="1572">
        <f t="shared" si="1074"/>
        <v>0</v>
      </c>
      <c r="DK99" s="1572">
        <f t="shared" si="1074"/>
        <v>0</v>
      </c>
      <c r="DL99" s="1572">
        <f t="shared" si="1074"/>
        <v>0</v>
      </c>
      <c r="DM99" s="1572">
        <f t="shared" si="1074"/>
        <v>0</v>
      </c>
      <c r="DN99" s="1572">
        <f t="shared" si="1074"/>
        <v>0</v>
      </c>
      <c r="DO99" s="1572">
        <f t="shared" si="1074"/>
        <v>0</v>
      </c>
      <c r="DP99" s="1572">
        <f t="shared" si="1074"/>
        <v>0</v>
      </c>
      <c r="DQ99" s="1572">
        <f t="shared" si="1074"/>
        <v>0</v>
      </c>
      <c r="DR99" s="1572">
        <f t="shared" si="1074"/>
        <v>0</v>
      </c>
      <c r="DS99" s="1572">
        <f t="shared" si="1074"/>
        <v>0</v>
      </c>
      <c r="DT99" s="1572">
        <f t="shared" si="1074"/>
        <v>0</v>
      </c>
      <c r="DU99" s="1572">
        <f t="shared" si="1074"/>
        <v>0</v>
      </c>
      <c r="DV99" s="1572">
        <f t="shared" si="1074"/>
        <v>0</v>
      </c>
      <c r="DW99" s="1572">
        <f t="shared" si="1074"/>
        <v>0</v>
      </c>
      <c r="DX99" s="1572">
        <f t="shared" si="1074"/>
        <v>0</v>
      </c>
      <c r="DY99" s="1572"/>
      <c r="DZ99" s="1572"/>
      <c r="EA99" s="1572"/>
      <c r="EB99" s="1572"/>
      <c r="EC99" s="1572"/>
      <c r="ED99" s="1572">
        <f>BT99*$H99</f>
        <v>0</v>
      </c>
      <c r="EE99" s="79"/>
      <c r="EF99" s="1572">
        <f t="shared" ref="EF99:EZ99" ca="1" si="1075">BV99*$I99</f>
        <v>0</v>
      </c>
      <c r="EG99" s="1572">
        <f t="shared" ca="1" si="1075"/>
        <v>0</v>
      </c>
      <c r="EH99" s="1572">
        <f t="shared" ca="1" si="1075"/>
        <v>0</v>
      </c>
      <c r="EI99" s="1572">
        <f t="shared" ca="1" si="1075"/>
        <v>0</v>
      </c>
      <c r="EJ99" s="1572">
        <f t="shared" ca="1" si="1075"/>
        <v>0</v>
      </c>
      <c r="EK99" s="1572">
        <f t="shared" ca="1" si="1075"/>
        <v>0</v>
      </c>
      <c r="EL99" s="1572">
        <f t="shared" ca="1" si="1075"/>
        <v>0</v>
      </c>
      <c r="EM99" s="1572">
        <f t="shared" ca="1" si="1075"/>
        <v>0</v>
      </c>
      <c r="EN99" s="1572">
        <f t="shared" ca="1" si="1075"/>
        <v>0</v>
      </c>
      <c r="EO99" s="1572">
        <f t="shared" ca="1" si="1075"/>
        <v>0</v>
      </c>
      <c r="EP99" s="1572">
        <f t="shared" ca="1" si="1075"/>
        <v>0</v>
      </c>
      <c r="EQ99" s="1572">
        <f t="shared" ca="1" si="1075"/>
        <v>0</v>
      </c>
      <c r="ER99" s="1572">
        <f t="shared" ca="1" si="1075"/>
        <v>0</v>
      </c>
      <c r="ES99" s="1572">
        <f t="shared" ca="1" si="1075"/>
        <v>0</v>
      </c>
      <c r="ET99" s="1572">
        <f t="shared" ca="1" si="1075"/>
        <v>0</v>
      </c>
      <c r="EU99" s="1572">
        <f t="shared" ca="1" si="1075"/>
        <v>0</v>
      </c>
      <c r="EV99" s="1572">
        <f t="shared" ca="1" si="1075"/>
        <v>0</v>
      </c>
      <c r="EW99" s="1572">
        <f t="shared" ca="1" si="1075"/>
        <v>0</v>
      </c>
      <c r="EX99" s="1572">
        <f t="shared" ca="1" si="1075"/>
        <v>0</v>
      </c>
      <c r="EY99" s="1572">
        <f t="shared" ca="1" si="1075"/>
        <v>0</v>
      </c>
      <c r="EZ99" s="1572">
        <f t="shared" ca="1" si="1075"/>
        <v>110729.31525</v>
      </c>
      <c r="FA99" s="1572">
        <f t="shared" ref="FA99" ca="1" si="1076">CQ99*$I99</f>
        <v>0</v>
      </c>
      <c r="FB99" s="1572">
        <f t="shared" ref="FB99" ca="1" si="1077">CR99*$I99</f>
        <v>0</v>
      </c>
      <c r="FC99" s="1572">
        <f t="shared" ref="FC99" ca="1" si="1078">CS99*$I99</f>
        <v>0</v>
      </c>
      <c r="FD99" s="1572">
        <f t="shared" ref="FD99" ca="1" si="1079">CT99*$I99</f>
        <v>0</v>
      </c>
      <c r="FE99" s="1572">
        <f t="shared" ref="FE99" ca="1" si="1080">CU99*$I99</f>
        <v>0</v>
      </c>
      <c r="FF99" s="1572">
        <f t="shared" ref="FF99" ca="1" si="1081">CV99*$I99</f>
        <v>0</v>
      </c>
      <c r="FG99" s="1572">
        <f t="shared" ref="FG99" ca="1" si="1082">CW99*$I99</f>
        <v>0</v>
      </c>
      <c r="FH99" s="1572">
        <f t="shared" ref="FH99" ca="1" si="1083">CX99*$I99</f>
        <v>0</v>
      </c>
      <c r="FI99" s="1572">
        <f t="shared" ref="FI99" ca="1" si="1084">CY99*$I99</f>
        <v>0</v>
      </c>
    </row>
    <row r="100" spans="1:165">
      <c r="A100" s="595"/>
      <c r="B100" s="598"/>
      <c r="C100" s="599"/>
      <c r="D100" s="68" t="s">
        <v>1745</v>
      </c>
      <c r="E100" s="68" t="str">
        <f>LEFT(D100,LEN(D100)-1) &amp; RIGHT(D100,1)+1</f>
        <v>8.10.2.2</v>
      </c>
      <c r="F100" s="1599"/>
      <c r="G100" s="401"/>
      <c r="H100" s="315">
        <f>SUM(DA100:ED100)</f>
        <v>0</v>
      </c>
      <c r="I100" s="316">
        <f ca="1">SUM(EF100:FI100)</f>
        <v>0</v>
      </c>
      <c r="J100" s="867"/>
      <c r="K100" s="90"/>
      <c r="L100" s="1479"/>
      <c r="M100" s="1479"/>
      <c r="N100" s="1479"/>
      <c r="O100" s="1479"/>
      <c r="P100" s="1479"/>
      <c r="Q100" s="1479"/>
      <c r="R100" s="1479"/>
      <c r="S100" s="1479"/>
      <c r="T100" s="1479"/>
      <c r="U100" s="1479"/>
      <c r="V100" s="1479"/>
      <c r="W100" s="1479"/>
      <c r="X100" s="1479"/>
      <c r="Y100" s="1479"/>
      <c r="Z100" s="1479"/>
      <c r="AA100" s="1479"/>
      <c r="AB100" s="1479"/>
      <c r="AC100" s="1479"/>
      <c r="AD100" s="1479"/>
      <c r="AE100" s="1479"/>
      <c r="AF100" s="1479"/>
      <c r="AG100" s="1479"/>
      <c r="AH100" s="1479"/>
      <c r="AI100" s="1479"/>
      <c r="AJ100" s="1479"/>
      <c r="AK100" s="1479"/>
      <c r="AL100" s="1479"/>
      <c r="AM100" s="1479"/>
      <c r="AN100" s="1479"/>
      <c r="AO100" s="1479"/>
      <c r="AP100" s="77"/>
      <c r="AQ100" s="1479"/>
      <c r="AR100" s="1479"/>
      <c r="AS100" s="1479"/>
      <c r="AT100" s="1479"/>
      <c r="AU100" s="1479"/>
      <c r="AV100" s="1479"/>
      <c r="AW100" s="1479"/>
      <c r="AX100" s="1479"/>
      <c r="AY100" s="1479"/>
      <c r="AZ100" s="1479"/>
      <c r="BA100" s="1479"/>
      <c r="BB100" s="1479"/>
      <c r="BC100" s="1479"/>
      <c r="BD100" s="1479"/>
      <c r="BE100" s="1479"/>
      <c r="BF100" s="1479"/>
      <c r="BG100" s="1479"/>
      <c r="BH100" s="1479"/>
      <c r="BI100" s="1479"/>
      <c r="BJ100" s="1479"/>
      <c r="BK100" s="1479"/>
      <c r="BL100" s="1479"/>
      <c r="BM100" s="1479"/>
      <c r="BN100" s="1479"/>
      <c r="BO100" s="1479"/>
      <c r="BP100" s="1479"/>
      <c r="BQ100" s="1479"/>
      <c r="BR100" s="1479"/>
      <c r="BS100" s="1479"/>
      <c r="BT100" s="1479"/>
      <c r="BU100" s="77"/>
      <c r="BV100" s="1571"/>
      <c r="BW100" s="1571"/>
      <c r="BX100" s="1571"/>
      <c r="BY100" s="1571"/>
      <c r="BZ100" s="1571"/>
      <c r="CA100" s="1571"/>
      <c r="CB100" s="1571"/>
      <c r="CC100" s="1571"/>
      <c r="CD100" s="1571"/>
      <c r="CE100" s="1571"/>
      <c r="CF100" s="1571"/>
      <c r="CG100" s="1571"/>
      <c r="CH100" s="1571"/>
      <c r="CI100" s="1571"/>
      <c r="CJ100" s="1571"/>
      <c r="CK100" s="1571"/>
      <c r="CL100" s="1571"/>
      <c r="CM100" s="1571"/>
      <c r="CN100" s="1571"/>
      <c r="CO100" s="1571"/>
      <c r="CP100" s="1571"/>
      <c r="CQ100" s="1571"/>
      <c r="CR100" s="1571"/>
      <c r="CS100" s="1571"/>
      <c r="CT100" s="1571"/>
      <c r="CU100" s="1571"/>
      <c r="CV100" s="1571"/>
      <c r="CW100" s="1571"/>
      <c r="CX100" s="1571"/>
      <c r="CY100" s="1571"/>
      <c r="CZ100" s="78"/>
      <c r="DA100" s="1591">
        <f t="shared" ref="DA100:ED100" si="1085">SUBTOTAL(9,DA101)</f>
        <v>0</v>
      </c>
      <c r="DB100" s="1591">
        <f t="shared" si="1085"/>
        <v>0</v>
      </c>
      <c r="DC100" s="1591">
        <f t="shared" si="1085"/>
        <v>0</v>
      </c>
      <c r="DD100" s="1591">
        <f t="shared" si="1085"/>
        <v>0</v>
      </c>
      <c r="DE100" s="1591">
        <f t="shared" si="1085"/>
        <v>0</v>
      </c>
      <c r="DF100" s="1591">
        <f t="shared" si="1085"/>
        <v>0</v>
      </c>
      <c r="DG100" s="1591">
        <f t="shared" si="1085"/>
        <v>0</v>
      </c>
      <c r="DH100" s="1591">
        <f t="shared" si="1085"/>
        <v>0</v>
      </c>
      <c r="DI100" s="1591">
        <f t="shared" si="1085"/>
        <v>0</v>
      </c>
      <c r="DJ100" s="1591">
        <f t="shared" si="1085"/>
        <v>0</v>
      </c>
      <c r="DK100" s="1591">
        <f t="shared" si="1085"/>
        <v>0</v>
      </c>
      <c r="DL100" s="1591">
        <f t="shared" si="1085"/>
        <v>0</v>
      </c>
      <c r="DM100" s="1591">
        <f t="shared" si="1085"/>
        <v>0</v>
      </c>
      <c r="DN100" s="1591">
        <f t="shared" si="1085"/>
        <v>0</v>
      </c>
      <c r="DO100" s="1591">
        <f t="shared" si="1085"/>
        <v>0</v>
      </c>
      <c r="DP100" s="1591">
        <f t="shared" si="1085"/>
        <v>0</v>
      </c>
      <c r="DQ100" s="1591">
        <f t="shared" si="1085"/>
        <v>0</v>
      </c>
      <c r="DR100" s="1591">
        <f t="shared" si="1085"/>
        <v>0</v>
      </c>
      <c r="DS100" s="1591">
        <f t="shared" si="1085"/>
        <v>0</v>
      </c>
      <c r="DT100" s="1591">
        <f t="shared" si="1085"/>
        <v>0</v>
      </c>
      <c r="DU100" s="1591">
        <f t="shared" si="1085"/>
        <v>0</v>
      </c>
      <c r="DV100" s="1591">
        <f t="shared" si="1085"/>
        <v>0</v>
      </c>
      <c r="DW100" s="1591">
        <f t="shared" si="1085"/>
        <v>0</v>
      </c>
      <c r="DX100" s="1591">
        <f t="shared" si="1085"/>
        <v>0</v>
      </c>
      <c r="DY100" s="1591"/>
      <c r="DZ100" s="1591"/>
      <c r="EA100" s="1591"/>
      <c r="EB100" s="1591"/>
      <c r="EC100" s="1591"/>
      <c r="ED100" s="1591">
        <f t="shared" si="1085"/>
        <v>0</v>
      </c>
      <c r="EE100" s="79"/>
      <c r="EF100" s="1591">
        <f t="shared" ref="EF100:FI100" ca="1" si="1086">SUBTOTAL(9,EF101)</f>
        <v>0</v>
      </c>
      <c r="EG100" s="1591">
        <f t="shared" ca="1" si="1086"/>
        <v>0</v>
      </c>
      <c r="EH100" s="1591">
        <f t="shared" ca="1" si="1086"/>
        <v>0</v>
      </c>
      <c r="EI100" s="1591">
        <f t="shared" ca="1" si="1086"/>
        <v>0</v>
      </c>
      <c r="EJ100" s="1591">
        <f t="shared" ca="1" si="1086"/>
        <v>0</v>
      </c>
      <c r="EK100" s="1591">
        <f t="shared" ca="1" si="1086"/>
        <v>0</v>
      </c>
      <c r="EL100" s="1591">
        <f t="shared" ca="1" si="1086"/>
        <v>0</v>
      </c>
      <c r="EM100" s="1591">
        <f t="shared" ca="1" si="1086"/>
        <v>0</v>
      </c>
      <c r="EN100" s="1591">
        <f t="shared" ca="1" si="1086"/>
        <v>0</v>
      </c>
      <c r="EO100" s="1591">
        <f t="shared" ca="1" si="1086"/>
        <v>0</v>
      </c>
      <c r="EP100" s="1591">
        <f t="shared" ca="1" si="1086"/>
        <v>0</v>
      </c>
      <c r="EQ100" s="1591">
        <f t="shared" ca="1" si="1086"/>
        <v>0</v>
      </c>
      <c r="ER100" s="1591">
        <f t="shared" ca="1" si="1086"/>
        <v>0</v>
      </c>
      <c r="ES100" s="1591">
        <f t="shared" ca="1" si="1086"/>
        <v>0</v>
      </c>
      <c r="ET100" s="1591">
        <f t="shared" ca="1" si="1086"/>
        <v>0</v>
      </c>
      <c r="EU100" s="1591">
        <f t="shared" ca="1" si="1086"/>
        <v>0</v>
      </c>
      <c r="EV100" s="1591">
        <f t="shared" ca="1" si="1086"/>
        <v>0</v>
      </c>
      <c r="EW100" s="1591">
        <f t="shared" ca="1" si="1086"/>
        <v>0</v>
      </c>
      <c r="EX100" s="1591">
        <f t="shared" ca="1" si="1086"/>
        <v>0</v>
      </c>
      <c r="EY100" s="1591">
        <f t="shared" ca="1" si="1086"/>
        <v>0</v>
      </c>
      <c r="EZ100" s="1591">
        <f t="shared" ca="1" si="1086"/>
        <v>0</v>
      </c>
      <c r="FA100" s="1591">
        <f t="shared" ca="1" si="1086"/>
        <v>0</v>
      </c>
      <c r="FB100" s="1591">
        <f t="shared" ca="1" si="1086"/>
        <v>0</v>
      </c>
      <c r="FC100" s="1591">
        <f t="shared" ca="1" si="1086"/>
        <v>0</v>
      </c>
      <c r="FD100" s="1591">
        <f t="shared" si="1086"/>
        <v>0</v>
      </c>
      <c r="FE100" s="1591">
        <f t="shared" si="1086"/>
        <v>0</v>
      </c>
      <c r="FF100" s="1591">
        <f t="shared" si="1086"/>
        <v>0</v>
      </c>
      <c r="FG100" s="1591">
        <f t="shared" si="1086"/>
        <v>0</v>
      </c>
      <c r="FH100" s="1591">
        <f t="shared" si="1086"/>
        <v>0</v>
      </c>
      <c r="FI100" s="1591">
        <f t="shared" ca="1" si="1086"/>
        <v>0</v>
      </c>
    </row>
    <row r="101" spans="1:165">
      <c r="A101" s="595"/>
      <c r="B101" s="598"/>
      <c r="C101" s="599"/>
      <c r="F101" s="1440"/>
      <c r="G101" s="1600"/>
      <c r="H101" s="1597"/>
      <c r="I101" s="1598"/>
      <c r="J101" s="867">
        <v>10</v>
      </c>
      <c r="K101" s="76"/>
      <c r="L101" s="1479"/>
      <c r="M101" s="1479"/>
      <c r="N101" s="1479"/>
      <c r="O101" s="1479"/>
      <c r="P101" s="1479"/>
      <c r="Q101" s="1479"/>
      <c r="R101" s="1479"/>
      <c r="S101" s="1479"/>
      <c r="T101" s="1479"/>
      <c r="U101" s="1479"/>
      <c r="V101" s="1479"/>
      <c r="W101" s="1479"/>
      <c r="X101" s="1479"/>
      <c r="Y101" s="1479"/>
      <c r="Z101" s="1479"/>
      <c r="AA101" s="1479"/>
      <c r="AB101" s="1479"/>
      <c r="AC101" s="1479"/>
      <c r="AD101" s="1479"/>
      <c r="AE101" s="1479"/>
      <c r="AF101" s="1479"/>
      <c r="AG101" s="1479"/>
      <c r="AH101" s="1479"/>
      <c r="AI101" s="1479"/>
      <c r="AJ101" s="1479"/>
      <c r="AK101" s="1479"/>
      <c r="AL101" s="1479"/>
      <c r="AM101" s="1479"/>
      <c r="AN101" s="1479"/>
      <c r="AO101" s="1479"/>
      <c r="AP101" s="77"/>
      <c r="AQ101" s="1479">
        <f t="shared" ref="AQ101:BN101" si="1087">IF(L101&gt;K101,L101-K101,0)</f>
        <v>0</v>
      </c>
      <c r="AR101" s="1479">
        <f t="shared" si="1087"/>
        <v>0</v>
      </c>
      <c r="AS101" s="1479">
        <f t="shared" si="1087"/>
        <v>0</v>
      </c>
      <c r="AT101" s="1479">
        <f t="shared" si="1087"/>
        <v>0</v>
      </c>
      <c r="AU101" s="1479">
        <f t="shared" si="1087"/>
        <v>0</v>
      </c>
      <c r="AV101" s="1479">
        <f t="shared" si="1087"/>
        <v>0</v>
      </c>
      <c r="AW101" s="1479">
        <f t="shared" si="1087"/>
        <v>0</v>
      </c>
      <c r="AX101" s="1479">
        <f t="shared" si="1087"/>
        <v>0</v>
      </c>
      <c r="AY101" s="1479">
        <f t="shared" si="1087"/>
        <v>0</v>
      </c>
      <c r="AZ101" s="1479">
        <f t="shared" si="1087"/>
        <v>0</v>
      </c>
      <c r="BA101" s="1479">
        <f t="shared" si="1087"/>
        <v>0</v>
      </c>
      <c r="BB101" s="1479">
        <f t="shared" si="1087"/>
        <v>0</v>
      </c>
      <c r="BC101" s="1479">
        <f t="shared" si="1087"/>
        <v>0</v>
      </c>
      <c r="BD101" s="1479">
        <f t="shared" si="1087"/>
        <v>0</v>
      </c>
      <c r="BE101" s="1479">
        <f t="shared" si="1087"/>
        <v>0</v>
      </c>
      <c r="BF101" s="1479">
        <f t="shared" si="1087"/>
        <v>0</v>
      </c>
      <c r="BG101" s="1479">
        <f t="shared" si="1087"/>
        <v>0</v>
      </c>
      <c r="BH101" s="1479">
        <f t="shared" si="1087"/>
        <v>0</v>
      </c>
      <c r="BI101" s="1479">
        <f t="shared" si="1087"/>
        <v>0</v>
      </c>
      <c r="BJ101" s="1479">
        <f t="shared" si="1087"/>
        <v>0</v>
      </c>
      <c r="BK101" s="1479">
        <f t="shared" si="1087"/>
        <v>0</v>
      </c>
      <c r="BL101" s="1479">
        <f t="shared" si="1087"/>
        <v>0</v>
      </c>
      <c r="BM101" s="1479">
        <f t="shared" si="1087"/>
        <v>0</v>
      </c>
      <c r="BN101" s="1479">
        <f t="shared" si="1087"/>
        <v>0</v>
      </c>
      <c r="BO101" s="1479"/>
      <c r="BP101" s="1479"/>
      <c r="BQ101" s="1479"/>
      <c r="BR101" s="1479"/>
      <c r="BS101" s="1479"/>
      <c r="BT101" s="1479">
        <f>IF(AO101&gt;AI101,AO101-AI101,0)</f>
        <v>0</v>
      </c>
      <c r="BU101" s="77"/>
      <c r="BV101" s="1571">
        <f t="shared" ref="BV101:CS101" ca="1" si="1088">IF(L101-SUM(OFFSET(AQ101,,-$J101+1,,$J101))-IF($J101&gt;1,SUM(OFFSET(BV101,,-$J101+1,,$J101-1)),0)&gt;0,L101-SUM(OFFSET(AQ101,,-$J101+1,,$J101))-IF($J101&gt;1,SUM(OFFSET(BV101,,-$J101+1,,$J101-1)),0),0)</f>
        <v>0</v>
      </c>
      <c r="BW101" s="1571">
        <f t="shared" ca="1" si="1088"/>
        <v>0</v>
      </c>
      <c r="BX101" s="1571">
        <f t="shared" ca="1" si="1088"/>
        <v>0</v>
      </c>
      <c r="BY101" s="1571">
        <f t="shared" ca="1" si="1088"/>
        <v>0</v>
      </c>
      <c r="BZ101" s="1571">
        <f t="shared" ca="1" si="1088"/>
        <v>0</v>
      </c>
      <c r="CA101" s="1571">
        <f t="shared" ca="1" si="1088"/>
        <v>0</v>
      </c>
      <c r="CB101" s="1571">
        <f t="shared" ca="1" si="1088"/>
        <v>0</v>
      </c>
      <c r="CC101" s="1571">
        <f t="shared" ca="1" si="1088"/>
        <v>0</v>
      </c>
      <c r="CD101" s="1571">
        <f t="shared" ca="1" si="1088"/>
        <v>0</v>
      </c>
      <c r="CE101" s="1571">
        <f t="shared" ca="1" si="1088"/>
        <v>0</v>
      </c>
      <c r="CF101" s="1571">
        <f t="shared" ca="1" si="1088"/>
        <v>0</v>
      </c>
      <c r="CG101" s="1571">
        <f t="shared" ca="1" si="1088"/>
        <v>0</v>
      </c>
      <c r="CH101" s="1571">
        <f t="shared" ca="1" si="1088"/>
        <v>0</v>
      </c>
      <c r="CI101" s="1571">
        <f t="shared" ca="1" si="1088"/>
        <v>0</v>
      </c>
      <c r="CJ101" s="1571">
        <f t="shared" ca="1" si="1088"/>
        <v>0</v>
      </c>
      <c r="CK101" s="1571">
        <f t="shared" ca="1" si="1088"/>
        <v>0</v>
      </c>
      <c r="CL101" s="1571">
        <f t="shared" ca="1" si="1088"/>
        <v>0</v>
      </c>
      <c r="CM101" s="1571">
        <f t="shared" ca="1" si="1088"/>
        <v>0</v>
      </c>
      <c r="CN101" s="1571">
        <f t="shared" ca="1" si="1088"/>
        <v>0</v>
      </c>
      <c r="CO101" s="1571">
        <f t="shared" ca="1" si="1088"/>
        <v>0</v>
      </c>
      <c r="CP101" s="1571">
        <f t="shared" ca="1" si="1088"/>
        <v>0</v>
      </c>
      <c r="CQ101" s="1571">
        <f t="shared" ca="1" si="1088"/>
        <v>0</v>
      </c>
      <c r="CR101" s="1571">
        <f t="shared" ca="1" si="1088"/>
        <v>0</v>
      </c>
      <c r="CS101" s="1571">
        <f t="shared" ca="1" si="1088"/>
        <v>0</v>
      </c>
      <c r="CT101" s="1571"/>
      <c r="CU101" s="1571"/>
      <c r="CV101" s="1571"/>
      <c r="CW101" s="1571"/>
      <c r="CX101" s="1571"/>
      <c r="CY101" s="1571">
        <f t="shared" ref="CY101" ca="1" si="1089">IF(AO101-SUM(OFFSET(BT101,,-$J101+1,,$J101))-IF($J101&gt;1,SUM(OFFSET(CY101,,-$J101+1,,$J101-1)),0)&gt;0,AO101-SUM(OFFSET(BT101,,-$J101+1,,$J101))-IF($J101&gt;1,SUM(OFFSET(CY101,,-$J101+1,,$J101-1)),0),0)</f>
        <v>0</v>
      </c>
      <c r="CZ101" s="78"/>
      <c r="DA101" s="1572">
        <f t="shared" ref="DA101:DX101" si="1090">AQ101*$H101</f>
        <v>0</v>
      </c>
      <c r="DB101" s="1572">
        <f t="shared" si="1090"/>
        <v>0</v>
      </c>
      <c r="DC101" s="1572">
        <f t="shared" si="1090"/>
        <v>0</v>
      </c>
      <c r="DD101" s="1572">
        <f t="shared" si="1090"/>
        <v>0</v>
      </c>
      <c r="DE101" s="1572">
        <f t="shared" si="1090"/>
        <v>0</v>
      </c>
      <c r="DF101" s="1572">
        <f t="shared" si="1090"/>
        <v>0</v>
      </c>
      <c r="DG101" s="1572">
        <f t="shared" si="1090"/>
        <v>0</v>
      </c>
      <c r="DH101" s="1572">
        <f t="shared" si="1090"/>
        <v>0</v>
      </c>
      <c r="DI101" s="1572">
        <f t="shared" si="1090"/>
        <v>0</v>
      </c>
      <c r="DJ101" s="1572">
        <f t="shared" si="1090"/>
        <v>0</v>
      </c>
      <c r="DK101" s="1572">
        <f t="shared" si="1090"/>
        <v>0</v>
      </c>
      <c r="DL101" s="1572">
        <f t="shared" si="1090"/>
        <v>0</v>
      </c>
      <c r="DM101" s="1572">
        <f t="shared" si="1090"/>
        <v>0</v>
      </c>
      <c r="DN101" s="1572">
        <f t="shared" si="1090"/>
        <v>0</v>
      </c>
      <c r="DO101" s="1572">
        <f t="shared" si="1090"/>
        <v>0</v>
      </c>
      <c r="DP101" s="1572">
        <f t="shared" si="1090"/>
        <v>0</v>
      </c>
      <c r="DQ101" s="1572">
        <f t="shared" si="1090"/>
        <v>0</v>
      </c>
      <c r="DR101" s="1572">
        <f t="shared" si="1090"/>
        <v>0</v>
      </c>
      <c r="DS101" s="1572">
        <f t="shared" si="1090"/>
        <v>0</v>
      </c>
      <c r="DT101" s="1572">
        <f t="shared" si="1090"/>
        <v>0</v>
      </c>
      <c r="DU101" s="1572">
        <f t="shared" si="1090"/>
        <v>0</v>
      </c>
      <c r="DV101" s="1572">
        <f t="shared" si="1090"/>
        <v>0</v>
      </c>
      <c r="DW101" s="1572">
        <f t="shared" si="1090"/>
        <v>0</v>
      </c>
      <c r="DX101" s="1572">
        <f t="shared" si="1090"/>
        <v>0</v>
      </c>
      <c r="DY101" s="1572"/>
      <c r="DZ101" s="1572"/>
      <c r="EA101" s="1572"/>
      <c r="EB101" s="1572"/>
      <c r="EC101" s="1572"/>
      <c r="ED101" s="1572">
        <f>BT101*$H101</f>
        <v>0</v>
      </c>
      <c r="EE101" s="79"/>
      <c r="EF101" s="1572">
        <f t="shared" ref="EF101:EZ101" ca="1" si="1091">BV101*$I101</f>
        <v>0</v>
      </c>
      <c r="EG101" s="1572">
        <f t="shared" ca="1" si="1091"/>
        <v>0</v>
      </c>
      <c r="EH101" s="1572">
        <f t="shared" ca="1" si="1091"/>
        <v>0</v>
      </c>
      <c r="EI101" s="1572">
        <f t="shared" ca="1" si="1091"/>
        <v>0</v>
      </c>
      <c r="EJ101" s="1572">
        <f t="shared" ca="1" si="1091"/>
        <v>0</v>
      </c>
      <c r="EK101" s="1572">
        <f t="shared" ca="1" si="1091"/>
        <v>0</v>
      </c>
      <c r="EL101" s="1572">
        <f t="shared" ca="1" si="1091"/>
        <v>0</v>
      </c>
      <c r="EM101" s="1572">
        <f t="shared" ca="1" si="1091"/>
        <v>0</v>
      </c>
      <c r="EN101" s="1572">
        <f t="shared" ca="1" si="1091"/>
        <v>0</v>
      </c>
      <c r="EO101" s="1572">
        <f t="shared" ca="1" si="1091"/>
        <v>0</v>
      </c>
      <c r="EP101" s="1572">
        <f t="shared" ca="1" si="1091"/>
        <v>0</v>
      </c>
      <c r="EQ101" s="1572">
        <f t="shared" ca="1" si="1091"/>
        <v>0</v>
      </c>
      <c r="ER101" s="1572">
        <f t="shared" ca="1" si="1091"/>
        <v>0</v>
      </c>
      <c r="ES101" s="1572">
        <f t="shared" ca="1" si="1091"/>
        <v>0</v>
      </c>
      <c r="ET101" s="1572">
        <f t="shared" ca="1" si="1091"/>
        <v>0</v>
      </c>
      <c r="EU101" s="1572">
        <f t="shared" ca="1" si="1091"/>
        <v>0</v>
      </c>
      <c r="EV101" s="1572">
        <f t="shared" ca="1" si="1091"/>
        <v>0</v>
      </c>
      <c r="EW101" s="1572">
        <f t="shared" ca="1" si="1091"/>
        <v>0</v>
      </c>
      <c r="EX101" s="1572">
        <f t="shared" ca="1" si="1091"/>
        <v>0</v>
      </c>
      <c r="EY101" s="1572">
        <f t="shared" ca="1" si="1091"/>
        <v>0</v>
      </c>
      <c r="EZ101" s="1572">
        <f t="shared" ca="1" si="1091"/>
        <v>0</v>
      </c>
      <c r="FA101" s="1572">
        <f t="shared" ref="FA101" ca="1" si="1092">CQ101*$I101</f>
        <v>0</v>
      </c>
      <c r="FB101" s="1572">
        <f t="shared" ref="FB101" ca="1" si="1093">CR101*$I101</f>
        <v>0</v>
      </c>
      <c r="FC101" s="1572">
        <f t="shared" ref="FC101" ca="1" si="1094">CS101*$I101</f>
        <v>0</v>
      </c>
      <c r="FD101" s="1572">
        <f t="shared" ref="FD101" si="1095">CT101*$I101</f>
        <v>0</v>
      </c>
      <c r="FE101" s="1572">
        <f t="shared" ref="FE101" si="1096">CU101*$I101</f>
        <v>0</v>
      </c>
      <c r="FF101" s="1572">
        <f t="shared" ref="FF101" si="1097">CV101*$I101</f>
        <v>0</v>
      </c>
      <c r="FG101" s="1572">
        <f t="shared" ref="FG101" si="1098">CW101*$I101</f>
        <v>0</v>
      </c>
      <c r="FH101" s="1572">
        <f t="shared" ref="FH101" si="1099">CX101*$I101</f>
        <v>0</v>
      </c>
      <c r="FI101" s="1572">
        <f t="shared" ref="FI101" ca="1" si="1100">CY101*$I101</f>
        <v>0</v>
      </c>
    </row>
    <row r="102" spans="1:165" ht="12.75" customHeight="1">
      <c r="A102" s="595"/>
      <c r="B102" s="598"/>
      <c r="C102" s="599"/>
      <c r="D102" s="68" t="s">
        <v>1746</v>
      </c>
      <c r="E102" s="68" t="str">
        <f>LEFT(D102,LEN(D102)-1) &amp; RIGHT(D102,1)+1</f>
        <v>8.10.3.2</v>
      </c>
      <c r="F102" s="1599" t="s">
        <v>1688</v>
      </c>
      <c r="G102" s="401" t="s">
        <v>1717</v>
      </c>
      <c r="H102" s="315">
        <f>SUM(DA102:ED102)</f>
        <v>0</v>
      </c>
      <c r="I102" s="316">
        <f ca="1">SUM(EF102:FI102)</f>
        <v>0</v>
      </c>
      <c r="J102" s="867"/>
      <c r="K102" s="76"/>
      <c r="L102" s="1479"/>
      <c r="M102" s="1479"/>
      <c r="N102" s="1479"/>
      <c r="O102" s="1479"/>
      <c r="P102" s="1479"/>
      <c r="Q102" s="1479"/>
      <c r="R102" s="1479"/>
      <c r="S102" s="1479"/>
      <c r="T102" s="1479"/>
      <c r="U102" s="1479"/>
      <c r="V102" s="1479"/>
      <c r="W102" s="1479"/>
      <c r="X102" s="1479"/>
      <c r="Y102" s="1479"/>
      <c r="Z102" s="1479"/>
      <c r="AA102" s="1479"/>
      <c r="AB102" s="1479"/>
      <c r="AC102" s="1479"/>
      <c r="AD102" s="1479"/>
      <c r="AE102" s="1479"/>
      <c r="AF102" s="1479"/>
      <c r="AG102" s="1479"/>
      <c r="AH102" s="1479"/>
      <c r="AI102" s="1479"/>
      <c r="AJ102" s="1479"/>
      <c r="AK102" s="1479"/>
      <c r="AL102" s="1479"/>
      <c r="AM102" s="1479"/>
      <c r="AN102" s="1479"/>
      <c r="AO102" s="1479"/>
      <c r="AP102" s="77"/>
      <c r="AQ102" s="1479"/>
      <c r="AR102" s="1479"/>
      <c r="AS102" s="1479"/>
      <c r="AT102" s="1479"/>
      <c r="AU102" s="1479"/>
      <c r="AV102" s="1479"/>
      <c r="AW102" s="1479"/>
      <c r="AX102" s="1479"/>
      <c r="AY102" s="1479"/>
      <c r="AZ102" s="1479"/>
      <c r="BA102" s="1479"/>
      <c r="BB102" s="1479"/>
      <c r="BC102" s="1479"/>
      <c r="BD102" s="1479"/>
      <c r="BE102" s="1479"/>
      <c r="BF102" s="1479"/>
      <c r="BG102" s="1479"/>
      <c r="BH102" s="1479"/>
      <c r="BI102" s="1479"/>
      <c r="BJ102" s="1479"/>
      <c r="BK102" s="1479"/>
      <c r="BL102" s="1479"/>
      <c r="BM102" s="1479"/>
      <c r="BN102" s="1479"/>
      <c r="BO102" s="1479"/>
      <c r="BP102" s="1479"/>
      <c r="BQ102" s="1479"/>
      <c r="BR102" s="1479"/>
      <c r="BS102" s="1479"/>
      <c r="BT102" s="1479"/>
      <c r="BU102" s="77"/>
      <c r="BV102" s="1479"/>
      <c r="BW102" s="1479"/>
      <c r="BX102" s="1479"/>
      <c r="BY102" s="1479"/>
      <c r="BZ102" s="1479"/>
      <c r="CA102" s="1479"/>
      <c r="CB102" s="1479"/>
      <c r="CC102" s="1479"/>
      <c r="CD102" s="1479"/>
      <c r="CE102" s="1479"/>
      <c r="CF102" s="1479"/>
      <c r="CG102" s="1479"/>
      <c r="CH102" s="1479"/>
      <c r="CI102" s="1479"/>
      <c r="CJ102" s="1479"/>
      <c r="CK102" s="1479"/>
      <c r="CL102" s="1479"/>
      <c r="CM102" s="1479"/>
      <c r="CN102" s="1479"/>
      <c r="CO102" s="1479"/>
      <c r="CP102" s="1479"/>
      <c r="CQ102" s="1479"/>
      <c r="CR102" s="1479"/>
      <c r="CS102" s="1479"/>
      <c r="CT102" s="1479"/>
      <c r="CU102" s="1479"/>
      <c r="CV102" s="1479"/>
      <c r="CW102" s="1479"/>
      <c r="CX102" s="1479"/>
      <c r="CY102" s="1479"/>
      <c r="CZ102" s="78"/>
      <c r="DA102" s="1567">
        <f t="shared" ref="DA102:ED102" si="1101">SUBTOTAL(9,DA103:DA105)</f>
        <v>0</v>
      </c>
      <c r="DB102" s="1567">
        <f t="shared" si="1101"/>
        <v>0</v>
      </c>
      <c r="DC102" s="1567">
        <f t="shared" si="1101"/>
        <v>0</v>
      </c>
      <c r="DD102" s="1567">
        <f t="shared" si="1101"/>
        <v>0</v>
      </c>
      <c r="DE102" s="1567">
        <f t="shared" si="1101"/>
        <v>0</v>
      </c>
      <c r="DF102" s="1567">
        <f t="shared" si="1101"/>
        <v>0</v>
      </c>
      <c r="DG102" s="1567">
        <f t="shared" si="1101"/>
        <v>0</v>
      </c>
      <c r="DH102" s="1567">
        <f t="shared" si="1101"/>
        <v>0</v>
      </c>
      <c r="DI102" s="1567">
        <f t="shared" si="1101"/>
        <v>0</v>
      </c>
      <c r="DJ102" s="1567">
        <f t="shared" si="1101"/>
        <v>0</v>
      </c>
      <c r="DK102" s="1567">
        <f t="shared" si="1101"/>
        <v>0</v>
      </c>
      <c r="DL102" s="1567">
        <f t="shared" si="1101"/>
        <v>0</v>
      </c>
      <c r="DM102" s="1567">
        <f t="shared" si="1101"/>
        <v>0</v>
      </c>
      <c r="DN102" s="1567">
        <f t="shared" si="1101"/>
        <v>0</v>
      </c>
      <c r="DO102" s="1567">
        <f t="shared" si="1101"/>
        <v>0</v>
      </c>
      <c r="DP102" s="1567">
        <f t="shared" si="1101"/>
        <v>0</v>
      </c>
      <c r="DQ102" s="1567">
        <f t="shared" si="1101"/>
        <v>0</v>
      </c>
      <c r="DR102" s="1567">
        <f t="shared" si="1101"/>
        <v>0</v>
      </c>
      <c r="DS102" s="1567">
        <f t="shared" si="1101"/>
        <v>0</v>
      </c>
      <c r="DT102" s="1567">
        <f t="shared" si="1101"/>
        <v>0</v>
      </c>
      <c r="DU102" s="1567">
        <f t="shared" si="1101"/>
        <v>0</v>
      </c>
      <c r="DV102" s="1567">
        <f t="shared" si="1101"/>
        <v>0</v>
      </c>
      <c r="DW102" s="1567">
        <f t="shared" si="1101"/>
        <v>0</v>
      </c>
      <c r="DX102" s="1567">
        <f t="shared" si="1101"/>
        <v>0</v>
      </c>
      <c r="DY102" s="1567"/>
      <c r="DZ102" s="1567"/>
      <c r="EA102" s="1567"/>
      <c r="EB102" s="1567"/>
      <c r="EC102" s="1567"/>
      <c r="ED102" s="1567">
        <f t="shared" si="1101"/>
        <v>0</v>
      </c>
      <c r="EE102" s="79"/>
      <c r="EF102" s="1567">
        <f t="shared" ref="EF102:EZ102" ca="1" si="1102">SUBTOTAL(9,EF103:EF105)</f>
        <v>0</v>
      </c>
      <c r="EG102" s="1567">
        <f t="shared" ca="1" si="1102"/>
        <v>0</v>
      </c>
      <c r="EH102" s="1567">
        <f t="shared" ca="1" si="1102"/>
        <v>0</v>
      </c>
      <c r="EI102" s="1567">
        <f t="shared" ca="1" si="1102"/>
        <v>0</v>
      </c>
      <c r="EJ102" s="1567">
        <f t="shared" ca="1" si="1102"/>
        <v>0</v>
      </c>
      <c r="EK102" s="1567">
        <f t="shared" ca="1" si="1102"/>
        <v>0</v>
      </c>
      <c r="EL102" s="1567">
        <f t="shared" ca="1" si="1102"/>
        <v>0</v>
      </c>
      <c r="EM102" s="1567">
        <f t="shared" ca="1" si="1102"/>
        <v>0</v>
      </c>
      <c r="EN102" s="1567">
        <f t="shared" ca="1" si="1102"/>
        <v>0</v>
      </c>
      <c r="EO102" s="1567">
        <f t="shared" ca="1" si="1102"/>
        <v>0</v>
      </c>
      <c r="EP102" s="1567">
        <f t="shared" ca="1" si="1102"/>
        <v>0</v>
      </c>
      <c r="EQ102" s="1567">
        <f t="shared" ca="1" si="1102"/>
        <v>0</v>
      </c>
      <c r="ER102" s="1567">
        <f t="shared" ca="1" si="1102"/>
        <v>0</v>
      </c>
      <c r="ES102" s="1567">
        <f t="shared" ca="1" si="1102"/>
        <v>0</v>
      </c>
      <c r="ET102" s="1567">
        <f t="shared" ca="1" si="1102"/>
        <v>0</v>
      </c>
      <c r="EU102" s="1567">
        <f t="shared" ca="1" si="1102"/>
        <v>0</v>
      </c>
      <c r="EV102" s="1567">
        <f t="shared" ca="1" si="1102"/>
        <v>0</v>
      </c>
      <c r="EW102" s="1567">
        <f t="shared" ca="1" si="1102"/>
        <v>0</v>
      </c>
      <c r="EX102" s="1567">
        <f t="shared" ca="1" si="1102"/>
        <v>0</v>
      </c>
      <c r="EY102" s="1567">
        <f t="shared" ca="1" si="1102"/>
        <v>0</v>
      </c>
      <c r="EZ102" s="1567">
        <f t="shared" ca="1" si="1102"/>
        <v>0</v>
      </c>
      <c r="FA102" s="1567">
        <f t="shared" ref="FA102:FI102" ca="1" si="1103">SUBTOTAL(9,FA103:FA105)</f>
        <v>0</v>
      </c>
      <c r="FB102" s="1567">
        <f t="shared" ca="1" si="1103"/>
        <v>0</v>
      </c>
      <c r="FC102" s="1567">
        <f t="shared" ca="1" si="1103"/>
        <v>0</v>
      </c>
      <c r="FD102" s="1567">
        <f t="shared" ca="1" si="1103"/>
        <v>0</v>
      </c>
      <c r="FE102" s="1567">
        <f t="shared" ca="1" si="1103"/>
        <v>0</v>
      </c>
      <c r="FF102" s="1567">
        <f t="shared" ca="1" si="1103"/>
        <v>0</v>
      </c>
      <c r="FG102" s="1567">
        <f t="shared" ca="1" si="1103"/>
        <v>0</v>
      </c>
      <c r="FH102" s="1567">
        <f t="shared" ca="1" si="1103"/>
        <v>0</v>
      </c>
      <c r="FI102" s="1567">
        <f t="shared" ca="1" si="1103"/>
        <v>0</v>
      </c>
    </row>
    <row r="103" spans="1:165" ht="12.75" customHeight="1">
      <c r="A103" s="595"/>
      <c r="B103" s="598"/>
      <c r="C103" s="599"/>
      <c r="F103" s="1500" t="s">
        <v>1689</v>
      </c>
      <c r="G103" s="1600" t="s">
        <v>1718</v>
      </c>
      <c r="H103" s="1597">
        <f>'Sistemas - Cotações'!F77</f>
        <v>0</v>
      </c>
      <c r="I103" s="1598">
        <f>H103*0.6</f>
        <v>0</v>
      </c>
      <c r="J103" s="867">
        <v>5</v>
      </c>
      <c r="K103" s="76"/>
      <c r="L103" s="1479">
        <f>'Sistemas-Manutenção'!L100</f>
        <v>21</v>
      </c>
      <c r="M103" s="1479">
        <f>'Sistemas-Manutenção'!M100</f>
        <v>21</v>
      </c>
      <c r="N103" s="1479">
        <f>'Sistemas-Manutenção'!N100</f>
        <v>21</v>
      </c>
      <c r="O103" s="1479">
        <f>'Sistemas-Manutenção'!O100</f>
        <v>21</v>
      </c>
      <c r="P103" s="1479">
        <f>'Sistemas-Manutenção'!P100</f>
        <v>21</v>
      </c>
      <c r="Q103" s="1479">
        <f>'Sistemas-Manutenção'!Q100</f>
        <v>21</v>
      </c>
      <c r="R103" s="1479">
        <f>'Sistemas-Manutenção'!R100</f>
        <v>21</v>
      </c>
      <c r="S103" s="1479">
        <f>'Sistemas-Manutenção'!S100</f>
        <v>21</v>
      </c>
      <c r="T103" s="1479">
        <f>'Sistemas-Manutenção'!T100</f>
        <v>21</v>
      </c>
      <c r="U103" s="1479">
        <f>'Sistemas-Manutenção'!U100</f>
        <v>21</v>
      </c>
      <c r="V103" s="1479">
        <f>'Sistemas-Manutenção'!V100</f>
        <v>21</v>
      </c>
      <c r="W103" s="1479">
        <f>'Sistemas-Manutenção'!W100</f>
        <v>21</v>
      </c>
      <c r="X103" s="1479">
        <f>'Sistemas-Manutenção'!X100</f>
        <v>21</v>
      </c>
      <c r="Y103" s="1479">
        <f>'Sistemas-Manutenção'!Y100</f>
        <v>21</v>
      </c>
      <c r="Z103" s="1479">
        <f>'Sistemas-Manutenção'!Z100</f>
        <v>21</v>
      </c>
      <c r="AA103" s="1479">
        <f>'Sistemas-Manutenção'!AA100</f>
        <v>21</v>
      </c>
      <c r="AB103" s="1479">
        <f>'Sistemas-Manutenção'!AB100</f>
        <v>21</v>
      </c>
      <c r="AC103" s="1479">
        <f>'Sistemas-Manutenção'!AC100</f>
        <v>21</v>
      </c>
      <c r="AD103" s="1479">
        <f>'Sistemas-Manutenção'!AD100</f>
        <v>21</v>
      </c>
      <c r="AE103" s="1479">
        <f>'Sistemas-Manutenção'!AE100</f>
        <v>21</v>
      </c>
      <c r="AF103" s="1479">
        <f>'Sistemas-Manutenção'!AF100</f>
        <v>21</v>
      </c>
      <c r="AG103" s="1479">
        <f>'Sistemas-Manutenção'!AG100</f>
        <v>21</v>
      </c>
      <c r="AH103" s="1479">
        <f>'Sistemas-Manutenção'!AH100</f>
        <v>21</v>
      </c>
      <c r="AI103" s="1479">
        <f>'Sistemas-Manutenção'!AI100</f>
        <v>21</v>
      </c>
      <c r="AJ103" s="1479">
        <f>'Sistemas-Manutenção'!AJ100</f>
        <v>21</v>
      </c>
      <c r="AK103" s="1479">
        <f>'Sistemas-Manutenção'!AK100</f>
        <v>21</v>
      </c>
      <c r="AL103" s="1479">
        <f>'Sistemas-Manutenção'!AL100</f>
        <v>21</v>
      </c>
      <c r="AM103" s="1479">
        <f>'Sistemas-Manutenção'!AM100</f>
        <v>21</v>
      </c>
      <c r="AN103" s="1479">
        <f>'Sistemas-Manutenção'!AN100</f>
        <v>21</v>
      </c>
      <c r="AO103" s="1479">
        <f>'Sistemas-Manutenção'!AO100</f>
        <v>21</v>
      </c>
      <c r="AP103" s="77"/>
      <c r="AQ103" s="1479">
        <f t="shared" ref="AQ103:BF108" si="1104">IF(L103&gt;K103,L103-K103,0)</f>
        <v>21</v>
      </c>
      <c r="AR103" s="1479">
        <f t="shared" si="1104"/>
        <v>0</v>
      </c>
      <c r="AS103" s="1479">
        <f t="shared" si="1104"/>
        <v>0</v>
      </c>
      <c r="AT103" s="1479">
        <f t="shared" si="1104"/>
        <v>0</v>
      </c>
      <c r="AU103" s="1479">
        <f t="shared" si="1104"/>
        <v>0</v>
      </c>
      <c r="AV103" s="1479">
        <f t="shared" si="1104"/>
        <v>0</v>
      </c>
      <c r="AW103" s="1479">
        <f t="shared" si="1104"/>
        <v>0</v>
      </c>
      <c r="AX103" s="1479">
        <f t="shared" si="1104"/>
        <v>0</v>
      </c>
      <c r="AY103" s="1479">
        <f t="shared" si="1104"/>
        <v>0</v>
      </c>
      <c r="AZ103" s="1479">
        <f t="shared" si="1104"/>
        <v>0</v>
      </c>
      <c r="BA103" s="1479">
        <f t="shared" si="1104"/>
        <v>0</v>
      </c>
      <c r="BB103" s="1479">
        <f t="shared" si="1104"/>
        <v>0</v>
      </c>
      <c r="BC103" s="1479">
        <f t="shared" si="1104"/>
        <v>0</v>
      </c>
      <c r="BD103" s="1479">
        <f t="shared" si="1104"/>
        <v>0</v>
      </c>
      <c r="BE103" s="1479">
        <f t="shared" si="1104"/>
        <v>0</v>
      </c>
      <c r="BF103" s="1479">
        <f t="shared" si="1104"/>
        <v>0</v>
      </c>
      <c r="BG103" s="1479">
        <f t="shared" ref="BG103:BN105" si="1105">IF(AB103&gt;AA103,AB103-AA103,0)</f>
        <v>0</v>
      </c>
      <c r="BH103" s="1479">
        <f t="shared" si="1105"/>
        <v>0</v>
      </c>
      <c r="BI103" s="1479">
        <f t="shared" si="1105"/>
        <v>0</v>
      </c>
      <c r="BJ103" s="1479">
        <f t="shared" si="1105"/>
        <v>0</v>
      </c>
      <c r="BK103" s="1479">
        <f t="shared" si="1105"/>
        <v>0</v>
      </c>
      <c r="BL103" s="1479">
        <f t="shared" si="1105"/>
        <v>0</v>
      </c>
      <c r="BM103" s="1479">
        <f t="shared" si="1105"/>
        <v>0</v>
      </c>
      <c r="BN103" s="1479">
        <f t="shared" si="1105"/>
        <v>0</v>
      </c>
      <c r="BO103" s="1479"/>
      <c r="BP103" s="1479"/>
      <c r="BQ103" s="1479"/>
      <c r="BR103" s="1479"/>
      <c r="BS103" s="1479"/>
      <c r="BT103" s="1479">
        <f>IF(AO103&gt;AI103,AO103-AI103,0)</f>
        <v>0</v>
      </c>
      <c r="BU103" s="77"/>
      <c r="BV103" s="1571">
        <f t="shared" ref="BV103:CE105" ca="1" si="1106">IF(L103-SUM(OFFSET(AQ103,,-$J103+1,,$J103))-IF($J103&gt;1,SUM(OFFSET(BV103,,-$J103+1,,$J103-1)),0)&gt;0,L103-SUM(OFFSET(AQ103,,-$J103+1,,$J103))-IF($J103&gt;1,SUM(OFFSET(BV103,,-$J103+1,,$J103-1)),0),0)</f>
        <v>0</v>
      </c>
      <c r="BW103" s="1571">
        <f t="shared" ca="1" si="1106"/>
        <v>0</v>
      </c>
      <c r="BX103" s="1571">
        <f t="shared" ca="1" si="1106"/>
        <v>0</v>
      </c>
      <c r="BY103" s="1571">
        <f t="shared" ca="1" si="1106"/>
        <v>0</v>
      </c>
      <c r="BZ103" s="1571">
        <f t="shared" ca="1" si="1106"/>
        <v>0</v>
      </c>
      <c r="CA103" s="1571">
        <f t="shared" ca="1" si="1106"/>
        <v>21</v>
      </c>
      <c r="CB103" s="1571">
        <f t="shared" ca="1" si="1106"/>
        <v>0</v>
      </c>
      <c r="CC103" s="1571">
        <f t="shared" ca="1" si="1106"/>
        <v>0</v>
      </c>
      <c r="CD103" s="1571">
        <f t="shared" ca="1" si="1106"/>
        <v>0</v>
      </c>
      <c r="CE103" s="1571">
        <f t="shared" ca="1" si="1106"/>
        <v>0</v>
      </c>
      <c r="CF103" s="1571">
        <f t="shared" ref="CF103:CF105" ca="1" si="1107">IF(V103-SUM(OFFSET(BA103,,-$J103+1,,$J103))-IF($J103&gt;1,SUM(OFFSET(CF103,,-$J103+1,,$J103-1)),0)&gt;0,V103-SUM(OFFSET(BA103,,-$J103+1,,$J103))-IF($J103&gt;1,SUM(OFFSET(CF103,,-$J103+1,,$J103-1)),0),0)</f>
        <v>21</v>
      </c>
      <c r="CG103" s="1571">
        <f t="shared" ref="CG103:CG105" ca="1" si="1108">IF(W103-SUM(OFFSET(BB103,,-$J103+1,,$J103))-IF($J103&gt;1,SUM(OFFSET(CG103,,-$J103+1,,$J103-1)),0)&gt;0,W103-SUM(OFFSET(BB103,,-$J103+1,,$J103))-IF($J103&gt;1,SUM(OFFSET(CG103,,-$J103+1,,$J103-1)),0),0)</f>
        <v>0</v>
      </c>
      <c r="CH103" s="1571">
        <f t="shared" ref="CH103:CH105" ca="1" si="1109">IF(X103-SUM(OFFSET(BC103,,-$J103+1,,$J103))-IF($J103&gt;1,SUM(OFFSET(CH103,,-$J103+1,,$J103-1)),0)&gt;0,X103-SUM(OFFSET(BC103,,-$J103+1,,$J103))-IF($J103&gt;1,SUM(OFFSET(CH103,,-$J103+1,,$J103-1)),0),0)</f>
        <v>0</v>
      </c>
      <c r="CI103" s="1571">
        <f t="shared" ref="CI103:CI105" ca="1" si="1110">IF(Y103-SUM(OFFSET(BD103,,-$J103+1,,$J103))-IF($J103&gt;1,SUM(OFFSET(CI103,,-$J103+1,,$J103-1)),0)&gt;0,Y103-SUM(OFFSET(BD103,,-$J103+1,,$J103))-IF($J103&gt;1,SUM(OFFSET(CI103,,-$J103+1,,$J103-1)),0),0)</f>
        <v>0</v>
      </c>
      <c r="CJ103" s="1571">
        <f t="shared" ref="CJ103:CJ105" ca="1" si="1111">IF(Z103-SUM(OFFSET(BE103,,-$J103+1,,$J103))-IF($J103&gt;1,SUM(OFFSET(CJ103,,-$J103+1,,$J103-1)),0)&gt;0,Z103-SUM(OFFSET(BE103,,-$J103+1,,$J103))-IF($J103&gt;1,SUM(OFFSET(CJ103,,-$J103+1,,$J103-1)),0),0)</f>
        <v>0</v>
      </c>
      <c r="CK103" s="1571">
        <f t="shared" ref="CK103:CK105" ca="1" si="1112">IF(AA103-SUM(OFFSET(BF103,,-$J103+1,,$J103))-IF($J103&gt;1,SUM(OFFSET(CK103,,-$J103+1,,$J103-1)),0)&gt;0,AA103-SUM(OFFSET(BF103,,-$J103+1,,$J103))-IF($J103&gt;1,SUM(OFFSET(CK103,,-$J103+1,,$J103-1)),0),0)</f>
        <v>21</v>
      </c>
      <c r="CL103" s="1571">
        <f t="shared" ref="CL103:CL105" ca="1" si="1113">IF(AB103-SUM(OFFSET(BG103,,-$J103+1,,$J103))-IF($J103&gt;1,SUM(OFFSET(CL103,,-$J103+1,,$J103-1)),0)&gt;0,AB103-SUM(OFFSET(BG103,,-$J103+1,,$J103))-IF($J103&gt;1,SUM(OFFSET(CL103,,-$J103+1,,$J103-1)),0),0)</f>
        <v>0</v>
      </c>
      <c r="CM103" s="1571">
        <f t="shared" ref="CM103:CM105" ca="1" si="1114">IF(AC103-SUM(OFFSET(BH103,,-$J103+1,,$J103))-IF($J103&gt;1,SUM(OFFSET(CM103,,-$J103+1,,$J103-1)),0)&gt;0,AC103-SUM(OFFSET(BH103,,-$J103+1,,$J103))-IF($J103&gt;1,SUM(OFFSET(CM103,,-$J103+1,,$J103-1)),0),0)</f>
        <v>0</v>
      </c>
      <c r="CN103" s="1571">
        <f t="shared" ref="CN103:CN105" ca="1" si="1115">IF(AD103-SUM(OFFSET(BI103,,-$J103+1,,$J103))-IF($J103&gt;1,SUM(OFFSET(CN103,,-$J103+1,,$J103-1)),0)&gt;0,AD103-SUM(OFFSET(BI103,,-$J103+1,,$J103))-IF($J103&gt;1,SUM(OFFSET(CN103,,-$J103+1,,$J103-1)),0),0)</f>
        <v>0</v>
      </c>
      <c r="CO103" s="1571">
        <f t="shared" ref="CO103:CO105" ca="1" si="1116">IF(AE103-SUM(OFFSET(BJ103,,-$J103+1,,$J103))-IF($J103&gt;1,SUM(OFFSET(CO103,,-$J103+1,,$J103-1)),0)&gt;0,AE103-SUM(OFFSET(BJ103,,-$J103+1,,$J103))-IF($J103&gt;1,SUM(OFFSET(CO103,,-$J103+1,,$J103-1)),0),0)</f>
        <v>0</v>
      </c>
      <c r="CP103" s="1571">
        <f t="shared" ref="CP103:CP105" ca="1" si="1117">IF(AF103-SUM(OFFSET(BK103,,-$J103+1,,$J103))-IF($J103&gt;1,SUM(OFFSET(CP103,,-$J103+1,,$J103-1)),0)&gt;0,AF103-SUM(OFFSET(BK103,,-$J103+1,,$J103))-IF($J103&gt;1,SUM(OFFSET(CP103,,-$J103+1,,$J103-1)),0),0)</f>
        <v>21</v>
      </c>
      <c r="CQ103" s="1571">
        <f t="shared" ref="CQ103:CQ105" ca="1" si="1118">IF(AG103-SUM(OFFSET(BL103,,-$J103+1,,$J103))-IF($J103&gt;1,SUM(OFFSET(CQ103,,-$J103+1,,$J103-1)),0)&gt;0,AG103-SUM(OFFSET(BL103,,-$J103+1,,$J103))-IF($J103&gt;1,SUM(OFFSET(CQ103,,-$J103+1,,$J103-1)),0),0)</f>
        <v>0</v>
      </c>
      <c r="CR103" s="1571">
        <f t="shared" ref="CR103:CR105" ca="1" si="1119">IF(AH103-SUM(OFFSET(BM103,,-$J103+1,,$J103))-IF($J103&gt;1,SUM(OFFSET(CR103,,-$J103+1,,$J103-1)),0)&gt;0,AH103-SUM(OFFSET(BM103,,-$J103+1,,$J103))-IF($J103&gt;1,SUM(OFFSET(CR103,,-$J103+1,,$J103-1)),0),0)</f>
        <v>0</v>
      </c>
      <c r="CS103" s="1571">
        <f t="shared" ref="CS103:CS105" ca="1" si="1120">IF(AI103-SUM(OFFSET(BN103,,-$J103+1,,$J103))-IF($J103&gt;1,SUM(OFFSET(CS103,,-$J103+1,,$J103-1)),0)&gt;0,AI103-SUM(OFFSET(BN103,,-$J103+1,,$J103))-IF($J103&gt;1,SUM(OFFSET(CS103,,-$J103+1,,$J103-1)),0),0)</f>
        <v>0</v>
      </c>
      <c r="CT103" s="1571">
        <f t="shared" ref="CT103:CT105" ca="1" si="1121">IF(AJ103-SUM(OFFSET(BT103,,-$J103+1,,$J103))-IF($J103&gt;1,SUM(OFFSET(CT103,,-$J103+1,,$J103-1)),0)&gt;0,AJ103-SUM(OFFSET(BT103,,-$J103+1,,$J103))-IF($J103&gt;1,SUM(OFFSET(CT103,,-$J103+1,,$J103-1)),0),0)</f>
        <v>0</v>
      </c>
      <c r="CU103" s="1571">
        <f t="shared" ref="CU103:CU105" ca="1" si="1122">IF(AK103-SUM(OFFSET(BU103,,-$J103+1,,$J103))-IF($J103&gt;1,SUM(OFFSET(CU103,,-$J103+1,,$J103-1)),0)&gt;0,AK103-SUM(OFFSET(BU103,,-$J103+1,,$J103))-IF($J103&gt;1,SUM(OFFSET(CU103,,-$J103+1,,$J103-1)),0),0)</f>
        <v>21</v>
      </c>
      <c r="CV103" s="1571">
        <f t="shared" ref="CV103:CV105" ca="1" si="1123">IF(AL103-SUM(OFFSET(BV103,,-$J103+1,,$J103))-IF($J103&gt;1,SUM(OFFSET(CV103,,-$J103+1,,$J103-1)),0)&gt;0,AL103-SUM(OFFSET(BV103,,-$J103+1,,$J103))-IF($J103&gt;1,SUM(OFFSET(CV103,,-$J103+1,,$J103-1)),0),0)</f>
        <v>0</v>
      </c>
      <c r="CW103" s="1571">
        <f t="shared" ref="CW103:CW105" ca="1" si="1124">IF(AM103-SUM(OFFSET(BW103,,-$J103+1,,$J103))-IF($J103&gt;1,SUM(OFFSET(CW103,,-$J103+1,,$J103-1)),0)&gt;0,AM103-SUM(OFFSET(BW103,,-$J103+1,,$J103))-IF($J103&gt;1,SUM(OFFSET(CW103,,-$J103+1,,$J103-1)),0),0)</f>
        <v>0</v>
      </c>
      <c r="CX103" s="1571">
        <f t="shared" ref="CX103:CX105" ca="1" si="1125">IF(AN103-SUM(OFFSET(BX103,,-$J103+1,,$J103))-IF($J103&gt;1,SUM(OFFSET(CX103,,-$J103+1,,$J103-1)),0)&gt;0,AN103-SUM(OFFSET(BX103,,-$J103+1,,$J103))-IF($J103&gt;1,SUM(OFFSET(CX103,,-$J103+1,,$J103-1)),0),0)</f>
        <v>0</v>
      </c>
      <c r="CY103" s="1571">
        <f t="shared" ref="CY103:CY105" ca="1" si="1126">IF(AO103-SUM(OFFSET(BY103,,-$J103+1,,$J103))-IF($J103&gt;1,SUM(OFFSET(CY103,,-$J103+1,,$J103-1)),0)&gt;0,AO103-SUM(OFFSET(BY103,,-$J103+1,,$J103))-IF($J103&gt;1,SUM(OFFSET(CY103,,-$J103+1,,$J103-1)),0),0)</f>
        <v>0</v>
      </c>
      <c r="CZ103" s="78"/>
      <c r="DA103" s="1572">
        <f t="shared" ref="DA103:DP105" si="1127">AQ103*$H103</f>
        <v>0</v>
      </c>
      <c r="DB103" s="1572">
        <f t="shared" si="1127"/>
        <v>0</v>
      </c>
      <c r="DC103" s="1572">
        <f t="shared" si="1127"/>
        <v>0</v>
      </c>
      <c r="DD103" s="1572">
        <f t="shared" si="1127"/>
        <v>0</v>
      </c>
      <c r="DE103" s="1572">
        <f t="shared" si="1127"/>
        <v>0</v>
      </c>
      <c r="DF103" s="1572">
        <f t="shared" si="1127"/>
        <v>0</v>
      </c>
      <c r="DG103" s="1572">
        <f t="shared" si="1127"/>
        <v>0</v>
      </c>
      <c r="DH103" s="1572">
        <f t="shared" si="1127"/>
        <v>0</v>
      </c>
      <c r="DI103" s="1572">
        <f t="shared" si="1127"/>
        <v>0</v>
      </c>
      <c r="DJ103" s="1572">
        <f t="shared" si="1127"/>
        <v>0</v>
      </c>
      <c r="DK103" s="1572">
        <f t="shared" si="1127"/>
        <v>0</v>
      </c>
      <c r="DL103" s="1572">
        <f t="shared" si="1127"/>
        <v>0</v>
      </c>
      <c r="DM103" s="1572">
        <f t="shared" si="1127"/>
        <v>0</v>
      </c>
      <c r="DN103" s="1572">
        <f t="shared" si="1127"/>
        <v>0</v>
      </c>
      <c r="DO103" s="1572">
        <f t="shared" si="1127"/>
        <v>0</v>
      </c>
      <c r="DP103" s="1572">
        <f t="shared" si="1127"/>
        <v>0</v>
      </c>
      <c r="DQ103" s="1572">
        <f t="shared" ref="DK103:DX105" si="1128">BG103*$H103</f>
        <v>0</v>
      </c>
      <c r="DR103" s="1572">
        <f t="shared" si="1128"/>
        <v>0</v>
      </c>
      <c r="DS103" s="1572">
        <f t="shared" si="1128"/>
        <v>0</v>
      </c>
      <c r="DT103" s="1572">
        <f t="shared" si="1128"/>
        <v>0</v>
      </c>
      <c r="DU103" s="1572">
        <f t="shared" si="1128"/>
        <v>0</v>
      </c>
      <c r="DV103" s="1572">
        <f t="shared" si="1128"/>
        <v>0</v>
      </c>
      <c r="DW103" s="1572">
        <f t="shared" si="1128"/>
        <v>0</v>
      </c>
      <c r="DX103" s="1572">
        <f t="shared" si="1128"/>
        <v>0</v>
      </c>
      <c r="DY103" s="1572"/>
      <c r="DZ103" s="1572"/>
      <c r="EA103" s="1572"/>
      <c r="EB103" s="1572"/>
      <c r="EC103" s="1572"/>
      <c r="ED103" s="1572">
        <f>BT103*$H103</f>
        <v>0</v>
      </c>
      <c r="EE103" s="79"/>
      <c r="EF103" s="1572">
        <f t="shared" ref="EF103:EU105" ca="1" si="1129">BV103*$I103</f>
        <v>0</v>
      </c>
      <c r="EG103" s="1572">
        <f t="shared" ca="1" si="1129"/>
        <v>0</v>
      </c>
      <c r="EH103" s="1572">
        <f t="shared" ca="1" si="1129"/>
        <v>0</v>
      </c>
      <c r="EI103" s="1572">
        <f t="shared" ca="1" si="1129"/>
        <v>0</v>
      </c>
      <c r="EJ103" s="1572">
        <f t="shared" ca="1" si="1129"/>
        <v>0</v>
      </c>
      <c r="EK103" s="1572">
        <f t="shared" ca="1" si="1129"/>
        <v>0</v>
      </c>
      <c r="EL103" s="1572">
        <f t="shared" ca="1" si="1129"/>
        <v>0</v>
      </c>
      <c r="EM103" s="1572">
        <f t="shared" ca="1" si="1129"/>
        <v>0</v>
      </c>
      <c r="EN103" s="1572">
        <f t="shared" ca="1" si="1129"/>
        <v>0</v>
      </c>
      <c r="EO103" s="1572">
        <f t="shared" ca="1" si="1129"/>
        <v>0</v>
      </c>
      <c r="EP103" s="1572">
        <f t="shared" ca="1" si="1129"/>
        <v>0</v>
      </c>
      <c r="EQ103" s="1572">
        <f t="shared" ca="1" si="1129"/>
        <v>0</v>
      </c>
      <c r="ER103" s="1572">
        <f t="shared" ca="1" si="1129"/>
        <v>0</v>
      </c>
      <c r="ES103" s="1572">
        <f t="shared" ca="1" si="1129"/>
        <v>0</v>
      </c>
      <c r="ET103" s="1572">
        <f t="shared" ca="1" si="1129"/>
        <v>0</v>
      </c>
      <c r="EU103" s="1572">
        <f t="shared" ca="1" si="1129"/>
        <v>0</v>
      </c>
      <c r="EV103" s="1572">
        <f t="shared" ref="EV103:EZ105" ca="1" si="1130">CL103*$I103</f>
        <v>0</v>
      </c>
      <c r="EW103" s="1572">
        <f t="shared" ca="1" si="1130"/>
        <v>0</v>
      </c>
      <c r="EX103" s="1572">
        <f t="shared" ca="1" si="1130"/>
        <v>0</v>
      </c>
      <c r="EY103" s="1572">
        <f t="shared" ca="1" si="1130"/>
        <v>0</v>
      </c>
      <c r="EZ103" s="1572">
        <f t="shared" ca="1" si="1130"/>
        <v>0</v>
      </c>
      <c r="FA103" s="1572">
        <f t="shared" ref="FA103:FA105" ca="1" si="1131">CQ103*$I103</f>
        <v>0</v>
      </c>
      <c r="FB103" s="1572">
        <f t="shared" ref="FB103:FB105" ca="1" si="1132">CR103*$I103</f>
        <v>0</v>
      </c>
      <c r="FC103" s="1572">
        <f t="shared" ref="FC103:FC105" ca="1" si="1133">CS103*$I103</f>
        <v>0</v>
      </c>
      <c r="FD103" s="1572">
        <f t="shared" ref="FD103:FD105" ca="1" si="1134">CT103*$I103</f>
        <v>0</v>
      </c>
      <c r="FE103" s="1572">
        <f t="shared" ref="FE103:FE105" ca="1" si="1135">CU103*$I103</f>
        <v>0</v>
      </c>
      <c r="FF103" s="1572">
        <f t="shared" ref="FF103:FF105" ca="1" si="1136">CV103*$I103</f>
        <v>0</v>
      </c>
      <c r="FG103" s="1572">
        <f t="shared" ref="FG103:FG105" ca="1" si="1137">CW103*$I103</f>
        <v>0</v>
      </c>
      <c r="FH103" s="1572">
        <f t="shared" ref="FH103:FH105" ca="1" si="1138">CX103*$I103</f>
        <v>0</v>
      </c>
      <c r="FI103" s="1572">
        <f t="shared" ref="FI103:FI105" ca="1" si="1139">CY103*$I103</f>
        <v>0</v>
      </c>
    </row>
    <row r="104" spans="1:165" ht="12.75" customHeight="1">
      <c r="A104" s="595"/>
      <c r="B104" s="598"/>
      <c r="C104" s="599"/>
      <c r="F104" s="1500" t="s">
        <v>1690</v>
      </c>
      <c r="G104" s="1600" t="s">
        <v>1718</v>
      </c>
      <c r="H104" s="1597">
        <f>'Sistemas - Cotações'!F78</f>
        <v>0</v>
      </c>
      <c r="I104" s="1598">
        <f t="shared" ref="I104:I108" si="1140">H104*0.6</f>
        <v>0</v>
      </c>
      <c r="J104" s="867">
        <v>3</v>
      </c>
      <c r="K104" s="76"/>
      <c r="L104" s="1479">
        <f>'Sistemas-Manutenção'!L101</f>
        <v>50.333333333333336</v>
      </c>
      <c r="M104" s="1479">
        <f>'Sistemas-Manutenção'!M101</f>
        <v>50.333333333333336</v>
      </c>
      <c r="N104" s="1479">
        <f>'Sistemas-Manutenção'!N101</f>
        <v>50.333333333333336</v>
      </c>
      <c r="O104" s="1479">
        <f>'Sistemas-Manutenção'!O101</f>
        <v>50.333333333333336</v>
      </c>
      <c r="P104" s="1479">
        <f>'Sistemas-Manutenção'!P101</f>
        <v>50.333333333333336</v>
      </c>
      <c r="Q104" s="1479">
        <f>'Sistemas-Manutenção'!Q101</f>
        <v>50.333333333333336</v>
      </c>
      <c r="R104" s="1479">
        <f>'Sistemas-Manutenção'!R101</f>
        <v>50.333333333333336</v>
      </c>
      <c r="S104" s="1479">
        <f>'Sistemas-Manutenção'!S101</f>
        <v>50.333333333333336</v>
      </c>
      <c r="T104" s="1479">
        <f>'Sistemas-Manutenção'!T101</f>
        <v>50.333333333333336</v>
      </c>
      <c r="U104" s="1479">
        <f>'Sistemas-Manutenção'!U101</f>
        <v>50.333333333333336</v>
      </c>
      <c r="V104" s="1479">
        <f>'Sistemas-Manutenção'!V101</f>
        <v>50.333333333333336</v>
      </c>
      <c r="W104" s="1479">
        <f>'Sistemas-Manutenção'!W101</f>
        <v>50.333333333333336</v>
      </c>
      <c r="X104" s="1479">
        <f>'Sistemas-Manutenção'!X101</f>
        <v>50.333333333333336</v>
      </c>
      <c r="Y104" s="1479">
        <f>'Sistemas-Manutenção'!Y101</f>
        <v>50.333333333333336</v>
      </c>
      <c r="Z104" s="1479">
        <f>'Sistemas-Manutenção'!Z101</f>
        <v>50.333333333333336</v>
      </c>
      <c r="AA104" s="1479">
        <f>'Sistemas-Manutenção'!AA101</f>
        <v>50.333333333333336</v>
      </c>
      <c r="AB104" s="1479">
        <f>'Sistemas-Manutenção'!AB101</f>
        <v>50.333333333333336</v>
      </c>
      <c r="AC104" s="1479">
        <f>'Sistemas-Manutenção'!AC101</f>
        <v>50.333333333333336</v>
      </c>
      <c r="AD104" s="1479">
        <f>'Sistemas-Manutenção'!AD101</f>
        <v>50.333333333333336</v>
      </c>
      <c r="AE104" s="1479">
        <f>'Sistemas-Manutenção'!AE101</f>
        <v>50.333333333333336</v>
      </c>
      <c r="AF104" s="1479">
        <f>'Sistemas-Manutenção'!AF101</f>
        <v>50.333333333333336</v>
      </c>
      <c r="AG104" s="1479">
        <f>'Sistemas-Manutenção'!AG101</f>
        <v>50.333333333333336</v>
      </c>
      <c r="AH104" s="1479">
        <f>'Sistemas-Manutenção'!AH101</f>
        <v>50.333333333333336</v>
      </c>
      <c r="AI104" s="1479">
        <f>'Sistemas-Manutenção'!AI101</f>
        <v>50.333333333333336</v>
      </c>
      <c r="AJ104" s="1479">
        <f>'Sistemas-Manutenção'!AJ101</f>
        <v>50.333333333333336</v>
      </c>
      <c r="AK104" s="1479">
        <f>'Sistemas-Manutenção'!AK101</f>
        <v>50.333333333333336</v>
      </c>
      <c r="AL104" s="1479">
        <f>'Sistemas-Manutenção'!AL101</f>
        <v>50.333333333333336</v>
      </c>
      <c r="AM104" s="1479">
        <f>'Sistemas-Manutenção'!AM101</f>
        <v>50.333333333333336</v>
      </c>
      <c r="AN104" s="1479">
        <f>'Sistemas-Manutenção'!AN101</f>
        <v>50.333333333333336</v>
      </c>
      <c r="AO104" s="1479">
        <f>'Sistemas-Manutenção'!AO101</f>
        <v>50.333333333333336</v>
      </c>
      <c r="AP104" s="77"/>
      <c r="AQ104" s="1479">
        <f t="shared" si="1104"/>
        <v>50.333333333333336</v>
      </c>
      <c r="AR104" s="1479">
        <f t="shared" si="1104"/>
        <v>0</v>
      </c>
      <c r="AS104" s="1479">
        <f t="shared" si="1104"/>
        <v>0</v>
      </c>
      <c r="AT104" s="1479">
        <f t="shared" si="1104"/>
        <v>0</v>
      </c>
      <c r="AU104" s="1479">
        <f t="shared" si="1104"/>
        <v>0</v>
      </c>
      <c r="AV104" s="1479">
        <f t="shared" si="1104"/>
        <v>0</v>
      </c>
      <c r="AW104" s="1479">
        <f t="shared" si="1104"/>
        <v>0</v>
      </c>
      <c r="AX104" s="1479">
        <f t="shared" si="1104"/>
        <v>0</v>
      </c>
      <c r="AY104" s="1479">
        <f t="shared" si="1104"/>
        <v>0</v>
      </c>
      <c r="AZ104" s="1479">
        <f t="shared" si="1104"/>
        <v>0</v>
      </c>
      <c r="BA104" s="1479">
        <f t="shared" ref="BA104:BF105" si="1141">IF(V104&gt;U104,V104-U104,0)</f>
        <v>0</v>
      </c>
      <c r="BB104" s="1479">
        <f t="shared" si="1141"/>
        <v>0</v>
      </c>
      <c r="BC104" s="1479">
        <f t="shared" si="1141"/>
        <v>0</v>
      </c>
      <c r="BD104" s="1479">
        <f t="shared" si="1141"/>
        <v>0</v>
      </c>
      <c r="BE104" s="1479">
        <f t="shared" si="1141"/>
        <v>0</v>
      </c>
      <c r="BF104" s="1479">
        <f t="shared" si="1141"/>
        <v>0</v>
      </c>
      <c r="BG104" s="1479">
        <f t="shared" si="1105"/>
        <v>0</v>
      </c>
      <c r="BH104" s="1479">
        <f t="shared" si="1105"/>
        <v>0</v>
      </c>
      <c r="BI104" s="1479">
        <f t="shared" si="1105"/>
        <v>0</v>
      </c>
      <c r="BJ104" s="1479">
        <f t="shared" si="1105"/>
        <v>0</v>
      </c>
      <c r="BK104" s="1479">
        <f t="shared" si="1105"/>
        <v>0</v>
      </c>
      <c r="BL104" s="1479">
        <f t="shared" si="1105"/>
        <v>0</v>
      </c>
      <c r="BM104" s="1479">
        <f t="shared" si="1105"/>
        <v>0</v>
      </c>
      <c r="BN104" s="1479">
        <f t="shared" si="1105"/>
        <v>0</v>
      </c>
      <c r="BO104" s="1479"/>
      <c r="BP104" s="1479"/>
      <c r="BQ104" s="1479"/>
      <c r="BR104" s="1479"/>
      <c r="BS104" s="1479"/>
      <c r="BT104" s="1479">
        <f>IF(AO104&gt;AI104,AO104-AI104,0)</f>
        <v>0</v>
      </c>
      <c r="BU104" s="77"/>
      <c r="BV104" s="1571">
        <f t="shared" ca="1" si="1106"/>
        <v>0</v>
      </c>
      <c r="BW104" s="1571">
        <f t="shared" ca="1" si="1106"/>
        <v>0</v>
      </c>
      <c r="BX104" s="1571">
        <f t="shared" ca="1" si="1106"/>
        <v>0</v>
      </c>
      <c r="BY104" s="1571">
        <f t="shared" ca="1" si="1106"/>
        <v>50.333333333333336</v>
      </c>
      <c r="BZ104" s="1571">
        <f t="shared" ca="1" si="1106"/>
        <v>0</v>
      </c>
      <c r="CA104" s="1571">
        <f t="shared" ca="1" si="1106"/>
        <v>0</v>
      </c>
      <c r="CB104" s="1571">
        <f t="shared" ca="1" si="1106"/>
        <v>50.333333333333336</v>
      </c>
      <c r="CC104" s="1571">
        <f t="shared" ca="1" si="1106"/>
        <v>0</v>
      </c>
      <c r="CD104" s="1571">
        <f t="shared" ca="1" si="1106"/>
        <v>0</v>
      </c>
      <c r="CE104" s="1571">
        <f t="shared" ca="1" si="1106"/>
        <v>50.333333333333336</v>
      </c>
      <c r="CF104" s="1571">
        <f t="shared" ca="1" si="1107"/>
        <v>0</v>
      </c>
      <c r="CG104" s="1571">
        <f t="shared" ca="1" si="1108"/>
        <v>0</v>
      </c>
      <c r="CH104" s="1571">
        <f t="shared" ca="1" si="1109"/>
        <v>50.333333333333336</v>
      </c>
      <c r="CI104" s="1571">
        <f t="shared" ca="1" si="1110"/>
        <v>0</v>
      </c>
      <c r="CJ104" s="1571">
        <f t="shared" ca="1" si="1111"/>
        <v>0</v>
      </c>
      <c r="CK104" s="1571">
        <f t="shared" ca="1" si="1112"/>
        <v>50.333333333333336</v>
      </c>
      <c r="CL104" s="1571">
        <f t="shared" ca="1" si="1113"/>
        <v>0</v>
      </c>
      <c r="CM104" s="1571">
        <f t="shared" ca="1" si="1114"/>
        <v>0</v>
      </c>
      <c r="CN104" s="1571">
        <f t="shared" ca="1" si="1115"/>
        <v>50.333333333333336</v>
      </c>
      <c r="CO104" s="1571">
        <f t="shared" ca="1" si="1116"/>
        <v>0</v>
      </c>
      <c r="CP104" s="1571">
        <f t="shared" ca="1" si="1117"/>
        <v>0</v>
      </c>
      <c r="CQ104" s="1571">
        <f t="shared" ca="1" si="1118"/>
        <v>50.333333333333336</v>
      </c>
      <c r="CR104" s="1571">
        <f t="shared" ca="1" si="1119"/>
        <v>0</v>
      </c>
      <c r="CS104" s="1571">
        <f t="shared" ca="1" si="1120"/>
        <v>0</v>
      </c>
      <c r="CT104" s="1571">
        <f t="shared" ca="1" si="1121"/>
        <v>50.333333333333336</v>
      </c>
      <c r="CU104" s="1571">
        <f t="shared" ca="1" si="1122"/>
        <v>0</v>
      </c>
      <c r="CV104" s="1571">
        <f t="shared" ca="1" si="1123"/>
        <v>0</v>
      </c>
      <c r="CW104" s="1571">
        <f t="shared" ca="1" si="1124"/>
        <v>50.333333333333336</v>
      </c>
      <c r="CX104" s="1571">
        <f t="shared" ca="1" si="1125"/>
        <v>0</v>
      </c>
      <c r="CY104" s="1571">
        <f t="shared" ca="1" si="1126"/>
        <v>0</v>
      </c>
      <c r="CZ104" s="78"/>
      <c r="DA104" s="1572">
        <f t="shared" si="1127"/>
        <v>0</v>
      </c>
      <c r="DB104" s="1572">
        <f t="shared" si="1127"/>
        <v>0</v>
      </c>
      <c r="DC104" s="1572">
        <f t="shared" si="1127"/>
        <v>0</v>
      </c>
      <c r="DD104" s="1572">
        <f t="shared" si="1127"/>
        <v>0</v>
      </c>
      <c r="DE104" s="1572">
        <f t="shared" si="1127"/>
        <v>0</v>
      </c>
      <c r="DF104" s="1572">
        <f t="shared" si="1127"/>
        <v>0</v>
      </c>
      <c r="DG104" s="1572">
        <f t="shared" si="1127"/>
        <v>0</v>
      </c>
      <c r="DH104" s="1572">
        <f t="shared" si="1127"/>
        <v>0</v>
      </c>
      <c r="DI104" s="1572">
        <f t="shared" si="1127"/>
        <v>0</v>
      </c>
      <c r="DJ104" s="1572">
        <f t="shared" si="1127"/>
        <v>0</v>
      </c>
      <c r="DK104" s="1572">
        <f t="shared" si="1128"/>
        <v>0</v>
      </c>
      <c r="DL104" s="1572">
        <f t="shared" si="1128"/>
        <v>0</v>
      </c>
      <c r="DM104" s="1572">
        <f t="shared" si="1128"/>
        <v>0</v>
      </c>
      <c r="DN104" s="1572">
        <f t="shared" si="1128"/>
        <v>0</v>
      </c>
      <c r="DO104" s="1572">
        <f t="shared" si="1128"/>
        <v>0</v>
      </c>
      <c r="DP104" s="1572">
        <f t="shared" si="1128"/>
        <v>0</v>
      </c>
      <c r="DQ104" s="1572">
        <f t="shared" si="1128"/>
        <v>0</v>
      </c>
      <c r="DR104" s="1572">
        <f t="shared" si="1128"/>
        <v>0</v>
      </c>
      <c r="DS104" s="1572">
        <f t="shared" si="1128"/>
        <v>0</v>
      </c>
      <c r="DT104" s="1572">
        <f t="shared" si="1128"/>
        <v>0</v>
      </c>
      <c r="DU104" s="1572">
        <f t="shared" si="1128"/>
        <v>0</v>
      </c>
      <c r="DV104" s="1572">
        <f t="shared" si="1128"/>
        <v>0</v>
      </c>
      <c r="DW104" s="1572">
        <f t="shared" si="1128"/>
        <v>0</v>
      </c>
      <c r="DX104" s="1572">
        <f t="shared" si="1128"/>
        <v>0</v>
      </c>
      <c r="DY104" s="1572"/>
      <c r="DZ104" s="1572"/>
      <c r="EA104" s="1572"/>
      <c r="EB104" s="1572"/>
      <c r="EC104" s="1572"/>
      <c r="ED104" s="1572">
        <f>BT104*$H104</f>
        <v>0</v>
      </c>
      <c r="EE104" s="79"/>
      <c r="EF104" s="1572">
        <f t="shared" ca="1" si="1129"/>
        <v>0</v>
      </c>
      <c r="EG104" s="1572">
        <f t="shared" ca="1" si="1129"/>
        <v>0</v>
      </c>
      <c r="EH104" s="1572">
        <f t="shared" ca="1" si="1129"/>
        <v>0</v>
      </c>
      <c r="EI104" s="1572">
        <f t="shared" ca="1" si="1129"/>
        <v>0</v>
      </c>
      <c r="EJ104" s="1572">
        <f t="shared" ca="1" si="1129"/>
        <v>0</v>
      </c>
      <c r="EK104" s="1572">
        <f t="shared" ca="1" si="1129"/>
        <v>0</v>
      </c>
      <c r="EL104" s="1572">
        <f t="shared" ca="1" si="1129"/>
        <v>0</v>
      </c>
      <c r="EM104" s="1572">
        <f t="shared" ca="1" si="1129"/>
        <v>0</v>
      </c>
      <c r="EN104" s="1572">
        <f t="shared" ca="1" si="1129"/>
        <v>0</v>
      </c>
      <c r="EO104" s="1572">
        <f t="shared" ca="1" si="1129"/>
        <v>0</v>
      </c>
      <c r="EP104" s="1572">
        <f t="shared" ref="EP104:EU105" ca="1" si="1142">CF104*$I104</f>
        <v>0</v>
      </c>
      <c r="EQ104" s="1572">
        <f t="shared" ca="1" si="1142"/>
        <v>0</v>
      </c>
      <c r="ER104" s="1572">
        <f t="shared" ca="1" si="1142"/>
        <v>0</v>
      </c>
      <c r="ES104" s="1572">
        <f t="shared" ca="1" si="1142"/>
        <v>0</v>
      </c>
      <c r="ET104" s="1572">
        <f t="shared" ca="1" si="1142"/>
        <v>0</v>
      </c>
      <c r="EU104" s="1572">
        <f t="shared" ca="1" si="1142"/>
        <v>0</v>
      </c>
      <c r="EV104" s="1572">
        <f t="shared" ca="1" si="1130"/>
        <v>0</v>
      </c>
      <c r="EW104" s="1572">
        <f t="shared" ca="1" si="1130"/>
        <v>0</v>
      </c>
      <c r="EX104" s="1572">
        <f t="shared" ca="1" si="1130"/>
        <v>0</v>
      </c>
      <c r="EY104" s="1572">
        <f t="shared" ca="1" si="1130"/>
        <v>0</v>
      </c>
      <c r="EZ104" s="1572">
        <f t="shared" ca="1" si="1130"/>
        <v>0</v>
      </c>
      <c r="FA104" s="1572">
        <f t="shared" ca="1" si="1131"/>
        <v>0</v>
      </c>
      <c r="FB104" s="1572">
        <f t="shared" ca="1" si="1132"/>
        <v>0</v>
      </c>
      <c r="FC104" s="1572">
        <f t="shared" ca="1" si="1133"/>
        <v>0</v>
      </c>
      <c r="FD104" s="1572">
        <f t="shared" ca="1" si="1134"/>
        <v>0</v>
      </c>
      <c r="FE104" s="1572">
        <f t="shared" ca="1" si="1135"/>
        <v>0</v>
      </c>
      <c r="FF104" s="1572">
        <f t="shared" ca="1" si="1136"/>
        <v>0</v>
      </c>
      <c r="FG104" s="1572">
        <f t="shared" ca="1" si="1137"/>
        <v>0</v>
      </c>
      <c r="FH104" s="1572">
        <f t="shared" ca="1" si="1138"/>
        <v>0</v>
      </c>
      <c r="FI104" s="1572">
        <f t="shared" ca="1" si="1139"/>
        <v>0</v>
      </c>
    </row>
    <row r="105" spans="1:165" ht="14.25" customHeight="1">
      <c r="A105" s="595"/>
      <c r="B105" s="598"/>
      <c r="C105" s="599"/>
      <c r="F105" s="1500" t="s">
        <v>1691</v>
      </c>
      <c r="G105" s="1600" t="s">
        <v>1718</v>
      </c>
      <c r="H105" s="1597">
        <f>'Sistemas - Cotações'!F79</f>
        <v>0</v>
      </c>
      <c r="I105" s="1598">
        <f t="shared" si="1140"/>
        <v>0</v>
      </c>
      <c r="J105" s="867">
        <v>2</v>
      </c>
      <c r="K105" s="76"/>
      <c r="L105" s="1479">
        <f>'Sistemas-Manutenção'!L102</f>
        <v>47</v>
      </c>
      <c r="M105" s="1479">
        <f>'Sistemas-Manutenção'!M102</f>
        <v>47</v>
      </c>
      <c r="N105" s="1479">
        <f>'Sistemas-Manutenção'!N102</f>
        <v>47</v>
      </c>
      <c r="O105" s="1479">
        <f>'Sistemas-Manutenção'!O102</f>
        <v>47</v>
      </c>
      <c r="P105" s="1479">
        <f>'Sistemas-Manutenção'!P102</f>
        <v>47</v>
      </c>
      <c r="Q105" s="1479">
        <f>'Sistemas-Manutenção'!Q102</f>
        <v>47</v>
      </c>
      <c r="R105" s="1479">
        <f>'Sistemas-Manutenção'!R102</f>
        <v>47</v>
      </c>
      <c r="S105" s="1479">
        <f>'Sistemas-Manutenção'!S102</f>
        <v>47</v>
      </c>
      <c r="T105" s="1479">
        <f>'Sistemas-Manutenção'!T102</f>
        <v>47</v>
      </c>
      <c r="U105" s="1479">
        <f>'Sistemas-Manutenção'!U102</f>
        <v>47</v>
      </c>
      <c r="V105" s="1479">
        <f>'Sistemas-Manutenção'!V102</f>
        <v>47</v>
      </c>
      <c r="W105" s="1479">
        <f>'Sistemas-Manutenção'!W102</f>
        <v>47</v>
      </c>
      <c r="X105" s="1479">
        <f>'Sistemas-Manutenção'!X102</f>
        <v>47</v>
      </c>
      <c r="Y105" s="1479">
        <f>'Sistemas-Manutenção'!Y102</f>
        <v>47</v>
      </c>
      <c r="Z105" s="1479">
        <f>'Sistemas-Manutenção'!Z102</f>
        <v>47</v>
      </c>
      <c r="AA105" s="1479">
        <f>'Sistemas-Manutenção'!AA102</f>
        <v>47</v>
      </c>
      <c r="AB105" s="1479">
        <f>'Sistemas-Manutenção'!AB102</f>
        <v>47</v>
      </c>
      <c r="AC105" s="1479">
        <f>'Sistemas-Manutenção'!AC102</f>
        <v>47</v>
      </c>
      <c r="AD105" s="1479">
        <f>'Sistemas-Manutenção'!AD102</f>
        <v>47</v>
      </c>
      <c r="AE105" s="1479">
        <f>'Sistemas-Manutenção'!AE102</f>
        <v>47</v>
      </c>
      <c r="AF105" s="1479">
        <f>'Sistemas-Manutenção'!AF102</f>
        <v>47</v>
      </c>
      <c r="AG105" s="1479">
        <f>'Sistemas-Manutenção'!AG102</f>
        <v>47</v>
      </c>
      <c r="AH105" s="1479">
        <f>'Sistemas-Manutenção'!AH102</f>
        <v>47</v>
      </c>
      <c r="AI105" s="1479">
        <f>'Sistemas-Manutenção'!AI102</f>
        <v>47</v>
      </c>
      <c r="AJ105" s="1479">
        <f>'Sistemas-Manutenção'!AJ102</f>
        <v>47</v>
      </c>
      <c r="AK105" s="1479">
        <f>'Sistemas-Manutenção'!AK102</f>
        <v>47</v>
      </c>
      <c r="AL105" s="1479">
        <f>'Sistemas-Manutenção'!AL102</f>
        <v>47</v>
      </c>
      <c r="AM105" s="1479">
        <f>'Sistemas-Manutenção'!AM102</f>
        <v>47</v>
      </c>
      <c r="AN105" s="1479">
        <f>'Sistemas-Manutenção'!AN102</f>
        <v>47</v>
      </c>
      <c r="AO105" s="1479">
        <f>'Sistemas-Manutenção'!AO102</f>
        <v>47</v>
      </c>
      <c r="AP105" s="77"/>
      <c r="AQ105" s="1479">
        <f t="shared" si="1104"/>
        <v>47</v>
      </c>
      <c r="AR105" s="1479">
        <f t="shared" si="1104"/>
        <v>0</v>
      </c>
      <c r="AS105" s="1479">
        <f t="shared" si="1104"/>
        <v>0</v>
      </c>
      <c r="AT105" s="1479">
        <f t="shared" si="1104"/>
        <v>0</v>
      </c>
      <c r="AU105" s="1479">
        <f t="shared" si="1104"/>
        <v>0</v>
      </c>
      <c r="AV105" s="1479">
        <f t="shared" si="1104"/>
        <v>0</v>
      </c>
      <c r="AW105" s="1479">
        <f t="shared" si="1104"/>
        <v>0</v>
      </c>
      <c r="AX105" s="1479">
        <f t="shared" si="1104"/>
        <v>0</v>
      </c>
      <c r="AY105" s="1479">
        <f t="shared" si="1104"/>
        <v>0</v>
      </c>
      <c r="AZ105" s="1479">
        <f t="shared" si="1104"/>
        <v>0</v>
      </c>
      <c r="BA105" s="1479">
        <f t="shared" si="1141"/>
        <v>0</v>
      </c>
      <c r="BB105" s="1479">
        <f t="shared" si="1141"/>
        <v>0</v>
      </c>
      <c r="BC105" s="1479">
        <f t="shared" si="1141"/>
        <v>0</v>
      </c>
      <c r="BD105" s="1479">
        <f t="shared" si="1141"/>
        <v>0</v>
      </c>
      <c r="BE105" s="1479">
        <f t="shared" si="1141"/>
        <v>0</v>
      </c>
      <c r="BF105" s="1479">
        <f t="shared" si="1141"/>
        <v>0</v>
      </c>
      <c r="BG105" s="1479">
        <f t="shared" si="1105"/>
        <v>0</v>
      </c>
      <c r="BH105" s="1479">
        <f t="shared" si="1105"/>
        <v>0</v>
      </c>
      <c r="BI105" s="1479">
        <f t="shared" si="1105"/>
        <v>0</v>
      </c>
      <c r="BJ105" s="1479">
        <f t="shared" si="1105"/>
        <v>0</v>
      </c>
      <c r="BK105" s="1479">
        <f t="shared" si="1105"/>
        <v>0</v>
      </c>
      <c r="BL105" s="1479">
        <f t="shared" si="1105"/>
        <v>0</v>
      </c>
      <c r="BM105" s="1479">
        <f t="shared" si="1105"/>
        <v>0</v>
      </c>
      <c r="BN105" s="1479">
        <f t="shared" si="1105"/>
        <v>0</v>
      </c>
      <c r="BO105" s="1479"/>
      <c r="BP105" s="1479"/>
      <c r="BQ105" s="1479"/>
      <c r="BR105" s="1479"/>
      <c r="BS105" s="1479"/>
      <c r="BT105" s="1479">
        <f>IF(AO105&gt;AI105,AO105-AI105,0)</f>
        <v>0</v>
      </c>
      <c r="BU105" s="77"/>
      <c r="BV105" s="1571">
        <f t="shared" ca="1" si="1106"/>
        <v>0</v>
      </c>
      <c r="BW105" s="1571">
        <f t="shared" ca="1" si="1106"/>
        <v>0</v>
      </c>
      <c r="BX105" s="1571">
        <f t="shared" ca="1" si="1106"/>
        <v>47</v>
      </c>
      <c r="BY105" s="1571">
        <f t="shared" ca="1" si="1106"/>
        <v>0</v>
      </c>
      <c r="BZ105" s="1571">
        <f t="shared" ca="1" si="1106"/>
        <v>47</v>
      </c>
      <c r="CA105" s="1571">
        <f t="shared" ca="1" si="1106"/>
        <v>0</v>
      </c>
      <c r="CB105" s="1571">
        <f t="shared" ca="1" si="1106"/>
        <v>47</v>
      </c>
      <c r="CC105" s="1571">
        <f t="shared" ca="1" si="1106"/>
        <v>0</v>
      </c>
      <c r="CD105" s="1571">
        <f t="shared" ca="1" si="1106"/>
        <v>47</v>
      </c>
      <c r="CE105" s="1571">
        <f t="shared" ca="1" si="1106"/>
        <v>0</v>
      </c>
      <c r="CF105" s="1571">
        <f t="shared" ca="1" si="1107"/>
        <v>47</v>
      </c>
      <c r="CG105" s="1571">
        <f t="shared" ca="1" si="1108"/>
        <v>0</v>
      </c>
      <c r="CH105" s="1571">
        <f t="shared" ca="1" si="1109"/>
        <v>47</v>
      </c>
      <c r="CI105" s="1571">
        <f t="shared" ca="1" si="1110"/>
        <v>0</v>
      </c>
      <c r="CJ105" s="1571">
        <f t="shared" ca="1" si="1111"/>
        <v>47</v>
      </c>
      <c r="CK105" s="1571">
        <f t="shared" ca="1" si="1112"/>
        <v>0</v>
      </c>
      <c r="CL105" s="1571">
        <f t="shared" ca="1" si="1113"/>
        <v>47</v>
      </c>
      <c r="CM105" s="1571">
        <f t="shared" ca="1" si="1114"/>
        <v>0</v>
      </c>
      <c r="CN105" s="1571">
        <f t="shared" ca="1" si="1115"/>
        <v>47</v>
      </c>
      <c r="CO105" s="1571">
        <f t="shared" ca="1" si="1116"/>
        <v>0</v>
      </c>
      <c r="CP105" s="1571">
        <f t="shared" ca="1" si="1117"/>
        <v>47</v>
      </c>
      <c r="CQ105" s="1571">
        <f t="shared" ca="1" si="1118"/>
        <v>0</v>
      </c>
      <c r="CR105" s="1571">
        <f t="shared" ca="1" si="1119"/>
        <v>47</v>
      </c>
      <c r="CS105" s="1571">
        <f t="shared" ca="1" si="1120"/>
        <v>0</v>
      </c>
      <c r="CT105" s="1571">
        <f t="shared" ca="1" si="1121"/>
        <v>47</v>
      </c>
      <c r="CU105" s="1571">
        <f t="shared" ca="1" si="1122"/>
        <v>0</v>
      </c>
      <c r="CV105" s="1571">
        <f t="shared" ca="1" si="1123"/>
        <v>47</v>
      </c>
      <c r="CW105" s="1571">
        <f t="shared" ca="1" si="1124"/>
        <v>0</v>
      </c>
      <c r="CX105" s="1571">
        <f t="shared" ca="1" si="1125"/>
        <v>0</v>
      </c>
      <c r="CY105" s="1571">
        <f t="shared" ca="1" si="1126"/>
        <v>0</v>
      </c>
      <c r="CZ105" s="78"/>
      <c r="DA105" s="1572">
        <f t="shared" si="1127"/>
        <v>0</v>
      </c>
      <c r="DB105" s="1572">
        <f t="shared" si="1127"/>
        <v>0</v>
      </c>
      <c r="DC105" s="1572">
        <f t="shared" si="1127"/>
        <v>0</v>
      </c>
      <c r="DD105" s="1572">
        <f t="shared" si="1127"/>
        <v>0</v>
      </c>
      <c r="DE105" s="1572">
        <f t="shared" si="1127"/>
        <v>0</v>
      </c>
      <c r="DF105" s="1572">
        <f t="shared" si="1127"/>
        <v>0</v>
      </c>
      <c r="DG105" s="1572">
        <f t="shared" si="1127"/>
        <v>0</v>
      </c>
      <c r="DH105" s="1572">
        <f t="shared" si="1127"/>
        <v>0</v>
      </c>
      <c r="DI105" s="1572">
        <f t="shared" si="1127"/>
        <v>0</v>
      </c>
      <c r="DJ105" s="1572">
        <f t="shared" si="1127"/>
        <v>0</v>
      </c>
      <c r="DK105" s="1572">
        <f t="shared" si="1128"/>
        <v>0</v>
      </c>
      <c r="DL105" s="1572">
        <f t="shared" si="1128"/>
        <v>0</v>
      </c>
      <c r="DM105" s="1572">
        <f t="shared" si="1128"/>
        <v>0</v>
      </c>
      <c r="DN105" s="1572">
        <f t="shared" si="1128"/>
        <v>0</v>
      </c>
      <c r="DO105" s="1572">
        <f t="shared" si="1128"/>
        <v>0</v>
      </c>
      <c r="DP105" s="1572">
        <f t="shared" si="1128"/>
        <v>0</v>
      </c>
      <c r="DQ105" s="1572">
        <f t="shared" si="1128"/>
        <v>0</v>
      </c>
      <c r="DR105" s="1572">
        <f t="shared" si="1128"/>
        <v>0</v>
      </c>
      <c r="DS105" s="1572">
        <f t="shared" si="1128"/>
        <v>0</v>
      </c>
      <c r="DT105" s="1572">
        <f t="shared" si="1128"/>
        <v>0</v>
      </c>
      <c r="DU105" s="1572">
        <f t="shared" si="1128"/>
        <v>0</v>
      </c>
      <c r="DV105" s="1572">
        <f t="shared" si="1128"/>
        <v>0</v>
      </c>
      <c r="DW105" s="1572">
        <f t="shared" si="1128"/>
        <v>0</v>
      </c>
      <c r="DX105" s="1572">
        <f t="shared" si="1128"/>
        <v>0</v>
      </c>
      <c r="DY105" s="1572"/>
      <c r="DZ105" s="1572"/>
      <c r="EA105" s="1572"/>
      <c r="EB105" s="1572"/>
      <c r="EC105" s="1572"/>
      <c r="ED105" s="1572">
        <f>BT105*$H105</f>
        <v>0</v>
      </c>
      <c r="EE105" s="79"/>
      <c r="EF105" s="1572">
        <f t="shared" ca="1" si="1129"/>
        <v>0</v>
      </c>
      <c r="EG105" s="1572">
        <f t="shared" ca="1" si="1129"/>
        <v>0</v>
      </c>
      <c r="EH105" s="1572">
        <f t="shared" ca="1" si="1129"/>
        <v>0</v>
      </c>
      <c r="EI105" s="1572">
        <f t="shared" ca="1" si="1129"/>
        <v>0</v>
      </c>
      <c r="EJ105" s="1572">
        <f t="shared" ca="1" si="1129"/>
        <v>0</v>
      </c>
      <c r="EK105" s="1572">
        <f t="shared" ca="1" si="1129"/>
        <v>0</v>
      </c>
      <c r="EL105" s="1572">
        <f t="shared" ca="1" si="1129"/>
        <v>0</v>
      </c>
      <c r="EM105" s="1572">
        <f t="shared" ca="1" si="1129"/>
        <v>0</v>
      </c>
      <c r="EN105" s="1572">
        <f t="shared" ca="1" si="1129"/>
        <v>0</v>
      </c>
      <c r="EO105" s="1572">
        <f t="shared" ca="1" si="1129"/>
        <v>0</v>
      </c>
      <c r="EP105" s="1572">
        <f t="shared" ca="1" si="1142"/>
        <v>0</v>
      </c>
      <c r="EQ105" s="1572">
        <f t="shared" ca="1" si="1142"/>
        <v>0</v>
      </c>
      <c r="ER105" s="1572">
        <f t="shared" ca="1" si="1142"/>
        <v>0</v>
      </c>
      <c r="ES105" s="1572">
        <f t="shared" ca="1" si="1142"/>
        <v>0</v>
      </c>
      <c r="ET105" s="1572">
        <f t="shared" ca="1" si="1142"/>
        <v>0</v>
      </c>
      <c r="EU105" s="1572">
        <f t="shared" ca="1" si="1142"/>
        <v>0</v>
      </c>
      <c r="EV105" s="1572">
        <f t="shared" ca="1" si="1130"/>
        <v>0</v>
      </c>
      <c r="EW105" s="1572">
        <f t="shared" ca="1" si="1130"/>
        <v>0</v>
      </c>
      <c r="EX105" s="1572">
        <f t="shared" ca="1" si="1130"/>
        <v>0</v>
      </c>
      <c r="EY105" s="1572">
        <f t="shared" ca="1" si="1130"/>
        <v>0</v>
      </c>
      <c r="EZ105" s="1572">
        <f t="shared" ca="1" si="1130"/>
        <v>0</v>
      </c>
      <c r="FA105" s="1572">
        <f t="shared" ca="1" si="1131"/>
        <v>0</v>
      </c>
      <c r="FB105" s="1572">
        <f t="shared" ca="1" si="1132"/>
        <v>0</v>
      </c>
      <c r="FC105" s="1572">
        <f t="shared" ca="1" si="1133"/>
        <v>0</v>
      </c>
      <c r="FD105" s="1572">
        <f t="shared" ca="1" si="1134"/>
        <v>0</v>
      </c>
      <c r="FE105" s="1572">
        <f t="shared" ca="1" si="1135"/>
        <v>0</v>
      </c>
      <c r="FF105" s="1572">
        <f t="shared" ca="1" si="1136"/>
        <v>0</v>
      </c>
      <c r="FG105" s="1572">
        <f t="shared" ca="1" si="1137"/>
        <v>0</v>
      </c>
      <c r="FH105" s="1572">
        <f t="shared" ca="1" si="1138"/>
        <v>0</v>
      </c>
      <c r="FI105" s="1572">
        <f t="shared" ca="1" si="1139"/>
        <v>0</v>
      </c>
    </row>
    <row r="106" spans="1:165">
      <c r="A106" s="595"/>
      <c r="B106" s="598"/>
      <c r="C106" s="599"/>
      <c r="D106" s="68" t="s">
        <v>1747</v>
      </c>
      <c r="E106" s="68" t="str">
        <f>LEFT(D106,LEN(D106)-1) &amp; RIGHT(D106,1)+1</f>
        <v>8.10.4.2</v>
      </c>
      <c r="F106" s="1618"/>
      <c r="G106" s="1600" t="s">
        <v>1718</v>
      </c>
      <c r="H106" s="315"/>
      <c r="I106" s="1598">
        <f t="shared" si="1140"/>
        <v>0</v>
      </c>
      <c r="J106" s="867"/>
      <c r="K106" s="76"/>
      <c r="L106" s="1479"/>
      <c r="M106" s="1479"/>
      <c r="N106" s="1479"/>
      <c r="O106" s="1479"/>
      <c r="P106" s="1479"/>
      <c r="Q106" s="1479"/>
      <c r="R106" s="1479"/>
      <c r="S106" s="1479"/>
      <c r="T106" s="1479"/>
      <c r="U106" s="1479"/>
      <c r="V106" s="1479"/>
      <c r="W106" s="1479"/>
      <c r="X106" s="1479"/>
      <c r="Y106" s="1479"/>
      <c r="Z106" s="1479"/>
      <c r="AA106" s="1479"/>
      <c r="AB106" s="1479"/>
      <c r="AC106" s="1479"/>
      <c r="AD106" s="1479"/>
      <c r="AE106" s="1479"/>
      <c r="AF106" s="1479"/>
      <c r="AG106" s="1479"/>
      <c r="AH106" s="1479"/>
      <c r="AI106" s="1479"/>
      <c r="AJ106" s="1479"/>
      <c r="AK106" s="1479"/>
      <c r="AL106" s="1479"/>
      <c r="AM106" s="1479"/>
      <c r="AN106" s="1479"/>
      <c r="AO106" s="1479"/>
      <c r="AP106" s="77"/>
      <c r="AQ106" s="1479"/>
      <c r="AR106" s="1479"/>
      <c r="AS106" s="1479"/>
      <c r="AT106" s="1479"/>
      <c r="AU106" s="1479"/>
      <c r="AV106" s="1479"/>
      <c r="AW106" s="1479"/>
      <c r="AX106" s="1479"/>
      <c r="AY106" s="1479"/>
      <c r="AZ106" s="1479"/>
      <c r="BA106" s="1479"/>
      <c r="BB106" s="1479"/>
      <c r="BC106" s="1479"/>
      <c r="BD106" s="1479"/>
      <c r="BE106" s="1479"/>
      <c r="BF106" s="1479"/>
      <c r="BG106" s="1479"/>
      <c r="BH106" s="1479"/>
      <c r="BI106" s="1479"/>
      <c r="BJ106" s="1479"/>
      <c r="BK106" s="1479"/>
      <c r="BL106" s="1479"/>
      <c r="BM106" s="1479"/>
      <c r="BN106" s="1479"/>
      <c r="BO106" s="1479"/>
      <c r="BP106" s="1479"/>
      <c r="BQ106" s="1479"/>
      <c r="BR106" s="1479"/>
      <c r="BS106" s="1479"/>
      <c r="BT106" s="1479"/>
      <c r="BU106" s="77"/>
      <c r="BV106" s="1571"/>
      <c r="BW106" s="1571"/>
      <c r="BX106" s="1571"/>
      <c r="BY106" s="1571"/>
      <c r="BZ106" s="1571"/>
      <c r="CA106" s="1571"/>
      <c r="CB106" s="1571"/>
      <c r="CC106" s="1571"/>
      <c r="CD106" s="1571"/>
      <c r="CE106" s="1571"/>
      <c r="CF106" s="1571"/>
      <c r="CG106" s="1571"/>
      <c r="CH106" s="1571"/>
      <c r="CI106" s="1571"/>
      <c r="CJ106" s="1571"/>
      <c r="CK106" s="1571"/>
      <c r="CL106" s="1571"/>
      <c r="CM106" s="1571"/>
      <c r="CN106" s="1571"/>
      <c r="CO106" s="1571"/>
      <c r="CP106" s="1571"/>
      <c r="CQ106" s="1571"/>
      <c r="CR106" s="1571"/>
      <c r="CS106" s="1571"/>
      <c r="CT106" s="1571"/>
      <c r="CU106" s="1571"/>
      <c r="CV106" s="1571"/>
      <c r="CW106" s="1571"/>
      <c r="CX106" s="1571"/>
      <c r="CY106" s="1571"/>
      <c r="CZ106" s="78"/>
      <c r="DA106" s="1567"/>
      <c r="DB106" s="1567">
        <f t="shared" ref="DB106:ED106" si="1143">SUBTOTAL(9,DB107:DB108)</f>
        <v>0</v>
      </c>
      <c r="DC106" s="1567">
        <f t="shared" si="1143"/>
        <v>0</v>
      </c>
      <c r="DD106" s="1567">
        <f t="shared" si="1143"/>
        <v>0</v>
      </c>
      <c r="DE106" s="1567">
        <f t="shared" si="1143"/>
        <v>0</v>
      </c>
      <c r="DF106" s="1567">
        <f t="shared" si="1143"/>
        <v>0</v>
      </c>
      <c r="DG106" s="1567">
        <f t="shared" si="1143"/>
        <v>0</v>
      </c>
      <c r="DH106" s="1567">
        <f t="shared" si="1143"/>
        <v>0</v>
      </c>
      <c r="DI106" s="1567">
        <f t="shared" si="1143"/>
        <v>0</v>
      </c>
      <c r="DJ106" s="1567">
        <f t="shared" si="1143"/>
        <v>0</v>
      </c>
      <c r="DK106" s="1567">
        <f t="shared" si="1143"/>
        <v>0</v>
      </c>
      <c r="DL106" s="1567">
        <f t="shared" si="1143"/>
        <v>0</v>
      </c>
      <c r="DM106" s="1567">
        <f t="shared" si="1143"/>
        <v>0</v>
      </c>
      <c r="DN106" s="1567">
        <f t="shared" si="1143"/>
        <v>0</v>
      </c>
      <c r="DO106" s="1567">
        <f t="shared" si="1143"/>
        <v>0</v>
      </c>
      <c r="DP106" s="1567">
        <f t="shared" si="1143"/>
        <v>0</v>
      </c>
      <c r="DQ106" s="1567">
        <f t="shared" si="1143"/>
        <v>0</v>
      </c>
      <c r="DR106" s="1567">
        <f t="shared" si="1143"/>
        <v>0</v>
      </c>
      <c r="DS106" s="1567">
        <f t="shared" si="1143"/>
        <v>0</v>
      </c>
      <c r="DT106" s="1567">
        <f t="shared" si="1143"/>
        <v>0</v>
      </c>
      <c r="DU106" s="1567">
        <f t="shared" si="1143"/>
        <v>0</v>
      </c>
      <c r="DV106" s="1567">
        <f t="shared" si="1143"/>
        <v>0</v>
      </c>
      <c r="DW106" s="1567">
        <f t="shared" si="1143"/>
        <v>0</v>
      </c>
      <c r="DX106" s="1567">
        <f t="shared" si="1143"/>
        <v>0</v>
      </c>
      <c r="DY106" s="1567"/>
      <c r="DZ106" s="1567"/>
      <c r="EA106" s="1567"/>
      <c r="EB106" s="1567"/>
      <c r="EC106" s="1567"/>
      <c r="ED106" s="1567">
        <f t="shared" si="1143"/>
        <v>0</v>
      </c>
      <c r="EE106" s="79"/>
      <c r="EF106" s="1567">
        <f t="shared" ref="EF106:EZ106" ca="1" si="1144">SUBTOTAL(9,EF107:EF108)</f>
        <v>0</v>
      </c>
      <c r="EG106" s="1567">
        <f t="shared" ca="1" si="1144"/>
        <v>0</v>
      </c>
      <c r="EH106" s="1567">
        <f t="shared" ca="1" si="1144"/>
        <v>0</v>
      </c>
      <c r="EI106" s="1567">
        <f t="shared" ca="1" si="1144"/>
        <v>0</v>
      </c>
      <c r="EJ106" s="1567">
        <f t="shared" ca="1" si="1144"/>
        <v>0</v>
      </c>
      <c r="EK106" s="1567">
        <f t="shared" ca="1" si="1144"/>
        <v>0</v>
      </c>
      <c r="EL106" s="1567">
        <f t="shared" ca="1" si="1144"/>
        <v>0</v>
      </c>
      <c r="EM106" s="1567">
        <f t="shared" ca="1" si="1144"/>
        <v>0</v>
      </c>
      <c r="EN106" s="1567">
        <f t="shared" ca="1" si="1144"/>
        <v>0</v>
      </c>
      <c r="EO106" s="1567">
        <f t="shared" ca="1" si="1144"/>
        <v>0</v>
      </c>
      <c r="EP106" s="1567">
        <f t="shared" ca="1" si="1144"/>
        <v>0</v>
      </c>
      <c r="EQ106" s="1567">
        <f t="shared" ca="1" si="1144"/>
        <v>0</v>
      </c>
      <c r="ER106" s="1567">
        <f t="shared" ca="1" si="1144"/>
        <v>0</v>
      </c>
      <c r="ES106" s="1567">
        <f t="shared" ca="1" si="1144"/>
        <v>0</v>
      </c>
      <c r="ET106" s="1567">
        <f t="shared" ca="1" si="1144"/>
        <v>0</v>
      </c>
      <c r="EU106" s="1567">
        <f t="shared" ca="1" si="1144"/>
        <v>0</v>
      </c>
      <c r="EV106" s="1567">
        <f t="shared" ca="1" si="1144"/>
        <v>0</v>
      </c>
      <c r="EW106" s="1567">
        <f t="shared" ca="1" si="1144"/>
        <v>0</v>
      </c>
      <c r="EX106" s="1567">
        <f t="shared" ca="1" si="1144"/>
        <v>0</v>
      </c>
      <c r="EY106" s="1567">
        <f t="shared" ca="1" si="1144"/>
        <v>0</v>
      </c>
      <c r="EZ106" s="1567">
        <f t="shared" ca="1" si="1144"/>
        <v>0</v>
      </c>
      <c r="FA106" s="1567">
        <f t="shared" ref="FA106:FI106" ca="1" si="1145">SUBTOTAL(9,FA107:FA108)</f>
        <v>0</v>
      </c>
      <c r="FB106" s="1567">
        <f t="shared" ca="1" si="1145"/>
        <v>0</v>
      </c>
      <c r="FC106" s="1567">
        <f t="shared" ca="1" si="1145"/>
        <v>0</v>
      </c>
      <c r="FD106" s="1567">
        <f t="shared" ca="1" si="1145"/>
        <v>0</v>
      </c>
      <c r="FE106" s="1567">
        <f t="shared" ca="1" si="1145"/>
        <v>0</v>
      </c>
      <c r="FF106" s="1567">
        <f t="shared" ca="1" si="1145"/>
        <v>0</v>
      </c>
      <c r="FG106" s="1567">
        <f t="shared" ca="1" si="1145"/>
        <v>0</v>
      </c>
      <c r="FH106" s="1567">
        <f t="shared" ca="1" si="1145"/>
        <v>0</v>
      </c>
      <c r="FI106" s="1567">
        <f t="shared" ca="1" si="1145"/>
        <v>0</v>
      </c>
    </row>
    <row r="107" spans="1:165">
      <c r="A107" s="595"/>
      <c r="B107" s="598"/>
      <c r="C107" s="599"/>
      <c r="F107" s="1500"/>
      <c r="G107" s="1600" t="s">
        <v>1718</v>
      </c>
      <c r="H107" s="1597"/>
      <c r="I107" s="1598">
        <f t="shared" si="1140"/>
        <v>0</v>
      </c>
      <c r="J107" s="867"/>
      <c r="K107" s="76"/>
      <c r="L107" s="1479"/>
      <c r="M107" s="1479"/>
      <c r="N107" s="1479"/>
      <c r="O107" s="1479"/>
      <c r="P107" s="1479"/>
      <c r="Q107" s="1479"/>
      <c r="R107" s="1479"/>
      <c r="S107" s="1479"/>
      <c r="T107" s="1479"/>
      <c r="U107" s="1479"/>
      <c r="V107" s="1479"/>
      <c r="W107" s="1479"/>
      <c r="X107" s="1479"/>
      <c r="Y107" s="1479"/>
      <c r="Z107" s="1479"/>
      <c r="AA107" s="1479"/>
      <c r="AB107" s="1479"/>
      <c r="AC107" s="1479"/>
      <c r="AD107" s="1479"/>
      <c r="AE107" s="1479"/>
      <c r="AF107" s="1479"/>
      <c r="AG107" s="1479"/>
      <c r="AH107" s="1479"/>
      <c r="AI107" s="1479"/>
      <c r="AJ107" s="1479"/>
      <c r="AK107" s="1479"/>
      <c r="AL107" s="1479"/>
      <c r="AM107" s="1479"/>
      <c r="AN107" s="1479"/>
      <c r="AO107" s="1479"/>
      <c r="AP107" s="77"/>
      <c r="AQ107" s="1479"/>
      <c r="AR107" s="1479"/>
      <c r="AS107" s="1479"/>
      <c r="AT107" s="1479"/>
      <c r="AU107" s="1479"/>
      <c r="AV107" s="1479"/>
      <c r="AW107" s="1479"/>
      <c r="AX107" s="1479"/>
      <c r="AY107" s="1479"/>
      <c r="AZ107" s="1479"/>
      <c r="BA107" s="1479"/>
      <c r="BB107" s="1479"/>
      <c r="BC107" s="1479"/>
      <c r="BD107" s="1479"/>
      <c r="BE107" s="1479"/>
      <c r="BF107" s="1479"/>
      <c r="BG107" s="1479"/>
      <c r="BH107" s="1479"/>
      <c r="BI107" s="1479"/>
      <c r="BJ107" s="1479"/>
      <c r="BK107" s="1479"/>
      <c r="BL107" s="1479"/>
      <c r="BM107" s="1479"/>
      <c r="BN107" s="1479"/>
      <c r="BO107" s="1479"/>
      <c r="BP107" s="1479"/>
      <c r="BQ107" s="1479"/>
      <c r="BR107" s="1479"/>
      <c r="BS107" s="1479"/>
      <c r="BT107" s="1479"/>
      <c r="BU107" s="77"/>
      <c r="BV107" s="1571"/>
      <c r="BW107" s="1571"/>
      <c r="BX107" s="1571"/>
      <c r="BY107" s="1571"/>
      <c r="BZ107" s="1571"/>
      <c r="CA107" s="1571"/>
      <c r="CB107" s="1571"/>
      <c r="CC107" s="1571"/>
      <c r="CD107" s="1571"/>
      <c r="CE107" s="1571"/>
      <c r="CF107" s="1571"/>
      <c r="CG107" s="1571"/>
      <c r="CH107" s="1571"/>
      <c r="CI107" s="1571"/>
      <c r="CJ107" s="1571"/>
      <c r="CK107" s="1571"/>
      <c r="CL107" s="1571"/>
      <c r="CM107" s="1571"/>
      <c r="CN107" s="1571"/>
      <c r="CO107" s="1571"/>
      <c r="CP107" s="1571"/>
      <c r="CQ107" s="1571"/>
      <c r="CR107" s="1571"/>
      <c r="CS107" s="1571"/>
      <c r="CT107" s="1571"/>
      <c r="CU107" s="1571"/>
      <c r="CV107" s="1571"/>
      <c r="CW107" s="1571"/>
      <c r="CX107" s="1571"/>
      <c r="CY107" s="1571"/>
      <c r="CZ107" s="78"/>
      <c r="DA107" s="1572">
        <f t="shared" ref="DA107:DP109" si="1146">AQ107*$H107</f>
        <v>0</v>
      </c>
      <c r="DB107" s="1572">
        <f t="shared" si="1146"/>
        <v>0</v>
      </c>
      <c r="DC107" s="1572">
        <f t="shared" si="1146"/>
        <v>0</v>
      </c>
      <c r="DD107" s="1572">
        <f t="shared" si="1146"/>
        <v>0</v>
      </c>
      <c r="DE107" s="1572">
        <f t="shared" si="1146"/>
        <v>0</v>
      </c>
      <c r="DF107" s="1572">
        <f t="shared" si="1146"/>
        <v>0</v>
      </c>
      <c r="DG107" s="1572">
        <f t="shared" si="1146"/>
        <v>0</v>
      </c>
      <c r="DH107" s="1572">
        <f t="shared" si="1146"/>
        <v>0</v>
      </c>
      <c r="DI107" s="1572">
        <f t="shared" si="1146"/>
        <v>0</v>
      </c>
      <c r="DJ107" s="1572">
        <f t="shared" si="1146"/>
        <v>0</v>
      </c>
      <c r="DK107" s="1572">
        <f t="shared" si="1146"/>
        <v>0</v>
      </c>
      <c r="DL107" s="1572">
        <f t="shared" si="1146"/>
        <v>0</v>
      </c>
      <c r="DM107" s="1572">
        <f t="shared" si="1146"/>
        <v>0</v>
      </c>
      <c r="DN107" s="1572">
        <f t="shared" si="1146"/>
        <v>0</v>
      </c>
      <c r="DO107" s="1572">
        <f t="shared" si="1146"/>
        <v>0</v>
      </c>
      <c r="DP107" s="1572">
        <f t="shared" si="1146"/>
        <v>0</v>
      </c>
      <c r="DQ107" s="1572">
        <f t="shared" ref="DK107:DX109" si="1147">BG107*$H107</f>
        <v>0</v>
      </c>
      <c r="DR107" s="1572">
        <f t="shared" si="1147"/>
        <v>0</v>
      </c>
      <c r="DS107" s="1572">
        <f t="shared" si="1147"/>
        <v>0</v>
      </c>
      <c r="DT107" s="1572">
        <f t="shared" si="1147"/>
        <v>0</v>
      </c>
      <c r="DU107" s="1572">
        <f t="shared" si="1147"/>
        <v>0</v>
      </c>
      <c r="DV107" s="1572">
        <f t="shared" si="1147"/>
        <v>0</v>
      </c>
      <c r="DW107" s="1572">
        <f t="shared" si="1147"/>
        <v>0</v>
      </c>
      <c r="DX107" s="1572">
        <f t="shared" si="1147"/>
        <v>0</v>
      </c>
      <c r="DY107" s="1572"/>
      <c r="DZ107" s="1572"/>
      <c r="EA107" s="1572"/>
      <c r="EB107" s="1572"/>
      <c r="EC107" s="1572"/>
      <c r="ED107" s="1572">
        <f>BT107*$H107</f>
        <v>0</v>
      </c>
      <c r="EE107" s="79"/>
      <c r="EF107" s="1572">
        <f t="shared" ref="EF107:EU109" si="1148">BV107*$I107</f>
        <v>0</v>
      </c>
      <c r="EG107" s="1572">
        <f t="shared" si="1148"/>
        <v>0</v>
      </c>
      <c r="EH107" s="1572">
        <f t="shared" si="1148"/>
        <v>0</v>
      </c>
      <c r="EI107" s="1572">
        <f t="shared" si="1148"/>
        <v>0</v>
      </c>
      <c r="EJ107" s="1572">
        <f t="shared" si="1148"/>
        <v>0</v>
      </c>
      <c r="EK107" s="1572">
        <f t="shared" si="1148"/>
        <v>0</v>
      </c>
      <c r="EL107" s="1572">
        <f t="shared" si="1148"/>
        <v>0</v>
      </c>
      <c r="EM107" s="1572">
        <f t="shared" si="1148"/>
        <v>0</v>
      </c>
      <c r="EN107" s="1572">
        <f t="shared" si="1148"/>
        <v>0</v>
      </c>
      <c r="EO107" s="1572">
        <f t="shared" si="1148"/>
        <v>0</v>
      </c>
      <c r="EP107" s="1572">
        <f t="shared" si="1148"/>
        <v>0</v>
      </c>
      <c r="EQ107" s="1572">
        <f t="shared" si="1148"/>
        <v>0</v>
      </c>
      <c r="ER107" s="1572">
        <f t="shared" si="1148"/>
        <v>0</v>
      </c>
      <c r="ES107" s="1572">
        <f t="shared" si="1148"/>
        <v>0</v>
      </c>
      <c r="ET107" s="1572">
        <f t="shared" si="1148"/>
        <v>0</v>
      </c>
      <c r="EU107" s="1572">
        <f t="shared" si="1148"/>
        <v>0</v>
      </c>
      <c r="EV107" s="1572">
        <f t="shared" ref="EV107:EZ109" si="1149">CL107*$I107</f>
        <v>0</v>
      </c>
      <c r="EW107" s="1572">
        <f t="shared" si="1149"/>
        <v>0</v>
      </c>
      <c r="EX107" s="1572">
        <f t="shared" si="1149"/>
        <v>0</v>
      </c>
      <c r="EY107" s="1572">
        <f t="shared" si="1149"/>
        <v>0</v>
      </c>
      <c r="EZ107" s="1572">
        <f t="shared" si="1149"/>
        <v>0</v>
      </c>
      <c r="FA107" s="1572">
        <f t="shared" ref="FA107:FA109" si="1150">CQ107*$I107</f>
        <v>0</v>
      </c>
      <c r="FB107" s="1572">
        <f t="shared" ref="FB107:FB109" si="1151">CR107*$I107</f>
        <v>0</v>
      </c>
      <c r="FC107" s="1572">
        <f t="shared" ref="FC107:FC109" si="1152">CS107*$I107</f>
        <v>0</v>
      </c>
      <c r="FD107" s="1572">
        <f t="shared" ref="FD107:FD109" si="1153">CT107*$I107</f>
        <v>0</v>
      </c>
      <c r="FE107" s="1572">
        <f t="shared" ref="FE107:FE109" si="1154">CU107*$I107</f>
        <v>0</v>
      </c>
      <c r="FF107" s="1572">
        <f t="shared" ref="FF107:FF109" si="1155">CV107*$I107</f>
        <v>0</v>
      </c>
      <c r="FG107" s="1572">
        <f t="shared" ref="FG107:FG109" si="1156">CW107*$I107</f>
        <v>0</v>
      </c>
      <c r="FH107" s="1572">
        <f t="shared" ref="FH107:FH109" si="1157">CX107*$I107</f>
        <v>0</v>
      </c>
      <c r="FI107" s="1572">
        <f t="shared" ref="FI107:FI109" si="1158">CY107*$I107</f>
        <v>0</v>
      </c>
    </row>
    <row r="108" spans="1:165">
      <c r="A108" s="595"/>
      <c r="B108" s="598"/>
      <c r="C108" s="599"/>
      <c r="F108" s="1500" t="s">
        <v>1692</v>
      </c>
      <c r="G108" s="1600" t="s">
        <v>1718</v>
      </c>
      <c r="H108" s="1597">
        <f>'Sistemas - Cotações'!F82</f>
        <v>0</v>
      </c>
      <c r="I108" s="1598">
        <f t="shared" si="1140"/>
        <v>0</v>
      </c>
      <c r="J108" s="867">
        <v>10</v>
      </c>
      <c r="K108" s="76"/>
      <c r="L108" s="1479">
        <f>'Sistemas-Manutenção'!L105</f>
        <v>10</v>
      </c>
      <c r="M108" s="1479">
        <f>'Sistemas-Manutenção'!M105</f>
        <v>10</v>
      </c>
      <c r="N108" s="1479">
        <f>'Sistemas-Manutenção'!N105</f>
        <v>10</v>
      </c>
      <c r="O108" s="1479">
        <f>'Sistemas-Manutenção'!O105</f>
        <v>10</v>
      </c>
      <c r="P108" s="1479">
        <f>'Sistemas-Manutenção'!P105</f>
        <v>10</v>
      </c>
      <c r="Q108" s="1479">
        <f>'Sistemas-Manutenção'!Q105</f>
        <v>10</v>
      </c>
      <c r="R108" s="1479">
        <f>'Sistemas-Manutenção'!R105</f>
        <v>10</v>
      </c>
      <c r="S108" s="1479">
        <f>'Sistemas-Manutenção'!S105</f>
        <v>10</v>
      </c>
      <c r="T108" s="1479">
        <f>'Sistemas-Manutenção'!T105</f>
        <v>10</v>
      </c>
      <c r="U108" s="1479">
        <f>'Sistemas-Manutenção'!U105</f>
        <v>10</v>
      </c>
      <c r="V108" s="1479">
        <f>'Sistemas-Manutenção'!V105</f>
        <v>10</v>
      </c>
      <c r="W108" s="1479">
        <f>'Sistemas-Manutenção'!W105</f>
        <v>10</v>
      </c>
      <c r="X108" s="1479">
        <f>'Sistemas-Manutenção'!X105</f>
        <v>10</v>
      </c>
      <c r="Y108" s="1479">
        <f>'Sistemas-Manutenção'!Y105</f>
        <v>10</v>
      </c>
      <c r="Z108" s="1479">
        <f>'Sistemas-Manutenção'!Z105</f>
        <v>10</v>
      </c>
      <c r="AA108" s="1479">
        <f>'Sistemas-Manutenção'!AA105</f>
        <v>10</v>
      </c>
      <c r="AB108" s="1479">
        <f>'Sistemas-Manutenção'!AB105</f>
        <v>10</v>
      </c>
      <c r="AC108" s="1479">
        <f>'Sistemas-Manutenção'!AC105</f>
        <v>10</v>
      </c>
      <c r="AD108" s="1479">
        <f>'Sistemas-Manutenção'!AD105</f>
        <v>10</v>
      </c>
      <c r="AE108" s="1479">
        <f>'Sistemas-Manutenção'!AE105</f>
        <v>10</v>
      </c>
      <c r="AF108" s="1479">
        <f>'Sistemas-Manutenção'!AF105</f>
        <v>10</v>
      </c>
      <c r="AG108" s="1479">
        <f>'Sistemas-Manutenção'!AG105</f>
        <v>10</v>
      </c>
      <c r="AH108" s="1479">
        <f>'Sistemas-Manutenção'!AH105</f>
        <v>10</v>
      </c>
      <c r="AI108" s="1479">
        <f>'Sistemas-Manutenção'!AI105</f>
        <v>10</v>
      </c>
      <c r="AJ108" s="1479">
        <f>'Sistemas-Manutenção'!AJ105</f>
        <v>10</v>
      </c>
      <c r="AK108" s="1479">
        <f>'Sistemas-Manutenção'!AK105</f>
        <v>10</v>
      </c>
      <c r="AL108" s="1479">
        <f>'Sistemas-Manutenção'!AL105</f>
        <v>10</v>
      </c>
      <c r="AM108" s="1479">
        <f>'Sistemas-Manutenção'!AM105</f>
        <v>10</v>
      </c>
      <c r="AN108" s="1479">
        <f>'Sistemas-Manutenção'!AN105</f>
        <v>10</v>
      </c>
      <c r="AO108" s="1479">
        <f>'Sistemas-Manutenção'!AO105</f>
        <v>10</v>
      </c>
      <c r="AP108" s="80"/>
      <c r="AQ108" s="1479">
        <f t="shared" si="1104"/>
        <v>10</v>
      </c>
      <c r="AR108" s="1479">
        <f t="shared" si="1104"/>
        <v>0</v>
      </c>
      <c r="AS108" s="1479">
        <f t="shared" si="1104"/>
        <v>0</v>
      </c>
      <c r="AT108" s="1479">
        <f t="shared" si="1104"/>
        <v>0</v>
      </c>
      <c r="AU108" s="1479">
        <f t="shared" si="1104"/>
        <v>0</v>
      </c>
      <c r="AV108" s="1479">
        <f t="shared" si="1104"/>
        <v>0</v>
      </c>
      <c r="AW108" s="1479">
        <f t="shared" si="1104"/>
        <v>0</v>
      </c>
      <c r="AX108" s="1479">
        <f t="shared" si="1104"/>
        <v>0</v>
      </c>
      <c r="AY108" s="1479">
        <f t="shared" si="1104"/>
        <v>0</v>
      </c>
      <c r="AZ108" s="1479">
        <f t="shared" si="1104"/>
        <v>0</v>
      </c>
      <c r="BA108" s="1479">
        <f t="shared" ref="BA108:BN108" si="1159">IF(V108&gt;U108,V108-U108,0)</f>
        <v>0</v>
      </c>
      <c r="BB108" s="1479">
        <f t="shared" si="1159"/>
        <v>0</v>
      </c>
      <c r="BC108" s="1479">
        <f t="shared" si="1159"/>
        <v>0</v>
      </c>
      <c r="BD108" s="1479">
        <f t="shared" si="1159"/>
        <v>0</v>
      </c>
      <c r="BE108" s="1479">
        <f t="shared" si="1159"/>
        <v>0</v>
      </c>
      <c r="BF108" s="1479">
        <f t="shared" si="1159"/>
        <v>0</v>
      </c>
      <c r="BG108" s="1479">
        <f t="shared" si="1159"/>
        <v>0</v>
      </c>
      <c r="BH108" s="1479">
        <f t="shared" si="1159"/>
        <v>0</v>
      </c>
      <c r="BI108" s="1479">
        <f t="shared" si="1159"/>
        <v>0</v>
      </c>
      <c r="BJ108" s="1479">
        <f t="shared" si="1159"/>
        <v>0</v>
      </c>
      <c r="BK108" s="1479">
        <f t="shared" si="1159"/>
        <v>0</v>
      </c>
      <c r="BL108" s="1479">
        <f t="shared" si="1159"/>
        <v>0</v>
      </c>
      <c r="BM108" s="1479">
        <f t="shared" si="1159"/>
        <v>0</v>
      </c>
      <c r="BN108" s="1479">
        <f t="shared" si="1159"/>
        <v>0</v>
      </c>
      <c r="BO108" s="1479"/>
      <c r="BP108" s="1479"/>
      <c r="BQ108" s="1479"/>
      <c r="BR108" s="1479"/>
      <c r="BS108" s="1479"/>
      <c r="BT108" s="1479">
        <f>IF(AO108&gt;AI108,AO108-AI108,0)</f>
        <v>0</v>
      </c>
      <c r="BU108" s="77"/>
      <c r="BV108" s="1571">
        <f t="shared" ref="BV108:CS108" ca="1" si="1160">IF(L108-SUM(OFFSET(AQ108,,-$J108+1,,$J108))-IF($J108&gt;1,SUM(OFFSET(BV108,,-$J108+1,,$J108-1)),0)&gt;0,L108-SUM(OFFSET(AQ108,,-$J108+1,,$J108))-IF($J108&gt;1,SUM(OFFSET(BV108,,-$J108+1,,$J108-1)),0),0)</f>
        <v>0</v>
      </c>
      <c r="BW108" s="1571">
        <f t="shared" ca="1" si="1160"/>
        <v>0</v>
      </c>
      <c r="BX108" s="1571">
        <f t="shared" ca="1" si="1160"/>
        <v>0</v>
      </c>
      <c r="BY108" s="1571">
        <f t="shared" ca="1" si="1160"/>
        <v>0</v>
      </c>
      <c r="BZ108" s="1571">
        <f t="shared" ca="1" si="1160"/>
        <v>0</v>
      </c>
      <c r="CA108" s="1571">
        <f t="shared" ca="1" si="1160"/>
        <v>0</v>
      </c>
      <c r="CB108" s="1571">
        <f t="shared" ca="1" si="1160"/>
        <v>0</v>
      </c>
      <c r="CC108" s="1571">
        <f t="shared" ca="1" si="1160"/>
        <v>0</v>
      </c>
      <c r="CD108" s="1571">
        <f t="shared" ca="1" si="1160"/>
        <v>0</v>
      </c>
      <c r="CE108" s="1571">
        <f t="shared" ca="1" si="1160"/>
        <v>0</v>
      </c>
      <c r="CF108" s="1571">
        <f t="shared" ca="1" si="1160"/>
        <v>10</v>
      </c>
      <c r="CG108" s="1571">
        <f t="shared" ca="1" si="1160"/>
        <v>0</v>
      </c>
      <c r="CH108" s="1571">
        <f t="shared" ca="1" si="1160"/>
        <v>0</v>
      </c>
      <c r="CI108" s="1571">
        <f t="shared" ca="1" si="1160"/>
        <v>0</v>
      </c>
      <c r="CJ108" s="1571">
        <f t="shared" ca="1" si="1160"/>
        <v>0</v>
      </c>
      <c r="CK108" s="1571">
        <f t="shared" ca="1" si="1160"/>
        <v>0</v>
      </c>
      <c r="CL108" s="1571">
        <f t="shared" ca="1" si="1160"/>
        <v>0</v>
      </c>
      <c r="CM108" s="1571">
        <f t="shared" ca="1" si="1160"/>
        <v>0</v>
      </c>
      <c r="CN108" s="1571">
        <f t="shared" ca="1" si="1160"/>
        <v>0</v>
      </c>
      <c r="CO108" s="1571">
        <f t="shared" ca="1" si="1160"/>
        <v>0</v>
      </c>
      <c r="CP108" s="1571">
        <f t="shared" ca="1" si="1160"/>
        <v>10</v>
      </c>
      <c r="CQ108" s="1571">
        <f t="shared" ca="1" si="1160"/>
        <v>0</v>
      </c>
      <c r="CR108" s="1571">
        <f t="shared" ca="1" si="1160"/>
        <v>0</v>
      </c>
      <c r="CS108" s="1571">
        <f t="shared" ca="1" si="1160"/>
        <v>0</v>
      </c>
      <c r="CT108" s="1571">
        <f t="shared" ref="CT108:CY108" ca="1" si="1161">IF(AJ108-SUM(OFFSET(BT108,,-$J108+1,,$J108))-IF($J108&gt;1,SUM(OFFSET(CT108,,-$J108+1,,$J108-1)),0)&gt;0,AJ108-SUM(OFFSET(BT108,,-$J108+1,,$J108))-IF($J108&gt;1,SUM(OFFSET(CT108,,-$J108+1,,$J108-1)),0),0)</f>
        <v>0</v>
      </c>
      <c r="CU108" s="1571">
        <f t="shared" ca="1" si="1161"/>
        <v>0</v>
      </c>
      <c r="CV108" s="1571">
        <f t="shared" ca="1" si="1161"/>
        <v>0</v>
      </c>
      <c r="CW108" s="1571">
        <f t="shared" ca="1" si="1161"/>
        <v>0</v>
      </c>
      <c r="CX108" s="1571">
        <f t="shared" ca="1" si="1161"/>
        <v>0</v>
      </c>
      <c r="CY108" s="1571">
        <f t="shared" ca="1" si="1161"/>
        <v>0</v>
      </c>
      <c r="CZ108" s="78"/>
      <c r="DA108" s="1569">
        <f t="shared" si="1146"/>
        <v>0</v>
      </c>
      <c r="DB108" s="1569">
        <f t="shared" si="1146"/>
        <v>0</v>
      </c>
      <c r="DC108" s="1569">
        <f t="shared" si="1146"/>
        <v>0</v>
      </c>
      <c r="DD108" s="1569">
        <f t="shared" si="1146"/>
        <v>0</v>
      </c>
      <c r="DE108" s="1569">
        <f t="shared" si="1146"/>
        <v>0</v>
      </c>
      <c r="DF108" s="1569">
        <f t="shared" si="1146"/>
        <v>0</v>
      </c>
      <c r="DG108" s="1569">
        <f t="shared" si="1146"/>
        <v>0</v>
      </c>
      <c r="DH108" s="1569">
        <f t="shared" si="1146"/>
        <v>0</v>
      </c>
      <c r="DI108" s="1569">
        <f t="shared" si="1146"/>
        <v>0</v>
      </c>
      <c r="DJ108" s="1569">
        <f t="shared" si="1146"/>
        <v>0</v>
      </c>
      <c r="DK108" s="1569">
        <f t="shared" si="1147"/>
        <v>0</v>
      </c>
      <c r="DL108" s="865">
        <f t="shared" si="1147"/>
        <v>0</v>
      </c>
      <c r="DM108" s="1569">
        <f t="shared" si="1147"/>
        <v>0</v>
      </c>
      <c r="DN108" s="1569">
        <f t="shared" si="1147"/>
        <v>0</v>
      </c>
      <c r="DO108" s="1569">
        <f t="shared" si="1147"/>
        <v>0</v>
      </c>
      <c r="DP108" s="1569">
        <f t="shared" si="1147"/>
        <v>0</v>
      </c>
      <c r="DQ108" s="1569">
        <f t="shared" si="1147"/>
        <v>0</v>
      </c>
      <c r="DR108" s="1569">
        <f t="shared" si="1147"/>
        <v>0</v>
      </c>
      <c r="DS108" s="1569">
        <f t="shared" si="1147"/>
        <v>0</v>
      </c>
      <c r="DT108" s="1569">
        <f t="shared" si="1147"/>
        <v>0</v>
      </c>
      <c r="DU108" s="1569">
        <f t="shared" si="1147"/>
        <v>0</v>
      </c>
      <c r="DV108" s="1569">
        <f t="shared" si="1147"/>
        <v>0</v>
      </c>
      <c r="DW108" s="1569">
        <f t="shared" si="1147"/>
        <v>0</v>
      </c>
      <c r="DX108" s="1569">
        <f t="shared" si="1147"/>
        <v>0</v>
      </c>
      <c r="DY108" s="1569"/>
      <c r="DZ108" s="1569"/>
      <c r="EA108" s="1569"/>
      <c r="EB108" s="1569"/>
      <c r="EC108" s="1569"/>
      <c r="ED108" s="1569">
        <f>BT108*$H108</f>
        <v>0</v>
      </c>
      <c r="EE108" s="79"/>
      <c r="EF108" s="1569">
        <f t="shared" ca="1" si="1148"/>
        <v>0</v>
      </c>
      <c r="EG108" s="1569">
        <f t="shared" ca="1" si="1148"/>
        <v>0</v>
      </c>
      <c r="EH108" s="1569">
        <f t="shared" ca="1" si="1148"/>
        <v>0</v>
      </c>
      <c r="EI108" s="1569">
        <f t="shared" ca="1" si="1148"/>
        <v>0</v>
      </c>
      <c r="EJ108" s="1569">
        <f t="shared" ca="1" si="1148"/>
        <v>0</v>
      </c>
      <c r="EK108" s="1569">
        <f t="shared" ca="1" si="1148"/>
        <v>0</v>
      </c>
      <c r="EL108" s="1569">
        <f t="shared" ca="1" si="1148"/>
        <v>0</v>
      </c>
      <c r="EM108" s="1569">
        <f t="shared" ca="1" si="1148"/>
        <v>0</v>
      </c>
      <c r="EN108" s="1569">
        <f t="shared" ca="1" si="1148"/>
        <v>0</v>
      </c>
      <c r="EO108" s="1569">
        <f t="shared" ca="1" si="1148"/>
        <v>0</v>
      </c>
      <c r="EP108" s="1569">
        <f t="shared" ref="EP108:EU109" ca="1" si="1162">CF108*$I108</f>
        <v>0</v>
      </c>
      <c r="EQ108" s="865">
        <f t="shared" ca="1" si="1162"/>
        <v>0</v>
      </c>
      <c r="ER108" s="1569">
        <f t="shared" ca="1" si="1162"/>
        <v>0</v>
      </c>
      <c r="ES108" s="1569">
        <f t="shared" ca="1" si="1162"/>
        <v>0</v>
      </c>
      <c r="ET108" s="1569">
        <f t="shared" ca="1" si="1162"/>
        <v>0</v>
      </c>
      <c r="EU108" s="1569">
        <f t="shared" ca="1" si="1162"/>
        <v>0</v>
      </c>
      <c r="EV108" s="1569">
        <f t="shared" ca="1" si="1149"/>
        <v>0</v>
      </c>
      <c r="EW108" s="1569">
        <f t="shared" ca="1" si="1149"/>
        <v>0</v>
      </c>
      <c r="EX108" s="1569">
        <f t="shared" ca="1" si="1149"/>
        <v>0</v>
      </c>
      <c r="EY108" s="1569">
        <f t="shared" ca="1" si="1149"/>
        <v>0</v>
      </c>
      <c r="EZ108" s="1569">
        <f t="shared" ca="1" si="1149"/>
        <v>0</v>
      </c>
      <c r="FA108" s="1569">
        <f t="shared" ca="1" si="1150"/>
        <v>0</v>
      </c>
      <c r="FB108" s="1569">
        <f t="shared" ca="1" si="1151"/>
        <v>0</v>
      </c>
      <c r="FC108" s="1569">
        <f t="shared" ca="1" si="1152"/>
        <v>0</v>
      </c>
      <c r="FD108" s="1569">
        <f t="shared" ca="1" si="1153"/>
        <v>0</v>
      </c>
      <c r="FE108" s="1569">
        <f t="shared" ca="1" si="1154"/>
        <v>0</v>
      </c>
      <c r="FF108" s="1569">
        <f t="shared" ca="1" si="1155"/>
        <v>0</v>
      </c>
      <c r="FG108" s="1569">
        <f t="shared" ca="1" si="1156"/>
        <v>0</v>
      </c>
      <c r="FH108" s="1569">
        <f t="shared" ca="1" si="1157"/>
        <v>0</v>
      </c>
      <c r="FI108" s="1569">
        <f t="shared" ca="1" si="1158"/>
        <v>0</v>
      </c>
    </row>
    <row r="109" spans="1:165" ht="12.75" customHeight="1">
      <c r="A109" s="595"/>
      <c r="B109" s="598"/>
      <c r="C109" s="599"/>
      <c r="F109" s="1575"/>
      <c r="G109" s="872"/>
      <c r="H109" s="1619"/>
      <c r="I109" s="1619"/>
      <c r="J109" s="1575"/>
      <c r="K109" s="23"/>
      <c r="L109" s="863"/>
      <c r="M109" s="863"/>
      <c r="N109" s="863"/>
      <c r="O109" s="863"/>
      <c r="P109" s="863"/>
      <c r="Q109" s="863"/>
      <c r="R109" s="863"/>
      <c r="S109" s="863"/>
      <c r="T109" s="863"/>
      <c r="U109" s="863"/>
      <c r="V109" s="863"/>
      <c r="W109" s="863"/>
      <c r="X109" s="863"/>
      <c r="Y109" s="863"/>
      <c r="Z109" s="863"/>
      <c r="AA109" s="863"/>
      <c r="AB109" s="863"/>
      <c r="AC109" s="863"/>
      <c r="AD109" s="863"/>
      <c r="AE109" s="863"/>
      <c r="AF109" s="863"/>
      <c r="AG109" s="863"/>
      <c r="AH109" s="863"/>
      <c r="AI109" s="863"/>
      <c r="AJ109" s="863"/>
      <c r="AK109" s="863"/>
      <c r="AL109" s="863"/>
      <c r="AM109" s="863"/>
      <c r="AN109" s="863"/>
      <c r="AO109" s="863"/>
      <c r="AP109" s="81"/>
      <c r="AQ109" s="864"/>
      <c r="AR109" s="864"/>
      <c r="AS109" s="864"/>
      <c r="AT109" s="864"/>
      <c r="AU109" s="864"/>
      <c r="AV109" s="864"/>
      <c r="AW109" s="864"/>
      <c r="AX109" s="864"/>
      <c r="AY109" s="864"/>
      <c r="AZ109" s="864"/>
      <c r="BA109" s="864"/>
      <c r="BB109" s="864"/>
      <c r="BC109" s="864"/>
      <c r="BD109" s="864"/>
      <c r="BE109" s="864"/>
      <c r="BF109" s="864"/>
      <c r="BG109" s="864"/>
      <c r="BH109" s="864"/>
      <c r="BI109" s="864"/>
      <c r="BJ109" s="864"/>
      <c r="BK109" s="864"/>
      <c r="BL109" s="864"/>
      <c r="BM109" s="864"/>
      <c r="BN109" s="864"/>
      <c r="BO109" s="864"/>
      <c r="BP109" s="864"/>
      <c r="BQ109" s="864"/>
      <c r="BR109" s="864"/>
      <c r="BS109" s="864"/>
      <c r="BT109" s="864"/>
      <c r="BU109" s="81"/>
      <c r="BV109" s="864"/>
      <c r="BW109" s="864"/>
      <c r="BX109" s="864"/>
      <c r="BY109" s="864"/>
      <c r="BZ109" s="864"/>
      <c r="CA109" s="864"/>
      <c r="CB109" s="864"/>
      <c r="CC109" s="864"/>
      <c r="CD109" s="864"/>
      <c r="CE109" s="864"/>
      <c r="CF109" s="864"/>
      <c r="CG109" s="864"/>
      <c r="CH109" s="864"/>
      <c r="CI109" s="864"/>
      <c r="CJ109" s="864"/>
      <c r="CK109" s="864"/>
      <c r="CL109" s="864"/>
      <c r="CM109" s="864"/>
      <c r="CN109" s="864"/>
      <c r="CO109" s="864"/>
      <c r="CP109" s="864"/>
      <c r="CQ109" s="864"/>
      <c r="CR109" s="864"/>
      <c r="CS109" s="864"/>
      <c r="CT109" s="864"/>
      <c r="CU109" s="864"/>
      <c r="CV109" s="864"/>
      <c r="CW109" s="864"/>
      <c r="CX109" s="864"/>
      <c r="CY109" s="864"/>
      <c r="CZ109" s="85"/>
      <c r="DA109" s="865">
        <f t="shared" si="1146"/>
        <v>0</v>
      </c>
      <c r="DB109" s="865">
        <f t="shared" si="1146"/>
        <v>0</v>
      </c>
      <c r="DC109" s="865">
        <f t="shared" si="1146"/>
        <v>0</v>
      </c>
      <c r="DD109" s="865">
        <f t="shared" si="1146"/>
        <v>0</v>
      </c>
      <c r="DE109" s="865">
        <f t="shared" si="1146"/>
        <v>0</v>
      </c>
      <c r="DF109" s="865">
        <f t="shared" si="1146"/>
        <v>0</v>
      </c>
      <c r="DG109" s="865">
        <f t="shared" si="1146"/>
        <v>0</v>
      </c>
      <c r="DH109" s="865">
        <f t="shared" si="1146"/>
        <v>0</v>
      </c>
      <c r="DI109" s="865">
        <f t="shared" si="1146"/>
        <v>0</v>
      </c>
      <c r="DJ109" s="865">
        <f t="shared" si="1146"/>
        <v>0</v>
      </c>
      <c r="DK109" s="865">
        <f t="shared" si="1147"/>
        <v>0</v>
      </c>
      <c r="DL109" s="865">
        <f t="shared" si="1147"/>
        <v>0</v>
      </c>
      <c r="DM109" s="865">
        <f t="shared" si="1147"/>
        <v>0</v>
      </c>
      <c r="DN109" s="865">
        <f t="shared" si="1147"/>
        <v>0</v>
      </c>
      <c r="DO109" s="865">
        <f t="shared" si="1147"/>
        <v>0</v>
      </c>
      <c r="DP109" s="865">
        <f t="shared" si="1147"/>
        <v>0</v>
      </c>
      <c r="DQ109" s="865">
        <f t="shared" si="1147"/>
        <v>0</v>
      </c>
      <c r="DR109" s="865">
        <f t="shared" si="1147"/>
        <v>0</v>
      </c>
      <c r="DS109" s="865">
        <f t="shared" si="1147"/>
        <v>0</v>
      </c>
      <c r="DT109" s="865">
        <f t="shared" si="1147"/>
        <v>0</v>
      </c>
      <c r="DU109" s="865">
        <f t="shared" si="1147"/>
        <v>0</v>
      </c>
      <c r="DV109" s="865">
        <f t="shared" si="1147"/>
        <v>0</v>
      </c>
      <c r="DW109" s="865">
        <f t="shared" si="1147"/>
        <v>0</v>
      </c>
      <c r="DX109" s="865">
        <f t="shared" si="1147"/>
        <v>0</v>
      </c>
      <c r="DY109" s="865"/>
      <c r="DZ109" s="865"/>
      <c r="EA109" s="865"/>
      <c r="EB109" s="865"/>
      <c r="EC109" s="865"/>
      <c r="ED109" s="865">
        <f>BT109*$H109</f>
        <v>0</v>
      </c>
      <c r="EE109" s="79"/>
      <c r="EF109" s="865">
        <f t="shared" si="1148"/>
        <v>0</v>
      </c>
      <c r="EG109" s="865">
        <f t="shared" si="1148"/>
        <v>0</v>
      </c>
      <c r="EH109" s="865">
        <f t="shared" si="1148"/>
        <v>0</v>
      </c>
      <c r="EI109" s="865">
        <f t="shared" si="1148"/>
        <v>0</v>
      </c>
      <c r="EJ109" s="865">
        <f t="shared" si="1148"/>
        <v>0</v>
      </c>
      <c r="EK109" s="865">
        <f t="shared" si="1148"/>
        <v>0</v>
      </c>
      <c r="EL109" s="865">
        <f t="shared" si="1148"/>
        <v>0</v>
      </c>
      <c r="EM109" s="865">
        <f t="shared" si="1148"/>
        <v>0</v>
      </c>
      <c r="EN109" s="865">
        <f t="shared" si="1148"/>
        <v>0</v>
      </c>
      <c r="EO109" s="865">
        <f t="shared" si="1148"/>
        <v>0</v>
      </c>
      <c r="EP109" s="865">
        <f t="shared" si="1162"/>
        <v>0</v>
      </c>
      <c r="EQ109" s="865">
        <f t="shared" si="1162"/>
        <v>0</v>
      </c>
      <c r="ER109" s="865">
        <f t="shared" si="1162"/>
        <v>0</v>
      </c>
      <c r="ES109" s="865">
        <f t="shared" si="1162"/>
        <v>0</v>
      </c>
      <c r="ET109" s="865">
        <f t="shared" si="1162"/>
        <v>0</v>
      </c>
      <c r="EU109" s="865">
        <f t="shared" si="1162"/>
        <v>0</v>
      </c>
      <c r="EV109" s="865">
        <f t="shared" si="1149"/>
        <v>0</v>
      </c>
      <c r="EW109" s="865">
        <f t="shared" si="1149"/>
        <v>0</v>
      </c>
      <c r="EX109" s="865">
        <f t="shared" si="1149"/>
        <v>0</v>
      </c>
      <c r="EY109" s="865">
        <f t="shared" si="1149"/>
        <v>0</v>
      </c>
      <c r="EZ109" s="865">
        <f t="shared" si="1149"/>
        <v>0</v>
      </c>
      <c r="FA109" s="865">
        <f t="shared" si="1150"/>
        <v>0</v>
      </c>
      <c r="FB109" s="865">
        <f t="shared" si="1151"/>
        <v>0</v>
      </c>
      <c r="FC109" s="865">
        <f t="shared" si="1152"/>
        <v>0</v>
      </c>
      <c r="FD109" s="865">
        <f t="shared" si="1153"/>
        <v>0</v>
      </c>
      <c r="FE109" s="865">
        <f t="shared" si="1154"/>
        <v>0</v>
      </c>
      <c r="FF109" s="865">
        <f t="shared" si="1155"/>
        <v>0</v>
      </c>
      <c r="FG109" s="865">
        <f t="shared" si="1156"/>
        <v>0</v>
      </c>
      <c r="FH109" s="865">
        <f t="shared" si="1157"/>
        <v>0</v>
      </c>
      <c r="FI109" s="865">
        <f t="shared" si="1158"/>
        <v>0</v>
      </c>
    </row>
    <row r="110" spans="1:165">
      <c r="A110" s="595"/>
      <c r="B110" s="598"/>
      <c r="C110" s="599"/>
      <c r="D110" s="68" t="s">
        <v>1748</v>
      </c>
      <c r="E110" s="68" t="str">
        <f>LEFT(D110,LEN(D110)-1) &amp; RIGHT(D110,1)+1</f>
        <v>8.12</v>
      </c>
      <c r="F110" s="1564" t="s">
        <v>1587</v>
      </c>
      <c r="G110" s="1620" t="s">
        <v>1717</v>
      </c>
      <c r="H110" s="734">
        <f>SUM(DA110:ED110)</f>
        <v>0</v>
      </c>
      <c r="I110" s="734">
        <f ca="1">SUM(EF110:FI110)</f>
        <v>0</v>
      </c>
      <c r="J110" s="1577"/>
      <c r="K110" s="22"/>
      <c r="L110" s="1588"/>
      <c r="M110" s="1588"/>
      <c r="N110" s="1588"/>
      <c r="O110" s="1588"/>
      <c r="P110" s="1588"/>
      <c r="Q110" s="1588"/>
      <c r="R110" s="1588"/>
      <c r="S110" s="1588"/>
      <c r="T110" s="1588"/>
      <c r="U110" s="1588"/>
      <c r="V110" s="1588"/>
      <c r="W110" s="1588"/>
      <c r="X110" s="1588"/>
      <c r="Y110" s="1588"/>
      <c r="Z110" s="1588"/>
      <c r="AA110" s="1588"/>
      <c r="AB110" s="1588"/>
      <c r="AC110" s="1588"/>
      <c r="AD110" s="1588"/>
      <c r="AE110" s="1588"/>
      <c r="AF110" s="1588"/>
      <c r="AG110" s="1588"/>
      <c r="AH110" s="1589"/>
      <c r="AI110" s="1589"/>
      <c r="AJ110" s="1589"/>
      <c r="AK110" s="1589"/>
      <c r="AL110" s="1589"/>
      <c r="AM110" s="1589"/>
      <c r="AN110" s="1589"/>
      <c r="AO110" s="1589"/>
      <c r="AP110" s="392"/>
      <c r="AQ110" s="1590"/>
      <c r="AR110" s="1588"/>
      <c r="AS110" s="1588"/>
      <c r="AT110" s="1588"/>
      <c r="AU110" s="1588"/>
      <c r="AV110" s="1588"/>
      <c r="AW110" s="1588"/>
      <c r="AX110" s="1588"/>
      <c r="AY110" s="1588"/>
      <c r="AZ110" s="1588"/>
      <c r="BA110" s="1588"/>
      <c r="BB110" s="1588"/>
      <c r="BC110" s="1588"/>
      <c r="BD110" s="1588"/>
      <c r="BE110" s="1588"/>
      <c r="BF110" s="1588"/>
      <c r="BG110" s="1588"/>
      <c r="BH110" s="1588"/>
      <c r="BI110" s="1588"/>
      <c r="BJ110" s="1588"/>
      <c r="BK110" s="1588"/>
      <c r="BL110" s="1588"/>
      <c r="BM110" s="1589"/>
      <c r="BN110" s="1589"/>
      <c r="BO110" s="1589"/>
      <c r="BP110" s="1589"/>
      <c r="BQ110" s="1589"/>
      <c r="BR110" s="1589"/>
      <c r="BS110" s="1589"/>
      <c r="BT110" s="1589"/>
      <c r="BU110" s="392"/>
      <c r="BV110" s="1590"/>
      <c r="BW110" s="1588"/>
      <c r="BX110" s="1588"/>
      <c r="BY110" s="1588"/>
      <c r="BZ110" s="1588"/>
      <c r="CA110" s="1588"/>
      <c r="CB110" s="1588"/>
      <c r="CC110" s="1588"/>
      <c r="CD110" s="1588"/>
      <c r="CE110" s="1588"/>
      <c r="CF110" s="1588"/>
      <c r="CG110" s="1588"/>
      <c r="CH110" s="1588"/>
      <c r="CI110" s="1588"/>
      <c r="CJ110" s="1588"/>
      <c r="CK110" s="1588"/>
      <c r="CL110" s="1588"/>
      <c r="CM110" s="1588"/>
      <c r="CN110" s="1588"/>
      <c r="CO110" s="1588"/>
      <c r="CP110" s="1588"/>
      <c r="CQ110" s="1588"/>
      <c r="CR110" s="1588"/>
      <c r="CS110" s="1588"/>
      <c r="CT110" s="1588"/>
      <c r="CU110" s="1588"/>
      <c r="CV110" s="1588"/>
      <c r="CW110" s="1588"/>
      <c r="CX110" s="1588"/>
      <c r="CY110" s="1588"/>
      <c r="CZ110" s="84"/>
      <c r="DA110" s="1591">
        <f t="shared" ref="DA110:ED110" si="1163">SUBTOTAL(9,DA111:DA117)</f>
        <v>0</v>
      </c>
      <c r="DB110" s="1591">
        <f t="shared" si="1163"/>
        <v>0</v>
      </c>
      <c r="DC110" s="1591">
        <f t="shared" si="1163"/>
        <v>0</v>
      </c>
      <c r="DD110" s="1591">
        <f t="shared" si="1163"/>
        <v>0</v>
      </c>
      <c r="DE110" s="1591">
        <f t="shared" si="1163"/>
        <v>0</v>
      </c>
      <c r="DF110" s="1591">
        <f t="shared" si="1163"/>
        <v>0</v>
      </c>
      <c r="DG110" s="1591">
        <f t="shared" si="1163"/>
        <v>0</v>
      </c>
      <c r="DH110" s="1591">
        <f t="shared" si="1163"/>
        <v>0</v>
      </c>
      <c r="DI110" s="1591">
        <f t="shared" si="1163"/>
        <v>0</v>
      </c>
      <c r="DJ110" s="1591">
        <f t="shared" si="1163"/>
        <v>0</v>
      </c>
      <c r="DK110" s="1591">
        <f t="shared" si="1163"/>
        <v>0</v>
      </c>
      <c r="DL110" s="1591">
        <f t="shared" si="1163"/>
        <v>0</v>
      </c>
      <c r="DM110" s="1591">
        <f t="shared" si="1163"/>
        <v>0</v>
      </c>
      <c r="DN110" s="1591">
        <f t="shared" si="1163"/>
        <v>0</v>
      </c>
      <c r="DO110" s="1591">
        <f t="shared" si="1163"/>
        <v>0</v>
      </c>
      <c r="DP110" s="1591">
        <f t="shared" si="1163"/>
        <v>0</v>
      </c>
      <c r="DQ110" s="1591">
        <f t="shared" si="1163"/>
        <v>0</v>
      </c>
      <c r="DR110" s="1591">
        <f t="shared" si="1163"/>
        <v>0</v>
      </c>
      <c r="DS110" s="1591">
        <f t="shared" si="1163"/>
        <v>0</v>
      </c>
      <c r="DT110" s="1591">
        <f t="shared" si="1163"/>
        <v>0</v>
      </c>
      <c r="DU110" s="1591">
        <f t="shared" si="1163"/>
        <v>0</v>
      </c>
      <c r="DV110" s="1591">
        <f t="shared" si="1163"/>
        <v>0</v>
      </c>
      <c r="DW110" s="1591">
        <f t="shared" si="1163"/>
        <v>0</v>
      </c>
      <c r="DX110" s="1591">
        <f t="shared" si="1163"/>
        <v>0</v>
      </c>
      <c r="DY110" s="1591"/>
      <c r="DZ110" s="1591"/>
      <c r="EA110" s="1591"/>
      <c r="EB110" s="1591"/>
      <c r="EC110" s="1591"/>
      <c r="ED110" s="1591">
        <f t="shared" si="1163"/>
        <v>0</v>
      </c>
      <c r="EE110" s="79"/>
      <c r="EF110" s="1591">
        <f t="shared" ref="EF110:EZ110" ca="1" si="1164">SUBTOTAL(9,EF111:EF117)</f>
        <v>0</v>
      </c>
      <c r="EG110" s="1591">
        <f t="shared" ca="1" si="1164"/>
        <v>0</v>
      </c>
      <c r="EH110" s="1591">
        <f t="shared" ca="1" si="1164"/>
        <v>0</v>
      </c>
      <c r="EI110" s="1591">
        <f t="shared" ca="1" si="1164"/>
        <v>0</v>
      </c>
      <c r="EJ110" s="1591">
        <f t="shared" ca="1" si="1164"/>
        <v>0</v>
      </c>
      <c r="EK110" s="1591">
        <f t="shared" ca="1" si="1164"/>
        <v>0</v>
      </c>
      <c r="EL110" s="1591">
        <f t="shared" ca="1" si="1164"/>
        <v>0</v>
      </c>
      <c r="EM110" s="1591">
        <f t="shared" ca="1" si="1164"/>
        <v>0</v>
      </c>
      <c r="EN110" s="1591">
        <f t="shared" ca="1" si="1164"/>
        <v>0</v>
      </c>
      <c r="EO110" s="1591">
        <f t="shared" ca="1" si="1164"/>
        <v>0</v>
      </c>
      <c r="EP110" s="1591">
        <f t="shared" ca="1" si="1164"/>
        <v>0</v>
      </c>
      <c r="EQ110" s="1591">
        <f t="shared" ca="1" si="1164"/>
        <v>0</v>
      </c>
      <c r="ER110" s="1591">
        <f t="shared" ca="1" si="1164"/>
        <v>0</v>
      </c>
      <c r="ES110" s="1591">
        <f t="shared" ca="1" si="1164"/>
        <v>0</v>
      </c>
      <c r="ET110" s="1591">
        <f t="shared" ca="1" si="1164"/>
        <v>0</v>
      </c>
      <c r="EU110" s="1591">
        <f t="shared" ca="1" si="1164"/>
        <v>0</v>
      </c>
      <c r="EV110" s="1591">
        <f t="shared" ca="1" si="1164"/>
        <v>0</v>
      </c>
      <c r="EW110" s="1591">
        <f t="shared" ca="1" si="1164"/>
        <v>0</v>
      </c>
      <c r="EX110" s="1591">
        <f t="shared" ca="1" si="1164"/>
        <v>0</v>
      </c>
      <c r="EY110" s="1591">
        <f t="shared" ca="1" si="1164"/>
        <v>0</v>
      </c>
      <c r="EZ110" s="1591">
        <f t="shared" ca="1" si="1164"/>
        <v>0</v>
      </c>
      <c r="FA110" s="1591">
        <f t="shared" ref="FA110:FI110" ca="1" si="1165">SUBTOTAL(9,FA111:FA117)</f>
        <v>0</v>
      </c>
      <c r="FB110" s="1591">
        <f t="shared" ca="1" si="1165"/>
        <v>0</v>
      </c>
      <c r="FC110" s="1591">
        <f t="shared" ca="1" si="1165"/>
        <v>0</v>
      </c>
      <c r="FD110" s="1591">
        <f t="shared" ca="1" si="1165"/>
        <v>0</v>
      </c>
      <c r="FE110" s="1591">
        <f t="shared" ca="1" si="1165"/>
        <v>0</v>
      </c>
      <c r="FF110" s="1591">
        <f t="shared" ca="1" si="1165"/>
        <v>0</v>
      </c>
      <c r="FG110" s="1591">
        <f t="shared" ca="1" si="1165"/>
        <v>0</v>
      </c>
      <c r="FH110" s="1591">
        <f t="shared" ca="1" si="1165"/>
        <v>0</v>
      </c>
      <c r="FI110" s="1591">
        <f t="shared" ca="1" si="1165"/>
        <v>0</v>
      </c>
    </row>
    <row r="111" spans="1:165">
      <c r="A111" s="595"/>
      <c r="B111" s="598"/>
      <c r="C111" s="599"/>
      <c r="D111" s="68" t="s">
        <v>1749</v>
      </c>
      <c r="E111" s="68" t="str">
        <f>LEFT(D111,LEN(D111)-1) &amp; RIGHT(D111,1)+1</f>
        <v>8.11.1.3</v>
      </c>
      <c r="F111" s="1621" t="s">
        <v>1693</v>
      </c>
      <c r="G111" s="1616" t="s">
        <v>1717</v>
      </c>
      <c r="H111" s="315">
        <f>SUM(DA111:ED111)</f>
        <v>0</v>
      </c>
      <c r="I111" s="316">
        <f ca="1">SUM(EF111:FI111)</f>
        <v>0</v>
      </c>
      <c r="J111" s="1492"/>
      <c r="K111" s="22"/>
      <c r="L111" s="1588"/>
      <c r="M111" s="1588"/>
      <c r="N111" s="1588"/>
      <c r="O111" s="1588"/>
      <c r="P111" s="1588"/>
      <c r="Q111" s="1588"/>
      <c r="R111" s="1588"/>
      <c r="S111" s="1588"/>
      <c r="T111" s="1588"/>
      <c r="U111" s="1588"/>
      <c r="V111" s="1588"/>
      <c r="W111" s="1588"/>
      <c r="X111" s="1588"/>
      <c r="Y111" s="1588"/>
      <c r="Z111" s="1588"/>
      <c r="AA111" s="1588"/>
      <c r="AB111" s="1588"/>
      <c r="AC111" s="1588"/>
      <c r="AD111" s="1588"/>
      <c r="AE111" s="1588"/>
      <c r="AF111" s="1588"/>
      <c r="AG111" s="1588"/>
      <c r="AH111" s="1589"/>
      <c r="AI111" s="1589"/>
      <c r="AJ111" s="1589"/>
      <c r="AK111" s="1589"/>
      <c r="AL111" s="1589"/>
      <c r="AM111" s="1589"/>
      <c r="AN111" s="1589"/>
      <c r="AO111" s="1589"/>
      <c r="AP111" s="392"/>
      <c r="AQ111" s="1590"/>
      <c r="AR111" s="1588"/>
      <c r="AS111" s="1588"/>
      <c r="AT111" s="1588"/>
      <c r="AU111" s="1588"/>
      <c r="AV111" s="1588"/>
      <c r="AW111" s="1588"/>
      <c r="AX111" s="1588"/>
      <c r="AY111" s="1588"/>
      <c r="AZ111" s="1588"/>
      <c r="BA111" s="1588"/>
      <c r="BB111" s="1588"/>
      <c r="BC111" s="1588"/>
      <c r="BD111" s="1588"/>
      <c r="BE111" s="1588"/>
      <c r="BF111" s="1588"/>
      <c r="BG111" s="1588"/>
      <c r="BH111" s="1588"/>
      <c r="BI111" s="1588"/>
      <c r="BJ111" s="1588"/>
      <c r="BK111" s="1588"/>
      <c r="BL111" s="1588"/>
      <c r="BM111" s="1589"/>
      <c r="BN111" s="1589"/>
      <c r="BO111" s="1589"/>
      <c r="BP111" s="1589"/>
      <c r="BQ111" s="1589"/>
      <c r="BR111" s="1589"/>
      <c r="BS111" s="1589"/>
      <c r="BT111" s="1589"/>
      <c r="BU111" s="392"/>
      <c r="BV111" s="1594"/>
      <c r="BW111" s="1595"/>
      <c r="BX111" s="1595"/>
      <c r="BY111" s="1595"/>
      <c r="BZ111" s="1595"/>
      <c r="CA111" s="1595"/>
      <c r="CB111" s="1595"/>
      <c r="CC111" s="1595"/>
      <c r="CD111" s="1595"/>
      <c r="CE111" s="1595"/>
      <c r="CF111" s="1595"/>
      <c r="CG111" s="1595"/>
      <c r="CH111" s="1595"/>
      <c r="CI111" s="1595"/>
      <c r="CJ111" s="1595"/>
      <c r="CK111" s="1595"/>
      <c r="CL111" s="1595"/>
      <c r="CM111" s="1595"/>
      <c r="CN111" s="1595"/>
      <c r="CO111" s="1595"/>
      <c r="CP111" s="1595"/>
      <c r="CQ111" s="1595"/>
      <c r="CR111" s="1595"/>
      <c r="CS111" s="1595"/>
      <c r="CT111" s="1595"/>
      <c r="CU111" s="1595"/>
      <c r="CV111" s="1595"/>
      <c r="CW111" s="1595"/>
      <c r="CX111" s="1595"/>
      <c r="CY111" s="1595"/>
      <c r="CZ111" s="84"/>
      <c r="DA111" s="1567">
        <f t="shared" ref="DA111:ED111" si="1166">SUBTOTAL(9,DA112:DA113)</f>
        <v>0</v>
      </c>
      <c r="DB111" s="1567">
        <f t="shared" si="1166"/>
        <v>0</v>
      </c>
      <c r="DC111" s="1567">
        <f t="shared" si="1166"/>
        <v>0</v>
      </c>
      <c r="DD111" s="1567">
        <f t="shared" si="1166"/>
        <v>0</v>
      </c>
      <c r="DE111" s="1567">
        <f t="shared" si="1166"/>
        <v>0</v>
      </c>
      <c r="DF111" s="1567">
        <f t="shared" si="1166"/>
        <v>0</v>
      </c>
      <c r="DG111" s="1567">
        <f t="shared" si="1166"/>
        <v>0</v>
      </c>
      <c r="DH111" s="1567">
        <f t="shared" si="1166"/>
        <v>0</v>
      </c>
      <c r="DI111" s="1567">
        <f t="shared" si="1166"/>
        <v>0</v>
      </c>
      <c r="DJ111" s="1567">
        <f t="shared" si="1166"/>
        <v>0</v>
      </c>
      <c r="DK111" s="1567">
        <f t="shared" si="1166"/>
        <v>0</v>
      </c>
      <c r="DL111" s="1567">
        <f t="shared" si="1166"/>
        <v>0</v>
      </c>
      <c r="DM111" s="1567">
        <f t="shared" si="1166"/>
        <v>0</v>
      </c>
      <c r="DN111" s="1567">
        <f t="shared" si="1166"/>
        <v>0</v>
      </c>
      <c r="DO111" s="1567">
        <f t="shared" si="1166"/>
        <v>0</v>
      </c>
      <c r="DP111" s="1567">
        <f t="shared" si="1166"/>
        <v>0</v>
      </c>
      <c r="DQ111" s="1567">
        <f t="shared" si="1166"/>
        <v>0</v>
      </c>
      <c r="DR111" s="1567">
        <f t="shared" si="1166"/>
        <v>0</v>
      </c>
      <c r="DS111" s="1567">
        <f t="shared" si="1166"/>
        <v>0</v>
      </c>
      <c r="DT111" s="1567">
        <f t="shared" si="1166"/>
        <v>0</v>
      </c>
      <c r="DU111" s="1567">
        <f t="shared" si="1166"/>
        <v>0</v>
      </c>
      <c r="DV111" s="1567">
        <f t="shared" si="1166"/>
        <v>0</v>
      </c>
      <c r="DW111" s="1567">
        <f t="shared" si="1166"/>
        <v>0</v>
      </c>
      <c r="DX111" s="1567">
        <f t="shared" si="1166"/>
        <v>0</v>
      </c>
      <c r="DY111" s="1567"/>
      <c r="DZ111" s="1567"/>
      <c r="EA111" s="1567"/>
      <c r="EB111" s="1567"/>
      <c r="EC111" s="1567"/>
      <c r="ED111" s="1567">
        <f t="shared" si="1166"/>
        <v>0</v>
      </c>
      <c r="EE111" s="79"/>
      <c r="EF111" s="1567">
        <f t="shared" ref="EF111:EZ111" ca="1" si="1167">SUBTOTAL(9,EF112:EF113)</f>
        <v>0</v>
      </c>
      <c r="EG111" s="1567">
        <f t="shared" ca="1" si="1167"/>
        <v>0</v>
      </c>
      <c r="EH111" s="1567">
        <f t="shared" ca="1" si="1167"/>
        <v>0</v>
      </c>
      <c r="EI111" s="1567">
        <f t="shared" ca="1" si="1167"/>
        <v>0</v>
      </c>
      <c r="EJ111" s="1567">
        <f t="shared" ca="1" si="1167"/>
        <v>0</v>
      </c>
      <c r="EK111" s="1567">
        <f t="shared" ca="1" si="1167"/>
        <v>0</v>
      </c>
      <c r="EL111" s="1567">
        <f t="shared" ca="1" si="1167"/>
        <v>0</v>
      </c>
      <c r="EM111" s="1567">
        <f t="shared" ca="1" si="1167"/>
        <v>0</v>
      </c>
      <c r="EN111" s="1567">
        <f t="shared" ca="1" si="1167"/>
        <v>0</v>
      </c>
      <c r="EO111" s="1567">
        <f t="shared" ca="1" si="1167"/>
        <v>0</v>
      </c>
      <c r="EP111" s="1567">
        <f t="shared" ca="1" si="1167"/>
        <v>0</v>
      </c>
      <c r="EQ111" s="1567">
        <f t="shared" ca="1" si="1167"/>
        <v>0</v>
      </c>
      <c r="ER111" s="1567">
        <f t="shared" ca="1" si="1167"/>
        <v>0</v>
      </c>
      <c r="ES111" s="1567">
        <f t="shared" ca="1" si="1167"/>
        <v>0</v>
      </c>
      <c r="ET111" s="1567">
        <f t="shared" ca="1" si="1167"/>
        <v>0</v>
      </c>
      <c r="EU111" s="1567">
        <f t="shared" ca="1" si="1167"/>
        <v>0</v>
      </c>
      <c r="EV111" s="1567">
        <f t="shared" ca="1" si="1167"/>
        <v>0</v>
      </c>
      <c r="EW111" s="1567">
        <f t="shared" ca="1" si="1167"/>
        <v>0</v>
      </c>
      <c r="EX111" s="1567">
        <f t="shared" ca="1" si="1167"/>
        <v>0</v>
      </c>
      <c r="EY111" s="1567">
        <f t="shared" ca="1" si="1167"/>
        <v>0</v>
      </c>
      <c r="EZ111" s="1567">
        <f t="shared" ca="1" si="1167"/>
        <v>0</v>
      </c>
      <c r="FA111" s="1567">
        <f t="shared" ref="FA111:FI111" ca="1" si="1168">SUBTOTAL(9,FA112:FA113)</f>
        <v>0</v>
      </c>
      <c r="FB111" s="1567">
        <f t="shared" ca="1" si="1168"/>
        <v>0</v>
      </c>
      <c r="FC111" s="1567">
        <f t="shared" ca="1" si="1168"/>
        <v>0</v>
      </c>
      <c r="FD111" s="1567">
        <f t="shared" ca="1" si="1168"/>
        <v>0</v>
      </c>
      <c r="FE111" s="1567">
        <f t="shared" ca="1" si="1168"/>
        <v>0</v>
      </c>
      <c r="FF111" s="1567">
        <f t="shared" ca="1" si="1168"/>
        <v>0</v>
      </c>
      <c r="FG111" s="1567">
        <f t="shared" ca="1" si="1168"/>
        <v>0</v>
      </c>
      <c r="FH111" s="1567">
        <f t="shared" ca="1" si="1168"/>
        <v>0</v>
      </c>
      <c r="FI111" s="1567">
        <f t="shared" ca="1" si="1168"/>
        <v>0</v>
      </c>
    </row>
    <row r="112" spans="1:165">
      <c r="A112" s="595"/>
      <c r="B112" s="598"/>
      <c r="C112" s="599"/>
      <c r="F112" s="866" t="s">
        <v>1694</v>
      </c>
      <c r="G112" s="1600" t="s">
        <v>1718</v>
      </c>
      <c r="H112" s="1597">
        <f>'Sistemas - Cotações'!F69</f>
        <v>0</v>
      </c>
      <c r="I112" s="1598">
        <f t="shared" ref="I112:I113" si="1169">H112*0.8</f>
        <v>0</v>
      </c>
      <c r="J112" s="867">
        <v>15</v>
      </c>
      <c r="K112" s="76"/>
      <c r="L112" s="1479">
        <f>'Sistemas-Manutenção'!L109</f>
        <v>0</v>
      </c>
      <c r="M112" s="1479">
        <f>'Sistemas-Manutenção'!M109</f>
        <v>0</v>
      </c>
      <c r="N112" s="1479">
        <f>'Sistemas-Manutenção'!N109</f>
        <v>0</v>
      </c>
      <c r="O112" s="1479">
        <f>'Sistemas-Manutenção'!O109</f>
        <v>0</v>
      </c>
      <c r="P112" s="1479">
        <f>'Sistemas-Manutenção'!P109</f>
        <v>0</v>
      </c>
      <c r="Q112" s="1479">
        <f>'Sistemas-Manutenção'!Q109</f>
        <v>0</v>
      </c>
      <c r="R112" s="1479">
        <f>'Sistemas-Manutenção'!R109</f>
        <v>0</v>
      </c>
      <c r="S112" s="1479">
        <f>'Sistemas-Manutenção'!S109</f>
        <v>0</v>
      </c>
      <c r="T112" s="1479">
        <f>'Sistemas-Manutenção'!T109</f>
        <v>0</v>
      </c>
      <c r="U112" s="1479">
        <f>'Sistemas-Manutenção'!U109</f>
        <v>0</v>
      </c>
      <c r="V112" s="1479">
        <f>'Sistemas-Manutenção'!V109</f>
        <v>0</v>
      </c>
      <c r="W112" s="1479">
        <f>'Sistemas-Manutenção'!W109</f>
        <v>0</v>
      </c>
      <c r="X112" s="1479">
        <f>'Sistemas-Manutenção'!X109</f>
        <v>0</v>
      </c>
      <c r="Y112" s="1479">
        <f>'Sistemas-Manutenção'!Y109</f>
        <v>0</v>
      </c>
      <c r="Z112" s="1479">
        <f>'Sistemas-Manutenção'!Z109</f>
        <v>0</v>
      </c>
      <c r="AA112" s="1479">
        <f>'Sistemas-Manutenção'!AA109</f>
        <v>0</v>
      </c>
      <c r="AB112" s="1479">
        <f>'Sistemas-Manutenção'!AB109</f>
        <v>0</v>
      </c>
      <c r="AC112" s="1479">
        <f>'Sistemas-Manutenção'!AC109</f>
        <v>0</v>
      </c>
      <c r="AD112" s="1479">
        <f>'Sistemas-Manutenção'!AD109</f>
        <v>0</v>
      </c>
      <c r="AE112" s="1479">
        <f>'Sistemas-Manutenção'!AE109</f>
        <v>0</v>
      </c>
      <c r="AF112" s="1479">
        <f>'Sistemas-Manutenção'!AF109</f>
        <v>0</v>
      </c>
      <c r="AG112" s="1479">
        <f>'Sistemas-Manutenção'!AG109</f>
        <v>0</v>
      </c>
      <c r="AH112" s="1479">
        <f>'Sistemas-Manutenção'!AH109</f>
        <v>0</v>
      </c>
      <c r="AI112" s="1479">
        <f>'Sistemas-Manutenção'!AI109</f>
        <v>0</v>
      </c>
      <c r="AJ112" s="1479">
        <f>'Sistemas-Manutenção'!AJ109</f>
        <v>0</v>
      </c>
      <c r="AK112" s="1479">
        <f>'Sistemas-Manutenção'!AK109</f>
        <v>0</v>
      </c>
      <c r="AL112" s="1479">
        <f>'Sistemas-Manutenção'!AL109</f>
        <v>0</v>
      </c>
      <c r="AM112" s="1479">
        <f>'Sistemas-Manutenção'!AM109</f>
        <v>0</v>
      </c>
      <c r="AN112" s="1479">
        <f>'Sistemas-Manutenção'!AN109</f>
        <v>0</v>
      </c>
      <c r="AO112" s="1479">
        <f>'Sistemas-Manutenção'!AO109</f>
        <v>0</v>
      </c>
      <c r="AP112" s="77"/>
      <c r="AQ112" s="1479">
        <f t="shared" ref="AQ112:BF116" si="1170">IF(L112&gt;K112,L112-K112,0)</f>
        <v>0</v>
      </c>
      <c r="AR112" s="1479">
        <f t="shared" si="1170"/>
        <v>0</v>
      </c>
      <c r="AS112" s="1479">
        <f t="shared" si="1170"/>
        <v>0</v>
      </c>
      <c r="AT112" s="1479">
        <f t="shared" si="1170"/>
        <v>0</v>
      </c>
      <c r="AU112" s="1479">
        <f t="shared" si="1170"/>
        <v>0</v>
      </c>
      <c r="AV112" s="1479">
        <f t="shared" si="1170"/>
        <v>0</v>
      </c>
      <c r="AW112" s="1479">
        <f t="shared" si="1170"/>
        <v>0</v>
      </c>
      <c r="AX112" s="1479">
        <f t="shared" si="1170"/>
        <v>0</v>
      </c>
      <c r="AY112" s="1479">
        <f t="shared" si="1170"/>
        <v>0</v>
      </c>
      <c r="AZ112" s="1479">
        <f t="shared" si="1170"/>
        <v>0</v>
      </c>
      <c r="BA112" s="1479">
        <f t="shared" si="1170"/>
        <v>0</v>
      </c>
      <c r="BB112" s="1479">
        <f t="shared" si="1170"/>
        <v>0</v>
      </c>
      <c r="BC112" s="1479">
        <f t="shared" si="1170"/>
        <v>0</v>
      </c>
      <c r="BD112" s="1479">
        <f t="shared" si="1170"/>
        <v>0</v>
      </c>
      <c r="BE112" s="1479">
        <f t="shared" si="1170"/>
        <v>0</v>
      </c>
      <c r="BF112" s="1479">
        <f t="shared" si="1170"/>
        <v>0</v>
      </c>
      <c r="BG112" s="1479">
        <f t="shared" ref="BG112:BN113" si="1171">IF(AB112&gt;AA112,AB112-AA112,0)</f>
        <v>0</v>
      </c>
      <c r="BH112" s="1479">
        <f t="shared" si="1171"/>
        <v>0</v>
      </c>
      <c r="BI112" s="1479">
        <f t="shared" si="1171"/>
        <v>0</v>
      </c>
      <c r="BJ112" s="1479">
        <f t="shared" si="1171"/>
        <v>0</v>
      </c>
      <c r="BK112" s="1479">
        <f t="shared" si="1171"/>
        <v>0</v>
      </c>
      <c r="BL112" s="1479">
        <f t="shared" si="1171"/>
        <v>0</v>
      </c>
      <c r="BM112" s="1479">
        <f t="shared" si="1171"/>
        <v>0</v>
      </c>
      <c r="BN112" s="1479">
        <f t="shared" si="1171"/>
        <v>0</v>
      </c>
      <c r="BO112" s="1479"/>
      <c r="BP112" s="1479"/>
      <c r="BQ112" s="1479"/>
      <c r="BR112" s="1479"/>
      <c r="BS112" s="1479"/>
      <c r="BT112" s="1479">
        <f>IF(AO112&gt;AI112,AO112-AI112,0)</f>
        <v>0</v>
      </c>
      <c r="BU112" s="77"/>
      <c r="BV112" s="1571">
        <f t="shared" ref="BV112:CE113" ca="1" si="1172">IF(L112-SUM(OFFSET(AQ112,,-$J112+1,,$J112))-IF($J112&gt;1,SUM(OFFSET(BV112,,-$J112+1,,$J112-1)),0)&gt;0,L112-SUM(OFFSET(AQ112,,-$J112+1,,$J112))-IF($J112&gt;1,SUM(OFFSET(BV112,,-$J112+1,,$J112-1)),0),0)</f>
        <v>0</v>
      </c>
      <c r="BW112" s="1571">
        <f t="shared" ca="1" si="1172"/>
        <v>0</v>
      </c>
      <c r="BX112" s="1571">
        <f t="shared" ca="1" si="1172"/>
        <v>0</v>
      </c>
      <c r="BY112" s="1571">
        <f t="shared" ca="1" si="1172"/>
        <v>0</v>
      </c>
      <c r="BZ112" s="1571">
        <f t="shared" ca="1" si="1172"/>
        <v>0</v>
      </c>
      <c r="CA112" s="1571">
        <f t="shared" ca="1" si="1172"/>
        <v>0</v>
      </c>
      <c r="CB112" s="1571">
        <f t="shared" ca="1" si="1172"/>
        <v>0</v>
      </c>
      <c r="CC112" s="1571">
        <f t="shared" ca="1" si="1172"/>
        <v>0</v>
      </c>
      <c r="CD112" s="1571">
        <f t="shared" ca="1" si="1172"/>
        <v>0</v>
      </c>
      <c r="CE112" s="1571">
        <f t="shared" ca="1" si="1172"/>
        <v>0</v>
      </c>
      <c r="CF112" s="1571">
        <f t="shared" ref="CF112:CN113" ca="1" si="1173">IF(V112-SUM(OFFSET(BA112,,-$J112+1,,$J112))-IF($J112&gt;1,SUM(OFFSET(CF112,,-$J112+1,,$J112-1)),0)&gt;0,V112-SUM(OFFSET(BA112,,-$J112+1,,$J112))-IF($J112&gt;1,SUM(OFFSET(CF112,,-$J112+1,,$J112-1)),0),0)</f>
        <v>0</v>
      </c>
      <c r="CG112" s="1571">
        <f t="shared" ca="1" si="1173"/>
        <v>0</v>
      </c>
      <c r="CH112" s="1571">
        <f t="shared" ca="1" si="1173"/>
        <v>0</v>
      </c>
      <c r="CI112" s="1571">
        <f t="shared" ca="1" si="1173"/>
        <v>0</v>
      </c>
      <c r="CJ112" s="1571">
        <f t="shared" ca="1" si="1173"/>
        <v>0</v>
      </c>
      <c r="CK112" s="1571">
        <f t="shared" ca="1" si="1173"/>
        <v>0</v>
      </c>
      <c r="CL112" s="1571">
        <f t="shared" ca="1" si="1173"/>
        <v>0</v>
      </c>
      <c r="CM112" s="1571">
        <f t="shared" ca="1" si="1173"/>
        <v>0</v>
      </c>
      <c r="CN112" s="1571">
        <f t="shared" ca="1" si="1173"/>
        <v>0</v>
      </c>
      <c r="CO112" s="1571">
        <f t="shared" ref="CO112:CO113" ca="1" si="1174">IF(AE112-SUM(OFFSET(BJ112,,-$J112+1,,$J112))-IF($J112&gt;1,SUM(OFFSET(CO112,,-$J112+1,,$J112-1)),0)&gt;0,AE112-SUM(OFFSET(BJ112,,-$J112+1,,$J112))-IF($J112&gt;1,SUM(OFFSET(CO112,,-$J112+1,,$J112-1)),0),0)</f>
        <v>0</v>
      </c>
      <c r="CP112" s="1571">
        <f t="shared" ref="CP112:CP113" ca="1" si="1175">IF(AF112-SUM(OFFSET(BK112,,-$J112+1,,$J112))-IF($J112&gt;1,SUM(OFFSET(CP112,,-$J112+1,,$J112-1)),0)&gt;0,AF112-SUM(OFFSET(BK112,,-$J112+1,,$J112))-IF($J112&gt;1,SUM(OFFSET(CP112,,-$J112+1,,$J112-1)),0),0)</f>
        <v>0</v>
      </c>
      <c r="CQ112" s="1571">
        <f t="shared" ref="CQ112:CQ113" ca="1" si="1176">IF(AG112-SUM(OFFSET(BL112,,-$J112+1,,$J112))-IF($J112&gt;1,SUM(OFFSET(CQ112,,-$J112+1,,$J112-1)),0)&gt;0,AG112-SUM(OFFSET(BL112,,-$J112+1,,$J112))-IF($J112&gt;1,SUM(OFFSET(CQ112,,-$J112+1,,$J112-1)),0),0)</f>
        <v>0</v>
      </c>
      <c r="CR112" s="1571">
        <f t="shared" ref="CR112:CR113" ca="1" si="1177">IF(AH112-SUM(OFFSET(BM112,,-$J112+1,,$J112))-IF($J112&gt;1,SUM(OFFSET(CR112,,-$J112+1,,$J112-1)),0)&gt;0,AH112-SUM(OFFSET(BM112,,-$J112+1,,$J112))-IF($J112&gt;1,SUM(OFFSET(CR112,,-$J112+1,,$J112-1)),0),0)</f>
        <v>0</v>
      </c>
      <c r="CS112" s="1571">
        <f t="shared" ref="CS112:CS113" ca="1" si="1178">IF(AI112-SUM(OFFSET(BN112,,-$J112+1,,$J112))-IF($J112&gt;1,SUM(OFFSET(CS112,,-$J112+1,,$J112-1)),0)&gt;0,AI112-SUM(OFFSET(BN112,,-$J112+1,,$J112))-IF($J112&gt;1,SUM(OFFSET(CS112,,-$J112+1,,$J112-1)),0),0)</f>
        <v>0</v>
      </c>
      <c r="CT112" s="1571">
        <f t="shared" ref="CT112:CT113" ca="1" si="1179">IF(AJ112-SUM(OFFSET(BT112,,-$J112+1,,$J112))-IF($J112&gt;1,SUM(OFFSET(CT112,,-$J112+1,,$J112-1)),0)&gt;0,AJ112-SUM(OFFSET(BT112,,-$J112+1,,$J112))-IF($J112&gt;1,SUM(OFFSET(CT112,,-$J112+1,,$J112-1)),0),0)</f>
        <v>0</v>
      </c>
      <c r="CU112" s="1571">
        <f t="shared" ref="CU112:CU113" ca="1" si="1180">IF(AK112-SUM(OFFSET(BU112,,-$J112+1,,$J112))-IF($J112&gt;1,SUM(OFFSET(CU112,,-$J112+1,,$J112-1)),0)&gt;0,AK112-SUM(OFFSET(BU112,,-$J112+1,,$J112))-IF($J112&gt;1,SUM(OFFSET(CU112,,-$J112+1,,$J112-1)),0),0)</f>
        <v>0</v>
      </c>
      <c r="CV112" s="1571">
        <f t="shared" ref="CV112:CV113" ca="1" si="1181">IF(AL112-SUM(OFFSET(BV112,,-$J112+1,,$J112))-IF($J112&gt;1,SUM(OFFSET(CV112,,-$J112+1,,$J112-1)),0)&gt;0,AL112-SUM(OFFSET(BV112,,-$J112+1,,$J112))-IF($J112&gt;1,SUM(OFFSET(CV112,,-$J112+1,,$J112-1)),0),0)</f>
        <v>0</v>
      </c>
      <c r="CW112" s="1571">
        <f t="shared" ref="CW112:CW113" ca="1" si="1182">IF(AM112-SUM(OFFSET(BW112,,-$J112+1,,$J112))-IF($J112&gt;1,SUM(OFFSET(CW112,,-$J112+1,,$J112-1)),0)&gt;0,AM112-SUM(OFFSET(BW112,,-$J112+1,,$J112))-IF($J112&gt;1,SUM(OFFSET(CW112,,-$J112+1,,$J112-1)),0),0)</f>
        <v>0</v>
      </c>
      <c r="CX112" s="1571">
        <f t="shared" ref="CX112:CX113" ca="1" si="1183">IF(AN112-SUM(OFFSET(BX112,,-$J112+1,,$J112))-IF($J112&gt;1,SUM(OFFSET(CX112,,-$J112+1,,$J112-1)),0)&gt;0,AN112-SUM(OFFSET(BX112,,-$J112+1,,$J112))-IF($J112&gt;1,SUM(OFFSET(CX112,,-$J112+1,,$J112-1)),0),0)</f>
        <v>0</v>
      </c>
      <c r="CY112" s="1571">
        <f t="shared" ref="CY112:CY113" ca="1" si="1184">IF(AO112-SUM(OFFSET(BY112,,-$J112+1,,$J112))-IF($J112&gt;1,SUM(OFFSET(CY112,,-$J112+1,,$J112-1)),0)&gt;0,AO112-SUM(OFFSET(BY112,,-$J112+1,,$J112))-IF($J112&gt;1,SUM(OFFSET(CY112,,-$J112+1,,$J112-1)),0),0)</f>
        <v>0</v>
      </c>
      <c r="CZ112" s="78"/>
      <c r="DA112" s="1572">
        <f t="shared" ref="DA112:DP113" si="1185">AQ112*$H112</f>
        <v>0</v>
      </c>
      <c r="DB112" s="1572">
        <f t="shared" si="1185"/>
        <v>0</v>
      </c>
      <c r="DC112" s="1572">
        <f t="shared" si="1185"/>
        <v>0</v>
      </c>
      <c r="DD112" s="1572">
        <f t="shared" si="1185"/>
        <v>0</v>
      </c>
      <c r="DE112" s="1572">
        <f t="shared" si="1185"/>
        <v>0</v>
      </c>
      <c r="DF112" s="1572">
        <f t="shared" si="1185"/>
        <v>0</v>
      </c>
      <c r="DG112" s="1572">
        <f t="shared" si="1185"/>
        <v>0</v>
      </c>
      <c r="DH112" s="1572">
        <f t="shared" si="1185"/>
        <v>0</v>
      </c>
      <c r="DI112" s="1572">
        <f t="shared" si="1185"/>
        <v>0</v>
      </c>
      <c r="DJ112" s="1572">
        <f t="shared" si="1185"/>
        <v>0</v>
      </c>
      <c r="DK112" s="1572">
        <f t="shared" si="1185"/>
        <v>0</v>
      </c>
      <c r="DL112" s="1572">
        <f t="shared" si="1185"/>
        <v>0</v>
      </c>
      <c r="DM112" s="1572">
        <f t="shared" si="1185"/>
        <v>0</v>
      </c>
      <c r="DN112" s="1572">
        <f t="shared" si="1185"/>
        <v>0</v>
      </c>
      <c r="DO112" s="1572">
        <f t="shared" si="1185"/>
        <v>0</v>
      </c>
      <c r="DP112" s="1572">
        <f t="shared" si="1185"/>
        <v>0</v>
      </c>
      <c r="DQ112" s="1572">
        <f t="shared" ref="DK112:DX113" si="1186">BG112*$H112</f>
        <v>0</v>
      </c>
      <c r="DR112" s="1572">
        <f t="shared" si="1186"/>
        <v>0</v>
      </c>
      <c r="DS112" s="1572">
        <f t="shared" si="1186"/>
        <v>0</v>
      </c>
      <c r="DT112" s="1572">
        <f t="shared" si="1186"/>
        <v>0</v>
      </c>
      <c r="DU112" s="1572">
        <f t="shared" si="1186"/>
        <v>0</v>
      </c>
      <c r="DV112" s="1572">
        <f t="shared" si="1186"/>
        <v>0</v>
      </c>
      <c r="DW112" s="1572">
        <f t="shared" si="1186"/>
        <v>0</v>
      </c>
      <c r="DX112" s="1572">
        <f t="shared" si="1186"/>
        <v>0</v>
      </c>
      <c r="DY112" s="1572"/>
      <c r="DZ112" s="1572"/>
      <c r="EA112" s="1572"/>
      <c r="EB112" s="1572"/>
      <c r="EC112" s="1572"/>
      <c r="ED112" s="1572">
        <f>BT112*$H112</f>
        <v>0</v>
      </c>
      <c r="EE112" s="79"/>
      <c r="EF112" s="1572">
        <f t="shared" ref="EF112:EU113" ca="1" si="1187">BV112*$I112</f>
        <v>0</v>
      </c>
      <c r="EG112" s="1572">
        <f t="shared" ca="1" si="1187"/>
        <v>0</v>
      </c>
      <c r="EH112" s="1572">
        <f t="shared" ca="1" si="1187"/>
        <v>0</v>
      </c>
      <c r="EI112" s="1572">
        <f t="shared" ca="1" si="1187"/>
        <v>0</v>
      </c>
      <c r="EJ112" s="1572">
        <f t="shared" ca="1" si="1187"/>
        <v>0</v>
      </c>
      <c r="EK112" s="1572">
        <f t="shared" ca="1" si="1187"/>
        <v>0</v>
      </c>
      <c r="EL112" s="1572">
        <f t="shared" ca="1" si="1187"/>
        <v>0</v>
      </c>
      <c r="EM112" s="1572">
        <f t="shared" ca="1" si="1187"/>
        <v>0</v>
      </c>
      <c r="EN112" s="1572">
        <f t="shared" ca="1" si="1187"/>
        <v>0</v>
      </c>
      <c r="EO112" s="1572">
        <f t="shared" ca="1" si="1187"/>
        <v>0</v>
      </c>
      <c r="EP112" s="1572">
        <f t="shared" ca="1" si="1187"/>
        <v>0</v>
      </c>
      <c r="EQ112" s="1572">
        <f t="shared" ca="1" si="1187"/>
        <v>0</v>
      </c>
      <c r="ER112" s="1572">
        <f t="shared" ca="1" si="1187"/>
        <v>0</v>
      </c>
      <c r="ES112" s="1572">
        <f t="shared" ca="1" si="1187"/>
        <v>0</v>
      </c>
      <c r="ET112" s="1572">
        <f t="shared" ca="1" si="1187"/>
        <v>0</v>
      </c>
      <c r="EU112" s="1572">
        <f t="shared" ca="1" si="1187"/>
        <v>0</v>
      </c>
      <c r="EV112" s="1572">
        <f t="shared" ref="EV112:EZ113" ca="1" si="1188">CL112*$I112</f>
        <v>0</v>
      </c>
      <c r="EW112" s="1572">
        <f t="shared" ca="1" si="1188"/>
        <v>0</v>
      </c>
      <c r="EX112" s="1572">
        <f t="shared" ca="1" si="1188"/>
        <v>0</v>
      </c>
      <c r="EY112" s="1572">
        <f t="shared" ca="1" si="1188"/>
        <v>0</v>
      </c>
      <c r="EZ112" s="1572">
        <f t="shared" ca="1" si="1188"/>
        <v>0</v>
      </c>
      <c r="FA112" s="1572">
        <f t="shared" ref="FA112:FA113" ca="1" si="1189">CQ112*$I112</f>
        <v>0</v>
      </c>
      <c r="FB112" s="1572">
        <f t="shared" ref="FB112:FB113" ca="1" si="1190">CR112*$I112</f>
        <v>0</v>
      </c>
      <c r="FC112" s="1572">
        <f t="shared" ref="FC112:FC113" ca="1" si="1191">CS112*$I112</f>
        <v>0</v>
      </c>
      <c r="FD112" s="1572">
        <f t="shared" ref="FD112:FD113" ca="1" si="1192">CT112*$I112</f>
        <v>0</v>
      </c>
      <c r="FE112" s="1572">
        <f t="shared" ref="FE112:FE113" ca="1" si="1193">CU112*$I112</f>
        <v>0</v>
      </c>
      <c r="FF112" s="1572">
        <f t="shared" ref="FF112:FF113" ca="1" si="1194">CV112*$I112</f>
        <v>0</v>
      </c>
      <c r="FG112" s="1572">
        <f t="shared" ref="FG112:FG113" ca="1" si="1195">CW112*$I112</f>
        <v>0</v>
      </c>
      <c r="FH112" s="1572">
        <f t="shared" ref="FH112:FH113" ca="1" si="1196">CX112*$I112</f>
        <v>0</v>
      </c>
      <c r="FI112" s="1572">
        <f t="shared" ref="FI112:FI113" ca="1" si="1197">CY112*$I112</f>
        <v>0</v>
      </c>
    </row>
    <row r="113" spans="1:166">
      <c r="A113" s="595"/>
      <c r="B113" s="598"/>
      <c r="C113" s="599"/>
      <c r="F113" s="866" t="s">
        <v>1695</v>
      </c>
      <c r="G113" s="1617"/>
      <c r="H113" s="1597">
        <f>'Sistemas - Cotações'!F70</f>
        <v>424250.25</v>
      </c>
      <c r="I113" s="1598">
        <f t="shared" si="1169"/>
        <v>339400.2</v>
      </c>
      <c r="J113" s="867">
        <v>15</v>
      </c>
      <c r="K113" s="76"/>
      <c r="L113" s="1479">
        <f>'Sistemas-Manutenção'!L110</f>
        <v>0</v>
      </c>
      <c r="M113" s="1479">
        <f>'Sistemas-Manutenção'!M110</f>
        <v>0</v>
      </c>
      <c r="N113" s="1479">
        <f>'Sistemas-Manutenção'!N110</f>
        <v>0</v>
      </c>
      <c r="O113" s="1479">
        <f>'Sistemas-Manutenção'!O110</f>
        <v>0</v>
      </c>
      <c r="P113" s="1479">
        <f>'Sistemas-Manutenção'!P110</f>
        <v>0</v>
      </c>
      <c r="Q113" s="1479">
        <f>'Sistemas-Manutenção'!Q110</f>
        <v>0</v>
      </c>
      <c r="R113" s="1479">
        <f>'Sistemas-Manutenção'!R110</f>
        <v>0</v>
      </c>
      <c r="S113" s="1479">
        <f>'Sistemas-Manutenção'!S110</f>
        <v>0</v>
      </c>
      <c r="T113" s="1479">
        <f>'Sistemas-Manutenção'!T110</f>
        <v>0</v>
      </c>
      <c r="U113" s="1479">
        <f>'Sistemas-Manutenção'!U110</f>
        <v>0</v>
      </c>
      <c r="V113" s="1479">
        <f>'Sistemas-Manutenção'!V110</f>
        <v>0</v>
      </c>
      <c r="W113" s="1479">
        <f>'Sistemas-Manutenção'!W110</f>
        <v>0</v>
      </c>
      <c r="X113" s="1479">
        <f>'Sistemas-Manutenção'!X110</f>
        <v>0</v>
      </c>
      <c r="Y113" s="1479">
        <f>'Sistemas-Manutenção'!Y110</f>
        <v>0</v>
      </c>
      <c r="Z113" s="1479">
        <f>'Sistemas-Manutenção'!Z110</f>
        <v>0</v>
      </c>
      <c r="AA113" s="1479">
        <f>'Sistemas-Manutenção'!AA110</f>
        <v>0</v>
      </c>
      <c r="AB113" s="1479">
        <f>'Sistemas-Manutenção'!AB110</f>
        <v>0</v>
      </c>
      <c r="AC113" s="1479">
        <f>'Sistemas-Manutenção'!AC110</f>
        <v>0</v>
      </c>
      <c r="AD113" s="1479">
        <f>'Sistemas-Manutenção'!AD110</f>
        <v>0</v>
      </c>
      <c r="AE113" s="1479">
        <f>'Sistemas-Manutenção'!AE110</f>
        <v>0</v>
      </c>
      <c r="AF113" s="1479">
        <f>'Sistemas-Manutenção'!AF110</f>
        <v>0</v>
      </c>
      <c r="AG113" s="1479">
        <f>'Sistemas-Manutenção'!AG110</f>
        <v>0</v>
      </c>
      <c r="AH113" s="1479">
        <f>'Sistemas-Manutenção'!AH110</f>
        <v>0</v>
      </c>
      <c r="AI113" s="1479">
        <f>'Sistemas-Manutenção'!AI110</f>
        <v>0</v>
      </c>
      <c r="AJ113" s="1479">
        <f>'Sistemas-Manutenção'!AJ110</f>
        <v>0</v>
      </c>
      <c r="AK113" s="1479">
        <f>'Sistemas-Manutenção'!AK110</f>
        <v>0</v>
      </c>
      <c r="AL113" s="1479">
        <f>'Sistemas-Manutenção'!AL110</f>
        <v>0</v>
      </c>
      <c r="AM113" s="1479">
        <f>'Sistemas-Manutenção'!AM110</f>
        <v>0</v>
      </c>
      <c r="AN113" s="1479">
        <f>'Sistemas-Manutenção'!AN110</f>
        <v>0</v>
      </c>
      <c r="AO113" s="1479">
        <f>'Sistemas-Manutenção'!AO110</f>
        <v>0</v>
      </c>
      <c r="AP113" s="77"/>
      <c r="AQ113" s="1479">
        <f t="shared" si="1170"/>
        <v>0</v>
      </c>
      <c r="AR113" s="1479">
        <f t="shared" si="1170"/>
        <v>0</v>
      </c>
      <c r="AS113" s="1479">
        <f t="shared" si="1170"/>
        <v>0</v>
      </c>
      <c r="AT113" s="1479">
        <f t="shared" si="1170"/>
        <v>0</v>
      </c>
      <c r="AU113" s="1479">
        <f t="shared" si="1170"/>
        <v>0</v>
      </c>
      <c r="AV113" s="1479">
        <f t="shared" si="1170"/>
        <v>0</v>
      </c>
      <c r="AW113" s="1479">
        <f t="shared" si="1170"/>
        <v>0</v>
      </c>
      <c r="AX113" s="1479">
        <f t="shared" si="1170"/>
        <v>0</v>
      </c>
      <c r="AY113" s="1479">
        <f t="shared" si="1170"/>
        <v>0</v>
      </c>
      <c r="AZ113" s="1479">
        <f t="shared" si="1170"/>
        <v>0</v>
      </c>
      <c r="BA113" s="1479">
        <f t="shared" ref="BA113:BF113" si="1198">IF(V113&gt;U113,V113-U113,0)</f>
        <v>0</v>
      </c>
      <c r="BB113" s="1479">
        <f t="shared" si="1198"/>
        <v>0</v>
      </c>
      <c r="BC113" s="1479">
        <f t="shared" si="1198"/>
        <v>0</v>
      </c>
      <c r="BD113" s="1479">
        <f t="shared" si="1198"/>
        <v>0</v>
      </c>
      <c r="BE113" s="1479">
        <f t="shared" si="1198"/>
        <v>0</v>
      </c>
      <c r="BF113" s="1479">
        <f t="shared" si="1198"/>
        <v>0</v>
      </c>
      <c r="BG113" s="1479">
        <f t="shared" si="1171"/>
        <v>0</v>
      </c>
      <c r="BH113" s="1479">
        <f t="shared" si="1171"/>
        <v>0</v>
      </c>
      <c r="BI113" s="1479">
        <f t="shared" si="1171"/>
        <v>0</v>
      </c>
      <c r="BJ113" s="1479">
        <f t="shared" si="1171"/>
        <v>0</v>
      </c>
      <c r="BK113" s="1479">
        <f t="shared" si="1171"/>
        <v>0</v>
      </c>
      <c r="BL113" s="1479">
        <f t="shared" si="1171"/>
        <v>0</v>
      </c>
      <c r="BM113" s="1479">
        <f t="shared" si="1171"/>
        <v>0</v>
      </c>
      <c r="BN113" s="1479">
        <f t="shared" si="1171"/>
        <v>0</v>
      </c>
      <c r="BO113" s="1479"/>
      <c r="BP113" s="1479"/>
      <c r="BQ113" s="1479"/>
      <c r="BR113" s="1479"/>
      <c r="BS113" s="1479"/>
      <c r="BT113" s="1479">
        <f>IF(AO113&gt;AI113,AO113-AI113,0)</f>
        <v>0</v>
      </c>
      <c r="BU113" s="77"/>
      <c r="BV113" s="1571">
        <f t="shared" ca="1" si="1172"/>
        <v>0</v>
      </c>
      <c r="BW113" s="1571">
        <f t="shared" ca="1" si="1172"/>
        <v>0</v>
      </c>
      <c r="BX113" s="1571">
        <f t="shared" ca="1" si="1172"/>
        <v>0</v>
      </c>
      <c r="BY113" s="1571">
        <f t="shared" ca="1" si="1172"/>
        <v>0</v>
      </c>
      <c r="BZ113" s="1571">
        <f t="shared" ca="1" si="1172"/>
        <v>0</v>
      </c>
      <c r="CA113" s="1571">
        <f t="shared" ca="1" si="1172"/>
        <v>0</v>
      </c>
      <c r="CB113" s="1571">
        <f t="shared" ca="1" si="1172"/>
        <v>0</v>
      </c>
      <c r="CC113" s="1571">
        <f t="shared" ca="1" si="1172"/>
        <v>0</v>
      </c>
      <c r="CD113" s="1571">
        <f t="shared" ca="1" si="1172"/>
        <v>0</v>
      </c>
      <c r="CE113" s="1571">
        <f t="shared" ca="1" si="1172"/>
        <v>0</v>
      </c>
      <c r="CF113" s="1571">
        <f t="shared" ca="1" si="1173"/>
        <v>0</v>
      </c>
      <c r="CG113" s="1571">
        <f t="shared" ca="1" si="1173"/>
        <v>0</v>
      </c>
      <c r="CH113" s="1571">
        <f t="shared" ca="1" si="1173"/>
        <v>0</v>
      </c>
      <c r="CI113" s="1571">
        <f t="shared" ca="1" si="1173"/>
        <v>0</v>
      </c>
      <c r="CJ113" s="1571">
        <f t="shared" ca="1" si="1173"/>
        <v>0</v>
      </c>
      <c r="CK113" s="1571">
        <f t="shared" ca="1" si="1173"/>
        <v>0</v>
      </c>
      <c r="CL113" s="1571">
        <f t="shared" ca="1" si="1173"/>
        <v>0</v>
      </c>
      <c r="CM113" s="1571">
        <f t="shared" ca="1" si="1173"/>
        <v>0</v>
      </c>
      <c r="CN113" s="1571">
        <f t="shared" ca="1" si="1173"/>
        <v>0</v>
      </c>
      <c r="CO113" s="1571">
        <f t="shared" ca="1" si="1174"/>
        <v>0</v>
      </c>
      <c r="CP113" s="1571">
        <f t="shared" ca="1" si="1175"/>
        <v>0</v>
      </c>
      <c r="CQ113" s="1571">
        <f t="shared" ca="1" si="1176"/>
        <v>0</v>
      </c>
      <c r="CR113" s="1571">
        <f t="shared" ca="1" si="1177"/>
        <v>0</v>
      </c>
      <c r="CS113" s="1571">
        <f t="shared" ca="1" si="1178"/>
        <v>0</v>
      </c>
      <c r="CT113" s="1571">
        <f t="shared" ca="1" si="1179"/>
        <v>0</v>
      </c>
      <c r="CU113" s="1571">
        <f t="shared" ca="1" si="1180"/>
        <v>0</v>
      </c>
      <c r="CV113" s="1571">
        <f t="shared" ca="1" si="1181"/>
        <v>0</v>
      </c>
      <c r="CW113" s="1571">
        <f t="shared" ca="1" si="1182"/>
        <v>0</v>
      </c>
      <c r="CX113" s="1571">
        <f t="shared" ca="1" si="1183"/>
        <v>0</v>
      </c>
      <c r="CY113" s="1571">
        <f t="shared" ca="1" si="1184"/>
        <v>0</v>
      </c>
      <c r="CZ113" s="78"/>
      <c r="DA113" s="1572">
        <f t="shared" si="1185"/>
        <v>0</v>
      </c>
      <c r="DB113" s="1572">
        <f t="shared" si="1185"/>
        <v>0</v>
      </c>
      <c r="DC113" s="1572">
        <f t="shared" si="1185"/>
        <v>0</v>
      </c>
      <c r="DD113" s="1572">
        <f t="shared" si="1185"/>
        <v>0</v>
      </c>
      <c r="DE113" s="1572">
        <f t="shared" si="1185"/>
        <v>0</v>
      </c>
      <c r="DF113" s="1572">
        <f t="shared" si="1185"/>
        <v>0</v>
      </c>
      <c r="DG113" s="1572">
        <f t="shared" si="1185"/>
        <v>0</v>
      </c>
      <c r="DH113" s="1572">
        <f t="shared" si="1185"/>
        <v>0</v>
      </c>
      <c r="DI113" s="1572">
        <f t="shared" si="1185"/>
        <v>0</v>
      </c>
      <c r="DJ113" s="1572">
        <f t="shared" si="1185"/>
        <v>0</v>
      </c>
      <c r="DK113" s="1572">
        <f t="shared" si="1186"/>
        <v>0</v>
      </c>
      <c r="DL113" s="1572">
        <f t="shared" si="1186"/>
        <v>0</v>
      </c>
      <c r="DM113" s="1572">
        <f t="shared" si="1186"/>
        <v>0</v>
      </c>
      <c r="DN113" s="1572">
        <f t="shared" si="1186"/>
        <v>0</v>
      </c>
      <c r="DO113" s="1572">
        <f t="shared" si="1186"/>
        <v>0</v>
      </c>
      <c r="DP113" s="1572">
        <f t="shared" si="1186"/>
        <v>0</v>
      </c>
      <c r="DQ113" s="1572">
        <f t="shared" si="1186"/>
        <v>0</v>
      </c>
      <c r="DR113" s="1572">
        <f t="shared" si="1186"/>
        <v>0</v>
      </c>
      <c r="DS113" s="1572">
        <f t="shared" si="1186"/>
        <v>0</v>
      </c>
      <c r="DT113" s="1572">
        <f t="shared" si="1186"/>
        <v>0</v>
      </c>
      <c r="DU113" s="1572">
        <f t="shared" si="1186"/>
        <v>0</v>
      </c>
      <c r="DV113" s="1572">
        <f t="shared" si="1186"/>
        <v>0</v>
      </c>
      <c r="DW113" s="1572">
        <f t="shared" si="1186"/>
        <v>0</v>
      </c>
      <c r="DX113" s="1572">
        <f t="shared" si="1186"/>
        <v>0</v>
      </c>
      <c r="DY113" s="1572"/>
      <c r="DZ113" s="1572"/>
      <c r="EA113" s="1572"/>
      <c r="EB113" s="1572"/>
      <c r="EC113" s="1572"/>
      <c r="ED113" s="1572">
        <f>BT113*$H113</f>
        <v>0</v>
      </c>
      <c r="EE113" s="79"/>
      <c r="EF113" s="1572">
        <f t="shared" ca="1" si="1187"/>
        <v>0</v>
      </c>
      <c r="EG113" s="1572">
        <f t="shared" ca="1" si="1187"/>
        <v>0</v>
      </c>
      <c r="EH113" s="1572">
        <f t="shared" ca="1" si="1187"/>
        <v>0</v>
      </c>
      <c r="EI113" s="1572">
        <f t="shared" ca="1" si="1187"/>
        <v>0</v>
      </c>
      <c r="EJ113" s="1572">
        <f t="shared" ca="1" si="1187"/>
        <v>0</v>
      </c>
      <c r="EK113" s="1572">
        <f t="shared" ca="1" si="1187"/>
        <v>0</v>
      </c>
      <c r="EL113" s="1572">
        <f t="shared" ca="1" si="1187"/>
        <v>0</v>
      </c>
      <c r="EM113" s="1572">
        <f t="shared" ca="1" si="1187"/>
        <v>0</v>
      </c>
      <c r="EN113" s="1572">
        <f t="shared" ca="1" si="1187"/>
        <v>0</v>
      </c>
      <c r="EO113" s="1572">
        <f t="shared" ca="1" si="1187"/>
        <v>0</v>
      </c>
      <c r="EP113" s="1572">
        <f t="shared" ref="EP113:EU113" ca="1" si="1199">CF113*$I113</f>
        <v>0</v>
      </c>
      <c r="EQ113" s="1572">
        <f t="shared" ca="1" si="1199"/>
        <v>0</v>
      </c>
      <c r="ER113" s="1572">
        <f t="shared" ca="1" si="1199"/>
        <v>0</v>
      </c>
      <c r="ES113" s="1572">
        <f t="shared" ca="1" si="1199"/>
        <v>0</v>
      </c>
      <c r="ET113" s="1572">
        <f t="shared" ca="1" si="1199"/>
        <v>0</v>
      </c>
      <c r="EU113" s="1572">
        <f t="shared" ca="1" si="1199"/>
        <v>0</v>
      </c>
      <c r="EV113" s="1572">
        <f t="shared" ca="1" si="1188"/>
        <v>0</v>
      </c>
      <c r="EW113" s="1572">
        <f t="shared" ca="1" si="1188"/>
        <v>0</v>
      </c>
      <c r="EX113" s="1572">
        <f t="shared" ca="1" si="1188"/>
        <v>0</v>
      </c>
      <c r="EY113" s="1572">
        <f t="shared" ca="1" si="1188"/>
        <v>0</v>
      </c>
      <c r="EZ113" s="1572">
        <f t="shared" ca="1" si="1188"/>
        <v>0</v>
      </c>
      <c r="FA113" s="1572">
        <f t="shared" ca="1" si="1189"/>
        <v>0</v>
      </c>
      <c r="FB113" s="1572">
        <f t="shared" ca="1" si="1190"/>
        <v>0</v>
      </c>
      <c r="FC113" s="1572">
        <f t="shared" ca="1" si="1191"/>
        <v>0</v>
      </c>
      <c r="FD113" s="1572">
        <f t="shared" ca="1" si="1192"/>
        <v>0</v>
      </c>
      <c r="FE113" s="1572">
        <f t="shared" ca="1" si="1193"/>
        <v>0</v>
      </c>
      <c r="FF113" s="1572">
        <f t="shared" ca="1" si="1194"/>
        <v>0</v>
      </c>
      <c r="FG113" s="1572">
        <f t="shared" ca="1" si="1195"/>
        <v>0</v>
      </c>
      <c r="FH113" s="1572">
        <f t="shared" ca="1" si="1196"/>
        <v>0</v>
      </c>
      <c r="FI113" s="1572">
        <f t="shared" ca="1" si="1197"/>
        <v>0</v>
      </c>
    </row>
    <row r="114" spans="1:166">
      <c r="A114" s="595"/>
      <c r="B114" s="598"/>
      <c r="C114" s="599"/>
      <c r="D114" s="68" t="s">
        <v>1750</v>
      </c>
      <c r="E114" s="68" t="str">
        <f>LEFT(D114,LEN(D114)-1) &amp; RIGHT(D114,1)+1</f>
        <v>8.11.2.3</v>
      </c>
      <c r="F114" s="1599" t="s">
        <v>1696</v>
      </c>
      <c r="G114" s="401" t="s">
        <v>1717</v>
      </c>
      <c r="H114" s="315">
        <f>SUM(DA114:ED114)</f>
        <v>0</v>
      </c>
      <c r="I114" s="316">
        <f ca="1">SUM(EF114:FI114)</f>
        <v>0</v>
      </c>
      <c r="J114" s="867"/>
      <c r="K114" s="76"/>
      <c r="L114" s="1479">
        <f>'Sistemas-Manutenção'!L111</f>
        <v>0</v>
      </c>
      <c r="M114" s="1479">
        <f>'Sistemas-Manutenção'!M111</f>
        <v>0</v>
      </c>
      <c r="N114" s="1479">
        <f>'Sistemas-Manutenção'!N111</f>
        <v>0</v>
      </c>
      <c r="O114" s="1479">
        <f>'Sistemas-Manutenção'!O111</f>
        <v>0</v>
      </c>
      <c r="P114" s="1479">
        <f>'Sistemas-Manutenção'!P111</f>
        <v>0</v>
      </c>
      <c r="Q114" s="1479">
        <f>'Sistemas-Manutenção'!Q111</f>
        <v>0</v>
      </c>
      <c r="R114" s="1479">
        <f>'Sistemas-Manutenção'!R111</f>
        <v>0</v>
      </c>
      <c r="S114" s="1479">
        <f>'Sistemas-Manutenção'!S111</f>
        <v>0</v>
      </c>
      <c r="T114" s="1479">
        <f>'Sistemas-Manutenção'!T111</f>
        <v>0</v>
      </c>
      <c r="U114" s="1479">
        <f>'Sistemas-Manutenção'!U111</f>
        <v>0</v>
      </c>
      <c r="V114" s="1479">
        <f>'Sistemas-Manutenção'!V111</f>
        <v>0</v>
      </c>
      <c r="W114" s="1479">
        <f>'Sistemas-Manutenção'!W111</f>
        <v>0</v>
      </c>
      <c r="X114" s="1479">
        <f>'Sistemas-Manutenção'!X111</f>
        <v>0</v>
      </c>
      <c r="Y114" s="1479">
        <f>'Sistemas-Manutenção'!Y111</f>
        <v>0</v>
      </c>
      <c r="Z114" s="1479">
        <f>'Sistemas-Manutenção'!Z111</f>
        <v>0</v>
      </c>
      <c r="AA114" s="1479">
        <f>'Sistemas-Manutenção'!AA111</f>
        <v>0</v>
      </c>
      <c r="AB114" s="1479">
        <f>'Sistemas-Manutenção'!AB111</f>
        <v>0</v>
      </c>
      <c r="AC114" s="1479">
        <f>'Sistemas-Manutenção'!AC111</f>
        <v>0</v>
      </c>
      <c r="AD114" s="1479">
        <f>'Sistemas-Manutenção'!AD111</f>
        <v>0</v>
      </c>
      <c r="AE114" s="1479">
        <f>'Sistemas-Manutenção'!AE111</f>
        <v>0</v>
      </c>
      <c r="AF114" s="1479">
        <f>'Sistemas-Manutenção'!AF111</f>
        <v>0</v>
      </c>
      <c r="AG114" s="1479">
        <f>'Sistemas-Manutenção'!AG111</f>
        <v>0</v>
      </c>
      <c r="AH114" s="1479">
        <f>'Sistemas-Manutenção'!AH111</f>
        <v>0</v>
      </c>
      <c r="AI114" s="1479">
        <f>'Sistemas-Manutenção'!AI111</f>
        <v>0</v>
      </c>
      <c r="AJ114" s="1479">
        <f>'Sistemas-Manutenção'!AJ111</f>
        <v>0</v>
      </c>
      <c r="AK114" s="1479">
        <f>'Sistemas-Manutenção'!AK111</f>
        <v>0</v>
      </c>
      <c r="AL114" s="1479">
        <f>'Sistemas-Manutenção'!AL111</f>
        <v>0</v>
      </c>
      <c r="AM114" s="1479">
        <f>'Sistemas-Manutenção'!AM111</f>
        <v>0</v>
      </c>
      <c r="AN114" s="1479">
        <f>'Sistemas-Manutenção'!AN111</f>
        <v>0</v>
      </c>
      <c r="AO114" s="1479">
        <f>'Sistemas-Manutenção'!AO111</f>
        <v>0</v>
      </c>
      <c r="AP114" s="77"/>
      <c r="AQ114" s="1479"/>
      <c r="AR114" s="1479"/>
      <c r="AS114" s="1479"/>
      <c r="AT114" s="1479"/>
      <c r="AU114" s="1479"/>
      <c r="AV114" s="1479"/>
      <c r="AW114" s="1479"/>
      <c r="AX114" s="1479"/>
      <c r="AY114" s="1479"/>
      <c r="AZ114" s="1479"/>
      <c r="BA114" s="1479"/>
      <c r="BB114" s="1479"/>
      <c r="BC114" s="1479"/>
      <c r="BD114" s="1479"/>
      <c r="BE114" s="1479"/>
      <c r="BF114" s="1479"/>
      <c r="BG114" s="1479"/>
      <c r="BH114" s="1479"/>
      <c r="BI114" s="1479"/>
      <c r="BJ114" s="1479"/>
      <c r="BK114" s="1479"/>
      <c r="BL114" s="1479"/>
      <c r="BM114" s="1479"/>
      <c r="BN114" s="1479"/>
      <c r="BO114" s="1479"/>
      <c r="BP114" s="1479"/>
      <c r="BQ114" s="1479"/>
      <c r="BR114" s="1479"/>
      <c r="BS114" s="1479"/>
      <c r="BT114" s="1479"/>
      <c r="BU114" s="77"/>
      <c r="BV114" s="1571"/>
      <c r="BW114" s="1571"/>
      <c r="BX114" s="1571"/>
      <c r="BY114" s="1571"/>
      <c r="BZ114" s="1571"/>
      <c r="CA114" s="1571"/>
      <c r="CB114" s="1571"/>
      <c r="CC114" s="1571"/>
      <c r="CD114" s="1571"/>
      <c r="CE114" s="1571"/>
      <c r="CF114" s="1571"/>
      <c r="CG114" s="1571"/>
      <c r="CH114" s="1571"/>
      <c r="CI114" s="1571"/>
      <c r="CJ114" s="1571"/>
      <c r="CK114" s="1571"/>
      <c r="CL114" s="1571"/>
      <c r="CM114" s="1571"/>
      <c r="CN114" s="1571"/>
      <c r="CO114" s="1571"/>
      <c r="CP114" s="1571"/>
      <c r="CQ114" s="1571"/>
      <c r="CR114" s="1571"/>
      <c r="CS114" s="1571"/>
      <c r="CT114" s="1571"/>
      <c r="CU114" s="1571"/>
      <c r="CV114" s="1571"/>
      <c r="CW114" s="1571"/>
      <c r="CX114" s="1571"/>
      <c r="CY114" s="1571"/>
      <c r="CZ114" s="78"/>
      <c r="DA114" s="1567">
        <f t="shared" ref="DA114:ED114" si="1200">SUBTOTAL(9,DA115:DA116)</f>
        <v>0</v>
      </c>
      <c r="DB114" s="1567">
        <f t="shared" si="1200"/>
        <v>0</v>
      </c>
      <c r="DC114" s="1567">
        <f t="shared" si="1200"/>
        <v>0</v>
      </c>
      <c r="DD114" s="1567">
        <f t="shared" si="1200"/>
        <v>0</v>
      </c>
      <c r="DE114" s="1567">
        <f t="shared" si="1200"/>
        <v>0</v>
      </c>
      <c r="DF114" s="1567">
        <f t="shared" si="1200"/>
        <v>0</v>
      </c>
      <c r="DG114" s="1567">
        <f t="shared" si="1200"/>
        <v>0</v>
      </c>
      <c r="DH114" s="1567">
        <f t="shared" si="1200"/>
        <v>0</v>
      </c>
      <c r="DI114" s="1567">
        <f t="shared" si="1200"/>
        <v>0</v>
      </c>
      <c r="DJ114" s="1567">
        <f t="shared" si="1200"/>
        <v>0</v>
      </c>
      <c r="DK114" s="1567">
        <f t="shared" si="1200"/>
        <v>0</v>
      </c>
      <c r="DL114" s="1567">
        <f t="shared" si="1200"/>
        <v>0</v>
      </c>
      <c r="DM114" s="1567">
        <f t="shared" si="1200"/>
        <v>0</v>
      </c>
      <c r="DN114" s="1567">
        <f t="shared" si="1200"/>
        <v>0</v>
      </c>
      <c r="DO114" s="1567">
        <f t="shared" si="1200"/>
        <v>0</v>
      </c>
      <c r="DP114" s="1567">
        <f t="shared" si="1200"/>
        <v>0</v>
      </c>
      <c r="DQ114" s="1567">
        <f t="shared" si="1200"/>
        <v>0</v>
      </c>
      <c r="DR114" s="1567">
        <f t="shared" si="1200"/>
        <v>0</v>
      </c>
      <c r="DS114" s="1567">
        <f t="shared" si="1200"/>
        <v>0</v>
      </c>
      <c r="DT114" s="1567">
        <f t="shared" si="1200"/>
        <v>0</v>
      </c>
      <c r="DU114" s="1567">
        <f t="shared" si="1200"/>
        <v>0</v>
      </c>
      <c r="DV114" s="1567">
        <f t="shared" si="1200"/>
        <v>0</v>
      </c>
      <c r="DW114" s="1567">
        <f t="shared" si="1200"/>
        <v>0</v>
      </c>
      <c r="DX114" s="1567">
        <f t="shared" si="1200"/>
        <v>0</v>
      </c>
      <c r="DY114" s="1567"/>
      <c r="DZ114" s="1567"/>
      <c r="EA114" s="1567"/>
      <c r="EB114" s="1567"/>
      <c r="EC114" s="1567"/>
      <c r="ED114" s="1567">
        <f t="shared" si="1200"/>
        <v>0</v>
      </c>
      <c r="EE114" s="79"/>
      <c r="EF114" s="1567">
        <f t="shared" ref="EF114:EZ114" ca="1" si="1201">SUBTOTAL(9,EF115:EF116)</f>
        <v>0</v>
      </c>
      <c r="EG114" s="1567">
        <f t="shared" ca="1" si="1201"/>
        <v>0</v>
      </c>
      <c r="EH114" s="1567">
        <f t="shared" ca="1" si="1201"/>
        <v>0</v>
      </c>
      <c r="EI114" s="1567">
        <f t="shared" ca="1" si="1201"/>
        <v>0</v>
      </c>
      <c r="EJ114" s="1567">
        <f t="shared" ca="1" si="1201"/>
        <v>0</v>
      </c>
      <c r="EK114" s="1567">
        <f t="shared" ca="1" si="1201"/>
        <v>0</v>
      </c>
      <c r="EL114" s="1567">
        <f t="shared" ca="1" si="1201"/>
        <v>0</v>
      </c>
      <c r="EM114" s="1567">
        <f t="shared" ca="1" si="1201"/>
        <v>0</v>
      </c>
      <c r="EN114" s="1567">
        <f t="shared" ca="1" si="1201"/>
        <v>0</v>
      </c>
      <c r="EO114" s="1567">
        <f t="shared" ca="1" si="1201"/>
        <v>0</v>
      </c>
      <c r="EP114" s="1567">
        <f t="shared" ca="1" si="1201"/>
        <v>0</v>
      </c>
      <c r="EQ114" s="1567">
        <f t="shared" ca="1" si="1201"/>
        <v>0</v>
      </c>
      <c r="ER114" s="1567">
        <f t="shared" ca="1" si="1201"/>
        <v>0</v>
      </c>
      <c r="ES114" s="1567">
        <f t="shared" ca="1" si="1201"/>
        <v>0</v>
      </c>
      <c r="ET114" s="1567">
        <f t="shared" ca="1" si="1201"/>
        <v>0</v>
      </c>
      <c r="EU114" s="1567">
        <f t="shared" ca="1" si="1201"/>
        <v>0</v>
      </c>
      <c r="EV114" s="1567">
        <f t="shared" ca="1" si="1201"/>
        <v>0</v>
      </c>
      <c r="EW114" s="1567">
        <f t="shared" ca="1" si="1201"/>
        <v>0</v>
      </c>
      <c r="EX114" s="1567">
        <f t="shared" ca="1" si="1201"/>
        <v>0</v>
      </c>
      <c r="EY114" s="1567">
        <f t="shared" ca="1" si="1201"/>
        <v>0</v>
      </c>
      <c r="EZ114" s="1567">
        <f t="shared" ca="1" si="1201"/>
        <v>0</v>
      </c>
      <c r="FA114" s="1567">
        <f t="shared" ref="FA114:FI114" ca="1" si="1202">SUBTOTAL(9,FA115:FA116)</f>
        <v>0</v>
      </c>
      <c r="FB114" s="1567">
        <f t="shared" ca="1" si="1202"/>
        <v>0</v>
      </c>
      <c r="FC114" s="1567">
        <f t="shared" ca="1" si="1202"/>
        <v>0</v>
      </c>
      <c r="FD114" s="1567">
        <f t="shared" ca="1" si="1202"/>
        <v>0</v>
      </c>
      <c r="FE114" s="1567">
        <f t="shared" ca="1" si="1202"/>
        <v>0</v>
      </c>
      <c r="FF114" s="1567">
        <f t="shared" ca="1" si="1202"/>
        <v>0</v>
      </c>
      <c r="FG114" s="1567">
        <f t="shared" ca="1" si="1202"/>
        <v>0</v>
      </c>
      <c r="FH114" s="1567">
        <f t="shared" ca="1" si="1202"/>
        <v>0</v>
      </c>
      <c r="FI114" s="1567">
        <f t="shared" ca="1" si="1202"/>
        <v>0</v>
      </c>
    </row>
    <row r="115" spans="1:166">
      <c r="A115" s="595"/>
      <c r="B115" s="598"/>
      <c r="C115" s="599"/>
      <c r="F115" s="1498" t="s">
        <v>1697</v>
      </c>
      <c r="G115" s="1617" t="s">
        <v>1718</v>
      </c>
      <c r="H115" s="1597">
        <f>'Sistemas - Cotações'!F71</f>
        <v>46511.969075000001</v>
      </c>
      <c r="I115" s="1598">
        <f>H115*0.9</f>
        <v>41860.772167499999</v>
      </c>
      <c r="J115" s="867">
        <v>10</v>
      </c>
      <c r="K115" s="76"/>
      <c r="L115" s="1479">
        <f>'Sistemas-Manutenção'!L112</f>
        <v>0</v>
      </c>
      <c r="M115" s="1479">
        <f>'Sistemas-Manutenção'!M112</f>
        <v>0</v>
      </c>
      <c r="N115" s="1479">
        <f>'Sistemas-Manutenção'!N112</f>
        <v>0</v>
      </c>
      <c r="O115" s="1479">
        <f>'Sistemas-Manutenção'!O112</f>
        <v>0</v>
      </c>
      <c r="P115" s="1479">
        <f>'Sistemas-Manutenção'!P112</f>
        <v>0</v>
      </c>
      <c r="Q115" s="1479">
        <f>'Sistemas-Manutenção'!Q112</f>
        <v>0</v>
      </c>
      <c r="R115" s="1479">
        <f>'Sistemas-Manutenção'!R112</f>
        <v>0</v>
      </c>
      <c r="S115" s="1479">
        <f>'Sistemas-Manutenção'!S112</f>
        <v>0</v>
      </c>
      <c r="T115" s="1479">
        <f>'Sistemas-Manutenção'!T112</f>
        <v>0</v>
      </c>
      <c r="U115" s="1479">
        <f>'Sistemas-Manutenção'!U112</f>
        <v>0</v>
      </c>
      <c r="V115" s="1479">
        <f>'Sistemas-Manutenção'!V112</f>
        <v>0</v>
      </c>
      <c r="W115" s="1479">
        <f>'Sistemas-Manutenção'!W112</f>
        <v>0</v>
      </c>
      <c r="X115" s="1479">
        <f>'Sistemas-Manutenção'!X112</f>
        <v>0</v>
      </c>
      <c r="Y115" s="1479">
        <f>'Sistemas-Manutenção'!Y112</f>
        <v>0</v>
      </c>
      <c r="Z115" s="1479">
        <f>'Sistemas-Manutenção'!Z112</f>
        <v>0</v>
      </c>
      <c r="AA115" s="1479">
        <f>'Sistemas-Manutenção'!AA112</f>
        <v>0</v>
      </c>
      <c r="AB115" s="1479">
        <f>'Sistemas-Manutenção'!AB112</f>
        <v>0</v>
      </c>
      <c r="AC115" s="1479">
        <f>'Sistemas-Manutenção'!AC112</f>
        <v>0</v>
      </c>
      <c r="AD115" s="1479">
        <f>'Sistemas-Manutenção'!AD112</f>
        <v>0</v>
      </c>
      <c r="AE115" s="1479">
        <f>'Sistemas-Manutenção'!AE112</f>
        <v>0</v>
      </c>
      <c r="AF115" s="1479">
        <f>'Sistemas-Manutenção'!AF112</f>
        <v>0</v>
      </c>
      <c r="AG115" s="1479">
        <f>'Sistemas-Manutenção'!AG112</f>
        <v>0</v>
      </c>
      <c r="AH115" s="1479">
        <f>'Sistemas-Manutenção'!AH112</f>
        <v>0</v>
      </c>
      <c r="AI115" s="1479">
        <f>'Sistemas-Manutenção'!AI112</f>
        <v>0</v>
      </c>
      <c r="AJ115" s="1479">
        <f>'Sistemas-Manutenção'!AJ112</f>
        <v>0</v>
      </c>
      <c r="AK115" s="1479">
        <f>'Sistemas-Manutenção'!AK112</f>
        <v>0</v>
      </c>
      <c r="AL115" s="1479">
        <f>'Sistemas-Manutenção'!AL112</f>
        <v>0</v>
      </c>
      <c r="AM115" s="1479">
        <f>'Sistemas-Manutenção'!AM112</f>
        <v>0</v>
      </c>
      <c r="AN115" s="1479">
        <f>'Sistemas-Manutenção'!AN112</f>
        <v>0</v>
      </c>
      <c r="AO115" s="1479">
        <f>'Sistemas-Manutenção'!AO112</f>
        <v>0</v>
      </c>
      <c r="AP115" s="77"/>
      <c r="AQ115" s="1479">
        <f t="shared" si="1170"/>
        <v>0</v>
      </c>
      <c r="AR115" s="1479">
        <f t="shared" si="1170"/>
        <v>0</v>
      </c>
      <c r="AS115" s="1479">
        <f t="shared" si="1170"/>
        <v>0</v>
      </c>
      <c r="AT115" s="1479">
        <f t="shared" si="1170"/>
        <v>0</v>
      </c>
      <c r="AU115" s="1479">
        <f t="shared" si="1170"/>
        <v>0</v>
      </c>
      <c r="AV115" s="1479">
        <f t="shared" si="1170"/>
        <v>0</v>
      </c>
      <c r="AW115" s="1479">
        <f t="shared" si="1170"/>
        <v>0</v>
      </c>
      <c r="AX115" s="1479">
        <f t="shared" si="1170"/>
        <v>0</v>
      </c>
      <c r="AY115" s="1479">
        <f t="shared" si="1170"/>
        <v>0</v>
      </c>
      <c r="AZ115" s="1479">
        <f t="shared" si="1170"/>
        <v>0</v>
      </c>
      <c r="BA115" s="1479">
        <f t="shared" ref="BA115:BN115" si="1203">IF(V115&gt;U115,V115-U115,0)</f>
        <v>0</v>
      </c>
      <c r="BB115" s="1479">
        <f t="shared" si="1203"/>
        <v>0</v>
      </c>
      <c r="BC115" s="1479">
        <f t="shared" si="1203"/>
        <v>0</v>
      </c>
      <c r="BD115" s="1479">
        <f t="shared" si="1203"/>
        <v>0</v>
      </c>
      <c r="BE115" s="1479">
        <f t="shared" si="1203"/>
        <v>0</v>
      </c>
      <c r="BF115" s="1479">
        <f t="shared" si="1203"/>
        <v>0</v>
      </c>
      <c r="BG115" s="1479">
        <f t="shared" si="1203"/>
        <v>0</v>
      </c>
      <c r="BH115" s="1479">
        <f t="shared" si="1203"/>
        <v>0</v>
      </c>
      <c r="BI115" s="1479">
        <f t="shared" si="1203"/>
        <v>0</v>
      </c>
      <c r="BJ115" s="1479">
        <f t="shared" si="1203"/>
        <v>0</v>
      </c>
      <c r="BK115" s="1479">
        <f t="shared" si="1203"/>
        <v>0</v>
      </c>
      <c r="BL115" s="1479">
        <f t="shared" si="1203"/>
        <v>0</v>
      </c>
      <c r="BM115" s="1479">
        <f t="shared" si="1203"/>
        <v>0</v>
      </c>
      <c r="BN115" s="1479">
        <f t="shared" si="1203"/>
        <v>0</v>
      </c>
      <c r="BO115" s="1479"/>
      <c r="BP115" s="1479"/>
      <c r="BQ115" s="1479"/>
      <c r="BR115" s="1479"/>
      <c r="BS115" s="1479"/>
      <c r="BT115" s="1479">
        <f>IF(AO115&gt;AI115,AO115-AI115,0)</f>
        <v>0</v>
      </c>
      <c r="BU115" s="77"/>
      <c r="BV115" s="1571">
        <f t="shared" ref="BV115:CE116" ca="1" si="1204">IF(L115-SUM(OFFSET(AQ115,,-$J115+1,,$J115))-IF($J115&gt;1,SUM(OFFSET(BV115,,-$J115+1,,$J115-1)),0)&gt;0,L115-SUM(OFFSET(AQ115,,-$J115+1,,$J115))-IF($J115&gt;1,SUM(OFFSET(BV115,,-$J115+1,,$J115-1)),0),0)</f>
        <v>0</v>
      </c>
      <c r="BW115" s="1571">
        <f t="shared" ca="1" si="1204"/>
        <v>0</v>
      </c>
      <c r="BX115" s="1571">
        <f t="shared" ca="1" si="1204"/>
        <v>0</v>
      </c>
      <c r="BY115" s="1571">
        <f t="shared" ca="1" si="1204"/>
        <v>0</v>
      </c>
      <c r="BZ115" s="1571">
        <f t="shared" ca="1" si="1204"/>
        <v>0</v>
      </c>
      <c r="CA115" s="1571">
        <f t="shared" ca="1" si="1204"/>
        <v>0</v>
      </c>
      <c r="CB115" s="1571">
        <f t="shared" ca="1" si="1204"/>
        <v>0</v>
      </c>
      <c r="CC115" s="1571">
        <f t="shared" ca="1" si="1204"/>
        <v>0</v>
      </c>
      <c r="CD115" s="1571">
        <f t="shared" ca="1" si="1204"/>
        <v>0</v>
      </c>
      <c r="CE115" s="1571">
        <f t="shared" ca="1" si="1204"/>
        <v>0</v>
      </c>
      <c r="CF115" s="1571">
        <f t="shared" ref="CF115:CN116" ca="1" si="1205">IF(V115-SUM(OFFSET(BA115,,-$J115+1,,$J115))-IF($J115&gt;1,SUM(OFFSET(CF115,,-$J115+1,,$J115-1)),0)&gt;0,V115-SUM(OFFSET(BA115,,-$J115+1,,$J115))-IF($J115&gt;1,SUM(OFFSET(CF115,,-$J115+1,,$J115-1)),0),0)</f>
        <v>0</v>
      </c>
      <c r="CG115" s="1571">
        <f t="shared" ca="1" si="1205"/>
        <v>0</v>
      </c>
      <c r="CH115" s="1571">
        <f t="shared" ca="1" si="1205"/>
        <v>0</v>
      </c>
      <c r="CI115" s="1571">
        <f t="shared" ca="1" si="1205"/>
        <v>0</v>
      </c>
      <c r="CJ115" s="1571">
        <f t="shared" ca="1" si="1205"/>
        <v>0</v>
      </c>
      <c r="CK115" s="1571">
        <f t="shared" ca="1" si="1205"/>
        <v>0</v>
      </c>
      <c r="CL115" s="1571">
        <f t="shared" ca="1" si="1205"/>
        <v>0</v>
      </c>
      <c r="CM115" s="1571">
        <f t="shared" ca="1" si="1205"/>
        <v>0</v>
      </c>
      <c r="CN115" s="1571">
        <f t="shared" ca="1" si="1205"/>
        <v>0</v>
      </c>
      <c r="CO115" s="1571">
        <f t="shared" ref="CO115:CO116" ca="1" si="1206">IF(AE115-SUM(OFFSET(BJ115,,-$J115+1,,$J115))-IF($J115&gt;1,SUM(OFFSET(CO115,,-$J115+1,,$J115-1)),0)&gt;0,AE115-SUM(OFFSET(BJ115,,-$J115+1,,$J115))-IF($J115&gt;1,SUM(OFFSET(CO115,,-$J115+1,,$J115-1)),0),0)</f>
        <v>0</v>
      </c>
      <c r="CP115" s="1571">
        <f t="shared" ref="CP115:CP116" ca="1" si="1207">IF(AF115-SUM(OFFSET(BK115,,-$J115+1,,$J115))-IF($J115&gt;1,SUM(OFFSET(CP115,,-$J115+1,,$J115-1)),0)&gt;0,AF115-SUM(OFFSET(BK115,,-$J115+1,,$J115))-IF($J115&gt;1,SUM(OFFSET(CP115,,-$J115+1,,$J115-1)),0),0)</f>
        <v>0</v>
      </c>
      <c r="CQ115" s="1571">
        <f t="shared" ref="CQ115:CQ116" ca="1" si="1208">IF(AG115-SUM(OFFSET(BL115,,-$J115+1,,$J115))-IF($J115&gt;1,SUM(OFFSET(CQ115,,-$J115+1,,$J115-1)),0)&gt;0,AG115-SUM(OFFSET(BL115,,-$J115+1,,$J115))-IF($J115&gt;1,SUM(OFFSET(CQ115,,-$J115+1,,$J115-1)),0),0)</f>
        <v>0</v>
      </c>
      <c r="CR115" s="1571">
        <f t="shared" ref="CR115:CR116" ca="1" si="1209">IF(AH115-SUM(OFFSET(BM115,,-$J115+1,,$J115))-IF($J115&gt;1,SUM(OFFSET(CR115,,-$J115+1,,$J115-1)),0)&gt;0,AH115-SUM(OFFSET(BM115,,-$J115+1,,$J115))-IF($J115&gt;1,SUM(OFFSET(CR115,,-$J115+1,,$J115-1)),0),0)</f>
        <v>0</v>
      </c>
      <c r="CS115" s="1571">
        <f t="shared" ref="CS115:CS116" ca="1" si="1210">IF(AI115-SUM(OFFSET(BN115,,-$J115+1,,$J115))-IF($J115&gt;1,SUM(OFFSET(CS115,,-$J115+1,,$J115-1)),0)&gt;0,AI115-SUM(OFFSET(BN115,,-$J115+1,,$J115))-IF($J115&gt;1,SUM(OFFSET(CS115,,-$J115+1,,$J115-1)),0),0)</f>
        <v>0</v>
      </c>
      <c r="CT115" s="1571">
        <f t="shared" ref="CT115:CT116" ca="1" si="1211">IF(AJ115-SUM(OFFSET(BT115,,-$J115+1,,$J115))-IF($J115&gt;1,SUM(OFFSET(CT115,,-$J115+1,,$J115-1)),0)&gt;0,AJ115-SUM(OFFSET(BT115,,-$J115+1,,$J115))-IF($J115&gt;1,SUM(OFFSET(CT115,,-$J115+1,,$J115-1)),0),0)</f>
        <v>0</v>
      </c>
      <c r="CU115" s="1571">
        <f t="shared" ref="CU115:CU116" ca="1" si="1212">IF(AK115-SUM(OFFSET(BU115,,-$J115+1,,$J115))-IF($J115&gt;1,SUM(OFFSET(CU115,,-$J115+1,,$J115-1)),0)&gt;0,AK115-SUM(OFFSET(BU115,,-$J115+1,,$J115))-IF($J115&gt;1,SUM(OFFSET(CU115,,-$J115+1,,$J115-1)),0),0)</f>
        <v>0</v>
      </c>
      <c r="CV115" s="1571">
        <f t="shared" ref="CV115:CV116" ca="1" si="1213">IF(AL115-SUM(OFFSET(BV115,,-$J115+1,,$J115))-IF($J115&gt;1,SUM(OFFSET(CV115,,-$J115+1,,$J115-1)),0)&gt;0,AL115-SUM(OFFSET(BV115,,-$J115+1,,$J115))-IF($J115&gt;1,SUM(OFFSET(CV115,,-$J115+1,,$J115-1)),0),0)</f>
        <v>0</v>
      </c>
      <c r="CW115" s="1571">
        <f t="shared" ref="CW115:CW116" ca="1" si="1214">IF(AM115-SUM(OFFSET(BW115,,-$J115+1,,$J115))-IF($J115&gt;1,SUM(OFFSET(CW115,,-$J115+1,,$J115-1)),0)&gt;0,AM115-SUM(OFFSET(BW115,,-$J115+1,,$J115))-IF($J115&gt;1,SUM(OFFSET(CW115,,-$J115+1,,$J115-1)),0),0)</f>
        <v>0</v>
      </c>
      <c r="CX115" s="1571">
        <f t="shared" ref="CX115:CX116" ca="1" si="1215">IF(AN115-SUM(OFFSET(BX115,,-$J115+1,,$J115))-IF($J115&gt;1,SUM(OFFSET(CX115,,-$J115+1,,$J115-1)),0)&gt;0,AN115-SUM(OFFSET(BX115,,-$J115+1,,$J115))-IF($J115&gt;1,SUM(OFFSET(CX115,,-$J115+1,,$J115-1)),0),0)</f>
        <v>0</v>
      </c>
      <c r="CY115" s="1571">
        <f t="shared" ref="CY115:CY116" ca="1" si="1216">IF(AO115-SUM(OFFSET(BY115,,-$J115+1,,$J115))-IF($J115&gt;1,SUM(OFFSET(CY115,,-$J115+1,,$J115-1)),0)&gt;0,AO115-SUM(OFFSET(BY115,,-$J115+1,,$J115))-IF($J115&gt;1,SUM(OFFSET(CY115,,-$J115+1,,$J115-1)),0),0)</f>
        <v>0</v>
      </c>
      <c r="CZ115" s="78"/>
      <c r="DA115" s="1572">
        <f t="shared" ref="DA115:DP118" si="1217">AQ115*$H115</f>
        <v>0</v>
      </c>
      <c r="DB115" s="1572">
        <f t="shared" si="1217"/>
        <v>0</v>
      </c>
      <c r="DC115" s="1572">
        <f t="shared" si="1217"/>
        <v>0</v>
      </c>
      <c r="DD115" s="1572">
        <f t="shared" si="1217"/>
        <v>0</v>
      </c>
      <c r="DE115" s="1572">
        <f t="shared" si="1217"/>
        <v>0</v>
      </c>
      <c r="DF115" s="1572">
        <f t="shared" si="1217"/>
        <v>0</v>
      </c>
      <c r="DG115" s="1572">
        <f t="shared" si="1217"/>
        <v>0</v>
      </c>
      <c r="DH115" s="1572">
        <f t="shared" si="1217"/>
        <v>0</v>
      </c>
      <c r="DI115" s="1572">
        <f t="shared" si="1217"/>
        <v>0</v>
      </c>
      <c r="DJ115" s="1572">
        <f t="shared" si="1217"/>
        <v>0</v>
      </c>
      <c r="DK115" s="1572">
        <f t="shared" si="1217"/>
        <v>0</v>
      </c>
      <c r="DL115" s="1572">
        <f t="shared" si="1217"/>
        <v>0</v>
      </c>
      <c r="DM115" s="1572">
        <f t="shared" si="1217"/>
        <v>0</v>
      </c>
      <c r="DN115" s="1572">
        <f t="shared" si="1217"/>
        <v>0</v>
      </c>
      <c r="DO115" s="1572">
        <f t="shared" si="1217"/>
        <v>0</v>
      </c>
      <c r="DP115" s="1572">
        <f t="shared" si="1217"/>
        <v>0</v>
      </c>
      <c r="DQ115" s="1572">
        <f t="shared" ref="DK115:DX118" si="1218">BG115*$H115</f>
        <v>0</v>
      </c>
      <c r="DR115" s="1572">
        <f t="shared" si="1218"/>
        <v>0</v>
      </c>
      <c r="DS115" s="1572">
        <f t="shared" si="1218"/>
        <v>0</v>
      </c>
      <c r="DT115" s="1572">
        <f t="shared" si="1218"/>
        <v>0</v>
      </c>
      <c r="DU115" s="1572">
        <f t="shared" si="1218"/>
        <v>0</v>
      </c>
      <c r="DV115" s="1572">
        <f t="shared" si="1218"/>
        <v>0</v>
      </c>
      <c r="DW115" s="1572">
        <f t="shared" si="1218"/>
        <v>0</v>
      </c>
      <c r="DX115" s="1572">
        <f t="shared" si="1218"/>
        <v>0</v>
      </c>
      <c r="DY115" s="1572"/>
      <c r="DZ115" s="1572"/>
      <c r="EA115" s="1572"/>
      <c r="EB115" s="1572"/>
      <c r="EC115" s="1572"/>
      <c r="ED115" s="1572">
        <f>BT115*$H115</f>
        <v>0</v>
      </c>
      <c r="EE115" s="79"/>
      <c r="EF115" s="1572">
        <f t="shared" ref="EF115:EU118" ca="1" si="1219">BV115*$I115</f>
        <v>0</v>
      </c>
      <c r="EG115" s="1572">
        <f t="shared" ca="1" si="1219"/>
        <v>0</v>
      </c>
      <c r="EH115" s="1572">
        <f t="shared" ca="1" si="1219"/>
        <v>0</v>
      </c>
      <c r="EI115" s="1572">
        <f t="shared" ca="1" si="1219"/>
        <v>0</v>
      </c>
      <c r="EJ115" s="1572">
        <f t="shared" ca="1" si="1219"/>
        <v>0</v>
      </c>
      <c r="EK115" s="1572">
        <f t="shared" ca="1" si="1219"/>
        <v>0</v>
      </c>
      <c r="EL115" s="1572">
        <f t="shared" ca="1" si="1219"/>
        <v>0</v>
      </c>
      <c r="EM115" s="1572">
        <f t="shared" ca="1" si="1219"/>
        <v>0</v>
      </c>
      <c r="EN115" s="1572">
        <f t="shared" ca="1" si="1219"/>
        <v>0</v>
      </c>
      <c r="EO115" s="1572">
        <f t="shared" ca="1" si="1219"/>
        <v>0</v>
      </c>
      <c r="EP115" s="1572">
        <f t="shared" ca="1" si="1219"/>
        <v>0</v>
      </c>
      <c r="EQ115" s="1572">
        <f t="shared" ca="1" si="1219"/>
        <v>0</v>
      </c>
      <c r="ER115" s="1572">
        <f t="shared" ca="1" si="1219"/>
        <v>0</v>
      </c>
      <c r="ES115" s="1572">
        <f t="shared" ca="1" si="1219"/>
        <v>0</v>
      </c>
      <c r="ET115" s="1572">
        <f t="shared" ca="1" si="1219"/>
        <v>0</v>
      </c>
      <c r="EU115" s="1572">
        <f t="shared" ca="1" si="1219"/>
        <v>0</v>
      </c>
      <c r="EV115" s="1572">
        <f t="shared" ref="EV115:EZ118" ca="1" si="1220">CL115*$I115</f>
        <v>0</v>
      </c>
      <c r="EW115" s="1572">
        <f t="shared" ca="1" si="1220"/>
        <v>0</v>
      </c>
      <c r="EX115" s="1572">
        <f t="shared" ca="1" si="1220"/>
        <v>0</v>
      </c>
      <c r="EY115" s="1572">
        <f t="shared" ca="1" si="1220"/>
        <v>0</v>
      </c>
      <c r="EZ115" s="1572">
        <f t="shared" ca="1" si="1220"/>
        <v>0</v>
      </c>
      <c r="FA115" s="1572">
        <f t="shared" ref="FA115:FA118" ca="1" si="1221">CQ115*$I115</f>
        <v>0</v>
      </c>
      <c r="FB115" s="1572">
        <f t="shared" ref="FB115:FB118" ca="1" si="1222">CR115*$I115</f>
        <v>0</v>
      </c>
      <c r="FC115" s="1572">
        <f t="shared" ref="FC115:FC118" ca="1" si="1223">CS115*$I115</f>
        <v>0</v>
      </c>
      <c r="FD115" s="1572">
        <f t="shared" ref="FD115:FD118" ca="1" si="1224">CT115*$I115</f>
        <v>0</v>
      </c>
      <c r="FE115" s="1572">
        <f t="shared" ref="FE115:FE118" ca="1" si="1225">CU115*$I115</f>
        <v>0</v>
      </c>
      <c r="FF115" s="1572">
        <f t="shared" ref="FF115:FF118" ca="1" si="1226">CV115*$I115</f>
        <v>0</v>
      </c>
      <c r="FG115" s="1572">
        <f t="shared" ref="FG115:FG118" ca="1" si="1227">CW115*$I115</f>
        <v>0</v>
      </c>
      <c r="FH115" s="1572">
        <f t="shared" ref="FH115:FH118" ca="1" si="1228">CX115*$I115</f>
        <v>0</v>
      </c>
      <c r="FI115" s="1572">
        <f t="shared" ref="FI115:FI118" ca="1" si="1229">CY115*$I115</f>
        <v>0</v>
      </c>
    </row>
    <row r="116" spans="1:166">
      <c r="A116" s="595"/>
      <c r="B116" s="598"/>
      <c r="C116" s="599"/>
      <c r="F116" s="1516" t="s">
        <v>1651</v>
      </c>
      <c r="G116" s="1617" t="s">
        <v>1718</v>
      </c>
      <c r="H116" s="1597">
        <f>'Sistemas - Cotações'!F24</f>
        <v>0</v>
      </c>
      <c r="I116" s="1598">
        <f>H116*0.6</f>
        <v>0</v>
      </c>
      <c r="J116" s="867">
        <v>5</v>
      </c>
      <c r="K116" s="76"/>
      <c r="L116" s="1479">
        <f>'Sistemas-Manutenção'!L113</f>
        <v>0</v>
      </c>
      <c r="M116" s="1479">
        <f>'Sistemas-Manutenção'!M113</f>
        <v>0</v>
      </c>
      <c r="N116" s="1479">
        <f>'Sistemas-Manutenção'!N113</f>
        <v>0</v>
      </c>
      <c r="O116" s="1479">
        <f>'Sistemas-Manutenção'!O113</f>
        <v>0</v>
      </c>
      <c r="P116" s="1479">
        <f>'Sistemas-Manutenção'!P113</f>
        <v>0</v>
      </c>
      <c r="Q116" s="1479">
        <f>'Sistemas-Manutenção'!Q113</f>
        <v>0</v>
      </c>
      <c r="R116" s="1479">
        <f>'Sistemas-Manutenção'!R113</f>
        <v>0</v>
      </c>
      <c r="S116" s="1479">
        <f>'Sistemas-Manutenção'!S113</f>
        <v>0</v>
      </c>
      <c r="T116" s="1479">
        <f>'Sistemas-Manutenção'!T113</f>
        <v>0</v>
      </c>
      <c r="U116" s="1479">
        <f>'Sistemas-Manutenção'!U113</f>
        <v>0</v>
      </c>
      <c r="V116" s="1479">
        <f>'Sistemas-Manutenção'!V113</f>
        <v>0</v>
      </c>
      <c r="W116" s="1479">
        <f>'Sistemas-Manutenção'!W113</f>
        <v>0</v>
      </c>
      <c r="X116" s="1479">
        <f>'Sistemas-Manutenção'!X113</f>
        <v>0</v>
      </c>
      <c r="Y116" s="1479">
        <f>'Sistemas-Manutenção'!Y113</f>
        <v>0</v>
      </c>
      <c r="Z116" s="1479">
        <f>'Sistemas-Manutenção'!Z113</f>
        <v>0</v>
      </c>
      <c r="AA116" s="1479">
        <f>'Sistemas-Manutenção'!AA113</f>
        <v>0</v>
      </c>
      <c r="AB116" s="1479">
        <f>'Sistemas-Manutenção'!AB113</f>
        <v>0</v>
      </c>
      <c r="AC116" s="1479">
        <f>'Sistemas-Manutenção'!AC113</f>
        <v>0</v>
      </c>
      <c r="AD116" s="1479">
        <f>'Sistemas-Manutenção'!AD113</f>
        <v>0</v>
      </c>
      <c r="AE116" s="1479">
        <f>'Sistemas-Manutenção'!AE113</f>
        <v>0</v>
      </c>
      <c r="AF116" s="1479">
        <f>'Sistemas-Manutenção'!AF113</f>
        <v>0</v>
      </c>
      <c r="AG116" s="1479">
        <f>'Sistemas-Manutenção'!AG113</f>
        <v>0</v>
      </c>
      <c r="AH116" s="1479">
        <f>'Sistemas-Manutenção'!AH113</f>
        <v>0</v>
      </c>
      <c r="AI116" s="1479">
        <f>'Sistemas-Manutenção'!AI113</f>
        <v>0</v>
      </c>
      <c r="AJ116" s="1479">
        <f>'Sistemas-Manutenção'!AJ113</f>
        <v>0</v>
      </c>
      <c r="AK116" s="1479">
        <f>'Sistemas-Manutenção'!AK113</f>
        <v>0</v>
      </c>
      <c r="AL116" s="1479">
        <f>'Sistemas-Manutenção'!AL113</f>
        <v>0</v>
      </c>
      <c r="AM116" s="1479">
        <f>'Sistemas-Manutenção'!AM113</f>
        <v>0</v>
      </c>
      <c r="AN116" s="1479">
        <f>'Sistemas-Manutenção'!AN113</f>
        <v>0</v>
      </c>
      <c r="AO116" s="1479">
        <f>'Sistemas-Manutenção'!AO113</f>
        <v>0</v>
      </c>
      <c r="AP116" s="77"/>
      <c r="AQ116" s="1479">
        <f t="shared" si="1170"/>
        <v>0</v>
      </c>
      <c r="AR116" s="1479">
        <f t="shared" si="1170"/>
        <v>0</v>
      </c>
      <c r="AS116" s="1479">
        <f t="shared" si="1170"/>
        <v>0</v>
      </c>
      <c r="AT116" s="1479">
        <f t="shared" si="1170"/>
        <v>0</v>
      </c>
      <c r="AU116" s="1479">
        <f t="shared" si="1170"/>
        <v>0</v>
      </c>
      <c r="AV116" s="1479">
        <f t="shared" si="1170"/>
        <v>0</v>
      </c>
      <c r="AW116" s="1479">
        <f t="shared" si="1170"/>
        <v>0</v>
      </c>
      <c r="AX116" s="1479">
        <f t="shared" si="1170"/>
        <v>0</v>
      </c>
      <c r="AY116" s="1479">
        <f t="shared" si="1170"/>
        <v>0</v>
      </c>
      <c r="AZ116" s="1479">
        <f t="shared" si="1170"/>
        <v>0</v>
      </c>
      <c r="BA116" s="1479">
        <f t="shared" si="1170"/>
        <v>0</v>
      </c>
      <c r="BB116" s="1479">
        <f t="shared" si="1170"/>
        <v>0</v>
      </c>
      <c r="BC116" s="1479">
        <f t="shared" si="1170"/>
        <v>0</v>
      </c>
      <c r="BD116" s="1479">
        <f t="shared" si="1170"/>
        <v>0</v>
      </c>
      <c r="BE116" s="1479">
        <f t="shared" si="1170"/>
        <v>0</v>
      </c>
      <c r="BF116" s="1479">
        <f t="shared" si="1170"/>
        <v>0</v>
      </c>
      <c r="BG116" s="1479">
        <f t="shared" ref="BG116:BN116" si="1230">IF(AB116&gt;AA116,AB116-AA116,0)</f>
        <v>0</v>
      </c>
      <c r="BH116" s="1479">
        <f t="shared" si="1230"/>
        <v>0</v>
      </c>
      <c r="BI116" s="1479">
        <f t="shared" si="1230"/>
        <v>0</v>
      </c>
      <c r="BJ116" s="1479">
        <f t="shared" si="1230"/>
        <v>0</v>
      </c>
      <c r="BK116" s="1479">
        <f t="shared" si="1230"/>
        <v>0</v>
      </c>
      <c r="BL116" s="1479">
        <f t="shared" si="1230"/>
        <v>0</v>
      </c>
      <c r="BM116" s="1479">
        <f t="shared" si="1230"/>
        <v>0</v>
      </c>
      <c r="BN116" s="1479">
        <f t="shared" si="1230"/>
        <v>0</v>
      </c>
      <c r="BO116" s="1479"/>
      <c r="BP116" s="1479"/>
      <c r="BQ116" s="1479"/>
      <c r="BR116" s="1479"/>
      <c r="BS116" s="1479"/>
      <c r="BT116" s="1479">
        <f>IF(AO116&gt;AI116,AO116-AI116,0)</f>
        <v>0</v>
      </c>
      <c r="BU116" s="77"/>
      <c r="BV116" s="1571">
        <f t="shared" ca="1" si="1204"/>
        <v>0</v>
      </c>
      <c r="BW116" s="1571">
        <f t="shared" ca="1" si="1204"/>
        <v>0</v>
      </c>
      <c r="BX116" s="1571">
        <f t="shared" ca="1" si="1204"/>
        <v>0</v>
      </c>
      <c r="BY116" s="1571">
        <f t="shared" ca="1" si="1204"/>
        <v>0</v>
      </c>
      <c r="BZ116" s="1571">
        <f t="shared" ca="1" si="1204"/>
        <v>0</v>
      </c>
      <c r="CA116" s="1571">
        <f t="shared" ca="1" si="1204"/>
        <v>0</v>
      </c>
      <c r="CB116" s="1571">
        <f t="shared" ca="1" si="1204"/>
        <v>0</v>
      </c>
      <c r="CC116" s="1571">
        <f t="shared" ca="1" si="1204"/>
        <v>0</v>
      </c>
      <c r="CD116" s="1571">
        <f t="shared" ca="1" si="1204"/>
        <v>0</v>
      </c>
      <c r="CE116" s="1571">
        <f t="shared" ca="1" si="1204"/>
        <v>0</v>
      </c>
      <c r="CF116" s="1571">
        <f t="shared" ca="1" si="1205"/>
        <v>0</v>
      </c>
      <c r="CG116" s="1571">
        <f t="shared" ca="1" si="1205"/>
        <v>0</v>
      </c>
      <c r="CH116" s="1571">
        <f t="shared" ca="1" si="1205"/>
        <v>0</v>
      </c>
      <c r="CI116" s="1571">
        <f t="shared" ca="1" si="1205"/>
        <v>0</v>
      </c>
      <c r="CJ116" s="1571">
        <f t="shared" ca="1" si="1205"/>
        <v>0</v>
      </c>
      <c r="CK116" s="1571">
        <f t="shared" ca="1" si="1205"/>
        <v>0</v>
      </c>
      <c r="CL116" s="1571">
        <f t="shared" ca="1" si="1205"/>
        <v>0</v>
      </c>
      <c r="CM116" s="1571">
        <f t="shared" ca="1" si="1205"/>
        <v>0</v>
      </c>
      <c r="CN116" s="1571">
        <f t="shared" ca="1" si="1205"/>
        <v>0</v>
      </c>
      <c r="CO116" s="1571">
        <f t="shared" ca="1" si="1206"/>
        <v>0</v>
      </c>
      <c r="CP116" s="1571">
        <f t="shared" ca="1" si="1207"/>
        <v>0</v>
      </c>
      <c r="CQ116" s="1571">
        <f t="shared" ca="1" si="1208"/>
        <v>0</v>
      </c>
      <c r="CR116" s="1571">
        <f t="shared" ca="1" si="1209"/>
        <v>0</v>
      </c>
      <c r="CS116" s="1571">
        <f t="shared" ca="1" si="1210"/>
        <v>0</v>
      </c>
      <c r="CT116" s="1571">
        <f t="shared" ca="1" si="1211"/>
        <v>0</v>
      </c>
      <c r="CU116" s="1571">
        <f t="shared" ca="1" si="1212"/>
        <v>0</v>
      </c>
      <c r="CV116" s="1571">
        <f t="shared" ca="1" si="1213"/>
        <v>0</v>
      </c>
      <c r="CW116" s="1571">
        <f t="shared" ca="1" si="1214"/>
        <v>0</v>
      </c>
      <c r="CX116" s="1571">
        <f t="shared" ca="1" si="1215"/>
        <v>0</v>
      </c>
      <c r="CY116" s="1571">
        <f t="shared" ca="1" si="1216"/>
        <v>0</v>
      </c>
      <c r="CZ116" s="78"/>
      <c r="DA116" s="1572">
        <f t="shared" si="1217"/>
        <v>0</v>
      </c>
      <c r="DB116" s="1572">
        <f t="shared" si="1217"/>
        <v>0</v>
      </c>
      <c r="DC116" s="1572">
        <f t="shared" si="1217"/>
        <v>0</v>
      </c>
      <c r="DD116" s="1572">
        <f t="shared" si="1217"/>
        <v>0</v>
      </c>
      <c r="DE116" s="1572">
        <f t="shared" si="1217"/>
        <v>0</v>
      </c>
      <c r="DF116" s="1572">
        <f t="shared" si="1217"/>
        <v>0</v>
      </c>
      <c r="DG116" s="1572">
        <f t="shared" si="1217"/>
        <v>0</v>
      </c>
      <c r="DH116" s="1572">
        <f t="shared" si="1217"/>
        <v>0</v>
      </c>
      <c r="DI116" s="1572">
        <f t="shared" si="1217"/>
        <v>0</v>
      </c>
      <c r="DJ116" s="1572">
        <f t="shared" si="1217"/>
        <v>0</v>
      </c>
      <c r="DK116" s="1572">
        <f t="shared" si="1218"/>
        <v>0</v>
      </c>
      <c r="DL116" s="1572">
        <f t="shared" si="1218"/>
        <v>0</v>
      </c>
      <c r="DM116" s="1572">
        <f t="shared" si="1218"/>
        <v>0</v>
      </c>
      <c r="DN116" s="1572">
        <f t="shared" si="1218"/>
        <v>0</v>
      </c>
      <c r="DO116" s="1572">
        <f t="shared" si="1218"/>
        <v>0</v>
      </c>
      <c r="DP116" s="1572">
        <f t="shared" si="1218"/>
        <v>0</v>
      </c>
      <c r="DQ116" s="1572">
        <f t="shared" si="1218"/>
        <v>0</v>
      </c>
      <c r="DR116" s="1572">
        <f t="shared" si="1218"/>
        <v>0</v>
      </c>
      <c r="DS116" s="1572">
        <f t="shared" si="1218"/>
        <v>0</v>
      </c>
      <c r="DT116" s="1572">
        <f t="shared" si="1218"/>
        <v>0</v>
      </c>
      <c r="DU116" s="1572">
        <f t="shared" si="1218"/>
        <v>0</v>
      </c>
      <c r="DV116" s="1572">
        <f t="shared" si="1218"/>
        <v>0</v>
      </c>
      <c r="DW116" s="1572">
        <f t="shared" si="1218"/>
        <v>0</v>
      </c>
      <c r="DX116" s="1572">
        <f t="shared" si="1218"/>
        <v>0</v>
      </c>
      <c r="DY116" s="1572"/>
      <c r="DZ116" s="1572"/>
      <c r="EA116" s="1572"/>
      <c r="EB116" s="1572"/>
      <c r="EC116" s="1572"/>
      <c r="ED116" s="1572">
        <f>BT116*$H116</f>
        <v>0</v>
      </c>
      <c r="EE116" s="79"/>
      <c r="EF116" s="1572">
        <f t="shared" ca="1" si="1219"/>
        <v>0</v>
      </c>
      <c r="EG116" s="1572">
        <f t="shared" ca="1" si="1219"/>
        <v>0</v>
      </c>
      <c r="EH116" s="1572">
        <f t="shared" ca="1" si="1219"/>
        <v>0</v>
      </c>
      <c r="EI116" s="1572">
        <f t="shared" ca="1" si="1219"/>
        <v>0</v>
      </c>
      <c r="EJ116" s="1572">
        <f t="shared" ca="1" si="1219"/>
        <v>0</v>
      </c>
      <c r="EK116" s="1572">
        <f t="shared" ca="1" si="1219"/>
        <v>0</v>
      </c>
      <c r="EL116" s="1572">
        <f t="shared" ca="1" si="1219"/>
        <v>0</v>
      </c>
      <c r="EM116" s="1572">
        <f t="shared" ca="1" si="1219"/>
        <v>0</v>
      </c>
      <c r="EN116" s="1572">
        <f t="shared" ca="1" si="1219"/>
        <v>0</v>
      </c>
      <c r="EO116" s="1572">
        <f t="shared" ca="1" si="1219"/>
        <v>0</v>
      </c>
      <c r="EP116" s="1572">
        <f t="shared" ref="EP116:EU117" ca="1" si="1231">CF116*$I116</f>
        <v>0</v>
      </c>
      <c r="EQ116" s="1572">
        <f t="shared" ca="1" si="1231"/>
        <v>0</v>
      </c>
      <c r="ER116" s="1572">
        <f t="shared" ca="1" si="1231"/>
        <v>0</v>
      </c>
      <c r="ES116" s="1572">
        <f t="shared" ca="1" si="1231"/>
        <v>0</v>
      </c>
      <c r="ET116" s="1572">
        <f t="shared" ca="1" si="1231"/>
        <v>0</v>
      </c>
      <c r="EU116" s="1572">
        <f t="shared" ca="1" si="1231"/>
        <v>0</v>
      </c>
      <c r="EV116" s="1572">
        <f t="shared" ca="1" si="1220"/>
        <v>0</v>
      </c>
      <c r="EW116" s="1572">
        <f t="shared" ca="1" si="1220"/>
        <v>0</v>
      </c>
      <c r="EX116" s="1572">
        <f t="shared" ca="1" si="1220"/>
        <v>0</v>
      </c>
      <c r="EY116" s="1572">
        <f t="shared" ca="1" si="1220"/>
        <v>0</v>
      </c>
      <c r="EZ116" s="1572">
        <f t="shared" ca="1" si="1220"/>
        <v>0</v>
      </c>
      <c r="FA116" s="1572">
        <f t="shared" ca="1" si="1221"/>
        <v>0</v>
      </c>
      <c r="FB116" s="1572">
        <f t="shared" ca="1" si="1222"/>
        <v>0</v>
      </c>
      <c r="FC116" s="1572">
        <f t="shared" ca="1" si="1223"/>
        <v>0</v>
      </c>
      <c r="FD116" s="1572">
        <f t="shared" ca="1" si="1224"/>
        <v>0</v>
      </c>
      <c r="FE116" s="1572">
        <f t="shared" ca="1" si="1225"/>
        <v>0</v>
      </c>
      <c r="FF116" s="1572">
        <f t="shared" ca="1" si="1226"/>
        <v>0</v>
      </c>
      <c r="FG116" s="1572">
        <f t="shared" ca="1" si="1227"/>
        <v>0</v>
      </c>
      <c r="FH116" s="1572">
        <f t="shared" ca="1" si="1228"/>
        <v>0</v>
      </c>
      <c r="FI116" s="1572">
        <f t="shared" ca="1" si="1229"/>
        <v>0</v>
      </c>
    </row>
    <row r="117" spans="1:166" ht="12.75" customHeight="1">
      <c r="A117" s="595"/>
      <c r="B117" s="598"/>
      <c r="C117" s="599"/>
      <c r="F117" s="1622"/>
      <c r="G117" s="872"/>
      <c r="H117" s="1619"/>
      <c r="I117" s="1619"/>
      <c r="J117" s="1575"/>
      <c r="K117" s="23"/>
      <c r="L117" s="1479">
        <f>'Sistemas-Manutenção'!L114</f>
        <v>0</v>
      </c>
      <c r="M117" s="863"/>
      <c r="N117" s="863"/>
      <c r="O117" s="863"/>
      <c r="P117" s="863"/>
      <c r="Q117" s="863"/>
      <c r="R117" s="863"/>
      <c r="S117" s="863"/>
      <c r="T117" s="863"/>
      <c r="U117" s="863"/>
      <c r="V117" s="863"/>
      <c r="W117" s="863"/>
      <c r="X117" s="863"/>
      <c r="Y117" s="863"/>
      <c r="Z117" s="863"/>
      <c r="AA117" s="863"/>
      <c r="AB117" s="863"/>
      <c r="AC117" s="863"/>
      <c r="AD117" s="863"/>
      <c r="AE117" s="863"/>
      <c r="AF117" s="863"/>
      <c r="AG117" s="863"/>
      <c r="AH117" s="863"/>
      <c r="AI117" s="863"/>
      <c r="AJ117" s="863"/>
      <c r="AK117" s="863"/>
      <c r="AL117" s="863"/>
      <c r="AM117" s="863"/>
      <c r="AN117" s="863"/>
      <c r="AO117" s="863"/>
      <c r="AP117" s="81"/>
      <c r="AQ117" s="864"/>
      <c r="AR117" s="864"/>
      <c r="AS117" s="864"/>
      <c r="AT117" s="864"/>
      <c r="AU117" s="864"/>
      <c r="AV117" s="864"/>
      <c r="AW117" s="864"/>
      <c r="AX117" s="864"/>
      <c r="AY117" s="864"/>
      <c r="AZ117" s="864"/>
      <c r="BA117" s="864"/>
      <c r="BB117" s="864"/>
      <c r="BC117" s="864"/>
      <c r="BD117" s="864"/>
      <c r="BE117" s="864"/>
      <c r="BF117" s="864"/>
      <c r="BG117" s="864"/>
      <c r="BH117" s="864"/>
      <c r="BI117" s="864"/>
      <c r="BJ117" s="864"/>
      <c r="BK117" s="864"/>
      <c r="BL117" s="864"/>
      <c r="BM117" s="864"/>
      <c r="BN117" s="864"/>
      <c r="BO117" s="864"/>
      <c r="BP117" s="864"/>
      <c r="BQ117" s="864"/>
      <c r="BR117" s="864"/>
      <c r="BS117" s="864"/>
      <c r="BT117" s="864"/>
      <c r="BU117" s="81"/>
      <c r="BV117" s="864"/>
      <c r="BW117" s="864"/>
      <c r="BX117" s="864"/>
      <c r="BY117" s="864"/>
      <c r="BZ117" s="864"/>
      <c r="CA117" s="864"/>
      <c r="CB117" s="864"/>
      <c r="CC117" s="864"/>
      <c r="CD117" s="864"/>
      <c r="CE117" s="864"/>
      <c r="CF117" s="864"/>
      <c r="CG117" s="864"/>
      <c r="CH117" s="864"/>
      <c r="CI117" s="864"/>
      <c r="CJ117" s="864"/>
      <c r="CK117" s="864"/>
      <c r="CL117" s="864"/>
      <c r="CM117" s="864"/>
      <c r="CN117" s="864"/>
      <c r="CO117" s="864"/>
      <c r="CP117" s="864"/>
      <c r="CQ117" s="864"/>
      <c r="CR117" s="864"/>
      <c r="CS117" s="864"/>
      <c r="CT117" s="864"/>
      <c r="CU117" s="864"/>
      <c r="CV117" s="864"/>
      <c r="CW117" s="864"/>
      <c r="CX117" s="864"/>
      <c r="CY117" s="864"/>
      <c r="CZ117" s="85"/>
      <c r="DA117" s="865">
        <f t="shared" si="1217"/>
        <v>0</v>
      </c>
      <c r="DB117" s="865">
        <f t="shared" si="1217"/>
        <v>0</v>
      </c>
      <c r="DC117" s="865">
        <f t="shared" si="1217"/>
        <v>0</v>
      </c>
      <c r="DD117" s="865">
        <f t="shared" si="1217"/>
        <v>0</v>
      </c>
      <c r="DE117" s="865">
        <f t="shared" si="1217"/>
        <v>0</v>
      </c>
      <c r="DF117" s="865">
        <f t="shared" si="1217"/>
        <v>0</v>
      </c>
      <c r="DG117" s="865">
        <f t="shared" si="1217"/>
        <v>0</v>
      </c>
      <c r="DH117" s="865">
        <f t="shared" si="1217"/>
        <v>0</v>
      </c>
      <c r="DI117" s="865">
        <f t="shared" si="1217"/>
        <v>0</v>
      </c>
      <c r="DJ117" s="865">
        <f t="shared" si="1217"/>
        <v>0</v>
      </c>
      <c r="DK117" s="865">
        <f t="shared" si="1218"/>
        <v>0</v>
      </c>
      <c r="DL117" s="865">
        <f t="shared" si="1218"/>
        <v>0</v>
      </c>
      <c r="DM117" s="865">
        <f t="shared" si="1218"/>
        <v>0</v>
      </c>
      <c r="DN117" s="865">
        <f t="shared" si="1218"/>
        <v>0</v>
      </c>
      <c r="DO117" s="865">
        <f t="shared" si="1218"/>
        <v>0</v>
      </c>
      <c r="DP117" s="865">
        <f t="shared" si="1218"/>
        <v>0</v>
      </c>
      <c r="DQ117" s="865">
        <f t="shared" si="1218"/>
        <v>0</v>
      </c>
      <c r="DR117" s="865">
        <f t="shared" si="1218"/>
        <v>0</v>
      </c>
      <c r="DS117" s="865">
        <f t="shared" si="1218"/>
        <v>0</v>
      </c>
      <c r="DT117" s="865">
        <f t="shared" si="1218"/>
        <v>0</v>
      </c>
      <c r="DU117" s="865">
        <f t="shared" si="1218"/>
        <v>0</v>
      </c>
      <c r="DV117" s="865">
        <f t="shared" si="1218"/>
        <v>0</v>
      </c>
      <c r="DW117" s="865">
        <f t="shared" si="1218"/>
        <v>0</v>
      </c>
      <c r="DX117" s="865">
        <f t="shared" si="1218"/>
        <v>0</v>
      </c>
      <c r="DY117" s="865"/>
      <c r="DZ117" s="865"/>
      <c r="EA117" s="865"/>
      <c r="EB117" s="865"/>
      <c r="EC117" s="865"/>
      <c r="ED117" s="865">
        <f>BT117*$H117</f>
        <v>0</v>
      </c>
      <c r="EE117" s="79"/>
      <c r="EF117" s="865">
        <f t="shared" si="1219"/>
        <v>0</v>
      </c>
      <c r="EG117" s="865">
        <f t="shared" si="1219"/>
        <v>0</v>
      </c>
      <c r="EH117" s="865">
        <f t="shared" si="1219"/>
        <v>0</v>
      </c>
      <c r="EI117" s="865">
        <f t="shared" si="1219"/>
        <v>0</v>
      </c>
      <c r="EJ117" s="865">
        <f t="shared" si="1219"/>
        <v>0</v>
      </c>
      <c r="EK117" s="865">
        <f t="shared" si="1219"/>
        <v>0</v>
      </c>
      <c r="EL117" s="865">
        <f t="shared" si="1219"/>
        <v>0</v>
      </c>
      <c r="EM117" s="865">
        <f t="shared" si="1219"/>
        <v>0</v>
      </c>
      <c r="EN117" s="865">
        <f t="shared" si="1219"/>
        <v>0</v>
      </c>
      <c r="EO117" s="865">
        <f t="shared" si="1219"/>
        <v>0</v>
      </c>
      <c r="EP117" s="865">
        <f t="shared" si="1231"/>
        <v>0</v>
      </c>
      <c r="EQ117" s="865">
        <f t="shared" si="1231"/>
        <v>0</v>
      </c>
      <c r="ER117" s="865">
        <f t="shared" si="1231"/>
        <v>0</v>
      </c>
      <c r="ES117" s="865">
        <f t="shared" si="1231"/>
        <v>0</v>
      </c>
      <c r="ET117" s="865">
        <f t="shared" si="1231"/>
        <v>0</v>
      </c>
      <c r="EU117" s="865">
        <f t="shared" si="1231"/>
        <v>0</v>
      </c>
      <c r="EV117" s="865">
        <f t="shared" si="1220"/>
        <v>0</v>
      </c>
      <c r="EW117" s="865">
        <f t="shared" si="1220"/>
        <v>0</v>
      </c>
      <c r="EX117" s="865">
        <f t="shared" si="1220"/>
        <v>0</v>
      </c>
      <c r="EY117" s="865">
        <f t="shared" si="1220"/>
        <v>0</v>
      </c>
      <c r="EZ117" s="865">
        <f t="shared" si="1220"/>
        <v>0</v>
      </c>
      <c r="FA117" s="865">
        <f t="shared" si="1221"/>
        <v>0</v>
      </c>
      <c r="FB117" s="865">
        <f t="shared" si="1222"/>
        <v>0</v>
      </c>
      <c r="FC117" s="865">
        <f t="shared" si="1223"/>
        <v>0</v>
      </c>
      <c r="FD117" s="865">
        <f t="shared" si="1224"/>
        <v>0</v>
      </c>
      <c r="FE117" s="865">
        <f t="shared" si="1225"/>
        <v>0</v>
      </c>
      <c r="FF117" s="865">
        <f t="shared" si="1226"/>
        <v>0</v>
      </c>
      <c r="FG117" s="865">
        <f t="shared" si="1227"/>
        <v>0</v>
      </c>
      <c r="FH117" s="865">
        <f t="shared" si="1228"/>
        <v>0</v>
      </c>
      <c r="FI117" s="865">
        <f t="shared" si="1229"/>
        <v>0</v>
      </c>
    </row>
    <row r="118" spans="1:166" ht="12.75" customHeight="1">
      <c r="A118" s="595"/>
      <c r="B118" s="598"/>
      <c r="C118" s="599"/>
      <c r="F118" s="1622"/>
      <c r="G118" s="872"/>
      <c r="H118" s="865"/>
      <c r="I118" s="865"/>
      <c r="J118" s="1575"/>
      <c r="K118" s="23"/>
      <c r="L118" s="1479">
        <f>'Sistemas-Manutenção'!L115</f>
        <v>0</v>
      </c>
      <c r="M118" s="863"/>
      <c r="N118" s="863"/>
      <c r="O118" s="863"/>
      <c r="P118" s="863"/>
      <c r="Q118" s="863"/>
      <c r="R118" s="863"/>
      <c r="S118" s="863"/>
      <c r="T118" s="863"/>
      <c r="U118" s="863"/>
      <c r="V118" s="863"/>
      <c r="W118" s="863"/>
      <c r="X118" s="863"/>
      <c r="Y118" s="863"/>
      <c r="Z118" s="863"/>
      <c r="AA118" s="863"/>
      <c r="AB118" s="863"/>
      <c r="AC118" s="863"/>
      <c r="AD118" s="863"/>
      <c r="AE118" s="863"/>
      <c r="AF118" s="863"/>
      <c r="AG118" s="863"/>
      <c r="AH118" s="863"/>
      <c r="AI118" s="863"/>
      <c r="AJ118" s="863"/>
      <c r="AK118" s="863"/>
      <c r="AL118" s="863"/>
      <c r="AM118" s="863"/>
      <c r="AN118" s="863"/>
      <c r="AO118" s="863"/>
      <c r="AP118" s="81"/>
      <c r="AQ118" s="864"/>
      <c r="AR118" s="864"/>
      <c r="AS118" s="864"/>
      <c r="AT118" s="864"/>
      <c r="AU118" s="864"/>
      <c r="AV118" s="864"/>
      <c r="AW118" s="864"/>
      <c r="AX118" s="864"/>
      <c r="AY118" s="864"/>
      <c r="AZ118" s="864"/>
      <c r="BA118" s="864"/>
      <c r="BB118" s="864"/>
      <c r="BC118" s="864"/>
      <c r="BD118" s="864"/>
      <c r="BE118" s="864"/>
      <c r="BF118" s="864"/>
      <c r="BG118" s="864"/>
      <c r="BH118" s="864"/>
      <c r="BI118" s="864"/>
      <c r="BJ118" s="864"/>
      <c r="BK118" s="864"/>
      <c r="BL118" s="864"/>
      <c r="BM118" s="864"/>
      <c r="BN118" s="864"/>
      <c r="BO118" s="864"/>
      <c r="BP118" s="864"/>
      <c r="BQ118" s="864"/>
      <c r="BR118" s="864"/>
      <c r="BS118" s="864"/>
      <c r="BT118" s="864"/>
      <c r="BU118" s="81"/>
      <c r="BV118" s="864"/>
      <c r="BW118" s="864"/>
      <c r="BX118" s="864"/>
      <c r="BY118" s="864"/>
      <c r="BZ118" s="864"/>
      <c r="CA118" s="864"/>
      <c r="CB118" s="864"/>
      <c r="CC118" s="864"/>
      <c r="CD118" s="864"/>
      <c r="CE118" s="864"/>
      <c r="CF118" s="864"/>
      <c r="CG118" s="864"/>
      <c r="CH118" s="864"/>
      <c r="CI118" s="864"/>
      <c r="CJ118" s="864"/>
      <c r="CK118" s="864"/>
      <c r="CL118" s="864"/>
      <c r="CM118" s="864"/>
      <c r="CN118" s="864"/>
      <c r="CO118" s="864"/>
      <c r="CP118" s="864"/>
      <c r="CQ118" s="864"/>
      <c r="CR118" s="864"/>
      <c r="CS118" s="864"/>
      <c r="CT118" s="864"/>
      <c r="CU118" s="864"/>
      <c r="CV118" s="864"/>
      <c r="CW118" s="864"/>
      <c r="CX118" s="864"/>
      <c r="CY118" s="864"/>
      <c r="CZ118" s="85"/>
      <c r="DA118" s="865">
        <f t="shared" si="1217"/>
        <v>0</v>
      </c>
      <c r="DB118" s="865">
        <f t="shared" si="1217"/>
        <v>0</v>
      </c>
      <c r="DC118" s="865">
        <f t="shared" si="1217"/>
        <v>0</v>
      </c>
      <c r="DD118" s="865">
        <f t="shared" si="1217"/>
        <v>0</v>
      </c>
      <c r="DE118" s="865">
        <f t="shared" si="1217"/>
        <v>0</v>
      </c>
      <c r="DF118" s="865">
        <f t="shared" si="1217"/>
        <v>0</v>
      </c>
      <c r="DG118" s="865">
        <f t="shared" si="1217"/>
        <v>0</v>
      </c>
      <c r="DH118" s="865">
        <f t="shared" si="1217"/>
        <v>0</v>
      </c>
      <c r="DI118" s="865">
        <f t="shared" si="1217"/>
        <v>0</v>
      </c>
      <c r="DJ118" s="865">
        <f t="shared" si="1217"/>
        <v>0</v>
      </c>
      <c r="DK118" s="865">
        <f t="shared" si="1217"/>
        <v>0</v>
      </c>
      <c r="DL118" s="865">
        <f t="shared" si="1217"/>
        <v>0</v>
      </c>
      <c r="DM118" s="865">
        <f t="shared" si="1217"/>
        <v>0</v>
      </c>
      <c r="DN118" s="865">
        <f t="shared" si="1217"/>
        <v>0</v>
      </c>
      <c r="DO118" s="865">
        <f t="shared" si="1217"/>
        <v>0</v>
      </c>
      <c r="DP118" s="865">
        <f t="shared" si="1217"/>
        <v>0</v>
      </c>
      <c r="DQ118" s="865">
        <f t="shared" si="1218"/>
        <v>0</v>
      </c>
      <c r="DR118" s="865">
        <f t="shared" si="1218"/>
        <v>0</v>
      </c>
      <c r="DS118" s="865">
        <f t="shared" si="1218"/>
        <v>0</v>
      </c>
      <c r="DT118" s="865">
        <f t="shared" si="1218"/>
        <v>0</v>
      </c>
      <c r="DU118" s="865">
        <f t="shared" si="1218"/>
        <v>0</v>
      </c>
      <c r="DV118" s="865">
        <f t="shared" si="1218"/>
        <v>0</v>
      </c>
      <c r="DW118" s="865">
        <f t="shared" si="1218"/>
        <v>0</v>
      </c>
      <c r="DX118" s="865">
        <f t="shared" si="1218"/>
        <v>0</v>
      </c>
      <c r="DY118" s="865"/>
      <c r="DZ118" s="865"/>
      <c r="EA118" s="865"/>
      <c r="EB118" s="865"/>
      <c r="EC118" s="865"/>
      <c r="ED118" s="865">
        <f>BT118*$H118</f>
        <v>0</v>
      </c>
      <c r="EE118" s="79"/>
      <c r="EF118" s="865">
        <f t="shared" si="1219"/>
        <v>0</v>
      </c>
      <c r="EG118" s="865">
        <f t="shared" si="1219"/>
        <v>0</v>
      </c>
      <c r="EH118" s="865">
        <f t="shared" si="1219"/>
        <v>0</v>
      </c>
      <c r="EI118" s="865">
        <f t="shared" si="1219"/>
        <v>0</v>
      </c>
      <c r="EJ118" s="865">
        <f t="shared" si="1219"/>
        <v>0</v>
      </c>
      <c r="EK118" s="865">
        <f t="shared" si="1219"/>
        <v>0</v>
      </c>
      <c r="EL118" s="865">
        <f t="shared" si="1219"/>
        <v>0</v>
      </c>
      <c r="EM118" s="865">
        <f t="shared" si="1219"/>
        <v>0</v>
      </c>
      <c r="EN118" s="865">
        <f t="shared" si="1219"/>
        <v>0</v>
      </c>
      <c r="EO118" s="865">
        <f t="shared" si="1219"/>
        <v>0</v>
      </c>
      <c r="EP118" s="865">
        <f t="shared" si="1219"/>
        <v>0</v>
      </c>
      <c r="EQ118" s="865">
        <f t="shared" si="1219"/>
        <v>0</v>
      </c>
      <c r="ER118" s="865">
        <f t="shared" si="1219"/>
        <v>0</v>
      </c>
      <c r="ES118" s="865">
        <f t="shared" si="1219"/>
        <v>0</v>
      </c>
      <c r="ET118" s="865">
        <f t="shared" si="1219"/>
        <v>0</v>
      </c>
      <c r="EU118" s="865">
        <f t="shared" si="1219"/>
        <v>0</v>
      </c>
      <c r="EV118" s="865">
        <f t="shared" si="1220"/>
        <v>0</v>
      </c>
      <c r="EW118" s="865">
        <f t="shared" si="1220"/>
        <v>0</v>
      </c>
      <c r="EX118" s="865">
        <f t="shared" si="1220"/>
        <v>0</v>
      </c>
      <c r="EY118" s="865">
        <f t="shared" si="1220"/>
        <v>0</v>
      </c>
      <c r="EZ118" s="865">
        <f t="shared" si="1220"/>
        <v>0</v>
      </c>
      <c r="FA118" s="865">
        <f t="shared" si="1221"/>
        <v>0</v>
      </c>
      <c r="FB118" s="865">
        <f t="shared" si="1222"/>
        <v>0</v>
      </c>
      <c r="FC118" s="865">
        <f t="shared" si="1223"/>
        <v>0</v>
      </c>
      <c r="FD118" s="865">
        <f t="shared" si="1224"/>
        <v>0</v>
      </c>
      <c r="FE118" s="865">
        <f t="shared" si="1225"/>
        <v>0</v>
      </c>
      <c r="FF118" s="865">
        <f t="shared" si="1226"/>
        <v>0</v>
      </c>
      <c r="FG118" s="865">
        <f t="shared" si="1227"/>
        <v>0</v>
      </c>
      <c r="FH118" s="865">
        <f t="shared" si="1228"/>
        <v>0</v>
      </c>
      <c r="FI118" s="865">
        <f t="shared" si="1229"/>
        <v>0</v>
      </c>
    </row>
    <row r="119" spans="1:166">
      <c r="A119" s="595"/>
      <c r="B119" s="598"/>
      <c r="C119" s="599"/>
      <c r="D119" s="68" t="s">
        <v>1751</v>
      </c>
      <c r="E119" s="68" t="str">
        <f>LEFT(D119,LEN(D119)-1) &amp; RIGHT(D119,1)+1</f>
        <v>8.12.2</v>
      </c>
      <c r="F119" s="1437" t="s">
        <v>1698</v>
      </c>
      <c r="G119" s="737" t="s">
        <v>1717</v>
      </c>
      <c r="H119" s="736">
        <f>SUM(DA119:ED119)</f>
        <v>0</v>
      </c>
      <c r="I119" s="734">
        <f ca="1">SUM(EF119:FI119)</f>
        <v>0</v>
      </c>
      <c r="J119" s="1577"/>
      <c r="K119" s="24"/>
      <c r="L119" s="1479"/>
      <c r="M119" s="1588"/>
      <c r="N119" s="1588"/>
      <c r="O119" s="1588"/>
      <c r="P119" s="1588"/>
      <c r="Q119" s="1588"/>
      <c r="R119" s="1588"/>
      <c r="S119" s="1588"/>
      <c r="T119" s="1588"/>
      <c r="U119" s="1588"/>
      <c r="V119" s="1588"/>
      <c r="W119" s="1588"/>
      <c r="X119" s="1588"/>
      <c r="Y119" s="1588"/>
      <c r="Z119" s="1588"/>
      <c r="AA119" s="1588"/>
      <c r="AB119" s="1588"/>
      <c r="AC119" s="1588"/>
      <c r="AD119" s="1588"/>
      <c r="AE119" s="1588"/>
      <c r="AF119" s="1588"/>
      <c r="AG119" s="1588"/>
      <c r="AH119" s="1589"/>
      <c r="AI119" s="1589"/>
      <c r="AJ119" s="1589"/>
      <c r="AK119" s="1589"/>
      <c r="AL119" s="1589"/>
      <c r="AM119" s="1589"/>
      <c r="AN119" s="1589"/>
      <c r="AO119" s="1589"/>
      <c r="AP119" s="392"/>
      <c r="AQ119" s="863"/>
      <c r="AR119" s="863"/>
      <c r="AS119" s="863"/>
      <c r="AT119" s="863"/>
      <c r="AU119" s="863"/>
      <c r="AV119" s="863"/>
      <c r="AW119" s="863"/>
      <c r="AX119" s="863"/>
      <c r="AY119" s="863"/>
      <c r="AZ119" s="863"/>
      <c r="BA119" s="863"/>
      <c r="BB119" s="863"/>
      <c r="BC119" s="863"/>
      <c r="BD119" s="863"/>
      <c r="BE119" s="863"/>
      <c r="BF119" s="863"/>
      <c r="BG119" s="863"/>
      <c r="BH119" s="863"/>
      <c r="BI119" s="863"/>
      <c r="BJ119" s="863"/>
      <c r="BK119" s="863"/>
      <c r="BL119" s="863"/>
      <c r="BM119" s="863"/>
      <c r="BN119" s="863"/>
      <c r="BO119" s="863"/>
      <c r="BP119" s="863"/>
      <c r="BQ119" s="863"/>
      <c r="BR119" s="863"/>
      <c r="BS119" s="863"/>
      <c r="BT119" s="863"/>
      <c r="BU119" s="81"/>
      <c r="BV119" s="863"/>
      <c r="BW119" s="863"/>
      <c r="BX119" s="863"/>
      <c r="BY119" s="863"/>
      <c r="BZ119" s="863"/>
      <c r="CA119" s="863"/>
      <c r="CB119" s="863"/>
      <c r="CC119" s="863"/>
      <c r="CD119" s="863"/>
      <c r="CE119" s="863"/>
      <c r="CF119" s="863"/>
      <c r="CG119" s="863"/>
      <c r="CH119" s="863"/>
      <c r="CI119" s="863"/>
      <c r="CJ119" s="863"/>
      <c r="CK119" s="863"/>
      <c r="CL119" s="863"/>
      <c r="CM119" s="863"/>
      <c r="CN119" s="863"/>
      <c r="CO119" s="863"/>
      <c r="CP119" s="863"/>
      <c r="CQ119" s="863"/>
      <c r="CR119" s="863"/>
      <c r="CS119" s="863"/>
      <c r="CT119" s="863"/>
      <c r="CU119" s="863"/>
      <c r="CV119" s="863"/>
      <c r="CW119" s="863"/>
      <c r="CX119" s="863"/>
      <c r="CY119" s="863"/>
      <c r="CZ119" s="82"/>
      <c r="DA119" s="1567">
        <f t="shared" ref="DA119:ED119" si="1232">SUBTOTAL(9,DA120:DA121)</f>
        <v>0</v>
      </c>
      <c r="DB119" s="865">
        <f t="shared" si="1232"/>
        <v>0</v>
      </c>
      <c r="DC119" s="865">
        <f t="shared" si="1232"/>
        <v>0</v>
      </c>
      <c r="DD119" s="865">
        <f t="shared" si="1232"/>
        <v>0</v>
      </c>
      <c r="DE119" s="865">
        <f t="shared" si="1232"/>
        <v>0</v>
      </c>
      <c r="DF119" s="865">
        <f t="shared" si="1232"/>
        <v>0</v>
      </c>
      <c r="DG119" s="865">
        <f t="shared" si="1232"/>
        <v>0</v>
      </c>
      <c r="DH119" s="865">
        <f t="shared" si="1232"/>
        <v>0</v>
      </c>
      <c r="DI119" s="865">
        <f t="shared" si="1232"/>
        <v>0</v>
      </c>
      <c r="DJ119" s="865">
        <f t="shared" si="1232"/>
        <v>0</v>
      </c>
      <c r="DK119" s="865">
        <f t="shared" si="1232"/>
        <v>0</v>
      </c>
      <c r="DL119" s="865">
        <f t="shared" si="1232"/>
        <v>0</v>
      </c>
      <c r="DM119" s="865">
        <f t="shared" si="1232"/>
        <v>0</v>
      </c>
      <c r="DN119" s="865">
        <f t="shared" si="1232"/>
        <v>0</v>
      </c>
      <c r="DO119" s="865">
        <f t="shared" si="1232"/>
        <v>0</v>
      </c>
      <c r="DP119" s="865">
        <f t="shared" si="1232"/>
        <v>0</v>
      </c>
      <c r="DQ119" s="865">
        <f t="shared" si="1232"/>
        <v>0</v>
      </c>
      <c r="DR119" s="865">
        <f t="shared" si="1232"/>
        <v>0</v>
      </c>
      <c r="DS119" s="865">
        <f t="shared" si="1232"/>
        <v>0</v>
      </c>
      <c r="DT119" s="865">
        <f t="shared" si="1232"/>
        <v>0</v>
      </c>
      <c r="DU119" s="865">
        <f t="shared" si="1232"/>
        <v>0</v>
      </c>
      <c r="DV119" s="865">
        <f t="shared" si="1232"/>
        <v>0</v>
      </c>
      <c r="DW119" s="865">
        <f t="shared" si="1232"/>
        <v>0</v>
      </c>
      <c r="DX119" s="865">
        <f t="shared" si="1232"/>
        <v>0</v>
      </c>
      <c r="DY119" s="865"/>
      <c r="DZ119" s="865"/>
      <c r="EA119" s="865"/>
      <c r="EB119" s="865"/>
      <c r="EC119" s="865"/>
      <c r="ED119" s="865">
        <f t="shared" si="1232"/>
        <v>0</v>
      </c>
      <c r="EE119" s="79"/>
      <c r="EF119" s="1582">
        <f ca="1">SUBTOTAL(9,EF120:EF121)</f>
        <v>0</v>
      </c>
      <c r="EG119" s="1582">
        <f ca="1">SUBTOTAL(9,EG120:EG121)</f>
        <v>0</v>
      </c>
      <c r="EH119" s="1582">
        <f ca="1">SUBTOTAL(9,EH120:EH121)</f>
        <v>0</v>
      </c>
      <c r="EI119" s="1582">
        <f ca="1">SUBTOTAL(9,EI120:EI121)</f>
        <v>0</v>
      </c>
      <c r="EJ119" s="1582">
        <f t="shared" ref="EJ119:EZ119" ca="1" si="1233">SUBTOTAL(9,EJ120:EJ121)</f>
        <v>0</v>
      </c>
      <c r="EK119" s="1582">
        <f t="shared" ca="1" si="1233"/>
        <v>0</v>
      </c>
      <c r="EL119" s="1582">
        <f t="shared" ca="1" si="1233"/>
        <v>0</v>
      </c>
      <c r="EM119" s="1582">
        <f t="shared" ca="1" si="1233"/>
        <v>0</v>
      </c>
      <c r="EN119" s="1582">
        <f t="shared" ca="1" si="1233"/>
        <v>0</v>
      </c>
      <c r="EO119" s="1582">
        <f t="shared" ca="1" si="1233"/>
        <v>0</v>
      </c>
      <c r="EP119" s="1582">
        <f t="shared" ca="1" si="1233"/>
        <v>0</v>
      </c>
      <c r="EQ119" s="1582">
        <f t="shared" ca="1" si="1233"/>
        <v>0</v>
      </c>
      <c r="ER119" s="1582">
        <f t="shared" ca="1" si="1233"/>
        <v>0</v>
      </c>
      <c r="ES119" s="1582">
        <f t="shared" ca="1" si="1233"/>
        <v>0</v>
      </c>
      <c r="ET119" s="1582">
        <f t="shared" ca="1" si="1233"/>
        <v>0</v>
      </c>
      <c r="EU119" s="1582">
        <f t="shared" ca="1" si="1233"/>
        <v>0</v>
      </c>
      <c r="EV119" s="1582">
        <f t="shared" ca="1" si="1233"/>
        <v>0</v>
      </c>
      <c r="EW119" s="1582">
        <f t="shared" ca="1" si="1233"/>
        <v>0</v>
      </c>
      <c r="EX119" s="1582">
        <f t="shared" ca="1" si="1233"/>
        <v>0</v>
      </c>
      <c r="EY119" s="1582">
        <f t="shared" ca="1" si="1233"/>
        <v>0</v>
      </c>
      <c r="EZ119" s="1582">
        <f t="shared" ca="1" si="1233"/>
        <v>0</v>
      </c>
      <c r="FA119" s="1582">
        <f t="shared" ref="FA119:FI119" ca="1" si="1234">SUBTOTAL(9,FA120:FA121)</f>
        <v>0</v>
      </c>
      <c r="FB119" s="1582">
        <f t="shared" ca="1" si="1234"/>
        <v>0</v>
      </c>
      <c r="FC119" s="1582">
        <f t="shared" ca="1" si="1234"/>
        <v>0</v>
      </c>
      <c r="FD119" s="1582">
        <f t="shared" ca="1" si="1234"/>
        <v>0</v>
      </c>
      <c r="FE119" s="1582">
        <f t="shared" ca="1" si="1234"/>
        <v>0</v>
      </c>
      <c r="FF119" s="1582">
        <f t="shared" ca="1" si="1234"/>
        <v>0</v>
      </c>
      <c r="FG119" s="1582">
        <f t="shared" ca="1" si="1234"/>
        <v>0</v>
      </c>
      <c r="FH119" s="1582">
        <f t="shared" ca="1" si="1234"/>
        <v>0</v>
      </c>
      <c r="FI119" s="1582">
        <f t="shared" ca="1" si="1234"/>
        <v>0</v>
      </c>
    </row>
    <row r="120" spans="1:166" ht="20.100000000000001" customHeight="1">
      <c r="A120" s="595"/>
      <c r="B120" s="598"/>
      <c r="C120" s="599"/>
      <c r="F120" s="866" t="s">
        <v>1641</v>
      </c>
      <c r="G120" s="1609" t="s">
        <v>1717</v>
      </c>
      <c r="H120" s="1569">
        <f>'Sistemas - Cotações'!F23</f>
        <v>0</v>
      </c>
      <c r="I120" s="1569">
        <f>H120*0.6</f>
        <v>0</v>
      </c>
      <c r="J120" s="867">
        <v>4</v>
      </c>
      <c r="K120" s="76"/>
      <c r="L120" s="1479">
        <f>'Sistemas-Manutenção'!L116</f>
        <v>1</v>
      </c>
      <c r="M120" s="1479">
        <v>1</v>
      </c>
      <c r="N120" s="1479">
        <v>1</v>
      </c>
      <c r="O120" s="1479">
        <v>1</v>
      </c>
      <c r="P120" s="1479">
        <v>1</v>
      </c>
      <c r="Q120" s="1479">
        <v>1</v>
      </c>
      <c r="R120" s="1479">
        <v>1</v>
      </c>
      <c r="S120" s="1479">
        <v>1</v>
      </c>
      <c r="T120" s="1479">
        <v>1</v>
      </c>
      <c r="U120" s="1479">
        <v>1</v>
      </c>
      <c r="V120" s="1479">
        <v>1</v>
      </c>
      <c r="W120" s="1479">
        <v>1</v>
      </c>
      <c r="X120" s="1479">
        <v>1</v>
      </c>
      <c r="Y120" s="1479">
        <v>1</v>
      </c>
      <c r="Z120" s="1479">
        <v>1</v>
      </c>
      <c r="AA120" s="1479">
        <v>1</v>
      </c>
      <c r="AB120" s="1479">
        <v>1</v>
      </c>
      <c r="AC120" s="1479">
        <v>1</v>
      </c>
      <c r="AD120" s="1479">
        <v>1</v>
      </c>
      <c r="AE120" s="1479">
        <v>1</v>
      </c>
      <c r="AF120" s="1479">
        <v>1</v>
      </c>
      <c r="AG120" s="1479">
        <v>1</v>
      </c>
      <c r="AH120" s="1479">
        <v>1</v>
      </c>
      <c r="AI120" s="1479">
        <v>1</v>
      </c>
      <c r="AJ120" s="1479">
        <v>1</v>
      </c>
      <c r="AK120" s="1479">
        <v>1</v>
      </c>
      <c r="AL120" s="1479">
        <v>1</v>
      </c>
      <c r="AM120" s="1479">
        <v>1</v>
      </c>
      <c r="AN120" s="1479">
        <v>1</v>
      </c>
      <c r="AO120" s="1479">
        <v>1</v>
      </c>
      <c r="AP120" s="77"/>
      <c r="AQ120" s="1479">
        <f t="shared" ref="AQ120:BN121" si="1235">IF(L120&gt;K120,L120-K120,0)</f>
        <v>1</v>
      </c>
      <c r="AR120" s="1479">
        <f t="shared" si="1235"/>
        <v>0</v>
      </c>
      <c r="AS120" s="1479">
        <f t="shared" si="1235"/>
        <v>0</v>
      </c>
      <c r="AT120" s="1479">
        <f t="shared" si="1235"/>
        <v>0</v>
      </c>
      <c r="AU120" s="1479">
        <f t="shared" si="1235"/>
        <v>0</v>
      </c>
      <c r="AV120" s="1479">
        <f t="shared" si="1235"/>
        <v>0</v>
      </c>
      <c r="AW120" s="1479">
        <f t="shared" si="1235"/>
        <v>0</v>
      </c>
      <c r="AX120" s="1479">
        <f t="shared" si="1235"/>
        <v>0</v>
      </c>
      <c r="AY120" s="1479">
        <f t="shared" si="1235"/>
        <v>0</v>
      </c>
      <c r="AZ120" s="1479">
        <f t="shared" si="1235"/>
        <v>0</v>
      </c>
      <c r="BA120" s="1479">
        <f t="shared" si="1235"/>
        <v>0</v>
      </c>
      <c r="BB120" s="1479">
        <f t="shared" si="1235"/>
        <v>0</v>
      </c>
      <c r="BC120" s="1479">
        <f t="shared" si="1235"/>
        <v>0</v>
      </c>
      <c r="BD120" s="1479">
        <f t="shared" si="1235"/>
        <v>0</v>
      </c>
      <c r="BE120" s="1479">
        <f t="shared" si="1235"/>
        <v>0</v>
      </c>
      <c r="BF120" s="1479">
        <f t="shared" si="1235"/>
        <v>0</v>
      </c>
      <c r="BG120" s="1479">
        <f t="shared" si="1235"/>
        <v>0</v>
      </c>
      <c r="BH120" s="1479">
        <f t="shared" si="1235"/>
        <v>0</v>
      </c>
      <c r="BI120" s="1479">
        <f t="shared" si="1235"/>
        <v>0</v>
      </c>
      <c r="BJ120" s="1479">
        <f t="shared" si="1235"/>
        <v>0</v>
      </c>
      <c r="BK120" s="1479">
        <f t="shared" si="1235"/>
        <v>0</v>
      </c>
      <c r="BL120" s="1479">
        <f t="shared" si="1235"/>
        <v>0</v>
      </c>
      <c r="BM120" s="1479">
        <f t="shared" si="1235"/>
        <v>0</v>
      </c>
      <c r="BN120" s="1479">
        <f t="shared" si="1235"/>
        <v>0</v>
      </c>
      <c r="BO120" s="1479"/>
      <c r="BP120" s="1479"/>
      <c r="BQ120" s="1479"/>
      <c r="BR120" s="1479"/>
      <c r="BS120" s="1479"/>
      <c r="BT120" s="1479">
        <f>IF(AO120&gt;AI120,AO120-AI120,0)</f>
        <v>0</v>
      </c>
      <c r="BU120" s="80"/>
      <c r="BV120" s="1571">
        <f t="shared" ref="BV120:CN120" ca="1" si="1236">IF(L120-SUM(OFFSET(AQ120,,-$J120+1,,$J120))-IF($J120&gt;1,SUM(OFFSET(BV120,,-$J120+1,,$J120-1)),0)&gt;0,L120-SUM(OFFSET(AQ120,,-$J120+1,,$J120))-IF($J120&gt;1,SUM(OFFSET(BV120,,-$J120+1,,$J120-1)),0),0)</f>
        <v>0</v>
      </c>
      <c r="BW120" s="1571">
        <f t="shared" ca="1" si="1236"/>
        <v>0</v>
      </c>
      <c r="BX120" s="1571">
        <f t="shared" ca="1" si="1236"/>
        <v>0</v>
      </c>
      <c r="BY120" s="1571">
        <f t="shared" ca="1" si="1236"/>
        <v>0</v>
      </c>
      <c r="BZ120" s="1571">
        <f t="shared" ca="1" si="1236"/>
        <v>1</v>
      </c>
      <c r="CA120" s="1571">
        <f t="shared" ca="1" si="1236"/>
        <v>0</v>
      </c>
      <c r="CB120" s="1571">
        <f t="shared" ca="1" si="1236"/>
        <v>0</v>
      </c>
      <c r="CC120" s="1571">
        <f t="shared" ca="1" si="1236"/>
        <v>0</v>
      </c>
      <c r="CD120" s="1571">
        <f t="shared" ca="1" si="1236"/>
        <v>1</v>
      </c>
      <c r="CE120" s="1571">
        <f t="shared" ca="1" si="1236"/>
        <v>0</v>
      </c>
      <c r="CF120" s="1571">
        <f t="shared" ca="1" si="1236"/>
        <v>0</v>
      </c>
      <c r="CG120" s="1571">
        <f t="shared" ca="1" si="1236"/>
        <v>0</v>
      </c>
      <c r="CH120" s="1571">
        <f t="shared" ca="1" si="1236"/>
        <v>1</v>
      </c>
      <c r="CI120" s="1571">
        <f t="shared" ca="1" si="1236"/>
        <v>0</v>
      </c>
      <c r="CJ120" s="1571">
        <f t="shared" ca="1" si="1236"/>
        <v>0</v>
      </c>
      <c r="CK120" s="1571">
        <f t="shared" ca="1" si="1236"/>
        <v>0</v>
      </c>
      <c r="CL120" s="1571">
        <f t="shared" ca="1" si="1236"/>
        <v>1</v>
      </c>
      <c r="CM120" s="1571">
        <f t="shared" ca="1" si="1236"/>
        <v>0</v>
      </c>
      <c r="CN120" s="1571">
        <f t="shared" ca="1" si="1236"/>
        <v>0</v>
      </c>
      <c r="CO120" s="1571">
        <f t="shared" ref="CO120" ca="1" si="1237">IF(AE120-SUM(OFFSET(BJ120,,-$J120+1,,$J120))-IF($J120&gt;1,SUM(OFFSET(CO120,,-$J120+1,,$J120-1)),0)&gt;0,AE120-SUM(OFFSET(BJ120,,-$J120+1,,$J120))-IF($J120&gt;1,SUM(OFFSET(CO120,,-$J120+1,,$J120-1)),0),0)</f>
        <v>0</v>
      </c>
      <c r="CP120" s="1571">
        <f t="shared" ref="CP120" ca="1" si="1238">IF(AF120-SUM(OFFSET(BK120,,-$J120+1,,$J120))-IF($J120&gt;1,SUM(OFFSET(CP120,,-$J120+1,,$J120-1)),0)&gt;0,AF120-SUM(OFFSET(BK120,,-$J120+1,,$J120))-IF($J120&gt;1,SUM(OFFSET(CP120,,-$J120+1,,$J120-1)),0),0)</f>
        <v>1</v>
      </c>
      <c r="CQ120" s="1571">
        <f t="shared" ref="CQ120" ca="1" si="1239">IF(AG120-SUM(OFFSET(BL120,,-$J120+1,,$J120))-IF($J120&gt;1,SUM(OFFSET(CQ120,,-$J120+1,,$J120-1)),0)&gt;0,AG120-SUM(OFFSET(BL120,,-$J120+1,,$J120))-IF($J120&gt;1,SUM(OFFSET(CQ120,,-$J120+1,,$J120-1)),0),0)</f>
        <v>0</v>
      </c>
      <c r="CR120" s="1571">
        <f t="shared" ref="CR120" ca="1" si="1240">IF(AH120-SUM(OFFSET(BM120,,-$J120+1,,$J120))-IF($J120&gt;1,SUM(OFFSET(CR120,,-$J120+1,,$J120-1)),0)&gt;0,AH120-SUM(OFFSET(BM120,,-$J120+1,,$J120))-IF($J120&gt;1,SUM(OFFSET(CR120,,-$J120+1,,$J120-1)),0),0)</f>
        <v>0</v>
      </c>
      <c r="CS120" s="1571">
        <f t="shared" ref="CS120" ca="1" si="1241">IF(AI120-SUM(OFFSET(BN120,,-$J120+1,,$J120))-IF($J120&gt;1,SUM(OFFSET(CS120,,-$J120+1,,$J120-1)),0)&gt;0,AI120-SUM(OFFSET(BN120,,-$J120+1,,$J120))-IF($J120&gt;1,SUM(OFFSET(CS120,,-$J120+1,,$J120-1)),0),0)</f>
        <v>0</v>
      </c>
      <c r="CT120" s="1571">
        <f t="shared" ref="CT120" ca="1" si="1242">IF(AJ120-SUM(OFFSET(BT120,,-$J120+1,,$J120))-IF($J120&gt;1,SUM(OFFSET(CT120,,-$J120+1,,$J120-1)),0)&gt;0,AJ120-SUM(OFFSET(BT120,,-$J120+1,,$J120))-IF($J120&gt;1,SUM(OFFSET(CT120,,-$J120+1,,$J120-1)),0),0)</f>
        <v>1</v>
      </c>
      <c r="CU120" s="1571">
        <f t="shared" ref="CU120" ca="1" si="1243">IF(AK120-SUM(OFFSET(BU120,,-$J120+1,,$J120))-IF($J120&gt;1,SUM(OFFSET(CU120,,-$J120+1,,$J120-1)),0)&gt;0,AK120-SUM(OFFSET(BU120,,-$J120+1,,$J120))-IF($J120&gt;1,SUM(OFFSET(CU120,,-$J120+1,,$J120-1)),0),0)</f>
        <v>0</v>
      </c>
      <c r="CV120" s="1571">
        <f t="shared" ref="CV120" ca="1" si="1244">IF(AL120-SUM(OFFSET(BV120,,-$J120+1,,$J120))-IF($J120&gt;1,SUM(OFFSET(CV120,,-$J120+1,,$J120-1)),0)&gt;0,AL120-SUM(OFFSET(BV120,,-$J120+1,,$J120))-IF($J120&gt;1,SUM(OFFSET(CV120,,-$J120+1,,$J120-1)),0),0)</f>
        <v>0</v>
      </c>
      <c r="CW120" s="1571">
        <f t="shared" ref="CW120" ca="1" si="1245">IF(AM120-SUM(OFFSET(BW120,,-$J120+1,,$J120))-IF($J120&gt;1,SUM(OFFSET(CW120,,-$J120+1,,$J120-1)),0)&gt;0,AM120-SUM(OFFSET(BW120,,-$J120+1,,$J120))-IF($J120&gt;1,SUM(OFFSET(CW120,,-$J120+1,,$J120-1)),0),0)</f>
        <v>0</v>
      </c>
      <c r="CX120" s="1571">
        <f t="shared" ref="CX120" ca="1" si="1246">IF(AN120-SUM(OFFSET(BX120,,-$J120+1,,$J120))-IF($J120&gt;1,SUM(OFFSET(CX120,,-$J120+1,,$J120-1)),0)&gt;0,AN120-SUM(OFFSET(BX120,,-$J120+1,,$J120))-IF($J120&gt;1,SUM(OFFSET(CX120,,-$J120+1,,$J120-1)),0),0)</f>
        <v>1</v>
      </c>
      <c r="CY120" s="1571">
        <f t="shared" ref="CY120" ca="1" si="1247">IF(AO120-SUM(OFFSET(BY120,,-$J120+1,,$J120))-IF($J120&gt;1,SUM(OFFSET(CY120,,-$J120+1,,$J120-1)),0)&gt;0,AO120-SUM(OFFSET(BY120,,-$J120+1,,$J120))-IF($J120&gt;1,SUM(OFFSET(CY120,,-$J120+1,,$J120-1)),0),0)</f>
        <v>0</v>
      </c>
      <c r="CZ120" s="78"/>
      <c r="DA120" s="1569">
        <f t="shared" ref="DA120:DP121" si="1248">AQ120*$H120</f>
        <v>0</v>
      </c>
      <c r="DB120" s="1569">
        <f t="shared" si="1248"/>
        <v>0</v>
      </c>
      <c r="DC120" s="1569">
        <f t="shared" si="1248"/>
        <v>0</v>
      </c>
      <c r="DD120" s="1569">
        <f t="shared" si="1248"/>
        <v>0</v>
      </c>
      <c r="DE120" s="1569">
        <f t="shared" si="1248"/>
        <v>0</v>
      </c>
      <c r="DF120" s="1569">
        <f t="shared" si="1248"/>
        <v>0</v>
      </c>
      <c r="DG120" s="1569">
        <f t="shared" si="1248"/>
        <v>0</v>
      </c>
      <c r="DH120" s="1569">
        <f t="shared" si="1248"/>
        <v>0</v>
      </c>
      <c r="DI120" s="1569">
        <f t="shared" si="1248"/>
        <v>0</v>
      </c>
      <c r="DJ120" s="1569">
        <f t="shared" si="1248"/>
        <v>0</v>
      </c>
      <c r="DK120" s="1569">
        <f t="shared" si="1248"/>
        <v>0</v>
      </c>
      <c r="DL120" s="865">
        <f t="shared" si="1248"/>
        <v>0</v>
      </c>
      <c r="DM120" s="1569">
        <f t="shared" si="1248"/>
        <v>0</v>
      </c>
      <c r="DN120" s="1569">
        <f t="shared" si="1248"/>
        <v>0</v>
      </c>
      <c r="DO120" s="1569">
        <f t="shared" si="1248"/>
        <v>0</v>
      </c>
      <c r="DP120" s="1569">
        <f t="shared" si="1248"/>
        <v>0</v>
      </c>
      <c r="DQ120" s="1569">
        <f t="shared" ref="DQ120:DX121" si="1249">BG120*$H120</f>
        <v>0</v>
      </c>
      <c r="DR120" s="1569">
        <f t="shared" si="1249"/>
        <v>0</v>
      </c>
      <c r="DS120" s="1569">
        <f t="shared" si="1249"/>
        <v>0</v>
      </c>
      <c r="DT120" s="1569">
        <f t="shared" si="1249"/>
        <v>0</v>
      </c>
      <c r="DU120" s="1569">
        <f t="shared" si="1249"/>
        <v>0</v>
      </c>
      <c r="DV120" s="1569">
        <f t="shared" si="1249"/>
        <v>0</v>
      </c>
      <c r="DW120" s="1569">
        <f t="shared" si="1249"/>
        <v>0</v>
      </c>
      <c r="DX120" s="1569">
        <f t="shared" si="1249"/>
        <v>0</v>
      </c>
      <c r="DY120" s="1569"/>
      <c r="DZ120" s="1569"/>
      <c r="EA120" s="1569"/>
      <c r="EB120" s="1569"/>
      <c r="EC120" s="1569"/>
      <c r="ED120" s="1569">
        <f>BT120*$H120</f>
        <v>0</v>
      </c>
      <c r="EE120" s="79"/>
      <c r="EF120" s="1569">
        <f t="shared" ref="EF120:EU121" ca="1" si="1250">BV120*$I120</f>
        <v>0</v>
      </c>
      <c r="EG120" s="1569">
        <f t="shared" ca="1" si="1250"/>
        <v>0</v>
      </c>
      <c r="EH120" s="1569">
        <f t="shared" ca="1" si="1250"/>
        <v>0</v>
      </c>
      <c r="EI120" s="1569">
        <f t="shared" ca="1" si="1250"/>
        <v>0</v>
      </c>
      <c r="EJ120" s="1569">
        <f t="shared" ca="1" si="1250"/>
        <v>0</v>
      </c>
      <c r="EK120" s="1569">
        <f t="shared" ca="1" si="1250"/>
        <v>0</v>
      </c>
      <c r="EL120" s="1569">
        <f t="shared" ca="1" si="1250"/>
        <v>0</v>
      </c>
      <c r="EM120" s="1569">
        <f t="shared" ca="1" si="1250"/>
        <v>0</v>
      </c>
      <c r="EN120" s="1569">
        <f t="shared" ca="1" si="1250"/>
        <v>0</v>
      </c>
      <c r="EO120" s="1569">
        <f t="shared" ca="1" si="1250"/>
        <v>0</v>
      </c>
      <c r="EP120" s="1569">
        <f t="shared" ca="1" si="1250"/>
        <v>0</v>
      </c>
      <c r="EQ120" s="865">
        <f t="shared" ca="1" si="1250"/>
        <v>0</v>
      </c>
      <c r="ER120" s="1569">
        <f t="shared" ca="1" si="1250"/>
        <v>0</v>
      </c>
      <c r="ES120" s="1569">
        <f t="shared" ca="1" si="1250"/>
        <v>0</v>
      </c>
      <c r="ET120" s="1569">
        <f t="shared" ca="1" si="1250"/>
        <v>0</v>
      </c>
      <c r="EU120" s="1569">
        <f t="shared" ca="1" si="1250"/>
        <v>0</v>
      </c>
      <c r="EV120" s="1569">
        <f t="shared" ref="EV120:EZ121" ca="1" si="1251">CL120*$I120</f>
        <v>0</v>
      </c>
      <c r="EW120" s="1569">
        <f t="shared" ca="1" si="1251"/>
        <v>0</v>
      </c>
      <c r="EX120" s="1569">
        <f t="shared" ca="1" si="1251"/>
        <v>0</v>
      </c>
      <c r="EY120" s="1569">
        <f t="shared" ca="1" si="1251"/>
        <v>0</v>
      </c>
      <c r="EZ120" s="1569">
        <f t="shared" ca="1" si="1251"/>
        <v>0</v>
      </c>
      <c r="FA120" s="1569">
        <f t="shared" ref="FA120:FA121" ca="1" si="1252">CQ120*$I120</f>
        <v>0</v>
      </c>
      <c r="FB120" s="1569">
        <f t="shared" ref="FB120:FB121" ca="1" si="1253">CR120*$I120</f>
        <v>0</v>
      </c>
      <c r="FC120" s="1569">
        <f t="shared" ref="FC120:FC121" ca="1" si="1254">CS120*$I120</f>
        <v>0</v>
      </c>
      <c r="FD120" s="1569">
        <f t="shared" ref="FD120:FD121" ca="1" si="1255">CT120*$I120</f>
        <v>0</v>
      </c>
      <c r="FE120" s="1569">
        <f t="shared" ref="FE120:FE121" ca="1" si="1256">CU120*$I120</f>
        <v>0</v>
      </c>
      <c r="FF120" s="1569">
        <f t="shared" ref="FF120:FF121" ca="1" si="1257">CV120*$I120</f>
        <v>0</v>
      </c>
      <c r="FG120" s="1569">
        <f t="shared" ref="FG120:FG121" ca="1" si="1258">CW120*$I120</f>
        <v>0</v>
      </c>
      <c r="FH120" s="1569">
        <f t="shared" ref="FH120:FH121" ca="1" si="1259">CX120*$I120</f>
        <v>0</v>
      </c>
      <c r="FI120" s="1569">
        <f t="shared" ref="FI120:FI121" ca="1" si="1260">CY120*$I120</f>
        <v>0</v>
      </c>
    </row>
    <row r="121" spans="1:166">
      <c r="A121" s="595"/>
      <c r="B121" s="598"/>
      <c r="C121" s="599"/>
      <c r="F121" s="1522" t="s">
        <v>1651</v>
      </c>
      <c r="G121" s="1623" t="s">
        <v>1718</v>
      </c>
      <c r="H121" s="1569">
        <f>'Sistemas - Cotações'!F24</f>
        <v>0</v>
      </c>
      <c r="I121" s="1569">
        <f>H121*0.8</f>
        <v>0</v>
      </c>
      <c r="J121" s="867">
        <v>8</v>
      </c>
      <c r="K121" s="76"/>
      <c r="L121" s="1479">
        <f>'Sistemas-Manutenção'!L117</f>
        <v>0</v>
      </c>
      <c r="M121" s="1479">
        <f>'Sistemas-Manutenção'!M117</f>
        <v>0</v>
      </c>
      <c r="N121" s="1479">
        <f>'Sistemas-Manutenção'!N117</f>
        <v>0</v>
      </c>
      <c r="O121" s="1479">
        <f>'Sistemas-Manutenção'!O117</f>
        <v>0</v>
      </c>
      <c r="P121" s="1479">
        <f>'Sistemas-Manutenção'!P117</f>
        <v>0</v>
      </c>
      <c r="Q121" s="1479">
        <f>'Sistemas-Manutenção'!Q117</f>
        <v>0</v>
      </c>
      <c r="R121" s="1479">
        <f>'Sistemas-Manutenção'!R117</f>
        <v>0</v>
      </c>
      <c r="S121" s="1479">
        <f>'Sistemas-Manutenção'!S117</f>
        <v>0</v>
      </c>
      <c r="T121" s="1479">
        <f>'Sistemas-Manutenção'!T117</f>
        <v>0</v>
      </c>
      <c r="U121" s="1479">
        <f>'Sistemas-Manutenção'!U117</f>
        <v>0</v>
      </c>
      <c r="V121" s="1479">
        <f>'Sistemas-Manutenção'!V117</f>
        <v>0</v>
      </c>
      <c r="W121" s="1479">
        <f>'Sistemas-Manutenção'!W117</f>
        <v>0</v>
      </c>
      <c r="X121" s="1479">
        <f>'Sistemas-Manutenção'!X117</f>
        <v>0</v>
      </c>
      <c r="Y121" s="1479">
        <f>'Sistemas-Manutenção'!Y117</f>
        <v>0</v>
      </c>
      <c r="Z121" s="1479">
        <f>'Sistemas-Manutenção'!Z117</f>
        <v>0</v>
      </c>
      <c r="AA121" s="1479">
        <f>'Sistemas-Manutenção'!AA117</f>
        <v>0</v>
      </c>
      <c r="AB121" s="1479">
        <f>'Sistemas-Manutenção'!AB117</f>
        <v>0</v>
      </c>
      <c r="AC121" s="1479">
        <f>'Sistemas-Manutenção'!AC117</f>
        <v>0</v>
      </c>
      <c r="AD121" s="1479">
        <f>'Sistemas-Manutenção'!AD117</f>
        <v>0</v>
      </c>
      <c r="AE121" s="1479">
        <f>'Sistemas-Manutenção'!AE117</f>
        <v>0</v>
      </c>
      <c r="AF121" s="1479">
        <f>'Sistemas-Manutenção'!AF117</f>
        <v>0</v>
      </c>
      <c r="AG121" s="1479">
        <f>'Sistemas-Manutenção'!AG117</f>
        <v>0</v>
      </c>
      <c r="AH121" s="1479">
        <f>'Sistemas-Manutenção'!AH117</f>
        <v>0</v>
      </c>
      <c r="AI121" s="1479">
        <f>'Sistemas-Manutenção'!AI117</f>
        <v>0</v>
      </c>
      <c r="AJ121" s="1479">
        <f>'Sistemas-Manutenção'!AJ117</f>
        <v>0</v>
      </c>
      <c r="AK121" s="1479">
        <f>'Sistemas-Manutenção'!AK117</f>
        <v>0</v>
      </c>
      <c r="AL121" s="1479">
        <f>'Sistemas-Manutenção'!AL117</f>
        <v>0</v>
      </c>
      <c r="AM121" s="1479">
        <f>'Sistemas-Manutenção'!AM117</f>
        <v>0</v>
      </c>
      <c r="AN121" s="1479">
        <f>'Sistemas-Manutenção'!AN117</f>
        <v>0</v>
      </c>
      <c r="AO121" s="1479">
        <f>'Sistemas-Manutenção'!AO117</f>
        <v>0</v>
      </c>
      <c r="AP121" s="77"/>
      <c r="AQ121" s="1479">
        <f t="shared" si="1235"/>
        <v>0</v>
      </c>
      <c r="AR121" s="1479">
        <f t="shared" ref="AR121" si="1261">IF(M121&gt;L121,M121-L121,0)</f>
        <v>0</v>
      </c>
      <c r="AS121" s="1479">
        <f t="shared" ref="AS121" si="1262">IF(N121&gt;M121,N121-M121,0)</f>
        <v>0</v>
      </c>
      <c r="AT121" s="1479">
        <f t="shared" ref="AT121" si="1263">IF(O121&gt;N121,O121-N121,0)</f>
        <v>0</v>
      </c>
      <c r="AU121" s="1479">
        <f t="shared" ref="AU121" si="1264">IF(P121&gt;O121,P121-O121,0)</f>
        <v>0</v>
      </c>
      <c r="AV121" s="1479">
        <f t="shared" ref="AV121" si="1265">IF(Q121&gt;P121,Q121-P121,0)</f>
        <v>0</v>
      </c>
      <c r="AW121" s="1479">
        <f t="shared" ref="AW121" si="1266">IF(R121&gt;Q121,R121-Q121,0)</f>
        <v>0</v>
      </c>
      <c r="AX121" s="1479">
        <f t="shared" ref="AX121" si="1267">IF(S121&gt;R121,S121-R121,0)</f>
        <v>0</v>
      </c>
      <c r="AY121" s="1479">
        <f t="shared" ref="AY121" si="1268">IF(T121&gt;S121,T121-S121,0)</f>
        <v>0</v>
      </c>
      <c r="AZ121" s="1479">
        <f t="shared" ref="AZ121" si="1269">IF(U121&gt;T121,U121-T121,0)</f>
        <v>0</v>
      </c>
      <c r="BA121" s="1479">
        <f t="shared" ref="BA121" si="1270">IF(V121&gt;U121,V121-U121,0)</f>
        <v>0</v>
      </c>
      <c r="BB121" s="1479">
        <f t="shared" ref="BB121" si="1271">IF(W121&gt;V121,W121-V121,0)</f>
        <v>0</v>
      </c>
      <c r="BC121" s="1479">
        <f t="shared" ref="BC121" si="1272">IF(X121&gt;W121,X121-W121,0)</f>
        <v>0</v>
      </c>
      <c r="BD121" s="1479">
        <f t="shared" ref="BD121" si="1273">IF(Y121&gt;X121,Y121-X121,0)</f>
        <v>0</v>
      </c>
      <c r="BE121" s="1479">
        <f t="shared" ref="BE121" si="1274">IF(Z121&gt;Y121,Z121-Y121,0)</f>
        <v>0</v>
      </c>
      <c r="BF121" s="1479">
        <f t="shared" ref="BF121" si="1275">IF(AA121&gt;Z121,AA121-Z121,0)</f>
        <v>0</v>
      </c>
      <c r="BG121" s="1479">
        <f t="shared" ref="BG121" si="1276">IF(AB121&gt;AA121,AB121-AA121,0)</f>
        <v>0</v>
      </c>
      <c r="BH121" s="1479">
        <f t="shared" ref="BH121" si="1277">IF(AC121&gt;AB121,AC121-AB121,0)</f>
        <v>0</v>
      </c>
      <c r="BI121" s="1479">
        <f t="shared" ref="BI121" si="1278">IF(AD121&gt;AC121,AD121-AC121,0)</f>
        <v>0</v>
      </c>
      <c r="BJ121" s="1479">
        <f t="shared" ref="BJ121" si="1279">IF(AE121&gt;AD121,AE121-AD121,0)</f>
        <v>0</v>
      </c>
      <c r="BK121" s="1479">
        <f t="shared" ref="BK121" si="1280">IF(AF121&gt;AE121,AF121-AE121,0)</f>
        <v>0</v>
      </c>
      <c r="BL121" s="1479">
        <f t="shared" ref="BL121" si="1281">IF(AG121&gt;AF121,AG121-AF121,0)</f>
        <v>0</v>
      </c>
      <c r="BM121" s="1479">
        <f t="shared" ref="BM121" si="1282">IF(AH121&gt;AG121,AH121-AG121,0)</f>
        <v>0</v>
      </c>
      <c r="BN121" s="1479">
        <f t="shared" ref="BN121" si="1283">IF(AI121&gt;AH121,AI121-AH121,0)</f>
        <v>0</v>
      </c>
      <c r="BO121" s="1479"/>
      <c r="BP121" s="1479"/>
      <c r="BQ121" s="1479"/>
      <c r="BR121" s="1479"/>
      <c r="BS121" s="1479"/>
      <c r="BT121" s="1479">
        <f t="shared" ref="BT121" si="1284">IF(AJ121&gt;AI121,AJ121-AI121,0)</f>
        <v>0</v>
      </c>
      <c r="BU121" s="77"/>
      <c r="BV121" s="1571">
        <f ca="1">IF(L121-SUM(OFFSET(AQ121,,-$J121+1,,$J121))-IF($J121&gt;1,SUM(OFFSET(BV121,,-$J121+1,,$J121-1)),0)&gt;0,L121-SUM(OFFSET(AQ121,,-$J121+1,,$J121))-IF($J121&gt;1,SUM(OFFSET(BV121,,-$J121+1,,$J121-1)),0),0)</f>
        <v>0</v>
      </c>
      <c r="BW121" s="1571">
        <f t="shared" ref="BW121" ca="1" si="1285">IF(M121-SUM(OFFSET(AR121,,-$J121+1,,$J121))-IF($J121&gt;1,SUM(OFFSET(BW121,,-$J121+1,,$J121-1)),0)&gt;0,M121-SUM(OFFSET(AR121,,-$J121+1,,$J121))-IF($J121&gt;1,SUM(OFFSET(BW121,,-$J121+1,,$J121-1)),0),0)</f>
        <v>0</v>
      </c>
      <c r="BX121" s="1571">
        <f t="shared" ref="BX121" ca="1" si="1286">IF(N121-SUM(OFFSET(AS121,,-$J121+1,,$J121))-IF($J121&gt;1,SUM(OFFSET(BX121,,-$J121+1,,$J121-1)),0)&gt;0,N121-SUM(OFFSET(AS121,,-$J121+1,,$J121))-IF($J121&gt;1,SUM(OFFSET(BX121,,-$J121+1,,$J121-1)),0),0)</f>
        <v>0</v>
      </c>
      <c r="BY121" s="1571">
        <f t="shared" ref="BY121" ca="1" si="1287">IF(O121-SUM(OFFSET(AT121,,-$J121+1,,$J121))-IF($J121&gt;1,SUM(OFFSET(BY121,,-$J121+1,,$J121-1)),0)&gt;0,O121-SUM(OFFSET(AT121,,-$J121+1,,$J121))-IF($J121&gt;1,SUM(OFFSET(BY121,,-$J121+1,,$J121-1)),0),0)</f>
        <v>0</v>
      </c>
      <c r="BZ121" s="1571">
        <f t="shared" ref="BZ121" ca="1" si="1288">IF(P121-SUM(OFFSET(AU121,,-$J121+1,,$J121))-IF($J121&gt;1,SUM(OFFSET(BZ121,,-$J121+1,,$J121-1)),0)&gt;0,P121-SUM(OFFSET(AU121,,-$J121+1,,$J121))-IF($J121&gt;1,SUM(OFFSET(BZ121,,-$J121+1,,$J121-1)),0),0)</f>
        <v>0</v>
      </c>
      <c r="CA121" s="1571">
        <f t="shared" ref="CA121" ca="1" si="1289">IF(Q121-SUM(OFFSET(AV121,,-$J121+1,,$J121))-IF($J121&gt;1,SUM(OFFSET(CA121,,-$J121+1,,$J121-1)),0)&gt;0,Q121-SUM(OFFSET(AV121,,-$J121+1,,$J121))-IF($J121&gt;1,SUM(OFFSET(CA121,,-$J121+1,,$J121-1)),0),0)</f>
        <v>0</v>
      </c>
      <c r="CB121" s="1571">
        <f t="shared" ref="CB121" ca="1" si="1290">IF(R121-SUM(OFFSET(AW121,,-$J121+1,,$J121))-IF($J121&gt;1,SUM(OFFSET(CB121,,-$J121+1,,$J121-1)),0)&gt;0,R121-SUM(OFFSET(AW121,,-$J121+1,,$J121))-IF($J121&gt;1,SUM(OFFSET(CB121,,-$J121+1,,$J121-1)),0),0)</f>
        <v>0</v>
      </c>
      <c r="CC121" s="1571">
        <f t="shared" ref="CC121" ca="1" si="1291">IF(S121-SUM(OFFSET(AX121,,-$J121+1,,$J121))-IF($J121&gt;1,SUM(OFFSET(CC121,,-$J121+1,,$J121-1)),0)&gt;0,S121-SUM(OFFSET(AX121,,-$J121+1,,$J121))-IF($J121&gt;1,SUM(OFFSET(CC121,,-$J121+1,,$J121-1)),0),0)</f>
        <v>0</v>
      </c>
      <c r="CD121" s="1571">
        <f t="shared" ref="CD121" ca="1" si="1292">IF(T121-SUM(OFFSET(AY121,,-$J121+1,,$J121))-IF($J121&gt;1,SUM(OFFSET(CD121,,-$J121+1,,$J121-1)),0)&gt;0,T121-SUM(OFFSET(AY121,,-$J121+1,,$J121))-IF($J121&gt;1,SUM(OFFSET(CD121,,-$J121+1,,$J121-1)),0),0)</f>
        <v>0</v>
      </c>
      <c r="CE121" s="1571">
        <f t="shared" ref="CE121" ca="1" si="1293">IF(U121-SUM(OFFSET(AZ121,,-$J121+1,,$J121))-IF($J121&gt;1,SUM(OFFSET(CE121,,-$J121+1,,$J121-1)),0)&gt;0,U121-SUM(OFFSET(AZ121,,-$J121+1,,$J121))-IF($J121&gt;1,SUM(OFFSET(CE121,,-$J121+1,,$J121-1)),0),0)</f>
        <v>0</v>
      </c>
      <c r="CF121" s="1571">
        <f t="shared" ref="CF121" ca="1" si="1294">IF(V121-SUM(OFFSET(BA121,,-$J121+1,,$J121))-IF($J121&gt;1,SUM(OFFSET(CF121,,-$J121+1,,$J121-1)),0)&gt;0,V121-SUM(OFFSET(BA121,,-$J121+1,,$J121))-IF($J121&gt;1,SUM(OFFSET(CF121,,-$J121+1,,$J121-1)),0),0)</f>
        <v>0</v>
      </c>
      <c r="CG121" s="1571">
        <f t="shared" ref="CG121" ca="1" si="1295">IF(W121-SUM(OFFSET(BB121,,-$J121+1,,$J121))-IF($J121&gt;1,SUM(OFFSET(CG121,,-$J121+1,,$J121-1)),0)&gt;0,W121-SUM(OFFSET(BB121,,-$J121+1,,$J121))-IF($J121&gt;1,SUM(OFFSET(CG121,,-$J121+1,,$J121-1)),0),0)</f>
        <v>0</v>
      </c>
      <c r="CH121" s="1571">
        <f t="shared" ref="CH121" ca="1" si="1296">IF(X121-SUM(OFFSET(BC121,,-$J121+1,,$J121))-IF($J121&gt;1,SUM(OFFSET(CH121,,-$J121+1,,$J121-1)),0)&gt;0,X121-SUM(OFFSET(BC121,,-$J121+1,,$J121))-IF($J121&gt;1,SUM(OFFSET(CH121,,-$J121+1,,$J121-1)),0),0)</f>
        <v>0</v>
      </c>
      <c r="CI121" s="1571">
        <f t="shared" ref="CI121" ca="1" si="1297">IF(Y121-SUM(OFFSET(BD121,,-$J121+1,,$J121))-IF($J121&gt;1,SUM(OFFSET(CI121,,-$J121+1,,$J121-1)),0)&gt;0,Y121-SUM(OFFSET(BD121,,-$J121+1,,$J121))-IF($J121&gt;1,SUM(OFFSET(CI121,,-$J121+1,,$J121-1)),0),0)</f>
        <v>0</v>
      </c>
      <c r="CJ121" s="1571">
        <f t="shared" ref="CJ121" ca="1" si="1298">IF(Z121-SUM(OFFSET(BE121,,-$J121+1,,$J121))-IF($J121&gt;1,SUM(OFFSET(CJ121,,-$J121+1,,$J121-1)),0)&gt;0,Z121-SUM(OFFSET(BE121,,-$J121+1,,$J121))-IF($J121&gt;1,SUM(OFFSET(CJ121,,-$J121+1,,$J121-1)),0),0)</f>
        <v>0</v>
      </c>
      <c r="CK121" s="1571">
        <f t="shared" ref="CK121" ca="1" si="1299">IF(AA121-SUM(OFFSET(BF121,,-$J121+1,,$J121))-IF($J121&gt;1,SUM(OFFSET(CK121,,-$J121+1,,$J121-1)),0)&gt;0,AA121-SUM(OFFSET(BF121,,-$J121+1,,$J121))-IF($J121&gt;1,SUM(OFFSET(CK121,,-$J121+1,,$J121-1)),0),0)</f>
        <v>0</v>
      </c>
      <c r="CL121" s="1571">
        <f t="shared" ref="CL121" ca="1" si="1300">IF(AB121-SUM(OFFSET(BG121,,-$J121+1,,$J121))-IF($J121&gt;1,SUM(OFFSET(CL121,,-$J121+1,,$J121-1)),0)&gt;0,AB121-SUM(OFFSET(BG121,,-$J121+1,,$J121))-IF($J121&gt;1,SUM(OFFSET(CL121,,-$J121+1,,$J121-1)),0),0)</f>
        <v>0</v>
      </c>
      <c r="CM121" s="1571">
        <f t="shared" ref="CM121" ca="1" si="1301">IF(AC121-SUM(OFFSET(BH121,,-$J121+1,,$J121))-IF($J121&gt;1,SUM(OFFSET(CM121,,-$J121+1,,$J121-1)),0)&gt;0,AC121-SUM(OFFSET(BH121,,-$J121+1,,$J121))-IF($J121&gt;1,SUM(OFFSET(CM121,,-$J121+1,,$J121-1)),0),0)</f>
        <v>0</v>
      </c>
      <c r="CN121" s="1571">
        <f t="shared" ref="CN121" ca="1" si="1302">IF(AD121-SUM(OFFSET(BI121,,-$J121+1,,$J121))-IF($J121&gt;1,SUM(OFFSET(CN121,,-$J121+1,,$J121-1)),0)&gt;0,AD121-SUM(OFFSET(BI121,,-$J121+1,,$J121))-IF($J121&gt;1,SUM(OFFSET(CN121,,-$J121+1,,$J121-1)),0),0)</f>
        <v>0</v>
      </c>
      <c r="CO121" s="1571">
        <f t="shared" ref="CO121" ca="1" si="1303">IF(AE121-SUM(OFFSET(BJ121,,-$J121+1,,$J121))-IF($J121&gt;1,SUM(OFFSET(CO121,,-$J121+1,,$J121-1)),0)&gt;0,AE121-SUM(OFFSET(BJ121,,-$J121+1,,$J121))-IF($J121&gt;1,SUM(OFFSET(CO121,,-$J121+1,,$J121-1)),0),0)</f>
        <v>0</v>
      </c>
      <c r="CP121" s="1571">
        <f t="shared" ref="CP121" ca="1" si="1304">IF(AF121-SUM(OFFSET(BK121,,-$J121+1,,$J121))-IF($J121&gt;1,SUM(OFFSET(CP121,,-$J121+1,,$J121-1)),0)&gt;0,AF121-SUM(OFFSET(BK121,,-$J121+1,,$J121))-IF($J121&gt;1,SUM(OFFSET(CP121,,-$J121+1,,$J121-1)),0),0)</f>
        <v>0</v>
      </c>
      <c r="CQ121" s="1571">
        <f t="shared" ref="CQ121" ca="1" si="1305">IF(AG121-SUM(OFFSET(BL121,,-$J121+1,,$J121))-IF($J121&gt;1,SUM(OFFSET(CQ121,,-$J121+1,,$J121-1)),0)&gt;0,AG121-SUM(OFFSET(BL121,,-$J121+1,,$J121))-IF($J121&gt;1,SUM(OFFSET(CQ121,,-$J121+1,,$J121-1)),0),0)</f>
        <v>0</v>
      </c>
      <c r="CR121" s="1571">
        <f t="shared" ref="CR121" ca="1" si="1306">IF(AH121-SUM(OFFSET(BM121,,-$J121+1,,$J121))-IF($J121&gt;1,SUM(OFFSET(CR121,,-$J121+1,,$J121-1)),0)&gt;0,AH121-SUM(OFFSET(BM121,,-$J121+1,,$J121))-IF($J121&gt;1,SUM(OFFSET(CR121,,-$J121+1,,$J121-1)),0),0)</f>
        <v>0</v>
      </c>
      <c r="CS121" s="1571">
        <f t="shared" ref="CS121" ca="1" si="1307">IF(AI121-SUM(OFFSET(BN121,,-$J121+1,,$J121))-IF($J121&gt;1,SUM(OFFSET(CS121,,-$J121+1,,$J121-1)),0)&gt;0,AI121-SUM(OFFSET(BN121,,-$J121+1,,$J121))-IF($J121&gt;1,SUM(OFFSET(CS121,,-$J121+1,,$J121-1)),0),0)</f>
        <v>0</v>
      </c>
      <c r="CT121" s="1571">
        <f t="shared" ref="CT121" ca="1" si="1308">IF(AJ121-SUM(OFFSET(BT121,,-$J121+1,,$J121))-IF($J121&gt;1,SUM(OFFSET(CT121,,-$J121+1,,$J121-1)),0)&gt;0,AJ121-SUM(OFFSET(BT121,,-$J121+1,,$J121))-IF($J121&gt;1,SUM(OFFSET(CT121,,-$J121+1,,$J121-1)),0),0)</f>
        <v>0</v>
      </c>
      <c r="CU121" s="1571">
        <f t="shared" ref="CU121" ca="1" si="1309">IF(AK121-SUM(OFFSET(BU121,,-$J121+1,,$J121))-IF($J121&gt;1,SUM(OFFSET(CU121,,-$J121+1,,$J121-1)),0)&gt;0,AK121-SUM(OFFSET(BU121,,-$J121+1,,$J121))-IF($J121&gt;1,SUM(OFFSET(CU121,,-$J121+1,,$J121-1)),0),0)</f>
        <v>0</v>
      </c>
      <c r="CV121" s="1571">
        <f t="shared" ref="CV121" ca="1" si="1310">IF(AL121-SUM(OFFSET(BV121,,-$J121+1,,$J121))-IF($J121&gt;1,SUM(OFFSET(CV121,,-$J121+1,,$J121-1)),0)&gt;0,AL121-SUM(OFFSET(BV121,,-$J121+1,,$J121))-IF($J121&gt;1,SUM(OFFSET(CV121,,-$J121+1,,$J121-1)),0),0)</f>
        <v>0</v>
      </c>
      <c r="CW121" s="1571">
        <f t="shared" ref="CW121" ca="1" si="1311">IF(AM121-SUM(OFFSET(BW121,,-$J121+1,,$J121))-IF($J121&gt;1,SUM(OFFSET(CW121,,-$J121+1,,$J121-1)),0)&gt;0,AM121-SUM(OFFSET(BW121,,-$J121+1,,$J121))-IF($J121&gt;1,SUM(OFFSET(CW121,,-$J121+1,,$J121-1)),0),0)</f>
        <v>0</v>
      </c>
      <c r="CX121" s="1571">
        <f t="shared" ref="CX121" ca="1" si="1312">IF(AN121-SUM(OFFSET(BX121,,-$J121+1,,$J121))-IF($J121&gt;1,SUM(OFFSET(CX121,,-$J121+1,,$J121-1)),0)&gt;0,AN121-SUM(OFFSET(BX121,,-$J121+1,,$J121))-IF($J121&gt;1,SUM(OFFSET(CX121,,-$J121+1,,$J121-1)),0),0)</f>
        <v>0</v>
      </c>
      <c r="CY121" s="1571">
        <f t="shared" ref="CY121" ca="1" si="1313">IF(AO121-SUM(OFFSET(BY121,,-$J121+1,,$J121))-IF($J121&gt;1,SUM(OFFSET(CY121,,-$J121+1,,$J121-1)),0)&gt;0,AO121-SUM(OFFSET(BY121,,-$J121+1,,$J121))-IF($J121&gt;1,SUM(OFFSET(CY121,,-$J121+1,,$J121-1)),0),0)</f>
        <v>0</v>
      </c>
      <c r="CZ121" s="78"/>
      <c r="DA121" s="1572">
        <f t="shared" si="1248"/>
        <v>0</v>
      </c>
      <c r="DB121" s="1572">
        <f t="shared" si="1248"/>
        <v>0</v>
      </c>
      <c r="DC121" s="1572">
        <f t="shared" si="1248"/>
        <v>0</v>
      </c>
      <c r="DD121" s="1572">
        <f t="shared" si="1248"/>
        <v>0</v>
      </c>
      <c r="DE121" s="1572">
        <f t="shared" si="1248"/>
        <v>0</v>
      </c>
      <c r="DF121" s="1572">
        <f t="shared" si="1248"/>
        <v>0</v>
      </c>
      <c r="DG121" s="1572">
        <f t="shared" si="1248"/>
        <v>0</v>
      </c>
      <c r="DH121" s="1572">
        <f t="shared" si="1248"/>
        <v>0</v>
      </c>
      <c r="DI121" s="1572">
        <f t="shared" si="1248"/>
        <v>0</v>
      </c>
      <c r="DJ121" s="1572">
        <f t="shared" si="1248"/>
        <v>0</v>
      </c>
      <c r="DK121" s="1572">
        <f t="shared" si="1248"/>
        <v>0</v>
      </c>
      <c r="DL121" s="1572">
        <f t="shared" si="1248"/>
        <v>0</v>
      </c>
      <c r="DM121" s="1572">
        <f t="shared" si="1248"/>
        <v>0</v>
      </c>
      <c r="DN121" s="1572">
        <f t="shared" si="1248"/>
        <v>0</v>
      </c>
      <c r="DO121" s="1572">
        <f t="shared" si="1248"/>
        <v>0</v>
      </c>
      <c r="DP121" s="1572">
        <f t="shared" si="1248"/>
        <v>0</v>
      </c>
      <c r="DQ121" s="1572">
        <f t="shared" si="1249"/>
        <v>0</v>
      </c>
      <c r="DR121" s="1572">
        <f t="shared" si="1249"/>
        <v>0</v>
      </c>
      <c r="DS121" s="1572">
        <f t="shared" si="1249"/>
        <v>0</v>
      </c>
      <c r="DT121" s="1572">
        <f t="shared" si="1249"/>
        <v>0</v>
      </c>
      <c r="DU121" s="1572">
        <f>BK121*$H121</f>
        <v>0</v>
      </c>
      <c r="DV121" s="1572">
        <f>BL121*$H121</f>
        <v>0</v>
      </c>
      <c r="DW121" s="1572">
        <f>BM121*$H121</f>
        <v>0</v>
      </c>
      <c r="DX121" s="1572">
        <f>BN121*$H121</f>
        <v>0</v>
      </c>
      <c r="DY121" s="1572"/>
      <c r="DZ121" s="1572"/>
      <c r="EA121" s="1572"/>
      <c r="EB121" s="1572"/>
      <c r="EC121" s="1572"/>
      <c r="ED121" s="1572">
        <f>BT121*$H121</f>
        <v>0</v>
      </c>
      <c r="EE121" s="79"/>
      <c r="EF121" s="1572">
        <f t="shared" ca="1" si="1250"/>
        <v>0</v>
      </c>
      <c r="EG121" s="1572">
        <f t="shared" ca="1" si="1250"/>
        <v>0</v>
      </c>
      <c r="EH121" s="1572">
        <f t="shared" ca="1" si="1250"/>
        <v>0</v>
      </c>
      <c r="EI121" s="1572">
        <f t="shared" ca="1" si="1250"/>
        <v>0</v>
      </c>
      <c r="EJ121" s="1572">
        <f t="shared" ca="1" si="1250"/>
        <v>0</v>
      </c>
      <c r="EK121" s="1572">
        <f t="shared" ca="1" si="1250"/>
        <v>0</v>
      </c>
      <c r="EL121" s="1572">
        <f t="shared" ca="1" si="1250"/>
        <v>0</v>
      </c>
      <c r="EM121" s="1572">
        <f t="shared" ca="1" si="1250"/>
        <v>0</v>
      </c>
      <c r="EN121" s="1572">
        <f t="shared" ca="1" si="1250"/>
        <v>0</v>
      </c>
      <c r="EO121" s="1572">
        <f t="shared" ca="1" si="1250"/>
        <v>0</v>
      </c>
      <c r="EP121" s="1572">
        <f t="shared" ca="1" si="1250"/>
        <v>0</v>
      </c>
      <c r="EQ121" s="1572">
        <f t="shared" ca="1" si="1250"/>
        <v>0</v>
      </c>
      <c r="ER121" s="1572">
        <f t="shared" ca="1" si="1250"/>
        <v>0</v>
      </c>
      <c r="ES121" s="1572">
        <f t="shared" ca="1" si="1250"/>
        <v>0</v>
      </c>
      <c r="ET121" s="1572">
        <f t="shared" ca="1" si="1250"/>
        <v>0</v>
      </c>
      <c r="EU121" s="1572">
        <f t="shared" ca="1" si="1250"/>
        <v>0</v>
      </c>
      <c r="EV121" s="1572">
        <f t="shared" ca="1" si="1251"/>
        <v>0</v>
      </c>
      <c r="EW121" s="1572">
        <f t="shared" ca="1" si="1251"/>
        <v>0</v>
      </c>
      <c r="EX121" s="1572">
        <f t="shared" ca="1" si="1251"/>
        <v>0</v>
      </c>
      <c r="EY121" s="1572">
        <f t="shared" ca="1" si="1251"/>
        <v>0</v>
      </c>
      <c r="EZ121" s="1572">
        <f t="shared" ca="1" si="1251"/>
        <v>0</v>
      </c>
      <c r="FA121" s="1572">
        <f t="shared" ca="1" si="1252"/>
        <v>0</v>
      </c>
      <c r="FB121" s="1572">
        <f t="shared" ca="1" si="1253"/>
        <v>0</v>
      </c>
      <c r="FC121" s="1572">
        <f t="shared" ca="1" si="1254"/>
        <v>0</v>
      </c>
      <c r="FD121" s="1572">
        <f t="shared" ca="1" si="1255"/>
        <v>0</v>
      </c>
      <c r="FE121" s="1572">
        <f t="shared" ca="1" si="1256"/>
        <v>0</v>
      </c>
      <c r="FF121" s="1572">
        <f t="shared" ca="1" si="1257"/>
        <v>0</v>
      </c>
      <c r="FG121" s="1572">
        <f t="shared" ca="1" si="1258"/>
        <v>0</v>
      </c>
      <c r="FH121" s="1572">
        <f t="shared" ca="1" si="1259"/>
        <v>0</v>
      </c>
      <c r="FI121" s="1572">
        <f t="shared" ca="1" si="1260"/>
        <v>0</v>
      </c>
    </row>
    <row r="122" spans="1:166">
      <c r="A122" s="595"/>
      <c r="B122" s="598"/>
      <c r="C122" s="599"/>
      <c r="H122" s="91"/>
      <c r="I122" s="91"/>
      <c r="J122" s="92"/>
      <c r="K122" s="93"/>
      <c r="DA122" s="313"/>
      <c r="DB122" s="267"/>
      <c r="DC122" s="267"/>
      <c r="DD122" s="267"/>
      <c r="DE122" s="267"/>
      <c r="DF122" s="267"/>
      <c r="DG122" s="267"/>
      <c r="DH122" s="267"/>
      <c r="DI122" s="267"/>
      <c r="DJ122" s="267"/>
      <c r="DK122" s="267"/>
      <c r="DL122" s="267"/>
      <c r="DM122" s="267"/>
      <c r="DN122" s="267"/>
      <c r="DO122" s="267"/>
      <c r="DP122" s="267"/>
      <c r="DQ122" s="267"/>
      <c r="DR122" s="267"/>
      <c r="DS122" s="267"/>
      <c r="DT122" s="267"/>
      <c r="DU122" s="267"/>
      <c r="DV122" s="267"/>
      <c r="DW122" s="267"/>
      <c r="DX122" s="267"/>
      <c r="DY122" s="267"/>
      <c r="DZ122" s="267"/>
      <c r="EA122" s="267"/>
      <c r="EB122" s="267"/>
      <c r="EC122" s="267"/>
      <c r="ED122" s="267"/>
    </row>
    <row r="123" spans="1:166">
      <c r="A123" s="595"/>
      <c r="B123" s="598"/>
      <c r="C123" s="599"/>
      <c r="F123" s="1171" t="s">
        <v>1752</v>
      </c>
      <c r="G123" s="1624"/>
      <c r="H123" s="1625">
        <f ca="1">SUM(DA123:ED123)</f>
        <v>47917449.184594229</v>
      </c>
      <c r="I123" s="1625">
        <f ca="1">SUM(EF123:FI123)</f>
        <v>5234068.4147548508</v>
      </c>
      <c r="J123" s="1626"/>
      <c r="K123" s="1532"/>
      <c r="L123" s="1627"/>
      <c r="M123" s="1627"/>
      <c r="N123" s="1627"/>
      <c r="O123" s="1627"/>
      <c r="P123" s="1627"/>
      <c r="Q123" s="1627"/>
      <c r="R123" s="1627"/>
      <c r="S123" s="1627"/>
      <c r="T123" s="1627"/>
      <c r="U123" s="1627"/>
      <c r="V123" s="1627"/>
      <c r="W123" s="1627"/>
      <c r="X123" s="1627"/>
      <c r="Y123" s="1627"/>
      <c r="Z123" s="1627"/>
      <c r="AA123" s="1627"/>
      <c r="AB123" s="1627"/>
      <c r="AC123" s="1627"/>
      <c r="AD123" s="1627"/>
      <c r="AE123" s="1627"/>
      <c r="AF123" s="1627"/>
      <c r="AG123" s="1627"/>
      <c r="AH123" s="1627"/>
      <c r="AI123" s="1627"/>
      <c r="AJ123" s="1627"/>
      <c r="AK123" s="1627"/>
      <c r="AL123" s="1627"/>
      <c r="AM123" s="1627"/>
      <c r="AN123" s="1627"/>
      <c r="AO123" s="1627"/>
      <c r="AP123" s="1627"/>
      <c r="AQ123" s="1627"/>
      <c r="AR123" s="1627"/>
      <c r="AS123" s="1627"/>
      <c r="AT123" s="1627"/>
      <c r="AU123" s="1627"/>
      <c r="AV123" s="1627"/>
      <c r="AW123" s="1627"/>
      <c r="AX123" s="1627"/>
      <c r="AY123" s="1627"/>
      <c r="AZ123" s="1627"/>
      <c r="BA123" s="1627"/>
      <c r="BB123" s="1627"/>
      <c r="BC123" s="1627"/>
      <c r="BD123" s="1627"/>
      <c r="BE123" s="1627"/>
      <c r="BF123" s="1627"/>
      <c r="BG123" s="1627"/>
      <c r="BH123" s="1627"/>
      <c r="BI123" s="1627"/>
      <c r="BJ123" s="1627"/>
      <c r="BK123" s="1627"/>
      <c r="BL123" s="1627"/>
      <c r="BM123" s="1627"/>
      <c r="BN123" s="1627"/>
      <c r="BO123" s="1627"/>
      <c r="BP123" s="1627"/>
      <c r="BQ123" s="1627"/>
      <c r="BR123" s="1627"/>
      <c r="BS123" s="1627"/>
      <c r="BT123" s="1627"/>
      <c r="BU123" s="1627"/>
      <c r="BV123" s="1627"/>
      <c r="BW123" s="1627"/>
      <c r="BX123" s="1627"/>
      <c r="BY123" s="1627"/>
      <c r="BZ123" s="1627"/>
      <c r="CA123" s="1627"/>
      <c r="CB123" s="1627"/>
      <c r="CC123" s="1627"/>
      <c r="CD123" s="1627"/>
      <c r="CE123" s="1627"/>
      <c r="CF123" s="1627"/>
      <c r="CG123" s="1627"/>
      <c r="CH123" s="1627"/>
      <c r="CI123" s="1627"/>
      <c r="CJ123" s="1627"/>
      <c r="CK123" s="1627"/>
      <c r="CL123" s="1627"/>
      <c r="CM123" s="1627"/>
      <c r="CN123" s="1627"/>
      <c r="CO123" s="1627"/>
      <c r="CP123" s="1627"/>
      <c r="CQ123" s="1627"/>
      <c r="CR123" s="1627"/>
      <c r="CS123" s="1627"/>
      <c r="CT123" s="1627"/>
      <c r="CU123" s="1627"/>
      <c r="CV123" s="1627"/>
      <c r="CW123" s="1627"/>
      <c r="CX123" s="1627"/>
      <c r="CY123" s="1628"/>
      <c r="CZ123" s="738"/>
      <c r="DA123" s="1629">
        <f ca="1">SUBTOTAL(9,DA14:DA121)</f>
        <v>47650536.74999278</v>
      </c>
      <c r="DB123" s="1629">
        <f t="shared" ref="DB123:ED123" ca="1" si="1314">SUBTOTAL(9,DB14:DB121)</f>
        <v>266912.43460145005</v>
      </c>
      <c r="DC123" s="1629">
        <f t="shared" ca="1" si="1314"/>
        <v>0</v>
      </c>
      <c r="DD123" s="1629">
        <f t="shared" ca="1" si="1314"/>
        <v>0</v>
      </c>
      <c r="DE123" s="1629">
        <f t="shared" ca="1" si="1314"/>
        <v>0</v>
      </c>
      <c r="DF123" s="1629">
        <f t="shared" ca="1" si="1314"/>
        <v>0</v>
      </c>
      <c r="DG123" s="1629">
        <f t="shared" ca="1" si="1314"/>
        <v>0</v>
      </c>
      <c r="DH123" s="1629">
        <f t="shared" ca="1" si="1314"/>
        <v>0</v>
      </c>
      <c r="DI123" s="1629">
        <f t="shared" ca="1" si="1314"/>
        <v>0</v>
      </c>
      <c r="DJ123" s="1629">
        <f t="shared" ca="1" si="1314"/>
        <v>0</v>
      </c>
      <c r="DK123" s="1629">
        <f t="shared" ca="1" si="1314"/>
        <v>0</v>
      </c>
      <c r="DL123" s="1629">
        <f t="shared" ca="1" si="1314"/>
        <v>0</v>
      </c>
      <c r="DM123" s="1629">
        <f t="shared" ca="1" si="1314"/>
        <v>0</v>
      </c>
      <c r="DN123" s="1629">
        <f t="shared" ca="1" si="1314"/>
        <v>0</v>
      </c>
      <c r="DO123" s="1629">
        <f t="shared" ca="1" si="1314"/>
        <v>0</v>
      </c>
      <c r="DP123" s="1629">
        <f t="shared" ca="1" si="1314"/>
        <v>0</v>
      </c>
      <c r="DQ123" s="1629">
        <f t="shared" ca="1" si="1314"/>
        <v>0</v>
      </c>
      <c r="DR123" s="1629">
        <f t="shared" ca="1" si="1314"/>
        <v>0</v>
      </c>
      <c r="DS123" s="1629">
        <f t="shared" ca="1" si="1314"/>
        <v>0</v>
      </c>
      <c r="DT123" s="1629">
        <f t="shared" ca="1" si="1314"/>
        <v>0</v>
      </c>
      <c r="DU123" s="1629">
        <f t="shared" ca="1" si="1314"/>
        <v>0</v>
      </c>
      <c r="DV123" s="1629">
        <f t="shared" ca="1" si="1314"/>
        <v>0</v>
      </c>
      <c r="DW123" s="1629">
        <f t="shared" ca="1" si="1314"/>
        <v>0</v>
      </c>
      <c r="DX123" s="1629">
        <f t="shared" ca="1" si="1314"/>
        <v>0</v>
      </c>
      <c r="DY123" s="1629">
        <f t="shared" si="1314"/>
        <v>0</v>
      </c>
      <c r="DZ123" s="1629">
        <f t="shared" si="1314"/>
        <v>0</v>
      </c>
      <c r="EA123" s="1629">
        <f t="shared" si="1314"/>
        <v>0</v>
      </c>
      <c r="EB123" s="1629">
        <f t="shared" si="1314"/>
        <v>0</v>
      </c>
      <c r="EC123" s="1629">
        <f t="shared" si="1314"/>
        <v>0</v>
      </c>
      <c r="ED123" s="1629">
        <f t="shared" ca="1" si="1314"/>
        <v>0</v>
      </c>
      <c r="EE123" s="738"/>
      <c r="EF123" s="1630">
        <f t="shared" ref="EF123:FI123" ca="1" si="1315">SUBTOTAL(9,EF14:EF121)</f>
        <v>0</v>
      </c>
      <c r="EG123" s="1630">
        <f t="shared" ca="1" si="1315"/>
        <v>0</v>
      </c>
      <c r="EH123" s="1630">
        <f t="shared" ca="1" si="1315"/>
        <v>0</v>
      </c>
      <c r="EI123" s="1630">
        <f t="shared" ca="1" si="1315"/>
        <v>0</v>
      </c>
      <c r="EJ123" s="1630">
        <f t="shared" ca="1" si="1315"/>
        <v>0</v>
      </c>
      <c r="EK123" s="1630">
        <f t="shared" ca="1" si="1315"/>
        <v>0</v>
      </c>
      <c r="EL123" s="1630">
        <f t="shared" ca="1" si="1315"/>
        <v>0</v>
      </c>
      <c r="EM123" s="1630">
        <f t="shared" ca="1" si="1315"/>
        <v>0</v>
      </c>
      <c r="EN123" s="1630">
        <f t="shared" ca="1" si="1315"/>
        <v>0</v>
      </c>
      <c r="EO123" s="1630">
        <f t="shared" ca="1" si="1315"/>
        <v>0</v>
      </c>
      <c r="EP123" s="1630">
        <f t="shared" ca="1" si="1315"/>
        <v>2266083.7009861199</v>
      </c>
      <c r="EQ123" s="1630">
        <f t="shared" ca="1" si="1315"/>
        <v>240221.19114130503</v>
      </c>
      <c r="ER123" s="1630">
        <f t="shared" ca="1" si="1315"/>
        <v>0</v>
      </c>
      <c r="ES123" s="1630">
        <f t="shared" ca="1" si="1315"/>
        <v>0</v>
      </c>
      <c r="ET123" s="1630">
        <f t="shared" ca="1" si="1315"/>
        <v>0</v>
      </c>
      <c r="EU123" s="1630">
        <f t="shared" ca="1" si="1315"/>
        <v>0</v>
      </c>
      <c r="EV123" s="1630">
        <f t="shared" ca="1" si="1315"/>
        <v>0</v>
      </c>
      <c r="EW123" s="1630">
        <f t="shared" ca="1" si="1315"/>
        <v>0</v>
      </c>
      <c r="EX123" s="1630">
        <f t="shared" ca="1" si="1315"/>
        <v>0</v>
      </c>
      <c r="EY123" s="1630">
        <f t="shared" ca="1" si="1315"/>
        <v>0</v>
      </c>
      <c r="EZ123" s="1630">
        <f t="shared" ca="1" si="1315"/>
        <v>2487542.3314861199</v>
      </c>
      <c r="FA123" s="1630">
        <f t="shared" ca="1" si="1315"/>
        <v>240221.19114130503</v>
      </c>
      <c r="FB123" s="1630">
        <f t="shared" ca="1" si="1315"/>
        <v>0</v>
      </c>
      <c r="FC123" s="1630">
        <f t="shared" ca="1" si="1315"/>
        <v>0</v>
      </c>
      <c r="FD123" s="1630">
        <f t="shared" ca="1" si="1315"/>
        <v>0</v>
      </c>
      <c r="FE123" s="1630">
        <f t="shared" ca="1" si="1315"/>
        <v>0</v>
      </c>
      <c r="FF123" s="1630">
        <f t="shared" ca="1" si="1315"/>
        <v>0</v>
      </c>
      <c r="FG123" s="1630">
        <f t="shared" ca="1" si="1315"/>
        <v>0</v>
      </c>
      <c r="FH123" s="1630">
        <f t="shared" ca="1" si="1315"/>
        <v>0</v>
      </c>
      <c r="FI123" s="1630">
        <f t="shared" ca="1" si="1315"/>
        <v>0</v>
      </c>
    </row>
    <row r="124" spans="1:166">
      <c r="A124" s="595"/>
      <c r="B124" s="598"/>
      <c r="C124" s="599"/>
      <c r="EF124" s="1483">
        <f ca="1">EF123/$I$123</f>
        <v>0</v>
      </c>
      <c r="EG124" s="1483">
        <f t="shared" ref="EG124:FI124" ca="1" si="1316">EG123/$I$123</f>
        <v>0</v>
      </c>
      <c r="EH124" s="1483">
        <f t="shared" ca="1" si="1316"/>
        <v>0</v>
      </c>
      <c r="EI124" s="1483">
        <f t="shared" ca="1" si="1316"/>
        <v>0</v>
      </c>
      <c r="EJ124" s="1483">
        <f t="shared" ca="1" si="1316"/>
        <v>0</v>
      </c>
      <c r="EK124" s="1483">
        <f t="shared" ca="1" si="1316"/>
        <v>0</v>
      </c>
      <c r="EL124" s="1483">
        <f t="shared" ca="1" si="1316"/>
        <v>0</v>
      </c>
      <c r="EM124" s="1483">
        <f t="shared" ca="1" si="1316"/>
        <v>0</v>
      </c>
      <c r="EN124" s="1483">
        <f t="shared" ca="1" si="1316"/>
        <v>0</v>
      </c>
      <c r="EO124" s="1483">
        <f t="shared" ca="1" si="1316"/>
        <v>0</v>
      </c>
      <c r="EP124" s="1483">
        <f t="shared" ca="1" si="1316"/>
        <v>0.43294881178817318</v>
      </c>
      <c r="EQ124" s="1483">
        <f t="shared" ca="1" si="1316"/>
        <v>4.5895691860679724E-2</v>
      </c>
      <c r="ER124" s="1483">
        <f t="shared" ca="1" si="1316"/>
        <v>0</v>
      </c>
      <c r="ES124" s="1483">
        <f t="shared" ca="1" si="1316"/>
        <v>0</v>
      </c>
      <c r="ET124" s="1483">
        <f t="shared" ca="1" si="1316"/>
        <v>0</v>
      </c>
      <c r="EU124" s="1483">
        <f t="shared" ca="1" si="1316"/>
        <v>0</v>
      </c>
      <c r="EV124" s="1483">
        <f t="shared" ca="1" si="1316"/>
        <v>0</v>
      </c>
      <c r="EW124" s="1483">
        <f t="shared" ca="1" si="1316"/>
        <v>0</v>
      </c>
      <c r="EX124" s="1483">
        <f t="shared" ca="1" si="1316"/>
        <v>0</v>
      </c>
      <c r="EY124" s="1483">
        <f t="shared" ca="1" si="1316"/>
        <v>0</v>
      </c>
      <c r="EZ124" s="1483">
        <f t="shared" ca="1" si="1316"/>
        <v>0.47525980449046717</v>
      </c>
      <c r="FA124" s="1483">
        <f t="shared" ca="1" si="1316"/>
        <v>4.5895691860679724E-2</v>
      </c>
      <c r="FB124" s="1483">
        <f t="shared" ca="1" si="1316"/>
        <v>0</v>
      </c>
      <c r="FC124" s="1483">
        <f t="shared" ca="1" si="1316"/>
        <v>0</v>
      </c>
      <c r="FD124" s="1483">
        <f t="shared" ca="1" si="1316"/>
        <v>0</v>
      </c>
      <c r="FE124" s="1483">
        <f t="shared" ca="1" si="1316"/>
        <v>0</v>
      </c>
      <c r="FF124" s="1483">
        <f t="shared" ca="1" si="1316"/>
        <v>0</v>
      </c>
      <c r="FG124" s="1483">
        <f t="shared" ca="1" si="1316"/>
        <v>0</v>
      </c>
      <c r="FH124" s="1483">
        <f t="shared" ca="1" si="1316"/>
        <v>0</v>
      </c>
      <c r="FI124" s="1483">
        <f t="shared" ca="1" si="1316"/>
        <v>0</v>
      </c>
      <c r="FJ124" s="1631">
        <f ca="1">SUM(EF124:FI124)</f>
        <v>0.99999999999999989</v>
      </c>
    </row>
    <row r="125" spans="1:166">
      <c r="A125" s="595"/>
      <c r="B125" s="598"/>
      <c r="C125" s="599"/>
    </row>
    <row r="126" spans="1:166">
      <c r="A126" s="595"/>
      <c r="B126" s="598"/>
      <c r="C126" s="599"/>
      <c r="CR126" s="67" t="s">
        <v>1753</v>
      </c>
      <c r="CV126" s="67" t="s">
        <v>1754</v>
      </c>
      <c r="CZ126" s="486">
        <f ca="1">SUM(DA126:ED126)</f>
        <v>0</v>
      </c>
      <c r="DA126" s="486">
        <f ca="1">DA105+EF105</f>
        <v>0</v>
      </c>
      <c r="DB126" s="486">
        <f t="shared" ref="DB126:ED126" ca="1" si="1317">DB105+EG105</f>
        <v>0</v>
      </c>
      <c r="DC126" s="486">
        <f t="shared" ca="1" si="1317"/>
        <v>0</v>
      </c>
      <c r="DD126" s="486">
        <f t="shared" ca="1" si="1317"/>
        <v>0</v>
      </c>
      <c r="DE126" s="486">
        <f t="shared" ca="1" si="1317"/>
        <v>0</v>
      </c>
      <c r="DF126" s="486">
        <f t="shared" ca="1" si="1317"/>
        <v>0</v>
      </c>
      <c r="DG126" s="486">
        <f t="shared" ca="1" si="1317"/>
        <v>0</v>
      </c>
      <c r="DH126" s="486">
        <f t="shared" ca="1" si="1317"/>
        <v>0</v>
      </c>
      <c r="DI126" s="486">
        <f t="shared" ca="1" si="1317"/>
        <v>0</v>
      </c>
      <c r="DJ126" s="486">
        <f t="shared" ca="1" si="1317"/>
        <v>0</v>
      </c>
      <c r="DK126" s="486">
        <f t="shared" ca="1" si="1317"/>
        <v>0</v>
      </c>
      <c r="DL126" s="486">
        <f t="shared" ca="1" si="1317"/>
        <v>0</v>
      </c>
      <c r="DM126" s="486">
        <f t="shared" ca="1" si="1317"/>
        <v>0</v>
      </c>
      <c r="DN126" s="486">
        <f t="shared" ca="1" si="1317"/>
        <v>0</v>
      </c>
      <c r="DO126" s="486">
        <f t="shared" ca="1" si="1317"/>
        <v>0</v>
      </c>
      <c r="DP126" s="486">
        <f t="shared" ca="1" si="1317"/>
        <v>0</v>
      </c>
      <c r="DQ126" s="486">
        <f t="shared" ca="1" si="1317"/>
        <v>0</v>
      </c>
      <c r="DR126" s="486">
        <f t="shared" ca="1" si="1317"/>
        <v>0</v>
      </c>
      <c r="DS126" s="486">
        <f t="shared" ca="1" si="1317"/>
        <v>0</v>
      </c>
      <c r="DT126" s="486">
        <f t="shared" ca="1" si="1317"/>
        <v>0</v>
      </c>
      <c r="DU126" s="486">
        <f t="shared" ca="1" si="1317"/>
        <v>0</v>
      </c>
      <c r="DV126" s="486">
        <f t="shared" ca="1" si="1317"/>
        <v>0</v>
      </c>
      <c r="DW126" s="486">
        <f t="shared" ca="1" si="1317"/>
        <v>0</v>
      </c>
      <c r="DX126" s="486">
        <f t="shared" ca="1" si="1317"/>
        <v>0</v>
      </c>
      <c r="DY126" s="486">
        <f t="shared" ca="1" si="1317"/>
        <v>0</v>
      </c>
      <c r="DZ126" s="486">
        <f t="shared" ca="1" si="1317"/>
        <v>0</v>
      </c>
      <c r="EA126" s="486">
        <f t="shared" ca="1" si="1317"/>
        <v>0</v>
      </c>
      <c r="EB126" s="486">
        <f t="shared" ca="1" si="1317"/>
        <v>0</v>
      </c>
      <c r="EC126" s="486">
        <f t="shared" ca="1" si="1317"/>
        <v>0</v>
      </c>
      <c r="ED126" s="486">
        <f t="shared" ca="1" si="1317"/>
        <v>0</v>
      </c>
    </row>
    <row r="127" spans="1:166">
      <c r="A127" s="595"/>
      <c r="B127" s="598"/>
      <c r="C127" s="599"/>
      <c r="CR127" s="67" t="s">
        <v>1753</v>
      </c>
      <c r="CV127" s="67" t="s">
        <v>1755</v>
      </c>
      <c r="CZ127" s="486">
        <f t="shared" ref="CZ127:CZ136" ca="1" si="1318">SUM(DA127:ED127)</f>
        <v>0</v>
      </c>
      <c r="DA127" s="486">
        <f t="shared" ref="DA127:ED127" ca="1" si="1319">DA104+DA41+DA42+EF104+EF41+EF42+DA34+EF34</f>
        <v>0</v>
      </c>
      <c r="DB127" s="486">
        <f t="shared" ca="1" si="1319"/>
        <v>0</v>
      </c>
      <c r="DC127" s="486">
        <f t="shared" ca="1" si="1319"/>
        <v>0</v>
      </c>
      <c r="DD127" s="486">
        <f t="shared" ca="1" si="1319"/>
        <v>0</v>
      </c>
      <c r="DE127" s="486">
        <f t="shared" ca="1" si="1319"/>
        <v>0</v>
      </c>
      <c r="DF127" s="486">
        <f t="shared" ca="1" si="1319"/>
        <v>0</v>
      </c>
      <c r="DG127" s="486">
        <f t="shared" ca="1" si="1319"/>
        <v>0</v>
      </c>
      <c r="DH127" s="486">
        <f t="shared" ca="1" si="1319"/>
        <v>0</v>
      </c>
      <c r="DI127" s="486">
        <f t="shared" ca="1" si="1319"/>
        <v>0</v>
      </c>
      <c r="DJ127" s="486">
        <f t="shared" ca="1" si="1319"/>
        <v>0</v>
      </c>
      <c r="DK127" s="486">
        <f t="shared" ca="1" si="1319"/>
        <v>0</v>
      </c>
      <c r="DL127" s="486">
        <f t="shared" ca="1" si="1319"/>
        <v>0</v>
      </c>
      <c r="DM127" s="486">
        <f t="shared" ca="1" si="1319"/>
        <v>0</v>
      </c>
      <c r="DN127" s="486">
        <f t="shared" ca="1" si="1319"/>
        <v>0</v>
      </c>
      <c r="DO127" s="486">
        <f t="shared" ca="1" si="1319"/>
        <v>0</v>
      </c>
      <c r="DP127" s="486">
        <f t="shared" ca="1" si="1319"/>
        <v>0</v>
      </c>
      <c r="DQ127" s="486">
        <f t="shared" ca="1" si="1319"/>
        <v>0</v>
      </c>
      <c r="DR127" s="486">
        <f t="shared" ca="1" si="1319"/>
        <v>0</v>
      </c>
      <c r="DS127" s="486">
        <f t="shared" ca="1" si="1319"/>
        <v>0</v>
      </c>
      <c r="DT127" s="486">
        <f t="shared" ca="1" si="1319"/>
        <v>0</v>
      </c>
      <c r="DU127" s="486">
        <f t="shared" ca="1" si="1319"/>
        <v>0</v>
      </c>
      <c r="DV127" s="486">
        <f t="shared" ca="1" si="1319"/>
        <v>0</v>
      </c>
      <c r="DW127" s="486">
        <f t="shared" ca="1" si="1319"/>
        <v>0</v>
      </c>
      <c r="DX127" s="486">
        <f t="shared" ca="1" si="1319"/>
        <v>0</v>
      </c>
      <c r="DY127" s="486">
        <f t="shared" ca="1" si="1319"/>
        <v>0</v>
      </c>
      <c r="DZ127" s="486">
        <f t="shared" ca="1" si="1319"/>
        <v>0</v>
      </c>
      <c r="EA127" s="486">
        <f t="shared" ca="1" si="1319"/>
        <v>0</v>
      </c>
      <c r="EB127" s="486">
        <f t="shared" ca="1" si="1319"/>
        <v>0</v>
      </c>
      <c r="EC127" s="486">
        <f t="shared" ca="1" si="1319"/>
        <v>0</v>
      </c>
      <c r="ED127" s="486">
        <f t="shared" ca="1" si="1319"/>
        <v>0</v>
      </c>
      <c r="FB127" s="92"/>
    </row>
    <row r="128" spans="1:166">
      <c r="A128" s="595"/>
      <c r="B128" s="598"/>
      <c r="C128" s="599"/>
      <c r="CR128" s="67" t="s">
        <v>1753</v>
      </c>
      <c r="CV128" s="67" t="s">
        <v>1756</v>
      </c>
      <c r="CZ128" s="486">
        <f t="shared" ca="1" si="1318"/>
        <v>0</v>
      </c>
      <c r="DA128" s="486">
        <f t="shared" ref="DA128:ED128" ca="1" si="1320">DA77+DA120+EF77+EF120+DA35+EF35</f>
        <v>0</v>
      </c>
      <c r="DB128" s="486">
        <f t="shared" ca="1" si="1320"/>
        <v>0</v>
      </c>
      <c r="DC128" s="486">
        <f t="shared" ca="1" si="1320"/>
        <v>0</v>
      </c>
      <c r="DD128" s="486">
        <f t="shared" ca="1" si="1320"/>
        <v>0</v>
      </c>
      <c r="DE128" s="486">
        <f t="shared" ca="1" si="1320"/>
        <v>0</v>
      </c>
      <c r="DF128" s="486">
        <f t="shared" ca="1" si="1320"/>
        <v>0</v>
      </c>
      <c r="DG128" s="486">
        <f t="shared" ca="1" si="1320"/>
        <v>0</v>
      </c>
      <c r="DH128" s="486">
        <f t="shared" ca="1" si="1320"/>
        <v>0</v>
      </c>
      <c r="DI128" s="486">
        <f t="shared" ca="1" si="1320"/>
        <v>0</v>
      </c>
      <c r="DJ128" s="486">
        <f t="shared" ca="1" si="1320"/>
        <v>0</v>
      </c>
      <c r="DK128" s="486">
        <f t="shared" ca="1" si="1320"/>
        <v>0</v>
      </c>
      <c r="DL128" s="486">
        <f t="shared" ca="1" si="1320"/>
        <v>0</v>
      </c>
      <c r="DM128" s="486">
        <f t="shared" ca="1" si="1320"/>
        <v>0</v>
      </c>
      <c r="DN128" s="486">
        <f t="shared" ca="1" si="1320"/>
        <v>0</v>
      </c>
      <c r="DO128" s="486">
        <f t="shared" ca="1" si="1320"/>
        <v>0</v>
      </c>
      <c r="DP128" s="486">
        <f t="shared" ca="1" si="1320"/>
        <v>0</v>
      </c>
      <c r="DQ128" s="486">
        <f t="shared" ca="1" si="1320"/>
        <v>0</v>
      </c>
      <c r="DR128" s="486">
        <f t="shared" ca="1" si="1320"/>
        <v>0</v>
      </c>
      <c r="DS128" s="486">
        <f t="shared" ca="1" si="1320"/>
        <v>0</v>
      </c>
      <c r="DT128" s="486">
        <f t="shared" ca="1" si="1320"/>
        <v>0</v>
      </c>
      <c r="DU128" s="486">
        <f t="shared" ca="1" si="1320"/>
        <v>0</v>
      </c>
      <c r="DV128" s="486">
        <f t="shared" ca="1" si="1320"/>
        <v>0</v>
      </c>
      <c r="DW128" s="486">
        <f t="shared" ca="1" si="1320"/>
        <v>0</v>
      </c>
      <c r="DX128" s="486">
        <f t="shared" ca="1" si="1320"/>
        <v>0</v>
      </c>
      <c r="DY128" s="486">
        <f t="shared" ca="1" si="1320"/>
        <v>0</v>
      </c>
      <c r="DZ128" s="486">
        <f t="shared" ca="1" si="1320"/>
        <v>0</v>
      </c>
      <c r="EA128" s="486">
        <f t="shared" ca="1" si="1320"/>
        <v>0</v>
      </c>
      <c r="EB128" s="486">
        <f t="shared" ca="1" si="1320"/>
        <v>0</v>
      </c>
      <c r="EC128" s="486">
        <f t="shared" ca="1" si="1320"/>
        <v>0</v>
      </c>
      <c r="ED128" s="486">
        <f t="shared" ca="1" si="1320"/>
        <v>0</v>
      </c>
    </row>
    <row r="129" spans="1:135">
      <c r="A129" s="595"/>
      <c r="B129" s="598"/>
      <c r="C129" s="599"/>
      <c r="CR129" s="67" t="s">
        <v>1753</v>
      </c>
      <c r="CV129" s="67" t="s">
        <v>1757</v>
      </c>
      <c r="CZ129" s="486">
        <f t="shared" ca="1" si="1318"/>
        <v>0</v>
      </c>
      <c r="DA129" s="486">
        <f t="shared" ref="DA129:ED129" ca="1" si="1321">(DA51+DA56+DA116)+(EF51+EF56+EF116)+DA103+EF103+DA71+DA72+DA74+DA75+EF71+EF72+EF74+EF75</f>
        <v>0</v>
      </c>
      <c r="DB129" s="486">
        <f t="shared" ca="1" si="1321"/>
        <v>0</v>
      </c>
      <c r="DC129" s="486">
        <f t="shared" ca="1" si="1321"/>
        <v>0</v>
      </c>
      <c r="DD129" s="486">
        <f t="shared" ca="1" si="1321"/>
        <v>0</v>
      </c>
      <c r="DE129" s="486">
        <f t="shared" ca="1" si="1321"/>
        <v>0</v>
      </c>
      <c r="DF129" s="486">
        <f t="shared" ca="1" si="1321"/>
        <v>0</v>
      </c>
      <c r="DG129" s="486">
        <f t="shared" ca="1" si="1321"/>
        <v>0</v>
      </c>
      <c r="DH129" s="486">
        <f t="shared" ca="1" si="1321"/>
        <v>0</v>
      </c>
      <c r="DI129" s="486">
        <f t="shared" ca="1" si="1321"/>
        <v>0</v>
      </c>
      <c r="DJ129" s="486">
        <f t="shared" ca="1" si="1321"/>
        <v>0</v>
      </c>
      <c r="DK129" s="486">
        <f t="shared" ca="1" si="1321"/>
        <v>0</v>
      </c>
      <c r="DL129" s="486">
        <f t="shared" ca="1" si="1321"/>
        <v>0</v>
      </c>
      <c r="DM129" s="486">
        <f t="shared" ca="1" si="1321"/>
        <v>0</v>
      </c>
      <c r="DN129" s="486">
        <f t="shared" ca="1" si="1321"/>
        <v>0</v>
      </c>
      <c r="DO129" s="486">
        <f t="shared" ca="1" si="1321"/>
        <v>0</v>
      </c>
      <c r="DP129" s="486">
        <f t="shared" ca="1" si="1321"/>
        <v>0</v>
      </c>
      <c r="DQ129" s="486">
        <f t="shared" ca="1" si="1321"/>
        <v>0</v>
      </c>
      <c r="DR129" s="486">
        <f t="shared" ca="1" si="1321"/>
        <v>0</v>
      </c>
      <c r="DS129" s="486">
        <f t="shared" ca="1" si="1321"/>
        <v>0</v>
      </c>
      <c r="DT129" s="486">
        <f t="shared" ca="1" si="1321"/>
        <v>0</v>
      </c>
      <c r="DU129" s="486">
        <f t="shared" ca="1" si="1321"/>
        <v>0</v>
      </c>
      <c r="DV129" s="486">
        <f t="shared" ca="1" si="1321"/>
        <v>0</v>
      </c>
      <c r="DW129" s="486">
        <f t="shared" ca="1" si="1321"/>
        <v>0</v>
      </c>
      <c r="DX129" s="486">
        <f t="shared" ca="1" si="1321"/>
        <v>0</v>
      </c>
      <c r="DY129" s="486">
        <f t="shared" ca="1" si="1321"/>
        <v>0</v>
      </c>
      <c r="DZ129" s="486">
        <f t="shared" ca="1" si="1321"/>
        <v>0</v>
      </c>
      <c r="EA129" s="486">
        <f t="shared" ca="1" si="1321"/>
        <v>0</v>
      </c>
      <c r="EB129" s="486">
        <f t="shared" ca="1" si="1321"/>
        <v>0</v>
      </c>
      <c r="EC129" s="486">
        <f t="shared" ca="1" si="1321"/>
        <v>0</v>
      </c>
      <c r="ED129" s="486">
        <f t="shared" ca="1" si="1321"/>
        <v>0</v>
      </c>
    </row>
    <row r="130" spans="1:135">
      <c r="A130" s="595"/>
      <c r="B130" s="598"/>
      <c r="C130" s="599"/>
      <c r="CR130" s="67" t="s">
        <v>1753</v>
      </c>
      <c r="CV130" s="67" t="s">
        <v>1758</v>
      </c>
      <c r="CZ130" s="486">
        <f t="shared" ca="1" si="1318"/>
        <v>0</v>
      </c>
      <c r="DA130" s="486"/>
      <c r="DB130" s="486"/>
      <c r="DC130" s="486"/>
      <c r="DD130" s="486"/>
      <c r="DE130" s="486"/>
      <c r="DF130" s="486"/>
      <c r="DG130" s="486"/>
      <c r="DH130" s="486"/>
      <c r="DI130" s="486"/>
      <c r="DJ130" s="486"/>
      <c r="DK130" s="486"/>
      <c r="DL130" s="486"/>
      <c r="DM130" s="486"/>
      <c r="DN130" s="486"/>
      <c r="DO130" s="486"/>
      <c r="DP130" s="486"/>
      <c r="DQ130" s="486"/>
      <c r="DR130" s="486"/>
      <c r="DS130" s="486"/>
      <c r="DT130" s="486"/>
      <c r="DU130" s="486"/>
      <c r="DV130" s="486"/>
      <c r="DW130" s="486"/>
      <c r="DX130" s="486"/>
      <c r="DY130" s="486"/>
      <c r="DZ130" s="486"/>
      <c r="EA130" s="486"/>
      <c r="EB130" s="486"/>
      <c r="EC130" s="486"/>
      <c r="ED130" s="486">
        <f ca="1">ED103+FI103+ED71+ED72+ED74+ED75+FI71+FI72+FI74+FI75</f>
        <v>0</v>
      </c>
    </row>
    <row r="131" spans="1:135">
      <c r="A131" s="595"/>
      <c r="B131" s="598"/>
      <c r="C131" s="599"/>
      <c r="CR131" s="67" t="s">
        <v>1753</v>
      </c>
      <c r="CV131" s="67" t="s">
        <v>1759</v>
      </c>
      <c r="CZ131" s="486">
        <f t="shared" ca="1" si="1318"/>
        <v>6154803.3075631</v>
      </c>
      <c r="DA131" s="486">
        <f ca="1">(DA108)+(EF108)+DA68+EF68+DA115+EF115+DA91+EF91+DA46+EF46+DA50+EF50+DA63+EF63+DA92+EF92+AD81+EF81+AD24+EF24+AD28+AF28</f>
        <v>1588303.3422067999</v>
      </c>
      <c r="DB131" s="486">
        <f ca="1">(DB108)+(EG108)+DB68+EG68+DB115+EG115+DB91+EG91+DB46+EG46+DB50+EG50+DB63+EG63+DB92+EG92+AE81+EG81</f>
        <v>266913.43460145005</v>
      </c>
      <c r="DC131" s="486">
        <f ca="1">(DC108)+(EH108)+DC68+EH68+DC115+EH115+DC91+EH91+DC46+EH46+DC50+EH50+DC63+EH63+DC92+EH92+EH81</f>
        <v>0</v>
      </c>
      <c r="DD131" s="486">
        <f t="shared" ref="DD131:DK131" ca="1" si="1322">(DD108)+(EI108)+DD68+EI68+DD115+EI115+DD91+EI91+DD46+EI46+DD50+EI50+DD63+EI63+DD92+EI92+EI81+EI24</f>
        <v>0</v>
      </c>
      <c r="DE131" s="486">
        <f t="shared" ca="1" si="1322"/>
        <v>0</v>
      </c>
      <c r="DF131" s="486">
        <f t="shared" ca="1" si="1322"/>
        <v>0</v>
      </c>
      <c r="DG131" s="486">
        <f t="shared" ca="1" si="1322"/>
        <v>0</v>
      </c>
      <c r="DH131" s="486">
        <f t="shared" ca="1" si="1322"/>
        <v>0</v>
      </c>
      <c r="DI131" s="486">
        <f t="shared" ca="1" si="1322"/>
        <v>0</v>
      </c>
      <c r="DJ131" s="486">
        <f t="shared" ca="1" si="1322"/>
        <v>0</v>
      </c>
      <c r="DK131" s="486">
        <f t="shared" ca="1" si="1322"/>
        <v>1909572.0742361201</v>
      </c>
      <c r="DL131" s="486">
        <f ca="1">(DL108)+(EQ108)+DL68+EQ68+DL115+EQ115+DL91+EQ91+DL46+EQ46+DL50+EQ50+DL63+EQ63+DL92+EQ92+EQ81+EQ2</f>
        <v>240221.19114130503</v>
      </c>
      <c r="DM131" s="486">
        <f ca="1">(DM108)+(ER108)+DM68+ER68+DM115+ER115+DM91+ER91+DM46+ER46+DM50+ER50+DM63+ER63+DM92+ER92+ER81+ER24</f>
        <v>0</v>
      </c>
      <c r="DN131" s="486">
        <f ca="1">(DN108)+(ES108)+DN68+ES68+DN115+ES115+DN91+ES91+DN46+ES46+DN50+ES50+DN63+ES63+DN92+ES92+ES81+ES24</f>
        <v>0</v>
      </c>
      <c r="DO131" s="486">
        <f ca="1">(DO108)+(ET108)+DO68+ET68+DO115+ET115+DO91+ET91+DO46+ET46+DO50+ET50+DO63+ET63+DO92+ET92+ET81+ET24</f>
        <v>0</v>
      </c>
      <c r="DP131" s="486">
        <f ca="1">(DP108)+(EU108)+DP68+EU68+DP115+EU115+DP91+EU91+DP46+EU46+DP50+EU50+DP63+EU63+DP92+EU92+EU81+EU24</f>
        <v>0</v>
      </c>
      <c r="DQ131" s="486">
        <f t="shared" ref="DQ131:ED131" ca="1" si="1323">(DQ108)+(EV108)+DQ68+EV68+DQ115+EV115+DQ91+EV91+DQ46+EV46+DQ50+EV50+DQ63+EV63+DQ92+EV92+AT81+EV81+AT24+EV24+AT28+AV28</f>
        <v>0</v>
      </c>
      <c r="DR131" s="486">
        <f t="shared" ca="1" si="1323"/>
        <v>0</v>
      </c>
      <c r="DS131" s="486">
        <f t="shared" ca="1" si="1323"/>
        <v>0</v>
      </c>
      <c r="DT131" s="486">
        <f t="shared" ca="1" si="1323"/>
        <v>0</v>
      </c>
      <c r="DU131" s="486">
        <f t="shared" ca="1" si="1323"/>
        <v>1909572.0742361201</v>
      </c>
      <c r="DV131" s="486">
        <f t="shared" ca="1" si="1323"/>
        <v>240221.19114130503</v>
      </c>
      <c r="DW131" s="486">
        <f t="shared" ca="1" si="1323"/>
        <v>0</v>
      </c>
      <c r="DX131" s="486">
        <f t="shared" ca="1" si="1323"/>
        <v>0</v>
      </c>
      <c r="DY131" s="486">
        <f t="shared" ca="1" si="1323"/>
        <v>0</v>
      </c>
      <c r="DZ131" s="486">
        <f t="shared" ca="1" si="1323"/>
        <v>0</v>
      </c>
      <c r="EA131" s="486">
        <f t="shared" ca="1" si="1323"/>
        <v>0</v>
      </c>
      <c r="EB131" s="486">
        <f t="shared" ca="1" si="1323"/>
        <v>0</v>
      </c>
      <c r="EC131" s="486">
        <f t="shared" ca="1" si="1323"/>
        <v>0</v>
      </c>
      <c r="ED131" s="486">
        <f t="shared" ca="1" si="1323"/>
        <v>0</v>
      </c>
      <c r="EE131" s="486">
        <f>(EE108)+(FJ108)+EE68+FJ68+EE115+FJ115+EE91+FJ91+EE46+FJ46</f>
        <v>0</v>
      </c>
    </row>
    <row r="132" spans="1:135">
      <c r="A132" s="595"/>
      <c r="B132" s="598"/>
      <c r="C132" s="599"/>
      <c r="CR132" s="67" t="s">
        <v>1753</v>
      </c>
      <c r="CV132" s="67" t="s">
        <v>1760</v>
      </c>
      <c r="CZ132" s="486">
        <f t="shared" ca="1" si="1318"/>
        <v>335581.94774999999</v>
      </c>
      <c r="DA132" s="486">
        <f t="shared" ref="DA132:ED132" ca="1" si="1324">(DA21+DA99)+(EF21+EF99)</f>
        <v>224852.63250000001</v>
      </c>
      <c r="DB132" s="486">
        <f t="shared" ca="1" si="1324"/>
        <v>0</v>
      </c>
      <c r="DC132" s="486">
        <f t="shared" ca="1" si="1324"/>
        <v>0</v>
      </c>
      <c r="DD132" s="486">
        <f t="shared" ca="1" si="1324"/>
        <v>0</v>
      </c>
      <c r="DE132" s="486">
        <f t="shared" ca="1" si="1324"/>
        <v>0</v>
      </c>
      <c r="DF132" s="486">
        <f t="shared" ca="1" si="1324"/>
        <v>0</v>
      </c>
      <c r="DG132" s="486">
        <f t="shared" ca="1" si="1324"/>
        <v>0</v>
      </c>
      <c r="DH132" s="486">
        <f t="shared" ca="1" si="1324"/>
        <v>0</v>
      </c>
      <c r="DI132" s="486">
        <f t="shared" ca="1" si="1324"/>
        <v>0</v>
      </c>
      <c r="DJ132" s="486">
        <f t="shared" ca="1" si="1324"/>
        <v>0</v>
      </c>
      <c r="DK132" s="486">
        <f t="shared" ca="1" si="1324"/>
        <v>0</v>
      </c>
      <c r="DL132" s="486">
        <f t="shared" ca="1" si="1324"/>
        <v>0</v>
      </c>
      <c r="DM132" s="486">
        <f t="shared" ca="1" si="1324"/>
        <v>0</v>
      </c>
      <c r="DN132" s="486">
        <f t="shared" ca="1" si="1324"/>
        <v>0</v>
      </c>
      <c r="DO132" s="486">
        <f t="shared" ca="1" si="1324"/>
        <v>0</v>
      </c>
      <c r="DP132" s="486">
        <f t="shared" ca="1" si="1324"/>
        <v>0</v>
      </c>
      <c r="DQ132" s="486">
        <f t="shared" ca="1" si="1324"/>
        <v>0</v>
      </c>
      <c r="DR132" s="486">
        <f t="shared" ca="1" si="1324"/>
        <v>0</v>
      </c>
      <c r="DS132" s="486">
        <f t="shared" ca="1" si="1324"/>
        <v>0</v>
      </c>
      <c r="DT132" s="486">
        <f t="shared" ca="1" si="1324"/>
        <v>0</v>
      </c>
      <c r="DU132" s="486">
        <f t="shared" ca="1" si="1324"/>
        <v>110729.31525</v>
      </c>
      <c r="DV132" s="486">
        <f t="shared" ca="1" si="1324"/>
        <v>0</v>
      </c>
      <c r="DW132" s="486">
        <f t="shared" ca="1" si="1324"/>
        <v>0</v>
      </c>
      <c r="DX132" s="486">
        <f t="shared" ca="1" si="1324"/>
        <v>0</v>
      </c>
      <c r="DY132" s="486">
        <f t="shared" ca="1" si="1324"/>
        <v>0</v>
      </c>
      <c r="DZ132" s="486">
        <f t="shared" ca="1" si="1324"/>
        <v>0</v>
      </c>
      <c r="EA132" s="486">
        <f t="shared" ca="1" si="1324"/>
        <v>0</v>
      </c>
      <c r="EB132" s="486">
        <f t="shared" ca="1" si="1324"/>
        <v>0</v>
      </c>
      <c r="EC132" s="486">
        <f t="shared" ca="1" si="1324"/>
        <v>0</v>
      </c>
      <c r="ED132" s="486">
        <f t="shared" ca="1" si="1324"/>
        <v>0</v>
      </c>
      <c r="EE132" s="486">
        <f>(EE21+EE24+EE28+EE50+EE63+EE92+EE99)+(FJ21+FJ24+FJ28+FJ50+FJ63+FJ92+FJ99)</f>
        <v>0</v>
      </c>
    </row>
    <row r="133" spans="1:135">
      <c r="A133" s="595"/>
      <c r="B133" s="598"/>
      <c r="C133" s="599"/>
      <c r="CZ133" s="486"/>
      <c r="DA133" s="486"/>
      <c r="DB133" s="486"/>
      <c r="DC133" s="486"/>
      <c r="DD133" s="486"/>
      <c r="DE133" s="486"/>
      <c r="DF133" s="486"/>
      <c r="DG133" s="486"/>
      <c r="DH133" s="486"/>
      <c r="DI133" s="486"/>
      <c r="DJ133" s="486"/>
      <c r="DK133" s="486"/>
      <c r="DL133" s="486"/>
      <c r="DM133" s="486"/>
      <c r="DN133" s="486"/>
      <c r="DO133" s="486"/>
      <c r="DP133" s="486"/>
      <c r="DQ133" s="486"/>
      <c r="DR133" s="486"/>
      <c r="DS133" s="486"/>
      <c r="DT133" s="486"/>
      <c r="DU133" s="486"/>
      <c r="DV133" s="486"/>
      <c r="DW133" s="486"/>
      <c r="DX133" s="486"/>
      <c r="DY133" s="486"/>
      <c r="DZ133" s="486"/>
      <c r="EA133" s="486"/>
      <c r="EB133" s="486"/>
      <c r="EC133" s="486"/>
      <c r="ED133" s="486"/>
    </row>
    <row r="134" spans="1:135">
      <c r="A134" s="595"/>
      <c r="B134" s="598"/>
      <c r="C134" s="599"/>
      <c r="CR134" s="67" t="s">
        <v>1761</v>
      </c>
      <c r="CV134" s="67" t="s">
        <v>1762</v>
      </c>
      <c r="CZ134" s="486">
        <f t="shared" ca="1" si="1318"/>
        <v>6490385.2553131003</v>
      </c>
      <c r="DA134" s="486">
        <f ca="1">SUM(DA126:DA133)</f>
        <v>1813155.9747068</v>
      </c>
      <c r="DB134" s="486">
        <f t="shared" ref="DB134:ED134" ca="1" si="1325">SUM(DB126:DB133)</f>
        <v>266913.43460145005</v>
      </c>
      <c r="DC134" s="486">
        <f t="shared" ca="1" si="1325"/>
        <v>0</v>
      </c>
      <c r="DD134" s="486">
        <f t="shared" ca="1" si="1325"/>
        <v>0</v>
      </c>
      <c r="DE134" s="486">
        <f t="shared" ca="1" si="1325"/>
        <v>0</v>
      </c>
      <c r="DF134" s="486">
        <f t="shared" ca="1" si="1325"/>
        <v>0</v>
      </c>
      <c r="DG134" s="486">
        <f t="shared" ca="1" si="1325"/>
        <v>0</v>
      </c>
      <c r="DH134" s="486">
        <f t="shared" ca="1" si="1325"/>
        <v>0</v>
      </c>
      <c r="DI134" s="486">
        <f t="shared" ca="1" si="1325"/>
        <v>0</v>
      </c>
      <c r="DJ134" s="486">
        <f t="shared" ca="1" si="1325"/>
        <v>0</v>
      </c>
      <c r="DK134" s="486">
        <f t="shared" ca="1" si="1325"/>
        <v>1909572.0742361201</v>
      </c>
      <c r="DL134" s="486">
        <f t="shared" ca="1" si="1325"/>
        <v>240221.19114130503</v>
      </c>
      <c r="DM134" s="486">
        <f t="shared" ca="1" si="1325"/>
        <v>0</v>
      </c>
      <c r="DN134" s="486">
        <f t="shared" ca="1" si="1325"/>
        <v>0</v>
      </c>
      <c r="DO134" s="486">
        <f t="shared" ca="1" si="1325"/>
        <v>0</v>
      </c>
      <c r="DP134" s="486">
        <f t="shared" ca="1" si="1325"/>
        <v>0</v>
      </c>
      <c r="DQ134" s="486">
        <f t="shared" ca="1" si="1325"/>
        <v>0</v>
      </c>
      <c r="DR134" s="486">
        <f t="shared" ca="1" si="1325"/>
        <v>0</v>
      </c>
      <c r="DS134" s="486">
        <f t="shared" ca="1" si="1325"/>
        <v>0</v>
      </c>
      <c r="DT134" s="486">
        <f t="shared" ca="1" si="1325"/>
        <v>0</v>
      </c>
      <c r="DU134" s="486">
        <f t="shared" ca="1" si="1325"/>
        <v>2020301.3894861201</v>
      </c>
      <c r="DV134" s="486">
        <f t="shared" ca="1" si="1325"/>
        <v>240221.19114130503</v>
      </c>
      <c r="DW134" s="486">
        <f t="shared" ca="1" si="1325"/>
        <v>0</v>
      </c>
      <c r="DX134" s="486">
        <f t="shared" ca="1" si="1325"/>
        <v>0</v>
      </c>
      <c r="DY134" s="486">
        <f t="shared" ca="1" si="1325"/>
        <v>0</v>
      </c>
      <c r="DZ134" s="486">
        <f t="shared" ca="1" si="1325"/>
        <v>0</v>
      </c>
      <c r="EA134" s="486">
        <f t="shared" ca="1" si="1325"/>
        <v>0</v>
      </c>
      <c r="EB134" s="486">
        <f t="shared" ca="1" si="1325"/>
        <v>0</v>
      </c>
      <c r="EC134" s="486">
        <f t="shared" ca="1" si="1325"/>
        <v>0</v>
      </c>
      <c r="ED134" s="486">
        <f t="shared" ca="1" si="1325"/>
        <v>0</v>
      </c>
    </row>
    <row r="135" spans="1:135">
      <c r="A135" s="595"/>
      <c r="B135" s="598"/>
      <c r="C135" s="599"/>
      <c r="CR135" s="67" t="s">
        <v>1763</v>
      </c>
      <c r="CZ135" s="486">
        <f t="shared" si="1318"/>
        <v>4242903738.3806806</v>
      </c>
      <c r="DA135" s="487">
        <v>350466500.41188633</v>
      </c>
      <c r="DB135" s="487">
        <v>174798197.92113</v>
      </c>
      <c r="DC135" s="487">
        <v>176424276.79352853</v>
      </c>
      <c r="DD135" s="487">
        <v>183315576.79352853</v>
      </c>
      <c r="DE135" s="487">
        <v>121825542.13152853</v>
      </c>
      <c r="DF135" s="487">
        <v>394037794.94237036</v>
      </c>
      <c r="DG135" s="487">
        <v>385272916.69710916</v>
      </c>
      <c r="DH135" s="487">
        <v>386000826.41952342</v>
      </c>
      <c r="DI135" s="487">
        <v>434772916.69710916</v>
      </c>
      <c r="DJ135" s="487">
        <v>15513582.373775404</v>
      </c>
      <c r="DK135" s="487">
        <v>19187681.48912292</v>
      </c>
      <c r="DL135" s="487">
        <v>47703803.564916708</v>
      </c>
      <c r="DM135" s="487">
        <v>44035672.65136116</v>
      </c>
      <c r="DN135" s="487">
        <v>64692582.3737754</v>
      </c>
      <c r="DO135" s="487">
        <v>135774881.34249571</v>
      </c>
      <c r="DP135" s="487">
        <v>19306268.674545687</v>
      </c>
      <c r="DQ135" s="487">
        <v>27385672.651361167</v>
      </c>
      <c r="DR135" s="487">
        <v>150663582.37377539</v>
      </c>
      <c r="DS135" s="487">
        <v>162195472.65136117</v>
      </c>
      <c r="DT135" s="487">
        <v>282346314.14142573</v>
      </c>
      <c r="DU135" s="487">
        <v>94406445.675626814</v>
      </c>
      <c r="DV135" s="487">
        <v>128103803.56491672</v>
      </c>
      <c r="DW135" s="487">
        <v>94285672.651361153</v>
      </c>
      <c r="DX135" s="487">
        <v>16380582.373775404</v>
      </c>
      <c r="DY135" s="487">
        <v>30193855.593273751</v>
      </c>
      <c r="DZ135" s="487">
        <v>18974258.748842344</v>
      </c>
      <c r="EA135" s="487">
        <v>35635672.65136116</v>
      </c>
      <c r="EB135" s="487">
        <v>70863582.373775408</v>
      </c>
      <c r="EC135" s="487">
        <v>68185672.651361167</v>
      </c>
      <c r="ED135" s="487">
        <v>110154129.00075705</v>
      </c>
    </row>
    <row r="136" spans="1:135">
      <c r="A136" s="595"/>
      <c r="B136" s="598"/>
      <c r="C136" s="599"/>
      <c r="CR136" s="67" t="s">
        <v>1764</v>
      </c>
      <c r="CZ136" s="486">
        <f t="shared" ca="1" si="1318"/>
        <v>4236413353.1253686</v>
      </c>
      <c r="DA136" s="487">
        <f ca="1">DA135-DA134</f>
        <v>348653344.43717951</v>
      </c>
      <c r="DB136" s="487">
        <f t="shared" ref="DB136:ED136" ca="1" si="1326">DB135-DB134</f>
        <v>174531284.48652855</v>
      </c>
      <c r="DC136" s="487">
        <f t="shared" ca="1" si="1326"/>
        <v>176424276.79352853</v>
      </c>
      <c r="DD136" s="487">
        <f t="shared" ca="1" si="1326"/>
        <v>183315576.79352853</v>
      </c>
      <c r="DE136" s="487">
        <f t="shared" ca="1" si="1326"/>
        <v>121825542.13152853</v>
      </c>
      <c r="DF136" s="487">
        <f t="shared" ca="1" si="1326"/>
        <v>394037794.94237036</v>
      </c>
      <c r="DG136" s="487">
        <f t="shared" ca="1" si="1326"/>
        <v>385272916.69710916</v>
      </c>
      <c r="DH136" s="487">
        <f t="shared" ca="1" si="1326"/>
        <v>386000826.41952342</v>
      </c>
      <c r="DI136" s="487">
        <f t="shared" ca="1" si="1326"/>
        <v>434772916.69710916</v>
      </c>
      <c r="DJ136" s="487">
        <f t="shared" ca="1" si="1326"/>
        <v>15513582.373775404</v>
      </c>
      <c r="DK136" s="487">
        <f t="shared" ca="1" si="1326"/>
        <v>17278109.414886799</v>
      </c>
      <c r="DL136" s="487">
        <f t="shared" ca="1" si="1326"/>
        <v>47463582.3737754</v>
      </c>
      <c r="DM136" s="487">
        <f t="shared" ca="1" si="1326"/>
        <v>44035672.65136116</v>
      </c>
      <c r="DN136" s="487">
        <f t="shared" ca="1" si="1326"/>
        <v>64692582.3737754</v>
      </c>
      <c r="DO136" s="487">
        <f t="shared" ca="1" si="1326"/>
        <v>135774881.34249571</v>
      </c>
      <c r="DP136" s="487">
        <f t="shared" ca="1" si="1326"/>
        <v>19306268.674545687</v>
      </c>
      <c r="DQ136" s="487">
        <f t="shared" ca="1" si="1326"/>
        <v>27385672.651361167</v>
      </c>
      <c r="DR136" s="487">
        <f t="shared" ca="1" si="1326"/>
        <v>150663582.37377539</v>
      </c>
      <c r="DS136" s="487">
        <f t="shared" ca="1" si="1326"/>
        <v>162195472.65136117</v>
      </c>
      <c r="DT136" s="487">
        <f t="shared" ca="1" si="1326"/>
        <v>282346314.14142573</v>
      </c>
      <c r="DU136" s="487">
        <f t="shared" ca="1" si="1326"/>
        <v>92386144.286140695</v>
      </c>
      <c r="DV136" s="487">
        <f t="shared" ca="1" si="1326"/>
        <v>127863582.37377541</v>
      </c>
      <c r="DW136" s="487">
        <f t="shared" ca="1" si="1326"/>
        <v>94285672.651361153</v>
      </c>
      <c r="DX136" s="487">
        <f t="shared" ca="1" si="1326"/>
        <v>16380582.373775404</v>
      </c>
      <c r="DY136" s="487">
        <f t="shared" ca="1" si="1326"/>
        <v>30193855.593273751</v>
      </c>
      <c r="DZ136" s="487">
        <f t="shared" ca="1" si="1326"/>
        <v>18974258.748842344</v>
      </c>
      <c r="EA136" s="487">
        <f t="shared" ca="1" si="1326"/>
        <v>35635672.65136116</v>
      </c>
      <c r="EB136" s="487">
        <f t="shared" ca="1" si="1326"/>
        <v>70863582.373775408</v>
      </c>
      <c r="EC136" s="487">
        <f t="shared" ca="1" si="1326"/>
        <v>68185672.651361167</v>
      </c>
      <c r="ED136" s="487">
        <f t="shared" ca="1" si="1326"/>
        <v>110154129.00075705</v>
      </c>
    </row>
    <row r="137" spans="1:135">
      <c r="A137" s="595"/>
      <c r="B137" s="598"/>
      <c r="C137" s="599"/>
    </row>
    <row r="138" spans="1:135">
      <c r="A138" s="595"/>
      <c r="B138" s="598"/>
      <c r="C138" s="599"/>
    </row>
    <row r="139" spans="1:135">
      <c r="A139" s="595"/>
      <c r="B139" s="598"/>
      <c r="C139" s="599"/>
    </row>
    <row r="140" spans="1:135">
      <c r="A140" s="595"/>
      <c r="B140" s="598"/>
      <c r="C140" s="599"/>
    </row>
    <row r="141" spans="1:135">
      <c r="A141" s="595"/>
      <c r="B141" s="598"/>
      <c r="C141" s="599"/>
    </row>
    <row r="142" spans="1:135">
      <c r="A142" s="595"/>
      <c r="B142" s="598"/>
      <c r="C142" s="599"/>
    </row>
    <row r="143" spans="1:135">
      <c r="A143" s="595"/>
      <c r="B143" s="598"/>
      <c r="C143" s="599"/>
    </row>
    <row r="144" spans="1:135">
      <c r="A144" s="595"/>
      <c r="B144" s="598"/>
      <c r="C144" s="599"/>
    </row>
    <row r="145" spans="1:3">
      <c r="A145" s="595"/>
      <c r="B145" s="598"/>
      <c r="C145" s="599"/>
    </row>
    <row r="146" spans="1:3">
      <c r="A146" s="595"/>
      <c r="B146" s="598"/>
      <c r="C146" s="599"/>
    </row>
    <row r="147" spans="1:3">
      <c r="A147" s="595"/>
      <c r="B147" s="598"/>
      <c r="C147" s="599"/>
    </row>
    <row r="148" spans="1:3">
      <c r="A148" s="595"/>
      <c r="B148" s="598"/>
      <c r="C148" s="599"/>
    </row>
    <row r="149" spans="1:3">
      <c r="A149" s="595"/>
      <c r="B149" s="598"/>
      <c r="C149" s="599"/>
    </row>
    <row r="150" spans="1:3">
      <c r="A150" s="595"/>
      <c r="B150" s="598"/>
      <c r="C150" s="599"/>
    </row>
    <row r="151" spans="1:3">
      <c r="A151" s="595"/>
      <c r="B151" s="598"/>
      <c r="C151" s="599"/>
    </row>
    <row r="152" spans="1:3">
      <c r="A152" s="595"/>
      <c r="B152" s="598"/>
      <c r="C152" s="599"/>
    </row>
    <row r="153" spans="1:3">
      <c r="A153" s="595"/>
      <c r="B153" s="598"/>
      <c r="C153" s="599"/>
    </row>
    <row r="154" spans="1:3">
      <c r="A154" s="595"/>
      <c r="B154" s="598"/>
      <c r="C154" s="599"/>
    </row>
    <row r="155" spans="1:3">
      <c r="A155" s="595"/>
      <c r="B155" s="242"/>
      <c r="C155" s="243"/>
    </row>
    <row r="156" spans="1:3">
      <c r="A156" s="595"/>
      <c r="B156" s="242"/>
      <c r="C156" s="243"/>
    </row>
    <row r="157" spans="1:3">
      <c r="A157" s="595"/>
      <c r="B157" s="242"/>
      <c r="C157" s="243"/>
    </row>
    <row r="158" spans="1:3">
      <c r="A158" s="595"/>
      <c r="B158" s="242"/>
      <c r="C158" s="243"/>
    </row>
    <row r="159" spans="1:3">
      <c r="A159" s="595"/>
      <c r="B159" s="242"/>
      <c r="C159" s="243"/>
    </row>
    <row r="160" spans="1:3">
      <c r="A160" s="595"/>
      <c r="B160" s="242"/>
      <c r="C160" s="243"/>
    </row>
    <row r="161" spans="1:3">
      <c r="A161" s="595"/>
      <c r="B161" s="242"/>
      <c r="C161" s="243"/>
    </row>
    <row r="162" spans="1:3">
      <c r="A162" s="595"/>
      <c r="B162" s="242"/>
      <c r="C162" s="243"/>
    </row>
    <row r="163" spans="1:3">
      <c r="A163" s="595"/>
      <c r="B163" s="242"/>
      <c r="C163" s="243"/>
    </row>
    <row r="164" spans="1:3">
      <c r="A164" s="595"/>
      <c r="B164" s="242"/>
      <c r="C164" s="243"/>
    </row>
    <row r="165" spans="1:3">
      <c r="A165" s="595"/>
      <c r="B165" s="242"/>
      <c r="C165" s="243"/>
    </row>
    <row r="166" spans="1:3">
      <c r="A166" s="595"/>
      <c r="B166" s="242"/>
      <c r="C166" s="243"/>
    </row>
    <row r="167" spans="1:3">
      <c r="A167" s="595"/>
      <c r="B167" s="242"/>
      <c r="C167" s="243"/>
    </row>
    <row r="168" spans="1:3">
      <c r="A168" s="595"/>
      <c r="B168" s="242"/>
      <c r="C168" s="243"/>
    </row>
    <row r="169" spans="1:3">
      <c r="A169" s="595"/>
      <c r="B169" s="242"/>
      <c r="C169" s="243"/>
    </row>
    <row r="170" spans="1:3">
      <c r="A170" s="595"/>
      <c r="B170" s="242"/>
      <c r="C170" s="243"/>
    </row>
    <row r="171" spans="1:3">
      <c r="A171" s="595"/>
      <c r="B171" s="242"/>
      <c r="C171" s="243"/>
    </row>
    <row r="172" spans="1:3">
      <c r="A172" s="595"/>
      <c r="B172" s="242"/>
      <c r="C172" s="243"/>
    </row>
    <row r="173" spans="1:3">
      <c r="A173" s="595"/>
      <c r="B173" s="242"/>
      <c r="C173" s="243"/>
    </row>
    <row r="174" spans="1:3">
      <c r="A174" s="595"/>
      <c r="B174" s="242"/>
      <c r="C174" s="243"/>
    </row>
    <row r="175" spans="1:3">
      <c r="A175" s="595"/>
      <c r="B175" s="242"/>
      <c r="C175" s="243"/>
    </row>
    <row r="176" spans="1:3">
      <c r="A176" s="595"/>
      <c r="B176" s="242"/>
      <c r="C176" s="243"/>
    </row>
    <row r="177" spans="1:3">
      <c r="A177" s="595"/>
      <c r="B177" s="242"/>
      <c r="C177" s="243"/>
    </row>
    <row r="178" spans="1:3">
      <c r="A178" s="595"/>
      <c r="B178" s="242"/>
      <c r="C178" s="243"/>
    </row>
    <row r="179" spans="1:3">
      <c r="A179" s="595"/>
      <c r="B179" s="242"/>
      <c r="C179" s="243"/>
    </row>
    <row r="180" spans="1:3">
      <c r="A180" s="595"/>
      <c r="B180" s="242"/>
      <c r="C180" s="243"/>
    </row>
    <row r="181" spans="1:3">
      <c r="A181" s="595"/>
      <c r="B181" s="242"/>
      <c r="C181" s="243"/>
    </row>
    <row r="182" spans="1:3">
      <c r="A182" s="595"/>
      <c r="B182" s="242"/>
      <c r="C182" s="243"/>
    </row>
    <row r="183" spans="1:3">
      <c r="A183" s="595"/>
      <c r="B183" s="242"/>
      <c r="C183" s="243"/>
    </row>
    <row r="184" spans="1:3">
      <c r="A184" s="595"/>
      <c r="B184" s="242"/>
      <c r="C184" s="243"/>
    </row>
    <row r="185" spans="1:3">
      <c r="A185" s="595"/>
      <c r="B185" s="242"/>
      <c r="C185" s="243"/>
    </row>
    <row r="186" spans="1:3">
      <c r="A186" s="595"/>
      <c r="B186" s="242"/>
      <c r="C186" s="243"/>
    </row>
    <row r="187" spans="1:3">
      <c r="A187" s="595"/>
      <c r="B187" s="242"/>
      <c r="C187" s="243"/>
    </row>
    <row r="188" spans="1:3">
      <c r="A188" s="595"/>
      <c r="B188" s="242"/>
      <c r="C188" s="243"/>
    </row>
    <row r="189" spans="1:3">
      <c r="A189" s="595"/>
      <c r="B189" s="242"/>
      <c r="C189" s="243"/>
    </row>
    <row r="190" spans="1:3">
      <c r="A190" s="595"/>
      <c r="B190" s="242"/>
      <c r="C190" s="243"/>
    </row>
    <row r="191" spans="1:3">
      <c r="A191" s="595"/>
      <c r="B191" s="242"/>
      <c r="C191" s="243"/>
    </row>
    <row r="192" spans="1:3">
      <c r="A192" s="595"/>
      <c r="B192" s="242"/>
      <c r="C192" s="243"/>
    </row>
    <row r="193" spans="1:3">
      <c r="A193" s="595"/>
      <c r="B193" s="242"/>
      <c r="C193" s="243"/>
    </row>
    <row r="194" spans="1:3">
      <c r="A194" s="595"/>
      <c r="B194" s="242"/>
      <c r="C194" s="243"/>
    </row>
    <row r="195" spans="1:3">
      <c r="A195" s="595"/>
      <c r="B195" s="242"/>
      <c r="C195" s="243"/>
    </row>
    <row r="196" spans="1:3">
      <c r="A196" s="595"/>
      <c r="B196" s="242"/>
      <c r="C196" s="243"/>
    </row>
    <row r="197" spans="1:3">
      <c r="A197" s="595"/>
      <c r="B197" s="242"/>
      <c r="C197" s="243"/>
    </row>
    <row r="198" spans="1:3">
      <c r="A198" s="595"/>
      <c r="B198" s="242"/>
      <c r="C198" s="243"/>
    </row>
    <row r="199" spans="1:3">
      <c r="A199" s="595"/>
      <c r="B199" s="242"/>
      <c r="C199" s="243"/>
    </row>
    <row r="200" spans="1:3">
      <c r="A200" s="595"/>
      <c r="B200" s="242"/>
      <c r="C200" s="243"/>
    </row>
    <row r="201" spans="1:3">
      <c r="A201" s="595"/>
      <c r="B201" s="242"/>
      <c r="C201" s="243"/>
    </row>
    <row r="202" spans="1:3">
      <c r="A202" s="595"/>
      <c r="B202" s="242"/>
      <c r="C202" s="243"/>
    </row>
    <row r="203" spans="1:3">
      <c r="A203" s="595"/>
      <c r="B203" s="242"/>
      <c r="C203" s="243"/>
    </row>
    <row r="204" spans="1:3">
      <c r="A204" s="595"/>
      <c r="B204" s="242"/>
      <c r="C204" s="243"/>
    </row>
    <row r="205" spans="1:3">
      <c r="A205" s="595"/>
      <c r="B205" s="242"/>
      <c r="C205" s="243"/>
    </row>
    <row r="206" spans="1:3">
      <c r="A206" s="595"/>
      <c r="B206" s="242"/>
      <c r="C206" s="243"/>
    </row>
    <row r="207" spans="1:3">
      <c r="A207" s="595"/>
      <c r="B207" s="242"/>
      <c r="C207" s="243"/>
    </row>
    <row r="208" spans="1:3">
      <c r="A208" s="595"/>
      <c r="B208" s="242"/>
      <c r="C208" s="243"/>
    </row>
    <row r="209" spans="1:3">
      <c r="A209" s="595"/>
      <c r="B209" s="242"/>
      <c r="C209" s="243"/>
    </row>
    <row r="210" spans="1:3">
      <c r="A210" s="595"/>
      <c r="B210" s="242"/>
      <c r="C210" s="243"/>
    </row>
    <row r="211" spans="1:3">
      <c r="A211" s="595"/>
      <c r="B211" s="242"/>
      <c r="C211" s="243"/>
    </row>
    <row r="212" spans="1:3">
      <c r="A212" s="595"/>
      <c r="B212" s="242"/>
      <c r="C212" s="243"/>
    </row>
    <row r="213" spans="1:3">
      <c r="A213" s="595"/>
      <c r="B213" s="242"/>
      <c r="C213" s="243"/>
    </row>
    <row r="214" spans="1:3">
      <c r="A214" s="595"/>
      <c r="B214" s="242"/>
      <c r="C214" s="243"/>
    </row>
    <row r="215" spans="1:3">
      <c r="A215" s="595"/>
      <c r="B215" s="242"/>
      <c r="C215" s="243"/>
    </row>
    <row r="216" spans="1:3">
      <c r="A216" s="595"/>
      <c r="B216" s="242"/>
      <c r="C216" s="243"/>
    </row>
    <row r="217" spans="1:3">
      <c r="A217" s="595"/>
      <c r="B217" s="242"/>
      <c r="C217" s="243"/>
    </row>
    <row r="218" spans="1:3">
      <c r="A218" s="595"/>
      <c r="B218" s="242"/>
      <c r="C218" s="243"/>
    </row>
    <row r="219" spans="1:3">
      <c r="A219" s="595"/>
      <c r="B219" s="242"/>
      <c r="C219" s="243"/>
    </row>
    <row r="220" spans="1:3">
      <c r="A220" s="595"/>
      <c r="B220" s="242"/>
      <c r="C220" s="243"/>
    </row>
    <row r="221" spans="1:3">
      <c r="A221" s="595"/>
      <c r="B221" s="242"/>
      <c r="C221" s="243"/>
    </row>
    <row r="222" spans="1:3">
      <c r="A222" s="595"/>
      <c r="B222" s="242"/>
      <c r="C222" s="243"/>
    </row>
    <row r="223" spans="1:3">
      <c r="A223" s="595"/>
      <c r="B223" s="242"/>
      <c r="C223" s="243"/>
    </row>
    <row r="224" spans="1:3">
      <c r="A224" s="595"/>
      <c r="B224" s="242"/>
      <c r="C224" s="243"/>
    </row>
    <row r="225" spans="1:3">
      <c r="A225" s="595"/>
      <c r="B225" s="242"/>
      <c r="C225" s="243"/>
    </row>
    <row r="226" spans="1:3">
      <c r="A226" s="595"/>
      <c r="B226" s="242"/>
      <c r="C226" s="243"/>
    </row>
    <row r="227" spans="1:3">
      <c r="A227" s="595"/>
      <c r="B227" s="242"/>
      <c r="C227" s="243"/>
    </row>
    <row r="228" spans="1:3">
      <c r="A228" s="595"/>
      <c r="B228" s="242"/>
      <c r="C228" s="243"/>
    </row>
    <row r="229" spans="1:3">
      <c r="A229" s="595"/>
      <c r="B229" s="242"/>
      <c r="C229" s="243"/>
    </row>
    <row r="230" spans="1:3">
      <c r="A230" s="595"/>
      <c r="B230" s="242"/>
      <c r="C230" s="243"/>
    </row>
    <row r="231" spans="1:3">
      <c r="A231" s="595"/>
      <c r="B231" s="242"/>
      <c r="C231" s="243"/>
    </row>
    <row r="232" spans="1:3">
      <c r="A232" s="595"/>
      <c r="B232" s="242"/>
      <c r="C232" s="243"/>
    </row>
    <row r="233" spans="1:3">
      <c r="A233" s="595"/>
      <c r="B233" s="242"/>
      <c r="C233" s="243"/>
    </row>
    <row r="234" spans="1:3">
      <c r="A234" s="595"/>
      <c r="B234" s="242"/>
      <c r="C234" s="243"/>
    </row>
    <row r="235" spans="1:3">
      <c r="A235" s="595"/>
      <c r="B235" s="242"/>
      <c r="C235" s="243"/>
    </row>
    <row r="236" spans="1:3">
      <c r="A236" s="595"/>
      <c r="B236" s="242"/>
      <c r="C236" s="243"/>
    </row>
    <row r="237" spans="1:3">
      <c r="A237" s="595"/>
      <c r="B237" s="242"/>
      <c r="C237" s="243"/>
    </row>
    <row r="238" spans="1:3">
      <c r="A238" s="595"/>
      <c r="B238" s="242"/>
      <c r="C238" s="243"/>
    </row>
    <row r="239" spans="1:3">
      <c r="A239" s="595"/>
      <c r="B239" s="242"/>
      <c r="C239" s="243"/>
    </row>
    <row r="240" spans="1:3">
      <c r="A240" s="595"/>
      <c r="B240" s="242"/>
      <c r="C240" s="243"/>
    </row>
    <row r="241" spans="1:3">
      <c r="A241" s="595"/>
      <c r="B241" s="242"/>
      <c r="C241" s="243"/>
    </row>
    <row r="242" spans="1:3">
      <c r="A242" s="595"/>
      <c r="B242" s="242"/>
      <c r="C242" s="243"/>
    </row>
    <row r="243" spans="1:3">
      <c r="A243" s="595"/>
      <c r="B243" s="242"/>
      <c r="C243" s="243"/>
    </row>
    <row r="244" spans="1:3">
      <c r="A244" s="595"/>
      <c r="B244" s="242"/>
      <c r="C244" s="243"/>
    </row>
    <row r="245" spans="1:3">
      <c r="A245" s="595"/>
      <c r="B245" s="242"/>
      <c r="C245" s="243"/>
    </row>
    <row r="246" spans="1:3">
      <c r="A246" s="595"/>
      <c r="B246" s="242"/>
      <c r="C246" s="243"/>
    </row>
    <row r="247" spans="1:3">
      <c r="A247" s="595"/>
      <c r="B247" s="242"/>
      <c r="C247" s="243"/>
    </row>
    <row r="248" spans="1:3">
      <c r="A248" s="595"/>
      <c r="B248" s="242"/>
      <c r="C248" s="243"/>
    </row>
    <row r="249" spans="1:3">
      <c r="A249" s="595"/>
      <c r="B249" s="242"/>
      <c r="C249" s="243"/>
    </row>
    <row r="250" spans="1:3">
      <c r="A250" s="595"/>
      <c r="B250" s="242"/>
      <c r="C250" s="243"/>
    </row>
    <row r="251" spans="1:3">
      <c r="A251" s="595"/>
      <c r="B251" s="242"/>
      <c r="C251" s="243"/>
    </row>
    <row r="252" spans="1:3">
      <c r="A252" s="595"/>
      <c r="B252" s="242"/>
      <c r="C252" s="243"/>
    </row>
    <row r="253" spans="1:3">
      <c r="A253" s="595"/>
      <c r="B253" s="242"/>
      <c r="C253" s="243"/>
    </row>
    <row r="254" spans="1:3">
      <c r="A254" s="595"/>
      <c r="B254" s="242"/>
      <c r="C254" s="243"/>
    </row>
    <row r="255" spans="1:3">
      <c r="A255" s="595"/>
      <c r="B255" s="242"/>
      <c r="C255" s="243"/>
    </row>
    <row r="256" spans="1:3">
      <c r="A256" s="595"/>
      <c r="B256" s="242"/>
      <c r="C256" s="243"/>
    </row>
    <row r="257" spans="1:3">
      <c r="A257" s="595"/>
      <c r="B257" s="242"/>
      <c r="C257" s="243"/>
    </row>
    <row r="258" spans="1:3">
      <c r="A258" s="595"/>
      <c r="B258" s="242"/>
      <c r="C258" s="243"/>
    </row>
    <row r="259" spans="1:3">
      <c r="A259" s="595"/>
      <c r="B259" s="242"/>
      <c r="C259" s="243"/>
    </row>
    <row r="260" spans="1:3">
      <c r="A260" s="595"/>
      <c r="B260" s="242"/>
      <c r="C260" s="243"/>
    </row>
    <row r="261" spans="1:3">
      <c r="A261" s="595"/>
      <c r="B261" s="242"/>
      <c r="C261" s="243"/>
    </row>
    <row r="262" spans="1:3">
      <c r="A262" s="595"/>
      <c r="B262" s="242"/>
      <c r="C262" s="243"/>
    </row>
    <row r="263" spans="1:3">
      <c r="A263" s="595"/>
      <c r="B263" s="242"/>
      <c r="C263" s="243"/>
    </row>
    <row r="264" spans="1:3">
      <c r="A264" s="595"/>
      <c r="B264" s="242"/>
      <c r="C264" s="243"/>
    </row>
    <row r="265" spans="1:3">
      <c r="A265" s="595"/>
      <c r="B265" s="242"/>
      <c r="C265" s="243"/>
    </row>
    <row r="266" spans="1:3">
      <c r="A266" s="595"/>
      <c r="B266" s="242"/>
      <c r="C266" s="243"/>
    </row>
    <row r="267" spans="1:3">
      <c r="A267" s="595"/>
      <c r="B267" s="242"/>
      <c r="C267" s="243"/>
    </row>
    <row r="268" spans="1:3">
      <c r="A268" s="595"/>
      <c r="B268" s="242"/>
      <c r="C268" s="243"/>
    </row>
    <row r="269" spans="1:3">
      <c r="A269" s="595"/>
      <c r="B269" s="242"/>
      <c r="C269" s="243"/>
    </row>
    <row r="270" spans="1:3">
      <c r="A270" s="595"/>
      <c r="B270" s="242"/>
      <c r="C270" s="243"/>
    </row>
    <row r="271" spans="1:3">
      <c r="A271" s="595"/>
      <c r="B271" s="242"/>
      <c r="C271" s="243"/>
    </row>
  </sheetData>
  <mergeCells count="4">
    <mergeCell ref="F5:F6"/>
    <mergeCell ref="H5:H6"/>
    <mergeCell ref="I5:I6"/>
    <mergeCell ref="J5:J6"/>
  </mergeCells>
  <conditionalFormatting sqref="K43 K93 K95:K96 K109 K117:K118 K123">
    <cfRule type="expression" dxfId="0" priority="1" stopIfTrue="1">
      <formula>AND(#REF!&gt;0,#REF!=0)</formula>
    </cfRule>
  </conditionalFormatting>
  <printOptions horizontalCentered="1" verticalCentered="1"/>
  <pageMargins left="0.39370078740157483" right="0.39370078740157483" top="0.39370078740157483" bottom="0.19685039370078741" header="0.51181102362204722" footer="0.51181102362204722"/>
  <pageSetup paperSize="8" scale="90" fitToHeight="0" orientation="landscape" r:id="rId1"/>
  <headerFooter alignWithMargins="0"/>
  <colBreaks count="4" manualBreakCount="4">
    <brk id="41" min="3" max="84" man="1"/>
    <brk id="72" min="3" max="84" man="1"/>
    <brk id="103" min="3" max="84" man="1"/>
    <brk id="134" min="3" max="84" man="1"/>
  </colBreaks>
  <ignoredErrors>
    <ignoredError sqref="H100:I102 H52:I55 H78:I80 DA76:ED93 EF76:FJ84 H69:I70 I32 H56:H57 H109:I114 DA98:ED101 DB97:ED97 H83:I83 H117:I119 H121:I121 EA46:FI46 ED56 H46:I49 H50 H58:I62 H64:I67 H63 H73:I73 H71:H72 H76:I76 H74:H75 H84:H86 H108 H99 H103:H105 H115 EF97:FJ103 EF85:FB90 FF85:FJ90 I97:I99 I92:I93 EF91:FJ93" formula="1"/>
  </ignoredError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Plan19">
    <tabColor indexed="13"/>
  </sheetPr>
  <dimension ref="A1:DC247"/>
  <sheetViews>
    <sheetView showZeros="0" topLeftCell="A76" zoomScale="90" zoomScaleNormal="90" workbookViewId="0">
      <selection activeCell="D4" sqref="D4:J36"/>
    </sheetView>
  </sheetViews>
  <sheetFormatPr defaultColWidth="9.140625" defaultRowHeight="12.75"/>
  <cols>
    <col min="1" max="1" width="3" style="740" customWidth="1"/>
    <col min="2" max="3" width="3" style="255" customWidth="1"/>
    <col min="4" max="4" width="5.5703125" style="255" hidden="1" customWidth="1"/>
    <col min="5" max="5" width="65" style="255" customWidth="1"/>
    <col min="6" max="6" width="14" style="255" customWidth="1"/>
    <col min="7" max="7" width="10.28515625" style="317" bestFit="1" customWidth="1"/>
    <col min="8" max="8" width="7" style="256" bestFit="1" customWidth="1"/>
    <col min="9" max="9" width="9.28515625" style="255" bestFit="1" customWidth="1"/>
    <col min="10" max="10" width="11" style="255" customWidth="1"/>
    <col min="11" max="11" width="2.5703125" style="255" customWidth="1"/>
    <col min="12" max="12" width="13.140625" style="389" customWidth="1"/>
    <col min="13" max="13" width="20.85546875" style="515" customWidth="1"/>
    <col min="14" max="14" width="13.5703125" style="255" customWidth="1"/>
    <col min="15" max="15" width="11" style="255" bestFit="1" customWidth="1"/>
    <col min="16" max="16" width="12.7109375" style="255" bestFit="1" customWidth="1"/>
    <col min="17" max="17" width="11.28515625" style="255" bestFit="1" customWidth="1"/>
    <col min="18" max="19" width="9.140625" style="255"/>
    <col min="20" max="20" width="11.140625" style="255" bestFit="1" customWidth="1"/>
    <col min="21" max="16384" width="9.140625" style="255"/>
  </cols>
  <sheetData>
    <row r="1" spans="1:107" s="595" customFormat="1" ht="15" customHeight="1">
      <c r="B1" s="596"/>
      <c r="E1" s="596"/>
      <c r="M1" s="739"/>
    </row>
    <row r="2" spans="1:107" s="241" customFormat="1" ht="10.5" customHeight="1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741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598"/>
      <c r="AI2" s="598"/>
      <c r="AJ2" s="598"/>
      <c r="AK2" s="598"/>
      <c r="AL2" s="598"/>
      <c r="AM2" s="598"/>
      <c r="AN2" s="598"/>
      <c r="AO2" s="598"/>
      <c r="AP2" s="598"/>
      <c r="AQ2" s="598"/>
      <c r="AR2" s="598"/>
      <c r="AS2" s="598"/>
      <c r="AT2" s="598"/>
      <c r="AU2" s="598"/>
      <c r="AV2" s="598"/>
      <c r="AW2" s="598"/>
      <c r="AX2" s="598"/>
      <c r="AY2" s="598"/>
      <c r="AZ2" s="598"/>
      <c r="BA2" s="242"/>
      <c r="BB2" s="242"/>
      <c r="BC2" s="242"/>
      <c r="BD2" s="242"/>
      <c r="BE2" s="242"/>
      <c r="BF2" s="242"/>
      <c r="BG2" s="242"/>
      <c r="BH2" s="242"/>
      <c r="BI2" s="242"/>
      <c r="BJ2" s="242"/>
      <c r="BK2" s="242"/>
      <c r="BL2" s="242"/>
      <c r="BM2" s="242"/>
      <c r="BN2" s="242"/>
      <c r="BO2" s="242"/>
      <c r="BP2" s="242"/>
      <c r="BQ2" s="242"/>
      <c r="BR2" s="242"/>
      <c r="BS2" s="242"/>
      <c r="BT2" s="242"/>
      <c r="BU2" s="242"/>
      <c r="BV2" s="242"/>
      <c r="BW2" s="242"/>
      <c r="BX2" s="242"/>
      <c r="BY2" s="242"/>
      <c r="BZ2" s="242"/>
      <c r="CA2" s="242"/>
      <c r="CB2" s="242"/>
      <c r="CC2" s="242"/>
      <c r="CD2" s="242"/>
      <c r="CE2" s="242"/>
      <c r="CF2" s="242"/>
      <c r="CG2" s="242"/>
      <c r="CH2" s="242"/>
      <c r="CI2" s="242"/>
      <c r="CJ2" s="242"/>
      <c r="CK2" s="242"/>
      <c r="CL2" s="242"/>
      <c r="CM2" s="242"/>
      <c r="CN2" s="242"/>
      <c r="CO2" s="242"/>
      <c r="CP2" s="242"/>
      <c r="CQ2" s="242"/>
      <c r="CR2" s="242"/>
      <c r="CS2" s="242"/>
      <c r="CT2" s="242"/>
      <c r="CU2" s="242"/>
      <c r="CV2" s="242"/>
      <c r="CW2" s="242"/>
      <c r="CX2" s="242"/>
      <c r="CY2" s="242"/>
      <c r="CZ2" s="242"/>
      <c r="DA2" s="242"/>
      <c r="DB2" s="242"/>
      <c r="DC2" s="242"/>
    </row>
    <row r="3" spans="1:107" s="241" customFormat="1" ht="10.5" customHeight="1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742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599"/>
      <c r="AI3" s="599"/>
      <c r="AJ3" s="599"/>
      <c r="AK3" s="599"/>
      <c r="AL3" s="599"/>
      <c r="AM3" s="599"/>
      <c r="AN3" s="599"/>
      <c r="AO3" s="599"/>
      <c r="AP3" s="599"/>
      <c r="AQ3" s="599"/>
      <c r="AR3" s="599"/>
      <c r="AS3" s="599"/>
      <c r="AT3" s="599"/>
      <c r="AU3" s="599"/>
      <c r="AV3" s="599"/>
      <c r="AW3" s="599"/>
      <c r="AX3" s="599"/>
      <c r="AY3" s="599"/>
      <c r="AZ3" s="599"/>
      <c r="BA3" s="599"/>
      <c r="BB3" s="599"/>
      <c r="BC3" s="599"/>
      <c r="BD3" s="599"/>
      <c r="BE3" s="599"/>
      <c r="BF3" s="599"/>
      <c r="BG3" s="599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  <c r="DC3" s="243"/>
    </row>
    <row r="4" spans="1:107">
      <c r="A4" s="595"/>
      <c r="B4" s="598"/>
      <c r="C4" s="599"/>
      <c r="O4" s="246"/>
      <c r="P4" s="246">
        <v>45292</v>
      </c>
      <c r="Q4" s="246">
        <v>42948</v>
      </c>
      <c r="V4" s="576">
        <v>1275.9254000000001</v>
      </c>
    </row>
    <row r="5" spans="1:107" ht="18" customHeight="1">
      <c r="A5" s="595"/>
      <c r="B5" s="598"/>
      <c r="C5" s="599"/>
      <c r="E5" s="318" t="s">
        <v>210</v>
      </c>
      <c r="F5" s="246"/>
      <c r="L5" s="246"/>
      <c r="O5" s="319" t="s">
        <v>1765</v>
      </c>
      <c r="P5" s="320">
        <v>1768.7022620017499</v>
      </c>
      <c r="Q5" s="320">
        <v>1250.7021</v>
      </c>
      <c r="R5" s="1632">
        <f>(P5/Q5)</f>
        <v>1.4141675</v>
      </c>
      <c r="T5" s="855">
        <v>1.4141675</v>
      </c>
    </row>
    <row r="6" spans="1:107" ht="30" customHeight="1">
      <c r="A6" s="595"/>
      <c r="B6" s="598"/>
      <c r="C6" s="599"/>
      <c r="E6" s="1633" t="s">
        <v>1766</v>
      </c>
      <c r="F6" s="1634" t="s">
        <v>1767</v>
      </c>
      <c r="G6" s="1635" t="s">
        <v>1768</v>
      </c>
      <c r="H6" s="1634" t="s">
        <v>1769</v>
      </c>
      <c r="I6" s="1634" t="s">
        <v>1770</v>
      </c>
      <c r="J6" s="1634" t="s">
        <v>1771</v>
      </c>
      <c r="K6" s="743"/>
      <c r="L6" s="1636" t="s">
        <v>1767</v>
      </c>
      <c r="M6" s="1637" t="s">
        <v>1772</v>
      </c>
      <c r="N6" s="322"/>
      <c r="O6" s="319"/>
      <c r="P6" s="373"/>
      <c r="Q6" s="246"/>
      <c r="R6" s="272"/>
      <c r="T6" s="856">
        <f>T5*Q5</f>
        <v>1768.7022620017499</v>
      </c>
    </row>
    <row r="7" spans="1:107" ht="15">
      <c r="A7" s="595"/>
      <c r="B7" s="598"/>
      <c r="C7" s="599"/>
      <c r="D7" s="255" t="s">
        <v>134</v>
      </c>
      <c r="E7" s="1638" t="s">
        <v>1773</v>
      </c>
      <c r="F7" s="1639"/>
      <c r="G7" s="1640"/>
      <c r="H7" s="1641"/>
      <c r="I7" s="1639"/>
      <c r="J7" s="1639"/>
      <c r="K7" s="743"/>
      <c r="L7" s="1642"/>
      <c r="M7" s="1641"/>
      <c r="N7" s="322"/>
      <c r="O7" s="321"/>
    </row>
    <row r="8" spans="1:107" ht="15">
      <c r="A8" s="595"/>
      <c r="B8" s="598"/>
      <c r="C8" s="599"/>
      <c r="E8" s="1643" t="s">
        <v>1774</v>
      </c>
      <c r="F8" s="1644"/>
      <c r="G8" s="851"/>
      <c r="H8" s="852"/>
      <c r="I8" s="1644"/>
      <c r="J8" s="1644"/>
      <c r="L8" s="853"/>
      <c r="M8" s="854"/>
      <c r="N8" s="322"/>
    </row>
    <row r="9" spans="1:107">
      <c r="A9" s="595"/>
      <c r="B9" s="598"/>
      <c r="C9" s="599"/>
      <c r="E9" s="849"/>
      <c r="F9" s="850"/>
      <c r="G9" s="851"/>
      <c r="H9" s="852"/>
      <c r="I9" s="851"/>
      <c r="J9" s="850"/>
      <c r="L9" s="853"/>
      <c r="M9" s="854"/>
      <c r="N9" s="322"/>
    </row>
    <row r="10" spans="1:107">
      <c r="A10" s="595"/>
      <c r="B10" s="598"/>
      <c r="C10" s="599"/>
      <c r="E10" s="1645"/>
      <c r="F10" s="850"/>
      <c r="G10" s="851"/>
      <c r="H10" s="852"/>
      <c r="I10" s="851"/>
      <c r="J10" s="850"/>
      <c r="L10" s="853"/>
      <c r="M10" s="854"/>
      <c r="N10" s="322"/>
    </row>
    <row r="11" spans="1:107">
      <c r="A11" s="595"/>
      <c r="B11" s="598"/>
      <c r="C11" s="599"/>
      <c r="E11" s="1645"/>
      <c r="F11" s="850"/>
      <c r="G11" s="851"/>
      <c r="H11" s="852"/>
      <c r="I11" s="851"/>
      <c r="J11" s="850"/>
      <c r="L11" s="853"/>
      <c r="M11" s="854"/>
      <c r="N11" s="322"/>
    </row>
    <row r="12" spans="1:107">
      <c r="A12" s="595"/>
      <c r="B12" s="598"/>
      <c r="C12" s="599"/>
      <c r="E12" s="1646" t="s">
        <v>1663</v>
      </c>
      <c r="F12" s="850">
        <v>0</v>
      </c>
      <c r="G12" s="851">
        <v>0.35</v>
      </c>
      <c r="H12" s="852">
        <v>5</v>
      </c>
      <c r="I12" s="851">
        <v>0.1</v>
      </c>
      <c r="J12" s="850">
        <f t="shared" ref="J12:J77" si="0">F12*I12</f>
        <v>0</v>
      </c>
      <c r="L12" s="853">
        <v>162000</v>
      </c>
      <c r="M12" s="854" t="s">
        <v>1775</v>
      </c>
      <c r="N12" s="322"/>
    </row>
    <row r="13" spans="1:107">
      <c r="A13" s="595"/>
      <c r="B13" s="598"/>
      <c r="C13" s="599"/>
      <c r="E13" s="1646"/>
      <c r="F13" s="850">
        <v>0</v>
      </c>
      <c r="G13" s="851"/>
      <c r="H13" s="852"/>
      <c r="I13" s="851"/>
      <c r="J13" s="850"/>
      <c r="L13" s="853"/>
      <c r="M13" s="854"/>
      <c r="N13" s="322"/>
    </row>
    <row r="14" spans="1:107">
      <c r="A14" s="595"/>
      <c r="B14" s="598"/>
      <c r="C14" s="599"/>
      <c r="E14" s="1646" t="s">
        <v>1666</v>
      </c>
      <c r="F14" s="850">
        <v>0</v>
      </c>
      <c r="G14" s="851">
        <v>0.4</v>
      </c>
      <c r="H14" s="852">
        <v>5</v>
      </c>
      <c r="I14" s="851">
        <v>0.1</v>
      </c>
      <c r="J14" s="850">
        <f t="shared" si="0"/>
        <v>0</v>
      </c>
      <c r="L14" s="853">
        <v>159000</v>
      </c>
      <c r="M14" s="854" t="s">
        <v>1776</v>
      </c>
      <c r="N14" s="322"/>
    </row>
    <row r="15" spans="1:107">
      <c r="A15" s="595"/>
      <c r="B15" s="598"/>
      <c r="C15" s="599"/>
      <c r="E15" s="1646" t="s">
        <v>1667</v>
      </c>
      <c r="F15" s="850">
        <v>0</v>
      </c>
      <c r="G15" s="851">
        <v>0.5</v>
      </c>
      <c r="H15" s="852">
        <v>7</v>
      </c>
      <c r="I15" s="851">
        <v>0.1</v>
      </c>
      <c r="J15" s="850">
        <f t="shared" si="0"/>
        <v>0</v>
      </c>
      <c r="L15" s="853">
        <v>672000</v>
      </c>
      <c r="M15" s="854" t="s">
        <v>1776</v>
      </c>
      <c r="N15" s="322"/>
    </row>
    <row r="16" spans="1:107">
      <c r="A16" s="595"/>
      <c r="B16" s="598"/>
      <c r="C16" s="599"/>
      <c r="E16" s="1647" t="s">
        <v>1669</v>
      </c>
      <c r="F16" s="850">
        <v>0</v>
      </c>
      <c r="G16" s="851">
        <v>0.4</v>
      </c>
      <c r="H16" s="852">
        <v>7</v>
      </c>
      <c r="I16" s="851">
        <v>0.1</v>
      </c>
      <c r="J16" s="850">
        <f t="shared" si="0"/>
        <v>0</v>
      </c>
      <c r="L16" s="853">
        <v>168000</v>
      </c>
      <c r="M16" s="854" t="s">
        <v>1776</v>
      </c>
      <c r="N16" s="322"/>
    </row>
    <row r="17" spans="1:17">
      <c r="A17" s="595"/>
      <c r="B17" s="598"/>
      <c r="C17" s="599"/>
      <c r="E17" s="1647" t="s">
        <v>1670</v>
      </c>
      <c r="F17" s="850">
        <v>0</v>
      </c>
      <c r="G17" s="851">
        <v>0.4</v>
      </c>
      <c r="H17" s="852">
        <v>7</v>
      </c>
      <c r="I17" s="851">
        <v>0.1</v>
      </c>
      <c r="J17" s="850">
        <f t="shared" si="0"/>
        <v>0</v>
      </c>
      <c r="L17" s="853">
        <v>167000</v>
      </c>
      <c r="M17" s="854" t="s">
        <v>1776</v>
      </c>
      <c r="N17" s="322"/>
    </row>
    <row r="18" spans="1:17">
      <c r="A18" s="595"/>
      <c r="B18" s="598"/>
      <c r="C18" s="599"/>
      <c r="E18" s="1646"/>
      <c r="F18" s="850">
        <v>0</v>
      </c>
      <c r="G18" s="851"/>
      <c r="H18" s="852"/>
      <c r="I18" s="851"/>
      <c r="J18" s="850"/>
      <c r="L18" s="853"/>
      <c r="M18" s="854"/>
      <c r="N18" s="322"/>
    </row>
    <row r="19" spans="1:17">
      <c r="A19" s="595"/>
      <c r="B19" s="598"/>
      <c r="C19" s="599"/>
      <c r="E19" s="1646"/>
      <c r="F19" s="850">
        <v>0</v>
      </c>
      <c r="G19" s="851"/>
      <c r="H19" s="852"/>
      <c r="I19" s="851"/>
      <c r="J19" s="850"/>
      <c r="L19" s="853"/>
      <c r="M19" s="854"/>
      <c r="N19" s="322"/>
    </row>
    <row r="20" spans="1:17">
      <c r="A20" s="595"/>
      <c r="B20" s="598"/>
      <c r="C20" s="599"/>
      <c r="E20" s="1646" t="s">
        <v>1639</v>
      </c>
      <c r="F20" s="850">
        <v>0</v>
      </c>
      <c r="G20" s="851">
        <v>0.5</v>
      </c>
      <c r="H20" s="852">
        <v>3</v>
      </c>
      <c r="I20" s="851">
        <v>0.1</v>
      </c>
      <c r="J20" s="850">
        <f t="shared" si="0"/>
        <v>0</v>
      </c>
      <c r="L20" s="853">
        <v>50539</v>
      </c>
      <c r="M20" s="854" t="s">
        <v>1777</v>
      </c>
      <c r="N20" s="322"/>
    </row>
    <row r="21" spans="1:17">
      <c r="A21" s="595"/>
      <c r="B21" s="598"/>
      <c r="C21" s="599"/>
      <c r="E21" s="1647"/>
      <c r="F21" s="850">
        <v>0</v>
      </c>
      <c r="G21" s="851"/>
      <c r="H21" s="852"/>
      <c r="I21" s="851"/>
      <c r="J21" s="850"/>
      <c r="L21" s="853"/>
      <c r="M21" s="854"/>
      <c r="N21" s="322"/>
    </row>
    <row r="22" spans="1:17">
      <c r="A22" s="595"/>
      <c r="B22" s="598"/>
      <c r="C22" s="599"/>
      <c r="E22" s="1648" t="s">
        <v>1778</v>
      </c>
      <c r="F22" s="850">
        <v>0</v>
      </c>
      <c r="G22" s="851">
        <v>0.5</v>
      </c>
      <c r="H22" s="852">
        <v>3</v>
      </c>
      <c r="I22" s="851">
        <v>0.1</v>
      </c>
      <c r="J22" s="850">
        <f t="shared" ref="J22" si="1">F22*I22</f>
        <v>0</v>
      </c>
      <c r="L22" s="853">
        <v>53597</v>
      </c>
      <c r="M22" s="854" t="s">
        <v>1777</v>
      </c>
      <c r="N22" s="322"/>
    </row>
    <row r="23" spans="1:17">
      <c r="A23" s="595"/>
      <c r="B23" s="598"/>
      <c r="C23" s="599"/>
      <c r="E23" s="1649" t="s">
        <v>1641</v>
      </c>
      <c r="F23" s="850">
        <v>0</v>
      </c>
      <c r="G23" s="851">
        <v>0.4</v>
      </c>
      <c r="H23" s="852">
        <v>3</v>
      </c>
      <c r="I23" s="851">
        <v>0.1</v>
      </c>
      <c r="J23" s="850">
        <f t="shared" si="0"/>
        <v>0</v>
      </c>
      <c r="L23" s="853">
        <v>33652</v>
      </c>
      <c r="M23" s="854" t="s">
        <v>1777</v>
      </c>
      <c r="N23" s="322"/>
    </row>
    <row r="24" spans="1:17">
      <c r="A24" s="595"/>
      <c r="B24" s="598"/>
      <c r="C24" s="599"/>
      <c r="E24" s="1649" t="s">
        <v>1651</v>
      </c>
      <c r="F24" s="850">
        <v>0</v>
      </c>
      <c r="G24" s="851">
        <v>0.4</v>
      </c>
      <c r="H24" s="852">
        <v>4</v>
      </c>
      <c r="I24" s="851">
        <v>0.1</v>
      </c>
      <c r="J24" s="850">
        <f t="shared" si="0"/>
        <v>0</v>
      </c>
      <c r="L24" s="853">
        <v>80415</v>
      </c>
      <c r="M24" s="854" t="s">
        <v>1777</v>
      </c>
      <c r="N24" s="322"/>
    </row>
    <row r="25" spans="1:17">
      <c r="A25" s="595"/>
      <c r="B25" s="598"/>
      <c r="C25" s="599"/>
      <c r="E25" s="1650" t="s">
        <v>1671</v>
      </c>
      <c r="F25" s="1642">
        <f t="shared" ref="F25:F76" si="2">L25*$R$5</f>
        <v>0</v>
      </c>
      <c r="G25" s="1640"/>
      <c r="H25" s="1641"/>
      <c r="I25" s="1640"/>
      <c r="J25" s="1642">
        <f t="shared" si="0"/>
        <v>0</v>
      </c>
      <c r="K25" s="743"/>
      <c r="L25" s="1642"/>
      <c r="M25" s="1641"/>
      <c r="N25" s="322"/>
    </row>
    <row r="26" spans="1:17">
      <c r="A26" s="595"/>
      <c r="B26" s="598"/>
      <c r="C26" s="599"/>
      <c r="E26" s="1649" t="s">
        <v>1672</v>
      </c>
      <c r="F26" s="850">
        <f>L26*$R$5*1.25</f>
        <v>314652.26874999999</v>
      </c>
      <c r="G26" s="851">
        <v>0.2</v>
      </c>
      <c r="H26" s="852">
        <v>30</v>
      </c>
      <c r="I26" s="851">
        <v>0.01</v>
      </c>
      <c r="J26" s="850">
        <f t="shared" ref="J26:J27" si="3">F26*I26</f>
        <v>3146.5226874999998</v>
      </c>
      <c r="L26" s="1651">
        <v>178000</v>
      </c>
      <c r="M26" s="1652" t="s">
        <v>1779</v>
      </c>
      <c r="N26" s="1962" t="s">
        <v>1780</v>
      </c>
      <c r="O26" s="1963"/>
      <c r="P26" s="1963"/>
      <c r="Q26" s="1963"/>
    </row>
    <row r="27" spans="1:17">
      <c r="A27" s="595"/>
      <c r="B27" s="598"/>
      <c r="C27" s="599"/>
      <c r="E27" s="1649" t="s">
        <v>1673</v>
      </c>
      <c r="F27" s="850">
        <f t="shared" ref="F27" si="4">L27*$R$5</f>
        <v>114547.5675</v>
      </c>
      <c r="G27" s="851">
        <v>0.2</v>
      </c>
      <c r="H27" s="852">
        <v>30</v>
      </c>
      <c r="I27" s="851">
        <v>0.01</v>
      </c>
      <c r="J27" s="850">
        <f t="shared" si="3"/>
        <v>1145.4756750000001</v>
      </c>
      <c r="L27" s="1651">
        <v>81000</v>
      </c>
      <c r="M27" s="1652" t="s">
        <v>1779</v>
      </c>
      <c r="N27" s="1962"/>
      <c r="O27" s="1963"/>
      <c r="P27" s="1963"/>
      <c r="Q27" s="1963"/>
    </row>
    <row r="28" spans="1:17" ht="15">
      <c r="A28" s="595"/>
      <c r="B28" s="598"/>
      <c r="C28" s="599"/>
      <c r="E28" s="1638" t="s">
        <v>1629</v>
      </c>
      <c r="F28" s="1642"/>
      <c r="G28" s="1640"/>
      <c r="H28" s="1641"/>
      <c r="I28" s="1640"/>
      <c r="J28" s="1642"/>
      <c r="K28" s="743"/>
      <c r="L28" s="1642"/>
      <c r="M28" s="1641"/>
      <c r="N28" s="322"/>
    </row>
    <row r="29" spans="1:17">
      <c r="A29" s="595"/>
      <c r="B29" s="598"/>
      <c r="C29" s="599"/>
      <c r="E29" s="1653" t="s">
        <v>1630</v>
      </c>
      <c r="F29" s="850">
        <f t="shared" si="2"/>
        <v>516171.13750000001</v>
      </c>
      <c r="G29" s="851">
        <v>0.1</v>
      </c>
      <c r="H29" s="852">
        <v>30</v>
      </c>
      <c r="I29" s="851">
        <v>0.01</v>
      </c>
      <c r="J29" s="850">
        <f t="shared" si="0"/>
        <v>5161.7113749999999</v>
      </c>
      <c r="L29" s="853">
        <v>365000</v>
      </c>
      <c r="M29" s="854" t="s">
        <v>1781</v>
      </c>
      <c r="N29" s="322" t="s">
        <v>1782</v>
      </c>
    </row>
    <row r="30" spans="1:17" ht="15">
      <c r="A30" s="595"/>
      <c r="B30" s="598"/>
      <c r="C30" s="599"/>
      <c r="D30" s="255" t="s">
        <v>132</v>
      </c>
      <c r="E30" s="1638" t="s">
        <v>1783</v>
      </c>
      <c r="F30" s="1642">
        <f t="shared" si="2"/>
        <v>0</v>
      </c>
      <c r="G30" s="1640">
        <v>0</v>
      </c>
      <c r="H30" s="1641"/>
      <c r="I30" s="1640"/>
      <c r="J30" s="1642">
        <f t="shared" si="0"/>
        <v>0</v>
      </c>
      <c r="K30" s="743"/>
      <c r="L30" s="1642"/>
      <c r="M30" s="1641"/>
      <c r="N30" s="322"/>
    </row>
    <row r="31" spans="1:17">
      <c r="A31" s="595"/>
      <c r="B31" s="598"/>
      <c r="C31" s="599"/>
      <c r="E31" s="1646"/>
      <c r="F31" s="850"/>
      <c r="G31" s="851"/>
      <c r="H31" s="852"/>
      <c r="I31" s="851"/>
      <c r="J31" s="850"/>
      <c r="L31" s="853"/>
      <c r="M31" s="854"/>
      <c r="N31" s="322"/>
    </row>
    <row r="32" spans="1:17">
      <c r="A32" s="595"/>
      <c r="B32" s="598"/>
      <c r="C32" s="599"/>
      <c r="E32" s="1646"/>
      <c r="F32" s="850">
        <f t="shared" si="2"/>
        <v>0</v>
      </c>
      <c r="G32" s="851"/>
      <c r="H32" s="852"/>
      <c r="I32" s="851"/>
      <c r="J32" s="850">
        <f t="shared" si="0"/>
        <v>0</v>
      </c>
      <c r="L32" s="853">
        <v>0</v>
      </c>
      <c r="M32" s="854"/>
      <c r="N32" s="322"/>
    </row>
    <row r="33" spans="1:18">
      <c r="A33" s="595"/>
      <c r="B33" s="598"/>
      <c r="C33" s="599"/>
      <c r="E33" s="1646" t="s">
        <v>1631</v>
      </c>
      <c r="F33" s="850">
        <f>L33*$R$5</f>
        <v>109538.586215</v>
      </c>
      <c r="G33" s="851">
        <v>0.1</v>
      </c>
      <c r="H33" s="852">
        <v>30</v>
      </c>
      <c r="I33" s="851">
        <v>5.0000000000000001E-3</v>
      </c>
      <c r="J33" s="850">
        <f t="shared" si="0"/>
        <v>547.69293107500005</v>
      </c>
      <c r="L33" s="1651">
        <v>77458</v>
      </c>
      <c r="M33" s="1652" t="s">
        <v>1784</v>
      </c>
      <c r="N33" s="322"/>
    </row>
    <row r="34" spans="1:18">
      <c r="A34" s="595"/>
      <c r="B34" s="598"/>
      <c r="C34" s="599"/>
      <c r="E34" s="1646"/>
      <c r="F34" s="850"/>
      <c r="G34" s="851">
        <v>0.1</v>
      </c>
      <c r="H34" s="852"/>
      <c r="I34" s="851"/>
      <c r="J34" s="850"/>
      <c r="L34" s="853"/>
      <c r="M34" s="854"/>
      <c r="N34" s="322"/>
    </row>
    <row r="35" spans="1:18">
      <c r="A35" s="595"/>
      <c r="B35" s="598"/>
      <c r="C35" s="599"/>
      <c r="E35" s="1646" t="s">
        <v>1632</v>
      </c>
      <c r="F35" s="850">
        <f t="shared" si="2"/>
        <v>3334606.9649999999</v>
      </c>
      <c r="G35" s="851">
        <v>0.1</v>
      </c>
      <c r="H35" s="852">
        <v>30</v>
      </c>
      <c r="I35" s="851">
        <v>5.0000000000000001E-3</v>
      </c>
      <c r="J35" s="850">
        <f t="shared" si="0"/>
        <v>16673.034824999999</v>
      </c>
      <c r="L35" s="1651">
        <v>2358000</v>
      </c>
      <c r="M35" s="1652" t="s">
        <v>1785</v>
      </c>
      <c r="N35" s="322"/>
    </row>
    <row r="36" spans="1:18">
      <c r="A36" s="595"/>
      <c r="B36" s="598"/>
      <c r="C36" s="599"/>
      <c r="E36" s="1646" t="s">
        <v>1633</v>
      </c>
      <c r="F36" s="850">
        <f t="shared" si="2"/>
        <v>1551545.6563118249</v>
      </c>
      <c r="G36" s="851">
        <v>0.1</v>
      </c>
      <c r="H36" s="852">
        <v>15</v>
      </c>
      <c r="I36" s="851">
        <v>0.02</v>
      </c>
      <c r="J36" s="850">
        <f t="shared" si="0"/>
        <v>31030.913126236497</v>
      </c>
      <c r="L36" s="853">
        <v>1097144.19</v>
      </c>
      <c r="M36" s="854" t="s">
        <v>1786</v>
      </c>
      <c r="N36" s="322"/>
    </row>
    <row r="37" spans="1:18">
      <c r="A37" s="595"/>
      <c r="B37" s="598"/>
      <c r="C37" s="599"/>
      <c r="E37" s="1654" t="s">
        <v>1787</v>
      </c>
      <c r="F37" s="1642"/>
      <c r="G37" s="1640"/>
      <c r="H37" s="1641"/>
      <c r="I37" s="1640"/>
      <c r="J37" s="1642"/>
      <c r="K37" s="743"/>
      <c r="L37" s="1642"/>
      <c r="M37" s="1641"/>
      <c r="N37" s="322"/>
    </row>
    <row r="38" spans="1:18">
      <c r="A38" s="595"/>
      <c r="B38" s="598"/>
      <c r="C38" s="599"/>
      <c r="E38" s="849"/>
      <c r="F38" s="850"/>
      <c r="G38" s="851"/>
      <c r="H38" s="852"/>
      <c r="I38" s="851"/>
      <c r="J38" s="850"/>
      <c r="L38" s="853"/>
      <c r="M38" s="854"/>
      <c r="N38" s="322"/>
    </row>
    <row r="39" spans="1:18">
      <c r="A39" s="595"/>
      <c r="B39" s="598"/>
      <c r="C39" s="599"/>
      <c r="E39" s="1653" t="s">
        <v>1642</v>
      </c>
      <c r="F39" s="850">
        <v>0</v>
      </c>
      <c r="G39" s="851">
        <v>0.1</v>
      </c>
      <c r="H39" s="852">
        <v>3</v>
      </c>
      <c r="I39" s="851">
        <v>0.02</v>
      </c>
      <c r="J39" s="850">
        <f t="shared" si="0"/>
        <v>0</v>
      </c>
      <c r="L39" s="853">
        <v>3188</v>
      </c>
      <c r="M39" s="854" t="s">
        <v>1788</v>
      </c>
      <c r="N39" s="322"/>
    </row>
    <row r="40" spans="1:18">
      <c r="A40" s="595"/>
      <c r="B40" s="598"/>
      <c r="C40" s="599"/>
      <c r="E40" s="1646" t="s">
        <v>1643</v>
      </c>
      <c r="F40" s="850">
        <v>0</v>
      </c>
      <c r="G40" s="851">
        <v>0.1</v>
      </c>
      <c r="H40" s="852">
        <v>3</v>
      </c>
      <c r="I40" s="851">
        <v>0.02</v>
      </c>
      <c r="J40" s="850">
        <f t="shared" si="0"/>
        <v>0</v>
      </c>
      <c r="L40" s="853">
        <f>9608+389</f>
        <v>9997</v>
      </c>
      <c r="M40" s="854" t="s">
        <v>1788</v>
      </c>
      <c r="N40" s="322"/>
    </row>
    <row r="41" spans="1:18">
      <c r="A41" s="595"/>
      <c r="B41" s="598"/>
      <c r="C41" s="599"/>
      <c r="E41" s="849"/>
      <c r="F41" s="850"/>
      <c r="G41" s="851"/>
      <c r="H41" s="852"/>
      <c r="I41" s="851"/>
      <c r="J41" s="850"/>
      <c r="L41" s="853"/>
      <c r="M41" s="854"/>
      <c r="N41" s="322"/>
    </row>
    <row r="42" spans="1:18" ht="15">
      <c r="A42" s="595"/>
      <c r="B42" s="598"/>
      <c r="C42" s="599"/>
      <c r="D42" s="255" t="s">
        <v>1789</v>
      </c>
      <c r="E42" s="1638" t="s">
        <v>1790</v>
      </c>
      <c r="F42" s="1642">
        <f t="shared" si="2"/>
        <v>0</v>
      </c>
      <c r="G42" s="1640">
        <v>0</v>
      </c>
      <c r="H42" s="1641"/>
      <c r="I42" s="1640"/>
      <c r="J42" s="1642">
        <f t="shared" si="0"/>
        <v>0</v>
      </c>
      <c r="K42" s="743"/>
      <c r="L42" s="1642"/>
      <c r="M42" s="1641"/>
      <c r="N42" s="322"/>
    </row>
    <row r="43" spans="1:18">
      <c r="A43" s="595"/>
      <c r="B43" s="598"/>
      <c r="C43" s="599"/>
      <c r="E43" s="1646" t="s">
        <v>1646</v>
      </c>
      <c r="F43" s="850">
        <f t="shared" si="2"/>
        <v>26691.243460145004</v>
      </c>
      <c r="G43" s="851">
        <v>0.1</v>
      </c>
      <c r="H43" s="852">
        <v>15</v>
      </c>
      <c r="I43" s="851">
        <v>0.02</v>
      </c>
      <c r="J43" s="850">
        <f t="shared" si="0"/>
        <v>533.82486920290012</v>
      </c>
      <c r="L43" s="853">
        <f>17158.34*1.1</f>
        <v>18874.174000000003</v>
      </c>
      <c r="M43" s="854" t="s">
        <v>1791</v>
      </c>
      <c r="N43" s="1962" t="s">
        <v>1792</v>
      </c>
      <c r="O43" s="1964"/>
      <c r="P43" s="1964"/>
      <c r="Q43" s="1964"/>
      <c r="R43" s="1964"/>
    </row>
    <row r="44" spans="1:18" ht="12.75" customHeight="1">
      <c r="A44" s="595"/>
      <c r="B44" s="598"/>
      <c r="C44" s="599"/>
      <c r="E44" s="1646"/>
      <c r="F44" s="850"/>
      <c r="G44" s="851"/>
      <c r="H44" s="852"/>
      <c r="I44" s="851"/>
      <c r="J44" s="850"/>
      <c r="L44" s="853"/>
      <c r="M44" s="854" t="s">
        <v>1791</v>
      </c>
      <c r="N44" s="1962"/>
      <c r="O44" s="1964"/>
      <c r="P44" s="1964"/>
      <c r="Q44" s="1964"/>
      <c r="R44" s="1964"/>
    </row>
    <row r="45" spans="1:18">
      <c r="A45" s="595"/>
      <c r="B45" s="598"/>
      <c r="C45" s="599"/>
      <c r="E45" s="1646" t="s">
        <v>1650</v>
      </c>
      <c r="F45" s="850">
        <f t="shared" si="2"/>
        <v>194448.03125</v>
      </c>
      <c r="G45" s="851">
        <v>0.1</v>
      </c>
      <c r="H45" s="852">
        <v>10</v>
      </c>
      <c r="I45" s="851">
        <v>0.01</v>
      </c>
      <c r="J45" s="850">
        <f t="shared" si="0"/>
        <v>1944.4803125000001</v>
      </c>
      <c r="L45" s="853">
        <f>125000*1.1</f>
        <v>137500</v>
      </c>
      <c r="M45" s="854" t="s">
        <v>1791</v>
      </c>
      <c r="N45" s="1962"/>
      <c r="O45" s="1964"/>
      <c r="P45" s="1964"/>
      <c r="Q45" s="1964"/>
      <c r="R45" s="1964"/>
    </row>
    <row r="46" spans="1:18" ht="12.75" customHeight="1">
      <c r="A46" s="595"/>
      <c r="B46" s="598"/>
      <c r="C46" s="599"/>
      <c r="E46" s="1646" t="s">
        <v>1653</v>
      </c>
      <c r="F46" s="850">
        <f t="shared" si="2"/>
        <v>0</v>
      </c>
      <c r="G46" s="851">
        <v>0.1</v>
      </c>
      <c r="H46" s="852">
        <v>20</v>
      </c>
      <c r="I46" s="851">
        <v>0.02</v>
      </c>
      <c r="J46" s="850">
        <f t="shared" si="0"/>
        <v>0</v>
      </c>
      <c r="L46" s="853">
        <v>0</v>
      </c>
      <c r="M46" s="854"/>
      <c r="N46" s="1962"/>
      <c r="O46" s="1964"/>
      <c r="P46" s="1964"/>
      <c r="Q46" s="1964"/>
      <c r="R46" s="1964"/>
    </row>
    <row r="47" spans="1:18" ht="12.75" customHeight="1">
      <c r="A47" s="595"/>
      <c r="B47" s="598"/>
      <c r="C47" s="599"/>
      <c r="E47" s="1646" t="s">
        <v>1654</v>
      </c>
      <c r="F47" s="850">
        <f t="shared" si="2"/>
        <v>0</v>
      </c>
      <c r="G47" s="851">
        <v>0.1</v>
      </c>
      <c r="H47" s="852">
        <v>20</v>
      </c>
      <c r="I47" s="851">
        <v>0.02</v>
      </c>
      <c r="J47" s="850">
        <f t="shared" si="0"/>
        <v>0</v>
      </c>
      <c r="L47" s="853">
        <v>0</v>
      </c>
      <c r="M47" s="854"/>
      <c r="N47" s="1962"/>
      <c r="O47" s="1964"/>
      <c r="P47" s="1964"/>
      <c r="Q47" s="1964"/>
      <c r="R47" s="1964"/>
    </row>
    <row r="48" spans="1:18">
      <c r="A48" s="595"/>
      <c r="B48" s="598"/>
      <c r="C48" s="599"/>
      <c r="E48" s="1646" t="s">
        <v>1657</v>
      </c>
      <c r="F48" s="850">
        <f t="shared" si="2"/>
        <v>46502.262229280001</v>
      </c>
      <c r="G48" s="851">
        <v>0.1</v>
      </c>
      <c r="H48" s="852">
        <v>30</v>
      </c>
      <c r="I48" s="851">
        <v>0.01</v>
      </c>
      <c r="J48" s="850">
        <f t="shared" si="0"/>
        <v>465.02262229280001</v>
      </c>
      <c r="L48" s="853">
        <f>29893.76*1.1</f>
        <v>32883.135999999999</v>
      </c>
      <c r="M48" s="854" t="s">
        <v>1793</v>
      </c>
      <c r="N48" s="1962"/>
      <c r="O48" s="1964"/>
      <c r="P48" s="1964"/>
      <c r="Q48" s="1964"/>
      <c r="R48" s="1964"/>
    </row>
    <row r="49" spans="1:18" ht="12.75" customHeight="1">
      <c r="A49" s="595"/>
      <c r="B49" s="598"/>
      <c r="C49" s="599"/>
      <c r="E49" s="1646"/>
      <c r="F49" s="850"/>
      <c r="G49" s="851"/>
      <c r="H49" s="852"/>
      <c r="I49" s="851"/>
      <c r="J49" s="850"/>
      <c r="L49" s="853"/>
      <c r="M49" s="854"/>
      <c r="N49" s="1962"/>
      <c r="O49" s="1964"/>
      <c r="P49" s="1964"/>
      <c r="Q49" s="1964"/>
      <c r="R49" s="1964"/>
    </row>
    <row r="50" spans="1:18">
      <c r="A50" s="595"/>
      <c r="B50" s="598"/>
      <c r="C50" s="599"/>
      <c r="E50" s="1647" t="s">
        <v>1659</v>
      </c>
      <c r="F50" s="850">
        <f t="shared" si="2"/>
        <v>61605.118595679996</v>
      </c>
      <c r="G50" s="851">
        <v>0.1</v>
      </c>
      <c r="H50" s="852">
        <v>5</v>
      </c>
      <c r="I50" s="851">
        <v>0.02</v>
      </c>
      <c r="J50" s="850">
        <f t="shared" si="0"/>
        <v>1232.1023719135999</v>
      </c>
      <c r="L50" s="853">
        <f>39602.56*1.1</f>
        <v>43562.815999999999</v>
      </c>
      <c r="M50" s="854" t="s">
        <v>1791</v>
      </c>
      <c r="N50" s="1962"/>
      <c r="O50" s="1964"/>
      <c r="P50" s="1964"/>
      <c r="Q50" s="1964"/>
      <c r="R50" s="1964"/>
    </row>
    <row r="51" spans="1:18">
      <c r="A51" s="595"/>
      <c r="B51" s="598"/>
      <c r="C51" s="599"/>
      <c r="E51" s="1646"/>
      <c r="F51" s="850"/>
      <c r="G51" s="851"/>
      <c r="H51" s="852"/>
      <c r="I51" s="851"/>
      <c r="J51" s="850"/>
      <c r="L51" s="853"/>
      <c r="M51" s="854"/>
      <c r="N51" s="322"/>
    </row>
    <row r="52" spans="1:18">
      <c r="A52" s="595"/>
      <c r="B52" s="598"/>
      <c r="C52" s="599"/>
      <c r="E52" s="1646"/>
      <c r="F52" s="850"/>
      <c r="G52" s="851"/>
      <c r="H52" s="852"/>
      <c r="I52" s="851"/>
      <c r="J52" s="850"/>
      <c r="L52" s="853"/>
      <c r="M52" s="854"/>
      <c r="N52" s="322"/>
    </row>
    <row r="53" spans="1:18">
      <c r="A53" s="595"/>
      <c r="B53" s="598"/>
      <c r="C53" s="599"/>
      <c r="E53" s="1646"/>
      <c r="F53" s="850"/>
      <c r="G53" s="851"/>
      <c r="H53" s="852"/>
      <c r="I53" s="851"/>
      <c r="J53" s="850"/>
      <c r="L53" s="853"/>
      <c r="M53" s="854"/>
      <c r="N53" s="322"/>
    </row>
    <row r="54" spans="1:18" ht="15">
      <c r="A54" s="595"/>
      <c r="B54" s="598"/>
      <c r="C54" s="599"/>
      <c r="D54" s="255" t="s">
        <v>1794</v>
      </c>
      <c r="E54" s="1638" t="s">
        <v>1427</v>
      </c>
      <c r="F54" s="1642">
        <f t="shared" si="2"/>
        <v>0</v>
      </c>
      <c r="G54" s="1640">
        <v>0</v>
      </c>
      <c r="H54" s="1641"/>
      <c r="I54" s="1640"/>
      <c r="J54" s="1642">
        <f t="shared" si="0"/>
        <v>0</v>
      </c>
      <c r="K54" s="743"/>
      <c r="L54" s="1642"/>
      <c r="M54" s="1641"/>
      <c r="N54" s="322"/>
    </row>
    <row r="55" spans="1:18">
      <c r="A55" s="595"/>
      <c r="B55" s="598"/>
      <c r="C55" s="599"/>
      <c r="E55" s="1646" t="s">
        <v>1676</v>
      </c>
      <c r="F55" s="850">
        <v>0</v>
      </c>
      <c r="G55" s="851">
        <v>0.1</v>
      </c>
      <c r="H55" s="852">
        <v>30</v>
      </c>
      <c r="I55" s="851">
        <v>0.01</v>
      </c>
      <c r="J55" s="850">
        <f t="shared" si="0"/>
        <v>0</v>
      </c>
      <c r="L55" s="853">
        <v>102015</v>
      </c>
      <c r="M55" s="854" t="s">
        <v>1785</v>
      </c>
      <c r="N55" s="1962" t="s">
        <v>1795</v>
      </c>
      <c r="O55" s="1964"/>
      <c r="P55" s="1964"/>
      <c r="Q55" s="1964"/>
    </row>
    <row r="56" spans="1:18">
      <c r="A56" s="595"/>
      <c r="B56" s="598"/>
      <c r="C56" s="599"/>
      <c r="E56" s="1646" t="s">
        <v>1677</v>
      </c>
      <c r="F56" s="850">
        <v>0</v>
      </c>
      <c r="G56" s="851">
        <v>0.1</v>
      </c>
      <c r="H56" s="852">
        <v>30</v>
      </c>
      <c r="I56" s="851">
        <v>0.01</v>
      </c>
      <c r="J56" s="850">
        <f t="shared" si="0"/>
        <v>0</v>
      </c>
      <c r="L56" s="853">
        <v>244000</v>
      </c>
      <c r="M56" s="854" t="s">
        <v>1785</v>
      </c>
      <c r="N56" s="1962"/>
      <c r="O56" s="1964"/>
      <c r="P56" s="1964"/>
      <c r="Q56" s="1964"/>
    </row>
    <row r="57" spans="1:18">
      <c r="A57" s="595"/>
      <c r="B57" s="598"/>
      <c r="C57" s="599"/>
      <c r="E57" s="1646" t="s">
        <v>1678</v>
      </c>
      <c r="F57" s="850">
        <v>0</v>
      </c>
      <c r="G57" s="851">
        <v>0.1</v>
      </c>
      <c r="H57" s="852">
        <v>30</v>
      </c>
      <c r="I57" s="851">
        <v>0.01</v>
      </c>
      <c r="J57" s="850">
        <f t="shared" si="0"/>
        <v>0</v>
      </c>
      <c r="L57" s="853">
        <v>187405</v>
      </c>
      <c r="M57" s="854" t="s">
        <v>1785</v>
      </c>
      <c r="N57" s="1962"/>
      <c r="O57" s="1964"/>
      <c r="P57" s="1964"/>
      <c r="Q57" s="1964"/>
    </row>
    <row r="58" spans="1:18">
      <c r="A58" s="595"/>
      <c r="B58" s="598"/>
      <c r="C58" s="599"/>
      <c r="E58" s="1646" t="s">
        <v>1679</v>
      </c>
      <c r="F58" s="850">
        <v>0</v>
      </c>
      <c r="G58" s="851">
        <v>0.1</v>
      </c>
      <c r="H58" s="852">
        <v>30</v>
      </c>
      <c r="I58" s="851">
        <v>0.01</v>
      </c>
      <c r="J58" s="850">
        <f t="shared" si="0"/>
        <v>0</v>
      </c>
      <c r="L58" s="853">
        <v>102015</v>
      </c>
      <c r="M58" s="854" t="s">
        <v>1785</v>
      </c>
      <c r="N58" s="1962"/>
      <c r="O58" s="1964"/>
      <c r="P58" s="1964"/>
      <c r="Q58" s="1964"/>
    </row>
    <row r="59" spans="1:18">
      <c r="A59" s="595"/>
      <c r="B59" s="598"/>
      <c r="C59" s="599"/>
      <c r="E59" s="1646" t="s">
        <v>1680</v>
      </c>
      <c r="F59" s="850">
        <v>0</v>
      </c>
      <c r="G59" s="851">
        <v>0.1</v>
      </c>
      <c r="H59" s="852">
        <v>30</v>
      </c>
      <c r="I59" s="851">
        <v>0.01</v>
      </c>
      <c r="J59" s="850">
        <f t="shared" si="0"/>
        <v>0</v>
      </c>
      <c r="L59" s="853">
        <v>201200</v>
      </c>
      <c r="M59" s="854" t="s">
        <v>1785</v>
      </c>
      <c r="N59" s="1962"/>
      <c r="O59" s="1964"/>
      <c r="P59" s="1964"/>
      <c r="Q59" s="1964"/>
    </row>
    <row r="60" spans="1:18">
      <c r="A60" s="595"/>
      <c r="B60" s="598"/>
      <c r="C60" s="599"/>
      <c r="E60" s="1646" t="s">
        <v>1675</v>
      </c>
      <c r="F60" s="850">
        <v>0</v>
      </c>
      <c r="G60" s="851">
        <v>0.1</v>
      </c>
      <c r="H60" s="852">
        <v>30</v>
      </c>
      <c r="I60" s="851">
        <v>0.01</v>
      </c>
      <c r="J60" s="850">
        <f t="shared" si="0"/>
        <v>0</v>
      </c>
      <c r="L60" s="853">
        <v>1286000</v>
      </c>
      <c r="M60" s="854" t="s">
        <v>1785</v>
      </c>
      <c r="N60" s="1962"/>
      <c r="O60" s="1964"/>
      <c r="P60" s="1964"/>
      <c r="Q60" s="1964"/>
    </row>
    <row r="61" spans="1:18">
      <c r="A61" s="595"/>
      <c r="B61" s="598"/>
      <c r="C61" s="599"/>
      <c r="E61" s="1646" t="s">
        <v>1681</v>
      </c>
      <c r="F61" s="850">
        <v>0</v>
      </c>
      <c r="G61" s="851">
        <v>0.1</v>
      </c>
      <c r="H61" s="852">
        <v>30</v>
      </c>
      <c r="I61" s="851">
        <v>0.03</v>
      </c>
      <c r="J61" s="850">
        <f t="shared" si="0"/>
        <v>0</v>
      </c>
      <c r="L61" s="1651">
        <f>(1331147+63240)*1.1</f>
        <v>1533825.7000000002</v>
      </c>
      <c r="M61" s="1652" t="s">
        <v>1796</v>
      </c>
      <c r="N61" s="1962"/>
      <c r="O61" s="1964"/>
      <c r="P61" s="1964"/>
      <c r="Q61" s="1964"/>
    </row>
    <row r="62" spans="1:18">
      <c r="A62" s="595"/>
      <c r="B62" s="598"/>
      <c r="C62" s="599"/>
      <c r="E62" s="1646" t="s">
        <v>1682</v>
      </c>
      <c r="F62" s="850">
        <v>0</v>
      </c>
      <c r="G62" s="851">
        <v>0.4</v>
      </c>
      <c r="H62" s="852">
        <v>15</v>
      </c>
      <c r="I62" s="851">
        <v>5.0000000000000001E-3</v>
      </c>
      <c r="J62" s="850">
        <f t="shared" si="0"/>
        <v>0</v>
      </c>
      <c r="L62" s="853">
        <f>174000*1.1</f>
        <v>191400.00000000003</v>
      </c>
      <c r="M62" s="854" t="s">
        <v>1797</v>
      </c>
      <c r="N62" s="1962"/>
      <c r="O62" s="1964"/>
      <c r="P62" s="1964"/>
      <c r="Q62" s="1964"/>
    </row>
    <row r="63" spans="1:18">
      <c r="A63" s="595"/>
      <c r="B63" s="598"/>
      <c r="C63" s="599"/>
      <c r="E63" s="849"/>
      <c r="F63" s="850">
        <f t="shared" si="2"/>
        <v>0</v>
      </c>
      <c r="G63" s="851"/>
      <c r="H63" s="852"/>
      <c r="I63" s="851"/>
      <c r="J63" s="850">
        <f t="shared" si="0"/>
        <v>0</v>
      </c>
      <c r="L63" s="853"/>
      <c r="M63" s="854"/>
      <c r="N63" s="322"/>
    </row>
    <row r="64" spans="1:18" ht="15">
      <c r="A64" s="595"/>
      <c r="B64" s="598"/>
      <c r="C64" s="599"/>
      <c r="E64" s="1638" t="s">
        <v>1798</v>
      </c>
      <c r="F64" s="1642">
        <f t="shared" ref="F64" si="5">L64*$R$5</f>
        <v>0</v>
      </c>
      <c r="G64" s="1640">
        <v>0</v>
      </c>
      <c r="H64" s="1641"/>
      <c r="I64" s="1640"/>
      <c r="J64" s="1642">
        <f t="shared" ref="J64" si="6">F64*I64</f>
        <v>0</v>
      </c>
      <c r="K64" s="743"/>
      <c r="L64" s="1642"/>
      <c r="M64" s="1641"/>
      <c r="N64" s="322"/>
    </row>
    <row r="65" spans="1:16">
      <c r="A65" s="595"/>
      <c r="B65" s="598"/>
      <c r="C65" s="599"/>
      <c r="E65" s="849" t="s">
        <v>1685</v>
      </c>
      <c r="F65" s="850">
        <v>3500000</v>
      </c>
      <c r="G65" s="851">
        <v>0.1</v>
      </c>
      <c r="H65" s="852">
        <v>30</v>
      </c>
      <c r="I65" s="851">
        <v>0.01</v>
      </c>
      <c r="J65" s="850">
        <v>1815.8978161146451</v>
      </c>
      <c r="L65" s="853">
        <v>3500000</v>
      </c>
      <c r="M65" s="854" t="s">
        <v>1799</v>
      </c>
      <c r="N65" s="322"/>
    </row>
    <row r="66" spans="1:16">
      <c r="A66" s="595"/>
      <c r="B66" s="598"/>
      <c r="C66" s="599"/>
      <c r="E66" s="849"/>
      <c r="F66" s="850"/>
      <c r="G66" s="851"/>
      <c r="H66" s="852"/>
      <c r="I66" s="851"/>
      <c r="J66" s="850"/>
      <c r="L66" s="853"/>
      <c r="M66" s="854"/>
      <c r="N66" s="322"/>
    </row>
    <row r="67" spans="1:16">
      <c r="A67" s="595"/>
      <c r="B67" s="598"/>
      <c r="C67" s="599"/>
      <c r="E67" s="849"/>
      <c r="F67" s="850"/>
      <c r="G67" s="851"/>
      <c r="H67" s="852"/>
      <c r="I67" s="851"/>
      <c r="J67" s="850"/>
      <c r="L67" s="853"/>
      <c r="M67" s="854"/>
      <c r="N67" s="322"/>
    </row>
    <row r="68" spans="1:16" ht="15">
      <c r="A68" s="595"/>
      <c r="B68" s="598"/>
      <c r="C68" s="599"/>
      <c r="D68" s="255" t="s">
        <v>1800</v>
      </c>
      <c r="E68" s="1638" t="s">
        <v>1587</v>
      </c>
      <c r="F68" s="1642">
        <f t="shared" si="2"/>
        <v>0</v>
      </c>
      <c r="G68" s="1640">
        <v>0</v>
      </c>
      <c r="H68" s="1641"/>
      <c r="I68" s="1640"/>
      <c r="J68" s="1642">
        <f t="shared" si="0"/>
        <v>0</v>
      </c>
      <c r="K68" s="743"/>
      <c r="L68" s="1642"/>
      <c r="M68" s="1641"/>
      <c r="N68" s="322"/>
    </row>
    <row r="69" spans="1:16">
      <c r="A69" s="595"/>
      <c r="B69" s="598"/>
      <c r="C69" s="599"/>
      <c r="E69" s="1646" t="s">
        <v>1694</v>
      </c>
      <c r="F69" s="850">
        <f t="shared" si="2"/>
        <v>0</v>
      </c>
      <c r="G69" s="851">
        <v>0.1</v>
      </c>
      <c r="H69" s="852">
        <v>10</v>
      </c>
      <c r="I69" s="851">
        <v>0.03</v>
      </c>
      <c r="J69" s="850">
        <f t="shared" si="0"/>
        <v>0</v>
      </c>
      <c r="L69" s="853">
        <v>0</v>
      </c>
      <c r="M69" s="854"/>
      <c r="N69" s="322"/>
    </row>
    <row r="70" spans="1:16">
      <c r="A70" s="595"/>
      <c r="B70" s="598"/>
      <c r="C70" s="599"/>
      <c r="E70" s="1646" t="s">
        <v>1695</v>
      </c>
      <c r="F70" s="850">
        <f t="shared" si="2"/>
        <v>424250.25</v>
      </c>
      <c r="G70" s="851">
        <v>0.1</v>
      </c>
      <c r="H70" s="852">
        <v>10</v>
      </c>
      <c r="I70" s="851">
        <v>0.03</v>
      </c>
      <c r="J70" s="850">
        <f t="shared" si="0"/>
        <v>12727.5075</v>
      </c>
      <c r="L70" s="853">
        <v>300000</v>
      </c>
      <c r="M70" s="854"/>
      <c r="N70" s="322"/>
    </row>
    <row r="71" spans="1:16" ht="12.75" customHeight="1">
      <c r="A71" s="595"/>
      <c r="B71" s="598"/>
      <c r="C71" s="599"/>
      <c r="E71" s="1646" t="s">
        <v>1697</v>
      </c>
      <c r="F71" s="850">
        <f t="shared" si="2"/>
        <v>46511.969075000001</v>
      </c>
      <c r="G71" s="851">
        <v>0.1</v>
      </c>
      <c r="H71" s="852">
        <v>15</v>
      </c>
      <c r="I71" s="851">
        <v>0.05</v>
      </c>
      <c r="J71" s="850">
        <f t="shared" si="0"/>
        <v>2325.5984537500003</v>
      </c>
      <c r="L71" s="853">
        <f>29900*1.1</f>
        <v>32890</v>
      </c>
      <c r="M71" s="854" t="s">
        <v>1801</v>
      </c>
      <c r="N71" s="322" t="s">
        <v>1802</v>
      </c>
    </row>
    <row r="72" spans="1:16" ht="15" customHeight="1">
      <c r="A72" s="595"/>
      <c r="B72" s="598"/>
      <c r="C72" s="599"/>
      <c r="E72" s="849"/>
      <c r="F72" s="850">
        <f t="shared" si="2"/>
        <v>0</v>
      </c>
      <c r="G72" s="851"/>
      <c r="H72" s="852"/>
      <c r="I72" s="851"/>
      <c r="J72" s="850">
        <f t="shared" si="0"/>
        <v>0</v>
      </c>
      <c r="L72" s="853"/>
      <c r="M72" s="854"/>
      <c r="N72" s="322"/>
    </row>
    <row r="73" spans="1:16" ht="15">
      <c r="A73" s="595"/>
      <c r="B73" s="598"/>
      <c r="C73" s="599"/>
      <c r="D73" s="255" t="s">
        <v>1803</v>
      </c>
      <c r="E73" s="1638" t="s">
        <v>1686</v>
      </c>
      <c r="F73" s="1642">
        <f t="shared" si="2"/>
        <v>0</v>
      </c>
      <c r="G73" s="1640">
        <v>0</v>
      </c>
      <c r="H73" s="1641"/>
      <c r="I73" s="1640"/>
      <c r="J73" s="1642">
        <f t="shared" si="0"/>
        <v>0</v>
      </c>
      <c r="K73" s="743"/>
      <c r="L73" s="1642">
        <v>0</v>
      </c>
      <c r="M73" s="1641"/>
    </row>
    <row r="74" spans="1:16">
      <c r="A74" s="595"/>
      <c r="B74" s="598"/>
      <c r="C74" s="599"/>
      <c r="E74" s="1646" t="s">
        <v>1686</v>
      </c>
      <c r="F74" s="850">
        <f t="shared" si="2"/>
        <v>123032.57249999999</v>
      </c>
      <c r="G74" s="851">
        <v>0.1</v>
      </c>
      <c r="H74" s="852">
        <v>5</v>
      </c>
      <c r="I74" s="851">
        <v>0.02</v>
      </c>
      <c r="J74" s="850">
        <f t="shared" si="0"/>
        <v>2460.6514499999998</v>
      </c>
      <c r="L74" s="1651">
        <f>75000+(300*30)+(1.5*1000)+(150*10)</f>
        <v>87000</v>
      </c>
      <c r="M74" s="1652" t="s">
        <v>1804</v>
      </c>
      <c r="N74" s="514" t="s">
        <v>1805</v>
      </c>
      <c r="O74" s="322"/>
    </row>
    <row r="75" spans="1:16">
      <c r="A75" s="595"/>
      <c r="B75" s="598"/>
      <c r="C75" s="599"/>
      <c r="E75" s="1646"/>
      <c r="F75" s="850"/>
      <c r="G75" s="851"/>
      <c r="H75" s="852"/>
      <c r="I75" s="851"/>
      <c r="J75" s="850"/>
      <c r="L75" s="853"/>
      <c r="M75" s="854" t="s">
        <v>1804</v>
      </c>
      <c r="N75" s="514"/>
      <c r="O75" s="322"/>
    </row>
    <row r="76" spans="1:16" ht="15" customHeight="1">
      <c r="A76" s="595"/>
      <c r="B76" s="598"/>
      <c r="C76" s="599"/>
      <c r="E76" s="1638" t="s">
        <v>1806</v>
      </c>
      <c r="F76" s="1642">
        <f t="shared" si="2"/>
        <v>0</v>
      </c>
      <c r="G76" s="1640">
        <v>0</v>
      </c>
      <c r="H76" s="1641"/>
      <c r="I76" s="1640"/>
      <c r="J76" s="1642">
        <f t="shared" si="0"/>
        <v>0</v>
      </c>
      <c r="K76" s="743"/>
      <c r="L76" s="1642"/>
      <c r="M76" s="1641" t="s">
        <v>1804</v>
      </c>
      <c r="N76" s="514"/>
      <c r="O76" s="322"/>
    </row>
    <row r="77" spans="1:16" ht="12.75" customHeight="1">
      <c r="A77" s="595"/>
      <c r="B77" s="598"/>
      <c r="C77" s="599"/>
      <c r="E77" s="1655" t="s">
        <v>1689</v>
      </c>
      <c r="F77" s="850">
        <v>0</v>
      </c>
      <c r="G77" s="851">
        <v>0.1</v>
      </c>
      <c r="H77" s="852">
        <v>3</v>
      </c>
      <c r="I77" s="851">
        <v>2.5000000000000001E-2</v>
      </c>
      <c r="J77" s="850">
        <f t="shared" si="0"/>
        <v>0</v>
      </c>
      <c r="L77" s="1656">
        <v>4280</v>
      </c>
      <c r="M77" s="854" t="s">
        <v>1804</v>
      </c>
      <c r="N77" s="1962" t="s">
        <v>1792</v>
      </c>
      <c r="O77" s="1964"/>
      <c r="P77" s="1964"/>
    </row>
    <row r="78" spans="1:16" ht="14.25" customHeight="1">
      <c r="A78" s="595"/>
      <c r="B78" s="598"/>
      <c r="C78" s="599"/>
      <c r="E78" s="1647" t="s">
        <v>1690</v>
      </c>
      <c r="F78" s="850">
        <v>0</v>
      </c>
      <c r="G78" s="851">
        <v>0.1</v>
      </c>
      <c r="H78" s="852">
        <v>3</v>
      </c>
      <c r="I78" s="851">
        <v>2.5000000000000001E-2</v>
      </c>
      <c r="J78" s="850">
        <f t="shared" ref="J78:J88" si="7">F78*I78</f>
        <v>0</v>
      </c>
      <c r="L78" s="1656">
        <v>4280</v>
      </c>
      <c r="M78" s="854" t="s">
        <v>1804</v>
      </c>
      <c r="N78" s="1962"/>
      <c r="O78" s="1964"/>
      <c r="P78" s="1964"/>
    </row>
    <row r="79" spans="1:16">
      <c r="A79" s="595"/>
      <c r="B79" s="598"/>
      <c r="C79" s="599"/>
      <c r="E79" s="1647" t="s">
        <v>1691</v>
      </c>
      <c r="F79" s="850">
        <v>0</v>
      </c>
      <c r="G79" s="851">
        <v>0.05</v>
      </c>
      <c r="H79" s="852">
        <v>3</v>
      </c>
      <c r="I79" s="851">
        <v>2.5000000000000001E-2</v>
      </c>
      <c r="J79" s="850">
        <f t="shared" si="7"/>
        <v>0</v>
      </c>
      <c r="L79" s="1656">
        <v>3080</v>
      </c>
      <c r="M79" s="854" t="s">
        <v>1804</v>
      </c>
      <c r="N79" s="1962"/>
      <c r="O79" s="1964"/>
      <c r="P79" s="1964"/>
    </row>
    <row r="80" spans="1:16" ht="15">
      <c r="A80" s="595"/>
      <c r="B80" s="598"/>
      <c r="C80" s="599"/>
      <c r="E80" s="1657"/>
      <c r="F80" s="1658">
        <v>0</v>
      </c>
      <c r="G80" s="1659"/>
      <c r="H80" s="1660"/>
      <c r="I80" s="1659"/>
      <c r="J80" s="1658"/>
      <c r="K80" s="857"/>
      <c r="L80" s="1661"/>
      <c r="M80" s="1662"/>
      <c r="N80" s="1962"/>
      <c r="O80" s="1964"/>
      <c r="P80" s="1964"/>
    </row>
    <row r="81" spans="1:18">
      <c r="A81" s="595"/>
      <c r="B81" s="598"/>
      <c r="C81" s="599"/>
      <c r="E81" s="1646"/>
      <c r="F81" s="850">
        <v>0</v>
      </c>
      <c r="G81" s="851">
        <v>0.2</v>
      </c>
      <c r="H81" s="852"/>
      <c r="I81" s="851"/>
      <c r="J81" s="850"/>
      <c r="L81" s="853"/>
      <c r="M81" s="854" t="s">
        <v>1804</v>
      </c>
      <c r="N81" s="1962"/>
      <c r="O81" s="1964"/>
      <c r="P81" s="1964"/>
    </row>
    <row r="82" spans="1:18">
      <c r="A82" s="595"/>
      <c r="B82" s="598"/>
      <c r="C82" s="599"/>
      <c r="E82" s="1646" t="s">
        <v>1692</v>
      </c>
      <c r="F82" s="850">
        <v>0</v>
      </c>
      <c r="G82" s="851">
        <v>0.1</v>
      </c>
      <c r="H82" s="852">
        <v>5</v>
      </c>
      <c r="I82" s="851">
        <v>5.0000000000000001E-3</v>
      </c>
      <c r="J82" s="850">
        <f t="shared" si="7"/>
        <v>0</v>
      </c>
      <c r="L82" s="853">
        <v>46979</v>
      </c>
      <c r="M82" s="854" t="s">
        <v>1804</v>
      </c>
      <c r="N82" s="1962"/>
      <c r="O82" s="1964"/>
      <c r="P82" s="1964"/>
    </row>
    <row r="83" spans="1:18">
      <c r="A83" s="595"/>
      <c r="B83" s="598"/>
      <c r="C83" s="599"/>
      <c r="E83" s="849"/>
      <c r="F83" s="850">
        <f t="shared" ref="F83:F88" si="8">L83*$R$5</f>
        <v>0</v>
      </c>
      <c r="G83" s="851"/>
      <c r="H83" s="852"/>
      <c r="I83" s="851"/>
      <c r="J83" s="850">
        <f t="shared" si="7"/>
        <v>0</v>
      </c>
      <c r="L83" s="853"/>
      <c r="M83" s="854"/>
      <c r="N83" s="322"/>
    </row>
    <row r="84" spans="1:18" ht="15">
      <c r="A84" s="595"/>
      <c r="B84" s="598"/>
      <c r="C84" s="599"/>
      <c r="E84" s="1638" t="s">
        <v>1807</v>
      </c>
      <c r="F84" s="1642">
        <f t="shared" si="8"/>
        <v>0</v>
      </c>
      <c r="G84" s="1640">
        <v>0</v>
      </c>
      <c r="H84" s="1641"/>
      <c r="I84" s="1640"/>
      <c r="J84" s="1642">
        <f t="shared" si="7"/>
        <v>0</v>
      </c>
      <c r="K84" s="743"/>
      <c r="L84" s="1642"/>
      <c r="M84" s="1641"/>
      <c r="N84" s="322"/>
    </row>
    <row r="85" spans="1:18">
      <c r="A85" s="595"/>
      <c r="B85" s="598"/>
      <c r="C85" s="599"/>
      <c r="E85" s="1646" t="s">
        <v>1634</v>
      </c>
      <c r="F85" s="850">
        <f t="shared" si="8"/>
        <v>101820.06</v>
      </c>
      <c r="G85" s="851">
        <v>0.05</v>
      </c>
      <c r="H85" s="852">
        <v>15</v>
      </c>
      <c r="I85" s="851">
        <v>1.4999999999999999E-2</v>
      </c>
      <c r="J85" s="850">
        <f t="shared" si="7"/>
        <v>1527.3009</v>
      </c>
      <c r="L85" s="1651">
        <v>72000</v>
      </c>
      <c r="M85" s="1652" t="s">
        <v>1808</v>
      </c>
      <c r="N85" s="322">
        <v>72000</v>
      </c>
    </row>
    <row r="86" spans="1:18">
      <c r="A86" s="595"/>
      <c r="B86" s="598"/>
      <c r="C86" s="599"/>
      <c r="E86" s="1646" t="s">
        <v>1683</v>
      </c>
      <c r="F86" s="850">
        <f t="shared" si="8"/>
        <v>69294.207500000004</v>
      </c>
      <c r="G86" s="851">
        <v>0.05</v>
      </c>
      <c r="H86" s="852">
        <v>15</v>
      </c>
      <c r="I86" s="851">
        <v>1.4999999999999999E-2</v>
      </c>
      <c r="J86" s="850">
        <f t="shared" si="7"/>
        <v>1039.4131125000001</v>
      </c>
      <c r="L86" s="1651">
        <v>49000</v>
      </c>
      <c r="M86" s="1652" t="s">
        <v>1808</v>
      </c>
      <c r="N86" s="322"/>
    </row>
    <row r="87" spans="1:18">
      <c r="A87" s="595"/>
      <c r="B87" s="598"/>
      <c r="C87" s="599"/>
      <c r="E87" s="1646"/>
      <c r="F87" s="850"/>
      <c r="G87" s="851"/>
      <c r="H87" s="852"/>
      <c r="I87" s="851"/>
      <c r="J87" s="850"/>
      <c r="L87" s="1651"/>
      <c r="M87" s="1652" t="s">
        <v>1808</v>
      </c>
      <c r="N87" s="322"/>
    </row>
    <row r="88" spans="1:18">
      <c r="A88" s="595"/>
      <c r="B88" s="598"/>
      <c r="C88" s="599"/>
      <c r="E88" s="1646" t="s">
        <v>1637</v>
      </c>
      <c r="F88" s="850">
        <f t="shared" si="8"/>
        <v>22061.012999999999</v>
      </c>
      <c r="G88" s="851">
        <v>0.05</v>
      </c>
      <c r="H88" s="852">
        <v>15</v>
      </c>
      <c r="I88" s="851">
        <v>1.4999999999999999E-2</v>
      </c>
      <c r="J88" s="850">
        <f t="shared" si="7"/>
        <v>330.91519499999998</v>
      </c>
      <c r="L88" s="1651">
        <v>15600</v>
      </c>
      <c r="M88" s="1652" t="s">
        <v>1808</v>
      </c>
      <c r="N88" s="322">
        <v>15600</v>
      </c>
    </row>
    <row r="89" spans="1:18">
      <c r="A89" s="595"/>
      <c r="B89" s="598"/>
      <c r="C89" s="599"/>
      <c r="E89" s="1646" t="s">
        <v>1635</v>
      </c>
      <c r="F89" s="850">
        <f t="shared" ref="F89" si="9">L89*$R$5</f>
        <v>240408.47500000001</v>
      </c>
      <c r="G89" s="851">
        <v>0.05</v>
      </c>
      <c r="H89" s="852">
        <v>15</v>
      </c>
      <c r="I89" s="851">
        <v>1.4999999999999999E-2</v>
      </c>
      <c r="J89" s="850">
        <f t="shared" ref="J89" si="10">F89*I89</f>
        <v>3606.127125</v>
      </c>
      <c r="L89" s="1651">
        <v>170000</v>
      </c>
      <c r="M89" s="1652" t="s">
        <v>1808</v>
      </c>
      <c r="N89" s="255">
        <v>120000</v>
      </c>
      <c r="P89" s="255">
        <v>10</v>
      </c>
      <c r="Q89" s="255">
        <v>850</v>
      </c>
    </row>
    <row r="90" spans="1:18">
      <c r="A90" s="595"/>
      <c r="B90" s="598"/>
      <c r="C90" s="599"/>
      <c r="P90" s="255">
        <v>2000</v>
      </c>
      <c r="Q90" s="255">
        <f>P90*Q89/P89</f>
        <v>170000</v>
      </c>
      <c r="R90" s="255" t="s">
        <v>1616</v>
      </c>
    </row>
    <row r="91" spans="1:18">
      <c r="A91" s="595"/>
      <c r="B91" s="598"/>
      <c r="C91" s="599"/>
      <c r="E91" s="858"/>
      <c r="F91" s="858"/>
      <c r="G91" s="859"/>
      <c r="H91" s="1966"/>
      <c r="I91" s="1966"/>
    </row>
    <row r="92" spans="1:18">
      <c r="A92" s="595"/>
      <c r="B92" s="598"/>
      <c r="C92" s="599"/>
      <c r="E92" s="516"/>
      <c r="F92" s="860"/>
      <c r="G92" s="861"/>
      <c r="H92" s="1965"/>
      <c r="I92" s="1965"/>
      <c r="J92" s="322"/>
      <c r="P92" s="255">
        <v>10</v>
      </c>
      <c r="Q92" s="255">
        <v>600</v>
      </c>
    </row>
    <row r="93" spans="1:18">
      <c r="A93" s="595"/>
      <c r="B93" s="598"/>
      <c r="C93" s="599"/>
      <c r="E93" s="516"/>
      <c r="F93" s="860"/>
      <c r="G93" s="861"/>
      <c r="H93" s="1965"/>
      <c r="I93" s="1965"/>
      <c r="J93" s="322"/>
      <c r="P93" s="255">
        <v>1200</v>
      </c>
      <c r="Q93" s="255">
        <f>P93*Q92/P92</f>
        <v>72000</v>
      </c>
      <c r="R93" s="255" t="s">
        <v>466</v>
      </c>
    </row>
    <row r="94" spans="1:18">
      <c r="A94" s="595"/>
      <c r="B94" s="598"/>
      <c r="C94" s="599"/>
      <c r="E94" s="516"/>
      <c r="F94" s="860"/>
      <c r="G94" s="861"/>
      <c r="H94" s="1965"/>
      <c r="I94" s="1965"/>
      <c r="J94" s="322"/>
    </row>
    <row r="95" spans="1:18">
      <c r="A95" s="595"/>
      <c r="B95" s="598"/>
      <c r="C95" s="599"/>
      <c r="E95" s="516"/>
      <c r="F95" s="860"/>
      <c r="G95" s="861"/>
      <c r="H95" s="1965"/>
      <c r="I95" s="1965"/>
      <c r="J95" s="322"/>
      <c r="P95" s="255">
        <v>10</v>
      </c>
      <c r="Q95" s="255">
        <v>600</v>
      </c>
    </row>
    <row r="96" spans="1:18">
      <c r="A96" s="595"/>
      <c r="B96" s="598"/>
      <c r="C96" s="599"/>
      <c r="E96" s="516"/>
      <c r="F96" s="860"/>
      <c r="G96" s="861"/>
      <c r="H96" s="1965"/>
      <c r="I96" s="1965"/>
      <c r="J96" s="322"/>
      <c r="P96" s="255">
        <v>260</v>
      </c>
      <c r="Q96" s="255">
        <f>P96*Q95/P95</f>
        <v>15600</v>
      </c>
      <c r="R96" s="255" t="s">
        <v>467</v>
      </c>
    </row>
    <row r="97" spans="1:18">
      <c r="A97" s="595"/>
      <c r="B97" s="598"/>
      <c r="C97" s="599"/>
      <c r="E97" s="516"/>
      <c r="F97" s="860"/>
      <c r="G97" s="861"/>
      <c r="H97" s="1965"/>
      <c r="I97" s="1965"/>
      <c r="J97" s="322"/>
    </row>
    <row r="98" spans="1:18">
      <c r="A98" s="595"/>
      <c r="B98" s="598"/>
      <c r="C98" s="599"/>
      <c r="E98" s="516"/>
      <c r="F98" s="860"/>
      <c r="G98" s="861"/>
      <c r="H98" s="1965"/>
      <c r="I98" s="1965"/>
      <c r="J98" s="322"/>
      <c r="R98" s="255" t="s">
        <v>1809</v>
      </c>
    </row>
    <row r="99" spans="1:18">
      <c r="A99" s="595"/>
      <c r="B99" s="598"/>
      <c r="C99" s="599"/>
    </row>
    <row r="100" spans="1:18">
      <c r="A100" s="595"/>
      <c r="B100" s="598"/>
      <c r="C100" s="599"/>
    </row>
    <row r="101" spans="1:18">
      <c r="A101" s="595"/>
      <c r="B101" s="598"/>
      <c r="C101" s="599"/>
      <c r="G101" s="255"/>
      <c r="H101" s="255"/>
      <c r="L101" s="516"/>
      <c r="M101" s="516"/>
    </row>
    <row r="102" spans="1:18">
      <c r="A102" s="595"/>
      <c r="B102" s="598"/>
      <c r="C102" s="599"/>
      <c r="G102" s="255"/>
      <c r="H102" s="255"/>
      <c r="L102" s="516"/>
      <c r="M102" s="516"/>
    </row>
    <row r="103" spans="1:18">
      <c r="A103" s="595"/>
      <c r="B103" s="598"/>
      <c r="C103" s="599"/>
      <c r="G103" s="255"/>
      <c r="H103" s="255"/>
      <c r="L103" s="516"/>
      <c r="M103" s="516"/>
    </row>
    <row r="104" spans="1:18">
      <c r="A104" s="595"/>
      <c r="B104" s="598"/>
      <c r="C104" s="599"/>
      <c r="G104" s="255"/>
      <c r="H104" s="255"/>
      <c r="L104" s="516"/>
      <c r="M104" s="516"/>
    </row>
    <row r="105" spans="1:18">
      <c r="A105" s="595"/>
      <c r="B105" s="598"/>
      <c r="C105" s="599"/>
      <c r="G105" s="255"/>
      <c r="H105" s="255"/>
      <c r="L105" s="516"/>
      <c r="M105" s="516"/>
    </row>
    <row r="106" spans="1:18">
      <c r="A106" s="595"/>
      <c r="B106" s="598"/>
      <c r="C106" s="599"/>
      <c r="G106" s="255"/>
      <c r="H106" s="255"/>
      <c r="L106" s="516"/>
      <c r="M106" s="516"/>
    </row>
    <row r="107" spans="1:18">
      <c r="A107" s="595"/>
      <c r="B107" s="598"/>
      <c r="C107" s="599"/>
      <c r="G107" s="255"/>
      <c r="H107" s="255"/>
      <c r="L107" s="516"/>
      <c r="M107" s="516"/>
    </row>
    <row r="108" spans="1:18">
      <c r="A108" s="595"/>
      <c r="B108" s="598"/>
      <c r="C108" s="599"/>
      <c r="G108" s="255"/>
      <c r="H108" s="255"/>
      <c r="L108" s="516"/>
      <c r="M108" s="516"/>
    </row>
    <row r="109" spans="1:18">
      <c r="A109" s="595"/>
      <c r="B109" s="598"/>
      <c r="C109" s="599"/>
      <c r="G109" s="255"/>
      <c r="H109" s="255"/>
      <c r="L109" s="516"/>
      <c r="M109" s="516"/>
    </row>
    <row r="110" spans="1:18">
      <c r="A110" s="595"/>
      <c r="B110" s="598"/>
      <c r="C110" s="599"/>
      <c r="G110" s="255"/>
      <c r="H110" s="255"/>
      <c r="L110" s="516"/>
      <c r="M110" s="516"/>
    </row>
    <row r="111" spans="1:18">
      <c r="A111" s="595"/>
      <c r="B111" s="598"/>
      <c r="C111" s="599"/>
      <c r="G111" s="255"/>
      <c r="H111" s="255"/>
      <c r="L111" s="516"/>
      <c r="M111" s="516"/>
    </row>
    <row r="112" spans="1:18">
      <c r="A112" s="595"/>
      <c r="B112" s="598"/>
      <c r="C112" s="599"/>
      <c r="G112" s="255"/>
      <c r="H112" s="255"/>
      <c r="L112" s="516"/>
      <c r="M112" s="516"/>
    </row>
    <row r="113" spans="1:13">
      <c r="A113" s="595"/>
      <c r="B113" s="598"/>
      <c r="C113" s="599"/>
      <c r="G113" s="255"/>
      <c r="H113" s="255"/>
      <c r="L113" s="516"/>
      <c r="M113" s="516"/>
    </row>
    <row r="114" spans="1:13">
      <c r="A114" s="595"/>
      <c r="B114" s="598"/>
      <c r="C114" s="599"/>
      <c r="G114" s="255"/>
      <c r="H114" s="255"/>
      <c r="L114" s="516"/>
      <c r="M114" s="516"/>
    </row>
    <row r="115" spans="1:13">
      <c r="A115" s="595"/>
      <c r="B115" s="598"/>
      <c r="C115" s="599"/>
      <c r="G115" s="255"/>
      <c r="H115" s="255"/>
      <c r="L115" s="516"/>
      <c r="M115" s="516"/>
    </row>
    <row r="116" spans="1:13">
      <c r="A116" s="595"/>
      <c r="B116" s="598"/>
      <c r="C116" s="599"/>
      <c r="G116" s="255"/>
      <c r="H116" s="255"/>
      <c r="L116" s="516"/>
      <c r="M116" s="516"/>
    </row>
    <row r="117" spans="1:13">
      <c r="A117" s="595"/>
      <c r="B117" s="598"/>
      <c r="C117" s="599"/>
      <c r="G117" s="255"/>
      <c r="H117" s="255"/>
      <c r="L117" s="516"/>
      <c r="M117" s="516"/>
    </row>
    <row r="118" spans="1:13">
      <c r="A118" s="595"/>
      <c r="B118" s="598"/>
      <c r="C118" s="599"/>
      <c r="G118" s="255"/>
      <c r="H118" s="255"/>
      <c r="L118" s="516"/>
      <c r="M118" s="516"/>
    </row>
    <row r="119" spans="1:13">
      <c r="A119" s="595"/>
      <c r="B119" s="598"/>
      <c r="C119" s="599"/>
      <c r="G119" s="255"/>
      <c r="H119" s="255"/>
      <c r="L119" s="516"/>
      <c r="M119" s="516"/>
    </row>
    <row r="120" spans="1:13">
      <c r="A120" s="595"/>
      <c r="B120" s="598"/>
      <c r="C120" s="599"/>
      <c r="G120" s="255"/>
      <c r="H120" s="255"/>
      <c r="L120" s="516"/>
      <c r="M120" s="516"/>
    </row>
    <row r="121" spans="1:13">
      <c r="A121" s="595"/>
      <c r="B121" s="598"/>
      <c r="C121" s="599"/>
      <c r="G121" s="255"/>
      <c r="H121" s="255"/>
      <c r="L121" s="516"/>
      <c r="M121" s="516"/>
    </row>
    <row r="122" spans="1:13">
      <c r="A122" s="595"/>
      <c r="B122" s="598"/>
      <c r="C122" s="599"/>
      <c r="G122" s="255"/>
      <c r="H122" s="255"/>
      <c r="L122" s="516"/>
      <c r="M122" s="516"/>
    </row>
    <row r="123" spans="1:13">
      <c r="A123" s="595"/>
      <c r="B123" s="598"/>
      <c r="C123" s="599"/>
      <c r="G123" s="255"/>
      <c r="H123" s="255"/>
      <c r="L123" s="516"/>
      <c r="M123" s="516"/>
    </row>
    <row r="124" spans="1:13">
      <c r="A124" s="595"/>
      <c r="B124" s="598"/>
      <c r="C124" s="599"/>
      <c r="G124" s="255"/>
      <c r="H124" s="255"/>
      <c r="L124" s="516"/>
      <c r="M124" s="516"/>
    </row>
    <row r="125" spans="1:13">
      <c r="A125" s="595"/>
      <c r="B125" s="598"/>
      <c r="C125" s="599"/>
      <c r="G125" s="255"/>
      <c r="H125" s="255"/>
      <c r="L125" s="516"/>
      <c r="M125" s="516"/>
    </row>
    <row r="126" spans="1:13">
      <c r="A126" s="595"/>
      <c r="B126" s="598"/>
      <c r="C126" s="599"/>
      <c r="G126" s="255"/>
      <c r="H126" s="255"/>
      <c r="L126" s="516"/>
      <c r="M126" s="516"/>
    </row>
    <row r="127" spans="1:13">
      <c r="A127" s="595"/>
      <c r="B127" s="598"/>
      <c r="C127" s="599"/>
      <c r="G127" s="255"/>
      <c r="H127" s="255"/>
      <c r="L127" s="516"/>
      <c r="M127" s="516"/>
    </row>
    <row r="128" spans="1:13">
      <c r="A128" s="595"/>
      <c r="B128" s="598"/>
      <c r="C128" s="599"/>
      <c r="G128" s="255"/>
      <c r="H128" s="255"/>
      <c r="L128" s="516"/>
      <c r="M128" s="516"/>
    </row>
    <row r="129" spans="1:13">
      <c r="A129" s="595"/>
      <c r="B129" s="598"/>
      <c r="C129" s="599"/>
      <c r="G129" s="255"/>
      <c r="H129" s="255"/>
      <c r="L129" s="516"/>
      <c r="M129" s="516"/>
    </row>
    <row r="130" spans="1:13">
      <c r="A130" s="595"/>
      <c r="B130" s="598"/>
      <c r="C130" s="599"/>
      <c r="G130" s="255"/>
      <c r="H130" s="255"/>
      <c r="L130" s="516"/>
      <c r="M130" s="516"/>
    </row>
    <row r="131" spans="1:13">
      <c r="A131" s="595"/>
      <c r="B131" s="598"/>
      <c r="C131" s="599"/>
      <c r="G131" s="255"/>
      <c r="H131" s="255"/>
      <c r="L131" s="516"/>
      <c r="M131" s="516"/>
    </row>
    <row r="132" spans="1:13">
      <c r="A132" s="595"/>
      <c r="B132" s="598"/>
      <c r="C132" s="599"/>
      <c r="G132" s="255"/>
      <c r="H132" s="255"/>
      <c r="L132" s="516"/>
      <c r="M132" s="516"/>
    </row>
    <row r="133" spans="1:13">
      <c r="A133" s="595"/>
      <c r="B133" s="598"/>
      <c r="C133" s="599"/>
      <c r="G133" s="255"/>
      <c r="H133" s="255"/>
      <c r="L133" s="516"/>
      <c r="M133" s="516"/>
    </row>
    <row r="134" spans="1:13">
      <c r="A134" s="595"/>
      <c r="B134" s="598"/>
      <c r="C134" s="599"/>
      <c r="G134" s="255"/>
      <c r="H134" s="255"/>
      <c r="L134" s="516"/>
      <c r="M134" s="516"/>
    </row>
    <row r="135" spans="1:13">
      <c r="A135" s="595"/>
      <c r="B135" s="598"/>
      <c r="C135" s="599"/>
      <c r="G135" s="255"/>
      <c r="H135" s="255"/>
      <c r="L135" s="516"/>
      <c r="M135" s="516"/>
    </row>
    <row r="136" spans="1:13">
      <c r="A136" s="595"/>
      <c r="B136" s="598"/>
      <c r="C136" s="599"/>
      <c r="G136" s="255"/>
      <c r="H136" s="255"/>
      <c r="L136" s="516"/>
      <c r="M136" s="516"/>
    </row>
    <row r="137" spans="1:13">
      <c r="A137" s="595"/>
      <c r="B137" s="598"/>
      <c r="C137" s="599"/>
      <c r="G137" s="255"/>
      <c r="H137" s="255"/>
      <c r="L137" s="516"/>
      <c r="M137" s="516"/>
    </row>
    <row r="138" spans="1:13">
      <c r="A138" s="595"/>
      <c r="B138" s="598"/>
      <c r="C138" s="599"/>
      <c r="G138" s="255"/>
      <c r="H138" s="255"/>
      <c r="L138" s="516"/>
      <c r="M138" s="516"/>
    </row>
    <row r="139" spans="1:13">
      <c r="A139" s="595"/>
      <c r="B139" s="598"/>
      <c r="C139" s="599"/>
      <c r="G139" s="255"/>
      <c r="H139" s="255"/>
      <c r="L139" s="516"/>
      <c r="M139" s="516"/>
    </row>
    <row r="140" spans="1:13">
      <c r="A140" s="595"/>
      <c r="B140" s="598"/>
      <c r="C140" s="599"/>
      <c r="G140" s="255"/>
      <c r="H140" s="255"/>
      <c r="L140" s="516"/>
      <c r="M140" s="516"/>
    </row>
    <row r="141" spans="1:13">
      <c r="A141" s="595"/>
      <c r="B141" s="598"/>
      <c r="C141" s="599"/>
      <c r="G141" s="255"/>
      <c r="H141" s="255"/>
      <c r="L141" s="516"/>
      <c r="M141" s="516"/>
    </row>
    <row r="142" spans="1:13">
      <c r="A142" s="595"/>
      <c r="B142" s="598"/>
      <c r="C142" s="599"/>
      <c r="G142" s="255"/>
      <c r="H142" s="255"/>
      <c r="L142" s="516"/>
      <c r="M142" s="516"/>
    </row>
    <row r="143" spans="1:13">
      <c r="A143" s="595"/>
      <c r="B143" s="598"/>
      <c r="C143" s="599"/>
      <c r="G143" s="255"/>
      <c r="H143" s="255"/>
      <c r="L143" s="516"/>
      <c r="M143" s="516"/>
    </row>
    <row r="144" spans="1:13">
      <c r="A144" s="595"/>
      <c r="B144" s="598"/>
      <c r="C144" s="599"/>
      <c r="G144" s="255"/>
      <c r="H144" s="255"/>
      <c r="L144" s="516"/>
      <c r="M144" s="516"/>
    </row>
    <row r="145" spans="1:13">
      <c r="A145" s="595"/>
      <c r="B145" s="598"/>
      <c r="C145" s="599"/>
      <c r="G145" s="255"/>
      <c r="H145" s="255"/>
      <c r="L145" s="516"/>
      <c r="M145" s="516"/>
    </row>
    <row r="146" spans="1:13">
      <c r="A146" s="595"/>
      <c r="B146" s="598"/>
      <c r="C146" s="599"/>
      <c r="G146" s="255"/>
      <c r="H146" s="255"/>
      <c r="L146" s="516"/>
      <c r="M146" s="516"/>
    </row>
    <row r="147" spans="1:13">
      <c r="A147" s="595"/>
      <c r="B147" s="598"/>
      <c r="C147" s="599"/>
      <c r="G147" s="255"/>
      <c r="H147" s="255"/>
      <c r="L147" s="516"/>
      <c r="M147" s="516"/>
    </row>
    <row r="148" spans="1:13">
      <c r="A148" s="595"/>
      <c r="B148" s="598"/>
      <c r="C148" s="599"/>
      <c r="G148" s="255"/>
      <c r="H148" s="255"/>
      <c r="L148" s="516"/>
      <c r="M148" s="516"/>
    </row>
    <row r="149" spans="1:13">
      <c r="A149" s="595"/>
      <c r="B149" s="598"/>
      <c r="C149" s="599"/>
      <c r="G149" s="255"/>
      <c r="H149" s="255"/>
      <c r="L149" s="516"/>
      <c r="M149" s="516"/>
    </row>
    <row r="150" spans="1:13">
      <c r="A150" s="595"/>
      <c r="B150" s="598"/>
      <c r="C150" s="599"/>
      <c r="G150" s="255"/>
      <c r="H150" s="255"/>
      <c r="L150" s="516"/>
      <c r="M150" s="516"/>
    </row>
    <row r="151" spans="1:13">
      <c r="A151" s="595"/>
      <c r="B151" s="598"/>
      <c r="C151" s="599"/>
      <c r="G151" s="255"/>
      <c r="H151" s="255"/>
      <c r="L151" s="516"/>
      <c r="M151" s="516"/>
    </row>
    <row r="152" spans="1:13">
      <c r="A152" s="595"/>
      <c r="B152" s="598"/>
      <c r="C152" s="599"/>
      <c r="G152" s="255"/>
      <c r="H152" s="255"/>
      <c r="L152" s="516"/>
      <c r="M152" s="516"/>
    </row>
    <row r="153" spans="1:13">
      <c r="A153" s="595"/>
      <c r="B153" s="598"/>
      <c r="C153" s="599"/>
      <c r="G153" s="255"/>
      <c r="H153" s="255"/>
      <c r="L153" s="516"/>
      <c r="M153" s="516"/>
    </row>
    <row r="154" spans="1:13">
      <c r="A154" s="595"/>
      <c r="B154" s="598"/>
      <c r="C154" s="599"/>
      <c r="G154" s="255"/>
      <c r="H154" s="255"/>
      <c r="L154" s="516"/>
      <c r="M154" s="516"/>
    </row>
    <row r="155" spans="1:13">
      <c r="A155" s="595"/>
      <c r="B155" s="598"/>
      <c r="C155" s="599"/>
      <c r="G155" s="255"/>
      <c r="H155" s="255"/>
      <c r="L155" s="516"/>
      <c r="M155" s="516"/>
    </row>
    <row r="156" spans="1:13">
      <c r="A156" s="595"/>
      <c r="B156" s="598"/>
      <c r="C156" s="599"/>
      <c r="G156" s="255"/>
      <c r="H156" s="255"/>
      <c r="L156" s="516"/>
      <c r="M156" s="516"/>
    </row>
    <row r="157" spans="1:13">
      <c r="A157" s="595"/>
      <c r="B157" s="598"/>
      <c r="C157" s="599"/>
      <c r="G157" s="255"/>
      <c r="H157" s="255"/>
      <c r="L157" s="516"/>
      <c r="M157" s="516"/>
    </row>
    <row r="158" spans="1:13">
      <c r="A158" s="595"/>
      <c r="B158" s="598"/>
      <c r="C158" s="599"/>
      <c r="G158" s="255"/>
      <c r="H158" s="255"/>
      <c r="L158" s="516"/>
      <c r="M158" s="516"/>
    </row>
    <row r="159" spans="1:13">
      <c r="A159" s="595"/>
      <c r="B159" s="598"/>
      <c r="C159" s="599"/>
      <c r="G159" s="255"/>
      <c r="H159" s="255"/>
      <c r="L159" s="516"/>
      <c r="M159" s="516"/>
    </row>
    <row r="160" spans="1:13">
      <c r="A160" s="595"/>
      <c r="B160" s="598"/>
      <c r="C160" s="599"/>
      <c r="G160" s="255"/>
      <c r="H160" s="255"/>
      <c r="L160" s="516"/>
      <c r="M160" s="516"/>
    </row>
    <row r="161" spans="1:13">
      <c r="A161" s="595"/>
      <c r="B161" s="598"/>
      <c r="C161" s="599"/>
      <c r="G161" s="255"/>
      <c r="H161" s="255"/>
      <c r="L161" s="516"/>
      <c r="M161" s="516"/>
    </row>
    <row r="162" spans="1:13">
      <c r="A162" s="595"/>
      <c r="B162" s="598"/>
      <c r="C162" s="599"/>
      <c r="G162" s="255"/>
      <c r="H162" s="255"/>
      <c r="L162" s="516"/>
      <c r="M162" s="516"/>
    </row>
    <row r="163" spans="1:13">
      <c r="A163" s="595"/>
      <c r="B163" s="598"/>
      <c r="C163" s="599"/>
      <c r="G163" s="255"/>
      <c r="H163" s="255"/>
      <c r="L163" s="516"/>
      <c r="M163" s="516"/>
    </row>
    <row r="164" spans="1:13">
      <c r="A164" s="595"/>
      <c r="B164" s="598"/>
      <c r="C164" s="599"/>
      <c r="G164" s="255"/>
      <c r="H164" s="255"/>
      <c r="L164" s="516"/>
      <c r="M164" s="516"/>
    </row>
    <row r="165" spans="1:13">
      <c r="A165" s="595"/>
      <c r="B165" s="598"/>
      <c r="C165" s="599"/>
      <c r="G165" s="255"/>
      <c r="H165" s="255"/>
      <c r="L165" s="516"/>
      <c r="M165" s="516"/>
    </row>
    <row r="166" spans="1:13">
      <c r="A166" s="595"/>
      <c r="B166" s="598"/>
      <c r="C166" s="599"/>
      <c r="G166" s="255"/>
      <c r="H166" s="255"/>
      <c r="L166" s="516"/>
      <c r="M166" s="516"/>
    </row>
    <row r="167" spans="1:13">
      <c r="A167" s="595"/>
      <c r="B167" s="598"/>
      <c r="C167" s="599"/>
      <c r="G167" s="255"/>
      <c r="H167" s="255"/>
      <c r="L167" s="516"/>
      <c r="M167" s="516"/>
    </row>
    <row r="168" spans="1:13">
      <c r="A168" s="595"/>
      <c r="B168" s="598"/>
      <c r="C168" s="599"/>
      <c r="G168" s="255"/>
      <c r="H168" s="255"/>
      <c r="L168" s="516"/>
      <c r="M168" s="516"/>
    </row>
    <row r="169" spans="1:13">
      <c r="A169" s="595"/>
      <c r="B169" s="598"/>
      <c r="C169" s="599"/>
      <c r="G169" s="255"/>
      <c r="H169" s="255"/>
      <c r="L169" s="516"/>
      <c r="M169" s="516"/>
    </row>
    <row r="170" spans="1:13">
      <c r="A170" s="595"/>
      <c r="B170" s="598"/>
      <c r="C170" s="599"/>
      <c r="G170" s="255"/>
      <c r="H170" s="255"/>
      <c r="L170" s="516"/>
      <c r="M170" s="516"/>
    </row>
    <row r="171" spans="1:13">
      <c r="A171" s="595"/>
      <c r="B171" s="598"/>
      <c r="C171" s="599"/>
      <c r="G171" s="255"/>
      <c r="H171" s="255"/>
      <c r="L171" s="516"/>
      <c r="M171" s="516"/>
    </row>
    <row r="172" spans="1:13">
      <c r="A172" s="595"/>
      <c r="B172" s="598"/>
      <c r="C172" s="599"/>
      <c r="G172" s="255"/>
      <c r="H172" s="255"/>
      <c r="L172" s="516"/>
      <c r="M172" s="516"/>
    </row>
    <row r="173" spans="1:13">
      <c r="A173" s="595"/>
      <c r="B173" s="598"/>
      <c r="C173" s="599"/>
      <c r="G173" s="255"/>
      <c r="H173" s="255"/>
      <c r="L173" s="516"/>
      <c r="M173" s="516"/>
    </row>
    <row r="174" spans="1:13">
      <c r="A174" s="595"/>
      <c r="B174" s="598"/>
      <c r="C174" s="599"/>
      <c r="G174" s="255"/>
      <c r="H174" s="255"/>
      <c r="L174" s="516"/>
      <c r="M174" s="516"/>
    </row>
    <row r="175" spans="1:13">
      <c r="A175" s="595"/>
      <c r="B175" s="598"/>
      <c r="C175" s="599"/>
      <c r="G175" s="255"/>
      <c r="H175" s="255"/>
      <c r="L175" s="516"/>
      <c r="M175" s="516"/>
    </row>
    <row r="176" spans="1:13">
      <c r="A176" s="595"/>
      <c r="B176" s="598"/>
      <c r="C176" s="243"/>
      <c r="G176" s="255"/>
      <c r="H176" s="255"/>
      <c r="L176" s="516"/>
      <c r="M176" s="516"/>
    </row>
    <row r="177" spans="1:13">
      <c r="A177" s="595"/>
      <c r="B177" s="598"/>
      <c r="C177" s="243"/>
      <c r="G177" s="255"/>
      <c r="H177" s="255"/>
      <c r="L177" s="516"/>
      <c r="M177" s="516"/>
    </row>
    <row r="178" spans="1:13">
      <c r="A178" s="595"/>
      <c r="B178" s="598"/>
      <c r="C178" s="243"/>
      <c r="G178" s="255"/>
      <c r="H178" s="255"/>
      <c r="L178" s="516"/>
      <c r="M178" s="516"/>
    </row>
    <row r="179" spans="1:13">
      <c r="A179" s="595"/>
      <c r="B179" s="598"/>
      <c r="C179" s="243"/>
      <c r="G179" s="255"/>
      <c r="H179" s="255"/>
      <c r="L179" s="516"/>
      <c r="M179" s="516"/>
    </row>
    <row r="180" spans="1:13">
      <c r="A180" s="595"/>
      <c r="B180" s="598"/>
      <c r="C180" s="243"/>
      <c r="G180" s="255"/>
      <c r="H180" s="255"/>
      <c r="L180" s="516"/>
      <c r="M180" s="516"/>
    </row>
    <row r="181" spans="1:13">
      <c r="A181" s="595"/>
      <c r="B181" s="598"/>
      <c r="C181" s="243"/>
      <c r="G181" s="255"/>
      <c r="H181" s="255"/>
      <c r="L181" s="516"/>
      <c r="M181" s="516"/>
    </row>
    <row r="182" spans="1:13">
      <c r="A182" s="595"/>
      <c r="B182" s="598"/>
      <c r="C182" s="243"/>
      <c r="G182" s="255"/>
      <c r="H182" s="255"/>
      <c r="L182" s="516"/>
      <c r="M182" s="516"/>
    </row>
    <row r="183" spans="1:13">
      <c r="A183" s="595"/>
      <c r="B183" s="598"/>
      <c r="C183" s="243"/>
      <c r="G183" s="255"/>
      <c r="H183" s="255"/>
      <c r="L183" s="516"/>
      <c r="M183" s="516"/>
    </row>
    <row r="184" spans="1:13">
      <c r="A184" s="595"/>
      <c r="B184" s="598"/>
      <c r="C184" s="243"/>
      <c r="G184" s="255"/>
      <c r="H184" s="255"/>
      <c r="L184" s="516"/>
      <c r="M184" s="516"/>
    </row>
    <row r="185" spans="1:13">
      <c r="A185" s="595"/>
      <c r="B185" s="598"/>
      <c r="C185" s="243"/>
      <c r="G185" s="255"/>
      <c r="H185" s="255"/>
      <c r="L185" s="516"/>
      <c r="M185" s="516"/>
    </row>
    <row r="186" spans="1:13">
      <c r="A186" s="595"/>
      <c r="B186" s="598"/>
      <c r="C186" s="243"/>
      <c r="G186" s="255"/>
      <c r="H186" s="255"/>
      <c r="L186" s="516"/>
      <c r="M186" s="516"/>
    </row>
    <row r="187" spans="1:13">
      <c r="A187" s="595"/>
      <c r="B187" s="598"/>
      <c r="C187" s="243"/>
      <c r="G187" s="255"/>
      <c r="H187" s="255"/>
      <c r="L187" s="516"/>
      <c r="M187" s="516"/>
    </row>
    <row r="188" spans="1:13">
      <c r="A188" s="595"/>
      <c r="B188" s="598"/>
      <c r="C188" s="243"/>
      <c r="G188" s="255"/>
      <c r="H188" s="255"/>
      <c r="L188" s="516"/>
      <c r="M188" s="516"/>
    </row>
    <row r="189" spans="1:13">
      <c r="A189" s="595"/>
      <c r="B189" s="598"/>
      <c r="C189" s="243"/>
      <c r="G189" s="255"/>
      <c r="H189" s="255"/>
      <c r="L189" s="516"/>
      <c r="M189" s="516"/>
    </row>
    <row r="190" spans="1:13">
      <c r="A190" s="595"/>
      <c r="B190" s="598"/>
      <c r="C190" s="243"/>
      <c r="G190" s="255"/>
      <c r="H190" s="255"/>
      <c r="L190" s="516"/>
      <c r="M190" s="516"/>
    </row>
    <row r="191" spans="1:13">
      <c r="A191" s="595"/>
      <c r="B191" s="598"/>
      <c r="C191" s="243"/>
      <c r="G191" s="255"/>
      <c r="H191" s="255"/>
      <c r="L191" s="516"/>
      <c r="M191" s="516"/>
    </row>
    <row r="192" spans="1:13">
      <c r="A192" s="595"/>
      <c r="B192" s="598"/>
      <c r="C192" s="243"/>
      <c r="G192" s="255"/>
      <c r="H192" s="255"/>
      <c r="L192" s="516"/>
      <c r="M192" s="516"/>
    </row>
    <row r="193" spans="1:13">
      <c r="A193" s="595"/>
      <c r="B193" s="598"/>
      <c r="C193" s="243"/>
      <c r="G193" s="255"/>
      <c r="H193" s="255"/>
      <c r="L193" s="516"/>
      <c r="M193" s="516"/>
    </row>
    <row r="194" spans="1:13">
      <c r="A194" s="595"/>
      <c r="B194" s="598"/>
      <c r="C194" s="243"/>
      <c r="G194" s="255"/>
      <c r="H194" s="255"/>
      <c r="L194" s="516"/>
      <c r="M194" s="516"/>
    </row>
    <row r="195" spans="1:13">
      <c r="A195" s="595"/>
      <c r="B195" s="598"/>
      <c r="C195" s="243"/>
      <c r="G195" s="255"/>
      <c r="H195" s="255"/>
      <c r="L195" s="516"/>
      <c r="M195" s="516"/>
    </row>
    <row r="196" spans="1:13">
      <c r="A196" s="595"/>
      <c r="B196" s="242"/>
      <c r="C196" s="243"/>
      <c r="G196" s="255"/>
      <c r="H196" s="255"/>
      <c r="L196" s="516"/>
      <c r="M196" s="516"/>
    </row>
    <row r="197" spans="1:13">
      <c r="A197" s="595"/>
      <c r="B197" s="242"/>
      <c r="C197" s="243"/>
      <c r="G197" s="255"/>
      <c r="H197" s="255"/>
      <c r="L197" s="516"/>
      <c r="M197" s="516"/>
    </row>
    <row r="198" spans="1:13">
      <c r="A198" s="595"/>
      <c r="B198" s="242"/>
      <c r="C198" s="243"/>
      <c r="G198" s="255"/>
      <c r="H198" s="255"/>
      <c r="L198" s="516"/>
      <c r="M198" s="516"/>
    </row>
    <row r="199" spans="1:13">
      <c r="A199" s="595"/>
      <c r="B199" s="242"/>
      <c r="C199" s="243"/>
      <c r="G199" s="255"/>
      <c r="H199" s="255"/>
      <c r="L199" s="516"/>
      <c r="M199" s="516"/>
    </row>
    <row r="200" spans="1:13">
      <c r="A200" s="595"/>
      <c r="B200" s="242"/>
      <c r="C200" s="243"/>
      <c r="G200" s="255"/>
      <c r="H200" s="255"/>
      <c r="L200" s="516"/>
      <c r="M200" s="516"/>
    </row>
    <row r="201" spans="1:13">
      <c r="A201" s="595"/>
      <c r="B201" s="242"/>
      <c r="C201" s="243"/>
      <c r="G201" s="255"/>
      <c r="H201" s="255"/>
      <c r="L201" s="516"/>
      <c r="M201" s="516"/>
    </row>
    <row r="202" spans="1:13">
      <c r="A202" s="595"/>
      <c r="B202" s="242"/>
      <c r="C202" s="243"/>
      <c r="G202" s="255"/>
      <c r="H202" s="255"/>
      <c r="L202" s="516"/>
      <c r="M202" s="516"/>
    </row>
    <row r="203" spans="1:13">
      <c r="A203" s="595"/>
      <c r="B203" s="242"/>
      <c r="C203" s="243"/>
      <c r="G203" s="255"/>
      <c r="H203" s="255"/>
      <c r="L203" s="516"/>
      <c r="M203" s="516"/>
    </row>
    <row r="204" spans="1:13">
      <c r="A204" s="595"/>
      <c r="B204" s="242"/>
      <c r="C204" s="243"/>
      <c r="G204" s="255"/>
      <c r="H204" s="255"/>
      <c r="L204" s="516"/>
      <c r="M204" s="516"/>
    </row>
    <row r="205" spans="1:13">
      <c r="A205" s="595"/>
      <c r="B205" s="242"/>
      <c r="C205" s="243"/>
      <c r="G205" s="255"/>
      <c r="H205" s="255"/>
      <c r="L205" s="516"/>
      <c r="M205" s="516"/>
    </row>
    <row r="206" spans="1:13">
      <c r="A206" s="595"/>
      <c r="B206" s="242"/>
      <c r="C206" s="243"/>
      <c r="G206" s="255"/>
      <c r="H206" s="255"/>
      <c r="L206" s="516"/>
      <c r="M206" s="516"/>
    </row>
    <row r="207" spans="1:13">
      <c r="A207" s="595"/>
      <c r="B207" s="242"/>
      <c r="C207" s="243"/>
      <c r="G207" s="255"/>
      <c r="H207" s="255"/>
      <c r="L207" s="516"/>
      <c r="M207" s="516"/>
    </row>
    <row r="208" spans="1:13">
      <c r="A208" s="595"/>
      <c r="B208" s="242"/>
      <c r="C208" s="243"/>
      <c r="G208" s="255"/>
      <c r="H208" s="255"/>
      <c r="L208" s="516"/>
      <c r="M208" s="516"/>
    </row>
    <row r="209" spans="1:13">
      <c r="A209" s="595"/>
      <c r="B209" s="242"/>
      <c r="C209" s="243"/>
      <c r="G209" s="255"/>
      <c r="H209" s="255"/>
      <c r="L209" s="516"/>
      <c r="M209" s="516"/>
    </row>
    <row r="210" spans="1:13">
      <c r="A210" s="595"/>
      <c r="B210" s="242"/>
      <c r="C210" s="243"/>
      <c r="G210" s="255"/>
      <c r="H210" s="255"/>
      <c r="L210" s="516"/>
      <c r="M210" s="516"/>
    </row>
    <row r="211" spans="1:13">
      <c r="A211" s="595"/>
      <c r="B211" s="242"/>
      <c r="C211" s="243"/>
      <c r="G211" s="255"/>
      <c r="H211" s="255"/>
      <c r="L211" s="516"/>
      <c r="M211" s="516"/>
    </row>
    <row r="212" spans="1:13">
      <c r="A212" s="595"/>
      <c r="B212" s="242"/>
      <c r="C212" s="243"/>
      <c r="G212" s="255"/>
      <c r="H212" s="255"/>
      <c r="L212" s="516"/>
      <c r="M212" s="516"/>
    </row>
    <row r="213" spans="1:13">
      <c r="A213" s="595"/>
      <c r="B213" s="242"/>
      <c r="C213" s="243"/>
      <c r="G213" s="255"/>
      <c r="H213" s="255"/>
      <c r="L213" s="516"/>
      <c r="M213" s="516"/>
    </row>
    <row r="214" spans="1:13">
      <c r="A214" s="595"/>
      <c r="B214" s="242"/>
      <c r="C214" s="243"/>
      <c r="G214" s="255"/>
      <c r="H214" s="255"/>
      <c r="L214" s="516"/>
      <c r="M214" s="516"/>
    </row>
    <row r="215" spans="1:13">
      <c r="A215" s="595"/>
      <c r="B215" s="242"/>
      <c r="C215" s="243"/>
      <c r="G215" s="255"/>
      <c r="H215" s="255"/>
      <c r="L215" s="516"/>
      <c r="M215" s="516"/>
    </row>
    <row r="216" spans="1:13">
      <c r="A216" s="595"/>
      <c r="B216" s="242"/>
      <c r="C216" s="243"/>
      <c r="G216" s="255"/>
      <c r="H216" s="255"/>
      <c r="L216" s="516"/>
      <c r="M216" s="516"/>
    </row>
    <row r="217" spans="1:13">
      <c r="A217" s="595"/>
      <c r="B217" s="242"/>
      <c r="C217" s="243"/>
      <c r="G217" s="255"/>
      <c r="H217" s="255"/>
      <c r="L217" s="516"/>
      <c r="M217" s="516"/>
    </row>
    <row r="218" spans="1:13">
      <c r="A218" s="595"/>
      <c r="B218" s="242"/>
      <c r="C218" s="243"/>
      <c r="G218" s="255"/>
      <c r="H218" s="255"/>
      <c r="L218" s="516"/>
      <c r="M218" s="516"/>
    </row>
    <row r="219" spans="1:13">
      <c r="A219" s="595"/>
      <c r="B219" s="242"/>
      <c r="C219" s="243"/>
      <c r="G219" s="255"/>
      <c r="H219" s="255"/>
      <c r="L219" s="516"/>
      <c r="M219" s="516"/>
    </row>
    <row r="220" spans="1:13">
      <c r="A220" s="595"/>
      <c r="B220" s="242"/>
      <c r="C220" s="243"/>
      <c r="G220" s="255"/>
      <c r="H220" s="255"/>
      <c r="L220" s="516"/>
      <c r="M220" s="516"/>
    </row>
    <row r="221" spans="1:13">
      <c r="A221" s="595"/>
      <c r="B221" s="242"/>
      <c r="C221" s="243"/>
      <c r="G221" s="255"/>
      <c r="H221" s="255"/>
      <c r="L221" s="516"/>
      <c r="M221" s="516"/>
    </row>
    <row r="222" spans="1:13">
      <c r="A222" s="595"/>
      <c r="B222" s="242"/>
      <c r="C222" s="243"/>
      <c r="G222" s="255"/>
      <c r="H222" s="255"/>
      <c r="L222" s="516"/>
      <c r="M222" s="516"/>
    </row>
    <row r="223" spans="1:13">
      <c r="A223" s="595"/>
      <c r="B223" s="242"/>
      <c r="C223" s="243"/>
      <c r="G223" s="255"/>
      <c r="H223" s="255"/>
      <c r="L223" s="516"/>
      <c r="M223" s="516"/>
    </row>
    <row r="224" spans="1:13">
      <c r="A224" s="595"/>
      <c r="B224" s="242"/>
      <c r="C224" s="243"/>
      <c r="G224" s="255"/>
      <c r="H224" s="255"/>
      <c r="L224" s="516"/>
      <c r="M224" s="516"/>
    </row>
    <row r="225" spans="1:13">
      <c r="A225" s="595"/>
      <c r="B225" s="242"/>
      <c r="C225" s="243"/>
      <c r="G225" s="255"/>
      <c r="H225" s="255"/>
      <c r="L225" s="516"/>
      <c r="M225" s="516"/>
    </row>
    <row r="226" spans="1:13">
      <c r="A226" s="595"/>
      <c r="B226" s="242"/>
      <c r="C226" s="243"/>
      <c r="G226" s="255"/>
      <c r="H226" s="255"/>
      <c r="L226" s="516"/>
      <c r="M226" s="516"/>
    </row>
    <row r="227" spans="1:13">
      <c r="A227" s="595"/>
      <c r="B227" s="242"/>
      <c r="C227" s="243"/>
      <c r="G227" s="255"/>
      <c r="H227" s="255"/>
      <c r="L227" s="516"/>
      <c r="M227" s="516"/>
    </row>
    <row r="228" spans="1:13">
      <c r="A228" s="595"/>
      <c r="B228" s="242"/>
      <c r="C228" s="243"/>
      <c r="G228" s="255"/>
      <c r="H228" s="255"/>
      <c r="L228" s="516"/>
      <c r="M228" s="516"/>
    </row>
    <row r="229" spans="1:13">
      <c r="A229" s="595"/>
      <c r="B229" s="242"/>
      <c r="C229" s="243"/>
      <c r="G229" s="255"/>
      <c r="H229" s="255"/>
      <c r="L229" s="516"/>
      <c r="M229" s="516"/>
    </row>
    <row r="230" spans="1:13">
      <c r="A230" s="595"/>
      <c r="B230" s="242"/>
      <c r="C230" s="243"/>
      <c r="G230" s="255"/>
      <c r="H230" s="255"/>
      <c r="L230" s="516"/>
      <c r="M230" s="516"/>
    </row>
    <row r="231" spans="1:13">
      <c r="A231" s="595"/>
      <c r="B231" s="242"/>
      <c r="C231" s="243"/>
      <c r="G231" s="255"/>
      <c r="H231" s="255"/>
      <c r="L231" s="516"/>
      <c r="M231" s="516"/>
    </row>
    <row r="232" spans="1:13">
      <c r="A232" s="595"/>
      <c r="B232" s="242"/>
      <c r="C232" s="243"/>
      <c r="G232" s="255"/>
      <c r="H232" s="255"/>
      <c r="L232" s="516"/>
      <c r="M232" s="516"/>
    </row>
    <row r="233" spans="1:13">
      <c r="A233" s="595"/>
      <c r="B233" s="242"/>
      <c r="C233" s="243"/>
      <c r="G233" s="255"/>
      <c r="H233" s="255"/>
      <c r="L233" s="516"/>
      <c r="M233" s="516"/>
    </row>
    <row r="234" spans="1:13">
      <c r="A234" s="595"/>
      <c r="B234" s="242"/>
      <c r="C234" s="243"/>
      <c r="G234" s="255"/>
      <c r="H234" s="255"/>
      <c r="L234" s="516"/>
      <c r="M234" s="516"/>
    </row>
    <row r="235" spans="1:13">
      <c r="A235" s="595"/>
      <c r="B235" s="242"/>
      <c r="C235" s="243"/>
      <c r="G235" s="255"/>
      <c r="H235" s="255"/>
      <c r="L235" s="516"/>
      <c r="M235" s="516"/>
    </row>
    <row r="236" spans="1:13">
      <c r="A236" s="595"/>
      <c r="B236" s="242"/>
      <c r="C236" s="243"/>
      <c r="G236" s="255"/>
      <c r="H236" s="255"/>
      <c r="L236" s="516"/>
      <c r="M236" s="516"/>
    </row>
    <row r="237" spans="1:13">
      <c r="A237" s="595"/>
      <c r="B237" s="242"/>
      <c r="C237" s="243"/>
      <c r="G237" s="255"/>
      <c r="H237" s="255"/>
      <c r="L237" s="516"/>
      <c r="M237" s="516"/>
    </row>
    <row r="238" spans="1:13">
      <c r="A238" s="595"/>
      <c r="B238" s="242"/>
      <c r="C238" s="243"/>
      <c r="G238" s="255"/>
      <c r="H238" s="255"/>
      <c r="L238" s="516"/>
      <c r="M238" s="516"/>
    </row>
    <row r="239" spans="1:13">
      <c r="A239" s="595"/>
      <c r="B239" s="242"/>
      <c r="C239" s="243"/>
      <c r="G239" s="255"/>
      <c r="H239" s="255"/>
      <c r="L239" s="516"/>
      <c r="M239" s="516"/>
    </row>
    <row r="240" spans="1:13">
      <c r="A240" s="595"/>
      <c r="B240" s="242"/>
      <c r="C240" s="243"/>
      <c r="G240" s="255"/>
      <c r="H240" s="255"/>
      <c r="L240" s="516"/>
      <c r="M240" s="516"/>
    </row>
    <row r="241" spans="1:13">
      <c r="A241" s="595"/>
      <c r="B241" s="242"/>
      <c r="C241" s="243"/>
      <c r="G241" s="255"/>
      <c r="H241" s="255"/>
      <c r="L241" s="516"/>
      <c r="M241" s="516"/>
    </row>
    <row r="242" spans="1:13">
      <c r="A242" s="595"/>
      <c r="B242" s="242"/>
      <c r="C242" s="243"/>
      <c r="G242" s="255"/>
      <c r="H242" s="255"/>
      <c r="L242" s="516"/>
      <c r="M242" s="516"/>
    </row>
    <row r="243" spans="1:13">
      <c r="A243" s="595"/>
      <c r="B243" s="242"/>
      <c r="C243" s="243"/>
      <c r="G243" s="255"/>
      <c r="H243" s="255"/>
      <c r="L243" s="516"/>
      <c r="M243" s="516"/>
    </row>
    <row r="244" spans="1:13">
      <c r="A244" s="595"/>
      <c r="B244" s="242"/>
      <c r="C244" s="243"/>
      <c r="G244" s="255"/>
      <c r="H244" s="255"/>
      <c r="L244" s="516"/>
      <c r="M244" s="516"/>
    </row>
    <row r="245" spans="1:13">
      <c r="A245" s="595"/>
      <c r="B245" s="242"/>
      <c r="C245" s="243"/>
      <c r="G245" s="255"/>
      <c r="H245" s="255"/>
      <c r="L245" s="516"/>
      <c r="M245" s="516"/>
    </row>
    <row r="246" spans="1:13">
      <c r="A246" s="595"/>
      <c r="B246" s="242"/>
      <c r="C246" s="243"/>
      <c r="G246" s="255"/>
      <c r="H246" s="255"/>
      <c r="L246" s="516"/>
      <c r="M246" s="516"/>
    </row>
    <row r="247" spans="1:13">
      <c r="A247" s="595"/>
      <c r="B247" s="242"/>
      <c r="C247" s="243"/>
      <c r="G247" s="255"/>
      <c r="H247" s="255"/>
      <c r="L247" s="516"/>
      <c r="M247" s="516"/>
    </row>
  </sheetData>
  <mergeCells count="12">
    <mergeCell ref="N26:Q27"/>
    <mergeCell ref="N77:P82"/>
    <mergeCell ref="N55:Q62"/>
    <mergeCell ref="N43:R50"/>
    <mergeCell ref="H98:I98"/>
    <mergeCell ref="H91:I91"/>
    <mergeCell ref="H92:I92"/>
    <mergeCell ref="H93:I93"/>
    <mergeCell ref="H94:I94"/>
    <mergeCell ref="H95:I95"/>
    <mergeCell ref="H96:I96"/>
    <mergeCell ref="H97:I97"/>
  </mergeCells>
  <phoneticPr fontId="17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Plan25">
    <tabColor rgb="FFFFFF00"/>
  </sheetPr>
  <dimension ref="A1:DF265"/>
  <sheetViews>
    <sheetView workbookViewId="0">
      <selection activeCell="I12" sqref="I12:I13"/>
    </sheetView>
  </sheetViews>
  <sheetFormatPr defaultColWidth="9.140625" defaultRowHeight="12.75"/>
  <cols>
    <col min="1" max="1" width="3.28515625" style="744" customWidth="1"/>
    <col min="2" max="3" width="3.28515625" style="319" customWidth="1"/>
    <col min="4" max="4" width="50.42578125" style="319" customWidth="1"/>
    <col min="5" max="5" width="19.42578125" style="319" customWidth="1"/>
    <col min="6" max="6" width="8.28515625" style="319" customWidth="1"/>
    <col min="7" max="8" width="11.85546875" style="319" customWidth="1"/>
    <col min="9" max="10" width="15.85546875" style="319" customWidth="1"/>
    <col min="11" max="12" width="9.140625" style="319"/>
    <col min="13" max="14" width="11" style="319" customWidth="1"/>
    <col min="15" max="16384" width="9.140625" style="319"/>
  </cols>
  <sheetData>
    <row r="1" spans="1:110" s="595" customFormat="1" ht="15" customHeight="1">
      <c r="B1" s="596"/>
      <c r="F1" s="596"/>
    </row>
    <row r="2" spans="1:110" s="241" customFormat="1" ht="10.5" customHeight="1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242"/>
      <c r="AH2" s="242"/>
      <c r="AI2" s="242"/>
      <c r="AJ2" s="242"/>
      <c r="AK2" s="242"/>
      <c r="AL2" s="242"/>
      <c r="AM2" s="242"/>
      <c r="AN2" s="242"/>
      <c r="AO2" s="242"/>
      <c r="AP2" s="242"/>
      <c r="AQ2" s="242"/>
      <c r="AR2" s="242"/>
      <c r="AS2" s="242"/>
      <c r="AT2" s="242"/>
      <c r="AU2" s="242"/>
      <c r="AV2" s="242"/>
      <c r="AW2" s="242"/>
      <c r="AX2" s="242"/>
      <c r="AY2" s="242"/>
      <c r="AZ2" s="242"/>
      <c r="BA2" s="242"/>
      <c r="BB2" s="242"/>
      <c r="BC2" s="242"/>
      <c r="BD2" s="242"/>
      <c r="BE2" s="242"/>
      <c r="BF2" s="242"/>
      <c r="BG2" s="242"/>
      <c r="BH2" s="242"/>
      <c r="BI2" s="242"/>
      <c r="BJ2" s="242"/>
      <c r="BK2" s="242"/>
      <c r="BL2" s="242"/>
      <c r="BM2" s="242"/>
      <c r="BN2" s="242"/>
      <c r="BO2" s="242"/>
      <c r="BP2" s="242"/>
      <c r="BQ2" s="242"/>
      <c r="BR2" s="242"/>
      <c r="BS2" s="242"/>
      <c r="BT2" s="242"/>
      <c r="BU2" s="242"/>
      <c r="BV2" s="242"/>
      <c r="BW2" s="242"/>
      <c r="BX2" s="242"/>
      <c r="BY2" s="242"/>
      <c r="BZ2" s="242"/>
      <c r="CA2" s="242"/>
      <c r="CB2" s="242"/>
      <c r="CC2" s="242"/>
      <c r="CD2" s="242"/>
      <c r="CE2" s="242"/>
      <c r="CF2" s="242"/>
      <c r="CG2" s="242"/>
      <c r="CH2" s="242"/>
      <c r="CI2" s="242"/>
      <c r="CJ2" s="242"/>
      <c r="CK2" s="242"/>
      <c r="CL2" s="242"/>
      <c r="CM2" s="242"/>
      <c r="CN2" s="242"/>
      <c r="CO2" s="242"/>
      <c r="CP2" s="242"/>
      <c r="CQ2" s="242"/>
      <c r="CR2" s="242"/>
      <c r="CS2" s="242"/>
      <c r="CT2" s="242"/>
      <c r="CU2" s="242"/>
      <c r="CV2" s="242"/>
      <c r="CW2" s="242"/>
      <c r="CX2" s="242"/>
      <c r="CY2" s="242"/>
      <c r="CZ2" s="242"/>
      <c r="DA2" s="242"/>
      <c r="DB2" s="242"/>
      <c r="DC2" s="242"/>
      <c r="DD2" s="242"/>
      <c r="DE2" s="242"/>
      <c r="DF2" s="242"/>
    </row>
    <row r="3" spans="1:110" s="241" customFormat="1" ht="10.5" customHeight="1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  <c r="DC3" s="243"/>
      <c r="DD3" s="243"/>
      <c r="DE3" s="243"/>
      <c r="DF3" s="243"/>
    </row>
    <row r="4" spans="1:110" ht="18">
      <c r="A4" s="595"/>
      <c r="B4" s="598"/>
      <c r="C4" s="599"/>
      <c r="D4" s="323"/>
      <c r="E4" s="323"/>
      <c r="F4" s="323"/>
      <c r="G4" s="323"/>
      <c r="H4" s="323"/>
      <c r="I4" s="323"/>
      <c r="L4" s="272"/>
      <c r="M4" s="246">
        <v>43160</v>
      </c>
      <c r="N4" s="246">
        <v>42948</v>
      </c>
      <c r="O4" s="272" t="s">
        <v>1810</v>
      </c>
    </row>
    <row r="5" spans="1:110" ht="18">
      <c r="A5" s="595"/>
      <c r="B5" s="598"/>
      <c r="C5" s="599"/>
      <c r="D5" s="1967" t="s">
        <v>1811</v>
      </c>
      <c r="E5" s="1967"/>
      <c r="F5" s="1967"/>
      <c r="G5" s="1967"/>
      <c r="H5" s="1967"/>
      <c r="I5" s="1967"/>
      <c r="L5" s="324" t="s">
        <v>1765</v>
      </c>
      <c r="M5" s="248">
        <v>1275.9254000000001</v>
      </c>
      <c r="N5" s="248">
        <v>1250.7021</v>
      </c>
      <c r="O5" s="325">
        <f>M5/N5</f>
        <v>1.0201673124239579</v>
      </c>
    </row>
    <row r="6" spans="1:110">
      <c r="A6" s="595"/>
      <c r="B6" s="598"/>
      <c r="C6" s="599"/>
      <c r="D6" s="1663" t="s">
        <v>4</v>
      </c>
      <c r="E6" s="1663" t="s">
        <v>1812</v>
      </c>
      <c r="F6" s="1663" t="s">
        <v>925</v>
      </c>
      <c r="G6" s="1663" t="s">
        <v>1813</v>
      </c>
      <c r="H6" s="1663" t="s">
        <v>1814</v>
      </c>
      <c r="I6" s="1663" t="s">
        <v>1815</v>
      </c>
    </row>
    <row r="7" spans="1:110">
      <c r="A7" s="595"/>
      <c r="B7" s="598"/>
      <c r="C7" s="599"/>
      <c r="D7" s="412"/>
      <c r="E7" s="412"/>
      <c r="F7" s="1664"/>
      <c r="G7" s="413"/>
      <c r="H7" s="413"/>
      <c r="I7" s="413"/>
    </row>
    <row r="8" spans="1:110">
      <c r="A8" s="595"/>
      <c r="B8" s="598"/>
      <c r="C8" s="599"/>
      <c r="D8" s="1665" t="s">
        <v>1816</v>
      </c>
      <c r="E8" s="1666" t="s">
        <v>1817</v>
      </c>
      <c r="F8" s="1667">
        <v>1</v>
      </c>
      <c r="G8" s="1668">
        <f>J8*1.25</f>
        <v>128031.25</v>
      </c>
      <c r="H8" s="1668">
        <f>G8*F8</f>
        <v>128031.25</v>
      </c>
      <c r="I8" s="1669">
        <f>H8*12</f>
        <v>1536375</v>
      </c>
      <c r="J8" s="319">
        <v>102425</v>
      </c>
      <c r="M8" s="326"/>
    </row>
    <row r="9" spans="1:110">
      <c r="A9" s="595"/>
      <c r="B9" s="598"/>
      <c r="C9" s="599"/>
      <c r="D9" s="1665" t="s">
        <v>1818</v>
      </c>
      <c r="E9" s="1666" t="s">
        <v>1776</v>
      </c>
      <c r="F9" s="1667">
        <v>1</v>
      </c>
      <c r="G9" s="1668">
        <f t="shared" ref="G9:G12" si="0">J9*1.25</f>
        <v>63168.75</v>
      </c>
      <c r="H9" s="1668">
        <f t="shared" ref="H9:H13" si="1">G9*F9</f>
        <v>63168.75</v>
      </c>
      <c r="I9" s="1669">
        <f t="shared" ref="I9:I13" si="2">H9*12</f>
        <v>758025</v>
      </c>
      <c r="J9" s="319">
        <v>50535</v>
      </c>
      <c r="M9" s="326"/>
    </row>
    <row r="10" spans="1:110">
      <c r="A10" s="595"/>
      <c r="B10" s="598"/>
      <c r="C10" s="599"/>
      <c r="D10" s="1665" t="s">
        <v>1819</v>
      </c>
      <c r="E10" s="1666" t="s">
        <v>1776</v>
      </c>
      <c r="F10" s="1667">
        <v>1</v>
      </c>
      <c r="G10" s="1668">
        <f t="shared" si="0"/>
        <v>108088.75</v>
      </c>
      <c r="H10" s="1668">
        <f t="shared" si="1"/>
        <v>108088.75</v>
      </c>
      <c r="I10" s="1669">
        <f t="shared" si="2"/>
        <v>1297065</v>
      </c>
      <c r="J10" s="319">
        <v>86471</v>
      </c>
      <c r="M10" s="326"/>
    </row>
    <row r="11" spans="1:110">
      <c r="A11" s="595"/>
      <c r="B11" s="598"/>
      <c r="C11" s="599"/>
      <c r="D11" s="1665" t="s">
        <v>1820</v>
      </c>
      <c r="E11" s="1666" t="s">
        <v>1776</v>
      </c>
      <c r="F11" s="1667">
        <v>1</v>
      </c>
      <c r="G11" s="1668">
        <f t="shared" si="0"/>
        <v>58957.5</v>
      </c>
      <c r="H11" s="1668">
        <f t="shared" si="1"/>
        <v>58957.5</v>
      </c>
      <c r="I11" s="1669">
        <f t="shared" si="2"/>
        <v>707490</v>
      </c>
      <c r="J11" s="319">
        <v>47166</v>
      </c>
      <c r="M11" s="326"/>
    </row>
    <row r="12" spans="1:110">
      <c r="A12" s="595"/>
      <c r="B12" s="598"/>
      <c r="C12" s="599"/>
      <c r="D12" s="1665" t="s">
        <v>1821</v>
      </c>
      <c r="E12" s="1666" t="s">
        <v>1776</v>
      </c>
      <c r="F12" s="1667">
        <v>1</v>
      </c>
      <c r="G12" s="1668">
        <f t="shared" si="0"/>
        <v>49131.25</v>
      </c>
      <c r="H12" s="1668">
        <f t="shared" si="1"/>
        <v>49131.25</v>
      </c>
      <c r="I12" s="1669">
        <f t="shared" si="2"/>
        <v>589575</v>
      </c>
      <c r="J12" s="319">
        <v>39305</v>
      </c>
      <c r="M12" s="326"/>
    </row>
    <row r="13" spans="1:110">
      <c r="A13" s="595"/>
      <c r="B13" s="598"/>
      <c r="C13" s="599"/>
      <c r="D13" s="1665" t="s">
        <v>1822</v>
      </c>
      <c r="E13" s="1666" t="s">
        <v>1823</v>
      </c>
      <c r="F13" s="1667">
        <v>1</v>
      </c>
      <c r="G13" s="1668">
        <v>1500000</v>
      </c>
      <c r="H13" s="1668">
        <f t="shared" si="1"/>
        <v>1500000</v>
      </c>
      <c r="I13" s="1669">
        <f t="shared" si="2"/>
        <v>18000000</v>
      </c>
      <c r="M13" s="326"/>
    </row>
    <row r="14" spans="1:110">
      <c r="A14" s="595"/>
      <c r="B14" s="598"/>
      <c r="C14" s="599"/>
      <c r="D14" s="1665"/>
      <c r="E14" s="1666"/>
      <c r="F14" s="1667"/>
      <c r="G14" s="1668"/>
      <c r="H14" s="1668"/>
      <c r="I14" s="1668"/>
      <c r="L14" s="319">
        <f>500000000/29/12</f>
        <v>1436781.6091954021</v>
      </c>
    </row>
    <row r="15" spans="1:110" ht="19.5" customHeight="1">
      <c r="A15" s="595"/>
      <c r="B15" s="598"/>
      <c r="C15" s="599"/>
      <c r="D15" s="1670" t="s">
        <v>988</v>
      </c>
      <c r="E15" s="1670"/>
      <c r="F15" s="1670"/>
      <c r="G15" s="1670"/>
      <c r="H15" s="1670"/>
      <c r="I15" s="1671">
        <f>SUM(I8:I13)</f>
        <v>22888530</v>
      </c>
    </row>
    <row r="16" spans="1:110">
      <c r="A16" s="595"/>
      <c r="B16" s="598"/>
      <c r="C16" s="599"/>
    </row>
    <row r="17" spans="1:10">
      <c r="A17" s="595"/>
      <c r="B17" s="598"/>
      <c r="C17" s="599"/>
    </row>
    <row r="18" spans="1:10">
      <c r="A18" s="595"/>
      <c r="B18" s="598"/>
      <c r="C18" s="599"/>
    </row>
    <row r="19" spans="1:10" ht="18">
      <c r="A19" s="595"/>
      <c r="B19" s="598"/>
      <c r="C19" s="599"/>
      <c r="D19" s="1967" t="s">
        <v>1824</v>
      </c>
      <c r="E19" s="1967"/>
      <c r="F19" s="1967"/>
      <c r="G19" s="1967"/>
      <c r="H19" s="1967"/>
      <c r="I19" s="1967"/>
    </row>
    <row r="20" spans="1:10">
      <c r="A20" s="595"/>
      <c r="B20" s="598"/>
      <c r="C20" s="599"/>
      <c r="D20" s="1663" t="s">
        <v>4</v>
      </c>
      <c r="E20" s="1663" t="s">
        <v>1812</v>
      </c>
      <c r="F20" s="1663" t="s">
        <v>925</v>
      </c>
      <c r="G20" s="1663" t="s">
        <v>1813</v>
      </c>
      <c r="H20" s="1663" t="s">
        <v>1814</v>
      </c>
      <c r="I20" s="1663" t="s">
        <v>1815</v>
      </c>
    </row>
    <row r="21" spans="1:10">
      <c r="A21" s="595"/>
      <c r="B21" s="598"/>
      <c r="C21" s="599"/>
      <c r="D21" s="412"/>
      <c r="E21" s="1666"/>
      <c r="F21" s="1664"/>
      <c r="G21" s="413"/>
      <c r="H21" s="413"/>
      <c r="I21" s="413"/>
    </row>
    <row r="22" spans="1:10">
      <c r="A22" s="595"/>
      <c r="B22" s="598"/>
      <c r="C22" s="599"/>
      <c r="D22" s="1665" t="s">
        <v>1639</v>
      </c>
      <c r="E22" s="1666" t="s">
        <v>1825</v>
      </c>
      <c r="F22" s="1667">
        <f ca="1">'Sistemas-Manutenção'!L30</f>
        <v>3</v>
      </c>
      <c r="G22" s="1668">
        <f>75*30</f>
        <v>2250</v>
      </c>
      <c r="H22" s="1668">
        <f ca="1">G22*F22</f>
        <v>6750</v>
      </c>
      <c r="I22" s="1669">
        <f ca="1">H22*12</f>
        <v>81000</v>
      </c>
      <c r="J22" s="319">
        <f>75*30</f>
        <v>2250</v>
      </c>
    </row>
    <row r="23" spans="1:10">
      <c r="A23" s="595"/>
      <c r="B23" s="598"/>
      <c r="C23" s="599"/>
      <c r="D23" s="1665" t="s">
        <v>1778</v>
      </c>
      <c r="E23" s="1666" t="s">
        <v>1825</v>
      </c>
      <c r="F23" s="1667"/>
      <c r="G23" s="1668">
        <f>82*30</f>
        <v>2460</v>
      </c>
      <c r="H23" s="1668">
        <f t="shared" ref="H23:H30" si="3">G23*F23</f>
        <v>0</v>
      </c>
      <c r="I23" s="1669">
        <f t="shared" ref="I23:I30" si="4">H23*12</f>
        <v>0</v>
      </c>
    </row>
    <row r="24" spans="1:10">
      <c r="A24" s="595"/>
      <c r="B24" s="598"/>
      <c r="C24" s="599"/>
      <c r="D24" s="1665" t="s">
        <v>1641</v>
      </c>
      <c r="E24" s="1666" t="s">
        <v>1825</v>
      </c>
      <c r="F24" s="1667">
        <f ca="1">'Sistemas-Manutenção'!L31</f>
        <v>26</v>
      </c>
      <c r="G24" s="1668">
        <f>73*30</f>
        <v>2190</v>
      </c>
      <c r="H24" s="1668">
        <f t="shared" ca="1" si="3"/>
        <v>56940</v>
      </c>
      <c r="I24" s="1669">
        <f t="shared" ca="1" si="4"/>
        <v>683280</v>
      </c>
    </row>
    <row r="25" spans="1:10">
      <c r="A25" s="595"/>
      <c r="B25" s="598"/>
      <c r="C25" s="599"/>
      <c r="D25" s="1665" t="s">
        <v>1651</v>
      </c>
      <c r="E25" s="1666" t="s">
        <v>1825</v>
      </c>
      <c r="F25" s="1667"/>
      <c r="G25" s="1668">
        <f>120*30</f>
        <v>3600</v>
      </c>
      <c r="H25" s="1668">
        <f t="shared" si="3"/>
        <v>0</v>
      </c>
      <c r="I25" s="1669">
        <f t="shared" si="4"/>
        <v>0</v>
      </c>
      <c r="J25" s="326">
        <v>764280</v>
      </c>
    </row>
    <row r="26" spans="1:10">
      <c r="A26" s="595"/>
      <c r="B26" s="598"/>
      <c r="C26" s="599"/>
      <c r="D26" s="1665" t="s">
        <v>1642</v>
      </c>
      <c r="E26" s="1666" t="s">
        <v>1826</v>
      </c>
      <c r="F26" s="1667">
        <f ca="1">'Crono Pessoal'!AN190</f>
        <v>35</v>
      </c>
      <c r="G26" s="1668">
        <v>295</v>
      </c>
      <c r="H26" s="1668">
        <f t="shared" ca="1" si="3"/>
        <v>10325</v>
      </c>
      <c r="I26" s="1669">
        <f t="shared" ca="1" si="4"/>
        <v>123900</v>
      </c>
    </row>
    <row r="27" spans="1:10">
      <c r="A27" s="595"/>
      <c r="B27" s="598"/>
      <c r="C27" s="599"/>
      <c r="D27" s="1665" t="s">
        <v>1643</v>
      </c>
      <c r="E27" s="1666" t="s">
        <v>1826</v>
      </c>
      <c r="F27" s="1667">
        <f ca="1">'Crono Pessoal'!AN191</f>
        <v>28</v>
      </c>
      <c r="G27" s="1668">
        <v>525</v>
      </c>
      <c r="H27" s="1668">
        <f t="shared" ca="1" si="3"/>
        <v>14700</v>
      </c>
      <c r="I27" s="1669">
        <f t="shared" ca="1" si="4"/>
        <v>176400</v>
      </c>
      <c r="J27" s="326">
        <v>300300</v>
      </c>
    </row>
    <row r="28" spans="1:10">
      <c r="A28" s="595"/>
      <c r="B28" s="598"/>
      <c r="C28" s="599"/>
      <c r="D28" s="1665" t="s">
        <v>1827</v>
      </c>
      <c r="E28" s="1666" t="s">
        <v>1828</v>
      </c>
      <c r="F28" s="1667">
        <v>8</v>
      </c>
      <c r="G28" s="1668">
        <v>120</v>
      </c>
      <c r="H28" s="1668">
        <f t="shared" si="3"/>
        <v>960</v>
      </c>
      <c r="I28" s="1669">
        <f t="shared" si="4"/>
        <v>11520</v>
      </c>
    </row>
    <row r="29" spans="1:10">
      <c r="A29" s="595"/>
      <c r="B29" s="598"/>
      <c r="C29" s="599"/>
      <c r="D29" s="1665" t="s">
        <v>1829</v>
      </c>
      <c r="E29" s="1666" t="s">
        <v>1828</v>
      </c>
      <c r="F29" s="1667">
        <v>23</v>
      </c>
      <c r="G29" s="1668">
        <v>90</v>
      </c>
      <c r="H29" s="1668">
        <f t="shared" si="3"/>
        <v>2070</v>
      </c>
      <c r="I29" s="1669">
        <f t="shared" si="4"/>
        <v>24840</v>
      </c>
    </row>
    <row r="30" spans="1:10">
      <c r="A30" s="595"/>
      <c r="B30" s="598"/>
      <c r="C30" s="599"/>
      <c r="D30" s="1665" t="s">
        <v>1830</v>
      </c>
      <c r="E30" s="1666" t="s">
        <v>1828</v>
      </c>
      <c r="F30" s="1667">
        <v>12</v>
      </c>
      <c r="G30" s="1668">
        <v>70</v>
      </c>
      <c r="H30" s="1668">
        <f t="shared" si="3"/>
        <v>840</v>
      </c>
      <c r="I30" s="1669">
        <f t="shared" si="4"/>
        <v>10080</v>
      </c>
    </row>
    <row r="31" spans="1:10">
      <c r="A31" s="595"/>
      <c r="B31" s="598"/>
      <c r="C31" s="599"/>
      <c r="D31" s="1665" t="s">
        <v>1831</v>
      </c>
      <c r="E31" s="1666" t="s">
        <v>1828</v>
      </c>
      <c r="F31" s="1667">
        <v>3</v>
      </c>
      <c r="G31" s="1668">
        <v>500</v>
      </c>
      <c r="H31" s="1668">
        <f t="shared" ref="H31" si="5">G31*F31</f>
        <v>1500</v>
      </c>
      <c r="I31" s="1669">
        <f t="shared" ref="I31" si="6">H31*12</f>
        <v>18000</v>
      </c>
      <c r="J31" s="326">
        <v>64440</v>
      </c>
    </row>
    <row r="32" spans="1:10">
      <c r="A32" s="595"/>
      <c r="B32" s="598"/>
      <c r="C32" s="599"/>
      <c r="D32" s="1670" t="s">
        <v>988</v>
      </c>
      <c r="E32" s="1670"/>
      <c r="F32" s="1670"/>
      <c r="G32" s="1670"/>
      <c r="H32" s="1670"/>
      <c r="I32" s="1671">
        <f ca="1">SUM(I22:I27)</f>
        <v>1064580</v>
      </c>
    </row>
    <row r="33" spans="1:3">
      <c r="A33" s="595"/>
      <c r="B33" s="598"/>
      <c r="C33" s="599"/>
    </row>
    <row r="34" spans="1:3">
      <c r="A34" s="595"/>
      <c r="B34" s="598"/>
      <c r="C34" s="599"/>
    </row>
    <row r="35" spans="1:3">
      <c r="A35" s="595"/>
      <c r="B35" s="598"/>
      <c r="C35" s="599"/>
    </row>
    <row r="36" spans="1:3">
      <c r="A36" s="595"/>
      <c r="B36" s="598"/>
      <c r="C36" s="599"/>
    </row>
    <row r="37" spans="1:3">
      <c r="A37" s="595"/>
      <c r="B37" s="598"/>
      <c r="C37" s="599"/>
    </row>
    <row r="38" spans="1:3">
      <c r="A38" s="595"/>
      <c r="B38" s="598"/>
      <c r="C38" s="599"/>
    </row>
    <row r="39" spans="1:3">
      <c r="A39" s="595"/>
      <c r="B39" s="598"/>
      <c r="C39" s="599"/>
    </row>
    <row r="40" spans="1:3">
      <c r="A40" s="595"/>
      <c r="B40" s="598"/>
      <c r="C40" s="599"/>
    </row>
    <row r="41" spans="1:3">
      <c r="A41" s="595"/>
      <c r="B41" s="598"/>
      <c r="C41" s="599"/>
    </row>
    <row r="42" spans="1:3">
      <c r="A42" s="595"/>
      <c r="B42" s="598"/>
      <c r="C42" s="599"/>
    </row>
    <row r="43" spans="1:3">
      <c r="A43" s="595"/>
      <c r="B43" s="598"/>
      <c r="C43" s="599"/>
    </row>
    <row r="44" spans="1:3">
      <c r="A44" s="595"/>
      <c r="B44" s="598"/>
      <c r="C44" s="599"/>
    </row>
    <row r="45" spans="1:3">
      <c r="A45" s="595"/>
      <c r="B45" s="598"/>
      <c r="C45" s="599"/>
    </row>
    <row r="46" spans="1:3">
      <c r="A46" s="595"/>
      <c r="B46" s="598"/>
      <c r="C46" s="599"/>
    </row>
    <row r="47" spans="1:3">
      <c r="A47" s="595"/>
      <c r="B47" s="598"/>
      <c r="C47" s="599"/>
    </row>
    <row r="48" spans="1:3">
      <c r="A48" s="595"/>
      <c r="B48" s="598"/>
      <c r="C48" s="599"/>
    </row>
    <row r="49" spans="1:3">
      <c r="A49" s="595"/>
      <c r="B49" s="598"/>
      <c r="C49" s="599"/>
    </row>
    <row r="50" spans="1:3">
      <c r="A50" s="595"/>
      <c r="B50" s="598"/>
      <c r="C50" s="599"/>
    </row>
    <row r="51" spans="1:3">
      <c r="A51" s="595"/>
      <c r="B51" s="598"/>
      <c r="C51" s="599"/>
    </row>
    <row r="52" spans="1:3">
      <c r="A52" s="595"/>
      <c r="B52" s="598"/>
      <c r="C52" s="599"/>
    </row>
    <row r="53" spans="1:3">
      <c r="A53" s="595"/>
      <c r="B53" s="598"/>
      <c r="C53" s="599"/>
    </row>
    <row r="54" spans="1:3">
      <c r="A54" s="595"/>
      <c r="B54" s="598"/>
      <c r="C54" s="599"/>
    </row>
    <row r="55" spans="1:3">
      <c r="A55" s="595"/>
      <c r="B55" s="598"/>
      <c r="C55" s="599"/>
    </row>
    <row r="56" spans="1:3">
      <c r="A56" s="595"/>
      <c r="B56" s="598"/>
      <c r="C56" s="599"/>
    </row>
    <row r="57" spans="1:3">
      <c r="A57" s="595"/>
      <c r="B57" s="598"/>
      <c r="C57" s="599"/>
    </row>
    <row r="58" spans="1:3">
      <c r="A58" s="595"/>
      <c r="B58" s="598"/>
      <c r="C58" s="599"/>
    </row>
    <row r="59" spans="1:3">
      <c r="A59" s="595"/>
      <c r="B59" s="598"/>
      <c r="C59" s="599"/>
    </row>
    <row r="60" spans="1:3">
      <c r="A60" s="595"/>
      <c r="B60" s="598"/>
      <c r="C60" s="599"/>
    </row>
    <row r="61" spans="1:3">
      <c r="A61" s="595"/>
      <c r="B61" s="598"/>
      <c r="C61" s="243"/>
    </row>
    <row r="62" spans="1:3">
      <c r="A62" s="595"/>
      <c r="B62" s="598"/>
      <c r="C62" s="243"/>
    </row>
    <row r="63" spans="1:3">
      <c r="A63" s="595"/>
      <c r="B63" s="598"/>
      <c r="C63" s="243"/>
    </row>
    <row r="64" spans="1:3">
      <c r="A64" s="595"/>
      <c r="B64" s="598"/>
      <c r="C64" s="243"/>
    </row>
    <row r="65" spans="1:3">
      <c r="A65" s="595"/>
      <c r="B65" s="598"/>
      <c r="C65" s="243"/>
    </row>
    <row r="66" spans="1:3">
      <c r="A66" s="595"/>
      <c r="B66" s="598"/>
      <c r="C66" s="243"/>
    </row>
    <row r="67" spans="1:3">
      <c r="A67" s="595"/>
      <c r="B67" s="598"/>
      <c r="C67" s="243"/>
    </row>
    <row r="68" spans="1:3">
      <c r="A68" s="595"/>
      <c r="B68" s="598"/>
      <c r="C68" s="243"/>
    </row>
    <row r="69" spans="1:3">
      <c r="A69" s="595"/>
      <c r="B69" s="598"/>
      <c r="C69" s="243"/>
    </row>
    <row r="70" spans="1:3">
      <c r="A70" s="595"/>
      <c r="B70" s="598"/>
      <c r="C70" s="243"/>
    </row>
    <row r="71" spans="1:3">
      <c r="A71" s="595"/>
      <c r="B71" s="598"/>
      <c r="C71" s="243"/>
    </row>
    <row r="72" spans="1:3">
      <c r="A72" s="595"/>
      <c r="B72" s="598"/>
      <c r="C72" s="243"/>
    </row>
    <row r="73" spans="1:3">
      <c r="A73" s="595"/>
      <c r="B73" s="598"/>
      <c r="C73" s="243"/>
    </row>
    <row r="74" spans="1:3">
      <c r="A74" s="595"/>
      <c r="B74" s="598"/>
      <c r="C74" s="243"/>
    </row>
    <row r="75" spans="1:3">
      <c r="A75" s="595"/>
      <c r="B75" s="598"/>
      <c r="C75" s="243"/>
    </row>
    <row r="76" spans="1:3">
      <c r="A76" s="595"/>
      <c r="B76" s="598"/>
      <c r="C76" s="243"/>
    </row>
    <row r="77" spans="1:3">
      <c r="A77" s="595"/>
      <c r="B77" s="598"/>
      <c r="C77" s="243"/>
    </row>
    <row r="78" spans="1:3">
      <c r="A78" s="595"/>
      <c r="B78" s="598"/>
      <c r="C78" s="243"/>
    </row>
    <row r="79" spans="1:3">
      <c r="A79" s="595"/>
      <c r="B79" s="598"/>
      <c r="C79" s="243"/>
    </row>
    <row r="80" spans="1:3">
      <c r="A80" s="595"/>
      <c r="B80" s="598"/>
      <c r="C80" s="243"/>
    </row>
    <row r="81" spans="1:3">
      <c r="A81" s="595"/>
      <c r="B81" s="598"/>
      <c r="C81" s="243"/>
    </row>
    <row r="82" spans="1:3">
      <c r="A82" s="595"/>
      <c r="B82" s="598"/>
      <c r="C82" s="243"/>
    </row>
    <row r="83" spans="1:3">
      <c r="A83" s="595"/>
      <c r="B83" s="598"/>
      <c r="C83" s="243"/>
    </row>
    <row r="84" spans="1:3">
      <c r="A84" s="595"/>
      <c r="B84" s="598"/>
      <c r="C84" s="243"/>
    </row>
    <row r="85" spans="1:3">
      <c r="A85" s="595"/>
      <c r="B85" s="598"/>
      <c r="C85" s="243"/>
    </row>
    <row r="86" spans="1:3">
      <c r="A86" s="595"/>
      <c r="B86" s="598"/>
      <c r="C86" s="243"/>
    </row>
    <row r="87" spans="1:3">
      <c r="A87" s="595"/>
      <c r="B87" s="598"/>
      <c r="C87" s="243"/>
    </row>
    <row r="88" spans="1:3">
      <c r="A88" s="595"/>
      <c r="B88" s="598"/>
      <c r="C88" s="243"/>
    </row>
    <row r="89" spans="1:3">
      <c r="A89" s="595"/>
      <c r="B89" s="598"/>
      <c r="C89" s="243"/>
    </row>
    <row r="90" spans="1:3">
      <c r="A90" s="595"/>
      <c r="B90" s="598"/>
      <c r="C90" s="243"/>
    </row>
    <row r="91" spans="1:3">
      <c r="A91" s="595"/>
      <c r="B91" s="598"/>
      <c r="C91" s="243"/>
    </row>
    <row r="92" spans="1:3">
      <c r="A92" s="595"/>
      <c r="B92" s="598"/>
      <c r="C92" s="243"/>
    </row>
    <row r="93" spans="1:3">
      <c r="A93" s="595"/>
      <c r="B93" s="598"/>
      <c r="C93" s="243"/>
    </row>
    <row r="94" spans="1:3">
      <c r="A94" s="595"/>
      <c r="B94" s="598"/>
      <c r="C94" s="243"/>
    </row>
    <row r="95" spans="1:3">
      <c r="A95" s="595"/>
      <c r="B95" s="598"/>
      <c r="C95" s="243"/>
    </row>
    <row r="96" spans="1:3">
      <c r="A96" s="595"/>
      <c r="B96" s="598"/>
      <c r="C96" s="243"/>
    </row>
    <row r="97" spans="1:3">
      <c r="A97" s="595"/>
      <c r="B97" s="598"/>
      <c r="C97" s="243"/>
    </row>
    <row r="98" spans="1:3">
      <c r="A98" s="595"/>
      <c r="B98" s="598"/>
      <c r="C98" s="243"/>
    </row>
    <row r="99" spans="1:3">
      <c r="A99" s="595"/>
      <c r="B99" s="598"/>
      <c r="C99" s="243"/>
    </row>
    <row r="100" spans="1:3">
      <c r="A100" s="595"/>
      <c r="B100" s="242"/>
      <c r="C100" s="243"/>
    </row>
    <row r="101" spans="1:3">
      <c r="A101" s="595"/>
      <c r="B101" s="242"/>
      <c r="C101" s="243"/>
    </row>
    <row r="102" spans="1:3">
      <c r="A102" s="595"/>
      <c r="B102" s="242"/>
      <c r="C102" s="243"/>
    </row>
    <row r="103" spans="1:3">
      <c r="A103" s="595"/>
      <c r="B103" s="242"/>
      <c r="C103" s="243"/>
    </row>
    <row r="104" spans="1:3">
      <c r="A104" s="595"/>
      <c r="B104" s="242"/>
      <c r="C104" s="243"/>
    </row>
    <row r="105" spans="1:3">
      <c r="A105" s="595"/>
      <c r="B105" s="242"/>
      <c r="C105" s="243"/>
    </row>
    <row r="106" spans="1:3">
      <c r="A106" s="595"/>
      <c r="B106" s="242"/>
      <c r="C106" s="243"/>
    </row>
    <row r="107" spans="1:3">
      <c r="A107" s="595"/>
      <c r="B107" s="242"/>
      <c r="C107" s="243"/>
    </row>
    <row r="108" spans="1:3">
      <c r="A108" s="595"/>
      <c r="B108" s="242"/>
      <c r="C108" s="243"/>
    </row>
    <row r="109" spans="1:3">
      <c r="A109" s="595"/>
      <c r="B109" s="242"/>
      <c r="C109" s="243"/>
    </row>
    <row r="110" spans="1:3">
      <c r="A110" s="595"/>
      <c r="B110" s="242"/>
      <c r="C110" s="243"/>
    </row>
    <row r="111" spans="1:3">
      <c r="A111" s="595"/>
      <c r="B111" s="242"/>
      <c r="C111" s="243"/>
    </row>
    <row r="112" spans="1:3">
      <c r="A112" s="595"/>
      <c r="B112" s="242"/>
      <c r="C112" s="243"/>
    </row>
    <row r="113" spans="1:3">
      <c r="A113" s="595"/>
      <c r="B113" s="242"/>
      <c r="C113" s="243"/>
    </row>
    <row r="114" spans="1:3">
      <c r="A114" s="595"/>
      <c r="B114" s="242"/>
      <c r="C114" s="243"/>
    </row>
    <row r="115" spans="1:3">
      <c r="A115" s="595"/>
      <c r="B115" s="242"/>
      <c r="C115" s="243"/>
    </row>
    <row r="116" spans="1:3">
      <c r="A116" s="595"/>
      <c r="B116" s="242"/>
      <c r="C116" s="243"/>
    </row>
    <row r="117" spans="1:3">
      <c r="A117" s="595"/>
      <c r="B117" s="242"/>
      <c r="C117" s="243"/>
    </row>
    <row r="118" spans="1:3">
      <c r="A118" s="595"/>
      <c r="B118" s="242"/>
      <c r="C118" s="243"/>
    </row>
    <row r="119" spans="1:3">
      <c r="A119" s="595"/>
      <c r="B119" s="242"/>
      <c r="C119" s="243"/>
    </row>
    <row r="120" spans="1:3">
      <c r="A120" s="595"/>
      <c r="B120" s="242"/>
      <c r="C120" s="243"/>
    </row>
    <row r="121" spans="1:3">
      <c r="A121" s="595"/>
      <c r="B121" s="242"/>
      <c r="C121" s="243"/>
    </row>
    <row r="122" spans="1:3">
      <c r="A122" s="595"/>
      <c r="B122" s="242"/>
      <c r="C122" s="243"/>
    </row>
    <row r="123" spans="1:3">
      <c r="A123" s="595"/>
      <c r="B123" s="242"/>
      <c r="C123" s="243"/>
    </row>
    <row r="124" spans="1:3">
      <c r="A124" s="595"/>
      <c r="B124" s="242"/>
      <c r="C124" s="243"/>
    </row>
    <row r="125" spans="1:3">
      <c r="A125" s="595"/>
      <c r="B125" s="242"/>
      <c r="C125" s="243"/>
    </row>
    <row r="126" spans="1:3">
      <c r="A126" s="595"/>
      <c r="B126" s="242"/>
      <c r="C126" s="243"/>
    </row>
    <row r="127" spans="1:3">
      <c r="A127" s="595"/>
      <c r="B127" s="242"/>
      <c r="C127" s="243"/>
    </row>
    <row r="128" spans="1:3">
      <c r="A128" s="595"/>
      <c r="B128" s="242"/>
      <c r="C128" s="243"/>
    </row>
    <row r="129" spans="1:3">
      <c r="A129" s="595"/>
      <c r="B129" s="242"/>
      <c r="C129" s="243"/>
    </row>
    <row r="130" spans="1:3">
      <c r="A130" s="595"/>
      <c r="B130" s="242"/>
      <c r="C130" s="243"/>
    </row>
    <row r="131" spans="1:3">
      <c r="A131" s="595"/>
      <c r="B131" s="242"/>
      <c r="C131" s="243"/>
    </row>
    <row r="132" spans="1:3">
      <c r="A132" s="595"/>
      <c r="B132" s="242"/>
      <c r="C132" s="243"/>
    </row>
    <row r="133" spans="1:3">
      <c r="A133" s="595"/>
      <c r="B133" s="242"/>
      <c r="C133" s="243"/>
    </row>
    <row r="134" spans="1:3">
      <c r="A134" s="595"/>
      <c r="B134" s="242"/>
      <c r="C134" s="243"/>
    </row>
    <row r="135" spans="1:3">
      <c r="A135" s="595"/>
      <c r="B135" s="242"/>
      <c r="C135" s="243"/>
    </row>
    <row r="136" spans="1:3">
      <c r="A136" s="595"/>
      <c r="B136" s="242"/>
      <c r="C136" s="243"/>
    </row>
    <row r="137" spans="1:3">
      <c r="A137" s="595"/>
      <c r="B137" s="242"/>
      <c r="C137" s="243"/>
    </row>
    <row r="138" spans="1:3">
      <c r="A138" s="595"/>
      <c r="B138" s="242"/>
      <c r="C138" s="243"/>
    </row>
    <row r="139" spans="1:3">
      <c r="A139" s="595"/>
      <c r="B139" s="242"/>
      <c r="C139" s="243"/>
    </row>
    <row r="140" spans="1:3">
      <c r="A140" s="595"/>
      <c r="B140" s="242"/>
      <c r="C140" s="243"/>
    </row>
    <row r="141" spans="1:3">
      <c r="A141" s="595"/>
      <c r="B141" s="242"/>
      <c r="C141" s="243"/>
    </row>
    <row r="142" spans="1:3">
      <c r="A142" s="595"/>
      <c r="B142" s="242"/>
      <c r="C142" s="243"/>
    </row>
    <row r="143" spans="1:3">
      <c r="A143" s="595"/>
      <c r="B143" s="242"/>
      <c r="C143" s="243"/>
    </row>
    <row r="144" spans="1:3">
      <c r="A144" s="595"/>
      <c r="B144" s="242"/>
      <c r="C144" s="243"/>
    </row>
    <row r="145" spans="1:3">
      <c r="A145" s="595"/>
      <c r="B145" s="242"/>
      <c r="C145" s="243"/>
    </row>
    <row r="146" spans="1:3">
      <c r="A146" s="595"/>
      <c r="B146" s="242"/>
      <c r="C146" s="243"/>
    </row>
    <row r="147" spans="1:3">
      <c r="A147" s="595"/>
      <c r="B147" s="242"/>
      <c r="C147" s="243"/>
    </row>
    <row r="148" spans="1:3">
      <c r="A148" s="595"/>
      <c r="B148" s="242"/>
      <c r="C148" s="243"/>
    </row>
    <row r="149" spans="1:3">
      <c r="A149" s="595"/>
      <c r="B149" s="242"/>
      <c r="C149" s="243"/>
    </row>
    <row r="150" spans="1:3">
      <c r="A150" s="595"/>
      <c r="B150" s="242"/>
      <c r="C150" s="243"/>
    </row>
    <row r="151" spans="1:3">
      <c r="A151" s="595"/>
      <c r="B151" s="242"/>
      <c r="C151" s="243"/>
    </row>
    <row r="152" spans="1:3">
      <c r="A152" s="595"/>
      <c r="B152" s="242"/>
      <c r="C152" s="243"/>
    </row>
    <row r="153" spans="1:3">
      <c r="A153" s="595"/>
      <c r="B153" s="242"/>
      <c r="C153" s="243"/>
    </row>
    <row r="154" spans="1:3">
      <c r="A154" s="595"/>
      <c r="B154" s="242"/>
      <c r="C154" s="243"/>
    </row>
    <row r="155" spans="1:3">
      <c r="A155" s="595"/>
      <c r="B155" s="242"/>
      <c r="C155" s="243"/>
    </row>
    <row r="156" spans="1:3">
      <c r="A156" s="595"/>
      <c r="B156" s="242"/>
      <c r="C156" s="243"/>
    </row>
    <row r="157" spans="1:3">
      <c r="A157" s="595"/>
      <c r="B157" s="242"/>
      <c r="C157" s="243"/>
    </row>
    <row r="158" spans="1:3">
      <c r="A158" s="595"/>
      <c r="B158" s="242"/>
      <c r="C158" s="243"/>
    </row>
    <row r="159" spans="1:3">
      <c r="A159" s="595"/>
      <c r="B159" s="242"/>
      <c r="C159" s="243"/>
    </row>
    <row r="160" spans="1:3">
      <c r="A160" s="595"/>
      <c r="B160" s="242"/>
      <c r="C160" s="243"/>
    </row>
    <row r="161" spans="1:3">
      <c r="A161" s="595"/>
      <c r="B161" s="242"/>
      <c r="C161" s="243"/>
    </row>
    <row r="162" spans="1:3">
      <c r="A162" s="595"/>
      <c r="B162" s="242"/>
      <c r="C162" s="243"/>
    </row>
    <row r="163" spans="1:3">
      <c r="A163" s="595"/>
      <c r="B163" s="242"/>
      <c r="C163" s="243"/>
    </row>
    <row r="164" spans="1:3">
      <c r="A164" s="595"/>
      <c r="B164" s="242"/>
      <c r="C164" s="243"/>
    </row>
    <row r="165" spans="1:3">
      <c r="A165" s="595"/>
      <c r="B165" s="242"/>
      <c r="C165" s="243"/>
    </row>
    <row r="166" spans="1:3">
      <c r="A166" s="595"/>
      <c r="B166" s="242"/>
      <c r="C166" s="243"/>
    </row>
    <row r="167" spans="1:3">
      <c r="A167" s="595"/>
      <c r="B167" s="242"/>
      <c r="C167" s="243"/>
    </row>
    <row r="168" spans="1:3">
      <c r="A168" s="595"/>
      <c r="B168" s="242"/>
      <c r="C168" s="243"/>
    </row>
    <row r="169" spans="1:3">
      <c r="A169" s="595"/>
      <c r="B169" s="242"/>
      <c r="C169" s="243"/>
    </row>
    <row r="170" spans="1:3">
      <c r="A170" s="595"/>
      <c r="B170" s="242"/>
      <c r="C170" s="243"/>
    </row>
    <row r="171" spans="1:3">
      <c r="A171" s="595"/>
      <c r="B171" s="242"/>
      <c r="C171" s="243"/>
    </row>
    <row r="172" spans="1:3">
      <c r="A172" s="595"/>
      <c r="B172" s="242"/>
      <c r="C172" s="243"/>
    </row>
    <row r="173" spans="1:3">
      <c r="A173" s="595"/>
      <c r="B173" s="242"/>
      <c r="C173" s="243"/>
    </row>
    <row r="174" spans="1:3">
      <c r="A174" s="595"/>
      <c r="B174" s="242"/>
      <c r="C174" s="243"/>
    </row>
    <row r="175" spans="1:3">
      <c r="A175" s="595"/>
      <c r="B175" s="242"/>
      <c r="C175" s="243"/>
    </row>
    <row r="176" spans="1:3">
      <c r="A176" s="595"/>
      <c r="B176" s="242"/>
      <c r="C176" s="243"/>
    </row>
    <row r="177" spans="1:3">
      <c r="A177" s="595"/>
      <c r="B177" s="242"/>
      <c r="C177" s="243"/>
    </row>
    <row r="178" spans="1:3">
      <c r="A178" s="595"/>
      <c r="B178" s="242"/>
      <c r="C178" s="243"/>
    </row>
    <row r="179" spans="1:3">
      <c r="A179" s="595"/>
      <c r="B179" s="242"/>
      <c r="C179" s="243"/>
    </row>
    <row r="180" spans="1:3">
      <c r="A180" s="595"/>
      <c r="B180" s="242"/>
      <c r="C180" s="243"/>
    </row>
    <row r="181" spans="1:3">
      <c r="A181" s="595"/>
      <c r="B181" s="242"/>
      <c r="C181" s="243"/>
    </row>
    <row r="182" spans="1:3">
      <c r="A182" s="595"/>
      <c r="B182" s="242"/>
      <c r="C182" s="243"/>
    </row>
    <row r="183" spans="1:3">
      <c r="A183" s="595"/>
      <c r="B183" s="242"/>
      <c r="C183" s="243"/>
    </row>
    <row r="184" spans="1:3">
      <c r="A184" s="595"/>
      <c r="B184" s="242"/>
      <c r="C184" s="243"/>
    </row>
    <row r="185" spans="1:3">
      <c r="A185" s="595"/>
      <c r="B185" s="242"/>
      <c r="C185" s="243"/>
    </row>
    <row r="186" spans="1:3">
      <c r="A186" s="595"/>
      <c r="B186" s="242"/>
      <c r="C186" s="243"/>
    </row>
    <row r="187" spans="1:3">
      <c r="A187" s="595"/>
      <c r="B187" s="242"/>
      <c r="C187" s="243"/>
    </row>
    <row r="188" spans="1:3">
      <c r="A188" s="595"/>
      <c r="B188" s="242"/>
      <c r="C188" s="243"/>
    </row>
    <row r="189" spans="1:3">
      <c r="A189" s="595"/>
      <c r="B189" s="242"/>
      <c r="C189" s="243"/>
    </row>
    <row r="190" spans="1:3">
      <c r="A190" s="595"/>
      <c r="B190" s="242"/>
      <c r="C190" s="243"/>
    </row>
    <row r="191" spans="1:3">
      <c r="A191" s="595"/>
      <c r="B191" s="242"/>
      <c r="C191" s="243"/>
    </row>
    <row r="192" spans="1:3">
      <c r="A192" s="595"/>
      <c r="B192" s="242"/>
      <c r="C192" s="243"/>
    </row>
    <row r="193" spans="1:3">
      <c r="A193" s="595"/>
      <c r="B193" s="242"/>
      <c r="C193" s="243"/>
    </row>
    <row r="194" spans="1:3">
      <c r="A194" s="595"/>
      <c r="B194" s="242"/>
      <c r="C194" s="243"/>
    </row>
    <row r="195" spans="1:3">
      <c r="A195" s="595"/>
      <c r="B195" s="242"/>
      <c r="C195" s="243"/>
    </row>
    <row r="196" spans="1:3">
      <c r="A196" s="595"/>
      <c r="B196" s="242"/>
      <c r="C196" s="243"/>
    </row>
    <row r="197" spans="1:3">
      <c r="A197" s="595"/>
      <c r="B197" s="242"/>
      <c r="C197" s="243"/>
    </row>
    <row r="198" spans="1:3">
      <c r="A198" s="595"/>
      <c r="B198" s="242"/>
      <c r="C198" s="243"/>
    </row>
    <row r="199" spans="1:3">
      <c r="A199" s="595"/>
      <c r="B199" s="242"/>
      <c r="C199" s="243"/>
    </row>
    <row r="200" spans="1:3">
      <c r="A200" s="595"/>
      <c r="B200" s="242"/>
      <c r="C200" s="243"/>
    </row>
    <row r="201" spans="1:3">
      <c r="A201" s="595"/>
      <c r="B201" s="242"/>
      <c r="C201" s="243"/>
    </row>
    <row r="202" spans="1:3">
      <c r="A202" s="595"/>
      <c r="B202" s="242"/>
      <c r="C202" s="243"/>
    </row>
    <row r="203" spans="1:3">
      <c r="A203" s="595"/>
      <c r="B203" s="242"/>
      <c r="C203" s="243"/>
    </row>
    <row r="204" spans="1:3">
      <c r="A204" s="595"/>
      <c r="B204" s="242"/>
      <c r="C204" s="243"/>
    </row>
    <row r="205" spans="1:3">
      <c r="A205" s="595"/>
      <c r="B205" s="242"/>
      <c r="C205" s="243"/>
    </row>
    <row r="206" spans="1:3">
      <c r="A206" s="595"/>
      <c r="B206" s="242"/>
      <c r="C206" s="243"/>
    </row>
    <row r="207" spans="1:3">
      <c r="A207" s="595"/>
      <c r="B207" s="242"/>
      <c r="C207" s="243"/>
    </row>
    <row r="208" spans="1:3">
      <c r="A208" s="595"/>
      <c r="B208" s="242"/>
      <c r="C208" s="243"/>
    </row>
    <row r="209" spans="1:3">
      <c r="A209" s="595"/>
      <c r="B209" s="242"/>
      <c r="C209" s="243"/>
    </row>
    <row r="210" spans="1:3">
      <c r="A210" s="595"/>
      <c r="B210" s="242"/>
      <c r="C210" s="243"/>
    </row>
    <row r="211" spans="1:3">
      <c r="A211" s="595"/>
      <c r="B211" s="242"/>
      <c r="C211" s="243"/>
    </row>
    <row r="212" spans="1:3">
      <c r="A212" s="595"/>
      <c r="B212" s="242"/>
      <c r="C212" s="243"/>
    </row>
    <row r="213" spans="1:3">
      <c r="A213" s="595"/>
      <c r="B213" s="242"/>
      <c r="C213" s="243"/>
    </row>
    <row r="214" spans="1:3">
      <c r="A214" s="595"/>
      <c r="B214" s="242"/>
      <c r="C214" s="243"/>
    </row>
    <row r="215" spans="1:3">
      <c r="A215" s="595"/>
      <c r="B215" s="242"/>
      <c r="C215" s="243"/>
    </row>
    <row r="216" spans="1:3">
      <c r="A216" s="595"/>
      <c r="B216" s="242"/>
      <c r="C216" s="243"/>
    </row>
    <row r="217" spans="1:3">
      <c r="A217" s="595"/>
      <c r="B217" s="242"/>
      <c r="C217" s="243"/>
    </row>
    <row r="218" spans="1:3">
      <c r="A218" s="595"/>
      <c r="B218" s="242"/>
      <c r="C218" s="243"/>
    </row>
    <row r="219" spans="1:3">
      <c r="A219" s="595"/>
      <c r="B219" s="242"/>
      <c r="C219" s="243"/>
    </row>
    <row r="220" spans="1:3">
      <c r="A220" s="595"/>
      <c r="B220" s="242"/>
      <c r="C220" s="243"/>
    </row>
    <row r="221" spans="1:3">
      <c r="A221" s="595"/>
      <c r="B221" s="242"/>
      <c r="C221" s="243"/>
    </row>
    <row r="222" spans="1:3">
      <c r="A222" s="595"/>
      <c r="B222" s="242"/>
      <c r="C222" s="243"/>
    </row>
    <row r="223" spans="1:3">
      <c r="A223" s="595"/>
      <c r="B223" s="242"/>
      <c r="C223" s="243"/>
    </row>
    <row r="224" spans="1:3">
      <c r="A224" s="595"/>
      <c r="B224" s="242"/>
      <c r="C224" s="243"/>
    </row>
    <row r="225" spans="1:3">
      <c r="A225" s="595"/>
      <c r="B225" s="242"/>
      <c r="C225" s="243"/>
    </row>
    <row r="226" spans="1:3">
      <c r="A226" s="595"/>
      <c r="B226" s="242"/>
      <c r="C226" s="243"/>
    </row>
    <row r="227" spans="1:3">
      <c r="A227" s="595"/>
      <c r="B227" s="242"/>
      <c r="C227" s="243"/>
    </row>
    <row r="228" spans="1:3">
      <c r="A228" s="595"/>
      <c r="B228" s="242"/>
      <c r="C228" s="243"/>
    </row>
    <row r="229" spans="1:3">
      <c r="A229" s="595"/>
      <c r="B229" s="242"/>
      <c r="C229" s="243"/>
    </row>
    <row r="230" spans="1:3">
      <c r="A230" s="595"/>
      <c r="B230" s="242"/>
      <c r="C230" s="243"/>
    </row>
    <row r="231" spans="1:3">
      <c r="A231" s="595"/>
      <c r="B231" s="242"/>
      <c r="C231" s="243"/>
    </row>
    <row r="232" spans="1:3">
      <c r="A232" s="595"/>
      <c r="B232" s="242"/>
      <c r="C232" s="243"/>
    </row>
    <row r="233" spans="1:3">
      <c r="A233" s="595"/>
      <c r="B233" s="242"/>
      <c r="C233" s="243"/>
    </row>
    <row r="234" spans="1:3">
      <c r="A234" s="595"/>
      <c r="B234" s="242"/>
      <c r="C234" s="243"/>
    </row>
    <row r="235" spans="1:3">
      <c r="A235" s="595"/>
      <c r="B235" s="242"/>
      <c r="C235" s="243"/>
    </row>
    <row r="236" spans="1:3">
      <c r="A236" s="595"/>
      <c r="B236" s="242"/>
      <c r="C236" s="243"/>
    </row>
    <row r="237" spans="1:3">
      <c r="A237" s="595"/>
      <c r="B237" s="242"/>
      <c r="C237" s="243"/>
    </row>
    <row r="238" spans="1:3">
      <c r="A238" s="595"/>
      <c r="B238" s="242"/>
      <c r="C238" s="243"/>
    </row>
    <row r="239" spans="1:3">
      <c r="A239" s="595"/>
      <c r="B239" s="242"/>
      <c r="C239" s="243"/>
    </row>
    <row r="240" spans="1:3">
      <c r="A240" s="595"/>
      <c r="B240" s="242"/>
      <c r="C240" s="243"/>
    </row>
    <row r="241" spans="1:3">
      <c r="A241" s="595"/>
      <c r="B241" s="242"/>
      <c r="C241" s="243"/>
    </row>
    <row r="242" spans="1:3">
      <c r="A242" s="595"/>
      <c r="B242" s="242"/>
      <c r="C242" s="243"/>
    </row>
    <row r="243" spans="1:3">
      <c r="A243" s="595"/>
      <c r="B243" s="242"/>
      <c r="C243" s="243"/>
    </row>
    <row r="244" spans="1:3">
      <c r="A244" s="595"/>
      <c r="B244" s="242"/>
      <c r="C244" s="243"/>
    </row>
    <row r="245" spans="1:3">
      <c r="A245" s="595"/>
      <c r="B245" s="242"/>
      <c r="C245" s="243"/>
    </row>
    <row r="246" spans="1:3">
      <c r="A246" s="595"/>
      <c r="B246" s="242"/>
      <c r="C246" s="243"/>
    </row>
    <row r="247" spans="1:3">
      <c r="A247" s="595"/>
      <c r="B247" s="242"/>
      <c r="C247" s="243"/>
    </row>
    <row r="248" spans="1:3">
      <c r="A248" s="595"/>
      <c r="B248" s="242"/>
      <c r="C248" s="243"/>
    </row>
    <row r="249" spans="1:3">
      <c r="A249" s="595"/>
      <c r="B249" s="242"/>
      <c r="C249" s="243"/>
    </row>
    <row r="250" spans="1:3">
      <c r="A250" s="595"/>
      <c r="B250" s="242"/>
      <c r="C250" s="243"/>
    </row>
    <row r="251" spans="1:3">
      <c r="A251" s="595"/>
      <c r="B251" s="242"/>
      <c r="C251" s="243"/>
    </row>
    <row r="252" spans="1:3">
      <c r="A252" s="595"/>
      <c r="B252" s="242"/>
      <c r="C252" s="243"/>
    </row>
    <row r="253" spans="1:3">
      <c r="A253" s="595"/>
      <c r="B253" s="242"/>
      <c r="C253" s="243"/>
    </row>
    <row r="254" spans="1:3">
      <c r="A254" s="595"/>
      <c r="B254" s="242"/>
      <c r="C254" s="243"/>
    </row>
    <row r="255" spans="1:3">
      <c r="A255" s="595"/>
      <c r="B255" s="242"/>
      <c r="C255" s="243"/>
    </row>
    <row r="256" spans="1:3">
      <c r="A256" s="595"/>
      <c r="B256" s="242"/>
      <c r="C256" s="243"/>
    </row>
    <row r="257" spans="1:3">
      <c r="A257" s="595"/>
      <c r="B257" s="242"/>
      <c r="C257" s="243"/>
    </row>
    <row r="258" spans="1:3">
      <c r="A258" s="595"/>
      <c r="B258" s="242"/>
      <c r="C258" s="243"/>
    </row>
    <row r="259" spans="1:3">
      <c r="A259" s="595"/>
      <c r="B259" s="242"/>
      <c r="C259" s="243"/>
    </row>
    <row r="260" spans="1:3">
      <c r="A260" s="595"/>
      <c r="B260" s="242"/>
      <c r="C260" s="243"/>
    </row>
    <row r="261" spans="1:3">
      <c r="A261" s="595"/>
      <c r="B261" s="242"/>
      <c r="C261" s="243"/>
    </row>
    <row r="262" spans="1:3">
      <c r="A262" s="595"/>
      <c r="B262" s="242"/>
      <c r="C262" s="243"/>
    </row>
    <row r="263" spans="1:3">
      <c r="A263" s="595"/>
      <c r="B263" s="242"/>
      <c r="C263" s="243"/>
    </row>
    <row r="264" spans="1:3">
      <c r="A264" s="595"/>
      <c r="B264" s="242"/>
      <c r="C264" s="243"/>
    </row>
    <row r="265" spans="1:3">
      <c r="A265" s="595"/>
      <c r="B265" s="242"/>
      <c r="C265" s="243"/>
    </row>
  </sheetData>
  <mergeCells count="2">
    <mergeCell ref="D5:I5"/>
    <mergeCell ref="D19:I19"/>
  </mergeCells>
  <pageMargins left="0.511811024" right="0.511811024" top="0.78740157499999996" bottom="0.78740157499999996" header="0.31496062000000002" footer="0.3149606200000000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Plan3">
    <tabColor rgb="FFFF00FF"/>
  </sheetPr>
  <dimension ref="A1:DC225"/>
  <sheetViews>
    <sheetView showGridLines="0" workbookViewId="0">
      <pane xSplit="6" ySplit="4" topLeftCell="G74" activePane="bottomRight" state="frozen"/>
      <selection pane="topRight" activeCell="G1" sqref="G1"/>
      <selection pane="bottomLeft" activeCell="A5" sqref="A5"/>
      <selection pane="bottomRight" activeCell="I81" sqref="I81"/>
    </sheetView>
  </sheetViews>
  <sheetFormatPr defaultColWidth="9.140625" defaultRowHeight="15"/>
  <cols>
    <col min="1" max="1" width="2.28515625" style="747" customWidth="1"/>
    <col min="2" max="2" width="2.28515625" style="42" customWidth="1"/>
    <col min="3" max="3" width="10.7109375" style="42" customWidth="1"/>
    <col min="4" max="4" width="14.140625" style="378" customWidth="1"/>
    <col min="5" max="5" width="55.140625" style="430" bestFit="1" customWidth="1"/>
    <col min="6" max="6" width="9.140625" style="49"/>
    <col min="7" max="8" width="13.85546875" style="40" bestFit="1" customWidth="1"/>
    <col min="9" max="9" width="13.7109375" style="51" bestFit="1" customWidth="1"/>
    <col min="10" max="11" width="9.140625" style="42"/>
    <col min="12" max="12" width="11.42578125" style="42" customWidth="1"/>
    <col min="13" max="13" width="10.7109375" style="42" customWidth="1"/>
    <col min="14" max="16384" width="9.140625" style="42"/>
  </cols>
  <sheetData>
    <row r="1" spans="1:107" s="595" customFormat="1" ht="15" customHeight="1">
      <c r="B1" s="596"/>
      <c r="D1" s="745"/>
      <c r="E1" s="746"/>
    </row>
    <row r="2" spans="1:107" s="241" customFormat="1" ht="10.5" customHeight="1">
      <c r="A2" s="595"/>
      <c r="B2" s="598"/>
      <c r="C2" s="598"/>
      <c r="D2" s="748"/>
      <c r="E2" s="664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598"/>
      <c r="AI2" s="598"/>
      <c r="AJ2" s="598"/>
      <c r="AK2" s="242"/>
      <c r="AL2" s="242"/>
      <c r="AM2" s="242"/>
      <c r="AN2" s="242"/>
      <c r="AO2" s="242"/>
      <c r="AP2" s="242"/>
      <c r="AQ2" s="242"/>
      <c r="AR2" s="242"/>
      <c r="AS2" s="242"/>
      <c r="AT2" s="242"/>
      <c r="AU2" s="242"/>
      <c r="AV2" s="242"/>
      <c r="AW2" s="242"/>
      <c r="AX2" s="242"/>
      <c r="AY2" s="242"/>
      <c r="AZ2" s="242"/>
      <c r="BA2" s="242"/>
      <c r="BB2" s="242"/>
      <c r="BC2" s="242"/>
      <c r="BD2" s="242"/>
      <c r="BE2" s="242"/>
      <c r="BF2" s="242"/>
      <c r="BG2" s="242"/>
      <c r="BH2" s="242"/>
      <c r="BI2" s="242"/>
      <c r="BJ2" s="242"/>
      <c r="BK2" s="242"/>
      <c r="BL2" s="242"/>
      <c r="BM2" s="242"/>
      <c r="BN2" s="242"/>
      <c r="BO2" s="242"/>
      <c r="BP2" s="242"/>
      <c r="BQ2" s="242"/>
      <c r="BR2" s="242"/>
      <c r="BS2" s="242"/>
      <c r="BT2" s="242"/>
      <c r="BU2" s="242"/>
      <c r="BV2" s="242"/>
      <c r="BW2" s="242"/>
      <c r="BX2" s="242"/>
      <c r="BY2" s="242"/>
      <c r="BZ2" s="242"/>
      <c r="CA2" s="242"/>
      <c r="CB2" s="242"/>
      <c r="CC2" s="242"/>
      <c r="CD2" s="242"/>
      <c r="CE2" s="242"/>
      <c r="CF2" s="242"/>
      <c r="CG2" s="242"/>
      <c r="CH2" s="242"/>
      <c r="CI2" s="242"/>
      <c r="CJ2" s="242"/>
      <c r="CK2" s="242"/>
      <c r="CL2" s="242"/>
      <c r="CM2" s="242"/>
      <c r="CN2" s="242"/>
      <c r="CO2" s="242"/>
      <c r="CP2" s="242"/>
      <c r="CQ2" s="242"/>
      <c r="CR2" s="242"/>
      <c r="CS2" s="242"/>
      <c r="CT2" s="242"/>
      <c r="CU2" s="242"/>
      <c r="CV2" s="242"/>
      <c r="CW2" s="242"/>
      <c r="CX2" s="242"/>
      <c r="CY2" s="242"/>
      <c r="CZ2" s="242"/>
      <c r="DA2" s="242"/>
      <c r="DB2" s="242"/>
      <c r="DC2" s="242"/>
    </row>
    <row r="3" spans="1:107" s="241" customFormat="1" ht="10.5" customHeight="1">
      <c r="A3" s="595"/>
      <c r="B3" s="598"/>
      <c r="C3" s="599"/>
      <c r="D3" s="750"/>
      <c r="E3" s="668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599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  <c r="DC3" s="243"/>
    </row>
    <row r="4" spans="1:107" ht="43.5" customHeight="1">
      <c r="A4" s="595"/>
      <c r="B4" s="598"/>
      <c r="C4" s="599"/>
      <c r="D4" s="752" t="s">
        <v>472</v>
      </c>
      <c r="E4" s="753" t="s">
        <v>1548</v>
      </c>
      <c r="F4" s="754" t="s">
        <v>1549</v>
      </c>
      <c r="G4" s="755" t="s">
        <v>2053</v>
      </c>
      <c r="H4" s="755" t="s">
        <v>2053</v>
      </c>
      <c r="I4" s="755" t="s">
        <v>1832</v>
      </c>
      <c r="K4" s="1672" t="s">
        <v>1833</v>
      </c>
      <c r="L4" s="1673">
        <v>42948</v>
      </c>
      <c r="M4" s="1673">
        <v>45200</v>
      </c>
      <c r="N4" s="1672" t="s">
        <v>1834</v>
      </c>
      <c r="O4" s="1672"/>
    </row>
    <row r="5" spans="1:107">
      <c r="A5" s="595"/>
      <c r="B5" s="598"/>
      <c r="C5" s="599"/>
      <c r="G5" s="50"/>
      <c r="H5" s="50"/>
      <c r="K5" s="1672"/>
      <c r="L5" s="1728">
        <v>712.88400000000001</v>
      </c>
      <c r="M5" s="1728">
        <v>1084.242</v>
      </c>
      <c r="N5" s="1674">
        <f>M5/L5</f>
        <v>1.5209234601982931</v>
      </c>
      <c r="O5" s="1672"/>
    </row>
    <row r="6" spans="1:107">
      <c r="A6" s="595"/>
      <c r="B6" s="598"/>
      <c r="C6" s="599"/>
      <c r="G6" s="50"/>
      <c r="H6" s="50"/>
      <c r="K6" s="1672"/>
      <c r="L6" s="1672"/>
      <c r="M6" s="1672"/>
      <c r="N6" s="1672"/>
      <c r="O6" s="1672"/>
    </row>
    <row r="7" spans="1:107">
      <c r="A7" s="595"/>
      <c r="B7" s="598"/>
      <c r="C7" s="599"/>
      <c r="G7" s="50"/>
      <c r="H7" s="50"/>
      <c r="K7" s="1672"/>
      <c r="L7" s="1675"/>
      <c r="M7" s="1676" t="s">
        <v>1835</v>
      </c>
      <c r="N7" s="1677">
        <f>BDI!L33</f>
        <v>0.22459999999999999</v>
      </c>
      <c r="O7" s="1672"/>
    </row>
    <row r="8" spans="1:107">
      <c r="A8" s="595"/>
      <c r="B8" s="598"/>
      <c r="C8" s="599"/>
      <c r="G8" s="50"/>
      <c r="H8" s="50"/>
    </row>
    <row r="9" spans="1:107">
      <c r="A9" s="595"/>
      <c r="B9" s="598"/>
      <c r="C9" s="599"/>
      <c r="G9" s="50"/>
      <c r="H9" s="50"/>
      <c r="K9" s="42" t="s">
        <v>2110</v>
      </c>
      <c r="L9" s="49" t="s">
        <v>2111</v>
      </c>
    </row>
    <row r="10" spans="1:107" s="1737" customFormat="1" ht="60">
      <c r="A10" s="1729"/>
      <c r="B10" s="1730"/>
      <c r="C10" s="1731" t="s">
        <v>2054</v>
      </c>
      <c r="D10" s="1732">
        <v>43333</v>
      </c>
      <c r="E10" s="1733" t="s">
        <v>1434</v>
      </c>
      <c r="F10" s="1734" t="s">
        <v>339</v>
      </c>
      <c r="G10" s="1735">
        <v>0.47</v>
      </c>
      <c r="H10" s="1735">
        <f>IF(G10=K10,G10,G10*$N$5)</f>
        <v>0.47</v>
      </c>
      <c r="I10" s="1736">
        <f>ROUND(H10*(1+$N$7),2)</f>
        <v>0.57999999999999996</v>
      </c>
      <c r="K10" s="1737">
        <v>0.47</v>
      </c>
      <c r="L10" s="1735">
        <v>0.28000000000000003</v>
      </c>
    </row>
    <row r="11" spans="1:107" s="1737" customFormat="1" ht="45">
      <c r="A11" s="1729"/>
      <c r="B11" s="1730"/>
      <c r="C11" s="1731" t="s">
        <v>2112</v>
      </c>
      <c r="D11" s="1732">
        <v>40151</v>
      </c>
      <c r="E11" s="1733" t="s">
        <v>1436</v>
      </c>
      <c r="F11" s="1734" t="s">
        <v>413</v>
      </c>
      <c r="G11" s="1735">
        <v>7.96</v>
      </c>
      <c r="H11" s="1735">
        <f t="shared" ref="H11:H74" si="0">IF(G11=K11,G11,G11*$N$5)</f>
        <v>7.96</v>
      </c>
      <c r="I11" s="1736">
        <f t="shared" ref="I11:I12" si="1">ROUND(H11*(1+$N$7),2)</f>
        <v>9.75</v>
      </c>
      <c r="K11" s="1737">
        <v>7.96</v>
      </c>
      <c r="L11" s="1735">
        <v>6.64</v>
      </c>
    </row>
    <row r="12" spans="1:107" s="1737" customFormat="1">
      <c r="A12" s="1729"/>
      <c r="B12" s="1730"/>
      <c r="C12" s="1731" t="s">
        <v>2055</v>
      </c>
      <c r="D12" s="1732">
        <v>40249</v>
      </c>
      <c r="E12" s="1733" t="s">
        <v>1437</v>
      </c>
      <c r="F12" s="1734" t="s">
        <v>413</v>
      </c>
      <c r="G12" s="1735">
        <v>4.0199999999999996</v>
      </c>
      <c r="H12" s="1735">
        <f t="shared" si="0"/>
        <v>4.0199999999999996</v>
      </c>
      <c r="I12" s="1736">
        <f t="shared" si="1"/>
        <v>4.92</v>
      </c>
      <c r="K12" s="1737">
        <v>4.0199999999999996</v>
      </c>
      <c r="L12" s="1735">
        <v>2.52</v>
      </c>
    </row>
    <row r="13" spans="1:107" s="1737" customFormat="1" ht="45">
      <c r="A13" s="1729"/>
      <c r="B13" s="1730"/>
      <c r="C13" s="1731" t="s">
        <v>2056</v>
      </c>
      <c r="D13" s="1732">
        <v>42456</v>
      </c>
      <c r="E13" s="1733" t="s">
        <v>1439</v>
      </c>
      <c r="F13" s="1734" t="s">
        <v>392</v>
      </c>
      <c r="G13" s="1735">
        <v>633.4</v>
      </c>
      <c r="H13" s="1735">
        <f t="shared" si="0"/>
        <v>633.4</v>
      </c>
      <c r="I13" s="1736">
        <f t="shared" ref="I13:I24" si="2">ROUND(H13*(1+$N$7),2)</f>
        <v>775.66</v>
      </c>
      <c r="K13" s="1737">
        <v>633.4</v>
      </c>
      <c r="L13" s="1735">
        <v>366.43</v>
      </c>
    </row>
    <row r="14" spans="1:107" s="1737" customFormat="1" ht="30">
      <c r="A14" s="1729"/>
      <c r="B14" s="1730"/>
      <c r="C14" s="1731" t="s">
        <v>2057</v>
      </c>
      <c r="D14" s="1732">
        <v>41558</v>
      </c>
      <c r="E14" s="1733" t="s">
        <v>1440</v>
      </c>
      <c r="F14" s="1734" t="s">
        <v>339</v>
      </c>
      <c r="G14" s="1735">
        <v>94.46</v>
      </c>
      <c r="H14" s="1735">
        <f t="shared" si="0"/>
        <v>94.46</v>
      </c>
      <c r="I14" s="1736">
        <f t="shared" si="2"/>
        <v>115.68</v>
      </c>
      <c r="K14" s="1737">
        <v>94.46</v>
      </c>
      <c r="L14" s="1735">
        <v>49.72</v>
      </c>
    </row>
    <row r="15" spans="1:107" s="1737" customFormat="1" ht="45">
      <c r="A15" s="1729"/>
      <c r="B15" s="1730"/>
      <c r="C15" s="1731" t="s">
        <v>2058</v>
      </c>
      <c r="D15" s="1732">
        <v>41387</v>
      </c>
      <c r="E15" s="1733" t="s">
        <v>1441</v>
      </c>
      <c r="F15" s="1734" t="s">
        <v>1442</v>
      </c>
      <c r="G15" s="1735">
        <v>9.39</v>
      </c>
      <c r="H15" s="1735">
        <f t="shared" si="0"/>
        <v>9.39</v>
      </c>
      <c r="I15" s="1736">
        <f t="shared" si="2"/>
        <v>11.5</v>
      </c>
      <c r="K15" s="1737">
        <v>9.39</v>
      </c>
      <c r="L15" s="1735">
        <v>6.5</v>
      </c>
    </row>
    <row r="16" spans="1:107" s="1737" customFormat="1" ht="45">
      <c r="A16" s="1729"/>
      <c r="B16" s="1730"/>
      <c r="C16" s="1731" t="s">
        <v>2059</v>
      </c>
      <c r="D16" s="1732">
        <v>40989</v>
      </c>
      <c r="E16" s="1733" t="s">
        <v>1443</v>
      </c>
      <c r="F16" s="1734" t="s">
        <v>416</v>
      </c>
      <c r="G16" s="1735">
        <v>399.71</v>
      </c>
      <c r="H16" s="1735">
        <f t="shared" si="0"/>
        <v>399.71</v>
      </c>
      <c r="I16" s="1736">
        <f t="shared" si="2"/>
        <v>489.48</v>
      </c>
      <c r="K16" s="1737">
        <v>399.71</v>
      </c>
      <c r="L16" s="1735">
        <v>247.09</v>
      </c>
    </row>
    <row r="17" spans="1:12" s="1737" customFormat="1" ht="45">
      <c r="A17" s="1729"/>
      <c r="B17" s="1730"/>
      <c r="C17" s="1731" t="s">
        <v>2060</v>
      </c>
      <c r="D17" s="1732">
        <v>40638</v>
      </c>
      <c r="E17" s="1733" t="s">
        <v>1446</v>
      </c>
      <c r="F17" s="1734" t="s">
        <v>416</v>
      </c>
      <c r="G17" s="1735">
        <v>60.34</v>
      </c>
      <c r="H17" s="1735">
        <f t="shared" si="0"/>
        <v>60.34</v>
      </c>
      <c r="I17" s="1736">
        <f t="shared" si="2"/>
        <v>73.89</v>
      </c>
      <c r="K17" s="1737">
        <v>60.34</v>
      </c>
      <c r="L17" s="1735">
        <v>35.369999999999997</v>
      </c>
    </row>
    <row r="18" spans="1:12" s="1737" customFormat="1" ht="45">
      <c r="A18" s="1729"/>
      <c r="B18" s="1730"/>
      <c r="C18" s="1731" t="s">
        <v>2061</v>
      </c>
      <c r="D18" s="1732">
        <v>40654</v>
      </c>
      <c r="E18" s="1733" t="s">
        <v>1447</v>
      </c>
      <c r="F18" s="1734" t="s">
        <v>416</v>
      </c>
      <c r="G18" s="1735">
        <v>65.069999999999993</v>
      </c>
      <c r="H18" s="1735">
        <f t="shared" si="0"/>
        <v>65.069999999999993</v>
      </c>
      <c r="I18" s="1736">
        <f t="shared" si="2"/>
        <v>79.680000000000007</v>
      </c>
      <c r="K18" s="1737">
        <v>65.069999999999993</v>
      </c>
      <c r="L18" s="1735">
        <v>41.36</v>
      </c>
    </row>
    <row r="19" spans="1:12" s="1737" customFormat="1" ht="45">
      <c r="A19" s="1729"/>
      <c r="B19" s="1730"/>
      <c r="C19" s="1731" t="s">
        <v>2062</v>
      </c>
      <c r="D19" s="1732">
        <v>42467</v>
      </c>
      <c r="E19" s="1733" t="s">
        <v>1836</v>
      </c>
      <c r="F19" s="1734" t="s">
        <v>392</v>
      </c>
      <c r="G19" s="1735">
        <v>443.37</v>
      </c>
      <c r="H19" s="1735">
        <f t="shared" si="0"/>
        <v>443.37</v>
      </c>
      <c r="I19" s="1736">
        <f t="shared" si="2"/>
        <v>542.95000000000005</v>
      </c>
      <c r="K19" s="1737">
        <v>443.37</v>
      </c>
      <c r="L19" s="1735">
        <v>255.28</v>
      </c>
    </row>
    <row r="20" spans="1:12" s="1737" customFormat="1" ht="30">
      <c r="A20" s="1729"/>
      <c r="B20" s="1730"/>
      <c r="C20" s="1731" t="s">
        <v>2063</v>
      </c>
      <c r="D20" s="1732" t="s">
        <v>1452</v>
      </c>
      <c r="E20" s="1733" t="s">
        <v>1453</v>
      </c>
      <c r="F20" s="1734" t="s">
        <v>339</v>
      </c>
      <c r="G20" s="1738">
        <v>70.28</v>
      </c>
      <c r="H20" s="1735">
        <f t="shared" si="0"/>
        <v>106.89050078273604</v>
      </c>
      <c r="I20" s="1736">
        <f t="shared" si="2"/>
        <v>130.9</v>
      </c>
      <c r="L20" s="1738">
        <v>70.28</v>
      </c>
    </row>
    <row r="21" spans="1:12" s="1737" customFormat="1" ht="30">
      <c r="A21" s="1729"/>
      <c r="B21" s="1730"/>
      <c r="C21" s="1731" t="s">
        <v>2064</v>
      </c>
      <c r="D21" s="1732">
        <v>41081</v>
      </c>
      <c r="E21" s="1733" t="s">
        <v>1455</v>
      </c>
      <c r="F21" s="1734" t="s">
        <v>339</v>
      </c>
      <c r="G21" s="1735">
        <v>1.18</v>
      </c>
      <c r="H21" s="1735">
        <f t="shared" si="0"/>
        <v>1.18</v>
      </c>
      <c r="I21" s="1736">
        <f t="shared" si="2"/>
        <v>1.45</v>
      </c>
      <c r="K21" s="1737">
        <v>1.18</v>
      </c>
      <c r="L21" s="1735">
        <v>0.83</v>
      </c>
    </row>
    <row r="22" spans="1:12" s="1737" customFormat="1" ht="75">
      <c r="A22" s="1729"/>
      <c r="B22" s="1730"/>
      <c r="C22" s="1731" t="s">
        <v>2065</v>
      </c>
      <c r="D22" s="1732">
        <v>43859</v>
      </c>
      <c r="E22" s="1733" t="s">
        <v>1456</v>
      </c>
      <c r="F22" s="1734" t="s">
        <v>392</v>
      </c>
      <c r="G22" s="1735">
        <v>208.7</v>
      </c>
      <c r="H22" s="1735">
        <f t="shared" si="0"/>
        <v>208.7</v>
      </c>
      <c r="I22" s="1736">
        <f t="shared" si="2"/>
        <v>255.57</v>
      </c>
      <c r="K22" s="1737">
        <v>208.7</v>
      </c>
      <c r="L22" s="1735">
        <v>101.7</v>
      </c>
    </row>
    <row r="23" spans="1:12" s="1737" customFormat="1" ht="45">
      <c r="A23" s="1729"/>
      <c r="B23" s="1730"/>
      <c r="C23" s="1731" t="s">
        <v>2066</v>
      </c>
      <c r="D23" s="1732">
        <v>41164</v>
      </c>
      <c r="E23" s="1733" t="s">
        <v>1837</v>
      </c>
      <c r="F23" s="1734" t="s">
        <v>339</v>
      </c>
      <c r="G23" s="1735">
        <v>0.41</v>
      </c>
      <c r="H23" s="1735">
        <f t="shared" si="0"/>
        <v>0.41</v>
      </c>
      <c r="I23" s="1736">
        <f t="shared" si="2"/>
        <v>0.5</v>
      </c>
      <c r="K23" s="1737">
        <v>0.41</v>
      </c>
      <c r="L23" s="1735">
        <v>0.25</v>
      </c>
    </row>
    <row r="24" spans="1:12" s="1737" customFormat="1" ht="45">
      <c r="A24" s="1729"/>
      <c r="B24" s="1730"/>
      <c r="C24" s="1731" t="s">
        <v>2067</v>
      </c>
      <c r="D24" s="1732">
        <v>41177</v>
      </c>
      <c r="E24" s="1733" t="s">
        <v>1838</v>
      </c>
      <c r="F24" s="1734" t="s">
        <v>392</v>
      </c>
      <c r="G24" s="1735">
        <v>423.52</v>
      </c>
      <c r="H24" s="1735">
        <f t="shared" si="0"/>
        <v>423.52</v>
      </c>
      <c r="I24" s="1736">
        <f t="shared" si="2"/>
        <v>518.64</v>
      </c>
      <c r="K24" s="1737">
        <v>423.52</v>
      </c>
      <c r="L24" s="1735">
        <v>211.89</v>
      </c>
    </row>
    <row r="25" spans="1:12" s="1737" customFormat="1" ht="45">
      <c r="A25" s="1729"/>
      <c r="B25" s="1730"/>
      <c r="C25" s="1731" t="s">
        <v>2068</v>
      </c>
      <c r="D25" s="1732">
        <v>41166</v>
      </c>
      <c r="E25" s="1733" t="s">
        <v>1461</v>
      </c>
      <c r="F25" s="1734" t="s">
        <v>339</v>
      </c>
      <c r="G25" s="1735">
        <v>0.28000000000000003</v>
      </c>
      <c r="H25" s="1735">
        <f t="shared" si="0"/>
        <v>0.28000000000000003</v>
      </c>
      <c r="I25" s="1736">
        <f t="shared" ref="I25:I71" si="3">ROUND(H25*(1+$N$7),2)</f>
        <v>0.34</v>
      </c>
      <c r="K25" s="1737">
        <v>0.28000000000000003</v>
      </c>
      <c r="L25" s="1735">
        <v>0.17</v>
      </c>
    </row>
    <row r="26" spans="1:12" s="1737" customFormat="1" ht="60">
      <c r="A26" s="1729"/>
      <c r="B26" s="1730"/>
      <c r="C26" s="1731" t="s">
        <v>2069</v>
      </c>
      <c r="D26" s="1732">
        <v>41093</v>
      </c>
      <c r="E26" s="1733" t="s">
        <v>1462</v>
      </c>
      <c r="F26" s="1734" t="s">
        <v>392</v>
      </c>
      <c r="G26" s="1735">
        <v>16.72</v>
      </c>
      <c r="H26" s="1735">
        <f t="shared" si="0"/>
        <v>16.72</v>
      </c>
      <c r="I26" s="1736">
        <f t="shared" si="3"/>
        <v>20.48</v>
      </c>
      <c r="K26" s="1737">
        <v>16.72</v>
      </c>
      <c r="L26" s="1735">
        <v>9.75</v>
      </c>
    </row>
    <row r="27" spans="1:12" s="1737" customFormat="1" ht="30">
      <c r="A27" s="1729"/>
      <c r="B27" s="1730"/>
      <c r="C27" s="1731" t="s">
        <v>2070</v>
      </c>
      <c r="D27" s="1732">
        <v>41633</v>
      </c>
      <c r="E27" s="1733" t="s">
        <v>1463</v>
      </c>
      <c r="F27" s="1734" t="s">
        <v>392</v>
      </c>
      <c r="G27" s="1735">
        <v>686.09</v>
      </c>
      <c r="H27" s="1735">
        <f t="shared" si="0"/>
        <v>686.09</v>
      </c>
      <c r="I27" s="1736">
        <f t="shared" si="3"/>
        <v>840.19</v>
      </c>
      <c r="K27" s="1737">
        <v>686.09</v>
      </c>
      <c r="L27" s="1735">
        <v>391.79</v>
      </c>
    </row>
    <row r="28" spans="1:12" s="1737" customFormat="1" ht="60">
      <c r="A28" s="1729"/>
      <c r="B28" s="1730"/>
      <c r="C28" s="1731" t="s">
        <v>2071</v>
      </c>
      <c r="D28" s="1732">
        <v>41230</v>
      </c>
      <c r="E28" s="1733" t="s">
        <v>1467</v>
      </c>
      <c r="F28" s="1734" t="s">
        <v>1468</v>
      </c>
      <c r="G28" s="1735">
        <v>24.5</v>
      </c>
      <c r="H28" s="1735">
        <f t="shared" si="0"/>
        <v>24.5</v>
      </c>
      <c r="I28" s="1736">
        <f t="shared" si="3"/>
        <v>30</v>
      </c>
      <c r="K28" s="1737">
        <v>24.5</v>
      </c>
      <c r="L28" s="1735">
        <v>14.18</v>
      </c>
    </row>
    <row r="29" spans="1:12" s="1737" customFormat="1" ht="60">
      <c r="A29" s="1729"/>
      <c r="B29" s="1730"/>
      <c r="C29" s="1731" t="s">
        <v>2072</v>
      </c>
      <c r="D29" s="1732">
        <v>42883</v>
      </c>
      <c r="E29" s="1733" t="s">
        <v>1469</v>
      </c>
      <c r="F29" s="1734" t="s">
        <v>339</v>
      </c>
      <c r="G29" s="1735">
        <v>452.92</v>
      </c>
      <c r="H29" s="1735">
        <f t="shared" si="0"/>
        <v>452.92</v>
      </c>
      <c r="I29" s="1736">
        <f t="shared" si="3"/>
        <v>554.65</v>
      </c>
      <c r="K29" s="1737">
        <v>452.92</v>
      </c>
      <c r="L29" s="1735">
        <v>255.69</v>
      </c>
    </row>
    <row r="30" spans="1:12" s="1737" customFormat="1" ht="60">
      <c r="A30" s="1729"/>
      <c r="B30" s="1730"/>
      <c r="C30" s="1731" t="s">
        <v>2073</v>
      </c>
      <c r="D30" s="1732">
        <v>42884</v>
      </c>
      <c r="E30" s="1733" t="s">
        <v>1470</v>
      </c>
      <c r="F30" s="1734" t="s">
        <v>339</v>
      </c>
      <c r="G30" s="1735">
        <v>452.92</v>
      </c>
      <c r="H30" s="1735">
        <f t="shared" si="0"/>
        <v>452.92</v>
      </c>
      <c r="I30" s="1736">
        <f t="shared" si="3"/>
        <v>554.65</v>
      </c>
      <c r="K30" s="1737">
        <v>452.92</v>
      </c>
      <c r="L30" s="1735">
        <v>255.69</v>
      </c>
    </row>
    <row r="31" spans="1:12" s="1737" customFormat="1" ht="45">
      <c r="A31" s="1729"/>
      <c r="B31" s="1730"/>
      <c r="C31" s="1731" t="s">
        <v>2074</v>
      </c>
      <c r="D31" s="1732">
        <v>41402</v>
      </c>
      <c r="E31" s="1733" t="s">
        <v>1474</v>
      </c>
      <c r="F31" s="1734" t="s">
        <v>339</v>
      </c>
      <c r="G31" s="1735">
        <v>19.48</v>
      </c>
      <c r="H31" s="1735">
        <f t="shared" si="0"/>
        <v>19.48</v>
      </c>
      <c r="I31" s="1736">
        <f t="shared" si="3"/>
        <v>23.86</v>
      </c>
      <c r="K31" s="1737">
        <v>19.48</v>
      </c>
      <c r="L31" s="1735">
        <v>6.07</v>
      </c>
    </row>
    <row r="32" spans="1:12" s="1737" customFormat="1" ht="60">
      <c r="A32" s="1729"/>
      <c r="B32" s="1730"/>
      <c r="C32" s="1731" t="s">
        <v>2075</v>
      </c>
      <c r="D32" s="1732">
        <v>40272</v>
      </c>
      <c r="E32" s="1733" t="s">
        <v>1479</v>
      </c>
      <c r="F32" s="1734" t="s">
        <v>416</v>
      </c>
      <c r="G32" s="1735">
        <v>1112.44</v>
      </c>
      <c r="H32" s="1735">
        <f t="shared" si="0"/>
        <v>1112.44</v>
      </c>
      <c r="I32" s="1736">
        <f t="shared" si="3"/>
        <v>1362.29</v>
      </c>
      <c r="K32" s="1737">
        <v>1112.44</v>
      </c>
      <c r="L32" s="1735">
        <v>587.05999999999995</v>
      </c>
    </row>
    <row r="33" spans="1:12" s="1737" customFormat="1" ht="60">
      <c r="A33" s="1729"/>
      <c r="B33" s="1730"/>
      <c r="C33" s="1731" t="s">
        <v>2075</v>
      </c>
      <c r="D33" s="1732">
        <v>40272</v>
      </c>
      <c r="E33" s="1749" t="s">
        <v>1479</v>
      </c>
      <c r="F33" s="1734" t="s">
        <v>416</v>
      </c>
      <c r="G33" s="1735">
        <v>1112.44</v>
      </c>
      <c r="H33" s="1735">
        <f t="shared" si="0"/>
        <v>1112.44</v>
      </c>
      <c r="I33" s="1736">
        <f t="shared" si="3"/>
        <v>1362.29</v>
      </c>
      <c r="K33" s="1737">
        <v>1112.44</v>
      </c>
      <c r="L33" s="1735">
        <v>587.05999999999995</v>
      </c>
    </row>
    <row r="34" spans="1:12" s="1737" customFormat="1" ht="60">
      <c r="A34" s="1729"/>
      <c r="B34" s="1730"/>
      <c r="C34" s="1731" t="s">
        <v>2076</v>
      </c>
      <c r="D34" s="1732">
        <v>40271</v>
      </c>
      <c r="E34" s="1733" t="s">
        <v>1480</v>
      </c>
      <c r="F34" s="1734" t="s">
        <v>416</v>
      </c>
      <c r="G34" s="1735">
        <v>773.44</v>
      </c>
      <c r="H34" s="1735">
        <f t="shared" si="0"/>
        <v>773.44</v>
      </c>
      <c r="I34" s="1736">
        <f t="shared" si="3"/>
        <v>947.15</v>
      </c>
      <c r="K34" s="1737">
        <v>773.44</v>
      </c>
      <c r="L34" s="1735">
        <v>390.2</v>
      </c>
    </row>
    <row r="35" spans="1:12" s="1737" customFormat="1" ht="60">
      <c r="A35" s="1729"/>
      <c r="B35" s="1730"/>
      <c r="C35" s="1731" t="s">
        <v>2077</v>
      </c>
      <c r="D35" s="1732">
        <v>40270</v>
      </c>
      <c r="E35" s="1733" t="s">
        <v>1481</v>
      </c>
      <c r="F35" s="1734" t="s">
        <v>416</v>
      </c>
      <c r="G35" s="1735">
        <v>494.2</v>
      </c>
      <c r="H35" s="1735">
        <f t="shared" si="0"/>
        <v>494.2</v>
      </c>
      <c r="I35" s="1736">
        <f t="shared" si="3"/>
        <v>605.20000000000005</v>
      </c>
      <c r="K35" s="1737">
        <v>494.2</v>
      </c>
      <c r="L35" s="1735">
        <v>255.74</v>
      </c>
    </row>
    <row r="36" spans="1:12" s="1737" customFormat="1">
      <c r="A36" s="1729"/>
      <c r="B36" s="1730"/>
      <c r="C36" s="1739"/>
      <c r="D36" s="1732">
        <v>5213408</v>
      </c>
      <c r="E36" s="1733" t="s">
        <v>1466</v>
      </c>
      <c r="F36" s="1734" t="s">
        <v>339</v>
      </c>
      <c r="G36" s="1735">
        <v>47.86</v>
      </c>
      <c r="H36" s="1735">
        <f t="shared" si="0"/>
        <v>47.86</v>
      </c>
      <c r="I36" s="1736">
        <f t="shared" si="3"/>
        <v>58.61</v>
      </c>
      <c r="K36" s="1737">
        <v>47.86</v>
      </c>
      <c r="L36" s="1735">
        <v>34.869999999999997</v>
      </c>
    </row>
    <row r="37" spans="1:12" s="1737" customFormat="1" ht="30">
      <c r="A37" s="1729"/>
      <c r="B37" s="1730"/>
      <c r="C37" s="1739"/>
      <c r="D37" s="1732">
        <v>2003477</v>
      </c>
      <c r="E37" s="1733" t="s">
        <v>2113</v>
      </c>
      <c r="F37" s="1734" t="s">
        <v>1484</v>
      </c>
      <c r="G37" s="1735">
        <v>3590.73</v>
      </c>
      <c r="H37" s="1735">
        <f t="shared" si="0"/>
        <v>3590.73</v>
      </c>
      <c r="I37" s="1736">
        <f t="shared" si="3"/>
        <v>4397.21</v>
      </c>
      <c r="K37" s="1737">
        <v>3590.73</v>
      </c>
      <c r="L37" s="1735">
        <v>1954.47</v>
      </c>
    </row>
    <row r="38" spans="1:12" s="1737" customFormat="1">
      <c r="A38" s="1729"/>
      <c r="B38" s="1730"/>
      <c r="C38" s="1739"/>
      <c r="D38" s="1732" t="s">
        <v>1471</v>
      </c>
      <c r="E38" s="1733" t="s">
        <v>1472</v>
      </c>
      <c r="F38" s="1734" t="s">
        <v>384</v>
      </c>
      <c r="G38" s="1735">
        <v>14256</v>
      </c>
      <c r="H38" s="1735">
        <f t="shared" si="0"/>
        <v>21682.284848586867</v>
      </c>
      <c r="I38" s="1736">
        <f t="shared" si="3"/>
        <v>26552.13</v>
      </c>
      <c r="L38" s="1735">
        <v>14256</v>
      </c>
    </row>
    <row r="39" spans="1:12" s="1737" customFormat="1">
      <c r="A39" s="1729"/>
      <c r="B39" s="1730"/>
      <c r="C39" s="1739"/>
      <c r="D39" s="1732" t="s">
        <v>1486</v>
      </c>
      <c r="E39" s="1733" t="s">
        <v>1487</v>
      </c>
      <c r="F39" s="1734" t="s">
        <v>416</v>
      </c>
      <c r="G39" s="1735">
        <v>525.53</v>
      </c>
      <c r="H39" s="1735">
        <f t="shared" si="0"/>
        <v>799.29090603800887</v>
      </c>
      <c r="I39" s="1736">
        <f t="shared" si="3"/>
        <v>978.81</v>
      </c>
      <c r="L39" s="1735">
        <v>525.53</v>
      </c>
    </row>
    <row r="40" spans="1:12" s="1737" customFormat="1">
      <c r="A40" s="1729"/>
      <c r="B40" s="1730"/>
      <c r="C40" s="1731" t="s">
        <v>2078</v>
      </c>
      <c r="D40" s="1732">
        <v>41170</v>
      </c>
      <c r="E40" s="1733" t="s">
        <v>1554</v>
      </c>
      <c r="F40" s="1734" t="s">
        <v>413</v>
      </c>
      <c r="G40" s="1735">
        <v>8.61</v>
      </c>
      <c r="H40" s="1735">
        <f t="shared" si="0"/>
        <v>8.61</v>
      </c>
      <c r="I40" s="1736">
        <f t="shared" si="3"/>
        <v>10.54</v>
      </c>
      <c r="K40" s="1737">
        <v>8.61</v>
      </c>
      <c r="L40" s="1735">
        <v>5.32</v>
      </c>
    </row>
    <row r="41" spans="1:12" s="1737" customFormat="1" ht="45">
      <c r="A41" s="1729"/>
      <c r="B41" s="1730"/>
      <c r="C41" s="1731" t="s">
        <v>2115</v>
      </c>
      <c r="D41" s="1740">
        <v>14020</v>
      </c>
      <c r="E41" s="1733" t="s">
        <v>2114</v>
      </c>
      <c r="F41" s="1734" t="s">
        <v>413</v>
      </c>
      <c r="G41" s="1735">
        <f>463.72*2.4</f>
        <v>1112.9280000000001</v>
      </c>
      <c r="H41" s="1735">
        <f t="shared" si="0"/>
        <v>1112.9280000000001</v>
      </c>
      <c r="I41" s="1736">
        <f t="shared" si="3"/>
        <v>1362.89</v>
      </c>
      <c r="K41" s="1735">
        <f>463.72*2.4</f>
        <v>1112.9280000000001</v>
      </c>
      <c r="L41" s="1735">
        <v>523.30999999999995</v>
      </c>
    </row>
    <row r="42" spans="1:12" s="1737" customFormat="1" ht="30">
      <c r="A42" s="1729"/>
      <c r="B42" s="1730"/>
      <c r="C42" s="1731" t="s">
        <v>2079</v>
      </c>
      <c r="D42" s="1732">
        <v>41368</v>
      </c>
      <c r="E42" s="1733" t="s">
        <v>1459</v>
      </c>
      <c r="F42" s="1734" t="s">
        <v>1460</v>
      </c>
      <c r="G42" s="1735">
        <v>1.3</v>
      </c>
      <c r="H42" s="1735">
        <f t="shared" si="0"/>
        <v>1.3</v>
      </c>
      <c r="I42" s="1736">
        <f t="shared" si="3"/>
        <v>1.59</v>
      </c>
      <c r="K42" s="1737">
        <v>1.3</v>
      </c>
      <c r="L42" s="1735">
        <v>0.72</v>
      </c>
    </row>
    <row r="43" spans="1:12" s="1737" customFormat="1" ht="30">
      <c r="A43" s="1729"/>
      <c r="B43" s="1730"/>
      <c r="C43" s="1739"/>
      <c r="D43" s="1732">
        <v>5214011</v>
      </c>
      <c r="E43" s="1741" t="s">
        <v>1839</v>
      </c>
      <c r="F43" s="1734" t="s">
        <v>339</v>
      </c>
      <c r="G43" s="1735">
        <v>13.12</v>
      </c>
      <c r="H43" s="1735">
        <f t="shared" si="0"/>
        <v>13.12</v>
      </c>
      <c r="I43" s="1736">
        <f t="shared" si="3"/>
        <v>16.07</v>
      </c>
      <c r="K43" s="1737">
        <v>13.12</v>
      </c>
      <c r="L43" s="1735">
        <v>12.28</v>
      </c>
    </row>
    <row r="44" spans="1:12" s="1737" customFormat="1">
      <c r="A44" s="1729"/>
      <c r="B44" s="1730"/>
      <c r="C44" s="1731" t="s">
        <v>2080</v>
      </c>
      <c r="D44" s="1732">
        <v>42887</v>
      </c>
      <c r="E44" s="1742" t="s">
        <v>422</v>
      </c>
      <c r="F44" s="1734" t="s">
        <v>1840</v>
      </c>
      <c r="G44" s="1735">
        <v>19.11</v>
      </c>
      <c r="H44" s="1735">
        <f t="shared" si="0"/>
        <v>19.11</v>
      </c>
      <c r="I44" s="1736">
        <f t="shared" si="3"/>
        <v>23.4</v>
      </c>
      <c r="K44" s="1737">
        <v>19.11</v>
      </c>
      <c r="L44" s="1735">
        <v>16.23</v>
      </c>
    </row>
    <row r="45" spans="1:12" s="1737" customFormat="1">
      <c r="A45" s="1729"/>
      <c r="B45" s="1730"/>
      <c r="C45" s="1731" t="s">
        <v>2081</v>
      </c>
      <c r="D45" s="1732">
        <v>43226</v>
      </c>
      <c r="E45" s="1733" t="s">
        <v>1841</v>
      </c>
      <c r="F45" s="1734" t="s">
        <v>339</v>
      </c>
      <c r="G45" s="1735">
        <v>93.04</v>
      </c>
      <c r="H45" s="1735">
        <f t="shared" si="0"/>
        <v>93.04</v>
      </c>
      <c r="I45" s="1736">
        <f t="shared" si="3"/>
        <v>113.94</v>
      </c>
      <c r="K45" s="1737">
        <v>93.04</v>
      </c>
      <c r="L45" s="1735">
        <v>59.51</v>
      </c>
    </row>
    <row r="46" spans="1:12" s="1737" customFormat="1">
      <c r="A46" s="1729"/>
      <c r="B46" s="1730"/>
      <c r="C46" s="1739"/>
      <c r="D46" s="1732">
        <v>4915718</v>
      </c>
      <c r="E46" s="1733" t="s">
        <v>1842</v>
      </c>
      <c r="F46" s="1734" t="s">
        <v>339</v>
      </c>
      <c r="G46" s="1735">
        <v>8.7100000000000009</v>
      </c>
      <c r="H46" s="1735">
        <f t="shared" si="0"/>
        <v>8.7100000000000009</v>
      </c>
      <c r="I46" s="1736">
        <f t="shared" si="3"/>
        <v>10.67</v>
      </c>
      <c r="K46" s="1737">
        <v>8.7100000000000009</v>
      </c>
      <c r="L46" s="1735">
        <v>5.74</v>
      </c>
    </row>
    <row r="47" spans="1:12" s="1737" customFormat="1">
      <c r="A47" s="1729"/>
      <c r="B47" s="1730"/>
      <c r="C47" s="1739"/>
      <c r="D47" s="1732">
        <v>4915694</v>
      </c>
      <c r="E47" s="1733" t="s">
        <v>414</v>
      </c>
      <c r="F47" s="1734" t="s">
        <v>416</v>
      </c>
      <c r="G47" s="1735">
        <v>28.7</v>
      </c>
      <c r="H47" s="1735">
        <f t="shared" si="0"/>
        <v>28.7</v>
      </c>
      <c r="I47" s="1736">
        <f t="shared" si="3"/>
        <v>35.15</v>
      </c>
      <c r="K47" s="1737">
        <v>28.7</v>
      </c>
      <c r="L47" s="1735">
        <v>6.91</v>
      </c>
    </row>
    <row r="48" spans="1:12" s="1737" customFormat="1">
      <c r="A48" s="1729"/>
      <c r="B48" s="1730"/>
      <c r="C48" s="1739"/>
      <c r="D48" s="1732">
        <v>3713600</v>
      </c>
      <c r="E48" s="1733" t="s">
        <v>430</v>
      </c>
      <c r="F48" s="1734" t="s">
        <v>416</v>
      </c>
      <c r="G48" s="1735">
        <v>758.62</v>
      </c>
      <c r="H48" s="1735">
        <f t="shared" si="0"/>
        <v>758.62</v>
      </c>
      <c r="I48" s="1736">
        <f t="shared" si="3"/>
        <v>929.01</v>
      </c>
      <c r="K48" s="1737">
        <v>758.62</v>
      </c>
      <c r="L48" s="1735">
        <v>186.67</v>
      </c>
    </row>
    <row r="49" spans="1:12" s="1737" customFormat="1" ht="45">
      <c r="A49" s="1729"/>
      <c r="B49" s="1730"/>
      <c r="C49" s="1731" t="s">
        <v>2059</v>
      </c>
      <c r="D49" s="1732">
        <v>40989</v>
      </c>
      <c r="E49" s="1733" t="s">
        <v>1443</v>
      </c>
      <c r="F49" s="1734" t="s">
        <v>416</v>
      </c>
      <c r="G49" s="1735">
        <v>399.71</v>
      </c>
      <c r="H49" s="1735">
        <f t="shared" si="0"/>
        <v>399.71</v>
      </c>
      <c r="I49" s="1736">
        <f t="shared" si="3"/>
        <v>489.48</v>
      </c>
      <c r="K49" s="1737">
        <v>399.71</v>
      </c>
      <c r="L49" s="1735">
        <v>247.09</v>
      </c>
    </row>
    <row r="50" spans="1:12" s="1737" customFormat="1">
      <c r="A50" s="1729"/>
      <c r="B50" s="1730"/>
      <c r="C50" s="1731" t="s">
        <v>2059</v>
      </c>
      <c r="D50" s="1732">
        <v>40989</v>
      </c>
      <c r="E50" s="1733" t="s">
        <v>434</v>
      </c>
      <c r="F50" s="1734" t="s">
        <v>416</v>
      </c>
      <c r="G50" s="1735">
        <v>399.71</v>
      </c>
      <c r="H50" s="1735">
        <f t="shared" si="0"/>
        <v>399.71</v>
      </c>
      <c r="I50" s="1736">
        <f t="shared" si="3"/>
        <v>489.48</v>
      </c>
      <c r="K50" s="1737">
        <v>399.71</v>
      </c>
      <c r="L50" s="1735">
        <v>247.09</v>
      </c>
    </row>
    <row r="51" spans="1:12" s="1737" customFormat="1">
      <c r="A51" s="1729"/>
      <c r="B51" s="1730"/>
      <c r="C51" s="1739"/>
      <c r="D51" s="1732">
        <v>3815706</v>
      </c>
      <c r="E51" s="1733" t="s">
        <v>435</v>
      </c>
      <c r="F51" s="1734" t="s">
        <v>416</v>
      </c>
      <c r="G51" s="1738">
        <v>125.06</v>
      </c>
      <c r="H51" s="1735">
        <f t="shared" si="0"/>
        <v>125.06</v>
      </c>
      <c r="I51" s="1736">
        <f t="shared" si="3"/>
        <v>153.15</v>
      </c>
      <c r="K51" s="1737">
        <v>125.06</v>
      </c>
      <c r="L51" s="1738">
        <v>32.01</v>
      </c>
    </row>
    <row r="52" spans="1:12" s="1737" customFormat="1">
      <c r="A52" s="1729"/>
      <c r="B52" s="1730"/>
      <c r="C52" s="1731" t="s">
        <v>2082</v>
      </c>
      <c r="D52" s="1732">
        <v>41578</v>
      </c>
      <c r="E52" s="1733" t="s">
        <v>581</v>
      </c>
      <c r="F52" s="1734" t="s">
        <v>339</v>
      </c>
      <c r="G52" s="1735">
        <v>42.44</v>
      </c>
      <c r="H52" s="1735">
        <f t="shared" si="0"/>
        <v>42.44</v>
      </c>
      <c r="I52" s="1736">
        <f t="shared" si="3"/>
        <v>51.97</v>
      </c>
      <c r="K52" s="1737">
        <v>42.44</v>
      </c>
      <c r="L52" s="1735">
        <v>23.02</v>
      </c>
    </row>
    <row r="53" spans="1:12" s="1737" customFormat="1">
      <c r="A53" s="1729"/>
      <c r="B53" s="1730"/>
      <c r="C53" s="1731"/>
      <c r="D53" s="1732">
        <v>4915709</v>
      </c>
      <c r="E53" s="1733" t="s">
        <v>446</v>
      </c>
      <c r="F53" s="1734" t="s">
        <v>339</v>
      </c>
      <c r="G53" s="1735">
        <v>0.98</v>
      </c>
      <c r="H53" s="1735">
        <f t="shared" si="0"/>
        <v>0.98</v>
      </c>
      <c r="I53" s="1736">
        <f t="shared" si="3"/>
        <v>1.2</v>
      </c>
      <c r="K53" s="1737">
        <v>0.98</v>
      </c>
      <c r="L53" s="1735">
        <v>0.71</v>
      </c>
    </row>
    <row r="54" spans="1:12" s="1737" customFormat="1">
      <c r="A54" s="1729"/>
      <c r="B54" s="1730"/>
      <c r="C54" s="1731"/>
      <c r="D54" s="1732">
        <v>307734</v>
      </c>
      <c r="E54" s="1733" t="s">
        <v>1843</v>
      </c>
      <c r="F54" s="1734" t="s">
        <v>416</v>
      </c>
      <c r="G54" s="1738">
        <v>543.04</v>
      </c>
      <c r="H54" s="1735">
        <f t="shared" si="0"/>
        <v>543.04</v>
      </c>
      <c r="I54" s="1736">
        <f t="shared" si="3"/>
        <v>665.01</v>
      </c>
      <c r="K54" s="1737">
        <v>543.04</v>
      </c>
      <c r="L54" s="1738">
        <v>628.09</v>
      </c>
    </row>
    <row r="55" spans="1:12" s="1737" customFormat="1">
      <c r="A55" s="1729"/>
      <c r="B55" s="1730"/>
      <c r="C55" s="1731"/>
      <c r="D55" s="1732">
        <v>307814</v>
      </c>
      <c r="E55" s="1733" t="s">
        <v>1844</v>
      </c>
      <c r="F55" s="1734" t="s">
        <v>384</v>
      </c>
      <c r="G55" s="1750">
        <v>23.96</v>
      </c>
      <c r="H55" s="1735">
        <f t="shared" si="0"/>
        <v>36.441326106351106</v>
      </c>
      <c r="I55" s="1736">
        <f t="shared" si="3"/>
        <v>44.63</v>
      </c>
      <c r="L55" s="1738">
        <v>23.96</v>
      </c>
    </row>
    <row r="56" spans="1:12" s="1737" customFormat="1">
      <c r="A56" s="1729"/>
      <c r="B56" s="1730"/>
      <c r="C56" s="1731" t="s">
        <v>2083</v>
      </c>
      <c r="D56" s="1732">
        <v>42874</v>
      </c>
      <c r="E56" s="1733" t="s">
        <v>1845</v>
      </c>
      <c r="F56" s="1734" t="s">
        <v>416</v>
      </c>
      <c r="G56" s="1735">
        <v>41.7</v>
      </c>
      <c r="H56" s="1735">
        <f t="shared" si="0"/>
        <v>41.7</v>
      </c>
      <c r="I56" s="1736">
        <f t="shared" si="3"/>
        <v>51.07</v>
      </c>
      <c r="K56" s="1737">
        <v>41.7</v>
      </c>
      <c r="L56" s="1735">
        <v>24.8</v>
      </c>
    </row>
    <row r="57" spans="1:12" s="1737" customFormat="1" ht="30">
      <c r="A57" s="1729"/>
      <c r="B57" s="1730"/>
      <c r="C57" s="1731"/>
      <c r="D57" s="1732">
        <v>4413012</v>
      </c>
      <c r="E57" s="1733" t="s">
        <v>448</v>
      </c>
      <c r="F57" s="1734" t="s">
        <v>392</v>
      </c>
      <c r="G57" s="1738">
        <v>355.2</v>
      </c>
      <c r="H57" s="1735">
        <f t="shared" si="0"/>
        <v>355.2</v>
      </c>
      <c r="I57" s="1736">
        <f t="shared" si="3"/>
        <v>434.98</v>
      </c>
      <c r="K57" s="1737">
        <v>355.2</v>
      </c>
      <c r="L57" s="1738">
        <v>264.64</v>
      </c>
    </row>
    <row r="58" spans="1:12" s="1737" customFormat="1">
      <c r="A58" s="1729"/>
      <c r="B58" s="1730"/>
      <c r="C58" s="1731" t="s">
        <v>2084</v>
      </c>
      <c r="D58" s="1732">
        <v>41087</v>
      </c>
      <c r="E58" s="1733" t="s">
        <v>1846</v>
      </c>
      <c r="F58" s="1734" t="s">
        <v>392</v>
      </c>
      <c r="G58" s="1735">
        <v>9.4600000000000009</v>
      </c>
      <c r="H58" s="1735">
        <f t="shared" si="0"/>
        <v>9.4600000000000009</v>
      </c>
      <c r="I58" s="1736">
        <f t="shared" si="3"/>
        <v>11.58</v>
      </c>
      <c r="K58" s="1737">
        <v>9.4600000000000009</v>
      </c>
      <c r="L58" s="1735">
        <v>5.43</v>
      </c>
    </row>
    <row r="59" spans="1:12" s="1737" customFormat="1">
      <c r="A59" s="1729"/>
      <c r="B59" s="1730"/>
      <c r="C59" s="1731"/>
      <c r="D59" s="1732">
        <v>4915737</v>
      </c>
      <c r="E59" s="1733" t="s">
        <v>453</v>
      </c>
      <c r="F59" s="1734" t="s">
        <v>392</v>
      </c>
      <c r="G59" s="1735">
        <v>4.7300000000000004</v>
      </c>
      <c r="H59" s="1735">
        <f t="shared" si="0"/>
        <v>4.7300000000000004</v>
      </c>
      <c r="I59" s="1736">
        <f t="shared" si="3"/>
        <v>5.79</v>
      </c>
      <c r="K59" s="1737">
        <v>4.7300000000000004</v>
      </c>
      <c r="L59" s="1735">
        <v>1.2</v>
      </c>
    </row>
    <row r="60" spans="1:12" s="1737" customFormat="1">
      <c r="A60" s="1729"/>
      <c r="B60" s="1730"/>
      <c r="C60" s="1731" t="s">
        <v>2085</v>
      </c>
      <c r="D60" s="1732">
        <v>41292</v>
      </c>
      <c r="E60" s="1733" t="s">
        <v>454</v>
      </c>
      <c r="F60" s="1734" t="s">
        <v>1847</v>
      </c>
      <c r="G60" s="1735">
        <v>1986.93</v>
      </c>
      <c r="H60" s="1735">
        <f t="shared" si="0"/>
        <v>1986.93</v>
      </c>
      <c r="I60" s="1736">
        <f t="shared" si="3"/>
        <v>2433.19</v>
      </c>
      <c r="K60" s="1737">
        <v>1986.93</v>
      </c>
      <c r="L60" s="1735">
        <v>1396.94</v>
      </c>
    </row>
    <row r="61" spans="1:12" s="1737" customFormat="1">
      <c r="A61" s="1729"/>
      <c r="B61" s="1730"/>
      <c r="C61" s="1731" t="s">
        <v>2086</v>
      </c>
      <c r="D61" s="1732">
        <v>41295</v>
      </c>
      <c r="E61" s="1733" t="s">
        <v>1848</v>
      </c>
      <c r="F61" s="1734" t="s">
        <v>1847</v>
      </c>
      <c r="G61" s="1735">
        <v>829.5</v>
      </c>
      <c r="H61" s="1735">
        <f t="shared" si="0"/>
        <v>829.5</v>
      </c>
      <c r="I61" s="1736">
        <f t="shared" si="3"/>
        <v>1015.81</v>
      </c>
      <c r="K61" s="1737">
        <v>829.5</v>
      </c>
      <c r="L61" s="1735">
        <v>536.76</v>
      </c>
    </row>
    <row r="62" spans="1:12" s="1737" customFormat="1">
      <c r="A62" s="1729"/>
      <c r="B62" s="1730"/>
      <c r="C62" s="1731"/>
      <c r="D62" s="1732">
        <v>4413990</v>
      </c>
      <c r="E62" s="1733" t="s">
        <v>1849</v>
      </c>
      <c r="F62" s="1734" t="s">
        <v>384</v>
      </c>
      <c r="G62" s="1735">
        <v>29.24</v>
      </c>
      <c r="H62" s="1735">
        <f t="shared" si="0"/>
        <v>29.24</v>
      </c>
      <c r="I62" s="1736">
        <f t="shared" si="3"/>
        <v>35.81</v>
      </c>
      <c r="K62" s="1737">
        <v>29.24</v>
      </c>
      <c r="L62" s="1735">
        <v>53.64</v>
      </c>
    </row>
    <row r="63" spans="1:12" s="1737" customFormat="1" ht="45">
      <c r="A63" s="1729"/>
      <c r="B63" s="1730"/>
      <c r="C63" s="1731"/>
      <c r="D63" s="1732">
        <v>4915695</v>
      </c>
      <c r="E63" s="1733" t="s">
        <v>2116</v>
      </c>
      <c r="F63" s="1734" t="s">
        <v>416</v>
      </c>
      <c r="G63" s="1735">
        <v>6.31</v>
      </c>
      <c r="H63" s="1735">
        <f t="shared" si="0"/>
        <v>6.31</v>
      </c>
      <c r="I63" s="1736">
        <f t="shared" si="3"/>
        <v>7.73</v>
      </c>
      <c r="K63" s="1737">
        <v>6.31</v>
      </c>
      <c r="L63" s="1735">
        <v>1.3</v>
      </c>
    </row>
    <row r="64" spans="1:12" s="1737" customFormat="1">
      <c r="A64" s="1729"/>
      <c r="B64" s="1730"/>
      <c r="C64" s="1731" t="s">
        <v>2087</v>
      </c>
      <c r="D64" s="1732">
        <v>41279</v>
      </c>
      <c r="E64" s="1733" t="s">
        <v>1850</v>
      </c>
      <c r="F64" s="1734" t="s">
        <v>416</v>
      </c>
      <c r="G64" s="1735">
        <v>13.61</v>
      </c>
      <c r="H64" s="1735">
        <f t="shared" si="0"/>
        <v>13.61</v>
      </c>
      <c r="I64" s="1736">
        <f t="shared" si="3"/>
        <v>16.670000000000002</v>
      </c>
      <c r="K64" s="1737">
        <v>13.61</v>
      </c>
      <c r="L64" s="1735">
        <v>8.85</v>
      </c>
    </row>
    <row r="65" spans="1:12" s="1737" customFormat="1">
      <c r="A65" s="1729"/>
      <c r="B65" s="1730"/>
      <c r="C65" s="1731"/>
      <c r="D65" s="1732">
        <v>3713610</v>
      </c>
      <c r="E65" s="1733" t="s">
        <v>1851</v>
      </c>
      <c r="F65" s="1734" t="s">
        <v>416</v>
      </c>
      <c r="G65" s="1735">
        <v>31.44</v>
      </c>
      <c r="H65" s="1735">
        <f t="shared" si="0"/>
        <v>31.44</v>
      </c>
      <c r="I65" s="1736">
        <f t="shared" si="3"/>
        <v>38.5</v>
      </c>
      <c r="K65" s="1737">
        <v>31.44</v>
      </c>
      <c r="L65" s="1735">
        <v>19.38</v>
      </c>
    </row>
    <row r="66" spans="1:12" s="1737" customFormat="1">
      <c r="A66" s="1729"/>
      <c r="B66" s="1730"/>
      <c r="C66" s="1731"/>
      <c r="D66" s="1732">
        <v>4915720</v>
      </c>
      <c r="E66" s="1733" t="s">
        <v>423</v>
      </c>
      <c r="F66" s="1734" t="s">
        <v>384</v>
      </c>
      <c r="G66" s="1735">
        <v>29.93</v>
      </c>
      <c r="H66" s="1735">
        <f t="shared" si="0"/>
        <v>29.93</v>
      </c>
      <c r="I66" s="1736">
        <f t="shared" si="3"/>
        <v>36.65</v>
      </c>
      <c r="K66" s="1737">
        <v>29.93</v>
      </c>
      <c r="L66" s="1735">
        <v>97.64</v>
      </c>
    </row>
    <row r="67" spans="1:12" s="1737" customFormat="1">
      <c r="A67" s="1729"/>
      <c r="B67" s="1730"/>
      <c r="C67" s="1731" t="s">
        <v>2088</v>
      </c>
      <c r="D67" s="1732">
        <v>99000</v>
      </c>
      <c r="E67" s="1733" t="s">
        <v>441</v>
      </c>
      <c r="F67" s="1734" t="s">
        <v>411</v>
      </c>
      <c r="G67" s="1738">
        <v>23.24</v>
      </c>
      <c r="H67" s="1735">
        <f t="shared" si="0"/>
        <v>35.346261215008326</v>
      </c>
      <c r="I67" s="1736">
        <f t="shared" si="3"/>
        <v>43.29</v>
      </c>
      <c r="L67" s="1738">
        <v>23.24</v>
      </c>
    </row>
    <row r="68" spans="1:12" s="1737" customFormat="1">
      <c r="A68" s="1729"/>
      <c r="B68" s="1730"/>
      <c r="C68" s="1731" t="s">
        <v>2089</v>
      </c>
      <c r="D68" s="1732">
        <v>99001</v>
      </c>
      <c r="E68" s="1733" t="s">
        <v>442</v>
      </c>
      <c r="F68" s="1734" t="s">
        <v>411</v>
      </c>
      <c r="G68" s="1738">
        <v>27.86</v>
      </c>
      <c r="H68" s="1735">
        <f t="shared" si="0"/>
        <v>42.372927601124445</v>
      </c>
      <c r="I68" s="1736">
        <f t="shared" si="3"/>
        <v>51.89</v>
      </c>
      <c r="L68" s="1738">
        <v>27.86</v>
      </c>
    </row>
    <row r="69" spans="1:12" s="1737" customFormat="1">
      <c r="A69" s="1729"/>
      <c r="B69" s="1730"/>
      <c r="C69" s="1731" t="s">
        <v>2090</v>
      </c>
      <c r="D69" s="1732">
        <v>99002</v>
      </c>
      <c r="E69" s="1733" t="s">
        <v>443</v>
      </c>
      <c r="F69" s="1734" t="s">
        <v>411</v>
      </c>
      <c r="G69" s="1738">
        <v>11.54</v>
      </c>
      <c r="H69" s="1735">
        <f t="shared" si="0"/>
        <v>17.551456730688301</v>
      </c>
      <c r="I69" s="1736">
        <f t="shared" si="3"/>
        <v>21.49</v>
      </c>
      <c r="L69" s="1738">
        <v>11.54</v>
      </c>
    </row>
    <row r="70" spans="1:12" s="1737" customFormat="1">
      <c r="A70" s="1729"/>
      <c r="B70" s="1730"/>
      <c r="C70" s="1731" t="s">
        <v>2091</v>
      </c>
      <c r="D70" s="1732">
        <v>99003</v>
      </c>
      <c r="E70" s="1733" t="s">
        <v>444</v>
      </c>
      <c r="F70" s="1734" t="s">
        <v>411</v>
      </c>
      <c r="G70" s="1738">
        <v>15.23</v>
      </c>
      <c r="H70" s="1735">
        <f t="shared" si="0"/>
        <v>23.163664298820002</v>
      </c>
      <c r="I70" s="1736">
        <f t="shared" si="3"/>
        <v>28.37</v>
      </c>
      <c r="L70" s="1738">
        <v>15.23</v>
      </c>
    </row>
    <row r="71" spans="1:12" s="1737" customFormat="1">
      <c r="A71" s="1729"/>
      <c r="B71" s="1730"/>
      <c r="C71" s="1731" t="s">
        <v>2092</v>
      </c>
      <c r="D71" s="1732">
        <v>99004</v>
      </c>
      <c r="E71" s="1733" t="s">
        <v>460</v>
      </c>
      <c r="F71" s="1734" t="s">
        <v>411</v>
      </c>
      <c r="G71" s="1738">
        <v>20</v>
      </c>
      <c r="H71" s="1735">
        <f t="shared" si="0"/>
        <v>30.418469203965863</v>
      </c>
      <c r="I71" s="1736">
        <f t="shared" si="3"/>
        <v>37.25</v>
      </c>
      <c r="L71" s="1738">
        <v>20</v>
      </c>
    </row>
    <row r="72" spans="1:12" s="1737" customFormat="1">
      <c r="A72" s="1729"/>
      <c r="B72" s="1730"/>
      <c r="C72" s="1731" t="s">
        <v>2093</v>
      </c>
      <c r="D72" s="1732">
        <v>99005</v>
      </c>
      <c r="E72" s="1733" t="s">
        <v>461</v>
      </c>
      <c r="F72" s="1734" t="s">
        <v>102</v>
      </c>
      <c r="G72" s="1738">
        <v>15000</v>
      </c>
      <c r="H72" s="1735">
        <f t="shared" si="0"/>
        <v>22813.851902974395</v>
      </c>
      <c r="I72" s="1736">
        <f t="shared" ref="I72:I79" si="4">ROUND(H72*(1+$N$7),2)</f>
        <v>27937.84</v>
      </c>
      <c r="L72" s="1738">
        <v>15000</v>
      </c>
    </row>
    <row r="73" spans="1:12" s="1737" customFormat="1">
      <c r="A73" s="1729"/>
      <c r="B73" s="1730"/>
      <c r="C73" s="1731" t="s">
        <v>2074</v>
      </c>
      <c r="D73" s="1743">
        <v>41402</v>
      </c>
      <c r="E73" s="1733" t="s">
        <v>1852</v>
      </c>
      <c r="F73" s="1734" t="s">
        <v>411</v>
      </c>
      <c r="G73" s="1735">
        <v>19.48</v>
      </c>
      <c r="H73" s="1735">
        <f t="shared" si="0"/>
        <v>19.48</v>
      </c>
      <c r="I73" s="1736">
        <f t="shared" ref="I73" si="5">ROUND(H73*(1+$N$7),2)</f>
        <v>23.86</v>
      </c>
      <c r="K73" s="1737">
        <v>19.48</v>
      </c>
      <c r="L73" s="1735">
        <v>6.07</v>
      </c>
    </row>
    <row r="74" spans="1:12" s="1737" customFormat="1">
      <c r="A74" s="1729"/>
      <c r="B74" s="1730"/>
      <c r="C74" s="1731"/>
      <c r="D74" s="1678">
        <v>4915686</v>
      </c>
      <c r="E74" s="1733" t="s">
        <v>437</v>
      </c>
      <c r="F74" s="1734" t="s">
        <v>384</v>
      </c>
      <c r="G74" s="1735">
        <v>3.91</v>
      </c>
      <c r="H74" s="1735">
        <f t="shared" si="0"/>
        <v>3.91</v>
      </c>
      <c r="I74" s="1736">
        <f t="shared" ref="I74" si="6">ROUND(H74*(1+$N$7),2)</f>
        <v>4.79</v>
      </c>
      <c r="K74" s="1737">
        <v>3.91</v>
      </c>
      <c r="L74" s="1735">
        <v>2.85</v>
      </c>
    </row>
    <row r="75" spans="1:12" s="1737" customFormat="1">
      <c r="A75" s="1729"/>
      <c r="B75" s="1730"/>
      <c r="C75" s="1731" t="s">
        <v>2094</v>
      </c>
      <c r="D75" s="1751">
        <v>55552</v>
      </c>
      <c r="E75" s="1733" t="s">
        <v>1853</v>
      </c>
      <c r="F75" s="1734" t="s">
        <v>411</v>
      </c>
      <c r="G75" s="1738">
        <v>365.5</v>
      </c>
      <c r="H75" s="1735">
        <f t="shared" ref="H75:H95" si="7">IF(G75=K75,G75,G75*$N$5)</f>
        <v>555.89752470247606</v>
      </c>
      <c r="I75" s="1736">
        <f t="shared" si="4"/>
        <v>680.75</v>
      </c>
      <c r="L75" s="1738">
        <v>365.5</v>
      </c>
    </row>
    <row r="76" spans="1:12" s="1737" customFormat="1">
      <c r="A76" s="1729"/>
      <c r="B76" s="1730"/>
      <c r="C76" s="1731"/>
      <c r="D76" s="1744" t="s">
        <v>450</v>
      </c>
      <c r="E76" s="1733" t="s">
        <v>1854</v>
      </c>
      <c r="F76" s="1734" t="s">
        <v>452</v>
      </c>
      <c r="G76" s="1735">
        <v>0.78</v>
      </c>
      <c r="H76" s="1735">
        <f t="shared" si="7"/>
        <v>1.1863202989546686</v>
      </c>
      <c r="I76" s="1736">
        <f t="shared" si="4"/>
        <v>1.45</v>
      </c>
      <c r="L76" s="1735">
        <v>0.78</v>
      </c>
    </row>
    <row r="77" spans="1:12" s="1737" customFormat="1">
      <c r="A77" s="1729"/>
      <c r="B77" s="1730"/>
      <c r="C77" s="1731" t="s">
        <v>2095</v>
      </c>
      <c r="D77" s="1752">
        <v>55553</v>
      </c>
      <c r="E77" s="1733" t="s">
        <v>449</v>
      </c>
      <c r="F77" s="1734" t="s">
        <v>392</v>
      </c>
      <c r="G77" s="1738">
        <v>10</v>
      </c>
      <c r="H77" s="1735">
        <f t="shared" si="7"/>
        <v>15.209234601982931</v>
      </c>
      <c r="I77" s="1736">
        <f t="shared" si="4"/>
        <v>18.63</v>
      </c>
      <c r="L77" s="1738">
        <v>10</v>
      </c>
    </row>
    <row r="78" spans="1:12" s="1737" customFormat="1">
      <c r="A78" s="1729"/>
      <c r="B78" s="1730"/>
      <c r="C78" s="1731" t="s">
        <v>2096</v>
      </c>
      <c r="D78" s="1732">
        <v>42643</v>
      </c>
      <c r="E78" s="1741" t="s">
        <v>388</v>
      </c>
      <c r="F78" s="1734" t="s">
        <v>392</v>
      </c>
      <c r="G78" s="1735">
        <v>3.83</v>
      </c>
      <c r="H78" s="1735">
        <f t="shared" si="7"/>
        <v>3.83</v>
      </c>
      <c r="I78" s="1736">
        <f t="shared" si="4"/>
        <v>4.6900000000000004</v>
      </c>
      <c r="K78" s="1737">
        <v>3.83</v>
      </c>
      <c r="L78" s="1735">
        <v>4.4400000000000004</v>
      </c>
    </row>
    <row r="79" spans="1:12" s="1737" customFormat="1" ht="30">
      <c r="A79" s="1729"/>
      <c r="B79" s="1730"/>
      <c r="C79" s="1731" t="s">
        <v>2117</v>
      </c>
      <c r="D79" s="1732">
        <v>51229</v>
      </c>
      <c r="E79" s="1741" t="s">
        <v>1855</v>
      </c>
      <c r="F79" s="1734" t="s">
        <v>339</v>
      </c>
      <c r="G79" s="1735">
        <v>1.9</v>
      </c>
      <c r="H79" s="1735">
        <f t="shared" si="7"/>
        <v>1.9</v>
      </c>
      <c r="I79" s="1736">
        <f t="shared" si="4"/>
        <v>2.33</v>
      </c>
      <c r="K79" s="1737">
        <v>1.9</v>
      </c>
      <c r="L79" s="1735">
        <v>161.80000000000001</v>
      </c>
    </row>
    <row r="80" spans="1:12" s="1737" customFormat="1">
      <c r="A80" s="1729"/>
      <c r="B80" s="1730"/>
      <c r="C80" s="1731"/>
      <c r="D80" s="1732"/>
      <c r="E80" s="1733" t="s">
        <v>482</v>
      </c>
      <c r="F80" s="1734" t="s">
        <v>392</v>
      </c>
      <c r="G80" s="1735">
        <f>G41</f>
        <v>1112.9280000000001</v>
      </c>
      <c r="H80" s="1735">
        <f t="shared" si="7"/>
        <v>1112.9280000000001</v>
      </c>
      <c r="I80" s="1736">
        <f t="shared" ref="I80:I95" si="8">ROUND(H80*(1+$N$7),2)</f>
        <v>1362.89</v>
      </c>
      <c r="K80" s="1735">
        <f>K41</f>
        <v>1112.9280000000001</v>
      </c>
      <c r="L80" s="1735">
        <v>162.80000000000001</v>
      </c>
    </row>
    <row r="81" spans="1:12" s="1737" customFormat="1" ht="60">
      <c r="A81" s="1729"/>
      <c r="B81" s="1730"/>
      <c r="C81" s="1731" t="s">
        <v>2097</v>
      </c>
      <c r="D81" s="1732">
        <v>41326</v>
      </c>
      <c r="E81" s="1733" t="s">
        <v>391</v>
      </c>
      <c r="F81" s="1734" t="s">
        <v>392</v>
      </c>
      <c r="G81" s="1735">
        <v>1394.43</v>
      </c>
      <c r="H81" s="1735">
        <f t="shared" si="7"/>
        <v>1394.43</v>
      </c>
      <c r="I81" s="1736">
        <f t="shared" si="8"/>
        <v>1707.62</v>
      </c>
      <c r="K81" s="1737">
        <v>1394.43</v>
      </c>
      <c r="L81" s="1735">
        <v>163.80000000000001</v>
      </c>
    </row>
    <row r="82" spans="1:12" s="1737" customFormat="1" ht="60">
      <c r="A82" s="1729"/>
      <c r="B82" s="1730"/>
      <c r="C82" s="1731" t="s">
        <v>2118</v>
      </c>
      <c r="D82" s="1732">
        <v>41334</v>
      </c>
      <c r="E82" s="1733" t="s">
        <v>394</v>
      </c>
      <c r="F82" s="1734" t="s">
        <v>392</v>
      </c>
      <c r="G82" s="1735">
        <v>222.91</v>
      </c>
      <c r="H82" s="1735">
        <f t="shared" si="7"/>
        <v>222.91</v>
      </c>
      <c r="I82" s="1736">
        <f t="shared" si="8"/>
        <v>272.98</v>
      </c>
      <c r="K82" s="1737">
        <v>222.91</v>
      </c>
      <c r="L82" s="1735">
        <v>164.8</v>
      </c>
    </row>
    <row r="83" spans="1:12" s="1737" customFormat="1" ht="30">
      <c r="A83" s="1729"/>
      <c r="B83" s="1730"/>
      <c r="C83" s="1731" t="s">
        <v>2098</v>
      </c>
      <c r="D83" s="1732">
        <v>41337</v>
      </c>
      <c r="E83" s="1733" t="s">
        <v>395</v>
      </c>
      <c r="F83" s="1734" t="s">
        <v>396</v>
      </c>
      <c r="G83" s="1735">
        <v>2.0099999999999998</v>
      </c>
      <c r="H83" s="1735">
        <f t="shared" si="7"/>
        <v>2.0099999999999998</v>
      </c>
      <c r="I83" s="1736">
        <f t="shared" si="8"/>
        <v>2.46</v>
      </c>
      <c r="K83" s="1737">
        <v>2.0099999999999998</v>
      </c>
      <c r="L83" s="1735">
        <v>1.1299999999999999</v>
      </c>
    </row>
    <row r="84" spans="1:12" s="1737" customFormat="1" ht="30">
      <c r="A84" s="1729"/>
      <c r="B84" s="1730"/>
      <c r="C84" s="1731" t="s">
        <v>2099</v>
      </c>
      <c r="D84" s="1732">
        <v>41339</v>
      </c>
      <c r="E84" s="1733" t="s">
        <v>397</v>
      </c>
      <c r="F84" s="1734" t="s">
        <v>396</v>
      </c>
      <c r="G84" s="1735">
        <v>1.45</v>
      </c>
      <c r="H84" s="1735">
        <f t="shared" si="7"/>
        <v>1.45</v>
      </c>
      <c r="I84" s="1736">
        <f t="shared" si="8"/>
        <v>1.78</v>
      </c>
      <c r="K84" s="1737">
        <v>1.45</v>
      </c>
      <c r="L84" s="1735">
        <v>0.82</v>
      </c>
    </row>
    <row r="85" spans="1:12" s="1737" customFormat="1" ht="30">
      <c r="A85" s="1745"/>
      <c r="B85" s="1746"/>
      <c r="C85" s="1731" t="s">
        <v>2100</v>
      </c>
      <c r="D85" s="1732">
        <v>41340</v>
      </c>
      <c r="E85" s="1733" t="s">
        <v>398</v>
      </c>
      <c r="F85" s="1734" t="s">
        <v>396</v>
      </c>
      <c r="G85" s="1735">
        <v>1.4</v>
      </c>
      <c r="H85" s="1735">
        <f t="shared" si="7"/>
        <v>1.4</v>
      </c>
      <c r="I85" s="1736">
        <f t="shared" si="8"/>
        <v>1.71</v>
      </c>
      <c r="K85" s="1737">
        <v>1.4</v>
      </c>
      <c r="L85" s="1735">
        <v>0.77</v>
      </c>
    </row>
    <row r="86" spans="1:12" s="1737" customFormat="1" ht="30">
      <c r="A86" s="1745"/>
      <c r="B86" s="1746"/>
      <c r="C86" s="1731" t="s">
        <v>2101</v>
      </c>
      <c r="D86" s="1732">
        <v>41344</v>
      </c>
      <c r="E86" s="1733" t="s">
        <v>399</v>
      </c>
      <c r="F86" s="1734" t="s">
        <v>396</v>
      </c>
      <c r="G86" s="1735">
        <v>1.22</v>
      </c>
      <c r="H86" s="1735">
        <f t="shared" si="7"/>
        <v>1.22</v>
      </c>
      <c r="I86" s="1736">
        <f t="shared" si="8"/>
        <v>1.49</v>
      </c>
      <c r="K86" s="1737">
        <v>1.22</v>
      </c>
      <c r="L86" s="1735">
        <v>0.68</v>
      </c>
    </row>
    <row r="87" spans="1:12" s="1737" customFormat="1" ht="45">
      <c r="A87" s="1745"/>
      <c r="B87" s="1746"/>
      <c r="C87" s="1731" t="s">
        <v>2102</v>
      </c>
      <c r="D87" s="1732">
        <v>41361</v>
      </c>
      <c r="E87" s="1733" t="s">
        <v>400</v>
      </c>
      <c r="F87" s="1734" t="s">
        <v>396</v>
      </c>
      <c r="G87" s="1735">
        <v>2.14</v>
      </c>
      <c r="H87" s="1735">
        <f t="shared" si="7"/>
        <v>2.14</v>
      </c>
      <c r="I87" s="1736">
        <f t="shared" si="8"/>
        <v>2.62</v>
      </c>
      <c r="K87" s="1737">
        <v>2.14</v>
      </c>
      <c r="L87" s="1735">
        <v>1.2</v>
      </c>
    </row>
    <row r="88" spans="1:12" s="1737" customFormat="1" ht="45">
      <c r="A88" s="1745"/>
      <c r="B88" s="1746"/>
      <c r="C88" s="1731" t="s">
        <v>2103</v>
      </c>
      <c r="D88" s="1732">
        <v>41363</v>
      </c>
      <c r="E88" s="1733" t="s">
        <v>402</v>
      </c>
      <c r="F88" s="1734" t="s">
        <v>396</v>
      </c>
      <c r="G88" s="1735">
        <v>1.54</v>
      </c>
      <c r="H88" s="1735">
        <f t="shared" si="7"/>
        <v>1.54</v>
      </c>
      <c r="I88" s="1736">
        <f t="shared" si="8"/>
        <v>1.89</v>
      </c>
      <c r="K88" s="1737">
        <v>1.54</v>
      </c>
      <c r="L88" s="1735">
        <v>0.81</v>
      </c>
    </row>
    <row r="89" spans="1:12" s="1737" customFormat="1" ht="45">
      <c r="A89" s="1745"/>
      <c r="B89" s="1746"/>
      <c r="C89" s="1731" t="s">
        <v>2104</v>
      </c>
      <c r="D89" s="1732">
        <v>41365</v>
      </c>
      <c r="E89" s="1733" t="s">
        <v>403</v>
      </c>
      <c r="F89" s="1734" t="s">
        <v>396</v>
      </c>
      <c r="G89" s="1735">
        <v>1.47</v>
      </c>
      <c r="H89" s="1735">
        <f t="shared" si="7"/>
        <v>1.47</v>
      </c>
      <c r="I89" s="1736">
        <f t="shared" si="8"/>
        <v>1.8</v>
      </c>
      <c r="K89" s="1737">
        <v>1.47</v>
      </c>
      <c r="L89" s="1735">
        <v>0.81</v>
      </c>
    </row>
    <row r="90" spans="1:12" s="1737" customFormat="1" ht="45">
      <c r="A90" s="1745"/>
      <c r="B90" s="1746"/>
      <c r="C90" s="1731" t="s">
        <v>2079</v>
      </c>
      <c r="D90" s="1732">
        <v>41368</v>
      </c>
      <c r="E90" s="1733" t="s">
        <v>404</v>
      </c>
      <c r="F90" s="1734" t="s">
        <v>396</v>
      </c>
      <c r="G90" s="1735">
        <v>1.3</v>
      </c>
      <c r="H90" s="1735">
        <f t="shared" si="7"/>
        <v>1.3</v>
      </c>
      <c r="I90" s="1736">
        <f t="shared" si="8"/>
        <v>1.59</v>
      </c>
      <c r="K90" s="1737">
        <v>1.3</v>
      </c>
      <c r="L90" s="1735">
        <v>0.72</v>
      </c>
    </row>
    <row r="91" spans="1:12" s="1737" customFormat="1" ht="30">
      <c r="A91" s="1745"/>
      <c r="B91" s="1746"/>
      <c r="C91" s="1731" t="s">
        <v>2105</v>
      </c>
      <c r="D91" s="1732">
        <v>41369</v>
      </c>
      <c r="E91" s="1733" t="s">
        <v>405</v>
      </c>
      <c r="F91" s="1734" t="s">
        <v>406</v>
      </c>
      <c r="G91" s="1735">
        <v>1.26</v>
      </c>
      <c r="H91" s="1735">
        <f t="shared" si="7"/>
        <v>1.26</v>
      </c>
      <c r="I91" s="1736">
        <f t="shared" si="8"/>
        <v>1.54</v>
      </c>
      <c r="K91" s="1737">
        <v>1.26</v>
      </c>
      <c r="L91" s="1735">
        <v>0.7</v>
      </c>
    </row>
    <row r="92" spans="1:12" s="1737" customFormat="1" ht="30">
      <c r="A92" s="1745"/>
      <c r="B92" s="1746"/>
      <c r="C92" s="1731" t="s">
        <v>2106</v>
      </c>
      <c r="D92" s="1732">
        <v>41371</v>
      </c>
      <c r="E92" s="1733" t="s">
        <v>407</v>
      </c>
      <c r="F92" s="1734" t="s">
        <v>406</v>
      </c>
      <c r="G92" s="1735">
        <v>0.9</v>
      </c>
      <c r="H92" s="1735">
        <f t="shared" si="7"/>
        <v>0.9</v>
      </c>
      <c r="I92" s="1736">
        <f t="shared" si="8"/>
        <v>1.1000000000000001</v>
      </c>
      <c r="K92" s="1737">
        <v>0.9</v>
      </c>
      <c r="L92" s="1735">
        <v>0.51</v>
      </c>
    </row>
    <row r="93" spans="1:12" s="1737" customFormat="1" ht="30">
      <c r="A93" s="1745"/>
      <c r="B93" s="1746"/>
      <c r="C93" s="1731" t="s">
        <v>2107</v>
      </c>
      <c r="D93" s="1732">
        <v>41373</v>
      </c>
      <c r="E93" s="1733" t="s">
        <v>408</v>
      </c>
      <c r="F93" s="1734" t="s">
        <v>406</v>
      </c>
      <c r="G93" s="1735">
        <v>0.86</v>
      </c>
      <c r="H93" s="1735">
        <f t="shared" si="7"/>
        <v>0.86</v>
      </c>
      <c r="I93" s="1736">
        <f t="shared" si="8"/>
        <v>1.05</v>
      </c>
      <c r="K93" s="1737">
        <v>0.86</v>
      </c>
      <c r="L93" s="1735">
        <v>0.48</v>
      </c>
    </row>
    <row r="94" spans="1:12" s="1737" customFormat="1" ht="30">
      <c r="A94" s="1745"/>
      <c r="B94" s="1746"/>
      <c r="C94" s="1731" t="s">
        <v>2108</v>
      </c>
      <c r="D94" s="1732">
        <v>41376</v>
      </c>
      <c r="E94" s="1733" t="s">
        <v>409</v>
      </c>
      <c r="F94" s="1734"/>
      <c r="G94" s="1735">
        <v>0.93</v>
      </c>
      <c r="H94" s="1735">
        <f t="shared" si="7"/>
        <v>0.93</v>
      </c>
      <c r="I94" s="1736">
        <f t="shared" si="8"/>
        <v>1.1399999999999999</v>
      </c>
      <c r="K94" s="1737">
        <v>0.93</v>
      </c>
      <c r="L94" s="1735">
        <v>0.42</v>
      </c>
    </row>
    <row r="95" spans="1:12" s="1737" customFormat="1" ht="45">
      <c r="A95" s="1745"/>
      <c r="B95" s="1746"/>
      <c r="C95" s="1731" t="s">
        <v>2109</v>
      </c>
      <c r="D95" s="1732">
        <v>41297</v>
      </c>
      <c r="E95" s="1741" t="s">
        <v>445</v>
      </c>
      <c r="F95" s="1734" t="s">
        <v>102</v>
      </c>
      <c r="G95" s="1735">
        <v>803.64</v>
      </c>
      <c r="H95" s="1735">
        <f t="shared" si="7"/>
        <v>803.64</v>
      </c>
      <c r="I95" s="1735">
        <f t="shared" si="8"/>
        <v>984.14</v>
      </c>
      <c r="K95" s="1737">
        <v>803.64</v>
      </c>
      <c r="L95" s="1735">
        <v>554.04999999999995</v>
      </c>
    </row>
    <row r="96" spans="1:12" s="1737" customFormat="1">
      <c r="A96" s="1745"/>
      <c r="B96" s="1746"/>
      <c r="C96" s="1747"/>
      <c r="D96" s="1732"/>
      <c r="E96" s="1733"/>
      <c r="F96" s="1734"/>
      <c r="G96" s="1748"/>
      <c r="H96" s="1748"/>
      <c r="I96" s="1736"/>
    </row>
    <row r="97" spans="1:9" s="1737" customFormat="1">
      <c r="A97" s="1745"/>
      <c r="B97" s="1746"/>
      <c r="C97" s="1747"/>
      <c r="D97" s="1732"/>
      <c r="E97" s="1733"/>
      <c r="F97" s="1734"/>
      <c r="G97" s="1748"/>
      <c r="H97" s="1748"/>
      <c r="I97" s="1736"/>
    </row>
    <row r="98" spans="1:9" s="1737" customFormat="1">
      <c r="A98" s="1745"/>
      <c r="B98" s="1746"/>
      <c r="C98" s="1747"/>
      <c r="D98" s="1732"/>
      <c r="E98" s="1733"/>
      <c r="F98" s="1734"/>
      <c r="G98" s="1748"/>
      <c r="H98" s="1748"/>
      <c r="I98" s="1736"/>
    </row>
    <row r="99" spans="1:9" s="1737" customFormat="1">
      <c r="A99" s="1745"/>
      <c r="B99" s="1746"/>
      <c r="C99" s="1747"/>
      <c r="D99" s="1732"/>
      <c r="E99" s="1733"/>
      <c r="F99" s="1734"/>
      <c r="G99" s="1748"/>
      <c r="H99" s="1748"/>
      <c r="I99" s="1736"/>
    </row>
    <row r="100" spans="1:9" s="1737" customFormat="1">
      <c r="A100" s="1745"/>
      <c r="B100" s="1746"/>
      <c r="C100" s="1747"/>
      <c r="D100" s="1732"/>
      <c r="E100" s="1733"/>
      <c r="F100" s="1734"/>
      <c r="G100" s="1748"/>
      <c r="H100" s="1748"/>
      <c r="I100" s="1736"/>
    </row>
    <row r="101" spans="1:9">
      <c r="B101" s="749"/>
      <c r="C101" s="751"/>
    </row>
    <row r="102" spans="1:9">
      <c r="B102" s="749"/>
      <c r="C102" s="751"/>
    </row>
    <row r="103" spans="1:9">
      <c r="B103" s="749"/>
      <c r="C103" s="751"/>
    </row>
    <row r="104" spans="1:9">
      <c r="B104" s="749"/>
      <c r="C104" s="751"/>
    </row>
    <row r="105" spans="1:9">
      <c r="B105" s="749"/>
      <c r="C105" s="751"/>
    </row>
    <row r="106" spans="1:9">
      <c r="B106" s="749"/>
      <c r="C106" s="751"/>
    </row>
    <row r="107" spans="1:9">
      <c r="B107" s="749"/>
      <c r="C107" s="751"/>
    </row>
    <row r="108" spans="1:9">
      <c r="B108" s="749"/>
      <c r="C108" s="751"/>
    </row>
    <row r="109" spans="1:9">
      <c r="B109" s="749"/>
      <c r="C109" s="751"/>
    </row>
    <row r="110" spans="1:9">
      <c r="B110" s="749"/>
      <c r="C110" s="751"/>
    </row>
    <row r="111" spans="1:9">
      <c r="B111" s="749"/>
      <c r="C111" s="751"/>
    </row>
    <row r="112" spans="1:9">
      <c r="B112" s="749"/>
      <c r="C112" s="751"/>
    </row>
    <row r="113" spans="2:3">
      <c r="B113" s="749"/>
      <c r="C113" s="751"/>
    </row>
    <row r="114" spans="2:3">
      <c r="B114" s="749"/>
      <c r="C114" s="751"/>
    </row>
    <row r="115" spans="2:3">
      <c r="B115" s="749"/>
      <c r="C115" s="751"/>
    </row>
    <row r="116" spans="2:3">
      <c r="B116" s="749"/>
      <c r="C116" s="751"/>
    </row>
    <row r="117" spans="2:3">
      <c r="B117" s="749"/>
      <c r="C117" s="751"/>
    </row>
    <row r="118" spans="2:3">
      <c r="B118" s="749"/>
      <c r="C118" s="751"/>
    </row>
    <row r="119" spans="2:3">
      <c r="B119" s="749"/>
      <c r="C119" s="751"/>
    </row>
    <row r="120" spans="2:3">
      <c r="B120" s="749"/>
      <c r="C120" s="751"/>
    </row>
    <row r="121" spans="2:3">
      <c r="B121" s="749"/>
      <c r="C121" s="751"/>
    </row>
    <row r="122" spans="2:3">
      <c r="B122" s="749"/>
      <c r="C122" s="751"/>
    </row>
    <row r="123" spans="2:3">
      <c r="B123" s="749"/>
      <c r="C123" s="751"/>
    </row>
    <row r="124" spans="2:3">
      <c r="B124" s="749"/>
      <c r="C124" s="751"/>
    </row>
    <row r="125" spans="2:3">
      <c r="B125" s="749"/>
      <c r="C125" s="751"/>
    </row>
    <row r="126" spans="2:3">
      <c r="B126" s="749"/>
      <c r="C126" s="751"/>
    </row>
    <row r="127" spans="2:3">
      <c r="B127" s="749"/>
      <c r="C127" s="751"/>
    </row>
    <row r="128" spans="2:3">
      <c r="B128" s="749"/>
      <c r="C128" s="751"/>
    </row>
    <row r="129" spans="2:3">
      <c r="B129" s="749"/>
      <c r="C129" s="751"/>
    </row>
    <row r="130" spans="2:3">
      <c r="B130" s="749"/>
      <c r="C130" s="751"/>
    </row>
    <row r="131" spans="2:3">
      <c r="B131" s="749"/>
      <c r="C131" s="751"/>
    </row>
    <row r="132" spans="2:3">
      <c r="B132" s="749"/>
      <c r="C132" s="751"/>
    </row>
    <row r="133" spans="2:3">
      <c r="B133" s="749"/>
      <c r="C133" s="751"/>
    </row>
    <row r="134" spans="2:3">
      <c r="B134" s="749"/>
      <c r="C134" s="751"/>
    </row>
    <row r="135" spans="2:3">
      <c r="B135" s="749"/>
      <c r="C135" s="751"/>
    </row>
    <row r="136" spans="2:3">
      <c r="B136" s="749"/>
      <c r="C136" s="751"/>
    </row>
    <row r="137" spans="2:3">
      <c r="B137" s="749"/>
      <c r="C137" s="751"/>
    </row>
    <row r="138" spans="2:3">
      <c r="B138" s="749"/>
      <c r="C138" s="751"/>
    </row>
    <row r="139" spans="2:3">
      <c r="B139" s="749"/>
      <c r="C139" s="751"/>
    </row>
    <row r="140" spans="2:3">
      <c r="B140" s="749"/>
      <c r="C140" s="751"/>
    </row>
    <row r="141" spans="2:3">
      <c r="B141" s="749"/>
      <c r="C141" s="751"/>
    </row>
    <row r="142" spans="2:3">
      <c r="B142" s="749"/>
      <c r="C142" s="751"/>
    </row>
    <row r="143" spans="2:3">
      <c r="B143" s="749"/>
      <c r="C143" s="751"/>
    </row>
    <row r="144" spans="2:3">
      <c r="B144" s="749"/>
      <c r="C144" s="751"/>
    </row>
    <row r="145" spans="2:3">
      <c r="B145" s="749"/>
      <c r="C145" s="751"/>
    </row>
    <row r="146" spans="2:3">
      <c r="B146" s="749"/>
      <c r="C146" s="751"/>
    </row>
    <row r="147" spans="2:3">
      <c r="B147" s="749"/>
      <c r="C147" s="751"/>
    </row>
    <row r="148" spans="2:3">
      <c r="B148" s="749"/>
      <c r="C148" s="751"/>
    </row>
    <row r="149" spans="2:3">
      <c r="B149" s="749"/>
      <c r="C149" s="751"/>
    </row>
    <row r="150" spans="2:3">
      <c r="B150" s="749"/>
      <c r="C150" s="751"/>
    </row>
    <row r="151" spans="2:3">
      <c r="B151" s="749"/>
      <c r="C151" s="751"/>
    </row>
    <row r="152" spans="2:3">
      <c r="B152" s="749"/>
      <c r="C152" s="751"/>
    </row>
    <row r="153" spans="2:3">
      <c r="B153" s="749"/>
      <c r="C153" s="751"/>
    </row>
    <row r="154" spans="2:3">
      <c r="B154" s="749"/>
      <c r="C154" s="751"/>
    </row>
    <row r="155" spans="2:3">
      <c r="B155" s="749"/>
      <c r="C155" s="751"/>
    </row>
    <row r="156" spans="2:3">
      <c r="B156" s="749"/>
      <c r="C156" s="751"/>
    </row>
    <row r="157" spans="2:3">
      <c r="B157" s="749"/>
      <c r="C157" s="751"/>
    </row>
    <row r="158" spans="2:3">
      <c r="B158" s="749"/>
      <c r="C158" s="751"/>
    </row>
    <row r="159" spans="2:3">
      <c r="B159" s="749"/>
      <c r="C159" s="751"/>
    </row>
    <row r="160" spans="2:3">
      <c r="B160" s="749"/>
      <c r="C160" s="751"/>
    </row>
    <row r="161" spans="2:3">
      <c r="B161" s="749"/>
      <c r="C161" s="751"/>
    </row>
    <row r="162" spans="2:3">
      <c r="B162" s="749"/>
      <c r="C162" s="751"/>
    </row>
    <row r="163" spans="2:3">
      <c r="B163" s="749"/>
      <c r="C163" s="751"/>
    </row>
    <row r="164" spans="2:3">
      <c r="B164" s="749"/>
      <c r="C164" s="751"/>
    </row>
    <row r="165" spans="2:3">
      <c r="B165" s="749"/>
      <c r="C165" s="751"/>
    </row>
    <row r="166" spans="2:3">
      <c r="B166" s="749"/>
      <c r="C166" s="751"/>
    </row>
    <row r="167" spans="2:3">
      <c r="B167" s="749"/>
      <c r="C167" s="751"/>
    </row>
    <row r="168" spans="2:3">
      <c r="B168" s="749"/>
      <c r="C168" s="751"/>
    </row>
    <row r="169" spans="2:3">
      <c r="B169" s="749"/>
      <c r="C169" s="751"/>
    </row>
    <row r="170" spans="2:3">
      <c r="B170" s="749"/>
      <c r="C170" s="751"/>
    </row>
    <row r="171" spans="2:3">
      <c r="B171" s="749"/>
      <c r="C171" s="751"/>
    </row>
    <row r="172" spans="2:3">
      <c r="B172" s="749"/>
      <c r="C172" s="751"/>
    </row>
    <row r="173" spans="2:3">
      <c r="B173" s="749"/>
      <c r="C173" s="751"/>
    </row>
    <row r="174" spans="2:3">
      <c r="B174" s="749"/>
      <c r="C174" s="751"/>
    </row>
    <row r="175" spans="2:3">
      <c r="B175" s="749"/>
      <c r="C175" s="751"/>
    </row>
    <row r="176" spans="2:3">
      <c r="B176" s="749"/>
      <c r="C176" s="751"/>
    </row>
    <row r="177" spans="2:3">
      <c r="B177" s="749"/>
      <c r="C177" s="751"/>
    </row>
    <row r="178" spans="2:3">
      <c r="B178" s="749"/>
      <c r="C178" s="751"/>
    </row>
    <row r="179" spans="2:3">
      <c r="B179" s="749"/>
      <c r="C179" s="751"/>
    </row>
    <row r="180" spans="2:3">
      <c r="B180" s="749"/>
      <c r="C180" s="751"/>
    </row>
    <row r="181" spans="2:3">
      <c r="B181" s="749"/>
      <c r="C181" s="751"/>
    </row>
    <row r="182" spans="2:3">
      <c r="B182" s="749"/>
      <c r="C182" s="751"/>
    </row>
    <row r="183" spans="2:3">
      <c r="B183" s="749"/>
      <c r="C183" s="751"/>
    </row>
    <row r="184" spans="2:3">
      <c r="B184" s="749"/>
      <c r="C184" s="751"/>
    </row>
    <row r="185" spans="2:3">
      <c r="B185" s="749"/>
      <c r="C185" s="751"/>
    </row>
    <row r="186" spans="2:3">
      <c r="B186" s="749"/>
      <c r="C186" s="751"/>
    </row>
    <row r="187" spans="2:3">
      <c r="B187" s="749"/>
      <c r="C187" s="751"/>
    </row>
    <row r="188" spans="2:3">
      <c r="B188" s="749"/>
      <c r="C188" s="751"/>
    </row>
    <row r="189" spans="2:3">
      <c r="B189" s="749"/>
      <c r="C189" s="751"/>
    </row>
    <row r="190" spans="2:3">
      <c r="B190" s="749"/>
      <c r="C190" s="751"/>
    </row>
    <row r="191" spans="2:3">
      <c r="B191" s="749"/>
      <c r="C191" s="751"/>
    </row>
    <row r="192" spans="2:3">
      <c r="B192" s="749"/>
      <c r="C192" s="751"/>
    </row>
    <row r="193" spans="2:3">
      <c r="B193" s="749"/>
      <c r="C193" s="751"/>
    </row>
    <row r="194" spans="2:3">
      <c r="B194" s="749"/>
      <c r="C194" s="751"/>
    </row>
    <row r="195" spans="2:3">
      <c r="B195" s="749"/>
      <c r="C195" s="751"/>
    </row>
    <row r="196" spans="2:3">
      <c r="B196" s="749"/>
      <c r="C196" s="751"/>
    </row>
    <row r="197" spans="2:3">
      <c r="B197" s="749"/>
      <c r="C197" s="751"/>
    </row>
    <row r="198" spans="2:3">
      <c r="B198" s="749"/>
      <c r="C198" s="751"/>
    </row>
    <row r="199" spans="2:3">
      <c r="B199" s="749"/>
      <c r="C199" s="751"/>
    </row>
    <row r="200" spans="2:3">
      <c r="B200" s="749"/>
      <c r="C200" s="751"/>
    </row>
    <row r="201" spans="2:3">
      <c r="B201" s="749"/>
      <c r="C201" s="751"/>
    </row>
    <row r="202" spans="2:3">
      <c r="B202" s="749"/>
      <c r="C202" s="751"/>
    </row>
    <row r="203" spans="2:3">
      <c r="B203" s="749"/>
      <c r="C203" s="751"/>
    </row>
    <row r="204" spans="2:3">
      <c r="B204" s="749"/>
      <c r="C204" s="751"/>
    </row>
    <row r="205" spans="2:3">
      <c r="B205" s="749"/>
      <c r="C205" s="751"/>
    </row>
    <row r="206" spans="2:3">
      <c r="B206" s="749"/>
      <c r="C206" s="751"/>
    </row>
    <row r="207" spans="2:3">
      <c r="B207" s="749"/>
      <c r="C207" s="751"/>
    </row>
    <row r="208" spans="2:3">
      <c r="B208" s="749"/>
      <c r="C208" s="751"/>
    </row>
    <row r="209" spans="2:3">
      <c r="B209" s="749"/>
      <c r="C209" s="751"/>
    </row>
    <row r="210" spans="2:3">
      <c r="B210" s="749"/>
      <c r="C210" s="751"/>
    </row>
    <row r="211" spans="2:3">
      <c r="B211" s="749"/>
      <c r="C211" s="751"/>
    </row>
    <row r="212" spans="2:3">
      <c r="B212" s="749"/>
      <c r="C212" s="751"/>
    </row>
    <row r="213" spans="2:3">
      <c r="B213" s="749"/>
      <c r="C213" s="751"/>
    </row>
    <row r="214" spans="2:3">
      <c r="B214" s="749"/>
      <c r="C214" s="751"/>
    </row>
    <row r="215" spans="2:3">
      <c r="B215" s="749"/>
      <c r="C215" s="751"/>
    </row>
    <row r="216" spans="2:3">
      <c r="B216" s="749"/>
      <c r="C216" s="751"/>
    </row>
    <row r="217" spans="2:3">
      <c r="B217" s="749"/>
      <c r="C217" s="751"/>
    </row>
    <row r="218" spans="2:3">
      <c r="B218" s="749"/>
      <c r="C218" s="751"/>
    </row>
    <row r="219" spans="2:3">
      <c r="B219" s="749"/>
      <c r="C219" s="751"/>
    </row>
    <row r="220" spans="2:3">
      <c r="B220" s="749"/>
      <c r="C220" s="751"/>
    </row>
    <row r="221" spans="2:3">
      <c r="B221" s="749"/>
      <c r="C221" s="751"/>
    </row>
    <row r="222" spans="2:3">
      <c r="B222" s="749"/>
      <c r="C222" s="751"/>
    </row>
    <row r="223" spans="2:3">
      <c r="B223" s="749"/>
      <c r="C223" s="751"/>
    </row>
    <row r="224" spans="2:3">
      <c r="B224" s="749"/>
      <c r="C224" s="751"/>
    </row>
    <row r="225" spans="2:3">
      <c r="B225" s="749"/>
      <c r="C225" s="751"/>
    </row>
  </sheetData>
  <autoFilter ref="C4:I111" xr:uid="{00000000-0001-0000-1D00-000000000000}"/>
  <pageMargins left="0.511811024" right="0.511811024" top="0.78740157499999996" bottom="0.78740157499999996" header="0.31496062000000002" footer="0.31496062000000002"/>
  <pageSetup paperSize="9" orientation="portrait" horizontalDpi="300" verticalDpi="30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Plan26">
    <tabColor rgb="FFFF00FF"/>
  </sheetPr>
  <dimension ref="A1:BA362"/>
  <sheetViews>
    <sheetView showGridLines="0" topLeftCell="A16" workbookViewId="0">
      <selection activeCell="L34" sqref="L34"/>
    </sheetView>
  </sheetViews>
  <sheetFormatPr defaultRowHeight="12.75"/>
  <cols>
    <col min="1" max="1" width="2.5703125" style="612" customWidth="1"/>
    <col min="2" max="3" width="2.5703125" customWidth="1"/>
    <col min="4" max="4" width="2" customWidth="1"/>
    <col min="5" max="5" width="38.85546875" customWidth="1"/>
    <col min="6" max="7" width="16.28515625" style="496" customWidth="1"/>
    <col min="8" max="8" width="0" hidden="1" customWidth="1"/>
    <col min="9" max="12" width="16.28515625" style="496" customWidth="1"/>
    <col min="14" max="14" width="13" customWidth="1"/>
    <col min="256" max="258" width="3.42578125" customWidth="1"/>
    <col min="259" max="259" width="2" customWidth="1"/>
    <col min="260" max="260" width="31.28515625" customWidth="1"/>
    <col min="261" max="261" width="26.5703125" customWidth="1"/>
    <col min="262" max="262" width="12.28515625" customWidth="1"/>
    <col min="263" max="263" width="10.5703125" customWidth="1"/>
    <col min="264" max="264" width="2.7109375" customWidth="1"/>
    <col min="512" max="514" width="3.42578125" customWidth="1"/>
    <col min="515" max="515" width="2" customWidth="1"/>
    <col min="516" max="516" width="31.28515625" customWidth="1"/>
    <col min="517" max="517" width="26.5703125" customWidth="1"/>
    <col min="518" max="518" width="12.28515625" customWidth="1"/>
    <col min="519" max="519" width="10.5703125" customWidth="1"/>
    <col min="520" max="520" width="2.7109375" customWidth="1"/>
    <col min="768" max="770" width="3.42578125" customWidth="1"/>
    <col min="771" max="771" width="2" customWidth="1"/>
    <col min="772" max="772" width="31.28515625" customWidth="1"/>
    <col min="773" max="773" width="26.5703125" customWidth="1"/>
    <col min="774" max="774" width="12.28515625" customWidth="1"/>
    <col min="775" max="775" width="10.5703125" customWidth="1"/>
    <col min="776" max="776" width="2.7109375" customWidth="1"/>
    <col min="1024" max="1026" width="3.42578125" customWidth="1"/>
    <col min="1027" max="1027" width="2" customWidth="1"/>
    <col min="1028" max="1028" width="31.28515625" customWidth="1"/>
    <col min="1029" max="1029" width="26.5703125" customWidth="1"/>
    <col min="1030" max="1030" width="12.28515625" customWidth="1"/>
    <col min="1031" max="1031" width="10.5703125" customWidth="1"/>
    <col min="1032" max="1032" width="2.7109375" customWidth="1"/>
    <col min="1280" max="1282" width="3.42578125" customWidth="1"/>
    <col min="1283" max="1283" width="2" customWidth="1"/>
    <col min="1284" max="1284" width="31.28515625" customWidth="1"/>
    <col min="1285" max="1285" width="26.5703125" customWidth="1"/>
    <col min="1286" max="1286" width="12.28515625" customWidth="1"/>
    <col min="1287" max="1287" width="10.5703125" customWidth="1"/>
    <col min="1288" max="1288" width="2.7109375" customWidth="1"/>
    <col min="1536" max="1538" width="3.42578125" customWidth="1"/>
    <col min="1539" max="1539" width="2" customWidth="1"/>
    <col min="1540" max="1540" width="31.28515625" customWidth="1"/>
    <col min="1541" max="1541" width="26.5703125" customWidth="1"/>
    <col min="1542" max="1542" width="12.28515625" customWidth="1"/>
    <col min="1543" max="1543" width="10.5703125" customWidth="1"/>
    <col min="1544" max="1544" width="2.7109375" customWidth="1"/>
    <col min="1792" max="1794" width="3.42578125" customWidth="1"/>
    <col min="1795" max="1795" width="2" customWidth="1"/>
    <col min="1796" max="1796" width="31.28515625" customWidth="1"/>
    <col min="1797" max="1797" width="26.5703125" customWidth="1"/>
    <col min="1798" max="1798" width="12.28515625" customWidth="1"/>
    <col min="1799" max="1799" width="10.5703125" customWidth="1"/>
    <col min="1800" max="1800" width="2.7109375" customWidth="1"/>
    <col min="2048" max="2050" width="3.42578125" customWidth="1"/>
    <col min="2051" max="2051" width="2" customWidth="1"/>
    <col min="2052" max="2052" width="31.28515625" customWidth="1"/>
    <col min="2053" max="2053" width="26.5703125" customWidth="1"/>
    <col min="2054" max="2054" width="12.28515625" customWidth="1"/>
    <col min="2055" max="2055" width="10.5703125" customWidth="1"/>
    <col min="2056" max="2056" width="2.7109375" customWidth="1"/>
    <col min="2304" max="2306" width="3.42578125" customWidth="1"/>
    <col min="2307" max="2307" width="2" customWidth="1"/>
    <col min="2308" max="2308" width="31.28515625" customWidth="1"/>
    <col min="2309" max="2309" width="26.5703125" customWidth="1"/>
    <col min="2310" max="2310" width="12.28515625" customWidth="1"/>
    <col min="2311" max="2311" width="10.5703125" customWidth="1"/>
    <col min="2312" max="2312" width="2.7109375" customWidth="1"/>
    <col min="2560" max="2562" width="3.42578125" customWidth="1"/>
    <col min="2563" max="2563" width="2" customWidth="1"/>
    <col min="2564" max="2564" width="31.28515625" customWidth="1"/>
    <col min="2565" max="2565" width="26.5703125" customWidth="1"/>
    <col min="2566" max="2566" width="12.28515625" customWidth="1"/>
    <col min="2567" max="2567" width="10.5703125" customWidth="1"/>
    <col min="2568" max="2568" width="2.7109375" customWidth="1"/>
    <col min="2816" max="2818" width="3.42578125" customWidth="1"/>
    <col min="2819" max="2819" width="2" customWidth="1"/>
    <col min="2820" max="2820" width="31.28515625" customWidth="1"/>
    <col min="2821" max="2821" width="26.5703125" customWidth="1"/>
    <col min="2822" max="2822" width="12.28515625" customWidth="1"/>
    <col min="2823" max="2823" width="10.5703125" customWidth="1"/>
    <col min="2824" max="2824" width="2.7109375" customWidth="1"/>
    <col min="3072" max="3074" width="3.42578125" customWidth="1"/>
    <col min="3075" max="3075" width="2" customWidth="1"/>
    <col min="3076" max="3076" width="31.28515625" customWidth="1"/>
    <col min="3077" max="3077" width="26.5703125" customWidth="1"/>
    <col min="3078" max="3078" width="12.28515625" customWidth="1"/>
    <col min="3079" max="3079" width="10.5703125" customWidth="1"/>
    <col min="3080" max="3080" width="2.7109375" customWidth="1"/>
    <col min="3328" max="3330" width="3.42578125" customWidth="1"/>
    <col min="3331" max="3331" width="2" customWidth="1"/>
    <col min="3332" max="3332" width="31.28515625" customWidth="1"/>
    <col min="3333" max="3333" width="26.5703125" customWidth="1"/>
    <col min="3334" max="3334" width="12.28515625" customWidth="1"/>
    <col min="3335" max="3335" width="10.5703125" customWidth="1"/>
    <col min="3336" max="3336" width="2.7109375" customWidth="1"/>
    <col min="3584" max="3586" width="3.42578125" customWidth="1"/>
    <col min="3587" max="3587" width="2" customWidth="1"/>
    <col min="3588" max="3588" width="31.28515625" customWidth="1"/>
    <col min="3589" max="3589" width="26.5703125" customWidth="1"/>
    <col min="3590" max="3590" width="12.28515625" customWidth="1"/>
    <col min="3591" max="3591" width="10.5703125" customWidth="1"/>
    <col min="3592" max="3592" width="2.7109375" customWidth="1"/>
    <col min="3840" max="3842" width="3.42578125" customWidth="1"/>
    <col min="3843" max="3843" width="2" customWidth="1"/>
    <col min="3844" max="3844" width="31.28515625" customWidth="1"/>
    <col min="3845" max="3845" width="26.5703125" customWidth="1"/>
    <col min="3846" max="3846" width="12.28515625" customWidth="1"/>
    <col min="3847" max="3847" width="10.5703125" customWidth="1"/>
    <col min="3848" max="3848" width="2.7109375" customWidth="1"/>
    <col min="4096" max="4098" width="3.42578125" customWidth="1"/>
    <col min="4099" max="4099" width="2" customWidth="1"/>
    <col min="4100" max="4100" width="31.28515625" customWidth="1"/>
    <col min="4101" max="4101" width="26.5703125" customWidth="1"/>
    <col min="4102" max="4102" width="12.28515625" customWidth="1"/>
    <col min="4103" max="4103" width="10.5703125" customWidth="1"/>
    <col min="4104" max="4104" width="2.7109375" customWidth="1"/>
    <col min="4352" max="4354" width="3.42578125" customWidth="1"/>
    <col min="4355" max="4355" width="2" customWidth="1"/>
    <col min="4356" max="4356" width="31.28515625" customWidth="1"/>
    <col min="4357" max="4357" width="26.5703125" customWidth="1"/>
    <col min="4358" max="4358" width="12.28515625" customWidth="1"/>
    <col min="4359" max="4359" width="10.5703125" customWidth="1"/>
    <col min="4360" max="4360" width="2.7109375" customWidth="1"/>
    <col min="4608" max="4610" width="3.42578125" customWidth="1"/>
    <col min="4611" max="4611" width="2" customWidth="1"/>
    <col min="4612" max="4612" width="31.28515625" customWidth="1"/>
    <col min="4613" max="4613" width="26.5703125" customWidth="1"/>
    <col min="4614" max="4614" width="12.28515625" customWidth="1"/>
    <col min="4615" max="4615" width="10.5703125" customWidth="1"/>
    <col min="4616" max="4616" width="2.7109375" customWidth="1"/>
    <col min="4864" max="4866" width="3.42578125" customWidth="1"/>
    <col min="4867" max="4867" width="2" customWidth="1"/>
    <col min="4868" max="4868" width="31.28515625" customWidth="1"/>
    <col min="4869" max="4869" width="26.5703125" customWidth="1"/>
    <col min="4870" max="4870" width="12.28515625" customWidth="1"/>
    <col min="4871" max="4871" width="10.5703125" customWidth="1"/>
    <col min="4872" max="4872" width="2.7109375" customWidth="1"/>
    <col min="5120" max="5122" width="3.42578125" customWidth="1"/>
    <col min="5123" max="5123" width="2" customWidth="1"/>
    <col min="5124" max="5124" width="31.28515625" customWidth="1"/>
    <col min="5125" max="5125" width="26.5703125" customWidth="1"/>
    <col min="5126" max="5126" width="12.28515625" customWidth="1"/>
    <col min="5127" max="5127" width="10.5703125" customWidth="1"/>
    <col min="5128" max="5128" width="2.7109375" customWidth="1"/>
    <col min="5376" max="5378" width="3.42578125" customWidth="1"/>
    <col min="5379" max="5379" width="2" customWidth="1"/>
    <col min="5380" max="5380" width="31.28515625" customWidth="1"/>
    <col min="5381" max="5381" width="26.5703125" customWidth="1"/>
    <col min="5382" max="5382" width="12.28515625" customWidth="1"/>
    <col min="5383" max="5383" width="10.5703125" customWidth="1"/>
    <col min="5384" max="5384" width="2.7109375" customWidth="1"/>
    <col min="5632" max="5634" width="3.42578125" customWidth="1"/>
    <col min="5635" max="5635" width="2" customWidth="1"/>
    <col min="5636" max="5636" width="31.28515625" customWidth="1"/>
    <col min="5637" max="5637" width="26.5703125" customWidth="1"/>
    <col min="5638" max="5638" width="12.28515625" customWidth="1"/>
    <col min="5639" max="5639" width="10.5703125" customWidth="1"/>
    <col min="5640" max="5640" width="2.7109375" customWidth="1"/>
    <col min="5888" max="5890" width="3.42578125" customWidth="1"/>
    <col min="5891" max="5891" width="2" customWidth="1"/>
    <col min="5892" max="5892" width="31.28515625" customWidth="1"/>
    <col min="5893" max="5893" width="26.5703125" customWidth="1"/>
    <col min="5894" max="5894" width="12.28515625" customWidth="1"/>
    <col min="5895" max="5895" width="10.5703125" customWidth="1"/>
    <col min="5896" max="5896" width="2.7109375" customWidth="1"/>
    <col min="6144" max="6146" width="3.42578125" customWidth="1"/>
    <col min="6147" max="6147" width="2" customWidth="1"/>
    <col min="6148" max="6148" width="31.28515625" customWidth="1"/>
    <col min="6149" max="6149" width="26.5703125" customWidth="1"/>
    <col min="6150" max="6150" width="12.28515625" customWidth="1"/>
    <col min="6151" max="6151" width="10.5703125" customWidth="1"/>
    <col min="6152" max="6152" width="2.7109375" customWidth="1"/>
    <col min="6400" max="6402" width="3.42578125" customWidth="1"/>
    <col min="6403" max="6403" width="2" customWidth="1"/>
    <col min="6404" max="6404" width="31.28515625" customWidth="1"/>
    <col min="6405" max="6405" width="26.5703125" customWidth="1"/>
    <col min="6406" max="6406" width="12.28515625" customWidth="1"/>
    <col min="6407" max="6407" width="10.5703125" customWidth="1"/>
    <col min="6408" max="6408" width="2.7109375" customWidth="1"/>
    <col min="6656" max="6658" width="3.42578125" customWidth="1"/>
    <col min="6659" max="6659" width="2" customWidth="1"/>
    <col min="6660" max="6660" width="31.28515625" customWidth="1"/>
    <col min="6661" max="6661" width="26.5703125" customWidth="1"/>
    <col min="6662" max="6662" width="12.28515625" customWidth="1"/>
    <col min="6663" max="6663" width="10.5703125" customWidth="1"/>
    <col min="6664" max="6664" width="2.7109375" customWidth="1"/>
    <col min="6912" max="6914" width="3.42578125" customWidth="1"/>
    <col min="6915" max="6915" width="2" customWidth="1"/>
    <col min="6916" max="6916" width="31.28515625" customWidth="1"/>
    <col min="6917" max="6917" width="26.5703125" customWidth="1"/>
    <col min="6918" max="6918" width="12.28515625" customWidth="1"/>
    <col min="6919" max="6919" width="10.5703125" customWidth="1"/>
    <col min="6920" max="6920" width="2.7109375" customWidth="1"/>
    <col min="7168" max="7170" width="3.42578125" customWidth="1"/>
    <col min="7171" max="7171" width="2" customWidth="1"/>
    <col min="7172" max="7172" width="31.28515625" customWidth="1"/>
    <col min="7173" max="7173" width="26.5703125" customWidth="1"/>
    <col min="7174" max="7174" width="12.28515625" customWidth="1"/>
    <col min="7175" max="7175" width="10.5703125" customWidth="1"/>
    <col min="7176" max="7176" width="2.7109375" customWidth="1"/>
    <col min="7424" max="7426" width="3.42578125" customWidth="1"/>
    <col min="7427" max="7427" width="2" customWidth="1"/>
    <col min="7428" max="7428" width="31.28515625" customWidth="1"/>
    <col min="7429" max="7429" width="26.5703125" customWidth="1"/>
    <col min="7430" max="7430" width="12.28515625" customWidth="1"/>
    <col min="7431" max="7431" width="10.5703125" customWidth="1"/>
    <col min="7432" max="7432" width="2.7109375" customWidth="1"/>
    <col min="7680" max="7682" width="3.42578125" customWidth="1"/>
    <col min="7683" max="7683" width="2" customWidth="1"/>
    <col min="7684" max="7684" width="31.28515625" customWidth="1"/>
    <col min="7685" max="7685" width="26.5703125" customWidth="1"/>
    <col min="7686" max="7686" width="12.28515625" customWidth="1"/>
    <col min="7687" max="7687" width="10.5703125" customWidth="1"/>
    <col min="7688" max="7688" width="2.7109375" customWidth="1"/>
    <col min="7936" max="7938" width="3.42578125" customWidth="1"/>
    <col min="7939" max="7939" width="2" customWidth="1"/>
    <col min="7940" max="7940" width="31.28515625" customWidth="1"/>
    <col min="7941" max="7941" width="26.5703125" customWidth="1"/>
    <col min="7942" max="7942" width="12.28515625" customWidth="1"/>
    <col min="7943" max="7943" width="10.5703125" customWidth="1"/>
    <col min="7944" max="7944" width="2.7109375" customWidth="1"/>
    <col min="8192" max="8194" width="3.42578125" customWidth="1"/>
    <col min="8195" max="8195" width="2" customWidth="1"/>
    <col min="8196" max="8196" width="31.28515625" customWidth="1"/>
    <col min="8197" max="8197" width="26.5703125" customWidth="1"/>
    <col min="8198" max="8198" width="12.28515625" customWidth="1"/>
    <col min="8199" max="8199" width="10.5703125" customWidth="1"/>
    <col min="8200" max="8200" width="2.7109375" customWidth="1"/>
    <col min="8448" max="8450" width="3.42578125" customWidth="1"/>
    <col min="8451" max="8451" width="2" customWidth="1"/>
    <col min="8452" max="8452" width="31.28515625" customWidth="1"/>
    <col min="8453" max="8453" width="26.5703125" customWidth="1"/>
    <col min="8454" max="8454" width="12.28515625" customWidth="1"/>
    <col min="8455" max="8455" width="10.5703125" customWidth="1"/>
    <col min="8456" max="8456" width="2.7109375" customWidth="1"/>
    <col min="8704" max="8706" width="3.42578125" customWidth="1"/>
    <col min="8707" max="8707" width="2" customWidth="1"/>
    <col min="8708" max="8708" width="31.28515625" customWidth="1"/>
    <col min="8709" max="8709" width="26.5703125" customWidth="1"/>
    <col min="8710" max="8710" width="12.28515625" customWidth="1"/>
    <col min="8711" max="8711" width="10.5703125" customWidth="1"/>
    <col min="8712" max="8712" width="2.7109375" customWidth="1"/>
    <col min="8960" max="8962" width="3.42578125" customWidth="1"/>
    <col min="8963" max="8963" width="2" customWidth="1"/>
    <col min="8964" max="8964" width="31.28515625" customWidth="1"/>
    <col min="8965" max="8965" width="26.5703125" customWidth="1"/>
    <col min="8966" max="8966" width="12.28515625" customWidth="1"/>
    <col min="8967" max="8967" width="10.5703125" customWidth="1"/>
    <col min="8968" max="8968" width="2.7109375" customWidth="1"/>
    <col min="9216" max="9218" width="3.42578125" customWidth="1"/>
    <col min="9219" max="9219" width="2" customWidth="1"/>
    <col min="9220" max="9220" width="31.28515625" customWidth="1"/>
    <col min="9221" max="9221" width="26.5703125" customWidth="1"/>
    <col min="9222" max="9222" width="12.28515625" customWidth="1"/>
    <col min="9223" max="9223" width="10.5703125" customWidth="1"/>
    <col min="9224" max="9224" width="2.7109375" customWidth="1"/>
    <col min="9472" max="9474" width="3.42578125" customWidth="1"/>
    <col min="9475" max="9475" width="2" customWidth="1"/>
    <col min="9476" max="9476" width="31.28515625" customWidth="1"/>
    <col min="9477" max="9477" width="26.5703125" customWidth="1"/>
    <col min="9478" max="9478" width="12.28515625" customWidth="1"/>
    <col min="9479" max="9479" width="10.5703125" customWidth="1"/>
    <col min="9480" max="9480" width="2.7109375" customWidth="1"/>
    <col min="9728" max="9730" width="3.42578125" customWidth="1"/>
    <col min="9731" max="9731" width="2" customWidth="1"/>
    <col min="9732" max="9732" width="31.28515625" customWidth="1"/>
    <col min="9733" max="9733" width="26.5703125" customWidth="1"/>
    <col min="9734" max="9734" width="12.28515625" customWidth="1"/>
    <col min="9735" max="9735" width="10.5703125" customWidth="1"/>
    <col min="9736" max="9736" width="2.7109375" customWidth="1"/>
    <col min="9984" max="9986" width="3.42578125" customWidth="1"/>
    <col min="9987" max="9987" width="2" customWidth="1"/>
    <col min="9988" max="9988" width="31.28515625" customWidth="1"/>
    <col min="9989" max="9989" width="26.5703125" customWidth="1"/>
    <col min="9990" max="9990" width="12.28515625" customWidth="1"/>
    <col min="9991" max="9991" width="10.5703125" customWidth="1"/>
    <col min="9992" max="9992" width="2.7109375" customWidth="1"/>
    <col min="10240" max="10242" width="3.42578125" customWidth="1"/>
    <col min="10243" max="10243" width="2" customWidth="1"/>
    <col min="10244" max="10244" width="31.28515625" customWidth="1"/>
    <col min="10245" max="10245" width="26.5703125" customWidth="1"/>
    <col min="10246" max="10246" width="12.28515625" customWidth="1"/>
    <col min="10247" max="10247" width="10.5703125" customWidth="1"/>
    <col min="10248" max="10248" width="2.7109375" customWidth="1"/>
    <col min="10496" max="10498" width="3.42578125" customWidth="1"/>
    <col min="10499" max="10499" width="2" customWidth="1"/>
    <col min="10500" max="10500" width="31.28515625" customWidth="1"/>
    <col min="10501" max="10501" width="26.5703125" customWidth="1"/>
    <col min="10502" max="10502" width="12.28515625" customWidth="1"/>
    <col min="10503" max="10503" width="10.5703125" customWidth="1"/>
    <col min="10504" max="10504" width="2.7109375" customWidth="1"/>
    <col min="10752" max="10754" width="3.42578125" customWidth="1"/>
    <col min="10755" max="10755" width="2" customWidth="1"/>
    <col min="10756" max="10756" width="31.28515625" customWidth="1"/>
    <col min="10757" max="10757" width="26.5703125" customWidth="1"/>
    <col min="10758" max="10758" width="12.28515625" customWidth="1"/>
    <col min="10759" max="10759" width="10.5703125" customWidth="1"/>
    <col min="10760" max="10760" width="2.7109375" customWidth="1"/>
    <col min="11008" max="11010" width="3.42578125" customWidth="1"/>
    <col min="11011" max="11011" width="2" customWidth="1"/>
    <col min="11012" max="11012" width="31.28515625" customWidth="1"/>
    <col min="11013" max="11013" width="26.5703125" customWidth="1"/>
    <col min="11014" max="11014" width="12.28515625" customWidth="1"/>
    <col min="11015" max="11015" width="10.5703125" customWidth="1"/>
    <col min="11016" max="11016" width="2.7109375" customWidth="1"/>
    <col min="11264" max="11266" width="3.42578125" customWidth="1"/>
    <col min="11267" max="11267" width="2" customWidth="1"/>
    <col min="11268" max="11268" width="31.28515625" customWidth="1"/>
    <col min="11269" max="11269" width="26.5703125" customWidth="1"/>
    <col min="11270" max="11270" width="12.28515625" customWidth="1"/>
    <col min="11271" max="11271" width="10.5703125" customWidth="1"/>
    <col min="11272" max="11272" width="2.7109375" customWidth="1"/>
    <col min="11520" max="11522" width="3.42578125" customWidth="1"/>
    <col min="11523" max="11523" width="2" customWidth="1"/>
    <col min="11524" max="11524" width="31.28515625" customWidth="1"/>
    <col min="11525" max="11525" width="26.5703125" customWidth="1"/>
    <col min="11526" max="11526" width="12.28515625" customWidth="1"/>
    <col min="11527" max="11527" width="10.5703125" customWidth="1"/>
    <col min="11528" max="11528" width="2.7109375" customWidth="1"/>
    <col min="11776" max="11778" width="3.42578125" customWidth="1"/>
    <col min="11779" max="11779" width="2" customWidth="1"/>
    <col min="11780" max="11780" width="31.28515625" customWidth="1"/>
    <col min="11781" max="11781" width="26.5703125" customWidth="1"/>
    <col min="11782" max="11782" width="12.28515625" customWidth="1"/>
    <col min="11783" max="11783" width="10.5703125" customWidth="1"/>
    <col min="11784" max="11784" width="2.7109375" customWidth="1"/>
    <col min="12032" max="12034" width="3.42578125" customWidth="1"/>
    <col min="12035" max="12035" width="2" customWidth="1"/>
    <col min="12036" max="12036" width="31.28515625" customWidth="1"/>
    <col min="12037" max="12037" width="26.5703125" customWidth="1"/>
    <col min="12038" max="12038" width="12.28515625" customWidth="1"/>
    <col min="12039" max="12039" width="10.5703125" customWidth="1"/>
    <col min="12040" max="12040" width="2.7109375" customWidth="1"/>
    <col min="12288" max="12290" width="3.42578125" customWidth="1"/>
    <col min="12291" max="12291" width="2" customWidth="1"/>
    <col min="12292" max="12292" width="31.28515625" customWidth="1"/>
    <col min="12293" max="12293" width="26.5703125" customWidth="1"/>
    <col min="12294" max="12294" width="12.28515625" customWidth="1"/>
    <col min="12295" max="12295" width="10.5703125" customWidth="1"/>
    <col min="12296" max="12296" width="2.7109375" customWidth="1"/>
    <col min="12544" max="12546" width="3.42578125" customWidth="1"/>
    <col min="12547" max="12547" width="2" customWidth="1"/>
    <col min="12548" max="12548" width="31.28515625" customWidth="1"/>
    <col min="12549" max="12549" width="26.5703125" customWidth="1"/>
    <col min="12550" max="12550" width="12.28515625" customWidth="1"/>
    <col min="12551" max="12551" width="10.5703125" customWidth="1"/>
    <col min="12552" max="12552" width="2.7109375" customWidth="1"/>
    <col min="12800" max="12802" width="3.42578125" customWidth="1"/>
    <col min="12803" max="12803" width="2" customWidth="1"/>
    <col min="12804" max="12804" width="31.28515625" customWidth="1"/>
    <col min="12805" max="12805" width="26.5703125" customWidth="1"/>
    <col min="12806" max="12806" width="12.28515625" customWidth="1"/>
    <col min="12807" max="12807" width="10.5703125" customWidth="1"/>
    <col min="12808" max="12808" width="2.7109375" customWidth="1"/>
    <col min="13056" max="13058" width="3.42578125" customWidth="1"/>
    <col min="13059" max="13059" width="2" customWidth="1"/>
    <col min="13060" max="13060" width="31.28515625" customWidth="1"/>
    <col min="13061" max="13061" width="26.5703125" customWidth="1"/>
    <col min="13062" max="13062" width="12.28515625" customWidth="1"/>
    <col min="13063" max="13063" width="10.5703125" customWidth="1"/>
    <col min="13064" max="13064" width="2.7109375" customWidth="1"/>
    <col min="13312" max="13314" width="3.42578125" customWidth="1"/>
    <col min="13315" max="13315" width="2" customWidth="1"/>
    <col min="13316" max="13316" width="31.28515625" customWidth="1"/>
    <col min="13317" max="13317" width="26.5703125" customWidth="1"/>
    <col min="13318" max="13318" width="12.28515625" customWidth="1"/>
    <col min="13319" max="13319" width="10.5703125" customWidth="1"/>
    <col min="13320" max="13320" width="2.7109375" customWidth="1"/>
    <col min="13568" max="13570" width="3.42578125" customWidth="1"/>
    <col min="13571" max="13571" width="2" customWidth="1"/>
    <col min="13572" max="13572" width="31.28515625" customWidth="1"/>
    <col min="13573" max="13573" width="26.5703125" customWidth="1"/>
    <col min="13574" max="13574" width="12.28515625" customWidth="1"/>
    <col min="13575" max="13575" width="10.5703125" customWidth="1"/>
    <col min="13576" max="13576" width="2.7109375" customWidth="1"/>
    <col min="13824" max="13826" width="3.42578125" customWidth="1"/>
    <col min="13827" max="13827" width="2" customWidth="1"/>
    <col min="13828" max="13828" width="31.28515625" customWidth="1"/>
    <col min="13829" max="13829" width="26.5703125" customWidth="1"/>
    <col min="13830" max="13830" width="12.28515625" customWidth="1"/>
    <col min="13831" max="13831" width="10.5703125" customWidth="1"/>
    <col min="13832" max="13832" width="2.7109375" customWidth="1"/>
    <col min="14080" max="14082" width="3.42578125" customWidth="1"/>
    <col min="14083" max="14083" width="2" customWidth="1"/>
    <col min="14084" max="14084" width="31.28515625" customWidth="1"/>
    <col min="14085" max="14085" width="26.5703125" customWidth="1"/>
    <col min="14086" max="14086" width="12.28515625" customWidth="1"/>
    <col min="14087" max="14087" width="10.5703125" customWidth="1"/>
    <col min="14088" max="14088" width="2.7109375" customWidth="1"/>
    <col min="14336" max="14338" width="3.42578125" customWidth="1"/>
    <col min="14339" max="14339" width="2" customWidth="1"/>
    <col min="14340" max="14340" width="31.28515625" customWidth="1"/>
    <col min="14341" max="14341" width="26.5703125" customWidth="1"/>
    <col min="14342" max="14342" width="12.28515625" customWidth="1"/>
    <col min="14343" max="14343" width="10.5703125" customWidth="1"/>
    <col min="14344" max="14344" width="2.7109375" customWidth="1"/>
    <col min="14592" max="14594" width="3.42578125" customWidth="1"/>
    <col min="14595" max="14595" width="2" customWidth="1"/>
    <col min="14596" max="14596" width="31.28515625" customWidth="1"/>
    <col min="14597" max="14597" width="26.5703125" customWidth="1"/>
    <col min="14598" max="14598" width="12.28515625" customWidth="1"/>
    <col min="14599" max="14599" width="10.5703125" customWidth="1"/>
    <col min="14600" max="14600" width="2.7109375" customWidth="1"/>
    <col min="14848" max="14850" width="3.42578125" customWidth="1"/>
    <col min="14851" max="14851" width="2" customWidth="1"/>
    <col min="14852" max="14852" width="31.28515625" customWidth="1"/>
    <col min="14853" max="14853" width="26.5703125" customWidth="1"/>
    <col min="14854" max="14854" width="12.28515625" customWidth="1"/>
    <col min="14855" max="14855" width="10.5703125" customWidth="1"/>
    <col min="14856" max="14856" width="2.7109375" customWidth="1"/>
    <col min="15104" max="15106" width="3.42578125" customWidth="1"/>
    <col min="15107" max="15107" width="2" customWidth="1"/>
    <col min="15108" max="15108" width="31.28515625" customWidth="1"/>
    <col min="15109" max="15109" width="26.5703125" customWidth="1"/>
    <col min="15110" max="15110" width="12.28515625" customWidth="1"/>
    <col min="15111" max="15111" width="10.5703125" customWidth="1"/>
    <col min="15112" max="15112" width="2.7109375" customWidth="1"/>
    <col min="15360" max="15362" width="3.42578125" customWidth="1"/>
    <col min="15363" max="15363" width="2" customWidth="1"/>
    <col min="15364" max="15364" width="31.28515625" customWidth="1"/>
    <col min="15365" max="15365" width="26.5703125" customWidth="1"/>
    <col min="15366" max="15366" width="12.28515625" customWidth="1"/>
    <col min="15367" max="15367" width="10.5703125" customWidth="1"/>
    <col min="15368" max="15368" width="2.7109375" customWidth="1"/>
    <col min="15616" max="15618" width="3.42578125" customWidth="1"/>
    <col min="15619" max="15619" width="2" customWidth="1"/>
    <col min="15620" max="15620" width="31.28515625" customWidth="1"/>
    <col min="15621" max="15621" width="26.5703125" customWidth="1"/>
    <col min="15622" max="15622" width="12.28515625" customWidth="1"/>
    <col min="15623" max="15623" width="10.5703125" customWidth="1"/>
    <col min="15624" max="15624" width="2.7109375" customWidth="1"/>
    <col min="15872" max="15874" width="3.42578125" customWidth="1"/>
    <col min="15875" max="15875" width="2" customWidth="1"/>
    <col min="15876" max="15876" width="31.28515625" customWidth="1"/>
    <col min="15877" max="15877" width="26.5703125" customWidth="1"/>
    <col min="15878" max="15878" width="12.28515625" customWidth="1"/>
    <col min="15879" max="15879" width="10.5703125" customWidth="1"/>
    <col min="15880" max="15880" width="2.7109375" customWidth="1"/>
    <col min="16128" max="16130" width="3.42578125" customWidth="1"/>
    <col min="16131" max="16131" width="2" customWidth="1"/>
    <col min="16132" max="16132" width="31.28515625" customWidth="1"/>
    <col min="16133" max="16133" width="26.5703125" customWidth="1"/>
    <col min="16134" max="16134" width="12.28515625" customWidth="1"/>
    <col min="16135" max="16135" width="10.5703125" customWidth="1"/>
    <col min="16136" max="16136" width="2.7109375" customWidth="1"/>
  </cols>
  <sheetData>
    <row r="1" spans="1:53" s="612" customFormat="1" ht="12.75" customHeight="1">
      <c r="A1" s="595"/>
      <c r="B1" s="596"/>
      <c r="C1" s="595"/>
      <c r="D1" s="595"/>
      <c r="E1" s="595"/>
      <c r="F1" s="739"/>
      <c r="G1" s="739"/>
      <c r="H1" s="595"/>
      <c r="I1" s="739"/>
      <c r="J1" s="739"/>
      <c r="K1" s="739"/>
      <c r="L1" s="739"/>
      <c r="M1" s="595"/>
      <c r="N1" s="595"/>
      <c r="O1" s="595"/>
      <c r="P1" s="595"/>
      <c r="Q1" s="595"/>
      <c r="R1" s="595"/>
      <c r="S1" s="595"/>
      <c r="T1" s="595"/>
      <c r="U1" s="595"/>
      <c r="V1" s="595"/>
      <c r="W1" s="595"/>
      <c r="X1" s="595"/>
      <c r="Y1" s="595"/>
      <c r="Z1" s="595"/>
      <c r="AA1" s="595"/>
      <c r="AB1" s="595"/>
      <c r="AC1" s="595"/>
      <c r="AD1" s="595"/>
      <c r="AE1" s="595"/>
      <c r="AF1" s="595"/>
      <c r="AG1" s="595"/>
      <c r="AH1" s="595"/>
      <c r="AI1" s="595"/>
      <c r="AJ1" s="595"/>
      <c r="AK1" s="595"/>
      <c r="AL1" s="595"/>
      <c r="AM1" s="595"/>
      <c r="AN1" s="595"/>
      <c r="AO1" s="595"/>
      <c r="AP1" s="595"/>
      <c r="AQ1" s="595"/>
      <c r="AR1" s="595"/>
      <c r="AS1" s="595"/>
      <c r="AT1" s="595"/>
      <c r="AU1" s="595"/>
      <c r="AV1" s="595"/>
      <c r="AW1" s="595"/>
      <c r="AX1" s="595"/>
      <c r="AY1" s="595"/>
      <c r="AZ1" s="595"/>
      <c r="BA1" s="595"/>
    </row>
    <row r="2" spans="1:53" ht="12.75" customHeight="1">
      <c r="A2" s="595"/>
      <c r="B2" s="598"/>
      <c r="C2" s="598"/>
      <c r="D2" s="598"/>
      <c r="E2" s="598"/>
      <c r="F2" s="741"/>
      <c r="G2" s="741"/>
      <c r="H2" s="598"/>
      <c r="I2" s="741"/>
      <c r="J2" s="741"/>
      <c r="K2" s="741"/>
      <c r="L2" s="741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242"/>
      <c r="AB2" s="242"/>
      <c r="AC2" s="242"/>
      <c r="AD2" s="242"/>
      <c r="AE2" s="242"/>
      <c r="AF2" s="242"/>
      <c r="AG2" s="242"/>
      <c r="AH2" s="242"/>
      <c r="AI2" s="242"/>
      <c r="AJ2" s="242"/>
      <c r="AK2" s="242"/>
      <c r="AL2" s="242"/>
      <c r="AM2" s="242"/>
      <c r="AN2" s="242"/>
      <c r="AO2" s="242"/>
      <c r="AP2" s="242"/>
      <c r="AQ2" s="242"/>
      <c r="AR2" s="242"/>
      <c r="AS2" s="242"/>
      <c r="AT2" s="242"/>
      <c r="AU2" s="242"/>
      <c r="AV2" s="242"/>
      <c r="AW2" s="242"/>
      <c r="AX2" s="242"/>
      <c r="AY2" s="242"/>
      <c r="AZ2" s="242"/>
      <c r="BA2" s="242"/>
    </row>
    <row r="3" spans="1:53" ht="12.75" customHeight="1">
      <c r="A3" s="595"/>
      <c r="B3" s="598"/>
      <c r="C3" s="599"/>
      <c r="D3" s="599"/>
      <c r="E3" s="599"/>
      <c r="F3" s="742"/>
      <c r="G3" s="742"/>
      <c r="H3" s="599"/>
      <c r="I3" s="742"/>
      <c r="J3" s="742"/>
      <c r="K3" s="742"/>
      <c r="L3" s="742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</row>
    <row r="4" spans="1:53">
      <c r="A4" s="595"/>
      <c r="B4" s="598"/>
      <c r="C4" s="599"/>
      <c r="E4" s="756"/>
      <c r="F4" s="757" t="s">
        <v>1856</v>
      </c>
      <c r="G4" s="757" t="s">
        <v>1857</v>
      </c>
      <c r="H4" s="758"/>
      <c r="I4" s="757" t="s">
        <v>1858</v>
      </c>
      <c r="J4" s="757" t="s">
        <v>1859</v>
      </c>
      <c r="K4" s="757" t="s">
        <v>1860</v>
      </c>
      <c r="L4" s="757" t="s">
        <v>1050</v>
      </c>
      <c r="M4" s="283"/>
      <c r="N4" s="283"/>
      <c r="O4" s="283"/>
      <c r="P4" s="283"/>
      <c r="Q4" s="283"/>
      <c r="R4" s="283"/>
      <c r="S4" s="283"/>
      <c r="T4" s="283"/>
      <c r="U4" s="283"/>
      <c r="V4" s="283"/>
      <c r="W4" s="283"/>
      <c r="X4" s="283"/>
      <c r="Y4" s="283"/>
      <c r="Z4" s="283"/>
      <c r="AA4" s="283"/>
      <c r="AB4" s="283"/>
      <c r="AC4" s="283"/>
      <c r="AD4" s="283"/>
      <c r="AE4" s="283"/>
      <c r="AF4" s="283"/>
      <c r="AG4" s="283"/>
      <c r="AH4" s="283"/>
      <c r="AI4" s="283"/>
      <c r="AJ4" s="283"/>
      <c r="AK4" s="283"/>
      <c r="AL4" s="283"/>
      <c r="AM4" s="283"/>
      <c r="AN4" s="283"/>
      <c r="AO4" s="283"/>
      <c r="AP4" s="283"/>
      <c r="AQ4" s="283"/>
      <c r="AR4" s="283"/>
      <c r="AS4" s="283"/>
      <c r="AT4" s="283"/>
      <c r="AU4" s="283"/>
      <c r="AV4" s="283"/>
      <c r="AW4" s="283"/>
      <c r="AX4" s="283"/>
      <c r="AY4" s="283"/>
      <c r="AZ4" s="283"/>
      <c r="BA4" s="283"/>
    </row>
    <row r="5" spans="1:53" ht="15">
      <c r="A5" s="595"/>
      <c r="B5" s="598"/>
      <c r="C5" s="599"/>
      <c r="E5" s="759"/>
      <c r="F5" s="760"/>
      <c r="G5" s="760"/>
      <c r="H5" s="758"/>
      <c r="I5" s="760"/>
      <c r="J5" s="760"/>
      <c r="K5" s="760"/>
      <c r="L5" s="760"/>
      <c r="M5" s="283"/>
      <c r="N5" s="283"/>
      <c r="O5" s="283"/>
      <c r="P5" s="283"/>
      <c r="Q5" s="283"/>
      <c r="R5" s="283"/>
      <c r="S5" s="283"/>
      <c r="T5" s="283"/>
      <c r="U5" s="283"/>
      <c r="V5" s="283"/>
      <c r="W5" s="283"/>
      <c r="X5" s="283"/>
      <c r="Y5" s="283"/>
      <c r="Z5" s="283"/>
      <c r="AA5" s="283"/>
      <c r="AB5" s="283"/>
      <c r="AC5" s="283"/>
      <c r="AD5" s="283"/>
      <c r="AE5" s="283"/>
      <c r="AF5" s="283"/>
      <c r="AG5" s="283"/>
      <c r="AH5" s="283"/>
      <c r="AI5" s="283"/>
      <c r="AJ5" s="283"/>
      <c r="AK5" s="283"/>
      <c r="AL5" s="283"/>
      <c r="AM5" s="283"/>
      <c r="AN5" s="283"/>
      <c r="AO5" s="283"/>
      <c r="AP5" s="283"/>
      <c r="AQ5" s="283"/>
      <c r="AR5" s="283"/>
      <c r="AS5" s="283"/>
      <c r="AT5" s="283"/>
      <c r="AU5" s="283"/>
      <c r="AV5" s="283"/>
      <c r="AW5" s="283"/>
      <c r="AX5" s="283"/>
      <c r="AY5" s="283"/>
      <c r="AZ5" s="283"/>
      <c r="BA5" s="283"/>
    </row>
    <row r="6" spans="1:53" ht="15">
      <c r="A6" s="595"/>
      <c r="B6" s="598"/>
      <c r="C6" s="599"/>
      <c r="E6" s="1679" t="s">
        <v>1861</v>
      </c>
      <c r="F6" s="761" t="s">
        <v>382</v>
      </c>
      <c r="G6" s="761" t="s">
        <v>382</v>
      </c>
      <c r="H6" s="758" t="s">
        <v>1857</v>
      </c>
      <c r="I6" s="761" t="s">
        <v>382</v>
      </c>
      <c r="J6" s="761" t="s">
        <v>382</v>
      </c>
      <c r="K6" s="761" t="s">
        <v>382</v>
      </c>
      <c r="L6" s="761" t="s">
        <v>382</v>
      </c>
      <c r="M6" s="283"/>
      <c r="N6" s="283"/>
      <c r="O6" s="283"/>
      <c r="P6" s="283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3"/>
      <c r="AJ6" s="283"/>
      <c r="AK6" s="283"/>
      <c r="AL6" s="283"/>
      <c r="AM6" s="283"/>
      <c r="AN6" s="283"/>
      <c r="AO6" s="283"/>
      <c r="AP6" s="283"/>
      <c r="AQ6" s="283"/>
      <c r="AR6" s="283"/>
      <c r="AS6" s="283"/>
      <c r="AT6" s="283"/>
      <c r="AU6" s="283"/>
      <c r="AV6" s="283"/>
      <c r="AW6" s="283"/>
      <c r="AX6" s="283"/>
      <c r="AY6" s="283"/>
      <c r="AZ6" s="283"/>
      <c r="BA6" s="283"/>
    </row>
    <row r="7" spans="1:53">
      <c r="A7" s="595"/>
      <c r="B7" s="598"/>
      <c r="C7" s="599"/>
      <c r="E7" s="289" t="s">
        <v>1862</v>
      </c>
      <c r="F7" s="488">
        <v>4.6699999999999998E-2</v>
      </c>
      <c r="G7" s="488">
        <v>0.05</v>
      </c>
      <c r="H7" s="489">
        <v>0.05</v>
      </c>
      <c r="I7" s="488">
        <v>0.05</v>
      </c>
      <c r="J7" s="488">
        <v>0.05</v>
      </c>
      <c r="K7" s="488">
        <v>0.05</v>
      </c>
      <c r="L7" s="488">
        <v>0.05</v>
      </c>
      <c r="M7" s="283"/>
      <c r="N7" s="283"/>
      <c r="O7" s="283"/>
      <c r="P7" s="283"/>
      <c r="Q7" s="283"/>
      <c r="R7" s="283"/>
      <c r="S7" s="283"/>
      <c r="T7" s="283"/>
      <c r="U7" s="283"/>
      <c r="V7" s="283"/>
      <c r="W7" s="283"/>
      <c r="X7" s="283"/>
      <c r="Y7" s="283"/>
      <c r="Z7" s="283"/>
      <c r="AA7" s="283"/>
      <c r="AB7" s="283"/>
      <c r="AC7" s="283"/>
      <c r="AD7" s="283"/>
      <c r="AE7" s="283"/>
      <c r="AF7" s="283"/>
      <c r="AG7" s="283"/>
      <c r="AH7" s="283"/>
      <c r="AI7" s="283"/>
      <c r="AJ7" s="283"/>
      <c r="AK7" s="283"/>
      <c r="AL7" s="283"/>
      <c r="AM7" s="283"/>
      <c r="AN7" s="283"/>
      <c r="AO7" s="283"/>
      <c r="AP7" s="283"/>
      <c r="AQ7" s="283"/>
      <c r="AR7" s="283"/>
      <c r="AS7" s="283"/>
      <c r="AT7" s="283"/>
      <c r="AU7" s="283"/>
      <c r="AV7" s="283"/>
      <c r="AW7" s="283"/>
      <c r="AX7" s="283"/>
      <c r="AY7" s="283"/>
      <c r="AZ7" s="283"/>
      <c r="BA7" s="283"/>
    </row>
    <row r="8" spans="1:53">
      <c r="A8" s="595"/>
      <c r="B8" s="598"/>
      <c r="C8" s="599"/>
      <c r="E8" s="289" t="s">
        <v>278</v>
      </c>
      <c r="F8" s="488">
        <v>7.4000000000000003E-3</v>
      </c>
      <c r="G8" s="488">
        <v>0</v>
      </c>
      <c r="H8" s="283">
        <v>0</v>
      </c>
      <c r="I8" s="488">
        <v>5.0000000000000001E-3</v>
      </c>
      <c r="J8" s="488">
        <v>5.0000000000000001E-3</v>
      </c>
      <c r="K8" s="488">
        <v>5.0000000000000001E-3</v>
      </c>
      <c r="L8" s="488">
        <v>5.0000000000000001E-3</v>
      </c>
      <c r="M8" s="283"/>
      <c r="N8" s="283"/>
      <c r="O8" s="283"/>
      <c r="P8" s="283"/>
      <c r="Q8" s="283"/>
      <c r="R8" s="283"/>
      <c r="S8" s="283"/>
      <c r="T8" s="283"/>
      <c r="U8" s="283"/>
      <c r="V8" s="283"/>
      <c r="W8" s="283"/>
      <c r="X8" s="283"/>
      <c r="Y8" s="283"/>
      <c r="Z8" s="283"/>
      <c r="AA8" s="283"/>
      <c r="AB8" s="283"/>
      <c r="AC8" s="283"/>
      <c r="AD8" s="283"/>
      <c r="AE8" s="283"/>
      <c r="AF8" s="283"/>
      <c r="AG8" s="283"/>
      <c r="AH8" s="283"/>
      <c r="AI8" s="283"/>
      <c r="AJ8" s="283"/>
      <c r="AK8" s="283"/>
      <c r="AL8" s="283"/>
      <c r="AM8" s="283"/>
      <c r="AN8" s="283"/>
      <c r="AO8" s="283"/>
      <c r="AP8" s="283"/>
      <c r="AQ8" s="283"/>
      <c r="AR8" s="283"/>
      <c r="AS8" s="283"/>
      <c r="AT8" s="283"/>
      <c r="AU8" s="283"/>
      <c r="AV8" s="283"/>
      <c r="AW8" s="283"/>
      <c r="AX8" s="283"/>
      <c r="AY8" s="283"/>
      <c r="AZ8" s="283"/>
      <c r="BA8" s="283"/>
    </row>
    <row r="9" spans="1:53">
      <c r="A9" s="595"/>
      <c r="B9" s="598"/>
      <c r="C9" s="599"/>
      <c r="E9" s="289" t="s">
        <v>1863</v>
      </c>
      <c r="F9" s="488">
        <v>9.7000000000000003E-3</v>
      </c>
      <c r="G9" s="488">
        <v>0</v>
      </c>
      <c r="H9" s="283">
        <v>0</v>
      </c>
      <c r="I9" s="488">
        <v>0</v>
      </c>
      <c r="J9" s="488">
        <v>5.0000000000000001E-3</v>
      </c>
      <c r="K9" s="488">
        <v>5.0000000000000001E-3</v>
      </c>
      <c r="L9" s="488">
        <v>5.0000000000000001E-3</v>
      </c>
      <c r="M9" s="283"/>
      <c r="N9" s="283"/>
      <c r="O9" s="283"/>
      <c r="P9" s="283"/>
      <c r="Q9" s="283"/>
      <c r="R9" s="283"/>
      <c r="S9" s="283"/>
      <c r="T9" s="283"/>
      <c r="U9" s="283"/>
      <c r="V9" s="283"/>
      <c r="W9" s="283"/>
      <c r="X9" s="283"/>
      <c r="Y9" s="283"/>
      <c r="Z9" s="283"/>
      <c r="AA9" s="283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3"/>
      <c r="AN9" s="283"/>
      <c r="AO9" s="283"/>
      <c r="AP9" s="283"/>
      <c r="AQ9" s="283"/>
      <c r="AR9" s="283"/>
      <c r="AS9" s="283"/>
      <c r="AT9" s="283"/>
      <c r="AU9" s="283"/>
      <c r="AV9" s="283"/>
      <c r="AW9" s="283"/>
      <c r="AX9" s="283"/>
      <c r="AY9" s="283"/>
      <c r="AZ9" s="283"/>
      <c r="BA9" s="283"/>
    </row>
    <row r="10" spans="1:53">
      <c r="A10" s="595"/>
      <c r="B10" s="598"/>
      <c r="C10" s="599"/>
      <c r="E10" s="289" t="s">
        <v>1864</v>
      </c>
      <c r="F10" s="488"/>
      <c r="G10" s="488"/>
      <c r="H10" s="283"/>
      <c r="I10" s="488">
        <v>7.0000000000000001E-3</v>
      </c>
      <c r="J10" s="488">
        <v>5.0000000000000001E-3</v>
      </c>
      <c r="K10" s="488">
        <v>5.0000000000000001E-3</v>
      </c>
      <c r="L10" s="488">
        <v>5.0000000000000001E-3</v>
      </c>
      <c r="M10" s="283"/>
      <c r="N10" s="283"/>
      <c r="O10" s="283"/>
      <c r="P10" s="283"/>
      <c r="Q10" s="283"/>
      <c r="R10" s="283"/>
      <c r="S10" s="283"/>
      <c r="T10" s="283"/>
      <c r="U10" s="283"/>
      <c r="V10" s="283"/>
      <c r="W10" s="283"/>
      <c r="X10" s="283"/>
      <c r="Y10" s="283"/>
      <c r="Z10" s="283"/>
      <c r="AA10" s="283"/>
      <c r="AB10" s="283"/>
      <c r="AC10" s="283"/>
      <c r="AD10" s="283"/>
      <c r="AE10" s="283"/>
      <c r="AF10" s="283"/>
      <c r="AG10" s="283"/>
      <c r="AH10" s="283"/>
      <c r="AI10" s="283"/>
      <c r="AJ10" s="283"/>
      <c r="AK10" s="283"/>
      <c r="AL10" s="283"/>
      <c r="AM10" s="283"/>
      <c r="AN10" s="283"/>
      <c r="AO10" s="283"/>
      <c r="AP10" s="283"/>
      <c r="AQ10" s="283"/>
      <c r="AR10" s="283"/>
      <c r="AS10" s="283"/>
      <c r="AT10" s="283"/>
      <c r="AU10" s="283"/>
      <c r="AV10" s="283"/>
      <c r="AW10" s="283"/>
      <c r="AX10" s="283"/>
      <c r="AY10" s="283"/>
      <c r="AZ10" s="283"/>
      <c r="BA10" s="283"/>
    </row>
    <row r="11" spans="1:53" ht="15">
      <c r="A11" s="595"/>
      <c r="B11" s="598"/>
      <c r="C11" s="599"/>
      <c r="E11" s="490" t="s">
        <v>1865</v>
      </c>
      <c r="F11" s="491">
        <f>SUM(F7:F10)</f>
        <v>6.3799999999999996E-2</v>
      </c>
      <c r="G11" s="491">
        <f>SUM(G7:G10)</f>
        <v>0.05</v>
      </c>
      <c r="H11" s="283">
        <v>5</v>
      </c>
      <c r="I11" s="491">
        <f>SUM(I7:I10)</f>
        <v>6.2E-2</v>
      </c>
      <c r="J11" s="491">
        <f>SUM(J7:J10)</f>
        <v>6.5000000000000002E-2</v>
      </c>
      <c r="K11" s="491">
        <f>SUM(K7:K10)</f>
        <v>6.5000000000000002E-2</v>
      </c>
      <c r="L11" s="491">
        <f>SUM(L7:L10)</f>
        <v>6.5000000000000002E-2</v>
      </c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  <c r="AB11" s="283"/>
      <c r="AC11" s="283"/>
      <c r="AD11" s="283"/>
      <c r="AE11" s="283"/>
      <c r="AF11" s="283"/>
      <c r="AG11" s="283"/>
      <c r="AH11" s="283"/>
      <c r="AI11" s="283"/>
      <c r="AJ11" s="283"/>
      <c r="AK11" s="283"/>
      <c r="AL11" s="283"/>
      <c r="AM11" s="283"/>
      <c r="AN11" s="283"/>
      <c r="AO11" s="283"/>
      <c r="AP11" s="283"/>
      <c r="AQ11" s="283"/>
      <c r="AR11" s="283"/>
      <c r="AS11" s="283"/>
      <c r="AT11" s="283"/>
      <c r="AU11" s="283"/>
      <c r="AV11" s="283"/>
      <c r="AW11" s="283"/>
      <c r="AX11" s="283"/>
      <c r="AY11" s="283"/>
      <c r="AZ11" s="283"/>
      <c r="BA11" s="283"/>
    </row>
    <row r="12" spans="1:53" ht="15">
      <c r="A12" s="595"/>
      <c r="B12" s="598"/>
      <c r="C12" s="599"/>
      <c r="E12" s="490" t="s">
        <v>1866</v>
      </c>
      <c r="F12" s="491"/>
      <c r="G12" s="491"/>
      <c r="H12" s="283"/>
      <c r="I12" s="491"/>
      <c r="J12" s="491"/>
      <c r="K12" s="491"/>
      <c r="L12" s="491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  <c r="AB12" s="283"/>
      <c r="AC12" s="283"/>
      <c r="AD12" s="283"/>
      <c r="AE12" s="283"/>
      <c r="AF12" s="283"/>
      <c r="AG12" s="283"/>
      <c r="AH12" s="283"/>
      <c r="AI12" s="283"/>
      <c r="AJ12" s="283"/>
      <c r="AK12" s="283"/>
      <c r="AL12" s="283"/>
      <c r="AM12" s="283"/>
      <c r="AN12" s="283"/>
      <c r="AO12" s="283"/>
      <c r="AP12" s="283"/>
      <c r="AQ12" s="283"/>
      <c r="AR12" s="283"/>
      <c r="AS12" s="283"/>
      <c r="AT12" s="283"/>
      <c r="AU12" s="283"/>
      <c r="AV12" s="283"/>
      <c r="AW12" s="283"/>
      <c r="AX12" s="283"/>
      <c r="AY12" s="283"/>
      <c r="AZ12" s="283"/>
      <c r="BA12" s="283"/>
    </row>
    <row r="13" spans="1:53">
      <c r="A13" s="595"/>
      <c r="B13" s="598"/>
      <c r="C13" s="599"/>
      <c r="E13" s="1680" t="s">
        <v>1867</v>
      </c>
      <c r="F13" s="762"/>
      <c r="G13" s="762"/>
      <c r="H13" s="758"/>
      <c r="I13" s="762"/>
      <c r="J13" s="762"/>
      <c r="K13" s="762"/>
      <c r="L13" s="762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  <c r="AB13" s="283"/>
      <c r="AC13" s="283"/>
      <c r="AD13" s="283"/>
      <c r="AE13" s="283"/>
      <c r="AF13" s="283"/>
      <c r="AG13" s="283"/>
      <c r="AH13" s="283"/>
      <c r="AI13" s="283"/>
      <c r="AJ13" s="283"/>
      <c r="AK13" s="283"/>
      <c r="AL13" s="283"/>
      <c r="AM13" s="283"/>
      <c r="AN13" s="283"/>
      <c r="AO13" s="283"/>
      <c r="AP13" s="283"/>
      <c r="AQ13" s="283"/>
      <c r="AR13" s="283"/>
      <c r="AS13" s="283"/>
      <c r="AT13" s="283"/>
      <c r="AU13" s="283"/>
      <c r="AV13" s="283"/>
      <c r="AW13" s="283"/>
      <c r="AX13" s="283"/>
      <c r="AY13" s="283"/>
      <c r="AZ13" s="283"/>
      <c r="BA13" s="283"/>
    </row>
    <row r="14" spans="1:53">
      <c r="A14" s="595"/>
      <c r="B14" s="598"/>
      <c r="C14" s="599"/>
      <c r="E14" s="289" t="s">
        <v>1868</v>
      </c>
      <c r="F14" s="488">
        <v>1.21E-2</v>
      </c>
      <c r="G14" s="488">
        <v>0</v>
      </c>
      <c r="H14" s="283">
        <v>0</v>
      </c>
      <c r="I14" s="488">
        <v>0</v>
      </c>
      <c r="J14" s="488">
        <v>5.0000000000000001E-3</v>
      </c>
      <c r="K14" s="488">
        <v>5.0000000000000001E-3</v>
      </c>
      <c r="L14" s="488">
        <v>5.0000000000000001E-3</v>
      </c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  <c r="AB14" s="283"/>
      <c r="AC14" s="283"/>
      <c r="AD14" s="283"/>
      <c r="AE14" s="283"/>
      <c r="AF14" s="283"/>
      <c r="AG14" s="283"/>
      <c r="AH14" s="283"/>
      <c r="AI14" s="283"/>
      <c r="AJ14" s="283"/>
      <c r="AK14" s="283"/>
      <c r="AL14" s="283"/>
      <c r="AM14" s="283"/>
      <c r="AN14" s="283"/>
      <c r="AO14" s="283"/>
      <c r="AP14" s="283"/>
      <c r="AQ14" s="283"/>
      <c r="AR14" s="283"/>
      <c r="AS14" s="283"/>
      <c r="AT14" s="283"/>
      <c r="AU14" s="283"/>
      <c r="AV14" s="283"/>
      <c r="AW14" s="283"/>
      <c r="AX14" s="283"/>
      <c r="AY14" s="283"/>
      <c r="AZ14" s="283"/>
      <c r="BA14" s="283"/>
    </row>
    <row r="15" spans="1:53" ht="15">
      <c r="A15" s="595"/>
      <c r="B15" s="598"/>
      <c r="C15" s="599"/>
      <c r="E15" s="490" t="s">
        <v>1865</v>
      </c>
      <c r="F15" s="491"/>
      <c r="G15" s="491"/>
      <c r="H15" s="283"/>
      <c r="I15" s="491"/>
      <c r="J15" s="491"/>
      <c r="K15" s="491"/>
      <c r="L15" s="491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  <c r="AB15" s="283"/>
      <c r="AC15" s="283"/>
      <c r="AD15" s="283"/>
      <c r="AE15" s="283"/>
      <c r="AF15" s="283"/>
      <c r="AG15" s="283"/>
      <c r="AH15" s="283"/>
      <c r="AI15" s="283"/>
      <c r="AJ15" s="283"/>
      <c r="AK15" s="283"/>
      <c r="AL15" s="283"/>
      <c r="AM15" s="283"/>
      <c r="AN15" s="283"/>
      <c r="AO15" s="283"/>
      <c r="AP15" s="283"/>
      <c r="AQ15" s="283"/>
      <c r="AR15" s="283"/>
      <c r="AS15" s="283"/>
      <c r="AT15" s="283"/>
      <c r="AU15" s="283"/>
      <c r="AV15" s="283"/>
      <c r="AW15" s="283"/>
      <c r="AX15" s="283"/>
      <c r="AY15" s="283"/>
      <c r="AZ15" s="283"/>
      <c r="BA15" s="283"/>
    </row>
    <row r="16" spans="1:53" ht="15">
      <c r="A16" s="595"/>
      <c r="B16" s="598"/>
      <c r="C16" s="599"/>
      <c r="E16" s="490" t="s">
        <v>1869</v>
      </c>
      <c r="F16" s="491">
        <f>SUM(F14:F15)</f>
        <v>1.21E-2</v>
      </c>
      <c r="G16" s="491">
        <f>SUM(G14:G15)</f>
        <v>0</v>
      </c>
      <c r="H16" s="383">
        <v>0</v>
      </c>
      <c r="I16" s="491">
        <f>SUM(I14:I15)</f>
        <v>0</v>
      </c>
      <c r="J16" s="491">
        <f>SUM(J14:J15)</f>
        <v>5.0000000000000001E-3</v>
      </c>
      <c r="K16" s="491">
        <f>SUM(K14:K15)</f>
        <v>5.0000000000000001E-3</v>
      </c>
      <c r="L16" s="491">
        <f>SUM(L14:L15)</f>
        <v>5.0000000000000001E-3</v>
      </c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  <c r="AB16" s="283"/>
      <c r="AC16" s="283"/>
      <c r="AD16" s="283"/>
      <c r="AE16" s="283"/>
      <c r="AF16" s="283"/>
      <c r="AG16" s="283"/>
      <c r="AH16" s="283"/>
      <c r="AI16" s="283"/>
      <c r="AJ16" s="283"/>
      <c r="AK16" s="283"/>
      <c r="AL16" s="283"/>
      <c r="AM16" s="283"/>
      <c r="AN16" s="283"/>
      <c r="AO16" s="283"/>
      <c r="AP16" s="283"/>
      <c r="AQ16" s="283"/>
      <c r="AR16" s="283"/>
      <c r="AS16" s="283"/>
      <c r="AT16" s="283"/>
      <c r="AU16" s="283"/>
      <c r="AV16" s="283"/>
      <c r="AW16" s="283"/>
      <c r="AX16" s="283"/>
      <c r="AY16" s="283"/>
      <c r="AZ16" s="283"/>
      <c r="BA16" s="283"/>
    </row>
    <row r="17" spans="1:53" ht="15">
      <c r="A17" s="595"/>
      <c r="B17" s="598"/>
      <c r="C17" s="599"/>
      <c r="E17" s="1679" t="s">
        <v>1870</v>
      </c>
      <c r="F17" s="763"/>
      <c r="G17" s="763"/>
      <c r="H17" s="758"/>
      <c r="I17" s="763"/>
      <c r="J17" s="763"/>
      <c r="K17" s="763"/>
      <c r="L17" s="763"/>
      <c r="M17" s="283"/>
      <c r="N17" s="283"/>
      <c r="O17" s="283"/>
      <c r="P17" s="283"/>
      <c r="Q17" s="283"/>
      <c r="R17" s="283"/>
      <c r="S17" s="283"/>
      <c r="T17" s="283"/>
      <c r="U17" s="283"/>
      <c r="V17" s="283"/>
      <c r="W17" s="283"/>
      <c r="X17" s="283"/>
      <c r="Y17" s="283"/>
      <c r="Z17" s="283"/>
      <c r="AA17" s="283"/>
      <c r="AB17" s="283"/>
      <c r="AC17" s="283"/>
      <c r="AD17" s="283"/>
      <c r="AE17" s="283"/>
      <c r="AF17" s="283"/>
      <c r="AG17" s="283"/>
      <c r="AH17" s="283"/>
      <c r="AI17" s="283"/>
      <c r="AJ17" s="283"/>
      <c r="AK17" s="283"/>
      <c r="AL17" s="283"/>
      <c r="AM17" s="283"/>
      <c r="AN17" s="283"/>
      <c r="AO17" s="283"/>
      <c r="AP17" s="283"/>
      <c r="AQ17" s="283"/>
      <c r="AR17" s="283"/>
      <c r="AS17" s="283"/>
      <c r="AT17" s="283"/>
      <c r="AU17" s="283"/>
      <c r="AV17" s="283"/>
      <c r="AW17" s="283"/>
      <c r="AX17" s="283"/>
      <c r="AY17" s="283"/>
      <c r="AZ17" s="283"/>
      <c r="BA17" s="283"/>
    </row>
    <row r="18" spans="1:53">
      <c r="A18" s="595"/>
      <c r="B18" s="598"/>
      <c r="C18" s="599"/>
      <c r="E18" s="289" t="s">
        <v>1871</v>
      </c>
      <c r="F18" s="488">
        <v>8.6900000000000005E-2</v>
      </c>
      <c r="G18" s="488">
        <v>0.1</v>
      </c>
      <c r="H18" s="283">
        <v>10</v>
      </c>
      <c r="I18" s="488">
        <v>0.1</v>
      </c>
      <c r="J18" s="488">
        <v>0.1</v>
      </c>
      <c r="K18" s="488">
        <v>0.1</v>
      </c>
      <c r="L18" s="488">
        <v>0.1</v>
      </c>
      <c r="M18" s="283"/>
      <c r="N18" s="283"/>
      <c r="O18" s="283"/>
      <c r="P18" s="283"/>
      <c r="Q18" s="283"/>
      <c r="R18" s="283"/>
      <c r="S18" s="283"/>
      <c r="T18" s="283"/>
      <c r="U18" s="283"/>
      <c r="V18" s="283"/>
      <c r="W18" s="283"/>
      <c r="X18" s="283"/>
      <c r="Y18" s="283"/>
      <c r="Z18" s="283"/>
      <c r="AA18" s="283"/>
      <c r="AB18" s="283"/>
      <c r="AC18" s="283"/>
      <c r="AD18" s="283"/>
      <c r="AE18" s="283"/>
      <c r="AF18" s="283"/>
      <c r="AG18" s="283"/>
      <c r="AH18" s="283"/>
      <c r="AI18" s="283"/>
      <c r="AJ18" s="283"/>
      <c r="AK18" s="283"/>
      <c r="AL18" s="283"/>
      <c r="AM18" s="283"/>
      <c r="AN18" s="283"/>
      <c r="AO18" s="283"/>
      <c r="AP18" s="283"/>
      <c r="AQ18" s="283"/>
      <c r="AR18" s="283"/>
      <c r="AS18" s="283"/>
      <c r="AT18" s="283"/>
      <c r="AU18" s="283"/>
      <c r="AV18" s="283"/>
      <c r="AW18" s="283"/>
      <c r="AX18" s="283"/>
      <c r="AY18" s="283"/>
      <c r="AZ18" s="283"/>
      <c r="BA18" s="283"/>
    </row>
    <row r="19" spans="1:53" ht="15">
      <c r="A19" s="595"/>
      <c r="B19" s="598"/>
      <c r="C19" s="599"/>
      <c r="E19" s="490" t="s">
        <v>1865</v>
      </c>
      <c r="F19" s="491"/>
      <c r="G19" s="491"/>
      <c r="H19" s="283"/>
      <c r="I19" s="491"/>
      <c r="J19" s="491"/>
      <c r="K19" s="491"/>
      <c r="L19" s="491"/>
      <c r="M19" s="283"/>
      <c r="N19" s="283"/>
      <c r="O19" s="283"/>
      <c r="P19" s="283"/>
      <c r="Q19" s="283"/>
      <c r="R19" s="283"/>
      <c r="S19" s="283"/>
      <c r="T19" s="283"/>
      <c r="U19" s="283"/>
      <c r="V19" s="283"/>
      <c r="W19" s="283"/>
      <c r="X19" s="283"/>
      <c r="Y19" s="283"/>
      <c r="Z19" s="283"/>
      <c r="AA19" s="283"/>
      <c r="AB19" s="283"/>
      <c r="AC19" s="283"/>
      <c r="AD19" s="283"/>
      <c r="AE19" s="283"/>
      <c r="AF19" s="283"/>
      <c r="AG19" s="283"/>
      <c r="AH19" s="283"/>
      <c r="AI19" s="283"/>
      <c r="AJ19" s="283"/>
      <c r="AK19" s="283"/>
      <c r="AL19" s="283"/>
      <c r="AM19" s="283"/>
      <c r="AN19" s="283"/>
      <c r="AO19" s="283"/>
      <c r="AP19" s="283"/>
      <c r="AQ19" s="283"/>
      <c r="AR19" s="283"/>
      <c r="AS19" s="283"/>
      <c r="AT19" s="283"/>
      <c r="AU19" s="283"/>
      <c r="AV19" s="283"/>
      <c r="AW19" s="283"/>
      <c r="AX19" s="283"/>
      <c r="AY19" s="283"/>
      <c r="AZ19" s="283"/>
      <c r="BA19" s="283"/>
    </row>
    <row r="20" spans="1:53" ht="15">
      <c r="A20" s="595"/>
      <c r="B20" s="598"/>
      <c r="C20" s="599"/>
      <c r="E20" s="490" t="s">
        <v>1872</v>
      </c>
      <c r="F20" s="491">
        <f>SUM(F18:F19)</f>
        <v>8.6900000000000005E-2</v>
      </c>
      <c r="G20" s="491">
        <f>SUM(G18:G19)</f>
        <v>0.1</v>
      </c>
      <c r="H20" s="283">
        <v>10</v>
      </c>
      <c r="I20" s="491">
        <f>SUM(I18:I19)</f>
        <v>0.1</v>
      </c>
      <c r="J20" s="491">
        <f>SUM(J18:J19)</f>
        <v>0.1</v>
      </c>
      <c r="K20" s="491">
        <f>SUM(K18:K19)</f>
        <v>0.1</v>
      </c>
      <c r="L20" s="491">
        <f>SUM(L18:L19)</f>
        <v>0.1</v>
      </c>
      <c r="M20" s="283"/>
      <c r="N20" s="283"/>
      <c r="O20" s="283"/>
      <c r="P20" s="283"/>
      <c r="Q20" s="283"/>
      <c r="R20" s="283"/>
      <c r="S20" s="283"/>
      <c r="T20" s="283"/>
      <c r="U20" s="283"/>
      <c r="V20" s="283"/>
      <c r="W20" s="283"/>
      <c r="X20" s="283"/>
      <c r="Y20" s="283"/>
      <c r="Z20" s="283"/>
      <c r="AA20" s="283"/>
      <c r="AB20" s="283"/>
      <c r="AC20" s="283"/>
      <c r="AD20" s="283"/>
      <c r="AE20" s="283"/>
      <c r="AF20" s="283"/>
      <c r="AG20" s="283"/>
      <c r="AH20" s="283"/>
      <c r="AI20" s="283"/>
      <c r="AJ20" s="283"/>
      <c r="AK20" s="283"/>
      <c r="AL20" s="283"/>
      <c r="AM20" s="283"/>
      <c r="AN20" s="283"/>
      <c r="AO20" s="283"/>
      <c r="AP20" s="283"/>
      <c r="AQ20" s="283"/>
      <c r="AR20" s="283"/>
      <c r="AS20" s="283"/>
      <c r="AT20" s="283"/>
      <c r="AU20" s="283"/>
      <c r="AV20" s="283"/>
      <c r="AW20" s="283"/>
      <c r="AX20" s="283"/>
      <c r="AY20" s="283"/>
      <c r="AZ20" s="283"/>
      <c r="BA20" s="283"/>
    </row>
    <row r="21" spans="1:53" ht="15">
      <c r="A21" s="595"/>
      <c r="B21" s="598"/>
      <c r="C21" s="599"/>
      <c r="E21" s="1679" t="s">
        <v>1873</v>
      </c>
      <c r="F21" s="763"/>
      <c r="G21" s="763"/>
      <c r="H21" s="758"/>
      <c r="I21" s="763"/>
      <c r="J21" s="763"/>
      <c r="K21" s="763"/>
      <c r="L21" s="763"/>
      <c r="M21" s="283"/>
      <c r="N21" s="283"/>
      <c r="O21" s="283"/>
      <c r="P21" s="283"/>
      <c r="Q21" s="283"/>
      <c r="R21" s="283"/>
      <c r="S21" s="283"/>
      <c r="T21" s="283"/>
      <c r="U21" s="283"/>
      <c r="V21" s="283"/>
      <c r="W21" s="283"/>
      <c r="X21" s="283"/>
      <c r="Y21" s="283"/>
      <c r="Z21" s="283"/>
      <c r="AA21" s="283"/>
      <c r="AB21" s="283"/>
      <c r="AC21" s="283"/>
      <c r="AD21" s="283"/>
      <c r="AE21" s="283"/>
      <c r="AF21" s="283"/>
      <c r="AG21" s="283"/>
      <c r="AH21" s="283"/>
      <c r="AI21" s="283"/>
      <c r="AJ21" s="283"/>
      <c r="AK21" s="283"/>
      <c r="AL21" s="283"/>
      <c r="AM21" s="283"/>
      <c r="AN21" s="283"/>
      <c r="AO21" s="283"/>
      <c r="AP21" s="283"/>
      <c r="AQ21" s="283"/>
      <c r="AR21" s="283"/>
      <c r="AS21" s="283"/>
      <c r="AT21" s="283"/>
      <c r="AU21" s="283"/>
      <c r="AV21" s="283"/>
      <c r="AW21" s="283"/>
      <c r="AX21" s="283"/>
      <c r="AY21" s="283"/>
      <c r="AZ21" s="283"/>
      <c r="BA21" s="283"/>
    </row>
    <row r="22" spans="1:53">
      <c r="A22" s="595"/>
      <c r="B22" s="598"/>
      <c r="C22" s="599"/>
      <c r="E22" s="289" t="s">
        <v>1874</v>
      </c>
      <c r="F22" s="488">
        <v>0.03</v>
      </c>
      <c r="G22" s="488">
        <v>0.03</v>
      </c>
      <c r="H22" s="283"/>
      <c r="I22" s="488">
        <v>0.03</v>
      </c>
      <c r="J22" s="488">
        <v>0.03</v>
      </c>
      <c r="K22" s="488">
        <v>0.03</v>
      </c>
      <c r="L22" s="488">
        <v>0.03</v>
      </c>
      <c r="M22" s="283"/>
      <c r="N22" s="283"/>
      <c r="O22" s="283"/>
      <c r="P22" s="283"/>
      <c r="Q22" s="283"/>
      <c r="R22" s="283"/>
      <c r="S22" s="283"/>
      <c r="T22" s="283"/>
      <c r="U22" s="283"/>
      <c r="V22" s="283"/>
      <c r="W22" s="283"/>
      <c r="X22" s="283"/>
      <c r="Y22" s="283"/>
      <c r="Z22" s="283"/>
      <c r="AA22" s="283"/>
      <c r="AB22" s="283"/>
      <c r="AC22" s="283"/>
      <c r="AD22" s="283"/>
      <c r="AE22" s="283"/>
      <c r="AF22" s="283"/>
      <c r="AG22" s="283"/>
      <c r="AH22" s="283"/>
      <c r="AI22" s="283"/>
      <c r="AJ22" s="283"/>
      <c r="AK22" s="283"/>
      <c r="AL22" s="283"/>
      <c r="AM22" s="283"/>
      <c r="AN22" s="283"/>
      <c r="AO22" s="283"/>
      <c r="AP22" s="283"/>
      <c r="AQ22" s="283"/>
      <c r="AR22" s="283"/>
      <c r="AS22" s="283"/>
      <c r="AT22" s="283"/>
      <c r="AU22" s="283"/>
      <c r="AV22" s="283"/>
      <c r="AW22" s="283"/>
      <c r="AX22" s="283"/>
      <c r="AY22" s="283"/>
      <c r="AZ22" s="283"/>
      <c r="BA22" s="283"/>
    </row>
    <row r="23" spans="1:53">
      <c r="A23" s="595"/>
      <c r="B23" s="598"/>
      <c r="C23" s="599"/>
      <c r="E23" s="289" t="s">
        <v>1875</v>
      </c>
      <c r="F23" s="488">
        <v>6.4999999999999997E-3</v>
      </c>
      <c r="G23" s="488">
        <v>6.4999999999999997E-3</v>
      </c>
      <c r="H23" s="283"/>
      <c r="I23" s="488">
        <v>6.4999999999999997E-3</v>
      </c>
      <c r="J23" s="488">
        <v>6.4999999999999997E-3</v>
      </c>
      <c r="K23" s="488">
        <v>6.4999999999999997E-3</v>
      </c>
      <c r="L23" s="488">
        <v>6.4999999999999997E-3</v>
      </c>
      <c r="M23" s="283"/>
      <c r="N23" s="283"/>
      <c r="O23" s="283"/>
      <c r="P23" s="283"/>
      <c r="Q23" s="283"/>
      <c r="R23" s="283"/>
      <c r="S23" s="283"/>
      <c r="T23" s="283"/>
      <c r="U23" s="283"/>
      <c r="V23" s="283"/>
      <c r="W23" s="283"/>
      <c r="X23" s="283"/>
      <c r="Y23" s="283"/>
      <c r="Z23" s="283"/>
      <c r="AA23" s="283"/>
      <c r="AB23" s="283"/>
      <c r="AC23" s="283"/>
      <c r="AD23" s="283"/>
      <c r="AE23" s="283"/>
      <c r="AF23" s="283"/>
      <c r="AG23" s="283"/>
      <c r="AH23" s="283"/>
      <c r="AI23" s="283"/>
      <c r="AJ23" s="283"/>
      <c r="AK23" s="283"/>
      <c r="AL23" s="283"/>
      <c r="AM23" s="283"/>
      <c r="AN23" s="283"/>
      <c r="AO23" s="283"/>
      <c r="AP23" s="283"/>
      <c r="AQ23" s="283"/>
      <c r="AR23" s="283"/>
      <c r="AS23" s="283"/>
      <c r="AT23" s="283"/>
      <c r="AU23" s="283"/>
      <c r="AV23" s="283"/>
      <c r="AW23" s="283"/>
      <c r="AX23" s="283"/>
      <c r="AY23" s="283"/>
      <c r="AZ23" s="283"/>
      <c r="BA23" s="283"/>
    </row>
    <row r="24" spans="1:53">
      <c r="A24" s="595"/>
      <c r="B24" s="598"/>
      <c r="C24" s="599"/>
      <c r="E24" s="289" t="s">
        <v>1876</v>
      </c>
      <c r="F24" s="492">
        <v>0.05</v>
      </c>
      <c r="G24" s="492">
        <v>0.02</v>
      </c>
      <c r="H24" s="283">
        <v>2</v>
      </c>
      <c r="I24" s="492">
        <v>0.03</v>
      </c>
      <c r="J24" s="492">
        <v>3.5000000000000003E-2</v>
      </c>
      <c r="K24" s="492">
        <v>3.5000000000000003E-2</v>
      </c>
      <c r="L24" s="492">
        <v>3.5000000000000003E-2</v>
      </c>
      <c r="M24" s="283"/>
      <c r="N24" s="283"/>
      <c r="O24" s="283"/>
      <c r="P24" s="283"/>
      <c r="Q24" s="283"/>
      <c r="R24" s="283"/>
      <c r="S24" s="283"/>
      <c r="T24" s="283"/>
      <c r="U24" s="283"/>
      <c r="V24" s="283"/>
      <c r="W24" s="283"/>
      <c r="X24" s="283"/>
      <c r="Y24" s="283"/>
      <c r="Z24" s="283"/>
      <c r="AA24" s="283"/>
      <c r="AB24" s="283"/>
      <c r="AC24" s="283"/>
      <c r="AD24" s="283"/>
      <c r="AE24" s="283"/>
      <c r="AF24" s="283"/>
      <c r="AG24" s="283"/>
      <c r="AH24" s="283"/>
      <c r="AI24" s="283"/>
      <c r="AJ24" s="283"/>
      <c r="AK24" s="283"/>
      <c r="AL24" s="283"/>
      <c r="AM24" s="283"/>
      <c r="AN24" s="283"/>
      <c r="AO24" s="283"/>
      <c r="AP24" s="283"/>
      <c r="AQ24" s="283"/>
      <c r="AR24" s="283"/>
      <c r="AS24" s="283"/>
      <c r="AT24" s="283"/>
      <c r="AU24" s="283"/>
      <c r="AV24" s="283"/>
      <c r="AW24" s="283"/>
      <c r="AX24" s="283"/>
      <c r="AY24" s="283"/>
      <c r="AZ24" s="283"/>
      <c r="BA24" s="283"/>
    </row>
    <row r="25" spans="1:53" ht="15">
      <c r="A25" s="595"/>
      <c r="B25" s="598"/>
      <c r="C25" s="599"/>
      <c r="E25" s="490" t="s">
        <v>1877</v>
      </c>
      <c r="F25" s="491">
        <f>SUM(F22:F24)</f>
        <v>8.6499999999999994E-2</v>
      </c>
      <c r="G25" s="491">
        <f>SUM(G22:G24)</f>
        <v>5.6499999999999995E-2</v>
      </c>
      <c r="H25" s="283">
        <v>5.6</v>
      </c>
      <c r="I25" s="491">
        <f>SUM(I22:I24)</f>
        <v>6.6500000000000004E-2</v>
      </c>
      <c r="J25" s="491">
        <f>SUM(J22:J24)</f>
        <v>7.1500000000000008E-2</v>
      </c>
      <c r="K25" s="491">
        <f>SUM(K22:K24)</f>
        <v>7.1500000000000008E-2</v>
      </c>
      <c r="L25" s="491">
        <f>SUM(L22:L24)</f>
        <v>7.1500000000000008E-2</v>
      </c>
      <c r="M25" s="283"/>
      <c r="N25" s="283"/>
      <c r="O25" s="283"/>
      <c r="P25" s="283"/>
      <c r="Q25" s="283"/>
      <c r="R25" s="283"/>
      <c r="S25" s="283"/>
      <c r="T25" s="283"/>
      <c r="U25" s="283"/>
      <c r="V25" s="283"/>
      <c r="W25" s="283"/>
      <c r="X25" s="283"/>
      <c r="Y25" s="283"/>
      <c r="Z25" s="283"/>
      <c r="AA25" s="283"/>
      <c r="AB25" s="283"/>
      <c r="AC25" s="283"/>
      <c r="AD25" s="283"/>
      <c r="AE25" s="283"/>
      <c r="AF25" s="283"/>
      <c r="AG25" s="283"/>
      <c r="AH25" s="283"/>
      <c r="AI25" s="283"/>
      <c r="AJ25" s="283"/>
      <c r="AK25" s="283"/>
      <c r="AL25" s="283"/>
      <c r="AM25" s="283"/>
      <c r="AN25" s="283"/>
      <c r="AO25" s="283"/>
      <c r="AP25" s="283"/>
      <c r="AQ25" s="283"/>
      <c r="AR25" s="283"/>
      <c r="AS25" s="283"/>
      <c r="AT25" s="283"/>
      <c r="AU25" s="283"/>
      <c r="AV25" s="283"/>
      <c r="AW25" s="283"/>
      <c r="AX25" s="283"/>
      <c r="AY25" s="283"/>
      <c r="AZ25" s="283"/>
      <c r="BA25" s="283"/>
    </row>
    <row r="26" spans="1:53" ht="15">
      <c r="A26" s="595"/>
      <c r="B26" s="598"/>
      <c r="C26" s="599"/>
      <c r="E26" s="490" t="s">
        <v>1878</v>
      </c>
      <c r="F26" s="491"/>
      <c r="G26" s="491"/>
      <c r="H26" s="283"/>
      <c r="I26" s="491"/>
      <c r="J26" s="491"/>
      <c r="K26" s="491"/>
      <c r="L26" s="491"/>
      <c r="M26" s="283"/>
      <c r="N26" s="283"/>
      <c r="O26" s="283"/>
      <c r="P26" s="283"/>
      <c r="Q26" s="283"/>
      <c r="R26" s="283"/>
      <c r="S26" s="283"/>
      <c r="T26" s="283"/>
      <c r="U26" s="283"/>
      <c r="V26" s="283"/>
      <c r="W26" s="283"/>
      <c r="X26" s="283"/>
      <c r="Y26" s="283"/>
      <c r="Z26" s="283"/>
      <c r="AA26" s="283"/>
      <c r="AB26" s="283"/>
      <c r="AC26" s="283"/>
      <c r="AD26" s="283"/>
      <c r="AE26" s="283"/>
      <c r="AF26" s="283"/>
      <c r="AG26" s="283"/>
      <c r="AH26" s="283"/>
      <c r="AI26" s="283"/>
      <c r="AJ26" s="283"/>
      <c r="AK26" s="283"/>
      <c r="AL26" s="283"/>
      <c r="AM26" s="283"/>
      <c r="AN26" s="283"/>
      <c r="AO26" s="283"/>
      <c r="AP26" s="283"/>
      <c r="AQ26" s="283"/>
      <c r="AR26" s="283"/>
      <c r="AS26" s="283"/>
      <c r="AT26" s="283"/>
      <c r="AU26" s="283"/>
      <c r="AV26" s="283"/>
      <c r="AW26" s="283"/>
      <c r="AX26" s="283"/>
      <c r="AY26" s="283"/>
      <c r="AZ26" s="283"/>
      <c r="BA26" s="283"/>
    </row>
    <row r="27" spans="1:53">
      <c r="A27" s="595"/>
      <c r="B27" s="598"/>
      <c r="C27" s="599"/>
      <c r="E27" s="382"/>
      <c r="F27" s="493">
        <f>(((1+F11)*(1+F16)*(1+F20))/(1-F25))</f>
        <v>1.2810451834285714</v>
      </c>
      <c r="G27" s="493">
        <f>(((1+G11)*(1+G16)*(1+G20))/(1-G25))</f>
        <v>1.224165341812401</v>
      </c>
      <c r="H27" s="283"/>
      <c r="I27" s="493">
        <f>(((1+I11)*(1+I16)*(1+I20))/(1-I25))</f>
        <v>1.2514193893947512</v>
      </c>
      <c r="J27" s="493">
        <f>(((1+J11)*(1+J16)*(1+J20))/(1-J25))</f>
        <v>1.2680210016155087</v>
      </c>
      <c r="K27" s="493">
        <f>(((1+K11)*(1+K16)*(1+K20))/(1-K25))</f>
        <v>1.2680210016155087</v>
      </c>
      <c r="L27" s="493">
        <f>(((1+L11)*(1+L16)*(1+L20))/(1-L25))</f>
        <v>1.2680210016155087</v>
      </c>
      <c r="M27" s="283"/>
      <c r="N27" s="283"/>
      <c r="O27" s="283"/>
      <c r="P27" s="283"/>
      <c r="Q27" s="283"/>
      <c r="R27" s="283"/>
      <c r="S27" s="283"/>
      <c r="T27" s="283"/>
      <c r="U27" s="283"/>
      <c r="V27" s="283"/>
      <c r="W27" s="283"/>
      <c r="X27" s="283"/>
      <c r="Y27" s="283"/>
      <c r="Z27" s="283"/>
      <c r="AA27" s="283"/>
      <c r="AB27" s="283"/>
      <c r="AC27" s="283"/>
      <c r="AD27" s="283"/>
      <c r="AE27" s="283"/>
      <c r="AF27" s="283"/>
      <c r="AG27" s="283"/>
      <c r="AH27" s="283"/>
      <c r="AI27" s="283"/>
      <c r="AJ27" s="283"/>
      <c r="AK27" s="283"/>
      <c r="AL27" s="283"/>
      <c r="AM27" s="283"/>
      <c r="AN27" s="283"/>
      <c r="AO27" s="283"/>
      <c r="AP27" s="283"/>
      <c r="AQ27" s="283"/>
      <c r="AR27" s="283"/>
      <c r="AS27" s="283"/>
      <c r="AT27" s="283"/>
      <c r="AU27" s="283"/>
      <c r="AV27" s="283"/>
      <c r="AW27" s="283"/>
      <c r="AX27" s="283"/>
      <c r="AY27" s="283"/>
      <c r="AZ27" s="283"/>
      <c r="BA27" s="283"/>
    </row>
    <row r="28" spans="1:53">
      <c r="A28" s="595"/>
      <c r="B28" s="598"/>
      <c r="C28" s="599"/>
      <c r="E28" s="289" t="s">
        <v>1879</v>
      </c>
      <c r="F28" s="381"/>
      <c r="G28" s="381"/>
      <c r="H28" s="283"/>
      <c r="I28" s="381"/>
      <c r="J28" s="381"/>
      <c r="K28" s="381"/>
      <c r="L28" s="381"/>
      <c r="M28" s="283"/>
      <c r="N28" s="283"/>
      <c r="O28" s="283"/>
      <c r="P28" s="283"/>
      <c r="Q28" s="283"/>
      <c r="R28" s="283"/>
      <c r="S28" s="283"/>
      <c r="T28" s="283"/>
      <c r="U28" s="283"/>
      <c r="V28" s="283"/>
      <c r="W28" s="283"/>
      <c r="X28" s="283"/>
      <c r="Y28" s="283"/>
      <c r="Z28" s="283"/>
      <c r="AA28" s="283"/>
      <c r="AB28" s="283"/>
      <c r="AC28" s="283"/>
      <c r="AD28" s="283"/>
      <c r="AE28" s="283"/>
      <c r="AF28" s="283"/>
      <c r="AG28" s="283"/>
      <c r="AH28" s="283"/>
      <c r="AI28" s="283"/>
      <c r="AJ28" s="283"/>
      <c r="AK28" s="283"/>
      <c r="AL28" s="283"/>
      <c r="AM28" s="283"/>
      <c r="AN28" s="283"/>
      <c r="AO28" s="283"/>
      <c r="AP28" s="283"/>
      <c r="AQ28" s="283"/>
      <c r="AR28" s="283"/>
      <c r="AS28" s="283"/>
      <c r="AT28" s="283"/>
      <c r="AU28" s="283"/>
      <c r="AV28" s="283"/>
      <c r="AW28" s="283"/>
      <c r="AX28" s="283"/>
      <c r="AY28" s="283"/>
      <c r="AZ28" s="283"/>
      <c r="BA28" s="283"/>
    </row>
    <row r="29" spans="1:53">
      <c r="A29" s="595"/>
      <c r="B29" s="598"/>
      <c r="C29" s="599"/>
      <c r="E29" s="1681"/>
      <c r="F29" s="1682"/>
      <c r="G29" s="1682"/>
      <c r="H29" s="283"/>
      <c r="I29" s="1682"/>
      <c r="J29" s="1682"/>
      <c r="K29" s="1682"/>
      <c r="L29" s="1682"/>
      <c r="M29" s="283"/>
      <c r="N29" s="283"/>
      <c r="O29" s="283"/>
      <c r="P29" s="283"/>
      <c r="Q29" s="283"/>
      <c r="R29" s="283"/>
      <c r="S29" s="283"/>
      <c r="T29" s="283"/>
      <c r="U29" s="283"/>
      <c r="V29" s="283"/>
      <c r="W29" s="283"/>
      <c r="X29" s="283"/>
      <c r="Y29" s="283"/>
      <c r="Z29" s="283"/>
      <c r="AA29" s="283"/>
      <c r="AB29" s="283"/>
      <c r="AC29" s="283"/>
      <c r="AD29" s="283"/>
      <c r="AE29" s="283"/>
      <c r="AF29" s="283"/>
      <c r="AG29" s="283"/>
      <c r="AH29" s="283"/>
      <c r="AI29" s="283"/>
      <c r="AJ29" s="283"/>
      <c r="AK29" s="283"/>
      <c r="AL29" s="283"/>
      <c r="AM29" s="283"/>
      <c r="AN29" s="283"/>
      <c r="AO29" s="283"/>
      <c r="AP29" s="283"/>
      <c r="AQ29" s="283"/>
      <c r="AR29" s="283"/>
      <c r="AS29" s="283"/>
      <c r="AT29" s="283"/>
      <c r="AU29" s="283"/>
      <c r="AV29" s="283"/>
      <c r="AW29" s="283"/>
      <c r="AX29" s="283"/>
      <c r="AY29" s="283"/>
      <c r="AZ29" s="283"/>
      <c r="BA29" s="283"/>
    </row>
    <row r="30" spans="1:53">
      <c r="A30" s="595"/>
      <c r="B30" s="598"/>
      <c r="C30" s="599"/>
      <c r="E30" s="1683" t="s">
        <v>1880</v>
      </c>
      <c r="F30" s="1684">
        <f>F27-100%</f>
        <v>0.28104518342857143</v>
      </c>
      <c r="G30" s="1684">
        <f>G27-100%</f>
        <v>0.224165341812401</v>
      </c>
      <c r="H30" s="764">
        <v>0.22420000000000001</v>
      </c>
      <c r="I30" s="1684">
        <f>I27-100%</f>
        <v>0.25141938939475117</v>
      </c>
      <c r="J30" s="1684">
        <f>J27-100%</f>
        <v>0.26802100161550868</v>
      </c>
      <c r="K30" s="1684">
        <f>K27-100%</f>
        <v>0.26802100161550868</v>
      </c>
      <c r="L30" s="1684">
        <f>AVERAGE(G30:K30)</f>
        <v>0.24716534688763389</v>
      </c>
      <c r="M30" s="283"/>
      <c r="N30" s="283"/>
      <c r="O30" s="283"/>
      <c r="P30" s="283"/>
      <c r="Q30" s="283"/>
      <c r="R30" s="283"/>
      <c r="S30" s="283"/>
      <c r="T30" s="283"/>
      <c r="U30" s="283"/>
      <c r="V30" s="283"/>
      <c r="W30" s="283"/>
      <c r="X30" s="283"/>
      <c r="Y30" s="283"/>
      <c r="Z30" s="283"/>
      <c r="AA30" s="283"/>
      <c r="AB30" s="283"/>
      <c r="AC30" s="283"/>
      <c r="AD30" s="283"/>
      <c r="AE30" s="283"/>
      <c r="AF30" s="283"/>
      <c r="AG30" s="283"/>
      <c r="AH30" s="283"/>
      <c r="AI30" s="283"/>
      <c r="AJ30" s="283"/>
      <c r="AK30" s="283"/>
      <c r="AL30" s="283"/>
      <c r="AM30" s="283"/>
      <c r="AN30" s="283"/>
      <c r="AO30" s="283"/>
      <c r="AP30" s="283"/>
      <c r="AQ30" s="283"/>
      <c r="AR30" s="283"/>
      <c r="AS30" s="283"/>
      <c r="AT30" s="283"/>
      <c r="AU30" s="283"/>
      <c r="AV30" s="283"/>
      <c r="AW30" s="283"/>
      <c r="AX30" s="283"/>
      <c r="AY30" s="283"/>
      <c r="AZ30" s="283"/>
      <c r="BA30" s="283"/>
    </row>
    <row r="31" spans="1:53">
      <c r="A31" s="595"/>
      <c r="B31" s="598"/>
      <c r="C31" s="599"/>
      <c r="E31" s="283"/>
      <c r="F31" s="494"/>
      <c r="G31" s="494"/>
      <c r="H31" s="283"/>
      <c r="I31" s="494"/>
      <c r="J31" s="494"/>
      <c r="K31" s="494"/>
      <c r="L31" s="494"/>
      <c r="M31" s="283"/>
      <c r="N31" s="283"/>
      <c r="O31" s="283"/>
      <c r="P31" s="283"/>
      <c r="Q31" s="283"/>
      <c r="R31" s="283"/>
      <c r="S31" s="283"/>
      <c r="T31" s="283"/>
      <c r="U31" s="283"/>
      <c r="V31" s="283"/>
      <c r="W31" s="283"/>
      <c r="X31" s="283"/>
      <c r="Y31" s="283"/>
      <c r="Z31" s="283"/>
      <c r="AA31" s="283"/>
      <c r="AB31" s="283"/>
      <c r="AC31" s="283"/>
      <c r="AD31" s="283"/>
      <c r="AE31" s="283"/>
      <c r="AF31" s="283"/>
      <c r="AG31" s="283"/>
      <c r="AH31" s="283"/>
      <c r="AI31" s="283"/>
      <c r="AJ31" s="283"/>
      <c r="AK31" s="283"/>
      <c r="AL31" s="283"/>
      <c r="AM31" s="283"/>
      <c r="AN31" s="283"/>
      <c r="AO31" s="283"/>
      <c r="AP31" s="283"/>
      <c r="AQ31" s="283"/>
      <c r="AR31" s="283"/>
      <c r="AS31" s="283"/>
      <c r="AT31" s="283"/>
      <c r="AU31" s="283"/>
      <c r="AV31" s="283"/>
      <c r="AW31" s="283"/>
      <c r="AX31" s="283"/>
      <c r="AY31" s="283"/>
      <c r="AZ31" s="283"/>
      <c r="BA31" s="283"/>
    </row>
    <row r="32" spans="1:53" ht="15">
      <c r="A32" s="595"/>
      <c r="B32" s="598"/>
      <c r="C32" s="599"/>
      <c r="E32" s="1968" t="s">
        <v>1881</v>
      </c>
      <c r="F32" s="1969"/>
      <c r="G32" s="497"/>
      <c r="H32" s="498"/>
      <c r="I32" s="497"/>
      <c r="J32" s="497"/>
      <c r="K32" s="497"/>
      <c r="L32" s="497" t="s">
        <v>1050</v>
      </c>
      <c r="M32" s="282" t="s">
        <v>207</v>
      </c>
      <c r="N32" s="282"/>
      <c r="O32" s="282" t="s">
        <v>1882</v>
      </c>
      <c r="P32" s="283"/>
      <c r="Q32" s="283"/>
      <c r="R32" s="283"/>
      <c r="S32" s="283"/>
      <c r="T32" s="283"/>
      <c r="U32" s="283"/>
      <c r="V32" s="283"/>
      <c r="W32" s="283"/>
      <c r="X32" s="283"/>
      <c r="Y32" s="283"/>
      <c r="Z32" s="283"/>
      <c r="AA32" s="283"/>
      <c r="AB32" s="283"/>
      <c r="AC32" s="283"/>
      <c r="AD32" s="283"/>
      <c r="AE32" s="283"/>
      <c r="AF32" s="283"/>
      <c r="AG32" s="283"/>
      <c r="AH32" s="283"/>
      <c r="AI32" s="283"/>
      <c r="AJ32" s="283"/>
      <c r="AK32" s="283"/>
      <c r="AL32" s="283"/>
      <c r="AM32" s="283"/>
      <c r="AN32" s="283"/>
      <c r="AO32" s="283"/>
      <c r="AP32" s="283"/>
      <c r="AQ32" s="283"/>
      <c r="AR32" s="283"/>
      <c r="AS32" s="283"/>
      <c r="AT32" s="283"/>
      <c r="AU32" s="283"/>
      <c r="AV32" s="283"/>
      <c r="AW32" s="283"/>
      <c r="AX32" s="283"/>
      <c r="AY32" s="283"/>
      <c r="AZ32" s="283"/>
      <c r="BA32" s="283"/>
    </row>
    <row r="33" spans="1:53">
      <c r="A33" s="595"/>
      <c r="B33" s="598"/>
      <c r="C33" s="599"/>
      <c r="E33" s="289" t="s">
        <v>1882</v>
      </c>
      <c r="F33" s="495">
        <v>0.23900000000000002</v>
      </c>
      <c r="G33" s="495"/>
      <c r="H33" s="283"/>
      <c r="I33" s="495"/>
      <c r="J33" s="495"/>
      <c r="K33" s="495"/>
      <c r="L33" s="1727">
        <v>0.22459999999999999</v>
      </c>
      <c r="M33" s="1685" t="s">
        <v>1883</v>
      </c>
      <c r="N33" s="1686"/>
      <c r="O33" s="1687">
        <v>0.25</v>
      </c>
      <c r="P33" s="283"/>
      <c r="Q33" s="283"/>
      <c r="R33" s="283"/>
      <c r="S33" s="283"/>
      <c r="T33" s="283"/>
      <c r="U33" s="283"/>
      <c r="V33" s="283"/>
      <c r="W33" s="283"/>
      <c r="X33" s="283"/>
      <c r="Y33" s="283"/>
      <c r="Z33" s="283"/>
      <c r="AA33" s="283"/>
      <c r="AB33" s="283"/>
      <c r="AC33" s="283"/>
      <c r="AD33" s="283"/>
      <c r="AE33" s="283"/>
      <c r="AF33" s="283"/>
      <c r="AG33" s="283"/>
      <c r="AH33" s="283"/>
      <c r="AI33" s="283"/>
      <c r="AJ33" s="283"/>
      <c r="AK33" s="283"/>
      <c r="AL33" s="283"/>
      <c r="AM33" s="283"/>
      <c r="AN33" s="283"/>
      <c r="AO33" s="283"/>
      <c r="AP33" s="283"/>
      <c r="AQ33" s="283"/>
      <c r="AR33" s="283"/>
      <c r="AS33" s="283"/>
      <c r="AT33" s="283"/>
      <c r="AU33" s="283"/>
      <c r="AV33" s="283"/>
      <c r="AW33" s="283"/>
      <c r="AX33" s="283"/>
      <c r="AY33" s="283"/>
      <c r="AZ33" s="283"/>
      <c r="BA33" s="283"/>
    </row>
    <row r="34" spans="1:53">
      <c r="A34" s="595"/>
      <c r="B34" s="598"/>
      <c r="C34" s="599"/>
      <c r="E34" s="289" t="s">
        <v>1884</v>
      </c>
      <c r="F34" s="495">
        <v>0.16600000000000001</v>
      </c>
      <c r="G34" s="495"/>
      <c r="H34" s="283"/>
      <c r="I34" s="495"/>
      <c r="J34" s="495"/>
      <c r="K34" s="495"/>
      <c r="L34" s="572">
        <v>0.15</v>
      </c>
      <c r="M34" s="498" t="s">
        <v>1885</v>
      </c>
      <c r="N34" s="498"/>
      <c r="O34" s="1687">
        <v>0.25</v>
      </c>
      <c r="P34" s="283"/>
      <c r="Q34" s="283"/>
      <c r="R34" s="283"/>
      <c r="S34" s="283"/>
      <c r="T34" s="283"/>
      <c r="U34" s="283"/>
      <c r="V34" s="283"/>
      <c r="W34" s="283"/>
      <c r="X34" s="283"/>
      <c r="Y34" s="283"/>
      <c r="Z34" s="283"/>
      <c r="AA34" s="283"/>
      <c r="AB34" s="283"/>
      <c r="AC34" s="283"/>
      <c r="AD34" s="283"/>
      <c r="AE34" s="283"/>
      <c r="AF34" s="283"/>
      <c r="AG34" s="283"/>
      <c r="AH34" s="283"/>
      <c r="AI34" s="283"/>
      <c r="AJ34" s="283"/>
      <c r="AK34" s="283"/>
      <c r="AL34" s="283"/>
      <c r="AM34" s="283"/>
      <c r="AN34" s="283"/>
      <c r="AO34" s="283"/>
      <c r="AP34" s="283"/>
      <c r="AQ34" s="283"/>
      <c r="AR34" s="283"/>
      <c r="AS34" s="283"/>
      <c r="AT34" s="283"/>
      <c r="AU34" s="283"/>
      <c r="AV34" s="283"/>
      <c r="AW34" s="283"/>
      <c r="AX34" s="283"/>
      <c r="AY34" s="283"/>
      <c r="AZ34" s="283"/>
      <c r="BA34" s="283"/>
    </row>
    <row r="35" spans="1:53">
      <c r="A35" s="595"/>
      <c r="B35" s="598"/>
      <c r="C35" s="599"/>
      <c r="E35" s="1681" t="s">
        <v>1886</v>
      </c>
      <c r="F35" s="1688">
        <v>0.79269999999999996</v>
      </c>
      <c r="G35" s="1688"/>
      <c r="H35" s="283"/>
      <c r="I35" s="1688"/>
      <c r="J35" s="1688"/>
      <c r="K35" s="1688"/>
      <c r="L35" s="1689">
        <v>0.85</v>
      </c>
      <c r="M35" s="498" t="s">
        <v>1626</v>
      </c>
      <c r="N35" s="498"/>
      <c r="O35" s="1687">
        <v>0.25</v>
      </c>
      <c r="P35" s="283"/>
      <c r="Q35" s="283"/>
      <c r="R35" s="283"/>
      <c r="S35" s="283"/>
      <c r="T35" s="283"/>
      <c r="U35" s="283"/>
      <c r="V35" s="283"/>
      <c r="W35" s="283"/>
      <c r="X35" s="283"/>
      <c r="Y35" s="283"/>
      <c r="Z35" s="283"/>
      <c r="AA35" s="283"/>
      <c r="AB35" s="283"/>
      <c r="AC35" s="283"/>
      <c r="AD35" s="283"/>
      <c r="AE35" s="283"/>
      <c r="AF35" s="283"/>
      <c r="AG35" s="283"/>
      <c r="AH35" s="283"/>
      <c r="AI35" s="283"/>
      <c r="AJ35" s="283"/>
      <c r="AK35" s="283"/>
      <c r="AL35" s="283"/>
      <c r="AM35" s="283"/>
      <c r="AN35" s="283"/>
      <c r="AO35" s="283"/>
      <c r="AP35" s="283"/>
      <c r="AQ35" s="283"/>
      <c r="AR35" s="283"/>
      <c r="AS35" s="283"/>
      <c r="AT35" s="283"/>
      <c r="AU35" s="283"/>
      <c r="AV35" s="283"/>
      <c r="AW35" s="283"/>
      <c r="AX35" s="283"/>
      <c r="AY35" s="283"/>
      <c r="AZ35" s="283"/>
      <c r="BA35" s="283"/>
    </row>
    <row r="36" spans="1:53">
      <c r="A36" s="595"/>
      <c r="B36" s="598"/>
      <c r="C36" s="599"/>
      <c r="E36" s="283"/>
      <c r="F36" s="494"/>
      <c r="G36" s="494"/>
      <c r="H36" s="283"/>
      <c r="I36" s="494"/>
      <c r="J36" s="494"/>
      <c r="K36" s="494"/>
      <c r="L36" s="494"/>
      <c r="M36" s="498" t="s">
        <v>1887</v>
      </c>
      <c r="N36" s="498"/>
      <c r="O36" s="1687">
        <v>0.25</v>
      </c>
      <c r="P36" s="283"/>
      <c r="Q36" s="283"/>
      <c r="R36" s="283"/>
      <c r="S36" s="283"/>
      <c r="T36" s="283"/>
      <c r="U36" s="283"/>
      <c r="V36" s="283"/>
      <c r="W36" s="283"/>
      <c r="X36" s="283"/>
      <c r="Y36" s="283"/>
      <c r="Z36" s="283"/>
      <c r="AA36" s="283"/>
      <c r="AB36" s="283"/>
      <c r="AC36" s="283"/>
      <c r="AD36" s="283"/>
      <c r="AE36" s="283"/>
      <c r="AF36" s="283"/>
      <c r="AG36" s="283"/>
      <c r="AH36" s="283"/>
      <c r="AI36" s="283"/>
      <c r="AJ36" s="283"/>
      <c r="AK36" s="283"/>
      <c r="AL36" s="283"/>
      <c r="AM36" s="283"/>
      <c r="AN36" s="283"/>
      <c r="AO36" s="283"/>
      <c r="AP36" s="283"/>
      <c r="AQ36" s="283"/>
      <c r="AR36" s="283"/>
      <c r="AS36" s="283"/>
      <c r="AT36" s="283"/>
      <c r="AU36" s="283"/>
      <c r="AV36" s="283"/>
      <c r="AW36" s="283"/>
      <c r="AX36" s="283"/>
      <c r="AY36" s="283"/>
      <c r="AZ36" s="283"/>
      <c r="BA36" s="283"/>
    </row>
    <row r="37" spans="1:53">
      <c r="A37" s="595"/>
      <c r="B37" s="598"/>
      <c r="C37" s="599"/>
      <c r="E37" s="283"/>
      <c r="F37" s="494"/>
      <c r="G37" s="494"/>
      <c r="H37" s="283"/>
      <c r="I37" s="494"/>
      <c r="J37" s="494"/>
      <c r="K37" s="494"/>
      <c r="L37" s="494"/>
      <c r="M37" s="498" t="s">
        <v>1888</v>
      </c>
      <c r="N37" s="498"/>
      <c r="O37" s="1687">
        <v>0.25</v>
      </c>
      <c r="P37" s="283"/>
      <c r="Q37" s="283"/>
      <c r="R37" s="283"/>
      <c r="S37" s="283"/>
      <c r="T37" s="283"/>
      <c r="U37" s="283"/>
      <c r="V37" s="283"/>
      <c r="W37" s="283"/>
      <c r="X37" s="283"/>
      <c r="Y37" s="283"/>
      <c r="Z37" s="283"/>
      <c r="AA37" s="283"/>
      <c r="AB37" s="283"/>
      <c r="AC37" s="283"/>
      <c r="AD37" s="283"/>
      <c r="AE37" s="283"/>
      <c r="AF37" s="283"/>
      <c r="AG37" s="283"/>
      <c r="AH37" s="283"/>
      <c r="AI37" s="283"/>
      <c r="AJ37" s="283"/>
      <c r="AK37" s="283"/>
      <c r="AL37" s="283"/>
      <c r="AM37" s="283"/>
      <c r="AN37" s="283"/>
      <c r="AO37" s="283"/>
      <c r="AP37" s="283"/>
      <c r="AQ37" s="283"/>
      <c r="AR37" s="283"/>
      <c r="AS37" s="283"/>
      <c r="AT37" s="283"/>
      <c r="AU37" s="283"/>
      <c r="AV37" s="283"/>
      <c r="AW37" s="283"/>
      <c r="AX37" s="283"/>
      <c r="AY37" s="283"/>
      <c r="AZ37" s="283"/>
      <c r="BA37" s="283"/>
    </row>
    <row r="38" spans="1:53">
      <c r="A38" s="595"/>
      <c r="B38" s="598"/>
      <c r="C38" s="599"/>
      <c r="E38" s="283"/>
      <c r="F38" s="494"/>
      <c r="G38" s="494"/>
      <c r="H38" s="283"/>
      <c r="I38" s="494"/>
      <c r="J38" s="494"/>
      <c r="K38" s="494"/>
      <c r="L38" s="494"/>
      <c r="M38" s="283"/>
      <c r="N38" s="283"/>
      <c r="O38" s="283"/>
      <c r="P38" s="283"/>
      <c r="Q38" s="283"/>
      <c r="R38" s="283"/>
      <c r="S38" s="283"/>
      <c r="T38" s="283"/>
      <c r="U38" s="283"/>
      <c r="V38" s="283"/>
      <c r="W38" s="283"/>
      <c r="X38" s="283"/>
      <c r="Y38" s="283"/>
      <c r="Z38" s="283"/>
      <c r="AA38" s="283"/>
      <c r="AB38" s="283"/>
      <c r="AC38" s="283"/>
      <c r="AD38" s="283"/>
      <c r="AE38" s="283"/>
      <c r="AF38" s="283"/>
      <c r="AG38" s="283"/>
      <c r="AH38" s="283"/>
      <c r="AI38" s="283"/>
      <c r="AJ38" s="283"/>
      <c r="AK38" s="283"/>
      <c r="AL38" s="283"/>
      <c r="AM38" s="283"/>
      <c r="AN38" s="283"/>
      <c r="AO38" s="283"/>
      <c r="AP38" s="283"/>
      <c r="AQ38" s="283"/>
      <c r="AR38" s="283"/>
      <c r="AS38" s="283"/>
      <c r="AT38" s="283"/>
      <c r="AU38" s="283"/>
      <c r="AV38" s="283"/>
      <c r="AW38" s="283"/>
      <c r="AX38" s="283"/>
      <c r="AY38" s="283"/>
      <c r="AZ38" s="283"/>
      <c r="BA38" s="283"/>
    </row>
    <row r="39" spans="1:53">
      <c r="A39" s="595"/>
      <c r="B39" s="598"/>
      <c r="C39" s="599"/>
      <c r="E39" s="283"/>
      <c r="F39" s="494"/>
      <c r="G39" s="494"/>
      <c r="H39" s="283"/>
      <c r="I39" s="494"/>
      <c r="J39" s="494"/>
      <c r="K39" s="494"/>
      <c r="L39" s="494"/>
      <c r="M39" s="283"/>
      <c r="N39" s="283"/>
      <c r="O39" s="283"/>
      <c r="P39" s="283"/>
      <c r="Q39" s="283"/>
      <c r="R39" s="283"/>
      <c r="S39" s="283"/>
      <c r="T39" s="283"/>
      <c r="U39" s="283"/>
      <c r="V39" s="283"/>
      <c r="W39" s="283"/>
      <c r="X39" s="283"/>
      <c r="Y39" s="283"/>
      <c r="Z39" s="283"/>
      <c r="AA39" s="283"/>
      <c r="AB39" s="283"/>
      <c r="AC39" s="283"/>
      <c r="AD39" s="283"/>
      <c r="AE39" s="283"/>
      <c r="AF39" s="283"/>
      <c r="AG39" s="283"/>
      <c r="AH39" s="283"/>
      <c r="AI39" s="283"/>
      <c r="AJ39" s="283"/>
      <c r="AK39" s="283"/>
      <c r="AL39" s="283"/>
      <c r="AM39" s="283"/>
      <c r="AN39" s="283"/>
      <c r="AO39" s="283"/>
      <c r="AP39" s="283"/>
      <c r="AQ39" s="283"/>
      <c r="AR39" s="283"/>
      <c r="AS39" s="283"/>
      <c r="AT39" s="283"/>
      <c r="AU39" s="283"/>
      <c r="AV39" s="283"/>
      <c r="AW39" s="283"/>
      <c r="AX39" s="283"/>
      <c r="AY39" s="283"/>
      <c r="AZ39" s="283"/>
      <c r="BA39" s="283"/>
    </row>
    <row r="40" spans="1:53">
      <c r="A40" s="595"/>
      <c r="B40" s="598"/>
      <c r="C40" s="599"/>
      <c r="E40" s="283"/>
      <c r="F40" s="494"/>
      <c r="G40" s="494"/>
      <c r="H40" s="283"/>
      <c r="I40" s="494"/>
      <c r="J40" s="494"/>
      <c r="K40" s="494"/>
      <c r="L40" s="494"/>
      <c r="M40" s="283"/>
      <c r="N40" s="283"/>
      <c r="O40" s="283"/>
      <c r="P40" s="283"/>
      <c r="Q40" s="283"/>
      <c r="R40" s="283"/>
      <c r="S40" s="283"/>
      <c r="T40" s="283"/>
      <c r="U40" s="283"/>
      <c r="V40" s="283"/>
      <c r="W40" s="283"/>
      <c r="X40" s="283"/>
      <c r="Y40" s="283"/>
      <c r="Z40" s="283"/>
      <c r="AA40" s="283"/>
      <c r="AB40" s="283"/>
      <c r="AC40" s="283"/>
      <c r="AD40" s="283"/>
      <c r="AE40" s="283"/>
      <c r="AF40" s="283"/>
      <c r="AG40" s="283"/>
      <c r="AH40" s="283"/>
      <c r="AI40" s="283"/>
      <c r="AJ40" s="283"/>
      <c r="AK40" s="283"/>
      <c r="AL40" s="283"/>
      <c r="AM40" s="283"/>
      <c r="AN40" s="283"/>
      <c r="AO40" s="283"/>
      <c r="AP40" s="283"/>
      <c r="AQ40" s="283"/>
      <c r="AR40" s="283"/>
      <c r="AS40" s="283"/>
      <c r="AT40" s="283"/>
      <c r="AU40" s="283"/>
      <c r="AV40" s="283"/>
      <c r="AW40" s="283"/>
      <c r="AX40" s="283"/>
      <c r="AY40" s="283"/>
      <c r="AZ40" s="283"/>
      <c r="BA40" s="283"/>
    </row>
    <row r="41" spans="1:53">
      <c r="A41" s="595"/>
      <c r="B41" s="598"/>
      <c r="C41" s="599"/>
      <c r="E41" s="283"/>
      <c r="F41" s="494"/>
      <c r="G41" s="494"/>
      <c r="H41" s="283"/>
      <c r="I41" s="494"/>
      <c r="J41" s="494"/>
      <c r="K41" s="494"/>
      <c r="L41" s="494"/>
      <c r="M41" s="283"/>
      <c r="N41" s="283"/>
      <c r="O41" s="283"/>
      <c r="P41" s="283"/>
      <c r="Q41" s="283"/>
      <c r="R41" s="283"/>
      <c r="S41" s="283"/>
      <c r="T41" s="283"/>
      <c r="U41" s="283"/>
      <c r="V41" s="283"/>
      <c r="W41" s="283"/>
      <c r="X41" s="283"/>
      <c r="Y41" s="283"/>
      <c r="Z41" s="283"/>
      <c r="AA41" s="283"/>
      <c r="AB41" s="283"/>
      <c r="AC41" s="283"/>
      <c r="AD41" s="283"/>
      <c r="AE41" s="283"/>
      <c r="AF41" s="283"/>
      <c r="AG41" s="283"/>
      <c r="AH41" s="283"/>
      <c r="AI41" s="283"/>
      <c r="AJ41" s="283"/>
      <c r="AK41" s="283"/>
      <c r="AL41" s="283"/>
      <c r="AM41" s="283"/>
      <c r="AN41" s="283"/>
      <c r="AO41" s="283"/>
      <c r="AP41" s="283"/>
      <c r="AQ41" s="283"/>
      <c r="AR41" s="283"/>
      <c r="AS41" s="283"/>
      <c r="AT41" s="283"/>
      <c r="AU41" s="283"/>
      <c r="AV41" s="283"/>
      <c r="AW41" s="283"/>
      <c r="AX41" s="283"/>
      <c r="AY41" s="283"/>
      <c r="AZ41" s="283"/>
      <c r="BA41" s="283"/>
    </row>
    <row r="42" spans="1:53">
      <c r="A42" s="595"/>
      <c r="B42" s="598"/>
      <c r="C42" s="599"/>
      <c r="E42" s="283"/>
      <c r="F42" s="494"/>
      <c r="G42" s="494"/>
      <c r="H42" s="283"/>
      <c r="I42" s="494"/>
      <c r="J42" s="494"/>
      <c r="K42" s="494"/>
      <c r="L42" s="494"/>
      <c r="M42" s="283"/>
      <c r="N42" s="283"/>
      <c r="O42" s="283"/>
      <c r="P42" s="283"/>
      <c r="Q42" s="283"/>
      <c r="R42" s="283"/>
      <c r="S42" s="283"/>
      <c r="T42" s="283"/>
      <c r="U42" s="283"/>
      <c r="V42" s="283"/>
      <c r="W42" s="283"/>
      <c r="X42" s="283"/>
      <c r="Y42" s="283"/>
      <c r="Z42" s="283"/>
      <c r="AA42" s="283"/>
      <c r="AB42" s="283"/>
      <c r="AC42" s="283"/>
      <c r="AD42" s="283"/>
      <c r="AE42" s="283"/>
      <c r="AF42" s="283"/>
      <c r="AG42" s="283"/>
      <c r="AH42" s="283"/>
      <c r="AI42" s="283"/>
      <c r="AJ42" s="283"/>
      <c r="AK42" s="283"/>
      <c r="AL42" s="283"/>
      <c r="AM42" s="283"/>
      <c r="AN42" s="283"/>
      <c r="AO42" s="283"/>
      <c r="AP42" s="283"/>
      <c r="AQ42" s="283"/>
      <c r="AR42" s="283"/>
      <c r="AS42" s="283"/>
      <c r="AT42" s="283"/>
      <c r="AU42" s="283"/>
      <c r="AV42" s="283"/>
      <c r="AW42" s="283"/>
      <c r="AX42" s="283"/>
      <c r="AY42" s="283"/>
      <c r="AZ42" s="283"/>
      <c r="BA42" s="283"/>
    </row>
    <row r="43" spans="1:53">
      <c r="A43" s="595"/>
      <c r="B43" s="598"/>
      <c r="C43" s="599"/>
      <c r="E43" s="283"/>
      <c r="F43" s="494"/>
      <c r="G43" s="494"/>
      <c r="H43" s="283"/>
      <c r="I43" s="494"/>
      <c r="J43" s="494"/>
      <c r="K43" s="494"/>
      <c r="L43" s="494"/>
      <c r="M43" s="283"/>
      <c r="N43" s="283"/>
      <c r="O43" s="283"/>
      <c r="P43" s="283"/>
      <c r="Q43" s="283"/>
      <c r="R43" s="283"/>
      <c r="S43" s="283"/>
      <c r="T43" s="283"/>
      <c r="U43" s="283"/>
      <c r="V43" s="283"/>
      <c r="W43" s="283"/>
      <c r="X43" s="283"/>
      <c r="Y43" s="283"/>
      <c r="Z43" s="283"/>
      <c r="AA43" s="283"/>
      <c r="AB43" s="283"/>
      <c r="AC43" s="283"/>
      <c r="AD43" s="283"/>
      <c r="AE43" s="283"/>
      <c r="AF43" s="283"/>
      <c r="AG43" s="283"/>
      <c r="AH43" s="283"/>
      <c r="AI43" s="283"/>
      <c r="AJ43" s="283"/>
      <c r="AK43" s="283"/>
      <c r="AL43" s="283"/>
      <c r="AM43" s="283"/>
      <c r="AN43" s="283"/>
      <c r="AO43" s="283"/>
      <c r="AP43" s="283"/>
      <c r="AQ43" s="283"/>
      <c r="AR43" s="283"/>
      <c r="AS43" s="283"/>
      <c r="AT43" s="283"/>
      <c r="AU43" s="283"/>
      <c r="AV43" s="283"/>
      <c r="AW43" s="283"/>
      <c r="AX43" s="283"/>
      <c r="AY43" s="283"/>
      <c r="AZ43" s="283"/>
      <c r="BA43" s="283"/>
    </row>
    <row r="44" spans="1:53">
      <c r="A44" s="595"/>
      <c r="B44" s="598"/>
      <c r="C44" s="599"/>
      <c r="E44" s="283"/>
      <c r="F44" s="494"/>
      <c r="G44" s="494"/>
      <c r="H44" s="283"/>
      <c r="I44" s="494"/>
      <c r="J44" s="494"/>
      <c r="K44" s="494"/>
      <c r="L44" s="494"/>
      <c r="M44" s="283"/>
      <c r="N44" s="283"/>
      <c r="O44" s="283"/>
      <c r="P44" s="283"/>
      <c r="Q44" s="283"/>
      <c r="R44" s="283"/>
      <c r="S44" s="283"/>
      <c r="T44" s="283"/>
      <c r="U44" s="283"/>
      <c r="V44" s="283"/>
      <c r="W44" s="283"/>
      <c r="X44" s="283"/>
      <c r="Y44" s="283"/>
      <c r="Z44" s="283"/>
      <c r="AA44" s="283"/>
      <c r="AB44" s="283"/>
      <c r="AC44" s="283"/>
      <c r="AD44" s="283"/>
      <c r="AE44" s="283"/>
      <c r="AF44" s="283"/>
      <c r="AG44" s="283"/>
      <c r="AH44" s="283"/>
      <c r="AI44" s="283"/>
      <c r="AJ44" s="283"/>
      <c r="AK44" s="283"/>
      <c r="AL44" s="283"/>
      <c r="AM44" s="283"/>
      <c r="AN44" s="283"/>
      <c r="AO44" s="283"/>
      <c r="AP44" s="283"/>
      <c r="AQ44" s="283"/>
      <c r="AR44" s="283"/>
      <c r="AS44" s="283"/>
      <c r="AT44" s="283"/>
      <c r="AU44" s="283"/>
      <c r="AV44" s="283"/>
      <c r="AW44" s="283"/>
      <c r="AX44" s="283"/>
      <c r="AY44" s="283"/>
      <c r="AZ44" s="283"/>
      <c r="BA44" s="283"/>
    </row>
    <row r="45" spans="1:53">
      <c r="A45" s="595"/>
      <c r="B45" s="598"/>
      <c r="C45" s="599"/>
      <c r="E45" s="283"/>
      <c r="F45" s="494"/>
      <c r="G45" s="494"/>
      <c r="H45" s="283"/>
      <c r="I45" s="494"/>
      <c r="J45" s="494"/>
      <c r="K45" s="494"/>
      <c r="L45" s="494"/>
      <c r="M45" s="283"/>
      <c r="N45" s="283"/>
      <c r="O45" s="283"/>
      <c r="P45" s="283"/>
      <c r="Q45" s="283"/>
      <c r="R45" s="283"/>
      <c r="S45" s="283"/>
      <c r="T45" s="283"/>
      <c r="U45" s="283"/>
      <c r="V45" s="283"/>
      <c r="W45" s="283"/>
      <c r="X45" s="283"/>
      <c r="Y45" s="283"/>
      <c r="Z45" s="283"/>
      <c r="AA45" s="283"/>
      <c r="AB45" s="283"/>
      <c r="AC45" s="283"/>
      <c r="AD45" s="283"/>
      <c r="AE45" s="283"/>
      <c r="AF45" s="283"/>
      <c r="AG45" s="283"/>
      <c r="AH45" s="283"/>
      <c r="AI45" s="283"/>
      <c r="AJ45" s="283"/>
      <c r="AK45" s="283"/>
      <c r="AL45" s="283"/>
      <c r="AM45" s="283"/>
      <c r="AN45" s="283"/>
      <c r="AO45" s="283"/>
      <c r="AP45" s="283"/>
      <c r="AQ45" s="283"/>
      <c r="AR45" s="283"/>
      <c r="AS45" s="283"/>
      <c r="AT45" s="283"/>
      <c r="AU45" s="283"/>
      <c r="AV45" s="283"/>
      <c r="AW45" s="283"/>
      <c r="AX45" s="283"/>
      <c r="AY45" s="283"/>
      <c r="AZ45" s="283"/>
      <c r="BA45" s="283"/>
    </row>
    <row r="46" spans="1:53">
      <c r="A46" s="595"/>
      <c r="B46" s="598"/>
      <c r="C46" s="599"/>
      <c r="E46" s="283"/>
      <c r="F46" s="494"/>
      <c r="G46" s="494"/>
      <c r="H46" s="283"/>
      <c r="I46" s="494"/>
      <c r="J46" s="494"/>
      <c r="K46" s="494"/>
      <c r="L46" s="494"/>
      <c r="M46" s="283"/>
      <c r="N46" s="283"/>
      <c r="O46" s="283"/>
      <c r="P46" s="283"/>
      <c r="Q46" s="283"/>
      <c r="R46" s="283"/>
      <c r="S46" s="283"/>
      <c r="T46" s="283"/>
      <c r="U46" s="283"/>
      <c r="V46" s="283"/>
      <c r="W46" s="283"/>
      <c r="X46" s="283"/>
      <c r="Y46" s="283"/>
      <c r="Z46" s="283"/>
      <c r="AA46" s="283"/>
      <c r="AB46" s="283"/>
      <c r="AC46" s="283"/>
      <c r="AD46" s="283"/>
      <c r="AE46" s="283"/>
      <c r="AF46" s="283"/>
      <c r="AG46" s="283"/>
      <c r="AH46" s="283"/>
      <c r="AI46" s="283"/>
      <c r="AJ46" s="283"/>
      <c r="AK46" s="283"/>
      <c r="AL46" s="283"/>
      <c r="AM46" s="283"/>
      <c r="AN46" s="283"/>
      <c r="AO46" s="283"/>
      <c r="AP46" s="283"/>
      <c r="AQ46" s="283"/>
      <c r="AR46" s="283"/>
      <c r="AS46" s="283"/>
      <c r="AT46" s="283"/>
      <c r="AU46" s="283"/>
      <c r="AV46" s="283"/>
      <c r="AW46" s="283"/>
      <c r="AX46" s="283"/>
      <c r="AY46" s="283"/>
      <c r="AZ46" s="283"/>
      <c r="BA46" s="283"/>
    </row>
    <row r="47" spans="1:53">
      <c r="A47" s="595"/>
      <c r="B47" s="598"/>
      <c r="C47" s="599"/>
      <c r="E47" s="283"/>
      <c r="F47" s="494"/>
      <c r="G47" s="494"/>
      <c r="H47" s="283"/>
      <c r="I47" s="494"/>
      <c r="J47" s="494"/>
      <c r="K47" s="494"/>
      <c r="L47" s="494"/>
      <c r="M47" s="283"/>
      <c r="N47" s="283"/>
      <c r="O47" s="283"/>
      <c r="P47" s="283"/>
      <c r="Q47" s="283"/>
      <c r="R47" s="283"/>
      <c r="S47" s="283"/>
      <c r="T47" s="283"/>
      <c r="U47" s="283"/>
      <c r="V47" s="283"/>
      <c r="W47" s="283"/>
      <c r="X47" s="283"/>
      <c r="Y47" s="283"/>
      <c r="Z47" s="283"/>
      <c r="AA47" s="283"/>
      <c r="AB47" s="283"/>
      <c r="AC47" s="283"/>
      <c r="AD47" s="283"/>
      <c r="AE47" s="283"/>
      <c r="AF47" s="283"/>
      <c r="AG47" s="283"/>
      <c r="AH47" s="283"/>
      <c r="AI47" s="283"/>
      <c r="AJ47" s="283"/>
      <c r="AK47" s="283"/>
      <c r="AL47" s="283"/>
      <c r="AM47" s="283"/>
      <c r="AN47" s="283"/>
      <c r="AO47" s="283"/>
      <c r="AP47" s="283"/>
      <c r="AQ47" s="283"/>
      <c r="AR47" s="283"/>
      <c r="AS47" s="283"/>
      <c r="AT47" s="283"/>
      <c r="AU47" s="283"/>
      <c r="AV47" s="283"/>
      <c r="AW47" s="283"/>
      <c r="AX47" s="283"/>
      <c r="AY47" s="283"/>
      <c r="AZ47" s="283"/>
      <c r="BA47" s="283"/>
    </row>
    <row r="48" spans="1:53">
      <c r="A48" s="595"/>
      <c r="B48" s="598"/>
      <c r="C48" s="599"/>
      <c r="E48" s="283"/>
      <c r="F48" s="494"/>
      <c r="G48" s="494"/>
      <c r="H48" s="283"/>
      <c r="I48" s="494"/>
      <c r="J48" s="494"/>
      <c r="K48" s="494"/>
      <c r="L48" s="494"/>
      <c r="M48" s="283"/>
      <c r="N48" s="283"/>
      <c r="O48" s="283"/>
      <c r="P48" s="283"/>
      <c r="Q48" s="283"/>
      <c r="R48" s="283"/>
      <c r="S48" s="283"/>
      <c r="T48" s="283"/>
      <c r="U48" s="283"/>
      <c r="V48" s="283"/>
      <c r="W48" s="283"/>
      <c r="X48" s="283"/>
      <c r="Y48" s="283"/>
      <c r="Z48" s="283"/>
      <c r="AA48" s="283"/>
      <c r="AB48" s="283"/>
      <c r="AC48" s="283"/>
      <c r="AD48" s="283"/>
      <c r="AE48" s="283"/>
      <c r="AF48" s="283"/>
      <c r="AG48" s="283"/>
      <c r="AH48" s="283"/>
      <c r="AI48" s="283"/>
      <c r="AJ48" s="283"/>
      <c r="AK48" s="283"/>
      <c r="AL48" s="283"/>
      <c r="AM48" s="283"/>
      <c r="AN48" s="283"/>
      <c r="AO48" s="283"/>
      <c r="AP48" s="283"/>
      <c r="AQ48" s="283"/>
      <c r="AR48" s="283"/>
      <c r="AS48" s="283"/>
      <c r="AT48" s="283"/>
      <c r="AU48" s="283"/>
      <c r="AV48" s="283"/>
      <c r="AW48" s="283"/>
      <c r="AX48" s="283"/>
      <c r="AY48" s="283"/>
      <c r="AZ48" s="283"/>
      <c r="BA48" s="283"/>
    </row>
    <row r="49" spans="1:53">
      <c r="A49" s="595"/>
      <c r="B49" s="598"/>
      <c r="C49" s="599"/>
      <c r="E49" s="283"/>
      <c r="F49" s="494"/>
      <c r="G49" s="494"/>
      <c r="H49" s="283"/>
      <c r="I49" s="494"/>
      <c r="J49" s="494"/>
      <c r="K49" s="494"/>
      <c r="L49" s="494"/>
      <c r="M49" s="283"/>
      <c r="N49" s="283"/>
      <c r="O49" s="283"/>
      <c r="P49" s="283"/>
      <c r="Q49" s="283"/>
      <c r="R49" s="283"/>
      <c r="S49" s="283"/>
      <c r="T49" s="283"/>
      <c r="U49" s="283"/>
      <c r="V49" s="283"/>
      <c r="W49" s="283"/>
      <c r="X49" s="283"/>
      <c r="Y49" s="283"/>
      <c r="Z49" s="283"/>
      <c r="AA49" s="283"/>
      <c r="AB49" s="283"/>
      <c r="AC49" s="283"/>
      <c r="AD49" s="283"/>
      <c r="AE49" s="283"/>
      <c r="AF49" s="283"/>
      <c r="AG49" s="283"/>
      <c r="AH49" s="283"/>
      <c r="AI49" s="283"/>
      <c r="AJ49" s="283"/>
      <c r="AK49" s="283"/>
      <c r="AL49" s="283"/>
      <c r="AM49" s="283"/>
      <c r="AN49" s="283"/>
      <c r="AO49" s="283"/>
      <c r="AP49" s="283"/>
      <c r="AQ49" s="283"/>
      <c r="AR49" s="283"/>
      <c r="AS49" s="283"/>
      <c r="AT49" s="283"/>
      <c r="AU49" s="283"/>
      <c r="AV49" s="283"/>
      <c r="AW49" s="283"/>
      <c r="AX49" s="283"/>
      <c r="AY49" s="283"/>
      <c r="AZ49" s="283"/>
      <c r="BA49" s="283"/>
    </row>
    <row r="50" spans="1:53">
      <c r="A50" s="595"/>
      <c r="B50" s="598"/>
      <c r="C50" s="599"/>
      <c r="E50" s="283"/>
      <c r="F50" s="494"/>
      <c r="G50" s="494"/>
      <c r="H50" s="283"/>
      <c r="I50" s="494"/>
      <c r="J50" s="494"/>
      <c r="K50" s="494"/>
      <c r="L50" s="494"/>
      <c r="M50" s="283"/>
      <c r="N50" s="283"/>
      <c r="O50" s="283"/>
      <c r="P50" s="283"/>
      <c r="Q50" s="283"/>
      <c r="R50" s="283"/>
      <c r="S50" s="283"/>
      <c r="T50" s="283"/>
      <c r="U50" s="283"/>
      <c r="V50" s="283"/>
      <c r="W50" s="283"/>
      <c r="X50" s="283"/>
      <c r="Y50" s="283"/>
      <c r="Z50" s="283"/>
      <c r="AA50" s="283"/>
      <c r="AB50" s="283"/>
      <c r="AC50" s="283"/>
      <c r="AD50" s="283"/>
      <c r="AE50" s="283"/>
      <c r="AF50" s="283"/>
      <c r="AG50" s="283"/>
      <c r="AH50" s="283"/>
      <c r="AI50" s="283"/>
      <c r="AJ50" s="283"/>
      <c r="AK50" s="283"/>
      <c r="AL50" s="283"/>
      <c r="AM50" s="283"/>
      <c r="AN50" s="283"/>
      <c r="AO50" s="283"/>
      <c r="AP50" s="283"/>
      <c r="AQ50" s="283"/>
      <c r="AR50" s="283"/>
      <c r="AS50" s="283"/>
      <c r="AT50" s="283"/>
      <c r="AU50" s="283"/>
      <c r="AV50" s="283"/>
      <c r="AW50" s="283"/>
      <c r="AX50" s="283"/>
      <c r="AY50" s="283"/>
      <c r="AZ50" s="283"/>
      <c r="BA50" s="283"/>
    </row>
    <row r="51" spans="1:53">
      <c r="A51" s="595"/>
      <c r="B51" s="598"/>
      <c r="C51" s="599"/>
      <c r="E51" s="283"/>
      <c r="F51" s="494"/>
      <c r="G51" s="494"/>
      <c r="H51" s="283"/>
      <c r="I51" s="494"/>
      <c r="J51" s="494"/>
      <c r="K51" s="494"/>
      <c r="L51" s="494"/>
      <c r="M51" s="283"/>
      <c r="N51" s="283"/>
      <c r="O51" s="283"/>
      <c r="P51" s="283"/>
      <c r="Q51" s="283"/>
      <c r="R51" s="283"/>
      <c r="S51" s="283"/>
      <c r="T51" s="283"/>
      <c r="U51" s="283"/>
      <c r="V51" s="283"/>
      <c r="W51" s="283"/>
      <c r="X51" s="283"/>
      <c r="Y51" s="283"/>
      <c r="Z51" s="283"/>
      <c r="AA51" s="283"/>
      <c r="AB51" s="283"/>
      <c r="AC51" s="283"/>
      <c r="AD51" s="283"/>
      <c r="AE51" s="283"/>
      <c r="AF51" s="283"/>
      <c r="AG51" s="283"/>
      <c r="AH51" s="283"/>
      <c r="AI51" s="283"/>
      <c r="AJ51" s="283"/>
      <c r="AK51" s="283"/>
      <c r="AL51" s="283"/>
      <c r="AM51" s="283"/>
      <c r="AN51" s="283"/>
      <c r="AO51" s="283"/>
      <c r="AP51" s="283"/>
      <c r="AQ51" s="283"/>
      <c r="AR51" s="283"/>
      <c r="AS51" s="283"/>
      <c r="AT51" s="283"/>
      <c r="AU51" s="283"/>
      <c r="AV51" s="283"/>
      <c r="AW51" s="283"/>
      <c r="AX51" s="283"/>
      <c r="AY51" s="283"/>
      <c r="AZ51" s="283"/>
      <c r="BA51" s="283"/>
    </row>
    <row r="52" spans="1:53">
      <c r="A52" s="595"/>
      <c r="B52" s="598"/>
      <c r="C52" s="599"/>
      <c r="E52" s="283"/>
      <c r="F52" s="494"/>
      <c r="G52" s="494"/>
      <c r="H52" s="283"/>
      <c r="I52" s="494"/>
      <c r="J52" s="494"/>
      <c r="K52" s="494"/>
      <c r="L52" s="494"/>
      <c r="M52" s="283"/>
      <c r="N52" s="283"/>
      <c r="O52" s="283"/>
      <c r="P52" s="283"/>
      <c r="Q52" s="283"/>
      <c r="R52" s="283"/>
      <c r="S52" s="283"/>
      <c r="T52" s="283"/>
      <c r="U52" s="283"/>
      <c r="V52" s="283"/>
      <c r="W52" s="283"/>
      <c r="X52" s="283"/>
      <c r="Y52" s="283"/>
      <c r="Z52" s="283"/>
      <c r="AA52" s="283"/>
      <c r="AB52" s="283"/>
      <c r="AC52" s="283"/>
      <c r="AD52" s="283"/>
      <c r="AE52" s="283"/>
      <c r="AF52" s="283"/>
      <c r="AG52" s="283"/>
      <c r="AH52" s="283"/>
      <c r="AI52" s="283"/>
      <c r="AJ52" s="283"/>
      <c r="AK52" s="283"/>
      <c r="AL52" s="283"/>
      <c r="AM52" s="283"/>
      <c r="AN52" s="283"/>
      <c r="AO52" s="283"/>
      <c r="AP52" s="283"/>
      <c r="AQ52" s="283"/>
      <c r="AR52" s="283"/>
      <c r="AS52" s="283"/>
      <c r="AT52" s="283"/>
      <c r="AU52" s="283"/>
      <c r="AV52" s="283"/>
      <c r="AW52" s="283"/>
      <c r="AX52" s="283"/>
      <c r="AY52" s="283"/>
      <c r="AZ52" s="283"/>
      <c r="BA52" s="283"/>
    </row>
    <row r="53" spans="1:53">
      <c r="A53" s="595"/>
      <c r="B53" s="598"/>
      <c r="C53" s="599"/>
      <c r="E53" s="283"/>
      <c r="F53" s="494"/>
      <c r="G53" s="494"/>
      <c r="H53" s="283"/>
      <c r="I53" s="494"/>
      <c r="J53" s="494"/>
      <c r="K53" s="494"/>
      <c r="L53" s="494"/>
      <c r="M53" s="283"/>
      <c r="N53" s="283"/>
      <c r="O53" s="283"/>
      <c r="P53" s="283"/>
      <c r="Q53" s="283"/>
      <c r="R53" s="283"/>
      <c r="S53" s="283"/>
      <c r="T53" s="283"/>
      <c r="U53" s="283"/>
      <c r="V53" s="283"/>
      <c r="W53" s="283"/>
      <c r="X53" s="283"/>
      <c r="Y53" s="283"/>
      <c r="Z53" s="283"/>
      <c r="AA53" s="283"/>
      <c r="AB53" s="283"/>
      <c r="AC53" s="283"/>
      <c r="AD53" s="283"/>
      <c r="AE53" s="283"/>
      <c r="AF53" s="283"/>
      <c r="AG53" s="283"/>
      <c r="AH53" s="283"/>
      <c r="AI53" s="283"/>
      <c r="AJ53" s="283"/>
      <c r="AK53" s="283"/>
      <c r="AL53" s="283"/>
      <c r="AM53" s="283"/>
      <c r="AN53" s="283"/>
      <c r="AO53" s="283"/>
      <c r="AP53" s="283"/>
      <c r="AQ53" s="283"/>
      <c r="AR53" s="283"/>
      <c r="AS53" s="283"/>
      <c r="AT53" s="283"/>
      <c r="AU53" s="283"/>
      <c r="AV53" s="283"/>
      <c r="AW53" s="283"/>
      <c r="AX53" s="283"/>
      <c r="AY53" s="283"/>
      <c r="AZ53" s="283"/>
      <c r="BA53" s="283"/>
    </row>
    <row r="54" spans="1:53">
      <c r="A54" s="595"/>
      <c r="B54" s="598"/>
      <c r="C54" s="599"/>
      <c r="E54" s="283"/>
      <c r="F54" s="494"/>
      <c r="G54" s="494"/>
      <c r="H54" s="283"/>
      <c r="I54" s="494"/>
      <c r="J54" s="494"/>
      <c r="K54" s="494"/>
      <c r="L54" s="494"/>
      <c r="M54" s="283"/>
      <c r="N54" s="283"/>
      <c r="O54" s="283"/>
      <c r="P54" s="283"/>
      <c r="Q54" s="283"/>
      <c r="R54" s="283"/>
      <c r="S54" s="283"/>
      <c r="T54" s="283"/>
      <c r="U54" s="283"/>
      <c r="V54" s="283"/>
      <c r="W54" s="283"/>
      <c r="X54" s="283"/>
      <c r="Y54" s="283"/>
      <c r="Z54" s="283"/>
      <c r="AA54" s="283"/>
      <c r="AB54" s="283"/>
      <c r="AC54" s="283"/>
      <c r="AD54" s="283"/>
      <c r="AE54" s="283"/>
      <c r="AF54" s="283"/>
      <c r="AG54" s="283"/>
      <c r="AH54" s="283"/>
      <c r="AI54" s="283"/>
      <c r="AJ54" s="283"/>
      <c r="AK54" s="283"/>
      <c r="AL54" s="283"/>
      <c r="AM54" s="283"/>
      <c r="AN54" s="283"/>
      <c r="AO54" s="283"/>
      <c r="AP54" s="283"/>
      <c r="AQ54" s="283"/>
      <c r="AR54" s="283"/>
      <c r="AS54" s="283"/>
      <c r="AT54" s="283"/>
      <c r="AU54" s="283"/>
      <c r="AV54" s="283"/>
      <c r="AW54" s="283"/>
      <c r="AX54" s="283"/>
      <c r="AY54" s="283"/>
      <c r="AZ54" s="283"/>
      <c r="BA54" s="283"/>
    </row>
    <row r="55" spans="1:53">
      <c r="A55" s="595"/>
      <c r="B55" s="598"/>
      <c r="C55" s="599"/>
      <c r="E55" s="283"/>
      <c r="F55" s="494"/>
      <c r="G55" s="494"/>
      <c r="H55" s="283"/>
      <c r="I55" s="494"/>
      <c r="J55" s="494"/>
      <c r="K55" s="494"/>
      <c r="L55" s="494"/>
      <c r="M55" s="283"/>
      <c r="N55" s="283"/>
      <c r="O55" s="283"/>
      <c r="P55" s="283"/>
      <c r="Q55" s="283"/>
      <c r="R55" s="283"/>
      <c r="S55" s="283"/>
      <c r="T55" s="283"/>
      <c r="U55" s="283"/>
      <c r="V55" s="283"/>
      <c r="W55" s="283"/>
      <c r="X55" s="283"/>
      <c r="Y55" s="283"/>
      <c r="Z55" s="283"/>
      <c r="AA55" s="283"/>
      <c r="AB55" s="283"/>
      <c r="AC55" s="283"/>
      <c r="AD55" s="283"/>
      <c r="AE55" s="283"/>
      <c r="AF55" s="283"/>
      <c r="AG55" s="283"/>
      <c r="AH55" s="283"/>
      <c r="AI55" s="283"/>
      <c r="AJ55" s="283"/>
      <c r="AK55" s="283"/>
      <c r="AL55" s="283"/>
      <c r="AM55" s="283"/>
      <c r="AN55" s="283"/>
      <c r="AO55" s="283"/>
      <c r="AP55" s="283"/>
      <c r="AQ55" s="283"/>
      <c r="AR55" s="283"/>
      <c r="AS55" s="283"/>
      <c r="AT55" s="283"/>
      <c r="AU55" s="283"/>
      <c r="AV55" s="283"/>
      <c r="AW55" s="283"/>
      <c r="AX55" s="283"/>
      <c r="AY55" s="283"/>
      <c r="AZ55" s="283"/>
      <c r="BA55" s="283"/>
    </row>
    <row r="56" spans="1:53">
      <c r="A56" s="595"/>
      <c r="B56" s="598"/>
      <c r="C56" s="599"/>
      <c r="E56" s="283"/>
      <c r="F56" s="494"/>
      <c r="G56" s="494"/>
      <c r="H56" s="283"/>
      <c r="I56" s="494"/>
      <c r="J56" s="494"/>
      <c r="K56" s="494"/>
      <c r="L56" s="494"/>
      <c r="M56" s="283"/>
      <c r="N56" s="283"/>
      <c r="O56" s="283"/>
      <c r="P56" s="283"/>
      <c r="Q56" s="283"/>
      <c r="R56" s="283"/>
      <c r="S56" s="283"/>
      <c r="T56" s="283"/>
      <c r="U56" s="283"/>
      <c r="V56" s="283"/>
      <c r="W56" s="283"/>
      <c r="X56" s="283"/>
      <c r="Y56" s="283"/>
      <c r="Z56" s="283"/>
      <c r="AA56" s="283"/>
      <c r="AB56" s="283"/>
      <c r="AC56" s="283"/>
      <c r="AD56" s="283"/>
      <c r="AE56" s="283"/>
      <c r="AF56" s="283"/>
      <c r="AG56" s="283"/>
      <c r="AH56" s="283"/>
      <c r="AI56" s="283"/>
      <c r="AJ56" s="283"/>
      <c r="AK56" s="283"/>
      <c r="AL56" s="283"/>
      <c r="AM56" s="283"/>
      <c r="AN56" s="283"/>
      <c r="AO56" s="283"/>
      <c r="AP56" s="283"/>
      <c r="AQ56" s="283"/>
      <c r="AR56" s="283"/>
      <c r="AS56" s="283"/>
      <c r="AT56" s="283"/>
      <c r="AU56" s="283"/>
      <c r="AV56" s="283"/>
      <c r="AW56" s="283"/>
      <c r="AX56" s="283"/>
      <c r="AY56" s="283"/>
      <c r="AZ56" s="283"/>
      <c r="BA56" s="283"/>
    </row>
    <row r="57" spans="1:53">
      <c r="A57" s="595"/>
      <c r="B57" s="598"/>
      <c r="C57" s="599"/>
      <c r="E57" s="283"/>
      <c r="F57" s="494"/>
      <c r="G57" s="494"/>
      <c r="H57" s="283"/>
      <c r="I57" s="494"/>
      <c r="J57" s="494"/>
      <c r="K57" s="494"/>
      <c r="L57" s="494"/>
      <c r="M57" s="283"/>
      <c r="N57" s="283"/>
      <c r="O57" s="283"/>
      <c r="P57" s="283"/>
      <c r="Q57" s="283"/>
      <c r="R57" s="283"/>
      <c r="S57" s="283"/>
      <c r="T57" s="283"/>
      <c r="U57" s="283"/>
      <c r="V57" s="283"/>
      <c r="W57" s="283"/>
      <c r="X57" s="283"/>
      <c r="Y57" s="283"/>
      <c r="Z57" s="283"/>
      <c r="AA57" s="283"/>
      <c r="AB57" s="283"/>
      <c r="AC57" s="283"/>
      <c r="AD57" s="283"/>
      <c r="AE57" s="283"/>
      <c r="AF57" s="283"/>
      <c r="AG57" s="283"/>
      <c r="AH57" s="283"/>
      <c r="AI57" s="283"/>
      <c r="AJ57" s="283"/>
      <c r="AK57" s="283"/>
      <c r="AL57" s="283"/>
      <c r="AM57" s="283"/>
      <c r="AN57" s="283"/>
      <c r="AO57" s="283"/>
      <c r="AP57" s="283"/>
      <c r="AQ57" s="283"/>
      <c r="AR57" s="283"/>
      <c r="AS57" s="283"/>
      <c r="AT57" s="283"/>
      <c r="AU57" s="283"/>
      <c r="AV57" s="283"/>
      <c r="AW57" s="283"/>
      <c r="AX57" s="283"/>
      <c r="AY57" s="283"/>
      <c r="AZ57" s="283"/>
      <c r="BA57" s="283"/>
    </row>
    <row r="58" spans="1:53">
      <c r="A58" s="595"/>
      <c r="B58" s="598"/>
      <c r="C58" s="599"/>
      <c r="E58" s="283"/>
      <c r="F58" s="494"/>
      <c r="G58" s="494"/>
      <c r="H58" s="283"/>
      <c r="I58" s="494"/>
      <c r="J58" s="494"/>
      <c r="K58" s="494"/>
      <c r="L58" s="494"/>
      <c r="M58" s="283"/>
      <c r="N58" s="283"/>
      <c r="O58" s="283"/>
      <c r="P58" s="283"/>
      <c r="Q58" s="283"/>
      <c r="R58" s="283"/>
      <c r="S58" s="283"/>
      <c r="T58" s="283"/>
      <c r="U58" s="283"/>
      <c r="V58" s="283"/>
      <c r="W58" s="283"/>
      <c r="X58" s="283"/>
      <c r="Y58" s="283"/>
      <c r="Z58" s="283"/>
      <c r="AA58" s="283"/>
      <c r="AB58" s="283"/>
      <c r="AC58" s="283"/>
      <c r="AD58" s="283"/>
      <c r="AE58" s="283"/>
      <c r="AF58" s="283"/>
      <c r="AG58" s="283"/>
      <c r="AH58" s="283"/>
      <c r="AI58" s="283"/>
      <c r="AJ58" s="283"/>
      <c r="AK58" s="283"/>
      <c r="AL58" s="283"/>
      <c r="AM58" s="283"/>
      <c r="AN58" s="283"/>
      <c r="AO58" s="283"/>
      <c r="AP58" s="283"/>
      <c r="AQ58" s="283"/>
      <c r="AR58" s="283"/>
      <c r="AS58" s="283"/>
      <c r="AT58" s="283"/>
      <c r="AU58" s="283"/>
      <c r="AV58" s="283"/>
      <c r="AW58" s="283"/>
      <c r="AX58" s="283"/>
      <c r="AY58" s="283"/>
      <c r="AZ58" s="283"/>
      <c r="BA58" s="283"/>
    </row>
    <row r="59" spans="1:53">
      <c r="A59" s="595"/>
      <c r="B59" s="598"/>
      <c r="C59" s="599"/>
      <c r="E59" s="283"/>
      <c r="F59" s="494"/>
      <c r="G59" s="494"/>
      <c r="H59" s="283"/>
      <c r="I59" s="494"/>
      <c r="J59" s="494"/>
      <c r="K59" s="494"/>
      <c r="L59" s="494"/>
      <c r="M59" s="283"/>
      <c r="N59" s="283"/>
      <c r="O59" s="283"/>
      <c r="P59" s="283"/>
      <c r="Q59" s="283"/>
      <c r="R59" s="283"/>
      <c r="S59" s="283"/>
      <c r="T59" s="283"/>
      <c r="U59" s="283"/>
      <c r="V59" s="283"/>
      <c r="W59" s="283"/>
      <c r="X59" s="283"/>
      <c r="Y59" s="283"/>
      <c r="Z59" s="283"/>
      <c r="AA59" s="283"/>
      <c r="AB59" s="283"/>
      <c r="AC59" s="283"/>
      <c r="AD59" s="283"/>
      <c r="AE59" s="283"/>
      <c r="AF59" s="283"/>
      <c r="AG59" s="283"/>
      <c r="AH59" s="283"/>
      <c r="AI59" s="283"/>
      <c r="AJ59" s="283"/>
      <c r="AK59" s="283"/>
      <c r="AL59" s="283"/>
      <c r="AM59" s="283"/>
      <c r="AN59" s="283"/>
      <c r="AO59" s="283"/>
      <c r="AP59" s="283"/>
      <c r="AQ59" s="283"/>
      <c r="AR59" s="283"/>
      <c r="AS59" s="283"/>
      <c r="AT59" s="283"/>
      <c r="AU59" s="283"/>
      <c r="AV59" s="283"/>
      <c r="AW59" s="283"/>
      <c r="AX59" s="283"/>
      <c r="AY59" s="283"/>
      <c r="AZ59" s="283"/>
      <c r="BA59" s="283"/>
    </row>
    <row r="60" spans="1:53">
      <c r="A60" s="595"/>
      <c r="B60" s="598"/>
      <c r="C60" s="599"/>
      <c r="E60" s="283"/>
      <c r="F60" s="494"/>
      <c r="G60" s="494"/>
      <c r="H60" s="283"/>
      <c r="I60" s="494"/>
      <c r="J60" s="494"/>
      <c r="K60" s="494"/>
      <c r="L60" s="494"/>
      <c r="M60" s="283"/>
      <c r="N60" s="283"/>
      <c r="O60" s="283"/>
      <c r="P60" s="283"/>
      <c r="Q60" s="283"/>
      <c r="R60" s="283"/>
      <c r="S60" s="283"/>
      <c r="T60" s="283"/>
      <c r="U60" s="283"/>
      <c r="V60" s="283"/>
      <c r="W60" s="283"/>
      <c r="X60" s="283"/>
      <c r="Y60" s="283"/>
      <c r="Z60" s="283"/>
      <c r="AA60" s="283"/>
      <c r="AB60" s="283"/>
      <c r="AC60" s="283"/>
      <c r="AD60" s="283"/>
      <c r="AE60" s="283"/>
      <c r="AF60" s="283"/>
      <c r="AG60" s="283"/>
      <c r="AH60" s="283"/>
      <c r="AI60" s="283"/>
      <c r="AJ60" s="283"/>
      <c r="AK60" s="283"/>
      <c r="AL60" s="283"/>
      <c r="AM60" s="283"/>
      <c r="AN60" s="283"/>
      <c r="AO60" s="283"/>
      <c r="AP60" s="283"/>
      <c r="AQ60" s="283"/>
      <c r="AR60" s="283"/>
      <c r="AS60" s="283"/>
      <c r="AT60" s="283"/>
      <c r="AU60" s="283"/>
      <c r="AV60" s="283"/>
      <c r="AW60" s="283"/>
      <c r="AX60" s="283"/>
      <c r="AY60" s="283"/>
      <c r="AZ60" s="283"/>
      <c r="BA60" s="283"/>
    </row>
    <row r="61" spans="1:53">
      <c r="A61" s="595"/>
      <c r="B61" s="598"/>
      <c r="C61" s="599"/>
      <c r="E61" s="283"/>
      <c r="F61" s="494"/>
      <c r="G61" s="494"/>
      <c r="H61" s="283"/>
      <c r="I61" s="494"/>
      <c r="J61" s="494"/>
      <c r="K61" s="494"/>
      <c r="L61" s="494"/>
      <c r="M61" s="283"/>
      <c r="N61" s="283"/>
      <c r="O61" s="283"/>
      <c r="P61" s="283"/>
      <c r="Q61" s="283"/>
      <c r="R61" s="283"/>
      <c r="S61" s="283"/>
      <c r="T61" s="283"/>
      <c r="U61" s="283"/>
      <c r="V61" s="283"/>
      <c r="W61" s="283"/>
      <c r="X61" s="283"/>
      <c r="Y61" s="283"/>
      <c r="Z61" s="283"/>
      <c r="AA61" s="283"/>
      <c r="AB61" s="283"/>
      <c r="AC61" s="283"/>
      <c r="AD61" s="283"/>
      <c r="AE61" s="283"/>
      <c r="AF61" s="283"/>
      <c r="AG61" s="283"/>
      <c r="AH61" s="283"/>
      <c r="AI61" s="283"/>
      <c r="AJ61" s="283"/>
      <c r="AK61" s="283"/>
      <c r="AL61" s="283"/>
      <c r="AM61" s="283"/>
      <c r="AN61" s="283"/>
      <c r="AO61" s="283"/>
      <c r="AP61" s="283"/>
      <c r="AQ61" s="283"/>
      <c r="AR61" s="283"/>
      <c r="AS61" s="283"/>
      <c r="AT61" s="283"/>
      <c r="AU61" s="283"/>
      <c r="AV61" s="283"/>
      <c r="AW61" s="283"/>
      <c r="AX61" s="283"/>
      <c r="AY61" s="283"/>
      <c r="AZ61" s="283"/>
      <c r="BA61" s="283"/>
    </row>
    <row r="62" spans="1:53">
      <c r="A62" s="595"/>
      <c r="B62" s="598"/>
      <c r="C62" s="599"/>
      <c r="E62" s="283"/>
      <c r="F62" s="494"/>
      <c r="G62" s="494"/>
      <c r="H62" s="283"/>
      <c r="I62" s="494"/>
      <c r="J62" s="494"/>
      <c r="K62" s="494"/>
      <c r="L62" s="494"/>
      <c r="M62" s="283"/>
      <c r="N62" s="283"/>
      <c r="O62" s="283"/>
      <c r="P62" s="283"/>
      <c r="Q62" s="283"/>
      <c r="R62" s="283"/>
      <c r="S62" s="283"/>
      <c r="T62" s="283"/>
      <c r="U62" s="283"/>
      <c r="V62" s="283"/>
      <c r="W62" s="283"/>
      <c r="X62" s="283"/>
      <c r="Y62" s="283"/>
      <c r="Z62" s="283"/>
      <c r="AA62" s="283"/>
      <c r="AB62" s="283"/>
      <c r="AC62" s="283"/>
      <c r="AD62" s="283"/>
      <c r="AE62" s="283"/>
      <c r="AF62" s="283"/>
      <c r="AG62" s="283"/>
      <c r="AH62" s="283"/>
      <c r="AI62" s="283"/>
      <c r="AJ62" s="283"/>
      <c r="AK62" s="283"/>
      <c r="AL62" s="283"/>
      <c r="AM62" s="283"/>
      <c r="AN62" s="283"/>
      <c r="AO62" s="283"/>
      <c r="AP62" s="283"/>
      <c r="AQ62" s="283"/>
      <c r="AR62" s="283"/>
      <c r="AS62" s="283"/>
      <c r="AT62" s="283"/>
      <c r="AU62" s="283"/>
      <c r="AV62" s="283"/>
      <c r="AW62" s="283"/>
      <c r="AX62" s="283"/>
      <c r="AY62" s="283"/>
      <c r="AZ62" s="283"/>
      <c r="BA62" s="283"/>
    </row>
    <row r="63" spans="1:53">
      <c r="A63" s="595"/>
      <c r="B63" s="598"/>
      <c r="C63" s="599"/>
      <c r="E63" s="283"/>
      <c r="F63" s="494"/>
      <c r="G63" s="494"/>
      <c r="H63" s="283"/>
      <c r="I63" s="494"/>
      <c r="J63" s="494"/>
      <c r="K63" s="494"/>
      <c r="L63" s="494"/>
      <c r="M63" s="283"/>
      <c r="N63" s="283"/>
      <c r="O63" s="283"/>
      <c r="P63" s="283"/>
      <c r="Q63" s="283"/>
      <c r="R63" s="283"/>
      <c r="S63" s="283"/>
      <c r="T63" s="283"/>
      <c r="U63" s="283"/>
      <c r="V63" s="283"/>
      <c r="W63" s="283"/>
      <c r="X63" s="283"/>
      <c r="Y63" s="283"/>
      <c r="Z63" s="283"/>
      <c r="AA63" s="283"/>
      <c r="AB63" s="283"/>
      <c r="AC63" s="283"/>
      <c r="AD63" s="283"/>
      <c r="AE63" s="283"/>
      <c r="AF63" s="283"/>
      <c r="AG63" s="283"/>
      <c r="AH63" s="283"/>
      <c r="AI63" s="283"/>
      <c r="AJ63" s="283"/>
      <c r="AK63" s="283"/>
      <c r="AL63" s="283"/>
      <c r="AM63" s="283"/>
      <c r="AN63" s="283"/>
      <c r="AO63" s="283"/>
      <c r="AP63" s="283"/>
      <c r="AQ63" s="283"/>
      <c r="AR63" s="283"/>
      <c r="AS63" s="283"/>
      <c r="AT63" s="283"/>
      <c r="AU63" s="283"/>
      <c r="AV63" s="283"/>
      <c r="AW63" s="283"/>
      <c r="AX63" s="283"/>
      <c r="AY63" s="283"/>
      <c r="AZ63" s="283"/>
      <c r="BA63" s="283"/>
    </row>
    <row r="64" spans="1:53">
      <c r="A64" s="595"/>
      <c r="B64" s="598"/>
      <c r="C64" s="599"/>
      <c r="E64" s="283"/>
      <c r="F64" s="494"/>
      <c r="G64" s="494"/>
      <c r="H64" s="283"/>
      <c r="I64" s="494"/>
      <c r="J64" s="494"/>
      <c r="K64" s="494"/>
      <c r="L64" s="494"/>
      <c r="M64" s="283"/>
      <c r="N64" s="283"/>
      <c r="O64" s="283"/>
      <c r="P64" s="283"/>
      <c r="Q64" s="283"/>
      <c r="R64" s="283"/>
      <c r="S64" s="283"/>
      <c r="T64" s="283"/>
      <c r="U64" s="283"/>
      <c r="V64" s="283"/>
      <c r="W64" s="283"/>
      <c r="X64" s="283"/>
      <c r="Y64" s="283"/>
      <c r="Z64" s="283"/>
      <c r="AA64" s="283"/>
      <c r="AB64" s="283"/>
      <c r="AC64" s="283"/>
      <c r="AD64" s="283"/>
      <c r="AE64" s="283"/>
      <c r="AF64" s="283"/>
      <c r="AG64" s="283"/>
      <c r="AH64" s="283"/>
      <c r="AI64" s="283"/>
      <c r="AJ64" s="283"/>
      <c r="AK64" s="283"/>
      <c r="AL64" s="283"/>
      <c r="AM64" s="283"/>
      <c r="AN64" s="283"/>
      <c r="AO64" s="283"/>
      <c r="AP64" s="283"/>
      <c r="AQ64" s="283"/>
      <c r="AR64" s="283"/>
      <c r="AS64" s="283"/>
      <c r="AT64" s="283"/>
      <c r="AU64" s="283"/>
      <c r="AV64" s="283"/>
      <c r="AW64" s="283"/>
      <c r="AX64" s="283"/>
      <c r="AY64" s="283"/>
      <c r="AZ64" s="283"/>
      <c r="BA64" s="283"/>
    </row>
    <row r="65" spans="1:53">
      <c r="A65" s="595"/>
      <c r="B65" s="598"/>
      <c r="C65" s="599"/>
      <c r="E65" s="283"/>
      <c r="F65" s="494"/>
      <c r="G65" s="494"/>
      <c r="H65" s="283"/>
      <c r="I65" s="494"/>
      <c r="J65" s="494"/>
      <c r="K65" s="494"/>
      <c r="L65" s="494"/>
      <c r="M65" s="283"/>
      <c r="N65" s="283"/>
      <c r="O65" s="283"/>
      <c r="P65" s="283"/>
      <c r="Q65" s="283"/>
      <c r="R65" s="283"/>
      <c r="S65" s="283"/>
      <c r="T65" s="283"/>
      <c r="U65" s="283"/>
      <c r="V65" s="283"/>
      <c r="W65" s="283"/>
      <c r="X65" s="283"/>
      <c r="Y65" s="283"/>
      <c r="Z65" s="283"/>
      <c r="AA65" s="283"/>
      <c r="AB65" s="283"/>
      <c r="AC65" s="283"/>
      <c r="AD65" s="283"/>
      <c r="AE65" s="283"/>
      <c r="AF65" s="283"/>
      <c r="AG65" s="283"/>
      <c r="AH65" s="283"/>
      <c r="AI65" s="283"/>
      <c r="AJ65" s="283"/>
      <c r="AK65" s="283"/>
      <c r="AL65" s="283"/>
      <c r="AM65" s="283"/>
      <c r="AN65" s="283"/>
      <c r="AO65" s="283"/>
      <c r="AP65" s="283"/>
      <c r="AQ65" s="283"/>
      <c r="AR65" s="283"/>
      <c r="AS65" s="283"/>
      <c r="AT65" s="283"/>
      <c r="AU65" s="283"/>
      <c r="AV65" s="283"/>
      <c r="AW65" s="283"/>
      <c r="AX65" s="283"/>
      <c r="AY65" s="283"/>
      <c r="AZ65" s="283"/>
      <c r="BA65" s="283"/>
    </row>
    <row r="66" spans="1:53">
      <c r="A66" s="595"/>
      <c r="B66" s="598"/>
      <c r="C66" s="599"/>
      <c r="E66" s="283"/>
      <c r="F66" s="494"/>
      <c r="G66" s="494"/>
      <c r="H66" s="283"/>
      <c r="I66" s="494"/>
      <c r="J66" s="494"/>
      <c r="K66" s="494"/>
      <c r="L66" s="494"/>
      <c r="M66" s="283"/>
      <c r="N66" s="283"/>
      <c r="O66" s="283"/>
      <c r="P66" s="283"/>
      <c r="Q66" s="283"/>
      <c r="R66" s="283"/>
      <c r="S66" s="283"/>
      <c r="T66" s="283"/>
      <c r="U66" s="283"/>
      <c r="V66" s="283"/>
      <c r="W66" s="283"/>
      <c r="X66" s="283"/>
      <c r="Y66" s="283"/>
      <c r="Z66" s="283"/>
      <c r="AA66" s="283"/>
      <c r="AB66" s="283"/>
      <c r="AC66" s="283"/>
      <c r="AD66" s="283"/>
      <c r="AE66" s="283"/>
      <c r="AF66" s="283"/>
      <c r="AG66" s="283"/>
      <c r="AH66" s="283"/>
      <c r="AI66" s="283"/>
      <c r="AJ66" s="283"/>
      <c r="AK66" s="283"/>
      <c r="AL66" s="283"/>
      <c r="AM66" s="283"/>
      <c r="AN66" s="283"/>
      <c r="AO66" s="283"/>
      <c r="AP66" s="283"/>
      <c r="AQ66" s="283"/>
      <c r="AR66" s="283"/>
      <c r="AS66" s="283"/>
      <c r="AT66" s="283"/>
      <c r="AU66" s="283"/>
      <c r="AV66" s="283"/>
      <c r="AW66" s="283"/>
      <c r="AX66" s="283"/>
      <c r="AY66" s="283"/>
      <c r="AZ66" s="283"/>
      <c r="BA66" s="283"/>
    </row>
    <row r="67" spans="1:53">
      <c r="A67" s="595"/>
      <c r="B67" s="598"/>
      <c r="C67" s="599"/>
      <c r="E67" s="283"/>
      <c r="F67" s="494"/>
      <c r="G67" s="494"/>
      <c r="H67" s="283"/>
      <c r="I67" s="494"/>
      <c r="J67" s="494"/>
      <c r="K67" s="494"/>
      <c r="L67" s="494"/>
      <c r="M67" s="283"/>
      <c r="N67" s="283"/>
      <c r="O67" s="283"/>
      <c r="P67" s="283"/>
      <c r="Q67" s="283"/>
      <c r="R67" s="283"/>
      <c r="S67" s="283"/>
      <c r="T67" s="283"/>
      <c r="U67" s="283"/>
      <c r="V67" s="283"/>
      <c r="W67" s="283"/>
      <c r="X67" s="283"/>
      <c r="Y67" s="283"/>
      <c r="Z67" s="283"/>
      <c r="AA67" s="283"/>
      <c r="AB67" s="283"/>
      <c r="AC67" s="283"/>
      <c r="AD67" s="283"/>
      <c r="AE67" s="283"/>
      <c r="AF67" s="283"/>
      <c r="AG67" s="283"/>
      <c r="AH67" s="283"/>
      <c r="AI67" s="283"/>
      <c r="AJ67" s="283"/>
      <c r="AK67" s="283"/>
      <c r="AL67" s="283"/>
      <c r="AM67" s="283"/>
      <c r="AN67" s="283"/>
      <c r="AO67" s="283"/>
      <c r="AP67" s="283"/>
      <c r="AQ67" s="283"/>
      <c r="AR67" s="283"/>
      <c r="AS67" s="283"/>
      <c r="AT67" s="283"/>
      <c r="AU67" s="283"/>
      <c r="AV67" s="283"/>
      <c r="AW67" s="283"/>
      <c r="AX67" s="283"/>
      <c r="AY67" s="283"/>
      <c r="AZ67" s="283"/>
      <c r="BA67" s="283"/>
    </row>
    <row r="68" spans="1:53">
      <c r="A68" s="595"/>
      <c r="B68" s="598"/>
      <c r="C68" s="599"/>
      <c r="E68" s="283"/>
      <c r="F68" s="494"/>
      <c r="G68" s="494"/>
      <c r="H68" s="283"/>
      <c r="I68" s="494"/>
      <c r="J68" s="494"/>
      <c r="K68" s="494"/>
      <c r="L68" s="494"/>
      <c r="M68" s="283"/>
      <c r="N68" s="283"/>
      <c r="O68" s="283"/>
      <c r="P68" s="283"/>
      <c r="Q68" s="283"/>
      <c r="R68" s="283"/>
      <c r="S68" s="283"/>
      <c r="T68" s="283"/>
      <c r="U68" s="283"/>
      <c r="V68" s="283"/>
      <c r="W68" s="283"/>
      <c r="X68" s="283"/>
      <c r="Y68" s="283"/>
      <c r="Z68" s="283"/>
      <c r="AA68" s="283"/>
      <c r="AB68" s="283"/>
      <c r="AC68" s="283"/>
      <c r="AD68" s="283"/>
      <c r="AE68" s="283"/>
      <c r="AF68" s="283"/>
      <c r="AG68" s="283"/>
      <c r="AH68" s="283"/>
      <c r="AI68" s="283"/>
      <c r="AJ68" s="283"/>
      <c r="AK68" s="283"/>
      <c r="AL68" s="283"/>
      <c r="AM68" s="283"/>
      <c r="AN68" s="283"/>
      <c r="AO68" s="283"/>
      <c r="AP68" s="283"/>
      <c r="AQ68" s="283"/>
      <c r="AR68" s="283"/>
      <c r="AS68" s="283"/>
      <c r="AT68" s="283"/>
      <c r="AU68" s="283"/>
      <c r="AV68" s="283"/>
      <c r="AW68" s="283"/>
      <c r="AX68" s="283"/>
      <c r="AY68" s="283"/>
      <c r="AZ68" s="283"/>
      <c r="BA68" s="283"/>
    </row>
    <row r="69" spans="1:53">
      <c r="A69" s="595"/>
      <c r="B69" s="598"/>
      <c r="C69" s="599"/>
      <c r="E69" s="283"/>
      <c r="F69" s="494"/>
      <c r="G69" s="494"/>
      <c r="H69" s="283"/>
      <c r="I69" s="494"/>
      <c r="J69" s="494"/>
      <c r="K69" s="494"/>
      <c r="L69" s="494"/>
      <c r="M69" s="283"/>
      <c r="N69" s="283"/>
      <c r="O69" s="283"/>
      <c r="P69" s="283"/>
      <c r="Q69" s="283"/>
      <c r="R69" s="283"/>
      <c r="S69" s="283"/>
      <c r="T69" s="283"/>
      <c r="U69" s="283"/>
      <c r="V69" s="283"/>
      <c r="W69" s="283"/>
      <c r="X69" s="283"/>
      <c r="Y69" s="283"/>
      <c r="Z69" s="283"/>
      <c r="AA69" s="283"/>
      <c r="AB69" s="283"/>
      <c r="AC69" s="283"/>
      <c r="AD69" s="283"/>
      <c r="AE69" s="283"/>
      <c r="AF69" s="283"/>
      <c r="AG69" s="283"/>
      <c r="AH69" s="283"/>
      <c r="AI69" s="283"/>
      <c r="AJ69" s="283"/>
      <c r="AK69" s="283"/>
      <c r="AL69" s="283"/>
      <c r="AM69" s="283"/>
      <c r="AN69" s="283"/>
      <c r="AO69" s="283"/>
      <c r="AP69" s="283"/>
      <c r="AQ69" s="283"/>
      <c r="AR69" s="283"/>
      <c r="AS69" s="283"/>
      <c r="AT69" s="283"/>
      <c r="AU69" s="283"/>
      <c r="AV69" s="283"/>
      <c r="AW69" s="283"/>
      <c r="AX69" s="283"/>
      <c r="AY69" s="283"/>
      <c r="AZ69" s="283"/>
      <c r="BA69" s="283"/>
    </row>
    <row r="70" spans="1:53">
      <c r="A70" s="595"/>
      <c r="B70" s="598"/>
      <c r="C70" s="599"/>
      <c r="E70" s="283"/>
      <c r="F70" s="494"/>
      <c r="G70" s="494"/>
      <c r="H70" s="283"/>
      <c r="I70" s="494"/>
      <c r="J70" s="494"/>
      <c r="K70" s="494"/>
      <c r="L70" s="494"/>
      <c r="M70" s="283"/>
      <c r="N70" s="283"/>
      <c r="O70" s="283"/>
      <c r="P70" s="283"/>
      <c r="Q70" s="283"/>
      <c r="R70" s="283"/>
      <c r="S70" s="283"/>
      <c r="T70" s="283"/>
      <c r="U70" s="283"/>
      <c r="V70" s="283"/>
      <c r="W70" s="283"/>
      <c r="X70" s="283"/>
      <c r="Y70" s="283"/>
      <c r="Z70" s="283"/>
      <c r="AA70" s="283"/>
      <c r="AB70" s="283"/>
      <c r="AC70" s="283"/>
      <c r="AD70" s="283"/>
      <c r="AE70" s="283"/>
      <c r="AF70" s="283"/>
      <c r="AG70" s="283"/>
      <c r="AH70" s="283"/>
      <c r="AI70" s="283"/>
      <c r="AJ70" s="283"/>
      <c r="AK70" s="283"/>
      <c r="AL70" s="283"/>
      <c r="AM70" s="283"/>
      <c r="AN70" s="283"/>
      <c r="AO70" s="283"/>
      <c r="AP70" s="283"/>
      <c r="AQ70" s="283"/>
      <c r="AR70" s="283"/>
      <c r="AS70" s="283"/>
      <c r="AT70" s="283"/>
      <c r="AU70" s="283"/>
      <c r="AV70" s="283"/>
      <c r="AW70" s="283"/>
      <c r="AX70" s="283"/>
      <c r="AY70" s="283"/>
      <c r="AZ70" s="283"/>
      <c r="BA70" s="283"/>
    </row>
    <row r="71" spans="1:53">
      <c r="A71" s="595"/>
      <c r="B71" s="598"/>
      <c r="C71" s="599"/>
      <c r="E71" s="283"/>
      <c r="F71" s="494"/>
      <c r="G71" s="494"/>
      <c r="H71" s="283"/>
      <c r="I71" s="494"/>
      <c r="J71" s="494"/>
      <c r="K71" s="494"/>
      <c r="L71" s="494"/>
      <c r="M71" s="283"/>
      <c r="N71" s="283"/>
      <c r="O71" s="283"/>
      <c r="P71" s="283"/>
      <c r="Q71" s="283"/>
      <c r="R71" s="283"/>
      <c r="S71" s="283"/>
      <c r="T71" s="283"/>
      <c r="U71" s="283"/>
      <c r="V71" s="283"/>
      <c r="W71" s="283"/>
      <c r="X71" s="283"/>
      <c r="Y71" s="283"/>
      <c r="Z71" s="283"/>
      <c r="AA71" s="283"/>
      <c r="AB71" s="283"/>
      <c r="AC71" s="283"/>
      <c r="AD71" s="283"/>
      <c r="AE71" s="283"/>
      <c r="AF71" s="283"/>
      <c r="AG71" s="283"/>
      <c r="AH71" s="283"/>
      <c r="AI71" s="283"/>
      <c r="AJ71" s="283"/>
      <c r="AK71" s="283"/>
      <c r="AL71" s="283"/>
      <c r="AM71" s="283"/>
      <c r="AN71" s="283"/>
      <c r="AO71" s="283"/>
      <c r="AP71" s="283"/>
      <c r="AQ71" s="283"/>
      <c r="AR71" s="283"/>
      <c r="AS71" s="283"/>
      <c r="AT71" s="283"/>
      <c r="AU71" s="283"/>
      <c r="AV71" s="283"/>
      <c r="AW71" s="283"/>
      <c r="AX71" s="283"/>
      <c r="AY71" s="283"/>
      <c r="AZ71" s="283"/>
      <c r="BA71" s="283"/>
    </row>
    <row r="72" spans="1:53">
      <c r="A72" s="595"/>
      <c r="B72" s="598"/>
      <c r="C72" s="599"/>
      <c r="E72" s="283"/>
      <c r="F72" s="494"/>
      <c r="G72" s="494"/>
      <c r="H72" s="283"/>
      <c r="I72" s="494"/>
      <c r="J72" s="494"/>
      <c r="K72" s="494"/>
      <c r="L72" s="494"/>
      <c r="M72" s="283"/>
      <c r="N72" s="283"/>
      <c r="O72" s="283"/>
      <c r="P72" s="283"/>
      <c r="Q72" s="283"/>
      <c r="R72" s="283"/>
      <c r="S72" s="283"/>
      <c r="T72" s="283"/>
      <c r="U72" s="283"/>
      <c r="V72" s="283"/>
      <c r="W72" s="283"/>
      <c r="X72" s="283"/>
      <c r="Y72" s="283"/>
      <c r="Z72" s="283"/>
      <c r="AA72" s="283"/>
      <c r="AB72" s="283"/>
      <c r="AC72" s="283"/>
      <c r="AD72" s="283"/>
      <c r="AE72" s="283"/>
      <c r="AF72" s="283"/>
      <c r="AG72" s="283"/>
      <c r="AH72" s="283"/>
      <c r="AI72" s="283"/>
      <c r="AJ72" s="283"/>
      <c r="AK72" s="283"/>
      <c r="AL72" s="283"/>
      <c r="AM72" s="283"/>
      <c r="AN72" s="283"/>
      <c r="AO72" s="283"/>
      <c r="AP72" s="283"/>
      <c r="AQ72" s="283"/>
      <c r="AR72" s="283"/>
      <c r="AS72" s="283"/>
      <c r="AT72" s="283"/>
      <c r="AU72" s="283"/>
      <c r="AV72" s="283"/>
      <c r="AW72" s="283"/>
      <c r="AX72" s="283"/>
      <c r="AY72" s="283"/>
      <c r="AZ72" s="283"/>
      <c r="BA72" s="283"/>
    </row>
    <row r="73" spans="1:53">
      <c r="A73" s="595"/>
      <c r="B73" s="598"/>
      <c r="C73" s="599"/>
      <c r="E73" s="283"/>
      <c r="F73" s="494"/>
      <c r="G73" s="494"/>
      <c r="H73" s="283"/>
      <c r="I73" s="494"/>
      <c r="J73" s="494"/>
      <c r="K73" s="494"/>
      <c r="L73" s="494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3"/>
      <c r="AD73" s="283"/>
      <c r="AE73" s="283"/>
      <c r="AF73" s="283"/>
      <c r="AG73" s="283"/>
      <c r="AH73" s="283"/>
      <c r="AI73" s="283"/>
      <c r="AJ73" s="283"/>
      <c r="AK73" s="283"/>
      <c r="AL73" s="283"/>
      <c r="AM73" s="283"/>
      <c r="AN73" s="283"/>
      <c r="AO73" s="283"/>
      <c r="AP73" s="283"/>
      <c r="AQ73" s="283"/>
      <c r="AR73" s="283"/>
      <c r="AS73" s="283"/>
      <c r="AT73" s="283"/>
      <c r="AU73" s="283"/>
      <c r="AV73" s="283"/>
      <c r="AW73" s="283"/>
      <c r="AX73" s="283"/>
      <c r="AY73" s="283"/>
      <c r="AZ73" s="283"/>
      <c r="BA73" s="283"/>
    </row>
    <row r="74" spans="1:53">
      <c r="A74" s="595"/>
      <c r="B74" s="598"/>
      <c r="C74" s="599"/>
      <c r="E74" s="283"/>
      <c r="F74" s="494"/>
      <c r="G74" s="494"/>
      <c r="H74" s="283"/>
      <c r="I74" s="494"/>
      <c r="J74" s="494"/>
      <c r="K74" s="494"/>
      <c r="L74" s="494"/>
      <c r="M74" s="283"/>
      <c r="N74" s="283"/>
      <c r="O74" s="283"/>
      <c r="P74" s="283"/>
      <c r="Q74" s="283"/>
      <c r="R74" s="283"/>
      <c r="S74" s="283"/>
      <c r="T74" s="283"/>
      <c r="U74" s="283"/>
      <c r="V74" s="283"/>
      <c r="W74" s="283"/>
      <c r="X74" s="283"/>
      <c r="Y74" s="283"/>
      <c r="Z74" s="283"/>
      <c r="AA74" s="283"/>
      <c r="AB74" s="283"/>
      <c r="AC74" s="283"/>
      <c r="AD74" s="283"/>
      <c r="AE74" s="283"/>
      <c r="AF74" s="283"/>
      <c r="AG74" s="283"/>
      <c r="AH74" s="283"/>
      <c r="AI74" s="283"/>
      <c r="AJ74" s="283"/>
      <c r="AK74" s="283"/>
      <c r="AL74" s="283"/>
      <c r="AM74" s="283"/>
      <c r="AN74" s="283"/>
      <c r="AO74" s="283"/>
      <c r="AP74" s="283"/>
      <c r="AQ74" s="283"/>
      <c r="AR74" s="283"/>
      <c r="AS74" s="283"/>
      <c r="AT74" s="283"/>
      <c r="AU74" s="283"/>
      <c r="AV74" s="283"/>
      <c r="AW74" s="283"/>
      <c r="AX74" s="283"/>
      <c r="AY74" s="283"/>
      <c r="AZ74" s="283"/>
      <c r="BA74" s="283"/>
    </row>
    <row r="75" spans="1:53">
      <c r="A75" s="595"/>
      <c r="B75" s="598"/>
      <c r="C75" s="599"/>
      <c r="E75" s="283"/>
      <c r="F75" s="494"/>
      <c r="G75" s="494"/>
      <c r="H75" s="283"/>
      <c r="I75" s="494"/>
      <c r="J75" s="494"/>
      <c r="K75" s="494"/>
      <c r="L75" s="494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3"/>
      <c r="Z75" s="283"/>
      <c r="AA75" s="283"/>
      <c r="AB75" s="283"/>
      <c r="AC75" s="283"/>
      <c r="AD75" s="283"/>
      <c r="AE75" s="283"/>
      <c r="AF75" s="283"/>
      <c r="AG75" s="283"/>
      <c r="AH75" s="283"/>
      <c r="AI75" s="283"/>
      <c r="AJ75" s="283"/>
      <c r="AK75" s="283"/>
      <c r="AL75" s="283"/>
      <c r="AM75" s="283"/>
      <c r="AN75" s="283"/>
      <c r="AO75" s="283"/>
      <c r="AP75" s="283"/>
      <c r="AQ75" s="283"/>
      <c r="AR75" s="283"/>
      <c r="AS75" s="283"/>
      <c r="AT75" s="283"/>
      <c r="AU75" s="283"/>
      <c r="AV75" s="283"/>
      <c r="AW75" s="283"/>
      <c r="AX75" s="283"/>
      <c r="AY75" s="283"/>
      <c r="AZ75" s="283"/>
      <c r="BA75" s="283"/>
    </row>
    <row r="76" spans="1:53">
      <c r="A76" s="595"/>
      <c r="B76" s="598"/>
      <c r="C76" s="599"/>
      <c r="E76" s="283"/>
      <c r="F76" s="494"/>
      <c r="G76" s="494"/>
      <c r="H76" s="283"/>
      <c r="I76" s="494"/>
      <c r="J76" s="494"/>
      <c r="K76" s="494"/>
      <c r="L76" s="494"/>
      <c r="M76" s="283"/>
      <c r="N76" s="283"/>
      <c r="O76" s="283"/>
      <c r="P76" s="283"/>
      <c r="Q76" s="283"/>
      <c r="R76" s="283"/>
      <c r="S76" s="283"/>
      <c r="T76" s="283"/>
      <c r="U76" s="283"/>
      <c r="V76" s="283"/>
      <c r="W76" s="283"/>
      <c r="X76" s="283"/>
      <c r="Y76" s="283"/>
      <c r="Z76" s="283"/>
      <c r="AA76" s="283"/>
      <c r="AB76" s="283"/>
      <c r="AC76" s="283"/>
      <c r="AD76" s="283"/>
      <c r="AE76" s="283"/>
      <c r="AF76" s="283"/>
      <c r="AG76" s="283"/>
      <c r="AH76" s="283"/>
      <c r="AI76" s="283"/>
      <c r="AJ76" s="283"/>
      <c r="AK76" s="283"/>
      <c r="AL76" s="283"/>
      <c r="AM76" s="283"/>
      <c r="AN76" s="283"/>
      <c r="AO76" s="283"/>
      <c r="AP76" s="283"/>
      <c r="AQ76" s="283"/>
      <c r="AR76" s="283"/>
      <c r="AS76" s="283"/>
      <c r="AT76" s="283"/>
      <c r="AU76" s="283"/>
      <c r="AV76" s="283"/>
      <c r="AW76" s="283"/>
      <c r="AX76" s="283"/>
      <c r="AY76" s="283"/>
      <c r="AZ76" s="283"/>
      <c r="BA76" s="283"/>
    </row>
    <row r="77" spans="1:53">
      <c r="A77" s="595"/>
      <c r="B77" s="598"/>
      <c r="C77" s="599"/>
      <c r="E77" s="283"/>
      <c r="F77" s="494"/>
      <c r="G77" s="494"/>
      <c r="H77" s="283"/>
      <c r="I77" s="494"/>
      <c r="J77" s="494"/>
      <c r="K77" s="494"/>
      <c r="L77" s="494"/>
      <c r="M77" s="283"/>
      <c r="N77" s="283"/>
      <c r="O77" s="283"/>
      <c r="P77" s="283"/>
      <c r="Q77" s="283"/>
      <c r="R77" s="283"/>
      <c r="S77" s="283"/>
      <c r="T77" s="283"/>
      <c r="U77" s="283"/>
      <c r="V77" s="283"/>
      <c r="W77" s="283"/>
      <c r="X77" s="283"/>
      <c r="Y77" s="283"/>
      <c r="Z77" s="283"/>
      <c r="AA77" s="283"/>
      <c r="AB77" s="283"/>
      <c r="AC77" s="283"/>
      <c r="AD77" s="283"/>
      <c r="AE77" s="283"/>
      <c r="AF77" s="283"/>
      <c r="AG77" s="283"/>
      <c r="AH77" s="283"/>
      <c r="AI77" s="283"/>
      <c r="AJ77" s="283"/>
      <c r="AK77" s="283"/>
      <c r="AL77" s="283"/>
      <c r="AM77" s="283"/>
      <c r="AN77" s="283"/>
      <c r="AO77" s="283"/>
      <c r="AP77" s="283"/>
      <c r="AQ77" s="283"/>
      <c r="AR77" s="283"/>
      <c r="AS77" s="283"/>
      <c r="AT77" s="283"/>
      <c r="AU77" s="283"/>
      <c r="AV77" s="283"/>
      <c r="AW77" s="283"/>
      <c r="AX77" s="283"/>
      <c r="AY77" s="283"/>
      <c r="AZ77" s="283"/>
      <c r="BA77" s="283"/>
    </row>
    <row r="78" spans="1:53">
      <c r="A78" s="595"/>
      <c r="B78" s="598"/>
      <c r="C78" s="599"/>
      <c r="E78" s="283"/>
      <c r="F78" s="494"/>
      <c r="G78" s="494"/>
      <c r="H78" s="283"/>
      <c r="I78" s="494"/>
      <c r="J78" s="494"/>
      <c r="K78" s="494"/>
      <c r="L78" s="494"/>
      <c r="M78" s="283"/>
      <c r="N78" s="283"/>
      <c r="O78" s="283"/>
      <c r="P78" s="283"/>
      <c r="Q78" s="283"/>
      <c r="R78" s="283"/>
      <c r="S78" s="283"/>
      <c r="T78" s="283"/>
      <c r="U78" s="283"/>
      <c r="V78" s="283"/>
      <c r="W78" s="283"/>
      <c r="X78" s="283"/>
      <c r="Y78" s="283"/>
      <c r="Z78" s="283"/>
      <c r="AA78" s="283"/>
      <c r="AB78" s="283"/>
      <c r="AC78" s="283"/>
      <c r="AD78" s="283"/>
      <c r="AE78" s="283"/>
      <c r="AF78" s="283"/>
      <c r="AG78" s="283"/>
      <c r="AH78" s="283"/>
      <c r="AI78" s="283"/>
      <c r="AJ78" s="283"/>
      <c r="AK78" s="283"/>
      <c r="AL78" s="283"/>
      <c r="AM78" s="283"/>
      <c r="AN78" s="283"/>
      <c r="AO78" s="283"/>
      <c r="AP78" s="283"/>
      <c r="AQ78" s="283"/>
      <c r="AR78" s="283"/>
      <c r="AS78" s="283"/>
      <c r="AT78" s="283"/>
      <c r="AU78" s="283"/>
      <c r="AV78" s="283"/>
      <c r="AW78" s="283"/>
      <c r="AX78" s="283"/>
      <c r="AY78" s="283"/>
      <c r="AZ78" s="283"/>
      <c r="BA78" s="283"/>
    </row>
    <row r="79" spans="1:53">
      <c r="A79" s="595"/>
      <c r="B79" s="598"/>
      <c r="C79" s="599"/>
      <c r="E79" s="283"/>
      <c r="F79" s="494"/>
      <c r="G79" s="494"/>
      <c r="H79" s="283"/>
      <c r="I79" s="494"/>
      <c r="J79" s="494"/>
      <c r="K79" s="494"/>
      <c r="L79" s="494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3"/>
      <c r="Z79" s="283"/>
      <c r="AA79" s="283"/>
      <c r="AB79" s="283"/>
      <c r="AC79" s="283"/>
      <c r="AD79" s="283"/>
      <c r="AE79" s="283"/>
      <c r="AF79" s="283"/>
      <c r="AG79" s="283"/>
      <c r="AH79" s="283"/>
      <c r="AI79" s="283"/>
      <c r="AJ79" s="283"/>
      <c r="AK79" s="283"/>
      <c r="AL79" s="283"/>
      <c r="AM79" s="283"/>
      <c r="AN79" s="283"/>
      <c r="AO79" s="283"/>
      <c r="AP79" s="283"/>
      <c r="AQ79" s="283"/>
      <c r="AR79" s="283"/>
      <c r="AS79" s="283"/>
      <c r="AT79" s="283"/>
      <c r="AU79" s="283"/>
      <c r="AV79" s="283"/>
      <c r="AW79" s="283"/>
      <c r="AX79" s="283"/>
      <c r="AY79" s="283"/>
      <c r="AZ79" s="283"/>
      <c r="BA79" s="283"/>
    </row>
    <row r="80" spans="1:53">
      <c r="A80" s="595"/>
      <c r="B80" s="598"/>
      <c r="C80" s="599"/>
      <c r="E80" s="283"/>
      <c r="F80" s="494"/>
      <c r="G80" s="494"/>
      <c r="H80" s="283"/>
      <c r="I80" s="494"/>
      <c r="J80" s="494"/>
      <c r="K80" s="494"/>
      <c r="L80" s="494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3"/>
      <c r="Z80" s="283"/>
      <c r="AA80" s="283"/>
      <c r="AB80" s="283"/>
      <c r="AC80" s="283"/>
      <c r="AD80" s="283"/>
      <c r="AE80" s="283"/>
      <c r="AF80" s="283"/>
      <c r="AG80" s="283"/>
      <c r="AH80" s="283"/>
      <c r="AI80" s="283"/>
      <c r="AJ80" s="283"/>
      <c r="AK80" s="283"/>
      <c r="AL80" s="283"/>
      <c r="AM80" s="283"/>
      <c r="AN80" s="283"/>
      <c r="AO80" s="283"/>
      <c r="AP80" s="283"/>
      <c r="AQ80" s="283"/>
      <c r="AR80" s="283"/>
      <c r="AS80" s="283"/>
      <c r="AT80" s="283"/>
      <c r="AU80" s="283"/>
      <c r="AV80" s="283"/>
      <c r="AW80" s="283"/>
      <c r="AX80" s="283"/>
      <c r="AY80" s="283"/>
      <c r="AZ80" s="283"/>
      <c r="BA80" s="283"/>
    </row>
    <row r="81" spans="1:53">
      <c r="A81" s="595"/>
      <c r="B81" s="598"/>
      <c r="C81" s="599"/>
      <c r="E81" s="283"/>
      <c r="F81" s="494"/>
      <c r="G81" s="494"/>
      <c r="H81" s="283"/>
      <c r="I81" s="494"/>
      <c r="J81" s="494"/>
      <c r="K81" s="494"/>
      <c r="L81" s="494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3"/>
      <c r="Z81" s="283"/>
      <c r="AA81" s="283"/>
      <c r="AB81" s="283"/>
      <c r="AC81" s="283"/>
      <c r="AD81" s="283"/>
      <c r="AE81" s="283"/>
      <c r="AF81" s="283"/>
      <c r="AG81" s="283"/>
      <c r="AH81" s="283"/>
      <c r="AI81" s="283"/>
      <c r="AJ81" s="283"/>
      <c r="AK81" s="283"/>
      <c r="AL81" s="283"/>
      <c r="AM81" s="283"/>
      <c r="AN81" s="283"/>
      <c r="AO81" s="283"/>
      <c r="AP81" s="283"/>
      <c r="AQ81" s="283"/>
      <c r="AR81" s="283"/>
      <c r="AS81" s="283"/>
      <c r="AT81" s="283"/>
      <c r="AU81" s="283"/>
      <c r="AV81" s="283"/>
      <c r="AW81" s="283"/>
      <c r="AX81" s="283"/>
      <c r="AY81" s="283"/>
      <c r="AZ81" s="283"/>
      <c r="BA81" s="283"/>
    </row>
    <row r="82" spans="1:53">
      <c r="A82" s="595"/>
      <c r="B82" s="598"/>
      <c r="C82" s="599"/>
      <c r="E82" s="283"/>
      <c r="F82" s="494"/>
      <c r="G82" s="494"/>
      <c r="H82" s="283"/>
      <c r="I82" s="494"/>
      <c r="J82" s="494"/>
      <c r="K82" s="494"/>
      <c r="L82" s="494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3"/>
      <c r="Z82" s="283"/>
      <c r="AA82" s="283"/>
      <c r="AB82" s="283"/>
      <c r="AC82" s="283"/>
      <c r="AD82" s="283"/>
      <c r="AE82" s="283"/>
      <c r="AF82" s="283"/>
      <c r="AG82" s="283"/>
      <c r="AH82" s="283"/>
      <c r="AI82" s="283"/>
      <c r="AJ82" s="283"/>
      <c r="AK82" s="283"/>
      <c r="AL82" s="283"/>
      <c r="AM82" s="283"/>
      <c r="AN82" s="283"/>
      <c r="AO82" s="283"/>
      <c r="AP82" s="283"/>
      <c r="AQ82" s="283"/>
      <c r="AR82" s="283"/>
      <c r="AS82" s="283"/>
      <c r="AT82" s="283"/>
      <c r="AU82" s="283"/>
      <c r="AV82" s="283"/>
      <c r="AW82" s="283"/>
      <c r="AX82" s="283"/>
      <c r="AY82" s="283"/>
      <c r="AZ82" s="283"/>
      <c r="BA82" s="283"/>
    </row>
    <row r="83" spans="1:53">
      <c r="A83" s="595"/>
      <c r="B83" s="598"/>
      <c r="C83" s="599"/>
      <c r="E83" s="283"/>
      <c r="F83" s="494"/>
      <c r="G83" s="494"/>
      <c r="H83" s="283"/>
      <c r="I83" s="494"/>
      <c r="J83" s="494"/>
      <c r="K83" s="494"/>
      <c r="L83" s="494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3"/>
      <c r="Z83" s="283"/>
      <c r="AA83" s="283"/>
      <c r="AB83" s="283"/>
      <c r="AC83" s="283"/>
      <c r="AD83" s="283"/>
      <c r="AE83" s="283"/>
      <c r="AF83" s="283"/>
      <c r="AG83" s="283"/>
      <c r="AH83" s="283"/>
      <c r="AI83" s="283"/>
      <c r="AJ83" s="283"/>
      <c r="AK83" s="283"/>
      <c r="AL83" s="283"/>
      <c r="AM83" s="283"/>
      <c r="AN83" s="283"/>
      <c r="AO83" s="283"/>
      <c r="AP83" s="283"/>
      <c r="AQ83" s="283"/>
      <c r="AR83" s="283"/>
      <c r="AS83" s="283"/>
      <c r="AT83" s="283"/>
      <c r="AU83" s="283"/>
      <c r="AV83" s="283"/>
      <c r="AW83" s="283"/>
      <c r="AX83" s="283"/>
      <c r="AY83" s="283"/>
      <c r="AZ83" s="283"/>
      <c r="BA83" s="283"/>
    </row>
    <row r="84" spans="1:53">
      <c r="A84" s="595"/>
      <c r="B84" s="598"/>
      <c r="C84" s="599"/>
      <c r="E84" s="283"/>
      <c r="F84" s="494"/>
      <c r="G84" s="494"/>
      <c r="H84" s="283"/>
      <c r="I84" s="494"/>
      <c r="J84" s="494"/>
      <c r="K84" s="494"/>
      <c r="L84" s="494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3"/>
      <c r="Z84" s="283"/>
      <c r="AA84" s="283"/>
      <c r="AB84" s="283"/>
      <c r="AC84" s="283"/>
      <c r="AD84" s="283"/>
      <c r="AE84" s="283"/>
      <c r="AF84" s="283"/>
      <c r="AG84" s="283"/>
      <c r="AH84" s="283"/>
      <c r="AI84" s="283"/>
      <c r="AJ84" s="283"/>
      <c r="AK84" s="283"/>
      <c r="AL84" s="283"/>
      <c r="AM84" s="283"/>
      <c r="AN84" s="283"/>
      <c r="AO84" s="283"/>
      <c r="AP84" s="283"/>
      <c r="AQ84" s="283"/>
      <c r="AR84" s="283"/>
      <c r="AS84" s="283"/>
      <c r="AT84" s="283"/>
      <c r="AU84" s="283"/>
      <c r="AV84" s="283"/>
      <c r="AW84" s="283"/>
      <c r="AX84" s="283"/>
      <c r="AY84" s="283"/>
      <c r="AZ84" s="283"/>
      <c r="BA84" s="283"/>
    </row>
    <row r="85" spans="1:53">
      <c r="A85" s="595"/>
      <c r="B85" s="598"/>
      <c r="C85" s="599"/>
      <c r="E85" s="283"/>
      <c r="F85" s="494"/>
      <c r="G85" s="494"/>
      <c r="H85" s="283"/>
      <c r="I85" s="494"/>
      <c r="J85" s="494"/>
      <c r="K85" s="494"/>
      <c r="L85" s="494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3"/>
      <c r="Z85" s="283"/>
      <c r="AA85" s="283"/>
      <c r="AB85" s="283"/>
      <c r="AC85" s="283"/>
      <c r="AD85" s="283"/>
      <c r="AE85" s="283"/>
      <c r="AF85" s="283"/>
      <c r="AG85" s="283"/>
      <c r="AH85" s="283"/>
      <c r="AI85" s="283"/>
      <c r="AJ85" s="283"/>
      <c r="AK85" s="283"/>
      <c r="AL85" s="283"/>
      <c r="AM85" s="283"/>
      <c r="AN85" s="283"/>
      <c r="AO85" s="283"/>
      <c r="AP85" s="283"/>
      <c r="AQ85" s="283"/>
      <c r="AR85" s="283"/>
      <c r="AS85" s="283"/>
      <c r="AT85" s="283"/>
      <c r="AU85" s="283"/>
      <c r="AV85" s="283"/>
      <c r="AW85" s="283"/>
      <c r="AX85" s="283"/>
      <c r="AY85" s="283"/>
      <c r="AZ85" s="283"/>
      <c r="BA85" s="283"/>
    </row>
    <row r="86" spans="1:53">
      <c r="A86" s="595"/>
      <c r="B86" s="598"/>
      <c r="C86" s="599"/>
      <c r="E86" s="283"/>
      <c r="F86" s="494"/>
      <c r="G86" s="494"/>
      <c r="H86" s="283"/>
      <c r="I86" s="494"/>
      <c r="J86" s="494"/>
      <c r="K86" s="494"/>
      <c r="L86" s="494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3"/>
      <c r="Z86" s="283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3"/>
      <c r="AL86" s="283"/>
      <c r="AM86" s="283"/>
      <c r="AN86" s="283"/>
      <c r="AO86" s="283"/>
      <c r="AP86" s="283"/>
      <c r="AQ86" s="283"/>
      <c r="AR86" s="283"/>
      <c r="AS86" s="283"/>
      <c r="AT86" s="283"/>
      <c r="AU86" s="283"/>
      <c r="AV86" s="283"/>
      <c r="AW86" s="283"/>
      <c r="AX86" s="283"/>
      <c r="AY86" s="283"/>
      <c r="AZ86" s="283"/>
      <c r="BA86" s="283"/>
    </row>
    <row r="87" spans="1:53">
      <c r="A87" s="595"/>
      <c r="B87" s="598"/>
      <c r="C87" s="599"/>
      <c r="E87" s="283"/>
      <c r="F87" s="494"/>
      <c r="G87" s="494"/>
      <c r="H87" s="283"/>
      <c r="I87" s="494"/>
      <c r="J87" s="494"/>
      <c r="K87" s="494"/>
      <c r="L87" s="494"/>
      <c r="M87" s="283"/>
      <c r="N87" s="283"/>
      <c r="O87" s="283"/>
      <c r="P87" s="283"/>
    </row>
    <row r="88" spans="1:53">
      <c r="A88" s="595"/>
      <c r="B88" s="598"/>
      <c r="C88" s="599"/>
      <c r="E88" s="283"/>
      <c r="F88" s="494"/>
      <c r="G88" s="494"/>
      <c r="H88" s="283"/>
      <c r="I88" s="494"/>
      <c r="J88" s="494"/>
      <c r="K88" s="494"/>
      <c r="L88" s="494"/>
      <c r="M88" s="283"/>
      <c r="N88" s="283"/>
      <c r="O88" s="283"/>
      <c r="P88" s="283"/>
    </row>
    <row r="89" spans="1:53">
      <c r="A89" s="595"/>
      <c r="B89" s="598"/>
      <c r="C89" s="599"/>
      <c r="E89" s="283"/>
      <c r="F89" s="494"/>
      <c r="G89" s="494"/>
      <c r="H89" s="283"/>
      <c r="I89" s="494"/>
      <c r="J89" s="494"/>
      <c r="K89" s="494"/>
      <c r="L89" s="494"/>
      <c r="M89" s="283"/>
      <c r="N89" s="283"/>
      <c r="O89" s="283"/>
      <c r="P89" s="283"/>
    </row>
    <row r="90" spans="1:53">
      <c r="A90" s="595"/>
      <c r="B90" s="598"/>
      <c r="C90" s="599"/>
      <c r="E90" s="283"/>
      <c r="F90" s="494"/>
      <c r="G90" s="494"/>
      <c r="H90" s="283"/>
      <c r="I90" s="494"/>
      <c r="J90" s="494"/>
      <c r="K90" s="494"/>
      <c r="L90" s="494"/>
      <c r="M90" s="283"/>
      <c r="N90" s="283"/>
      <c r="O90" s="283"/>
      <c r="P90" s="283"/>
    </row>
    <row r="91" spans="1:53">
      <c r="A91" s="595"/>
      <c r="B91" s="598"/>
      <c r="C91" s="599"/>
      <c r="E91" s="283"/>
      <c r="F91" s="494"/>
      <c r="G91" s="494"/>
      <c r="H91" s="283"/>
      <c r="I91" s="494"/>
      <c r="J91" s="494"/>
      <c r="K91" s="494"/>
      <c r="L91" s="494"/>
      <c r="M91" s="283"/>
      <c r="N91" s="283"/>
      <c r="O91" s="283"/>
      <c r="P91" s="283"/>
    </row>
    <row r="92" spans="1:53">
      <c r="A92" s="595"/>
      <c r="B92" s="598"/>
      <c r="C92" s="599"/>
      <c r="E92" s="283"/>
      <c r="F92" s="494"/>
      <c r="G92" s="494"/>
      <c r="H92" s="283"/>
      <c r="I92" s="494"/>
      <c r="J92" s="494"/>
      <c r="K92" s="494"/>
      <c r="L92" s="494"/>
      <c r="M92" s="283"/>
      <c r="N92" s="283"/>
      <c r="O92" s="283"/>
      <c r="P92" s="283"/>
    </row>
    <row r="93" spans="1:53">
      <c r="A93" s="595"/>
      <c r="B93" s="598"/>
      <c r="C93" s="599"/>
      <c r="E93" s="283"/>
      <c r="F93" s="494"/>
      <c r="G93" s="494"/>
      <c r="H93" s="283"/>
      <c r="I93" s="494"/>
      <c r="J93" s="494"/>
      <c r="K93" s="494"/>
      <c r="L93" s="494"/>
      <c r="M93" s="283"/>
      <c r="N93" s="283"/>
      <c r="O93" s="283"/>
      <c r="P93" s="283"/>
    </row>
    <row r="94" spans="1:53">
      <c r="A94" s="595"/>
      <c r="B94" s="598"/>
      <c r="C94" s="599"/>
      <c r="E94" s="283"/>
      <c r="F94" s="494"/>
      <c r="G94" s="494"/>
      <c r="H94" s="283"/>
      <c r="I94" s="494"/>
      <c r="J94" s="494"/>
      <c r="K94" s="494"/>
      <c r="L94" s="494"/>
      <c r="M94" s="283"/>
      <c r="N94" s="283"/>
      <c r="O94" s="283"/>
      <c r="P94" s="283"/>
    </row>
    <row r="95" spans="1:53">
      <c r="A95" s="595"/>
      <c r="B95" s="598"/>
      <c r="C95" s="599"/>
      <c r="E95" s="283"/>
      <c r="F95" s="494"/>
      <c r="G95" s="494"/>
      <c r="H95" s="283"/>
      <c r="I95" s="494"/>
      <c r="J95" s="494"/>
      <c r="K95" s="494"/>
      <c r="L95" s="494"/>
      <c r="M95" s="283"/>
      <c r="N95" s="283"/>
      <c r="O95" s="283"/>
      <c r="P95" s="283"/>
    </row>
    <row r="96" spans="1:53">
      <c r="A96" s="595"/>
      <c r="B96" s="598"/>
      <c r="C96" s="599"/>
      <c r="E96" s="283"/>
      <c r="F96" s="494"/>
      <c r="G96" s="494"/>
      <c r="H96" s="283"/>
      <c r="I96" s="494"/>
      <c r="J96" s="494"/>
      <c r="K96" s="494"/>
      <c r="L96" s="494"/>
      <c r="M96" s="283"/>
      <c r="N96" s="283"/>
      <c r="O96" s="283"/>
      <c r="P96" s="283"/>
    </row>
    <row r="97" spans="1:16">
      <c r="A97" s="595"/>
      <c r="B97" s="598"/>
      <c r="C97" s="599"/>
      <c r="E97" s="283"/>
      <c r="F97" s="494"/>
      <c r="G97" s="494"/>
      <c r="H97" s="283"/>
      <c r="I97" s="494"/>
      <c r="J97" s="494"/>
      <c r="K97" s="494"/>
      <c r="L97" s="494"/>
      <c r="M97" s="283"/>
      <c r="N97" s="283"/>
      <c r="O97" s="283"/>
      <c r="P97" s="283"/>
    </row>
    <row r="98" spans="1:16">
      <c r="A98" s="595"/>
      <c r="B98" s="598"/>
      <c r="C98" s="599"/>
      <c r="E98" s="283"/>
      <c r="F98" s="494"/>
      <c r="G98" s="494"/>
      <c r="H98" s="283"/>
      <c r="I98" s="494"/>
      <c r="J98" s="494"/>
      <c r="K98" s="494"/>
      <c r="L98" s="494"/>
      <c r="M98" s="283"/>
      <c r="N98" s="283"/>
      <c r="O98" s="283"/>
      <c r="P98" s="283"/>
    </row>
    <row r="99" spans="1:16">
      <c r="A99" s="595"/>
      <c r="B99" s="598"/>
      <c r="C99" s="599"/>
      <c r="E99" s="283"/>
      <c r="F99" s="494"/>
      <c r="G99" s="494"/>
      <c r="H99" s="283"/>
      <c r="I99" s="494"/>
      <c r="J99" s="494"/>
      <c r="K99" s="494"/>
      <c r="L99" s="494"/>
      <c r="M99" s="283"/>
      <c r="N99" s="283"/>
      <c r="O99" s="283"/>
      <c r="P99" s="283"/>
    </row>
    <row r="100" spans="1:16">
      <c r="A100" s="595"/>
      <c r="B100" s="598"/>
      <c r="C100" s="599"/>
      <c r="E100" s="283"/>
      <c r="F100" s="494"/>
      <c r="G100" s="494"/>
      <c r="H100" s="283"/>
      <c r="I100" s="494"/>
      <c r="J100" s="494"/>
      <c r="K100" s="494"/>
      <c r="L100" s="494"/>
      <c r="M100" s="283"/>
      <c r="N100" s="283"/>
      <c r="O100" s="283"/>
      <c r="P100" s="283"/>
    </row>
    <row r="101" spans="1:16">
      <c r="A101" s="595"/>
      <c r="B101" s="598"/>
      <c r="C101" s="599"/>
      <c r="E101" s="283"/>
      <c r="F101" s="494"/>
      <c r="G101" s="494"/>
      <c r="H101" s="283"/>
      <c r="I101" s="494"/>
      <c r="J101" s="494"/>
      <c r="K101" s="494"/>
      <c r="L101" s="494"/>
      <c r="M101" s="283"/>
      <c r="N101" s="283"/>
      <c r="O101" s="283"/>
      <c r="P101" s="283"/>
    </row>
    <row r="102" spans="1:16">
      <c r="A102" s="595"/>
      <c r="B102" s="598"/>
      <c r="C102" s="599"/>
      <c r="E102" s="283"/>
      <c r="F102" s="494"/>
      <c r="G102" s="494"/>
      <c r="H102" s="283"/>
      <c r="I102" s="494"/>
      <c r="J102" s="494"/>
      <c r="K102" s="494"/>
      <c r="L102" s="494"/>
      <c r="M102" s="283"/>
      <c r="N102" s="283"/>
      <c r="O102" s="283"/>
      <c r="P102" s="283"/>
    </row>
    <row r="103" spans="1:16">
      <c r="A103" s="595"/>
      <c r="B103" s="598"/>
      <c r="C103" s="599"/>
      <c r="E103" s="283"/>
      <c r="F103" s="494"/>
      <c r="G103" s="494"/>
      <c r="H103" s="283"/>
      <c r="I103" s="494"/>
      <c r="J103" s="494"/>
      <c r="K103" s="494"/>
      <c r="L103" s="494"/>
      <c r="M103" s="283"/>
      <c r="N103" s="283"/>
      <c r="O103" s="283"/>
      <c r="P103" s="283"/>
    </row>
    <row r="104" spans="1:16">
      <c r="A104" s="595"/>
      <c r="B104" s="598"/>
      <c r="C104" s="599"/>
      <c r="E104" s="283"/>
      <c r="F104" s="494"/>
      <c r="G104" s="494"/>
      <c r="H104" s="283"/>
      <c r="I104" s="494"/>
      <c r="J104" s="494"/>
      <c r="K104" s="494"/>
      <c r="L104" s="494"/>
      <c r="M104" s="283"/>
      <c r="N104" s="283"/>
      <c r="O104" s="283"/>
      <c r="P104" s="283"/>
    </row>
    <row r="105" spans="1:16">
      <c r="A105" s="595"/>
      <c r="B105" s="598"/>
      <c r="C105" s="599"/>
      <c r="E105" s="283"/>
      <c r="F105" s="494"/>
      <c r="G105" s="494"/>
      <c r="H105" s="283"/>
      <c r="I105" s="494"/>
      <c r="J105" s="494"/>
      <c r="K105" s="494"/>
      <c r="L105" s="494"/>
      <c r="M105" s="283"/>
      <c r="N105" s="283"/>
      <c r="O105" s="283"/>
      <c r="P105" s="283"/>
    </row>
    <row r="106" spans="1:16">
      <c r="A106" s="595"/>
      <c r="B106" s="598"/>
      <c r="C106" s="599"/>
      <c r="E106" s="283"/>
      <c r="F106" s="494"/>
      <c r="G106" s="494"/>
      <c r="H106" s="283"/>
      <c r="I106" s="494"/>
      <c r="J106" s="494"/>
      <c r="K106" s="494"/>
      <c r="L106" s="494"/>
      <c r="M106" s="283"/>
      <c r="N106" s="283"/>
      <c r="O106" s="283"/>
      <c r="P106" s="283"/>
    </row>
    <row r="107" spans="1:16">
      <c r="A107" s="595"/>
      <c r="B107" s="598"/>
      <c r="C107" s="599"/>
      <c r="E107" s="283"/>
      <c r="F107" s="494"/>
      <c r="G107" s="494"/>
      <c r="H107" s="283"/>
      <c r="I107" s="494"/>
      <c r="J107" s="494"/>
      <c r="K107" s="494"/>
      <c r="L107" s="494"/>
      <c r="M107" s="283"/>
      <c r="N107" s="283"/>
      <c r="O107" s="283"/>
      <c r="P107" s="283"/>
    </row>
    <row r="108" spans="1:16">
      <c r="A108" s="595"/>
      <c r="B108" s="598"/>
      <c r="C108" s="599"/>
      <c r="E108" s="283"/>
      <c r="F108" s="494"/>
      <c r="G108" s="494"/>
      <c r="H108" s="283"/>
      <c r="I108" s="494"/>
      <c r="J108" s="494"/>
      <c r="K108" s="494"/>
      <c r="L108" s="494"/>
      <c r="M108" s="283"/>
      <c r="N108" s="283"/>
      <c r="O108" s="283"/>
      <c r="P108" s="283"/>
    </row>
    <row r="109" spans="1:16">
      <c r="A109" s="595"/>
      <c r="B109" s="598"/>
      <c r="C109" s="599"/>
      <c r="E109" s="283"/>
      <c r="F109" s="494"/>
      <c r="G109" s="494"/>
      <c r="H109" s="283"/>
      <c r="I109" s="494"/>
      <c r="J109" s="494"/>
      <c r="K109" s="494"/>
      <c r="L109" s="494"/>
      <c r="M109" s="283"/>
      <c r="N109" s="283"/>
      <c r="O109" s="283"/>
      <c r="P109" s="283"/>
    </row>
    <row r="110" spans="1:16">
      <c r="A110" s="595"/>
      <c r="B110" s="598"/>
      <c r="C110" s="599"/>
      <c r="E110" s="283"/>
      <c r="F110" s="494"/>
      <c r="G110" s="494"/>
      <c r="H110" s="283"/>
      <c r="I110" s="494"/>
      <c r="J110" s="494"/>
      <c r="K110" s="494"/>
      <c r="L110" s="494"/>
      <c r="M110" s="283"/>
      <c r="N110" s="283"/>
      <c r="O110" s="283"/>
      <c r="P110" s="283"/>
    </row>
    <row r="111" spans="1:16">
      <c r="A111" s="595"/>
      <c r="B111" s="598"/>
      <c r="C111" s="599"/>
      <c r="E111" s="283"/>
      <c r="F111" s="494"/>
      <c r="G111" s="494"/>
      <c r="H111" s="283"/>
      <c r="I111" s="494"/>
      <c r="J111" s="494"/>
      <c r="K111" s="494"/>
      <c r="L111" s="494"/>
      <c r="M111" s="283"/>
      <c r="N111" s="283"/>
      <c r="O111" s="283"/>
      <c r="P111" s="283"/>
    </row>
    <row r="112" spans="1:16">
      <c r="A112" s="595"/>
      <c r="B112" s="598"/>
      <c r="C112" s="599"/>
      <c r="E112" s="283"/>
      <c r="F112" s="494"/>
      <c r="G112" s="494"/>
      <c r="H112" s="283"/>
      <c r="I112" s="494"/>
      <c r="J112" s="494"/>
      <c r="K112" s="494"/>
      <c r="L112" s="494"/>
      <c r="M112" s="283"/>
      <c r="N112" s="283"/>
      <c r="O112" s="283"/>
      <c r="P112" s="283"/>
    </row>
    <row r="113" spans="1:16">
      <c r="A113" s="595"/>
      <c r="B113" s="598"/>
      <c r="C113" s="599"/>
      <c r="E113" s="283"/>
      <c r="F113" s="494"/>
      <c r="G113" s="494"/>
      <c r="H113" s="283"/>
      <c r="I113" s="494"/>
      <c r="J113" s="494"/>
      <c r="K113" s="494"/>
      <c r="L113" s="494"/>
      <c r="M113" s="283"/>
      <c r="N113" s="283"/>
      <c r="O113" s="283"/>
      <c r="P113" s="283"/>
    </row>
    <row r="114" spans="1:16">
      <c r="A114" s="595"/>
      <c r="B114" s="598"/>
      <c r="C114" s="599"/>
      <c r="E114" s="283"/>
      <c r="F114" s="494"/>
      <c r="G114" s="494"/>
      <c r="H114" s="283"/>
      <c r="I114" s="494"/>
      <c r="J114" s="494"/>
      <c r="K114" s="494"/>
      <c r="L114" s="494"/>
      <c r="M114" s="283"/>
      <c r="N114" s="283"/>
      <c r="O114" s="283"/>
      <c r="P114" s="283"/>
    </row>
    <row r="115" spans="1:16">
      <c r="A115" s="595"/>
      <c r="B115" s="598"/>
      <c r="C115" s="599"/>
      <c r="E115" s="283"/>
      <c r="F115" s="494"/>
      <c r="G115" s="494"/>
      <c r="H115" s="283"/>
      <c r="I115" s="494"/>
      <c r="J115" s="494"/>
      <c r="K115" s="494"/>
      <c r="L115" s="494"/>
      <c r="M115" s="283"/>
      <c r="N115" s="283"/>
      <c r="O115" s="283"/>
      <c r="P115" s="283"/>
    </row>
    <row r="116" spans="1:16">
      <c r="A116" s="595"/>
      <c r="B116" s="598"/>
      <c r="C116" s="599"/>
      <c r="E116" s="283"/>
      <c r="F116" s="494"/>
      <c r="G116" s="494"/>
      <c r="H116" s="283"/>
      <c r="I116" s="494"/>
      <c r="J116" s="494"/>
      <c r="K116" s="494"/>
      <c r="L116" s="494"/>
      <c r="M116" s="283"/>
      <c r="N116" s="283"/>
      <c r="O116" s="283"/>
      <c r="P116" s="283"/>
    </row>
    <row r="117" spans="1:16">
      <c r="A117" s="595"/>
      <c r="B117" s="598"/>
      <c r="C117" s="599"/>
      <c r="E117" s="283"/>
      <c r="F117" s="494"/>
      <c r="G117" s="494"/>
      <c r="H117" s="283"/>
      <c r="I117" s="494"/>
      <c r="J117" s="494"/>
      <c r="K117" s="494"/>
      <c r="L117" s="494"/>
      <c r="M117" s="283"/>
      <c r="N117" s="283"/>
      <c r="O117" s="283"/>
      <c r="P117" s="283"/>
    </row>
    <row r="118" spans="1:16">
      <c r="A118" s="595"/>
      <c r="B118" s="598"/>
      <c r="C118" s="599"/>
      <c r="E118" s="283"/>
      <c r="F118" s="494"/>
      <c r="G118" s="494"/>
      <c r="H118" s="283"/>
      <c r="I118" s="494"/>
      <c r="J118" s="494"/>
      <c r="K118" s="494"/>
      <c r="L118" s="494"/>
      <c r="M118" s="283"/>
      <c r="N118" s="283"/>
      <c r="O118" s="283"/>
      <c r="P118" s="283"/>
    </row>
    <row r="119" spans="1:16">
      <c r="A119" s="595"/>
      <c r="B119" s="598"/>
      <c r="C119" s="599"/>
      <c r="E119" s="283"/>
      <c r="F119" s="494"/>
      <c r="G119" s="494"/>
      <c r="H119" s="283"/>
      <c r="I119" s="494"/>
      <c r="J119" s="494"/>
      <c r="K119" s="494"/>
      <c r="L119" s="494"/>
      <c r="M119" s="283"/>
      <c r="N119" s="283"/>
      <c r="O119" s="283"/>
      <c r="P119" s="283"/>
    </row>
    <row r="120" spans="1:16">
      <c r="A120" s="595"/>
      <c r="B120" s="598"/>
      <c r="C120" s="599"/>
      <c r="E120" s="283"/>
      <c r="F120" s="494"/>
      <c r="G120" s="494"/>
      <c r="H120" s="283"/>
      <c r="I120" s="494"/>
      <c r="J120" s="494"/>
      <c r="K120" s="494"/>
      <c r="L120" s="494"/>
      <c r="M120" s="283"/>
      <c r="N120" s="283"/>
      <c r="O120" s="283"/>
      <c r="P120" s="283"/>
    </row>
    <row r="121" spans="1:16">
      <c r="A121" s="595"/>
      <c r="B121" s="598"/>
      <c r="C121" s="599"/>
      <c r="E121" s="283"/>
      <c r="F121" s="494"/>
      <c r="G121" s="494"/>
      <c r="H121" s="283"/>
      <c r="I121" s="494"/>
      <c r="J121" s="494"/>
      <c r="K121" s="494"/>
      <c r="L121" s="494"/>
      <c r="M121" s="283"/>
      <c r="N121" s="283"/>
      <c r="O121" s="283"/>
      <c r="P121" s="283"/>
    </row>
    <row r="122" spans="1:16">
      <c r="A122" s="595"/>
      <c r="B122" s="598"/>
      <c r="C122" s="599"/>
      <c r="E122" s="283"/>
      <c r="F122" s="494"/>
      <c r="G122" s="494"/>
      <c r="H122" s="283"/>
      <c r="I122" s="494"/>
      <c r="J122" s="494"/>
      <c r="K122" s="494"/>
      <c r="L122" s="494"/>
      <c r="M122" s="283"/>
      <c r="N122" s="283"/>
      <c r="O122" s="283"/>
      <c r="P122" s="283"/>
    </row>
    <row r="123" spans="1:16">
      <c r="A123" s="595"/>
      <c r="B123" s="598"/>
      <c r="C123" s="599"/>
      <c r="E123" s="283"/>
      <c r="F123" s="494"/>
      <c r="G123" s="494"/>
      <c r="H123" s="283"/>
      <c r="I123" s="494"/>
      <c r="J123" s="494"/>
      <c r="K123" s="494"/>
      <c r="L123" s="494"/>
      <c r="M123" s="283"/>
      <c r="N123" s="283"/>
      <c r="O123" s="283"/>
      <c r="P123" s="283"/>
    </row>
    <row r="124" spans="1:16">
      <c r="A124" s="595"/>
      <c r="B124" s="598"/>
      <c r="C124" s="599"/>
      <c r="E124" s="283"/>
      <c r="F124" s="494"/>
      <c r="G124" s="494"/>
      <c r="H124" s="283"/>
      <c r="I124" s="494"/>
      <c r="J124" s="494"/>
      <c r="K124" s="494"/>
      <c r="L124" s="494"/>
      <c r="M124" s="283"/>
      <c r="N124" s="283"/>
      <c r="O124" s="283"/>
      <c r="P124" s="283"/>
    </row>
    <row r="125" spans="1:16">
      <c r="A125" s="595"/>
      <c r="B125" s="598"/>
      <c r="C125" s="599"/>
      <c r="E125" s="283"/>
      <c r="F125" s="494"/>
      <c r="G125" s="494"/>
      <c r="H125" s="283"/>
      <c r="I125" s="494"/>
      <c r="J125" s="494"/>
      <c r="K125" s="494"/>
      <c r="L125" s="494"/>
      <c r="M125" s="283"/>
      <c r="N125" s="283"/>
      <c r="O125" s="283"/>
      <c r="P125" s="283"/>
    </row>
    <row r="126" spans="1:16">
      <c r="A126" s="595"/>
      <c r="B126" s="598"/>
      <c r="C126" s="599"/>
      <c r="E126" s="283"/>
      <c r="F126" s="494"/>
      <c r="G126" s="494"/>
      <c r="H126" s="283"/>
      <c r="I126" s="494"/>
      <c r="J126" s="494"/>
      <c r="K126" s="494"/>
      <c r="L126" s="494"/>
      <c r="M126" s="283"/>
      <c r="N126" s="283"/>
      <c r="O126" s="283"/>
      <c r="P126" s="283"/>
    </row>
    <row r="127" spans="1:16">
      <c r="A127" s="595"/>
      <c r="B127" s="598"/>
      <c r="C127" s="599"/>
      <c r="E127" s="283"/>
      <c r="F127" s="494"/>
      <c r="G127" s="494"/>
      <c r="H127" s="283"/>
      <c r="I127" s="494"/>
      <c r="J127" s="494"/>
      <c r="K127" s="494"/>
      <c r="L127" s="494"/>
      <c r="M127" s="283"/>
      <c r="N127" s="283"/>
      <c r="O127" s="283"/>
      <c r="P127" s="283"/>
    </row>
    <row r="128" spans="1:16">
      <c r="A128" s="595"/>
      <c r="B128" s="598"/>
      <c r="C128" s="599"/>
      <c r="E128" s="283"/>
      <c r="F128" s="494"/>
      <c r="G128" s="494"/>
      <c r="H128" s="283"/>
      <c r="I128" s="494"/>
      <c r="J128" s="494"/>
      <c r="K128" s="494"/>
      <c r="L128" s="494"/>
      <c r="M128" s="283"/>
      <c r="N128" s="283"/>
      <c r="O128" s="283"/>
      <c r="P128" s="283"/>
    </row>
    <row r="129" spans="1:16">
      <c r="A129" s="595"/>
      <c r="B129" s="598"/>
      <c r="C129" s="599"/>
      <c r="E129" s="283"/>
      <c r="F129" s="494"/>
      <c r="G129" s="494"/>
      <c r="H129" s="283"/>
      <c r="I129" s="494"/>
      <c r="J129" s="494"/>
      <c r="K129" s="494"/>
      <c r="L129" s="494"/>
      <c r="M129" s="283"/>
      <c r="N129" s="283"/>
      <c r="O129" s="283"/>
      <c r="P129" s="283"/>
    </row>
    <row r="130" spans="1:16">
      <c r="A130" s="595"/>
      <c r="B130" s="598"/>
      <c r="C130" s="599"/>
      <c r="E130" s="283"/>
      <c r="F130" s="494"/>
      <c r="G130" s="494"/>
      <c r="H130" s="283"/>
      <c r="I130" s="494"/>
      <c r="J130" s="494"/>
      <c r="K130" s="494"/>
      <c r="L130" s="494"/>
      <c r="M130" s="283"/>
      <c r="N130" s="283"/>
      <c r="O130" s="283"/>
      <c r="P130" s="283"/>
    </row>
    <row r="131" spans="1:16">
      <c r="A131" s="595"/>
      <c r="B131" s="598"/>
      <c r="C131" s="599"/>
      <c r="E131" s="283"/>
      <c r="F131" s="494"/>
      <c r="G131" s="494"/>
      <c r="H131" s="283"/>
      <c r="I131" s="494"/>
      <c r="J131" s="494"/>
      <c r="K131" s="494"/>
      <c r="L131" s="494"/>
      <c r="M131" s="283"/>
      <c r="N131" s="283"/>
      <c r="O131" s="283"/>
      <c r="P131" s="283"/>
    </row>
    <row r="132" spans="1:16">
      <c r="A132" s="595"/>
      <c r="B132" s="598"/>
      <c r="C132" s="599"/>
      <c r="E132" s="283"/>
      <c r="F132" s="494"/>
      <c r="G132" s="494"/>
      <c r="H132" s="283"/>
      <c r="I132" s="494"/>
      <c r="J132" s="494"/>
      <c r="K132" s="494"/>
      <c r="L132" s="494"/>
      <c r="M132" s="283"/>
      <c r="N132" s="283"/>
      <c r="O132" s="283"/>
      <c r="P132" s="283"/>
    </row>
    <row r="133" spans="1:16">
      <c r="A133" s="595"/>
      <c r="B133" s="598"/>
      <c r="C133" s="599"/>
      <c r="E133" s="283"/>
      <c r="F133" s="494"/>
      <c r="G133" s="494"/>
      <c r="H133" s="283"/>
      <c r="I133" s="494"/>
      <c r="J133" s="494"/>
      <c r="K133" s="494"/>
      <c r="L133" s="494"/>
      <c r="M133" s="283"/>
      <c r="N133" s="283"/>
      <c r="O133" s="283"/>
      <c r="P133" s="283"/>
    </row>
    <row r="134" spans="1:16">
      <c r="A134" s="595"/>
      <c r="B134" s="598"/>
      <c r="C134" s="599"/>
      <c r="E134" s="283"/>
      <c r="F134" s="494"/>
      <c r="G134" s="494"/>
      <c r="H134" s="283"/>
      <c r="I134" s="494"/>
      <c r="J134" s="494"/>
      <c r="K134" s="494"/>
      <c r="L134" s="494"/>
      <c r="M134" s="283"/>
      <c r="N134" s="283"/>
      <c r="O134" s="283"/>
      <c r="P134" s="283"/>
    </row>
    <row r="135" spans="1:16">
      <c r="A135" s="595"/>
      <c r="B135" s="598"/>
      <c r="C135" s="599"/>
      <c r="E135" s="283"/>
      <c r="F135" s="494"/>
      <c r="G135" s="494"/>
      <c r="H135" s="283"/>
      <c r="I135" s="494"/>
      <c r="J135" s="494"/>
      <c r="K135" s="494"/>
      <c r="L135" s="494"/>
      <c r="M135" s="283"/>
      <c r="N135" s="283"/>
      <c r="O135" s="283"/>
      <c r="P135" s="283"/>
    </row>
    <row r="136" spans="1:16">
      <c r="A136" s="595"/>
      <c r="B136" s="598"/>
      <c r="C136" s="599"/>
      <c r="E136" s="283"/>
      <c r="F136" s="494"/>
      <c r="G136" s="494"/>
      <c r="H136" s="283"/>
      <c r="I136" s="494"/>
      <c r="J136" s="494"/>
      <c r="K136" s="494"/>
      <c r="L136" s="494"/>
      <c r="M136" s="283"/>
      <c r="N136" s="283"/>
      <c r="O136" s="283"/>
      <c r="P136" s="283"/>
    </row>
    <row r="137" spans="1:16">
      <c r="A137" s="595"/>
      <c r="B137" s="598"/>
      <c r="C137" s="599"/>
      <c r="E137" s="283"/>
      <c r="F137" s="494"/>
      <c r="G137" s="494"/>
      <c r="H137" s="283"/>
      <c r="I137" s="494"/>
      <c r="J137" s="494"/>
      <c r="K137" s="494"/>
      <c r="L137" s="494"/>
      <c r="M137" s="283"/>
      <c r="N137" s="283"/>
      <c r="O137" s="283"/>
      <c r="P137" s="283"/>
    </row>
    <row r="138" spans="1:16">
      <c r="A138" s="595"/>
      <c r="B138" s="598"/>
      <c r="C138" s="599"/>
      <c r="E138" s="283"/>
      <c r="F138" s="494"/>
      <c r="G138" s="494"/>
      <c r="H138" s="283"/>
      <c r="I138" s="494"/>
      <c r="J138" s="494"/>
      <c r="K138" s="494"/>
      <c r="L138" s="494"/>
      <c r="M138" s="283"/>
      <c r="N138" s="283"/>
      <c r="O138" s="283"/>
      <c r="P138" s="283"/>
    </row>
    <row r="139" spans="1:16">
      <c r="A139" s="595"/>
      <c r="B139" s="598"/>
      <c r="C139" s="599"/>
      <c r="E139" s="283"/>
      <c r="F139" s="494"/>
      <c r="G139" s="494"/>
      <c r="H139" s="283"/>
      <c r="I139" s="494"/>
      <c r="J139" s="494"/>
      <c r="K139" s="494"/>
      <c r="L139" s="494"/>
      <c r="M139" s="283"/>
      <c r="N139" s="283"/>
      <c r="O139" s="283"/>
      <c r="P139" s="283"/>
    </row>
    <row r="140" spans="1:16">
      <c r="A140" s="595"/>
      <c r="B140" s="598"/>
      <c r="C140" s="599"/>
      <c r="E140" s="283"/>
      <c r="F140" s="494"/>
      <c r="G140" s="494"/>
      <c r="H140" s="283"/>
      <c r="I140" s="494"/>
      <c r="J140" s="494"/>
      <c r="K140" s="494"/>
      <c r="L140" s="494"/>
      <c r="M140" s="283"/>
      <c r="N140" s="283"/>
      <c r="O140" s="283"/>
      <c r="P140" s="283"/>
    </row>
    <row r="141" spans="1:16">
      <c r="A141" s="595"/>
      <c r="B141" s="598"/>
      <c r="C141" s="599"/>
      <c r="E141" s="283"/>
      <c r="F141" s="494"/>
      <c r="G141" s="494"/>
      <c r="H141" s="283"/>
      <c r="I141" s="494"/>
      <c r="J141" s="494"/>
      <c r="K141" s="494"/>
      <c r="L141" s="494"/>
      <c r="M141" s="283"/>
      <c r="N141" s="283"/>
      <c r="O141" s="283"/>
      <c r="P141" s="283"/>
    </row>
    <row r="142" spans="1:16">
      <c r="A142" s="595"/>
      <c r="B142" s="598"/>
      <c r="C142" s="599"/>
      <c r="E142" s="283"/>
      <c r="F142" s="494"/>
      <c r="G142" s="494"/>
      <c r="H142" s="283"/>
      <c r="I142" s="494"/>
      <c r="J142" s="494"/>
      <c r="K142" s="494"/>
      <c r="L142" s="494"/>
      <c r="M142" s="283"/>
      <c r="N142" s="283"/>
      <c r="O142" s="283"/>
      <c r="P142" s="283"/>
    </row>
    <row r="143" spans="1:16">
      <c r="A143" s="595"/>
      <c r="B143" s="598"/>
      <c r="C143" s="599"/>
      <c r="E143" s="283"/>
      <c r="F143" s="494"/>
      <c r="G143" s="494"/>
      <c r="H143" s="283"/>
      <c r="I143" s="494"/>
      <c r="J143" s="494"/>
      <c r="K143" s="494"/>
      <c r="L143" s="494"/>
      <c r="M143" s="283"/>
      <c r="N143" s="283"/>
      <c r="O143" s="283"/>
      <c r="P143" s="283"/>
    </row>
    <row r="144" spans="1:16">
      <c r="A144" s="595"/>
      <c r="B144" s="598"/>
      <c r="C144" s="599"/>
      <c r="E144" s="283"/>
      <c r="F144" s="494"/>
      <c r="G144" s="494"/>
      <c r="H144" s="283"/>
      <c r="I144" s="494"/>
      <c r="J144" s="494"/>
      <c r="K144" s="494"/>
      <c r="L144" s="494"/>
      <c r="M144" s="283"/>
      <c r="N144" s="283"/>
      <c r="O144" s="283"/>
      <c r="P144" s="283"/>
    </row>
    <row r="145" spans="1:16">
      <c r="A145" s="595"/>
      <c r="B145" s="598"/>
      <c r="C145" s="599"/>
      <c r="E145" s="283"/>
      <c r="F145" s="494"/>
      <c r="G145" s="494"/>
      <c r="H145" s="283"/>
      <c r="I145" s="494"/>
      <c r="J145" s="494"/>
      <c r="K145" s="494"/>
      <c r="L145" s="494"/>
      <c r="M145" s="283"/>
      <c r="N145" s="283"/>
      <c r="O145" s="283"/>
      <c r="P145" s="283"/>
    </row>
    <row r="146" spans="1:16">
      <c r="A146" s="595"/>
      <c r="B146" s="598"/>
      <c r="C146" s="599"/>
      <c r="E146" s="283"/>
      <c r="F146" s="494"/>
      <c r="G146" s="494"/>
      <c r="H146" s="283"/>
      <c r="I146" s="494"/>
      <c r="J146" s="494"/>
      <c r="K146" s="494"/>
      <c r="L146" s="494"/>
      <c r="M146" s="283"/>
      <c r="N146" s="283"/>
      <c r="O146" s="283"/>
      <c r="P146" s="283"/>
    </row>
    <row r="147" spans="1:16">
      <c r="A147" s="595"/>
      <c r="B147" s="598"/>
      <c r="C147" s="599"/>
      <c r="E147" s="283"/>
      <c r="F147" s="494"/>
      <c r="G147" s="494"/>
      <c r="H147" s="283"/>
      <c r="I147" s="494"/>
      <c r="J147" s="494"/>
      <c r="K147" s="494"/>
      <c r="L147" s="494"/>
      <c r="M147" s="283"/>
      <c r="N147" s="283"/>
      <c r="O147" s="283"/>
      <c r="P147" s="283"/>
    </row>
    <row r="148" spans="1:16">
      <c r="A148" s="595"/>
      <c r="B148" s="598"/>
      <c r="C148" s="599"/>
      <c r="E148" s="283"/>
      <c r="F148" s="494"/>
      <c r="G148" s="494"/>
      <c r="H148" s="283"/>
      <c r="I148" s="494"/>
      <c r="J148" s="494"/>
      <c r="K148" s="494"/>
      <c r="L148" s="494"/>
      <c r="M148" s="283"/>
      <c r="N148" s="283"/>
      <c r="O148" s="283"/>
      <c r="P148" s="283"/>
    </row>
    <row r="149" spans="1:16">
      <c r="A149" s="595"/>
      <c r="B149" s="598"/>
      <c r="C149" s="599"/>
      <c r="E149" s="283"/>
      <c r="F149" s="494"/>
      <c r="G149" s="494"/>
      <c r="H149" s="283"/>
      <c r="I149" s="494"/>
      <c r="J149" s="494"/>
      <c r="K149" s="494"/>
      <c r="L149" s="494"/>
      <c r="M149" s="283"/>
      <c r="N149" s="283"/>
      <c r="O149" s="283"/>
      <c r="P149" s="283"/>
    </row>
    <row r="150" spans="1:16">
      <c r="A150" s="595"/>
      <c r="B150" s="598"/>
      <c r="C150" s="599"/>
      <c r="E150" s="283"/>
      <c r="F150" s="494"/>
      <c r="G150" s="494"/>
      <c r="H150" s="283"/>
      <c r="I150" s="494"/>
      <c r="J150" s="494"/>
      <c r="K150" s="494"/>
      <c r="L150" s="494"/>
      <c r="M150" s="283"/>
      <c r="N150" s="283"/>
      <c r="O150" s="283"/>
      <c r="P150" s="283"/>
    </row>
    <row r="151" spans="1:16">
      <c r="A151" s="595"/>
      <c r="B151" s="598"/>
      <c r="C151" s="599"/>
      <c r="E151" s="283"/>
      <c r="F151" s="494"/>
      <c r="G151" s="494"/>
      <c r="H151" s="283"/>
      <c r="I151" s="494"/>
      <c r="J151" s="494"/>
      <c r="K151" s="494"/>
      <c r="L151" s="494"/>
      <c r="M151" s="283"/>
      <c r="N151" s="283"/>
      <c r="O151" s="283"/>
      <c r="P151" s="283"/>
    </row>
    <row r="152" spans="1:16">
      <c r="A152" s="595"/>
      <c r="B152" s="598"/>
      <c r="C152" s="599"/>
      <c r="E152" s="283"/>
      <c r="F152" s="494"/>
      <c r="G152" s="494"/>
      <c r="H152" s="283"/>
      <c r="I152" s="494"/>
      <c r="J152" s="494"/>
      <c r="K152" s="494"/>
      <c r="L152" s="494"/>
      <c r="M152" s="283"/>
      <c r="N152" s="283"/>
      <c r="O152" s="283"/>
      <c r="P152" s="283"/>
    </row>
    <row r="153" spans="1:16">
      <c r="A153" s="595"/>
      <c r="B153" s="598"/>
      <c r="C153" s="599"/>
      <c r="E153" s="283"/>
      <c r="F153" s="494"/>
      <c r="G153" s="494"/>
      <c r="H153" s="283"/>
      <c r="I153" s="494"/>
      <c r="J153" s="494"/>
      <c r="K153" s="494"/>
      <c r="L153" s="494"/>
      <c r="M153" s="283"/>
      <c r="N153" s="283"/>
      <c r="O153" s="283"/>
      <c r="P153" s="283"/>
    </row>
    <row r="154" spans="1:16">
      <c r="A154" s="595"/>
      <c r="B154" s="598"/>
      <c r="C154" s="599"/>
      <c r="E154" s="283"/>
      <c r="F154" s="494"/>
      <c r="G154" s="494"/>
      <c r="H154" s="283"/>
      <c r="I154" s="494"/>
      <c r="J154" s="494"/>
      <c r="K154" s="494"/>
      <c r="L154" s="494"/>
      <c r="M154" s="283"/>
      <c r="N154" s="283"/>
      <c r="O154" s="283"/>
      <c r="P154" s="283"/>
    </row>
    <row r="155" spans="1:16">
      <c r="A155" s="595"/>
      <c r="B155" s="598"/>
      <c r="C155" s="599"/>
      <c r="E155" s="283"/>
      <c r="F155" s="494"/>
      <c r="G155" s="494"/>
      <c r="H155" s="283"/>
      <c r="I155" s="494"/>
      <c r="J155" s="494"/>
      <c r="K155" s="494"/>
      <c r="L155" s="494"/>
      <c r="M155" s="283"/>
      <c r="N155" s="283"/>
      <c r="O155" s="283"/>
      <c r="P155" s="283"/>
    </row>
    <row r="156" spans="1:16">
      <c r="A156" s="595"/>
      <c r="B156" s="598"/>
      <c r="C156" s="599"/>
      <c r="E156" s="283"/>
      <c r="F156" s="494"/>
      <c r="G156" s="494"/>
      <c r="H156" s="283"/>
      <c r="I156" s="494"/>
      <c r="J156" s="494"/>
      <c r="K156" s="494"/>
      <c r="L156" s="494"/>
      <c r="M156" s="283"/>
      <c r="N156" s="283"/>
      <c r="O156" s="283"/>
      <c r="P156" s="283"/>
    </row>
    <row r="157" spans="1:16">
      <c r="A157" s="595"/>
      <c r="B157" s="598"/>
      <c r="C157" s="599"/>
      <c r="E157" s="283"/>
      <c r="F157" s="494"/>
      <c r="G157" s="494"/>
      <c r="H157" s="283"/>
      <c r="I157" s="494"/>
      <c r="J157" s="494"/>
      <c r="K157" s="494"/>
      <c r="L157" s="494"/>
      <c r="M157" s="283"/>
      <c r="N157" s="283"/>
      <c r="O157" s="283"/>
      <c r="P157" s="283"/>
    </row>
    <row r="158" spans="1:16">
      <c r="A158" s="595"/>
      <c r="B158" s="598"/>
      <c r="C158" s="599"/>
      <c r="E158" s="283"/>
      <c r="F158" s="494"/>
      <c r="G158" s="494"/>
      <c r="H158" s="283"/>
      <c r="I158" s="494"/>
      <c r="J158" s="494"/>
      <c r="K158" s="494"/>
      <c r="L158" s="494"/>
      <c r="M158" s="283"/>
      <c r="N158" s="283"/>
      <c r="O158" s="283"/>
      <c r="P158" s="283"/>
    </row>
    <row r="159" spans="1:16">
      <c r="A159" s="595"/>
      <c r="B159" s="598"/>
      <c r="C159" s="599"/>
      <c r="E159" s="283"/>
      <c r="F159" s="494"/>
      <c r="G159" s="494"/>
      <c r="H159" s="283"/>
      <c r="I159" s="494"/>
      <c r="J159" s="494"/>
      <c r="K159" s="494"/>
      <c r="L159" s="494"/>
      <c r="M159" s="283"/>
      <c r="N159" s="283"/>
      <c r="O159" s="283"/>
      <c r="P159" s="283"/>
    </row>
    <row r="160" spans="1:16">
      <c r="A160" s="595"/>
      <c r="B160" s="598"/>
      <c r="C160" s="599"/>
      <c r="E160" s="283"/>
      <c r="F160" s="494"/>
      <c r="G160" s="494"/>
      <c r="H160" s="283"/>
      <c r="I160" s="494"/>
      <c r="J160" s="494"/>
      <c r="K160" s="494"/>
      <c r="L160" s="494"/>
      <c r="M160" s="283"/>
      <c r="N160" s="283"/>
      <c r="O160" s="283"/>
      <c r="P160" s="283"/>
    </row>
    <row r="161" spans="1:16">
      <c r="A161" s="595"/>
      <c r="B161" s="598"/>
      <c r="C161" s="599"/>
      <c r="E161" s="283"/>
      <c r="F161" s="494"/>
      <c r="G161" s="494"/>
      <c r="H161" s="283"/>
      <c r="I161" s="494"/>
      <c r="J161" s="494"/>
      <c r="K161" s="494"/>
      <c r="L161" s="494"/>
      <c r="M161" s="283"/>
      <c r="N161" s="283"/>
      <c r="O161" s="283"/>
      <c r="P161" s="283"/>
    </row>
    <row r="162" spans="1:16">
      <c r="A162" s="595"/>
      <c r="B162" s="598"/>
      <c r="C162" s="599"/>
      <c r="E162" s="283"/>
      <c r="F162" s="494"/>
      <c r="G162" s="494"/>
      <c r="H162" s="283"/>
      <c r="I162" s="494"/>
      <c r="J162" s="494"/>
      <c r="K162" s="494"/>
      <c r="L162" s="494"/>
      <c r="M162" s="283"/>
      <c r="N162" s="283"/>
      <c r="O162" s="283"/>
      <c r="P162" s="283"/>
    </row>
    <row r="163" spans="1:16">
      <c r="A163" s="595"/>
      <c r="B163" s="598"/>
      <c r="C163" s="599"/>
      <c r="E163" s="283"/>
      <c r="F163" s="494"/>
      <c r="G163" s="494"/>
      <c r="H163" s="283"/>
      <c r="I163" s="494"/>
      <c r="J163" s="494"/>
      <c r="K163" s="494"/>
      <c r="L163" s="494"/>
      <c r="M163" s="283"/>
      <c r="N163" s="283"/>
      <c r="O163" s="283"/>
      <c r="P163" s="283"/>
    </row>
    <row r="164" spans="1:16">
      <c r="A164" s="595"/>
      <c r="B164" s="598"/>
      <c r="C164" s="599"/>
      <c r="E164" s="283"/>
      <c r="F164" s="494"/>
      <c r="G164" s="494"/>
      <c r="H164" s="283"/>
      <c r="I164" s="494"/>
      <c r="J164" s="494"/>
      <c r="K164" s="494"/>
      <c r="L164" s="494"/>
      <c r="M164" s="283"/>
      <c r="N164" s="283"/>
      <c r="O164" s="283"/>
      <c r="P164" s="283"/>
    </row>
    <row r="165" spans="1:16">
      <c r="A165" s="595"/>
      <c r="B165" s="598"/>
      <c r="C165" s="599"/>
      <c r="E165" s="283"/>
      <c r="F165" s="494"/>
      <c r="G165" s="494"/>
      <c r="H165" s="283"/>
      <c r="I165" s="494"/>
      <c r="J165" s="494"/>
      <c r="K165" s="494"/>
      <c r="L165" s="494"/>
      <c r="M165" s="283"/>
      <c r="N165" s="283"/>
      <c r="O165" s="283"/>
      <c r="P165" s="283"/>
    </row>
    <row r="166" spans="1:16">
      <c r="A166" s="595"/>
      <c r="B166" s="598"/>
      <c r="C166" s="599"/>
      <c r="E166" s="283"/>
      <c r="F166" s="494"/>
      <c r="G166" s="494"/>
      <c r="H166" s="283"/>
      <c r="I166" s="494"/>
      <c r="J166" s="494"/>
      <c r="K166" s="494"/>
      <c r="L166" s="494"/>
      <c r="M166" s="283"/>
      <c r="N166" s="283"/>
      <c r="O166" s="283"/>
      <c r="P166" s="283"/>
    </row>
    <row r="167" spans="1:16">
      <c r="A167" s="595"/>
      <c r="B167" s="598"/>
      <c r="C167" s="599"/>
      <c r="E167" s="283"/>
      <c r="F167" s="494"/>
      <c r="G167" s="494"/>
      <c r="H167" s="283"/>
      <c r="I167" s="494"/>
      <c r="J167" s="494"/>
      <c r="K167" s="494"/>
      <c r="L167" s="494"/>
      <c r="M167" s="283"/>
      <c r="N167" s="283"/>
      <c r="O167" s="283"/>
      <c r="P167" s="283"/>
    </row>
    <row r="168" spans="1:16">
      <c r="A168" s="595"/>
      <c r="B168" s="598"/>
      <c r="C168" s="599"/>
      <c r="E168" s="283"/>
      <c r="F168" s="494"/>
      <c r="G168" s="494"/>
      <c r="H168" s="283"/>
      <c r="I168" s="494"/>
      <c r="J168" s="494"/>
      <c r="K168" s="494"/>
      <c r="L168" s="494"/>
      <c r="M168" s="283"/>
      <c r="N168" s="283"/>
      <c r="O168" s="283"/>
      <c r="P168" s="283"/>
    </row>
    <row r="169" spans="1:16">
      <c r="A169" s="595"/>
      <c r="B169" s="598"/>
      <c r="C169" s="599"/>
      <c r="E169" s="283"/>
      <c r="F169" s="494"/>
      <c r="G169" s="494"/>
      <c r="H169" s="283"/>
      <c r="I169" s="494"/>
      <c r="J169" s="494"/>
      <c r="K169" s="494"/>
      <c r="L169" s="494"/>
      <c r="M169" s="283"/>
      <c r="N169" s="283"/>
      <c r="O169" s="283"/>
      <c r="P169" s="283"/>
    </row>
    <row r="170" spans="1:16">
      <c r="A170" s="595"/>
      <c r="B170" s="598"/>
      <c r="C170" s="599"/>
      <c r="E170" s="283"/>
      <c r="F170" s="494"/>
      <c r="G170" s="494"/>
      <c r="H170" s="283"/>
      <c r="I170" s="494"/>
      <c r="J170" s="494"/>
      <c r="K170" s="494"/>
      <c r="L170" s="494"/>
      <c r="M170" s="283"/>
      <c r="N170" s="283"/>
      <c r="O170" s="283"/>
      <c r="P170" s="283"/>
    </row>
    <row r="171" spans="1:16">
      <c r="A171" s="595"/>
      <c r="B171" s="598"/>
      <c r="C171" s="599"/>
      <c r="E171" s="283"/>
      <c r="F171" s="494"/>
      <c r="G171" s="494"/>
      <c r="H171" s="283"/>
      <c r="I171" s="494"/>
      <c r="J171" s="494"/>
      <c r="K171" s="494"/>
      <c r="L171" s="494"/>
      <c r="M171" s="283"/>
      <c r="N171" s="283"/>
      <c r="O171" s="283"/>
      <c r="P171" s="283"/>
    </row>
    <row r="172" spans="1:16">
      <c r="A172" s="595"/>
      <c r="B172" s="598"/>
      <c r="C172" s="599"/>
      <c r="E172" s="283"/>
      <c r="F172" s="494"/>
      <c r="G172" s="494"/>
      <c r="H172" s="283"/>
      <c r="I172" s="494"/>
      <c r="J172" s="494"/>
      <c r="K172" s="494"/>
      <c r="L172" s="494"/>
      <c r="M172" s="283"/>
      <c r="N172" s="283"/>
      <c r="O172" s="283"/>
      <c r="P172" s="283"/>
    </row>
    <row r="173" spans="1:16">
      <c r="A173" s="595"/>
      <c r="B173" s="598"/>
      <c r="C173" s="599"/>
      <c r="E173" s="283"/>
      <c r="F173" s="494"/>
      <c r="G173" s="494"/>
      <c r="H173" s="283"/>
      <c r="I173" s="494"/>
      <c r="J173" s="494"/>
      <c r="K173" s="494"/>
      <c r="L173" s="494"/>
      <c r="M173" s="283"/>
      <c r="N173" s="283"/>
      <c r="O173" s="283"/>
      <c r="P173" s="283"/>
    </row>
    <row r="174" spans="1:16">
      <c r="A174" s="595"/>
      <c r="B174" s="598"/>
      <c r="C174" s="599"/>
      <c r="E174" s="283"/>
      <c r="F174" s="494"/>
      <c r="G174" s="494"/>
      <c r="H174" s="283"/>
      <c r="I174" s="494"/>
      <c r="J174" s="494"/>
      <c r="K174" s="494"/>
      <c r="L174" s="494"/>
      <c r="M174" s="283"/>
      <c r="N174" s="283"/>
      <c r="O174" s="283"/>
      <c r="P174" s="283"/>
    </row>
    <row r="175" spans="1:16">
      <c r="A175" s="595"/>
      <c r="B175" s="598"/>
      <c r="C175" s="599"/>
      <c r="E175" s="283"/>
      <c r="F175" s="494"/>
      <c r="G175" s="494"/>
      <c r="H175" s="283"/>
      <c r="I175" s="494"/>
      <c r="J175" s="494"/>
      <c r="K175" s="494"/>
      <c r="L175" s="494"/>
      <c r="M175" s="283"/>
      <c r="N175" s="283"/>
      <c r="O175" s="283"/>
      <c r="P175" s="283"/>
    </row>
    <row r="176" spans="1:16">
      <c r="A176" s="595"/>
      <c r="B176" s="598"/>
      <c r="C176" s="599"/>
      <c r="E176" s="283"/>
      <c r="F176" s="494"/>
      <c r="G176" s="494"/>
      <c r="H176" s="283"/>
      <c r="I176" s="494"/>
      <c r="J176" s="494"/>
      <c r="K176" s="494"/>
      <c r="L176" s="494"/>
      <c r="M176" s="283"/>
      <c r="N176" s="283"/>
      <c r="O176" s="283"/>
      <c r="P176" s="283"/>
    </row>
    <row r="177" spans="1:16">
      <c r="A177" s="595"/>
      <c r="B177" s="598"/>
      <c r="C177" s="599"/>
      <c r="E177" s="283"/>
      <c r="F177" s="494"/>
      <c r="G177" s="494"/>
      <c r="H177" s="283"/>
      <c r="I177" s="494"/>
      <c r="J177" s="494"/>
      <c r="K177" s="494"/>
      <c r="L177" s="494"/>
      <c r="M177" s="283"/>
      <c r="N177" s="283"/>
      <c r="O177" s="283"/>
      <c r="P177" s="283"/>
    </row>
    <row r="178" spans="1:16">
      <c r="A178" s="595"/>
      <c r="B178" s="598"/>
      <c r="C178" s="599"/>
      <c r="E178" s="283"/>
      <c r="F178" s="494"/>
      <c r="G178" s="494"/>
      <c r="H178" s="283"/>
      <c r="I178" s="494"/>
      <c r="J178" s="494"/>
      <c r="K178" s="494"/>
      <c r="L178" s="494"/>
      <c r="M178" s="283"/>
      <c r="N178" s="283"/>
      <c r="O178" s="283"/>
      <c r="P178" s="283"/>
    </row>
    <row r="179" spans="1:16">
      <c r="A179" s="595"/>
      <c r="B179" s="598"/>
      <c r="C179" s="599"/>
      <c r="E179" s="283"/>
      <c r="F179" s="494"/>
      <c r="G179" s="494"/>
      <c r="H179" s="283"/>
      <c r="I179" s="494"/>
      <c r="J179" s="494"/>
      <c r="K179" s="494"/>
      <c r="L179" s="494"/>
      <c r="M179" s="283"/>
      <c r="N179" s="283"/>
      <c r="O179" s="283"/>
      <c r="P179" s="283"/>
    </row>
    <row r="180" spans="1:16">
      <c r="A180" s="595"/>
      <c r="B180" s="598"/>
      <c r="C180" s="599"/>
      <c r="E180" s="283"/>
      <c r="F180" s="494"/>
      <c r="G180" s="494"/>
      <c r="H180" s="283"/>
      <c r="I180" s="494"/>
      <c r="J180" s="494"/>
      <c r="K180" s="494"/>
      <c r="L180" s="494"/>
      <c r="M180" s="283"/>
      <c r="N180" s="283"/>
      <c r="O180" s="283"/>
      <c r="P180" s="283"/>
    </row>
    <row r="181" spans="1:16">
      <c r="A181" s="595"/>
      <c r="B181" s="598"/>
      <c r="C181" s="599"/>
      <c r="E181" s="283"/>
      <c r="F181" s="494"/>
      <c r="G181" s="494"/>
      <c r="H181" s="283"/>
      <c r="I181" s="494"/>
      <c r="J181" s="494"/>
      <c r="K181" s="494"/>
      <c r="L181" s="494"/>
      <c r="M181" s="283"/>
      <c r="N181" s="283"/>
      <c r="O181" s="283"/>
      <c r="P181" s="283"/>
    </row>
    <row r="182" spans="1:16">
      <c r="A182" s="595"/>
      <c r="B182" s="598"/>
      <c r="C182" s="599"/>
      <c r="E182" s="283"/>
      <c r="F182" s="494"/>
      <c r="G182" s="494"/>
      <c r="H182" s="283"/>
      <c r="I182" s="494"/>
      <c r="J182" s="494"/>
      <c r="K182" s="494"/>
      <c r="L182" s="494"/>
      <c r="M182" s="283"/>
      <c r="N182" s="283"/>
      <c r="O182" s="283"/>
      <c r="P182" s="283"/>
    </row>
    <row r="183" spans="1:16">
      <c r="A183" s="595"/>
      <c r="B183" s="598"/>
      <c r="C183" s="599"/>
      <c r="E183" s="283"/>
      <c r="F183" s="494"/>
      <c r="G183" s="494"/>
      <c r="H183" s="283"/>
      <c r="I183" s="494"/>
      <c r="J183" s="494"/>
      <c r="K183" s="494"/>
      <c r="L183" s="494"/>
      <c r="M183" s="283"/>
      <c r="N183" s="283"/>
      <c r="O183" s="283"/>
      <c r="P183" s="283"/>
    </row>
    <row r="184" spans="1:16">
      <c r="A184" s="595"/>
      <c r="B184" s="598"/>
      <c r="C184" s="599"/>
      <c r="E184" s="283"/>
      <c r="F184" s="494"/>
      <c r="G184" s="494"/>
      <c r="H184" s="283"/>
      <c r="I184" s="494"/>
      <c r="J184" s="494"/>
      <c r="K184" s="494"/>
      <c r="L184" s="494"/>
      <c r="M184" s="283"/>
      <c r="N184" s="283"/>
      <c r="O184" s="283"/>
      <c r="P184" s="283"/>
    </row>
    <row r="185" spans="1:16">
      <c r="A185" s="595"/>
      <c r="B185" s="598"/>
      <c r="C185" s="599"/>
      <c r="E185" s="283"/>
      <c r="F185" s="494"/>
      <c r="G185" s="494"/>
      <c r="H185" s="283"/>
      <c r="I185" s="494"/>
      <c r="J185" s="494"/>
      <c r="K185" s="494"/>
      <c r="L185" s="494"/>
      <c r="M185" s="283"/>
      <c r="N185" s="283"/>
      <c r="O185" s="283"/>
      <c r="P185" s="283"/>
    </row>
    <row r="186" spans="1:16">
      <c r="A186" s="595"/>
      <c r="B186" s="598"/>
      <c r="C186" s="599"/>
      <c r="E186" s="283"/>
      <c r="F186" s="494"/>
      <c r="G186" s="494"/>
      <c r="H186" s="283"/>
      <c r="I186" s="494"/>
      <c r="J186" s="494"/>
      <c r="K186" s="494"/>
      <c r="L186" s="494"/>
      <c r="M186" s="283"/>
      <c r="N186" s="283"/>
      <c r="O186" s="283"/>
      <c r="P186" s="283"/>
    </row>
    <row r="187" spans="1:16">
      <c r="A187" s="595"/>
      <c r="B187" s="598"/>
      <c r="C187" s="599"/>
      <c r="E187" s="283"/>
      <c r="F187" s="494"/>
      <c r="G187" s="494"/>
      <c r="H187" s="283"/>
      <c r="I187" s="494"/>
      <c r="J187" s="494"/>
      <c r="K187" s="494"/>
      <c r="L187" s="494"/>
      <c r="M187" s="283"/>
      <c r="N187" s="283"/>
      <c r="O187" s="283"/>
      <c r="P187" s="283"/>
    </row>
    <row r="188" spans="1:16">
      <c r="A188" s="595"/>
      <c r="B188" s="598"/>
      <c r="C188" s="599"/>
      <c r="E188" s="283"/>
      <c r="F188" s="494"/>
      <c r="G188" s="494"/>
      <c r="H188" s="283"/>
      <c r="I188" s="494"/>
      <c r="J188" s="494"/>
      <c r="K188" s="494"/>
      <c r="L188" s="494"/>
      <c r="M188" s="283"/>
      <c r="N188" s="283"/>
      <c r="O188" s="283"/>
      <c r="P188" s="283"/>
    </row>
    <row r="189" spans="1:16">
      <c r="A189" s="595"/>
      <c r="B189" s="598"/>
      <c r="C189" s="599"/>
      <c r="E189" s="283"/>
      <c r="F189" s="494"/>
      <c r="G189" s="494"/>
      <c r="H189" s="283"/>
      <c r="I189" s="494"/>
      <c r="J189" s="494"/>
      <c r="K189" s="494"/>
      <c r="L189" s="494"/>
      <c r="M189" s="283"/>
      <c r="N189" s="283"/>
      <c r="O189" s="283"/>
      <c r="P189" s="283"/>
    </row>
    <row r="190" spans="1:16">
      <c r="A190" s="595"/>
      <c r="B190" s="598"/>
      <c r="C190" s="599"/>
      <c r="E190" s="283"/>
      <c r="F190" s="494"/>
      <c r="G190" s="494"/>
      <c r="H190" s="283"/>
      <c r="I190" s="494"/>
      <c r="J190" s="494"/>
      <c r="K190" s="494"/>
      <c r="L190" s="494"/>
      <c r="M190" s="283"/>
      <c r="N190" s="283"/>
      <c r="O190" s="283"/>
      <c r="P190" s="283"/>
    </row>
    <row r="191" spans="1:16">
      <c r="A191" s="595"/>
      <c r="B191" s="598"/>
      <c r="C191" s="599"/>
      <c r="E191" s="283"/>
      <c r="F191" s="494"/>
      <c r="G191" s="494"/>
      <c r="H191" s="283"/>
      <c r="I191" s="494"/>
      <c r="J191" s="494"/>
      <c r="K191" s="494"/>
      <c r="L191" s="494"/>
      <c r="M191" s="283"/>
      <c r="N191" s="283"/>
      <c r="O191" s="283"/>
      <c r="P191" s="283"/>
    </row>
    <row r="192" spans="1:16">
      <c r="A192" s="595"/>
      <c r="B192" s="598"/>
      <c r="C192" s="599"/>
      <c r="E192" s="283"/>
      <c r="F192" s="494"/>
      <c r="G192" s="494"/>
      <c r="H192" s="283"/>
      <c r="I192" s="494"/>
      <c r="J192" s="494"/>
      <c r="K192" s="494"/>
      <c r="L192" s="494"/>
      <c r="M192" s="283"/>
      <c r="N192" s="283"/>
      <c r="O192" s="283"/>
      <c r="P192" s="283"/>
    </row>
    <row r="193" spans="1:16">
      <c r="A193" s="595"/>
      <c r="B193" s="598"/>
      <c r="C193" s="599"/>
      <c r="E193" s="283"/>
      <c r="F193" s="494"/>
      <c r="G193" s="494"/>
      <c r="H193" s="283"/>
      <c r="I193" s="494"/>
      <c r="J193" s="494"/>
      <c r="K193" s="494"/>
      <c r="L193" s="494"/>
      <c r="M193" s="283"/>
      <c r="N193" s="283"/>
      <c r="O193" s="283"/>
      <c r="P193" s="283"/>
    </row>
    <row r="194" spans="1:16">
      <c r="A194" s="595"/>
      <c r="B194" s="598"/>
      <c r="C194" s="599"/>
      <c r="E194" s="283"/>
      <c r="F194" s="494"/>
      <c r="G194" s="494"/>
      <c r="H194" s="283"/>
      <c r="I194" s="494"/>
      <c r="J194" s="494"/>
      <c r="K194" s="494"/>
      <c r="L194" s="494"/>
      <c r="M194" s="283"/>
      <c r="N194" s="283"/>
      <c r="O194" s="283"/>
      <c r="P194" s="283"/>
    </row>
    <row r="195" spans="1:16">
      <c r="A195" s="595"/>
      <c r="B195" s="598"/>
      <c r="C195" s="599"/>
      <c r="E195" s="283"/>
      <c r="F195" s="494"/>
      <c r="G195" s="494"/>
      <c r="H195" s="283"/>
      <c r="I195" s="494"/>
      <c r="J195" s="494"/>
      <c r="K195" s="494"/>
      <c r="L195" s="494"/>
      <c r="M195" s="283"/>
      <c r="N195" s="283"/>
      <c r="O195" s="283"/>
      <c r="P195" s="283"/>
    </row>
    <row r="196" spans="1:16">
      <c r="A196" s="595"/>
      <c r="B196" s="242"/>
      <c r="C196" s="599"/>
      <c r="E196" s="283"/>
      <c r="F196" s="494"/>
      <c r="G196" s="494"/>
      <c r="H196" s="283"/>
      <c r="I196" s="494"/>
      <c r="J196" s="494"/>
      <c r="K196" s="494"/>
      <c r="L196" s="494"/>
      <c r="M196" s="283"/>
      <c r="N196" s="283"/>
      <c r="O196" s="283"/>
      <c r="P196" s="283"/>
    </row>
    <row r="197" spans="1:16">
      <c r="A197" s="595"/>
      <c r="B197" s="242"/>
      <c r="C197" s="599"/>
      <c r="E197" s="283"/>
      <c r="F197" s="494"/>
      <c r="G197" s="494"/>
      <c r="H197" s="283"/>
      <c r="I197" s="494"/>
      <c r="J197" s="494"/>
      <c r="K197" s="494"/>
      <c r="L197" s="494"/>
      <c r="M197" s="283"/>
      <c r="N197" s="283"/>
      <c r="O197" s="283"/>
      <c r="P197" s="283"/>
    </row>
    <row r="198" spans="1:16">
      <c r="A198" s="595"/>
      <c r="B198" s="242"/>
      <c r="C198" s="599"/>
      <c r="E198" s="283"/>
      <c r="F198" s="494"/>
      <c r="G198" s="494"/>
      <c r="H198" s="283"/>
      <c r="I198" s="494"/>
      <c r="J198" s="494"/>
      <c r="K198" s="494"/>
      <c r="L198" s="494"/>
      <c r="M198" s="283"/>
      <c r="N198" s="283"/>
      <c r="O198" s="283"/>
      <c r="P198" s="283"/>
    </row>
    <row r="199" spans="1:16">
      <c r="A199" s="595"/>
      <c r="B199" s="242"/>
      <c r="C199" s="599"/>
      <c r="E199" s="283"/>
      <c r="F199" s="494"/>
      <c r="G199" s="494"/>
      <c r="H199" s="283"/>
      <c r="I199" s="494"/>
      <c r="J199" s="494"/>
      <c r="K199" s="494"/>
      <c r="L199" s="494"/>
      <c r="M199" s="283"/>
      <c r="N199" s="283"/>
      <c r="O199" s="283"/>
      <c r="P199" s="283"/>
    </row>
    <row r="200" spans="1:16">
      <c r="A200" s="595"/>
      <c r="B200" s="242"/>
      <c r="C200" s="599"/>
      <c r="E200" s="283"/>
      <c r="F200" s="494"/>
      <c r="G200" s="494"/>
      <c r="H200" s="283"/>
      <c r="I200" s="494"/>
      <c r="J200" s="494"/>
      <c r="K200" s="494"/>
      <c r="L200" s="494"/>
      <c r="M200" s="283"/>
      <c r="N200" s="283"/>
      <c r="O200" s="283"/>
      <c r="P200" s="283"/>
    </row>
    <row r="201" spans="1:16">
      <c r="A201" s="595"/>
      <c r="B201" s="242"/>
      <c r="C201" s="599"/>
      <c r="E201" s="283"/>
      <c r="F201" s="494"/>
      <c r="G201" s="494"/>
      <c r="H201" s="283"/>
      <c r="I201" s="494"/>
      <c r="J201" s="494"/>
      <c r="K201" s="494"/>
      <c r="L201" s="494"/>
      <c r="M201" s="283"/>
      <c r="N201" s="283"/>
      <c r="O201" s="283"/>
      <c r="P201" s="283"/>
    </row>
    <row r="202" spans="1:16">
      <c r="A202" s="595"/>
      <c r="B202" s="242"/>
      <c r="C202" s="599"/>
      <c r="E202" s="283"/>
      <c r="F202" s="494"/>
      <c r="G202" s="494"/>
      <c r="H202" s="283"/>
      <c r="I202" s="494"/>
      <c r="J202" s="494"/>
      <c r="K202" s="494"/>
      <c r="L202" s="494"/>
      <c r="M202" s="283"/>
      <c r="N202" s="283"/>
      <c r="O202" s="283"/>
      <c r="P202" s="283"/>
    </row>
    <row r="203" spans="1:16">
      <c r="A203" s="595"/>
      <c r="B203" s="242"/>
      <c r="C203" s="599"/>
      <c r="E203" s="283"/>
      <c r="F203" s="494"/>
      <c r="G203" s="494"/>
      <c r="H203" s="283"/>
      <c r="I203" s="494"/>
      <c r="J203" s="494"/>
      <c r="K203" s="494"/>
      <c r="L203" s="494"/>
      <c r="M203" s="283"/>
      <c r="N203" s="283"/>
      <c r="O203" s="283"/>
      <c r="P203" s="283"/>
    </row>
    <row r="204" spans="1:16">
      <c r="A204" s="595"/>
      <c r="B204" s="242"/>
      <c r="C204" s="599"/>
      <c r="E204" s="283"/>
      <c r="F204" s="494"/>
      <c r="G204" s="494"/>
      <c r="H204" s="283"/>
      <c r="I204" s="494"/>
      <c r="J204" s="494"/>
      <c r="K204" s="494"/>
      <c r="L204" s="494"/>
      <c r="M204" s="283"/>
      <c r="N204" s="283"/>
      <c r="O204" s="283"/>
      <c r="P204" s="283"/>
    </row>
    <row r="205" spans="1:16">
      <c r="A205" s="595"/>
      <c r="B205" s="242"/>
      <c r="C205" s="599"/>
      <c r="E205" s="283"/>
      <c r="F205" s="494"/>
      <c r="G205" s="494"/>
      <c r="H205" s="283"/>
      <c r="I205" s="494"/>
      <c r="J205" s="494"/>
      <c r="K205" s="494"/>
      <c r="L205" s="494"/>
      <c r="M205" s="283"/>
      <c r="N205" s="283"/>
      <c r="O205" s="283"/>
      <c r="P205" s="283"/>
    </row>
    <row r="206" spans="1:16">
      <c r="A206" s="595"/>
      <c r="B206" s="242"/>
      <c r="C206" s="599"/>
      <c r="E206" s="283"/>
      <c r="F206" s="494"/>
      <c r="G206" s="494"/>
      <c r="H206" s="283"/>
      <c r="I206" s="494"/>
      <c r="J206" s="494"/>
      <c r="K206" s="494"/>
      <c r="L206" s="494"/>
      <c r="M206" s="283"/>
      <c r="N206" s="283"/>
      <c r="O206" s="283"/>
      <c r="P206" s="283"/>
    </row>
    <row r="207" spans="1:16">
      <c r="A207" s="595"/>
      <c r="B207" s="242"/>
      <c r="C207" s="599"/>
      <c r="E207" s="283"/>
      <c r="F207" s="494"/>
      <c r="G207" s="494"/>
      <c r="H207" s="283"/>
      <c r="I207" s="494"/>
      <c r="J207" s="494"/>
      <c r="K207" s="494"/>
      <c r="L207" s="494"/>
      <c r="M207" s="283"/>
      <c r="N207" s="283"/>
      <c r="O207" s="283"/>
      <c r="P207" s="283"/>
    </row>
    <row r="208" spans="1:16">
      <c r="A208" s="595"/>
      <c r="B208" s="242"/>
      <c r="C208" s="599"/>
      <c r="E208" s="283"/>
      <c r="F208" s="494"/>
      <c r="G208" s="494"/>
      <c r="H208" s="283"/>
      <c r="I208" s="494"/>
      <c r="J208" s="494"/>
      <c r="K208" s="494"/>
      <c r="L208" s="494"/>
      <c r="M208" s="283"/>
      <c r="N208" s="283"/>
      <c r="O208" s="283"/>
      <c r="P208" s="283"/>
    </row>
    <row r="209" spans="1:16">
      <c r="A209" s="595"/>
      <c r="B209" s="242"/>
      <c r="C209" s="599"/>
      <c r="E209" s="283"/>
      <c r="F209" s="494"/>
      <c r="G209" s="494"/>
      <c r="H209" s="283"/>
      <c r="I209" s="494"/>
      <c r="J209" s="494"/>
      <c r="K209" s="494"/>
      <c r="L209" s="494"/>
      <c r="M209" s="283"/>
      <c r="N209" s="283"/>
      <c r="O209" s="283"/>
      <c r="P209" s="283"/>
    </row>
    <row r="210" spans="1:16">
      <c r="A210" s="595"/>
      <c r="B210" s="242"/>
      <c r="C210" s="599"/>
      <c r="E210" s="283"/>
      <c r="F210" s="494"/>
      <c r="G210" s="494"/>
      <c r="H210" s="283"/>
      <c r="I210" s="494"/>
      <c r="J210" s="494"/>
      <c r="K210" s="494"/>
      <c r="L210" s="494"/>
      <c r="M210" s="283"/>
      <c r="N210" s="283"/>
      <c r="O210" s="283"/>
      <c r="P210" s="283"/>
    </row>
    <row r="211" spans="1:16">
      <c r="A211" s="595"/>
      <c r="B211" s="242"/>
      <c r="C211" s="599"/>
      <c r="E211" s="283"/>
      <c r="F211" s="494"/>
      <c r="G211" s="494"/>
      <c r="H211" s="283"/>
      <c r="I211" s="494"/>
      <c r="J211" s="494"/>
      <c r="K211" s="494"/>
      <c r="L211" s="494"/>
      <c r="M211" s="283"/>
      <c r="N211" s="283"/>
      <c r="O211" s="283"/>
      <c r="P211" s="283"/>
    </row>
    <row r="212" spans="1:16">
      <c r="A212" s="595"/>
      <c r="B212" s="242"/>
      <c r="C212" s="599"/>
      <c r="E212" s="283"/>
      <c r="F212" s="494"/>
      <c r="G212" s="494"/>
      <c r="H212" s="283"/>
      <c r="I212" s="494"/>
      <c r="J212" s="494"/>
      <c r="K212" s="494"/>
      <c r="L212" s="494"/>
      <c r="M212" s="283"/>
      <c r="N212" s="283"/>
      <c r="O212" s="283"/>
      <c r="P212" s="283"/>
    </row>
    <row r="213" spans="1:16">
      <c r="A213" s="595"/>
      <c r="B213" s="242"/>
      <c r="C213" s="599"/>
      <c r="E213" s="283"/>
      <c r="F213" s="494"/>
      <c r="G213" s="494"/>
      <c r="H213" s="283"/>
      <c r="I213" s="494"/>
      <c r="J213" s="494"/>
      <c r="K213" s="494"/>
      <c r="L213" s="494"/>
      <c r="M213" s="283"/>
      <c r="N213" s="283"/>
      <c r="O213" s="283"/>
      <c r="P213" s="283"/>
    </row>
    <row r="214" spans="1:16">
      <c r="A214" s="595"/>
      <c r="B214" s="242"/>
      <c r="C214" s="599"/>
      <c r="E214" s="283"/>
      <c r="F214" s="494"/>
      <c r="G214" s="494"/>
      <c r="H214" s="283"/>
      <c r="I214" s="494"/>
      <c r="J214" s="494"/>
      <c r="K214" s="494"/>
      <c r="L214" s="494"/>
      <c r="M214" s="283"/>
      <c r="N214" s="283"/>
      <c r="O214" s="283"/>
      <c r="P214" s="283"/>
    </row>
    <row r="215" spans="1:16">
      <c r="A215" s="595"/>
      <c r="B215" s="242"/>
      <c r="C215" s="599"/>
      <c r="E215" s="283"/>
      <c r="F215" s="494"/>
      <c r="G215" s="494"/>
      <c r="H215" s="283"/>
      <c r="I215" s="494"/>
      <c r="J215" s="494"/>
      <c r="K215" s="494"/>
      <c r="L215" s="494"/>
      <c r="M215" s="283"/>
      <c r="N215" s="283"/>
      <c r="O215" s="283"/>
      <c r="P215" s="283"/>
    </row>
    <row r="216" spans="1:16">
      <c r="A216" s="595"/>
      <c r="B216" s="242"/>
      <c r="C216" s="599"/>
      <c r="E216" s="283"/>
      <c r="F216" s="494"/>
      <c r="G216" s="494"/>
      <c r="H216" s="283"/>
      <c r="I216" s="494"/>
      <c r="J216" s="494"/>
      <c r="K216" s="494"/>
      <c r="L216" s="494"/>
      <c r="M216" s="283"/>
      <c r="N216" s="283"/>
      <c r="O216" s="283"/>
      <c r="P216" s="283"/>
    </row>
    <row r="217" spans="1:16">
      <c r="A217" s="595"/>
      <c r="B217" s="242"/>
      <c r="C217" s="599"/>
      <c r="E217" s="283"/>
      <c r="F217" s="494"/>
      <c r="G217" s="494"/>
      <c r="H217" s="283"/>
      <c r="I217" s="494"/>
      <c r="J217" s="494"/>
      <c r="K217" s="494"/>
      <c r="L217" s="494"/>
      <c r="M217" s="283"/>
      <c r="N217" s="283"/>
      <c r="O217" s="283"/>
      <c r="P217" s="283"/>
    </row>
    <row r="218" spans="1:16">
      <c r="A218" s="595"/>
      <c r="B218" s="242"/>
      <c r="C218" s="599"/>
      <c r="E218" s="283"/>
      <c r="F218" s="494"/>
      <c r="G218" s="494"/>
      <c r="H218" s="283"/>
      <c r="I218" s="494"/>
      <c r="J218" s="494"/>
      <c r="K218" s="494"/>
      <c r="L218" s="494"/>
      <c r="M218" s="283"/>
      <c r="N218" s="283"/>
      <c r="O218" s="283"/>
      <c r="P218" s="283"/>
    </row>
    <row r="219" spans="1:16">
      <c r="A219" s="595"/>
      <c r="B219" s="242"/>
      <c r="C219" s="599"/>
      <c r="E219" s="283"/>
      <c r="F219" s="494"/>
      <c r="G219" s="494"/>
      <c r="H219" s="283"/>
      <c r="I219" s="494"/>
      <c r="J219" s="494"/>
      <c r="K219" s="494"/>
      <c r="L219" s="494"/>
      <c r="M219" s="283"/>
      <c r="N219" s="283"/>
      <c r="O219" s="283"/>
      <c r="P219" s="283"/>
    </row>
    <row r="220" spans="1:16">
      <c r="A220" s="595"/>
      <c r="B220" s="242"/>
      <c r="C220" s="599"/>
      <c r="E220" s="283"/>
      <c r="F220" s="494"/>
      <c r="G220" s="494"/>
      <c r="H220" s="283"/>
      <c r="I220" s="494"/>
      <c r="J220" s="494"/>
      <c r="K220" s="494"/>
      <c r="L220" s="494"/>
      <c r="M220" s="283"/>
      <c r="N220" s="283"/>
      <c r="O220" s="283"/>
      <c r="P220" s="283"/>
    </row>
    <row r="221" spans="1:16">
      <c r="A221" s="595"/>
      <c r="B221" s="242"/>
      <c r="C221" s="599"/>
      <c r="E221" s="283"/>
      <c r="F221" s="494"/>
      <c r="G221" s="494"/>
      <c r="H221" s="283"/>
      <c r="I221" s="494"/>
      <c r="J221" s="494"/>
      <c r="K221" s="494"/>
      <c r="L221" s="494"/>
      <c r="M221" s="283"/>
      <c r="N221" s="283"/>
      <c r="O221" s="283"/>
      <c r="P221" s="283"/>
    </row>
    <row r="222" spans="1:16">
      <c r="A222" s="595"/>
      <c r="B222" s="242"/>
      <c r="C222" s="599"/>
      <c r="E222" s="283"/>
      <c r="F222" s="494"/>
      <c r="G222" s="494"/>
      <c r="H222" s="283"/>
      <c r="I222" s="494"/>
      <c r="J222" s="494"/>
      <c r="K222" s="494"/>
      <c r="L222" s="494"/>
      <c r="M222" s="283"/>
      <c r="N222" s="283"/>
      <c r="O222" s="283"/>
      <c r="P222" s="283"/>
    </row>
    <row r="223" spans="1:16">
      <c r="A223" s="595"/>
      <c r="B223" s="242"/>
      <c r="C223" s="599"/>
      <c r="E223" s="283"/>
      <c r="F223" s="494"/>
      <c r="G223" s="494"/>
      <c r="H223" s="283"/>
      <c r="I223" s="494"/>
      <c r="J223" s="494"/>
      <c r="K223" s="494"/>
      <c r="L223" s="494"/>
      <c r="M223" s="283"/>
      <c r="N223" s="283"/>
      <c r="O223" s="283"/>
      <c r="P223" s="283"/>
    </row>
    <row r="224" spans="1:16">
      <c r="A224" s="595"/>
      <c r="B224" s="242"/>
      <c r="C224" s="599"/>
      <c r="E224" s="283"/>
      <c r="F224" s="494"/>
      <c r="G224" s="494"/>
      <c r="H224" s="283"/>
      <c r="I224" s="494"/>
      <c r="J224" s="494"/>
      <c r="K224" s="494"/>
      <c r="L224" s="494"/>
      <c r="M224" s="283"/>
      <c r="N224" s="283"/>
      <c r="O224" s="283"/>
      <c r="P224" s="283"/>
    </row>
    <row r="225" spans="1:16">
      <c r="A225" s="595"/>
      <c r="B225" s="242"/>
      <c r="C225" s="599"/>
      <c r="E225" s="283"/>
      <c r="F225" s="494"/>
      <c r="G225" s="494"/>
      <c r="H225" s="283"/>
      <c r="I225" s="494"/>
      <c r="J225" s="494"/>
      <c r="K225" s="494"/>
      <c r="L225" s="494"/>
      <c r="M225" s="283"/>
      <c r="N225" s="283"/>
      <c r="O225" s="283"/>
      <c r="P225" s="283"/>
    </row>
    <row r="226" spans="1:16">
      <c r="A226" s="595"/>
      <c r="B226" s="242"/>
      <c r="C226" s="599"/>
      <c r="E226" s="283"/>
      <c r="F226" s="494"/>
      <c r="G226" s="494"/>
      <c r="H226" s="283"/>
      <c r="I226" s="494"/>
      <c r="J226" s="494"/>
      <c r="K226" s="494"/>
      <c r="L226" s="494"/>
      <c r="M226" s="283"/>
      <c r="N226" s="283"/>
      <c r="O226" s="283"/>
      <c r="P226" s="283"/>
    </row>
    <row r="227" spans="1:16">
      <c r="A227" s="595"/>
      <c r="B227" s="242"/>
      <c r="C227" s="599"/>
      <c r="E227" s="283"/>
      <c r="F227" s="494"/>
      <c r="G227" s="494"/>
      <c r="H227" s="283"/>
      <c r="I227" s="494"/>
      <c r="J227" s="494"/>
      <c r="K227" s="494"/>
      <c r="L227" s="494"/>
      <c r="M227" s="283"/>
      <c r="N227" s="283"/>
      <c r="O227" s="283"/>
      <c r="P227" s="283"/>
    </row>
    <row r="228" spans="1:16">
      <c r="A228" s="595"/>
      <c r="B228" s="242"/>
      <c r="C228" s="599"/>
      <c r="E228" s="283"/>
      <c r="F228" s="494"/>
      <c r="G228" s="494"/>
      <c r="H228" s="283"/>
      <c r="I228" s="494"/>
      <c r="J228" s="494"/>
      <c r="K228" s="494"/>
      <c r="L228" s="494"/>
      <c r="M228" s="283"/>
      <c r="N228" s="283"/>
      <c r="O228" s="283"/>
      <c r="P228" s="283"/>
    </row>
    <row r="229" spans="1:16">
      <c r="A229" s="595"/>
      <c r="B229" s="242"/>
      <c r="C229" s="599"/>
      <c r="E229" s="283"/>
      <c r="F229" s="494"/>
      <c r="G229" s="494"/>
      <c r="H229" s="283"/>
      <c r="I229" s="494"/>
      <c r="J229" s="494"/>
      <c r="K229" s="494"/>
      <c r="L229" s="494"/>
      <c r="M229" s="283"/>
      <c r="N229" s="283"/>
      <c r="O229" s="283"/>
      <c r="P229" s="283"/>
    </row>
    <row r="230" spans="1:16">
      <c r="A230" s="595"/>
      <c r="B230" s="242"/>
      <c r="C230" s="599"/>
      <c r="E230" s="283"/>
      <c r="F230" s="494"/>
      <c r="G230" s="494"/>
      <c r="H230" s="283"/>
      <c r="I230" s="494"/>
      <c r="J230" s="494"/>
      <c r="K230" s="494"/>
      <c r="L230" s="494"/>
      <c r="M230" s="283"/>
      <c r="N230" s="283"/>
      <c r="O230" s="283"/>
      <c r="P230" s="283"/>
    </row>
    <row r="231" spans="1:16">
      <c r="A231" s="595"/>
      <c r="B231" s="242"/>
      <c r="C231" s="599"/>
      <c r="E231" s="283"/>
      <c r="F231" s="494"/>
      <c r="G231" s="494"/>
      <c r="H231" s="283"/>
      <c r="I231" s="494"/>
      <c r="J231" s="494"/>
      <c r="K231" s="494"/>
      <c r="L231" s="494"/>
      <c r="M231" s="283"/>
      <c r="N231" s="283"/>
      <c r="O231" s="283"/>
      <c r="P231" s="283"/>
    </row>
    <row r="232" spans="1:16">
      <c r="A232" s="595"/>
      <c r="B232" s="242"/>
      <c r="C232" s="599"/>
      <c r="E232" s="283"/>
      <c r="F232" s="494"/>
      <c r="G232" s="494"/>
      <c r="H232" s="283"/>
      <c r="I232" s="494"/>
      <c r="J232" s="494"/>
      <c r="K232" s="494"/>
      <c r="L232" s="494"/>
      <c r="M232" s="283"/>
      <c r="N232" s="283"/>
      <c r="O232" s="283"/>
      <c r="P232" s="283"/>
    </row>
    <row r="233" spans="1:16">
      <c r="A233" s="595"/>
      <c r="B233" s="242"/>
      <c r="C233" s="599"/>
    </row>
    <row r="234" spans="1:16">
      <c r="A234" s="595"/>
      <c r="B234" s="242"/>
      <c r="C234" s="599"/>
    </row>
    <row r="235" spans="1:16">
      <c r="A235" s="595"/>
      <c r="B235" s="242"/>
      <c r="C235" s="599"/>
    </row>
    <row r="236" spans="1:16">
      <c r="A236" s="595"/>
      <c r="B236" s="242"/>
      <c r="C236" s="599"/>
    </row>
    <row r="237" spans="1:16">
      <c r="A237" s="595"/>
      <c r="B237" s="242"/>
      <c r="C237" s="599"/>
    </row>
    <row r="238" spans="1:16">
      <c r="A238" s="595"/>
      <c r="B238" s="242"/>
      <c r="C238" s="599"/>
      <c r="F238" s="355"/>
      <c r="G238" s="355"/>
      <c r="I238" s="355"/>
      <c r="J238" s="355"/>
      <c r="K238" s="355"/>
      <c r="L238" s="355"/>
    </row>
    <row r="239" spans="1:16">
      <c r="A239" s="595"/>
      <c r="B239" s="242"/>
      <c r="C239" s="599"/>
      <c r="F239" s="355"/>
      <c r="G239" s="355"/>
      <c r="I239" s="355"/>
      <c r="J239" s="355"/>
      <c r="K239" s="355"/>
      <c r="L239" s="355"/>
    </row>
    <row r="240" spans="1:16">
      <c r="A240" s="595"/>
      <c r="B240" s="242"/>
      <c r="C240" s="599"/>
      <c r="F240" s="355"/>
      <c r="G240" s="355"/>
      <c r="I240" s="355"/>
      <c r="J240" s="355"/>
      <c r="K240" s="355"/>
      <c r="L240" s="355"/>
    </row>
    <row r="241" spans="1:12">
      <c r="A241" s="595"/>
      <c r="B241" s="242"/>
      <c r="C241" s="599"/>
      <c r="F241" s="355"/>
      <c r="G241" s="355"/>
      <c r="I241" s="355"/>
      <c r="J241" s="355"/>
      <c r="K241" s="355"/>
      <c r="L241" s="355"/>
    </row>
    <row r="242" spans="1:12">
      <c r="A242" s="595"/>
      <c r="B242" s="242"/>
      <c r="C242" s="599"/>
      <c r="F242" s="355"/>
      <c r="G242" s="355"/>
      <c r="I242" s="355"/>
      <c r="J242" s="355"/>
      <c r="K242" s="355"/>
      <c r="L242" s="355"/>
    </row>
    <row r="243" spans="1:12">
      <c r="A243" s="595"/>
      <c r="B243" s="242"/>
      <c r="C243" s="599"/>
      <c r="F243" s="355"/>
      <c r="G243" s="355"/>
      <c r="I243" s="355"/>
      <c r="J243" s="355"/>
      <c r="K243" s="355"/>
      <c r="L243" s="355"/>
    </row>
    <row r="244" spans="1:12">
      <c r="A244" s="595"/>
      <c r="B244" s="242"/>
      <c r="C244" s="599"/>
      <c r="F244" s="355"/>
      <c r="G244" s="355"/>
      <c r="I244" s="355"/>
      <c r="J244" s="355"/>
      <c r="K244" s="355"/>
      <c r="L244" s="355"/>
    </row>
    <row r="245" spans="1:12">
      <c r="A245" s="595"/>
      <c r="B245" s="242"/>
      <c r="C245" s="599"/>
      <c r="F245" s="355"/>
      <c r="G245" s="355"/>
      <c r="I245" s="355"/>
      <c r="J245" s="355"/>
      <c r="K245" s="355"/>
      <c r="L245" s="355"/>
    </row>
    <row r="246" spans="1:12">
      <c r="A246" s="595"/>
      <c r="B246" s="242"/>
      <c r="C246" s="599"/>
      <c r="F246" s="355"/>
      <c r="G246" s="355"/>
      <c r="I246" s="355"/>
      <c r="J246" s="355"/>
      <c r="K246" s="355"/>
      <c r="L246" s="355"/>
    </row>
    <row r="247" spans="1:12">
      <c r="A247" s="595"/>
      <c r="B247" s="242"/>
      <c r="C247" s="599"/>
      <c r="F247" s="355"/>
      <c r="G247" s="355"/>
      <c r="I247" s="355"/>
      <c r="J247" s="355"/>
      <c r="K247" s="355"/>
      <c r="L247" s="355"/>
    </row>
    <row r="248" spans="1:12">
      <c r="A248" s="595"/>
      <c r="B248" s="242"/>
      <c r="C248" s="599"/>
      <c r="F248" s="355"/>
      <c r="G248" s="355"/>
      <c r="I248" s="355"/>
      <c r="J248" s="355"/>
      <c r="K248" s="355"/>
      <c r="L248" s="355"/>
    </row>
    <row r="249" spans="1:12">
      <c r="A249" s="595"/>
      <c r="B249" s="242"/>
      <c r="C249" s="599"/>
      <c r="F249" s="355"/>
      <c r="G249" s="355"/>
      <c r="I249" s="355"/>
      <c r="J249" s="355"/>
      <c r="K249" s="355"/>
      <c r="L249" s="355"/>
    </row>
    <row r="250" spans="1:12">
      <c r="A250" s="595"/>
      <c r="B250" s="242"/>
      <c r="C250" s="599"/>
      <c r="F250" s="355"/>
      <c r="G250" s="355"/>
      <c r="I250" s="355"/>
      <c r="J250" s="355"/>
      <c r="K250" s="355"/>
      <c r="L250" s="355"/>
    </row>
    <row r="251" spans="1:12">
      <c r="A251" s="595"/>
      <c r="B251" s="242"/>
      <c r="C251" s="599"/>
      <c r="F251" s="355"/>
      <c r="G251" s="355"/>
      <c r="I251" s="355"/>
      <c r="J251" s="355"/>
      <c r="K251" s="355"/>
      <c r="L251" s="355"/>
    </row>
    <row r="252" spans="1:12">
      <c r="A252" s="595"/>
      <c r="B252" s="242"/>
      <c r="C252" s="599"/>
      <c r="F252" s="355"/>
      <c r="G252" s="355"/>
      <c r="I252" s="355"/>
      <c r="J252" s="355"/>
      <c r="K252" s="355"/>
      <c r="L252" s="355"/>
    </row>
    <row r="253" spans="1:12">
      <c r="A253" s="595"/>
      <c r="B253" s="242"/>
      <c r="C253" s="599"/>
      <c r="F253" s="355"/>
      <c r="G253" s="355"/>
      <c r="I253" s="355"/>
      <c r="J253" s="355"/>
      <c r="K253" s="355"/>
      <c r="L253" s="355"/>
    </row>
    <row r="254" spans="1:12">
      <c r="A254" s="595"/>
      <c r="B254" s="242"/>
      <c r="C254" s="599"/>
      <c r="F254" s="355"/>
      <c r="G254" s="355"/>
      <c r="I254" s="355"/>
      <c r="J254" s="355"/>
      <c r="K254" s="355"/>
      <c r="L254" s="355"/>
    </row>
    <row r="255" spans="1:12">
      <c r="A255" s="595"/>
      <c r="B255" s="242"/>
      <c r="C255" s="599"/>
      <c r="F255" s="355"/>
      <c r="G255" s="355"/>
      <c r="I255" s="355"/>
      <c r="J255" s="355"/>
      <c r="K255" s="355"/>
      <c r="L255" s="355"/>
    </row>
    <row r="256" spans="1:12">
      <c r="A256" s="595"/>
      <c r="B256" s="242"/>
      <c r="C256" s="599"/>
      <c r="F256" s="355"/>
      <c r="G256" s="355"/>
      <c r="I256" s="355"/>
      <c r="J256" s="355"/>
      <c r="K256" s="355"/>
      <c r="L256" s="355"/>
    </row>
    <row r="257" spans="1:12">
      <c r="A257" s="595"/>
      <c r="B257" s="242"/>
      <c r="C257" s="599"/>
      <c r="F257" s="355"/>
      <c r="G257" s="355"/>
      <c r="I257" s="355"/>
      <c r="J257" s="355"/>
      <c r="K257" s="355"/>
      <c r="L257" s="355"/>
    </row>
    <row r="258" spans="1:12">
      <c r="A258" s="595"/>
      <c r="B258" s="242"/>
      <c r="C258" s="599"/>
      <c r="F258" s="355"/>
      <c r="G258" s="355"/>
      <c r="I258" s="355"/>
      <c r="J258" s="355"/>
      <c r="K258" s="355"/>
      <c r="L258" s="355"/>
    </row>
    <row r="259" spans="1:12">
      <c r="A259" s="595"/>
      <c r="B259" s="242"/>
      <c r="C259" s="599"/>
      <c r="F259" s="355"/>
      <c r="G259" s="355"/>
      <c r="I259" s="355"/>
      <c r="J259" s="355"/>
      <c r="K259" s="355"/>
      <c r="L259" s="355"/>
    </row>
    <row r="260" spans="1:12">
      <c r="A260" s="595"/>
      <c r="B260" s="242"/>
      <c r="C260" s="599"/>
      <c r="F260" s="355"/>
      <c r="G260" s="355"/>
      <c r="I260" s="355"/>
      <c r="J260" s="355"/>
      <c r="K260" s="355"/>
      <c r="L260" s="355"/>
    </row>
    <row r="261" spans="1:12">
      <c r="A261" s="595"/>
      <c r="B261" s="242"/>
      <c r="C261" s="599"/>
      <c r="F261" s="355"/>
      <c r="G261" s="355"/>
      <c r="I261" s="355"/>
      <c r="J261" s="355"/>
      <c r="K261" s="355"/>
      <c r="L261" s="355"/>
    </row>
    <row r="262" spans="1:12">
      <c r="A262" s="595"/>
      <c r="B262" s="242"/>
      <c r="C262" s="599"/>
      <c r="F262" s="355"/>
      <c r="G262" s="355"/>
      <c r="I262" s="355"/>
      <c r="J262" s="355"/>
      <c r="K262" s="355"/>
      <c r="L262" s="355"/>
    </row>
    <row r="263" spans="1:12">
      <c r="A263" s="595"/>
      <c r="B263" s="242"/>
      <c r="C263" s="599"/>
      <c r="F263" s="355"/>
      <c r="G263" s="355"/>
      <c r="I263" s="355"/>
      <c r="J263" s="355"/>
      <c r="K263" s="355"/>
      <c r="L263" s="355"/>
    </row>
    <row r="264" spans="1:12">
      <c r="A264" s="595"/>
      <c r="B264" s="242"/>
      <c r="C264" s="599"/>
      <c r="F264" s="355"/>
      <c r="G264" s="355"/>
      <c r="I264" s="355"/>
      <c r="J264" s="355"/>
      <c r="K264" s="355"/>
      <c r="L264" s="355"/>
    </row>
    <row r="265" spans="1:12">
      <c r="A265" s="595"/>
      <c r="B265" s="242"/>
      <c r="C265" s="599"/>
      <c r="F265" s="355"/>
      <c r="G265" s="355"/>
      <c r="I265" s="355"/>
      <c r="J265" s="355"/>
      <c r="K265" s="355"/>
      <c r="L265" s="355"/>
    </row>
    <row r="266" spans="1:12">
      <c r="A266" s="595"/>
      <c r="B266" s="242"/>
      <c r="C266" s="599"/>
      <c r="F266" s="355"/>
      <c r="G266" s="355"/>
      <c r="I266" s="355"/>
      <c r="J266" s="355"/>
      <c r="K266" s="355"/>
      <c r="L266" s="355"/>
    </row>
    <row r="267" spans="1:12">
      <c r="A267" s="595"/>
      <c r="B267" s="242"/>
      <c r="C267" s="599"/>
      <c r="F267" s="355"/>
      <c r="G267" s="355"/>
      <c r="I267" s="355"/>
      <c r="J267" s="355"/>
      <c r="K267" s="355"/>
      <c r="L267" s="355"/>
    </row>
    <row r="268" spans="1:12">
      <c r="A268" s="595"/>
      <c r="B268" s="242"/>
      <c r="C268" s="599"/>
      <c r="F268" s="355"/>
      <c r="G268" s="355"/>
      <c r="I268" s="355"/>
      <c r="J268" s="355"/>
      <c r="K268" s="355"/>
      <c r="L268" s="355"/>
    </row>
    <row r="269" spans="1:12">
      <c r="A269" s="595"/>
      <c r="B269" s="242"/>
      <c r="C269" s="599"/>
      <c r="F269" s="355"/>
      <c r="G269" s="355"/>
      <c r="I269" s="355"/>
      <c r="J269" s="355"/>
      <c r="K269" s="355"/>
      <c r="L269" s="355"/>
    </row>
    <row r="270" spans="1:12">
      <c r="A270" s="595"/>
      <c r="B270" s="242"/>
      <c r="C270" s="599"/>
      <c r="F270" s="355"/>
      <c r="G270" s="355"/>
      <c r="I270" s="355"/>
      <c r="J270" s="355"/>
      <c r="K270" s="355"/>
      <c r="L270" s="355"/>
    </row>
    <row r="271" spans="1:12">
      <c r="A271" s="595"/>
      <c r="B271" s="242"/>
      <c r="C271" s="599"/>
      <c r="F271" s="355"/>
      <c r="G271" s="355"/>
      <c r="I271" s="355"/>
      <c r="J271" s="355"/>
      <c r="K271" s="355"/>
      <c r="L271" s="355"/>
    </row>
    <row r="272" spans="1:12">
      <c r="A272" s="595"/>
      <c r="B272" s="242"/>
      <c r="C272" s="599"/>
      <c r="F272" s="355"/>
      <c r="G272" s="355"/>
      <c r="I272" s="355"/>
      <c r="J272" s="355"/>
      <c r="K272" s="355"/>
      <c r="L272" s="355"/>
    </row>
    <row r="273" spans="1:12">
      <c r="A273" s="595"/>
      <c r="B273" s="242"/>
      <c r="C273" s="599"/>
      <c r="F273" s="355"/>
      <c r="G273" s="355"/>
      <c r="I273" s="355"/>
      <c r="J273" s="355"/>
      <c r="K273" s="355"/>
      <c r="L273" s="355"/>
    </row>
    <row r="274" spans="1:12">
      <c r="A274" s="595"/>
      <c r="B274" s="242"/>
      <c r="C274" s="243"/>
      <c r="F274" s="355"/>
      <c r="G274" s="355"/>
      <c r="I274" s="355"/>
      <c r="J274" s="355"/>
      <c r="K274" s="355"/>
      <c r="L274" s="355"/>
    </row>
    <row r="275" spans="1:12">
      <c r="A275" s="595"/>
      <c r="B275" s="242"/>
      <c r="C275" s="243"/>
      <c r="F275" s="355"/>
      <c r="G275" s="355"/>
      <c r="I275" s="355"/>
      <c r="J275" s="355"/>
      <c r="K275" s="355"/>
      <c r="L275" s="355"/>
    </row>
    <row r="276" spans="1:12">
      <c r="A276" s="595"/>
      <c r="B276" s="242"/>
      <c r="C276" s="243"/>
      <c r="F276" s="355"/>
      <c r="G276" s="355"/>
      <c r="I276" s="355"/>
      <c r="J276" s="355"/>
      <c r="K276" s="355"/>
      <c r="L276" s="355"/>
    </row>
    <row r="277" spans="1:12">
      <c r="A277" s="595"/>
      <c r="B277" s="242"/>
      <c r="C277" s="243"/>
      <c r="F277" s="355"/>
      <c r="G277" s="355"/>
      <c r="I277" s="355"/>
      <c r="J277" s="355"/>
      <c r="K277" s="355"/>
      <c r="L277" s="355"/>
    </row>
    <row r="278" spans="1:12">
      <c r="A278" s="595"/>
      <c r="B278" s="242"/>
      <c r="C278" s="243"/>
      <c r="F278" s="355"/>
      <c r="G278" s="355"/>
      <c r="I278" s="355"/>
      <c r="J278" s="355"/>
      <c r="K278" s="355"/>
      <c r="L278" s="355"/>
    </row>
    <row r="279" spans="1:12">
      <c r="A279" s="595"/>
      <c r="B279" s="242"/>
      <c r="C279" s="243"/>
      <c r="F279" s="355"/>
      <c r="G279" s="355"/>
      <c r="I279" s="355"/>
      <c r="J279" s="355"/>
      <c r="K279" s="355"/>
      <c r="L279" s="355"/>
    </row>
    <row r="280" spans="1:12">
      <c r="A280" s="595"/>
      <c r="B280" s="242"/>
      <c r="C280" s="243"/>
      <c r="F280" s="355"/>
      <c r="G280" s="355"/>
      <c r="I280" s="355"/>
      <c r="J280" s="355"/>
      <c r="K280" s="355"/>
      <c r="L280" s="355"/>
    </row>
    <row r="281" spans="1:12">
      <c r="A281" s="595"/>
      <c r="B281" s="242"/>
      <c r="C281" s="243"/>
      <c r="F281" s="355"/>
      <c r="G281" s="355"/>
      <c r="I281" s="355"/>
      <c r="J281" s="355"/>
      <c r="K281" s="355"/>
      <c r="L281" s="355"/>
    </row>
    <row r="282" spans="1:12">
      <c r="A282" s="595"/>
      <c r="B282" s="242"/>
      <c r="C282" s="243"/>
      <c r="F282" s="355"/>
      <c r="G282" s="355"/>
      <c r="I282" s="355"/>
      <c r="J282" s="355"/>
      <c r="K282" s="355"/>
      <c r="L282" s="355"/>
    </row>
    <row r="283" spans="1:12">
      <c r="A283" s="595"/>
      <c r="B283" s="242"/>
      <c r="C283" s="243"/>
      <c r="F283" s="355"/>
      <c r="G283" s="355"/>
      <c r="I283" s="355"/>
      <c r="J283" s="355"/>
      <c r="K283" s="355"/>
      <c r="L283" s="355"/>
    </row>
    <row r="284" spans="1:12">
      <c r="A284" s="595"/>
      <c r="B284" s="242"/>
      <c r="C284" s="243"/>
      <c r="F284" s="355"/>
      <c r="G284" s="355"/>
      <c r="I284" s="355"/>
      <c r="J284" s="355"/>
      <c r="K284" s="355"/>
      <c r="L284" s="355"/>
    </row>
    <row r="285" spans="1:12">
      <c r="A285" s="595"/>
      <c r="B285" s="242"/>
      <c r="C285" s="243"/>
      <c r="F285" s="355"/>
      <c r="G285" s="355"/>
      <c r="I285" s="355"/>
      <c r="J285" s="355"/>
      <c r="K285" s="355"/>
      <c r="L285" s="355"/>
    </row>
    <row r="286" spans="1:12">
      <c r="A286" s="595"/>
      <c r="B286" s="242"/>
      <c r="C286" s="243"/>
      <c r="F286" s="355"/>
      <c r="G286" s="355"/>
      <c r="I286" s="355"/>
      <c r="J286" s="355"/>
      <c r="K286" s="355"/>
      <c r="L286" s="355"/>
    </row>
    <row r="287" spans="1:12">
      <c r="A287" s="595"/>
      <c r="B287" s="242"/>
      <c r="C287" s="243"/>
      <c r="F287" s="355"/>
      <c r="G287" s="355"/>
      <c r="I287" s="355"/>
      <c r="J287" s="355"/>
      <c r="K287" s="355"/>
      <c r="L287" s="355"/>
    </row>
    <row r="288" spans="1:12">
      <c r="A288" s="595"/>
      <c r="B288" s="242"/>
      <c r="C288" s="243"/>
      <c r="F288" s="355"/>
      <c r="G288" s="355"/>
      <c r="I288" s="355"/>
      <c r="J288" s="355"/>
      <c r="K288" s="355"/>
      <c r="L288" s="355"/>
    </row>
    <row r="289" spans="1:12">
      <c r="A289" s="595"/>
      <c r="B289" s="242"/>
      <c r="C289" s="243"/>
      <c r="F289" s="355"/>
      <c r="G289" s="355"/>
      <c r="I289" s="355"/>
      <c r="J289" s="355"/>
      <c r="K289" s="355"/>
      <c r="L289" s="355"/>
    </row>
    <row r="290" spans="1:12">
      <c r="A290" s="595"/>
      <c r="B290" s="242"/>
      <c r="C290" s="243"/>
      <c r="F290" s="355"/>
      <c r="G290" s="355"/>
      <c r="I290" s="355"/>
      <c r="J290" s="355"/>
      <c r="K290" s="355"/>
      <c r="L290" s="355"/>
    </row>
    <row r="291" spans="1:12">
      <c r="A291" s="595"/>
      <c r="B291" s="242"/>
      <c r="C291" s="243"/>
      <c r="F291" s="355"/>
      <c r="G291" s="355"/>
      <c r="I291" s="355"/>
      <c r="J291" s="355"/>
      <c r="K291" s="355"/>
      <c r="L291" s="355"/>
    </row>
    <row r="292" spans="1:12">
      <c r="A292" s="595"/>
      <c r="B292" s="242"/>
      <c r="C292" s="243"/>
      <c r="F292" s="355"/>
      <c r="G292" s="355"/>
      <c r="I292" s="355"/>
      <c r="J292" s="355"/>
      <c r="K292" s="355"/>
      <c r="L292" s="355"/>
    </row>
    <row r="293" spans="1:12">
      <c r="A293" s="595"/>
      <c r="B293" s="242"/>
      <c r="C293" s="243"/>
      <c r="F293" s="355"/>
      <c r="G293" s="355"/>
      <c r="I293" s="355"/>
      <c r="J293" s="355"/>
      <c r="K293" s="355"/>
      <c r="L293" s="355"/>
    </row>
    <row r="294" spans="1:12">
      <c r="A294" s="595"/>
      <c r="B294" s="242"/>
      <c r="C294" s="243"/>
      <c r="F294" s="355"/>
      <c r="G294" s="355"/>
      <c r="I294" s="355"/>
      <c r="J294" s="355"/>
      <c r="K294" s="355"/>
      <c r="L294" s="355"/>
    </row>
    <row r="295" spans="1:12">
      <c r="A295" s="595"/>
      <c r="B295" s="242"/>
      <c r="C295" s="243"/>
      <c r="F295" s="355"/>
      <c r="G295" s="355"/>
      <c r="I295" s="355"/>
      <c r="J295" s="355"/>
      <c r="K295" s="355"/>
      <c r="L295" s="355"/>
    </row>
    <row r="296" spans="1:12">
      <c r="A296" s="595"/>
      <c r="B296" s="242"/>
      <c r="C296" s="243"/>
      <c r="F296" s="355"/>
      <c r="G296" s="355"/>
      <c r="I296" s="355"/>
      <c r="J296" s="355"/>
      <c r="K296" s="355"/>
      <c r="L296" s="355"/>
    </row>
    <row r="297" spans="1:12">
      <c r="A297" s="595"/>
      <c r="B297" s="242"/>
      <c r="C297" s="243"/>
      <c r="F297" s="355"/>
      <c r="G297" s="355"/>
      <c r="I297" s="355"/>
      <c r="J297" s="355"/>
      <c r="K297" s="355"/>
      <c r="L297" s="355"/>
    </row>
    <row r="298" spans="1:12">
      <c r="A298" s="595"/>
      <c r="B298" s="242"/>
      <c r="C298" s="243"/>
      <c r="F298" s="355"/>
      <c r="G298" s="355"/>
      <c r="I298" s="355"/>
      <c r="J298" s="355"/>
      <c r="K298" s="355"/>
      <c r="L298" s="355"/>
    </row>
    <row r="299" spans="1:12">
      <c r="A299" s="595"/>
      <c r="B299" s="242"/>
      <c r="C299" s="243"/>
      <c r="F299" s="355"/>
      <c r="G299" s="355"/>
      <c r="I299" s="355"/>
      <c r="J299" s="355"/>
      <c r="K299" s="355"/>
      <c r="L299" s="355"/>
    </row>
    <row r="300" spans="1:12">
      <c r="A300" s="595"/>
      <c r="B300" s="242"/>
      <c r="C300" s="243"/>
      <c r="F300" s="355"/>
      <c r="G300" s="355"/>
      <c r="I300" s="355"/>
      <c r="J300" s="355"/>
      <c r="K300" s="355"/>
      <c r="L300" s="355"/>
    </row>
    <row r="301" spans="1:12">
      <c r="A301" s="595"/>
      <c r="B301" s="242"/>
      <c r="C301" s="243"/>
      <c r="F301" s="355"/>
      <c r="G301" s="355"/>
      <c r="I301" s="355"/>
      <c r="J301" s="355"/>
      <c r="K301" s="355"/>
      <c r="L301" s="355"/>
    </row>
    <row r="302" spans="1:12">
      <c r="A302" s="595"/>
      <c r="B302" s="242"/>
      <c r="C302" s="243"/>
      <c r="F302" s="355"/>
      <c r="G302" s="355"/>
      <c r="I302" s="355"/>
      <c r="J302" s="355"/>
      <c r="K302" s="355"/>
      <c r="L302" s="355"/>
    </row>
    <row r="303" spans="1:12">
      <c r="A303" s="595"/>
      <c r="B303" s="242"/>
      <c r="C303" s="243"/>
      <c r="F303" s="355"/>
      <c r="G303" s="355"/>
      <c r="I303" s="355"/>
      <c r="J303" s="355"/>
      <c r="K303" s="355"/>
      <c r="L303" s="355"/>
    </row>
    <row r="304" spans="1:12">
      <c r="A304" s="595"/>
      <c r="B304" s="242"/>
      <c r="C304" s="243"/>
      <c r="F304" s="355"/>
      <c r="G304" s="355"/>
      <c r="I304" s="355"/>
      <c r="J304" s="355"/>
      <c r="K304" s="355"/>
      <c r="L304" s="355"/>
    </row>
    <row r="305" spans="1:12">
      <c r="A305" s="595"/>
      <c r="B305" s="242"/>
      <c r="C305" s="243"/>
      <c r="F305" s="355"/>
      <c r="G305" s="355"/>
      <c r="I305" s="355"/>
      <c r="J305" s="355"/>
      <c r="K305" s="355"/>
      <c r="L305" s="355"/>
    </row>
    <row r="306" spans="1:12">
      <c r="A306" s="595"/>
      <c r="B306" s="242"/>
      <c r="C306" s="243"/>
      <c r="F306" s="355"/>
      <c r="G306" s="355"/>
      <c r="I306" s="355"/>
      <c r="J306" s="355"/>
      <c r="K306" s="355"/>
      <c r="L306" s="355"/>
    </row>
    <row r="307" spans="1:12">
      <c r="A307" s="595"/>
      <c r="B307" s="242"/>
      <c r="C307" s="243"/>
      <c r="F307" s="355"/>
      <c r="G307" s="355"/>
      <c r="I307" s="355"/>
      <c r="J307" s="355"/>
      <c r="K307" s="355"/>
      <c r="L307" s="355"/>
    </row>
    <row r="308" spans="1:12">
      <c r="A308" s="595"/>
      <c r="B308" s="242"/>
      <c r="C308" s="243"/>
      <c r="F308" s="355"/>
      <c r="G308" s="355"/>
      <c r="I308" s="355"/>
      <c r="J308" s="355"/>
      <c r="K308" s="355"/>
      <c r="L308" s="355"/>
    </row>
    <row r="309" spans="1:12">
      <c r="A309" s="595"/>
      <c r="B309" s="242"/>
      <c r="C309" s="243"/>
      <c r="F309" s="355"/>
      <c r="G309" s="355"/>
      <c r="I309" s="355"/>
      <c r="J309" s="355"/>
      <c r="K309" s="355"/>
      <c r="L309" s="355"/>
    </row>
    <row r="310" spans="1:12">
      <c r="A310" s="595"/>
      <c r="B310" s="242"/>
      <c r="C310" s="243"/>
      <c r="F310" s="355"/>
      <c r="G310" s="355"/>
      <c r="I310" s="355"/>
      <c r="J310" s="355"/>
      <c r="K310" s="355"/>
      <c r="L310" s="355"/>
    </row>
    <row r="311" spans="1:12">
      <c r="A311" s="595"/>
      <c r="B311" s="242"/>
      <c r="C311" s="243"/>
      <c r="F311" s="355"/>
      <c r="G311" s="355"/>
      <c r="I311" s="355"/>
      <c r="J311" s="355"/>
      <c r="K311" s="355"/>
      <c r="L311" s="355"/>
    </row>
    <row r="312" spans="1:12">
      <c r="A312" s="595"/>
      <c r="B312" s="242"/>
      <c r="C312" s="243"/>
      <c r="F312" s="355"/>
      <c r="G312" s="355"/>
      <c r="I312" s="355"/>
      <c r="J312" s="355"/>
      <c r="K312" s="355"/>
      <c r="L312" s="355"/>
    </row>
    <row r="313" spans="1:12">
      <c r="A313" s="595"/>
      <c r="B313" s="242"/>
      <c r="C313" s="243"/>
      <c r="F313" s="355"/>
      <c r="G313" s="355"/>
      <c r="I313" s="355"/>
      <c r="J313" s="355"/>
      <c r="K313" s="355"/>
      <c r="L313" s="355"/>
    </row>
    <row r="314" spans="1:12">
      <c r="A314" s="595"/>
      <c r="B314" s="242"/>
      <c r="C314" s="243"/>
      <c r="F314" s="355"/>
      <c r="G314" s="355"/>
      <c r="I314" s="355"/>
      <c r="J314" s="355"/>
      <c r="K314" s="355"/>
      <c r="L314" s="355"/>
    </row>
    <row r="315" spans="1:12">
      <c r="A315" s="595"/>
      <c r="B315" s="242"/>
      <c r="C315" s="243"/>
      <c r="F315" s="355"/>
      <c r="G315" s="355"/>
      <c r="I315" s="355"/>
      <c r="J315" s="355"/>
      <c r="K315" s="355"/>
      <c r="L315" s="355"/>
    </row>
    <row r="316" spans="1:12">
      <c r="A316" s="595"/>
      <c r="B316" s="242"/>
      <c r="C316" s="243"/>
      <c r="F316" s="355"/>
      <c r="G316" s="355"/>
      <c r="I316" s="355"/>
      <c r="J316" s="355"/>
      <c r="K316" s="355"/>
      <c r="L316" s="355"/>
    </row>
    <row r="317" spans="1:12">
      <c r="A317" s="595"/>
      <c r="B317" s="242"/>
      <c r="C317" s="243"/>
      <c r="F317" s="355"/>
      <c r="G317" s="355"/>
      <c r="I317" s="355"/>
      <c r="J317" s="355"/>
      <c r="K317" s="355"/>
      <c r="L317" s="355"/>
    </row>
    <row r="318" spans="1:12">
      <c r="A318" s="595"/>
      <c r="B318" s="242"/>
      <c r="C318" s="243"/>
      <c r="F318" s="355"/>
      <c r="G318" s="355"/>
      <c r="I318" s="355"/>
      <c r="J318" s="355"/>
      <c r="K318" s="355"/>
      <c r="L318" s="355"/>
    </row>
    <row r="319" spans="1:12">
      <c r="A319" s="595"/>
      <c r="B319" s="242"/>
      <c r="C319" s="243"/>
      <c r="F319" s="355"/>
      <c r="G319" s="355"/>
      <c r="I319" s="355"/>
      <c r="J319" s="355"/>
      <c r="K319" s="355"/>
      <c r="L319" s="355"/>
    </row>
    <row r="320" spans="1:12">
      <c r="A320" s="595"/>
      <c r="B320" s="242"/>
      <c r="C320" s="243"/>
      <c r="F320" s="355"/>
      <c r="G320" s="355"/>
      <c r="I320" s="355"/>
      <c r="J320" s="355"/>
      <c r="K320" s="355"/>
      <c r="L320" s="355"/>
    </row>
    <row r="321" spans="1:12">
      <c r="A321" s="595"/>
      <c r="B321" s="242"/>
      <c r="C321" s="243"/>
      <c r="F321" s="355"/>
      <c r="G321" s="355"/>
      <c r="I321" s="355"/>
      <c r="J321" s="355"/>
      <c r="K321" s="355"/>
      <c r="L321" s="355"/>
    </row>
    <row r="322" spans="1:12">
      <c r="A322" s="595"/>
      <c r="B322" s="242"/>
      <c r="C322" s="243"/>
      <c r="F322" s="355"/>
      <c r="G322" s="355"/>
      <c r="I322" s="355"/>
      <c r="J322" s="355"/>
      <c r="K322" s="355"/>
      <c r="L322" s="355"/>
    </row>
    <row r="323" spans="1:12">
      <c r="A323" s="595"/>
      <c r="B323" s="242"/>
      <c r="C323" s="243"/>
      <c r="F323" s="355"/>
      <c r="G323" s="355"/>
      <c r="I323" s="355"/>
      <c r="J323" s="355"/>
      <c r="K323" s="355"/>
      <c r="L323" s="355"/>
    </row>
    <row r="324" spans="1:12">
      <c r="A324" s="595"/>
      <c r="B324" s="242"/>
      <c r="C324" s="243"/>
      <c r="F324" s="355"/>
      <c r="G324" s="355"/>
      <c r="I324" s="355"/>
      <c r="J324" s="355"/>
      <c r="K324" s="355"/>
      <c r="L324" s="355"/>
    </row>
    <row r="325" spans="1:12">
      <c r="A325" s="595"/>
      <c r="B325" s="242"/>
      <c r="C325" s="243"/>
      <c r="F325" s="355"/>
      <c r="G325" s="355"/>
      <c r="I325" s="355"/>
      <c r="J325" s="355"/>
      <c r="K325" s="355"/>
      <c r="L325" s="355"/>
    </row>
    <row r="326" spans="1:12">
      <c r="A326" s="595"/>
      <c r="B326" s="242"/>
      <c r="C326" s="243"/>
      <c r="F326" s="355"/>
      <c r="G326" s="355"/>
      <c r="I326" s="355"/>
      <c r="J326" s="355"/>
      <c r="K326" s="355"/>
      <c r="L326" s="355"/>
    </row>
    <row r="327" spans="1:12">
      <c r="A327" s="595"/>
      <c r="B327" s="242"/>
      <c r="C327" s="243"/>
      <c r="F327" s="355"/>
      <c r="G327" s="355"/>
      <c r="I327" s="355"/>
      <c r="J327" s="355"/>
      <c r="K327" s="355"/>
      <c r="L327" s="355"/>
    </row>
    <row r="328" spans="1:12">
      <c r="A328" s="595"/>
      <c r="B328" s="242"/>
      <c r="C328" s="243"/>
      <c r="F328" s="355"/>
      <c r="G328" s="355"/>
      <c r="I328" s="355"/>
      <c r="J328" s="355"/>
      <c r="K328" s="355"/>
      <c r="L328" s="355"/>
    </row>
    <row r="329" spans="1:12">
      <c r="A329" s="595"/>
      <c r="B329" s="242"/>
      <c r="C329" s="243"/>
      <c r="F329" s="355"/>
      <c r="G329" s="355"/>
      <c r="I329" s="355"/>
      <c r="J329" s="355"/>
      <c r="K329" s="355"/>
      <c r="L329" s="355"/>
    </row>
    <row r="330" spans="1:12">
      <c r="A330" s="595"/>
      <c r="B330" s="242"/>
      <c r="C330" s="243"/>
      <c r="F330" s="355"/>
      <c r="G330" s="355"/>
      <c r="I330" s="355"/>
      <c r="J330" s="355"/>
      <c r="K330" s="355"/>
      <c r="L330" s="355"/>
    </row>
    <row r="331" spans="1:12">
      <c r="A331" s="595"/>
      <c r="B331" s="242"/>
      <c r="C331" s="243"/>
      <c r="F331" s="355"/>
      <c r="G331" s="355"/>
      <c r="I331" s="355"/>
      <c r="J331" s="355"/>
      <c r="K331" s="355"/>
      <c r="L331" s="355"/>
    </row>
    <row r="332" spans="1:12">
      <c r="A332" s="595"/>
      <c r="B332" s="242"/>
      <c r="C332" s="243"/>
      <c r="F332" s="355"/>
      <c r="G332" s="355"/>
      <c r="I332" s="355"/>
      <c r="J332" s="355"/>
      <c r="K332" s="355"/>
      <c r="L332" s="355"/>
    </row>
    <row r="333" spans="1:12">
      <c r="A333" s="595"/>
      <c r="B333" s="242"/>
      <c r="C333" s="243"/>
      <c r="F333" s="355"/>
      <c r="G333" s="355"/>
      <c r="I333" s="355"/>
      <c r="J333" s="355"/>
      <c r="K333" s="355"/>
      <c r="L333" s="355"/>
    </row>
    <row r="334" spans="1:12">
      <c r="A334" s="595"/>
      <c r="B334" s="242"/>
      <c r="C334" s="243"/>
      <c r="F334" s="355"/>
      <c r="G334" s="355"/>
      <c r="I334" s="355"/>
      <c r="J334" s="355"/>
      <c r="K334" s="355"/>
      <c r="L334" s="355"/>
    </row>
    <row r="335" spans="1:12">
      <c r="A335" s="595"/>
      <c r="B335" s="242"/>
      <c r="C335" s="243"/>
      <c r="F335" s="355"/>
      <c r="G335" s="355"/>
      <c r="I335" s="355"/>
      <c r="J335" s="355"/>
      <c r="K335" s="355"/>
      <c r="L335" s="355"/>
    </row>
    <row r="336" spans="1:12">
      <c r="A336" s="595"/>
      <c r="B336" s="242"/>
      <c r="C336" s="243"/>
      <c r="F336" s="355"/>
      <c r="G336" s="355"/>
      <c r="I336" s="355"/>
      <c r="J336" s="355"/>
      <c r="K336" s="355"/>
      <c r="L336" s="355"/>
    </row>
    <row r="337" spans="1:12">
      <c r="A337" s="595"/>
      <c r="B337" s="242"/>
      <c r="C337" s="243"/>
      <c r="F337" s="355"/>
      <c r="G337" s="355"/>
      <c r="I337" s="355"/>
      <c r="J337" s="355"/>
      <c r="K337" s="355"/>
      <c r="L337" s="355"/>
    </row>
    <row r="338" spans="1:12">
      <c r="A338" s="595"/>
      <c r="B338" s="242"/>
      <c r="C338" s="243"/>
      <c r="F338" s="355"/>
      <c r="G338" s="355"/>
      <c r="I338" s="355"/>
      <c r="J338" s="355"/>
      <c r="K338" s="355"/>
      <c r="L338" s="355"/>
    </row>
    <row r="339" spans="1:12">
      <c r="A339" s="595"/>
      <c r="B339" s="242"/>
      <c r="C339" s="243"/>
      <c r="F339" s="355"/>
      <c r="G339" s="355"/>
      <c r="I339" s="355"/>
      <c r="J339" s="355"/>
      <c r="K339" s="355"/>
      <c r="L339" s="355"/>
    </row>
    <row r="340" spans="1:12">
      <c r="A340" s="595"/>
      <c r="B340" s="242"/>
      <c r="C340" s="243"/>
      <c r="F340" s="355"/>
      <c r="G340" s="355"/>
      <c r="I340" s="355"/>
      <c r="J340" s="355"/>
      <c r="K340" s="355"/>
      <c r="L340" s="355"/>
    </row>
    <row r="341" spans="1:12">
      <c r="A341" s="595"/>
      <c r="B341" s="242"/>
      <c r="C341" s="243"/>
      <c r="F341" s="355"/>
      <c r="G341" s="355"/>
      <c r="I341" s="355"/>
      <c r="J341" s="355"/>
      <c r="K341" s="355"/>
      <c r="L341" s="355"/>
    </row>
    <row r="342" spans="1:12">
      <c r="A342" s="595"/>
      <c r="B342" s="242"/>
      <c r="C342" s="243"/>
      <c r="F342" s="355"/>
      <c r="G342" s="355"/>
      <c r="I342" s="355"/>
      <c r="J342" s="355"/>
      <c r="K342" s="355"/>
      <c r="L342" s="355"/>
    </row>
    <row r="343" spans="1:12">
      <c r="A343" s="595"/>
      <c r="B343" s="242"/>
      <c r="C343" s="243"/>
      <c r="F343" s="355"/>
      <c r="G343" s="355"/>
      <c r="I343" s="355"/>
      <c r="J343" s="355"/>
      <c r="K343" s="355"/>
      <c r="L343" s="355"/>
    </row>
    <row r="344" spans="1:12">
      <c r="A344" s="595"/>
      <c r="B344" s="242"/>
      <c r="C344" s="243"/>
      <c r="F344" s="355"/>
      <c r="G344" s="355"/>
      <c r="I344" s="355"/>
      <c r="J344" s="355"/>
      <c r="K344" s="355"/>
      <c r="L344" s="355"/>
    </row>
    <row r="345" spans="1:12">
      <c r="A345" s="595"/>
      <c r="B345" s="242"/>
      <c r="C345" s="243"/>
      <c r="F345" s="355"/>
      <c r="G345" s="355"/>
      <c r="I345" s="355"/>
      <c r="J345" s="355"/>
      <c r="K345" s="355"/>
      <c r="L345" s="355"/>
    </row>
    <row r="346" spans="1:12">
      <c r="A346" s="595"/>
      <c r="B346" s="242"/>
      <c r="C346" s="243"/>
      <c r="F346" s="355"/>
      <c r="G346" s="355"/>
      <c r="I346" s="355"/>
      <c r="J346" s="355"/>
      <c r="K346" s="355"/>
      <c r="L346" s="355"/>
    </row>
    <row r="347" spans="1:12">
      <c r="A347" s="595"/>
      <c r="B347" s="242"/>
      <c r="C347" s="243"/>
      <c r="F347" s="355"/>
      <c r="G347" s="355"/>
      <c r="I347" s="355"/>
      <c r="J347" s="355"/>
      <c r="K347" s="355"/>
      <c r="L347" s="355"/>
    </row>
    <row r="348" spans="1:12">
      <c r="A348" s="595"/>
      <c r="B348" s="242"/>
      <c r="C348" s="243"/>
      <c r="F348" s="355"/>
      <c r="G348" s="355"/>
      <c r="I348" s="355"/>
      <c r="J348" s="355"/>
      <c r="K348" s="355"/>
      <c r="L348" s="355"/>
    </row>
    <row r="349" spans="1:12">
      <c r="A349" s="595"/>
      <c r="B349" s="242"/>
      <c r="C349" s="243"/>
      <c r="F349" s="355"/>
      <c r="G349" s="355"/>
      <c r="I349" s="355"/>
      <c r="J349" s="355"/>
      <c r="K349" s="355"/>
      <c r="L349" s="355"/>
    </row>
    <row r="350" spans="1:12">
      <c r="A350" s="595"/>
      <c r="B350" s="242"/>
      <c r="C350" s="243"/>
      <c r="F350" s="355"/>
      <c r="G350" s="355"/>
      <c r="I350" s="355"/>
      <c r="J350" s="355"/>
      <c r="K350" s="355"/>
      <c r="L350" s="355"/>
    </row>
    <row r="351" spans="1:12">
      <c r="A351" s="595"/>
      <c r="B351" s="242"/>
      <c r="C351" s="243"/>
      <c r="F351" s="355"/>
      <c r="G351" s="355"/>
      <c r="I351" s="355"/>
      <c r="J351" s="355"/>
      <c r="K351" s="355"/>
      <c r="L351" s="355"/>
    </row>
    <row r="352" spans="1:12">
      <c r="A352" s="595"/>
      <c r="B352" s="242"/>
      <c r="C352" s="243"/>
      <c r="F352" s="355"/>
      <c r="G352" s="355"/>
      <c r="I352" s="355"/>
      <c r="J352" s="355"/>
      <c r="K352" s="355"/>
      <c r="L352" s="355"/>
    </row>
    <row r="353" spans="1:12">
      <c r="A353" s="595"/>
      <c r="B353" s="242"/>
      <c r="C353" s="243"/>
      <c r="F353" s="355"/>
      <c r="G353" s="355"/>
      <c r="I353" s="355"/>
      <c r="J353" s="355"/>
      <c r="K353" s="355"/>
      <c r="L353" s="355"/>
    </row>
    <row r="354" spans="1:12">
      <c r="A354" s="595"/>
      <c r="B354" s="242"/>
      <c r="C354" s="243"/>
      <c r="F354" s="355"/>
      <c r="G354" s="355"/>
      <c r="I354" s="355"/>
      <c r="J354" s="355"/>
      <c r="K354" s="355"/>
      <c r="L354" s="355"/>
    </row>
    <row r="355" spans="1:12">
      <c r="A355" s="595"/>
      <c r="B355" s="242"/>
      <c r="C355" s="243"/>
      <c r="F355" s="355"/>
      <c r="G355" s="355"/>
      <c r="I355" s="355"/>
      <c r="J355" s="355"/>
      <c r="K355" s="355"/>
      <c r="L355" s="355"/>
    </row>
    <row r="356" spans="1:12">
      <c r="A356" s="595"/>
      <c r="B356" s="242"/>
      <c r="C356" s="243"/>
      <c r="F356" s="355"/>
      <c r="G356" s="355"/>
      <c r="I356" s="355"/>
      <c r="J356" s="355"/>
      <c r="K356" s="355"/>
      <c r="L356" s="355"/>
    </row>
    <row r="357" spans="1:12">
      <c r="A357" s="595"/>
      <c r="B357" s="242"/>
      <c r="C357" s="243"/>
      <c r="F357" s="355"/>
      <c r="G357" s="355"/>
      <c r="I357" s="355"/>
      <c r="J357" s="355"/>
      <c r="K357" s="355"/>
      <c r="L357" s="355"/>
    </row>
    <row r="358" spans="1:12">
      <c r="A358" s="595"/>
      <c r="B358" s="242"/>
      <c r="C358" s="243"/>
      <c r="F358" s="355"/>
      <c r="G358" s="355"/>
      <c r="I358" s="355"/>
      <c r="J358" s="355"/>
      <c r="K358" s="355"/>
      <c r="L358" s="355"/>
    </row>
    <row r="359" spans="1:12">
      <c r="A359" s="595"/>
      <c r="B359" s="242"/>
      <c r="C359" s="243"/>
      <c r="F359" s="355"/>
      <c r="G359" s="355"/>
      <c r="I359" s="355"/>
      <c r="J359" s="355"/>
      <c r="K359" s="355"/>
      <c r="L359" s="355"/>
    </row>
    <row r="360" spans="1:12">
      <c r="A360" s="595"/>
      <c r="B360" s="242"/>
      <c r="C360" s="243"/>
      <c r="F360" s="355"/>
      <c r="G360" s="355"/>
      <c r="I360" s="355"/>
      <c r="J360" s="355"/>
      <c r="K360" s="355"/>
      <c r="L360" s="355"/>
    </row>
    <row r="361" spans="1:12">
      <c r="A361" s="595"/>
      <c r="B361" s="242"/>
      <c r="C361" s="243"/>
      <c r="F361" s="355"/>
      <c r="G361" s="355"/>
      <c r="I361" s="355"/>
      <c r="J361" s="355"/>
      <c r="K361" s="355"/>
      <c r="L361" s="355"/>
    </row>
    <row r="362" spans="1:12">
      <c r="A362" s="595"/>
      <c r="B362" s="242"/>
      <c r="C362" s="243"/>
      <c r="F362" s="355"/>
      <c r="G362" s="355"/>
      <c r="I362" s="355"/>
      <c r="J362" s="355"/>
      <c r="K362" s="355"/>
      <c r="L362" s="355"/>
    </row>
  </sheetData>
  <mergeCells count="1">
    <mergeCell ref="E32:F3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Plan27">
    <tabColor theme="7" tint="0.39997558519241921"/>
  </sheetPr>
  <dimension ref="A1:BG252"/>
  <sheetViews>
    <sheetView topLeftCell="A13" workbookViewId="0">
      <selection activeCell="D4" sqref="D4:J36"/>
    </sheetView>
  </sheetViews>
  <sheetFormatPr defaultColWidth="9.140625" defaultRowHeight="12.75"/>
  <cols>
    <col min="1" max="1" width="2.28515625" style="765" customWidth="1"/>
    <col min="2" max="3" width="2.28515625" style="419" customWidth="1"/>
    <col min="4" max="4" width="33.42578125" style="414" customWidth="1"/>
    <col min="5" max="5" width="36" style="415" customWidth="1"/>
    <col min="6" max="7" width="10.28515625" style="416" customWidth="1"/>
    <col min="8" max="9" width="11.140625" style="417" customWidth="1"/>
    <col min="10" max="10" width="16.5703125" style="418" customWidth="1"/>
    <col min="11" max="11" width="1.85546875" style="419" customWidth="1"/>
    <col min="12" max="16" width="11.28515625" style="419" customWidth="1"/>
    <col min="17" max="17" width="11.140625" style="419" customWidth="1"/>
    <col min="18" max="20" width="11.28515625" style="419" customWidth="1"/>
    <col min="21" max="21" width="12.85546875" style="419" customWidth="1"/>
    <col min="22" max="22" width="13.7109375" style="419" customWidth="1"/>
    <col min="23" max="16384" width="9.140625" style="419"/>
  </cols>
  <sheetData>
    <row r="1" spans="1:59" s="765" customFormat="1" ht="10.5" customHeight="1">
      <c r="A1" s="595"/>
      <c r="B1" s="596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  <c r="P1" s="595"/>
      <c r="Q1" s="595"/>
      <c r="R1" s="595"/>
      <c r="S1" s="595"/>
      <c r="T1" s="595"/>
      <c r="U1" s="595"/>
      <c r="V1" s="595"/>
      <c r="W1" s="595"/>
      <c r="X1" s="595"/>
      <c r="Y1" s="595"/>
      <c r="Z1" s="595"/>
      <c r="AA1" s="595"/>
      <c r="AB1" s="595"/>
      <c r="AC1" s="595"/>
      <c r="AD1" s="595"/>
      <c r="AE1" s="595"/>
      <c r="AF1" s="595"/>
      <c r="AG1" s="595"/>
      <c r="AH1" s="595"/>
      <c r="AI1" s="595"/>
      <c r="AJ1" s="595"/>
      <c r="AK1" s="595"/>
      <c r="AL1" s="595"/>
      <c r="AM1" s="595"/>
      <c r="AN1" s="595"/>
      <c r="AO1" s="595"/>
      <c r="AP1" s="595"/>
      <c r="AQ1" s="595"/>
      <c r="AR1" s="595"/>
      <c r="AS1" s="595"/>
      <c r="AT1" s="595"/>
      <c r="AU1" s="595"/>
      <c r="AV1" s="595"/>
      <c r="AW1" s="595"/>
      <c r="AX1" s="595"/>
      <c r="AY1" s="595"/>
      <c r="AZ1" s="595"/>
      <c r="BA1" s="595"/>
      <c r="BB1" s="595"/>
      <c r="BC1" s="595"/>
      <c r="BD1" s="595"/>
      <c r="BE1" s="595"/>
      <c r="BF1" s="595"/>
      <c r="BG1" s="595"/>
    </row>
    <row r="2" spans="1:59" ht="10.5" customHeight="1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598"/>
      <c r="AI2" s="598"/>
      <c r="AJ2" s="598"/>
      <c r="AK2" s="598"/>
      <c r="AL2" s="598"/>
      <c r="AM2" s="598"/>
      <c r="AN2" s="598"/>
      <c r="AO2" s="598"/>
      <c r="AP2" s="598"/>
      <c r="AQ2" s="598"/>
      <c r="AR2" s="598"/>
      <c r="AS2" s="598"/>
      <c r="AT2" s="598"/>
      <c r="AU2" s="598"/>
      <c r="AV2" s="598"/>
      <c r="AW2" s="598"/>
      <c r="AX2" s="242"/>
      <c r="AY2" s="242"/>
      <c r="AZ2" s="242"/>
      <c r="BA2" s="242"/>
      <c r="BB2" s="242"/>
      <c r="BC2" s="242"/>
      <c r="BD2" s="242"/>
      <c r="BE2" s="242"/>
      <c r="BF2" s="242"/>
      <c r="BG2" s="242"/>
    </row>
    <row r="3" spans="1:59" ht="10.5" customHeight="1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599"/>
      <c r="AI3" s="599"/>
      <c r="AJ3" s="599"/>
      <c r="AK3" s="599"/>
      <c r="AL3" s="599"/>
      <c r="AM3" s="599"/>
      <c r="AN3" s="599"/>
      <c r="AO3" s="599"/>
      <c r="AP3" s="599"/>
      <c r="AQ3" s="599"/>
      <c r="AR3" s="599"/>
      <c r="AS3" s="599"/>
      <c r="AT3" s="599"/>
      <c r="AU3" s="599"/>
      <c r="AV3" s="599"/>
      <c r="AW3" s="599"/>
      <c r="AX3" s="243"/>
      <c r="AY3" s="243"/>
      <c r="AZ3" s="243"/>
      <c r="BA3" s="243"/>
      <c r="BB3" s="243"/>
      <c r="BC3" s="243"/>
      <c r="BD3" s="243"/>
      <c r="BE3" s="243"/>
      <c r="BF3" s="243"/>
      <c r="BG3" s="243"/>
    </row>
    <row r="4" spans="1:59" ht="24" customHeight="1">
      <c r="A4" s="595"/>
      <c r="B4" s="598"/>
      <c r="C4" s="599"/>
      <c r="D4" s="1978" t="s">
        <v>1889</v>
      </c>
      <c r="E4" s="1979"/>
      <c r="F4" s="1979"/>
      <c r="G4" s="1979"/>
      <c r="H4" s="1979"/>
      <c r="I4" s="1979"/>
      <c r="J4" s="1980"/>
      <c r="K4" s="356"/>
      <c r="L4" s="1970" t="s">
        <v>1890</v>
      </c>
      <c r="M4" s="1971"/>
      <c r="N4" s="1971"/>
      <c r="O4" s="1971"/>
      <c r="P4" s="1971"/>
      <c r="Q4" s="1971"/>
      <c r="R4" s="1971"/>
      <c r="S4" s="1971"/>
      <c r="T4" s="1971"/>
      <c r="U4" s="1972"/>
    </row>
    <row r="5" spans="1:59" s="420" customFormat="1" ht="26.25" customHeight="1">
      <c r="A5" s="595"/>
      <c r="B5" s="598"/>
      <c r="C5" s="599"/>
      <c r="D5" s="1690" t="s">
        <v>1891</v>
      </c>
      <c r="E5" s="766" t="s">
        <v>1892</v>
      </c>
      <c r="F5" s="1691" t="s">
        <v>1893</v>
      </c>
      <c r="G5" s="1691" t="s">
        <v>1894</v>
      </c>
      <c r="H5" s="1692" t="s">
        <v>1895</v>
      </c>
      <c r="I5" s="1692" t="s">
        <v>1896</v>
      </c>
      <c r="J5" s="1692" t="s">
        <v>718</v>
      </c>
      <c r="K5" s="534"/>
      <c r="L5" s="766" t="s">
        <v>1897</v>
      </c>
      <c r="M5" s="766" t="s">
        <v>1898</v>
      </c>
      <c r="N5" s="766" t="s">
        <v>1899</v>
      </c>
      <c r="O5" s="766" t="s">
        <v>1900</v>
      </c>
      <c r="P5" s="766" t="s">
        <v>1901</v>
      </c>
      <c r="Q5" s="766" t="s">
        <v>1902</v>
      </c>
      <c r="R5" s="766" t="s">
        <v>1903</v>
      </c>
      <c r="S5" s="766" t="s">
        <v>1904</v>
      </c>
      <c r="T5" s="766" t="s">
        <v>1905</v>
      </c>
      <c r="U5" s="766" t="s">
        <v>1762</v>
      </c>
      <c r="V5" s="577" t="s">
        <v>1906</v>
      </c>
    </row>
    <row r="6" spans="1:59" ht="27" customHeight="1">
      <c r="A6" s="595"/>
      <c r="B6" s="598"/>
      <c r="C6" s="599"/>
      <c r="D6" s="1693" t="s">
        <v>1907</v>
      </c>
      <c r="E6" s="1973" t="s">
        <v>1908</v>
      </c>
      <c r="F6" s="1695">
        <v>3452.36</v>
      </c>
      <c r="G6" s="1695">
        <f>F6*96</f>
        <v>331426.56</v>
      </c>
      <c r="H6" s="1974" t="s">
        <v>1909</v>
      </c>
      <c r="I6" s="1974" t="s">
        <v>1910</v>
      </c>
      <c r="J6" s="1975" t="s">
        <v>1911</v>
      </c>
      <c r="K6" s="356"/>
      <c r="L6" s="424"/>
      <c r="M6" s="424"/>
      <c r="N6" s="424"/>
      <c r="O6" s="424"/>
      <c r="P6" s="424"/>
      <c r="Q6" s="424"/>
      <c r="R6" s="424"/>
      <c r="S6" s="424"/>
      <c r="T6" s="424"/>
      <c r="U6" s="768"/>
      <c r="V6" s="429"/>
    </row>
    <row r="7" spans="1:59" ht="27" customHeight="1">
      <c r="A7" s="595"/>
      <c r="B7" s="598"/>
      <c r="C7" s="599"/>
      <c r="D7" s="1693" t="s">
        <v>1912</v>
      </c>
      <c r="E7" s="1973"/>
      <c r="F7" s="1695">
        <v>2568.5700000000002</v>
      </c>
      <c r="G7" s="1695">
        <f>F7*96</f>
        <v>246582.72000000003</v>
      </c>
      <c r="H7" s="1974"/>
      <c r="I7" s="1974"/>
      <c r="J7" s="1976"/>
      <c r="K7" s="356"/>
      <c r="L7" s="425"/>
      <c r="M7" s="425"/>
      <c r="N7" s="425"/>
      <c r="O7" s="425"/>
      <c r="P7" s="425"/>
      <c r="Q7" s="425"/>
      <c r="R7" s="425"/>
      <c r="S7" s="425"/>
      <c r="T7" s="425"/>
      <c r="U7" s="768"/>
      <c r="V7" s="429"/>
    </row>
    <row r="8" spans="1:59" ht="27" customHeight="1">
      <c r="A8" s="595"/>
      <c r="B8" s="598"/>
      <c r="C8" s="599"/>
      <c r="D8" s="1693" t="s">
        <v>1913</v>
      </c>
      <c r="E8" s="1973"/>
      <c r="F8" s="1695">
        <v>0</v>
      </c>
      <c r="G8" s="1695">
        <f>F8*96</f>
        <v>0</v>
      </c>
      <c r="H8" s="1974"/>
      <c r="I8" s="1974"/>
      <c r="J8" s="1976"/>
      <c r="K8" s="356"/>
      <c r="L8" s="425"/>
      <c r="M8" s="425"/>
      <c r="N8" s="425"/>
      <c r="O8" s="425"/>
      <c r="P8" s="425"/>
      <c r="Q8" s="425"/>
      <c r="R8" s="425"/>
      <c r="S8" s="425"/>
      <c r="T8" s="425"/>
      <c r="U8" s="768"/>
      <c r="V8" s="429"/>
    </row>
    <row r="9" spans="1:59" ht="27" customHeight="1">
      <c r="A9" s="595"/>
      <c r="B9" s="598"/>
      <c r="C9" s="599"/>
      <c r="D9" s="1693" t="s">
        <v>1914</v>
      </c>
      <c r="E9" s="1973"/>
      <c r="F9" s="1695">
        <v>0</v>
      </c>
      <c r="G9" s="1695">
        <f>F9*96</f>
        <v>0</v>
      </c>
      <c r="H9" s="1974"/>
      <c r="I9" s="1974"/>
      <c r="J9" s="1976"/>
      <c r="K9" s="356"/>
      <c r="L9" s="425"/>
      <c r="M9" s="425"/>
      <c r="N9" s="425"/>
      <c r="O9" s="425"/>
      <c r="P9" s="425"/>
      <c r="Q9" s="425"/>
      <c r="R9" s="425"/>
      <c r="S9" s="425"/>
      <c r="T9" s="425"/>
      <c r="U9" s="768"/>
      <c r="V9" s="429"/>
    </row>
    <row r="10" spans="1:59" ht="27" customHeight="1">
      <c r="A10" s="595"/>
      <c r="B10" s="598"/>
      <c r="C10" s="599"/>
      <c r="D10" s="1693" t="s">
        <v>1915</v>
      </c>
      <c r="E10" s="1973"/>
      <c r="F10" s="1695">
        <v>1500</v>
      </c>
      <c r="G10" s="1695">
        <f>F10*96</f>
        <v>144000</v>
      </c>
      <c r="H10" s="1974"/>
      <c r="I10" s="1974"/>
      <c r="J10" s="1976"/>
      <c r="K10" s="356"/>
      <c r="L10" s="425"/>
      <c r="M10" s="425"/>
      <c r="N10" s="425"/>
      <c r="O10" s="425"/>
      <c r="P10" s="425"/>
      <c r="Q10" s="425"/>
      <c r="R10" s="425"/>
      <c r="S10" s="425"/>
      <c r="T10" s="425"/>
      <c r="U10" s="768"/>
      <c r="V10" s="429"/>
    </row>
    <row r="11" spans="1:59" ht="27" customHeight="1">
      <c r="A11" s="595"/>
      <c r="B11" s="598"/>
      <c r="C11" s="599"/>
      <c r="D11" s="1697" t="s">
        <v>1916</v>
      </c>
      <c r="E11" s="1973"/>
      <c r="F11" s="1698">
        <f>SUM(F6:F10)</f>
        <v>7520.93</v>
      </c>
      <c r="G11" s="1698">
        <f>SUM(G6:G10)</f>
        <v>722009.28</v>
      </c>
      <c r="H11" s="1974"/>
      <c r="I11" s="1974"/>
      <c r="J11" s="1977"/>
      <c r="K11" s="356"/>
      <c r="L11" s="426">
        <f>$F$11*12</f>
        <v>90251.16</v>
      </c>
      <c r="M11" s="426">
        <f t="shared" ref="M11:P11" si="0">$F$11*12</f>
        <v>90251.16</v>
      </c>
      <c r="N11" s="426">
        <f t="shared" si="0"/>
        <v>90251.16</v>
      </c>
      <c r="O11" s="426">
        <f t="shared" si="0"/>
        <v>90251.16</v>
      </c>
      <c r="P11" s="426">
        <f t="shared" si="0"/>
        <v>90251.16</v>
      </c>
      <c r="Q11" s="426">
        <f>P11</f>
        <v>90251.16</v>
      </c>
      <c r="R11" s="426"/>
      <c r="S11" s="426"/>
      <c r="T11" s="426"/>
      <c r="U11" s="769">
        <f>SUM(L11:T11)</f>
        <v>541506.96000000008</v>
      </c>
      <c r="V11" s="578">
        <f>T11/3</f>
        <v>0</v>
      </c>
    </row>
    <row r="12" spans="1:59" s="421" customFormat="1" ht="24" customHeight="1">
      <c r="A12" s="595"/>
      <c r="B12" s="598"/>
      <c r="C12" s="599"/>
      <c r="D12" s="1690" t="s">
        <v>1917</v>
      </c>
      <c r="E12" s="1690" t="s">
        <v>1892</v>
      </c>
      <c r="F12" s="1691" t="s">
        <v>1893</v>
      </c>
      <c r="G12" s="1691" t="s">
        <v>1894</v>
      </c>
      <c r="H12" s="1691" t="s">
        <v>1895</v>
      </c>
      <c r="I12" s="1691" t="s">
        <v>1896</v>
      </c>
      <c r="J12" s="1691" t="s">
        <v>718</v>
      </c>
      <c r="K12" s="535"/>
      <c r="L12" s="1699"/>
      <c r="M12" s="1699"/>
      <c r="N12" s="1699"/>
      <c r="O12" s="1699"/>
      <c r="P12" s="1699"/>
      <c r="Q12" s="1699"/>
      <c r="R12" s="1699"/>
      <c r="S12" s="1699"/>
      <c r="T12" s="1699"/>
      <c r="U12" s="769"/>
      <c r="V12" s="579"/>
    </row>
    <row r="13" spans="1:59" ht="27.75" customHeight="1">
      <c r="A13" s="595"/>
      <c r="B13" s="598"/>
      <c r="C13" s="599"/>
      <c r="D13" s="1693" t="s">
        <v>1918</v>
      </c>
      <c r="E13" s="1700" t="s">
        <v>1919</v>
      </c>
      <c r="F13" s="1701" t="s">
        <v>1920</v>
      </c>
      <c r="G13" s="1701" t="s">
        <v>1920</v>
      </c>
      <c r="H13" s="1696" t="s">
        <v>1909</v>
      </c>
      <c r="I13" s="1696" t="s">
        <v>1910</v>
      </c>
      <c r="J13" s="1702" t="s">
        <v>1921</v>
      </c>
      <c r="K13" s="356"/>
      <c r="L13" s="425"/>
      <c r="M13" s="425"/>
      <c r="N13" s="425"/>
      <c r="O13" s="425"/>
      <c r="P13" s="425"/>
      <c r="Q13" s="425"/>
      <c r="R13" s="425"/>
      <c r="S13" s="425"/>
      <c r="T13" s="425"/>
      <c r="U13" s="770"/>
      <c r="V13" s="429"/>
    </row>
    <row r="14" spans="1:59" ht="28.5" customHeight="1">
      <c r="A14" s="595"/>
      <c r="B14" s="598"/>
      <c r="C14" s="599"/>
      <c r="D14" s="1693" t="s">
        <v>1922</v>
      </c>
      <c r="E14" s="1700" t="s">
        <v>1923</v>
      </c>
      <c r="F14" s="1701">
        <v>2000</v>
      </c>
      <c r="G14" s="1701">
        <f>F14*96/3</f>
        <v>64000</v>
      </c>
      <c r="H14" s="1696" t="s">
        <v>1924</v>
      </c>
      <c r="I14" s="1696" t="s">
        <v>1910</v>
      </c>
      <c r="J14" s="1702" t="s">
        <v>1925</v>
      </c>
      <c r="K14" s="356"/>
      <c r="L14" s="426">
        <f>F14*4</f>
        <v>8000</v>
      </c>
      <c r="M14" s="427">
        <f>L14</f>
        <v>8000</v>
      </c>
      <c r="N14" s="427">
        <f t="shared" ref="N14:S14" si="1">M14</f>
        <v>8000</v>
      </c>
      <c r="O14" s="427">
        <f t="shared" si="1"/>
        <v>8000</v>
      </c>
      <c r="P14" s="427">
        <f t="shared" si="1"/>
        <v>8000</v>
      </c>
      <c r="Q14" s="427">
        <f>P14</f>
        <v>8000</v>
      </c>
      <c r="R14" s="427">
        <f>P14</f>
        <v>8000</v>
      </c>
      <c r="S14" s="427">
        <f t="shared" si="1"/>
        <v>8000</v>
      </c>
      <c r="T14" s="427"/>
      <c r="U14" s="769">
        <f t="shared" ref="U14:U18" si="2">SUM(L14:T14)</f>
        <v>64000</v>
      </c>
      <c r="V14" s="429"/>
    </row>
    <row r="15" spans="1:59" ht="27" customHeight="1">
      <c r="A15" s="595"/>
      <c r="B15" s="598"/>
      <c r="C15" s="599"/>
      <c r="D15" s="1693" t="s">
        <v>1926</v>
      </c>
      <c r="E15" s="1700" t="s">
        <v>1927</v>
      </c>
      <c r="F15" s="1701">
        <v>5500</v>
      </c>
      <c r="G15" s="1701">
        <f>F15*96/12</f>
        <v>44000</v>
      </c>
      <c r="H15" s="1696" t="s">
        <v>1928</v>
      </c>
      <c r="I15" s="1696" t="s">
        <v>1910</v>
      </c>
      <c r="J15" s="1702" t="s">
        <v>1925</v>
      </c>
      <c r="K15" s="356"/>
      <c r="L15" s="428">
        <f>F15</f>
        <v>5500</v>
      </c>
      <c r="M15" s="428">
        <f>L15</f>
        <v>5500</v>
      </c>
      <c r="N15" s="428">
        <f t="shared" ref="N15:Q17" si="3">M15</f>
        <v>5500</v>
      </c>
      <c r="O15" s="428">
        <f t="shared" si="3"/>
        <v>5500</v>
      </c>
      <c r="P15" s="428">
        <f t="shared" si="3"/>
        <v>5500</v>
      </c>
      <c r="Q15" s="427">
        <f t="shared" si="3"/>
        <v>5500</v>
      </c>
      <c r="R15" s="428">
        <f>P15</f>
        <v>5500</v>
      </c>
      <c r="S15" s="428">
        <f>R15</f>
        <v>5500</v>
      </c>
      <c r="T15" s="428"/>
      <c r="U15" s="769">
        <f t="shared" si="2"/>
        <v>44000</v>
      </c>
      <c r="V15" s="429"/>
    </row>
    <row r="16" spans="1:59" ht="60.75" customHeight="1">
      <c r="A16" s="595"/>
      <c r="B16" s="598"/>
      <c r="C16" s="599"/>
      <c r="D16" s="1693" t="s">
        <v>1929</v>
      </c>
      <c r="E16" s="1694" t="s">
        <v>1930</v>
      </c>
      <c r="F16" s="1701">
        <v>3500</v>
      </c>
      <c r="G16" s="1701">
        <f>F16*48</f>
        <v>168000</v>
      </c>
      <c r="H16" s="1696" t="s">
        <v>1931</v>
      </c>
      <c r="I16" s="1696" t="s">
        <v>1932</v>
      </c>
      <c r="J16" s="1702" t="s">
        <v>1933</v>
      </c>
      <c r="K16" s="356"/>
      <c r="L16" s="429"/>
      <c r="M16" s="426">
        <f>F16*12</f>
        <v>42000</v>
      </c>
      <c r="N16" s="429"/>
      <c r="O16" s="427">
        <f>M16</f>
        <v>42000</v>
      </c>
      <c r="P16" s="429"/>
      <c r="Q16" s="427">
        <f>O16</f>
        <v>42000</v>
      </c>
      <c r="R16" s="427"/>
      <c r="S16" s="429"/>
      <c r="T16" s="427"/>
      <c r="U16" s="769">
        <f t="shared" si="2"/>
        <v>126000</v>
      </c>
      <c r="V16" s="429"/>
    </row>
    <row r="17" spans="1:22" ht="33.75">
      <c r="A17" s="595"/>
      <c r="B17" s="598"/>
      <c r="C17" s="599"/>
      <c r="D17" s="1693" t="s">
        <v>1934</v>
      </c>
      <c r="E17" s="1694" t="s">
        <v>1935</v>
      </c>
      <c r="F17" s="1701">
        <v>2600</v>
      </c>
      <c r="G17" s="1701">
        <f>F17*96/12</f>
        <v>20800</v>
      </c>
      <c r="H17" s="1696" t="s">
        <v>1928</v>
      </c>
      <c r="I17" s="1696" t="s">
        <v>1910</v>
      </c>
      <c r="J17" s="1702" t="s">
        <v>1921</v>
      </c>
      <c r="K17" s="356"/>
      <c r="L17" s="581">
        <f>F17</f>
        <v>2600</v>
      </c>
      <c r="M17" s="581">
        <f>L17</f>
        <v>2600</v>
      </c>
      <c r="N17" s="581">
        <f t="shared" ref="N17:P17" si="4">M17</f>
        <v>2600</v>
      </c>
      <c r="O17" s="581">
        <f t="shared" si="4"/>
        <v>2600</v>
      </c>
      <c r="P17" s="581">
        <f t="shared" si="4"/>
        <v>2600</v>
      </c>
      <c r="Q17" s="427">
        <f t="shared" si="3"/>
        <v>2600</v>
      </c>
      <c r="R17" s="581">
        <f>P17</f>
        <v>2600</v>
      </c>
      <c r="S17" s="581">
        <f>R17</f>
        <v>2600</v>
      </c>
      <c r="T17" s="581"/>
      <c r="U17" s="769">
        <f t="shared" si="2"/>
        <v>20800</v>
      </c>
      <c r="V17" s="429"/>
    </row>
    <row r="18" spans="1:22" ht="45" customHeight="1">
      <c r="A18" s="595"/>
      <c r="B18" s="598"/>
      <c r="C18" s="599"/>
      <c r="D18" s="1693" t="s">
        <v>1936</v>
      </c>
      <c r="E18" s="1694" t="s">
        <v>1937</v>
      </c>
      <c r="F18" s="1701">
        <v>8000</v>
      </c>
      <c r="G18" s="1701">
        <f>F18*48</f>
        <v>384000</v>
      </c>
      <c r="H18" s="1696" t="s">
        <v>1931</v>
      </c>
      <c r="I18" s="1696" t="s">
        <v>1932</v>
      </c>
      <c r="J18" s="1702" t="s">
        <v>1933</v>
      </c>
      <c r="K18" s="356"/>
      <c r="L18" s="429"/>
      <c r="M18" s="426">
        <f>F18*12</f>
        <v>96000</v>
      </c>
      <c r="N18" s="429"/>
      <c r="O18" s="427">
        <f>M18</f>
        <v>96000</v>
      </c>
      <c r="P18" s="429"/>
      <c r="Q18" s="427">
        <f>O18</f>
        <v>96000</v>
      </c>
      <c r="R18" s="427"/>
      <c r="S18" s="429"/>
      <c r="T18" s="427"/>
      <c r="U18" s="769">
        <f t="shared" si="2"/>
        <v>288000</v>
      </c>
      <c r="V18" s="429"/>
    </row>
    <row r="19" spans="1:22" s="421" customFormat="1" ht="26.25" customHeight="1">
      <c r="A19" s="595"/>
      <c r="B19" s="598"/>
      <c r="C19" s="599"/>
      <c r="D19" s="1690" t="s">
        <v>1938</v>
      </c>
      <c r="E19" s="1690" t="s">
        <v>1892</v>
      </c>
      <c r="F19" s="1691" t="s">
        <v>1893</v>
      </c>
      <c r="G19" s="1691" t="s">
        <v>1894</v>
      </c>
      <c r="H19" s="1691" t="s">
        <v>1895</v>
      </c>
      <c r="I19" s="1691" t="s">
        <v>1896</v>
      </c>
      <c r="J19" s="1691" t="s">
        <v>718</v>
      </c>
      <c r="K19" s="535"/>
      <c r="L19" s="1699"/>
      <c r="M19" s="1699"/>
      <c r="N19" s="1699"/>
      <c r="O19" s="1699"/>
      <c r="P19" s="1699"/>
      <c r="Q19" s="1699"/>
      <c r="R19" s="1699"/>
      <c r="S19" s="1699"/>
      <c r="T19" s="1699"/>
      <c r="U19" s="1703"/>
      <c r="V19" s="579"/>
    </row>
    <row r="20" spans="1:22" ht="37.5" customHeight="1">
      <c r="A20" s="595"/>
      <c r="B20" s="598"/>
      <c r="C20" s="599"/>
      <c r="D20" s="1693" t="s">
        <v>1939</v>
      </c>
      <c r="E20" s="1694" t="s">
        <v>1940</v>
      </c>
      <c r="F20" s="1701" t="s">
        <v>1920</v>
      </c>
      <c r="G20" s="1701" t="s">
        <v>1920</v>
      </c>
      <c r="H20" s="1696" t="s">
        <v>1941</v>
      </c>
      <c r="I20" s="1696" t="s">
        <v>1910</v>
      </c>
      <c r="J20" s="1702" t="s">
        <v>1921</v>
      </c>
      <c r="K20" s="356"/>
      <c r="L20" s="425"/>
      <c r="M20" s="425"/>
      <c r="N20" s="425"/>
      <c r="O20" s="425"/>
      <c r="P20" s="425"/>
      <c r="Q20" s="425"/>
      <c r="R20" s="425"/>
      <c r="S20" s="425"/>
      <c r="T20" s="425"/>
      <c r="U20" s="768"/>
      <c r="V20" s="580"/>
    </row>
    <row r="21" spans="1:22" ht="52.5" customHeight="1">
      <c r="A21" s="595"/>
      <c r="B21" s="598"/>
      <c r="C21" s="599"/>
      <c r="D21" s="1693" t="s">
        <v>1942</v>
      </c>
      <c r="E21" s="1694" t="s">
        <v>1943</v>
      </c>
      <c r="F21" s="1701" t="s">
        <v>1920</v>
      </c>
      <c r="G21" s="1701" t="s">
        <v>1920</v>
      </c>
      <c r="H21" s="1696" t="s">
        <v>1941</v>
      </c>
      <c r="I21" s="1696" t="s">
        <v>1910</v>
      </c>
      <c r="J21" s="1702" t="s">
        <v>1921</v>
      </c>
      <c r="K21" s="356"/>
      <c r="L21" s="425"/>
      <c r="M21" s="425"/>
      <c r="N21" s="425"/>
      <c r="O21" s="425"/>
      <c r="P21" s="425"/>
      <c r="Q21" s="425"/>
      <c r="R21" s="425"/>
      <c r="S21" s="425"/>
      <c r="T21" s="425"/>
      <c r="U21" s="768"/>
      <c r="V21" s="1704"/>
    </row>
    <row r="22" spans="1:22" ht="44.25" customHeight="1">
      <c r="A22" s="595"/>
      <c r="B22" s="598"/>
      <c r="C22" s="599"/>
      <c r="D22" s="1693" t="s">
        <v>1944</v>
      </c>
      <c r="E22" s="1694" t="s">
        <v>1945</v>
      </c>
      <c r="F22" s="1701">
        <v>35000</v>
      </c>
      <c r="G22" s="1701">
        <f>F22*2</f>
        <v>70000</v>
      </c>
      <c r="H22" s="1696" t="s">
        <v>1920</v>
      </c>
      <c r="I22" s="1696" t="s">
        <v>1946</v>
      </c>
      <c r="J22" s="1702" t="s">
        <v>1947</v>
      </c>
      <c r="K22" s="356"/>
      <c r="L22" s="428">
        <f>F22</f>
        <v>35000</v>
      </c>
      <c r="M22" s="429"/>
      <c r="N22" s="429"/>
      <c r="O22" s="429"/>
      <c r="P22" s="429"/>
      <c r="Q22" s="429"/>
      <c r="R22" s="428"/>
      <c r="S22" s="429"/>
      <c r="T22" s="429"/>
      <c r="U22" s="771">
        <f t="shared" ref="U22:U23" si="5">SUM(L22:T22)</f>
        <v>35000</v>
      </c>
      <c r="V22" s="429"/>
    </row>
    <row r="23" spans="1:22">
      <c r="A23" s="595"/>
      <c r="B23" s="598"/>
      <c r="C23" s="599"/>
      <c r="D23" s="1693" t="s">
        <v>1948</v>
      </c>
      <c r="E23" s="1700" t="s">
        <v>1949</v>
      </c>
      <c r="F23" s="1701">
        <v>8000</v>
      </c>
      <c r="G23" s="1701">
        <f>F23*96</f>
        <v>768000</v>
      </c>
      <c r="H23" s="1696" t="s">
        <v>1909</v>
      </c>
      <c r="I23" s="1696" t="s">
        <v>1950</v>
      </c>
      <c r="J23" s="1702"/>
      <c r="K23" s="356"/>
      <c r="L23" s="428">
        <f>F23</f>
        <v>8000</v>
      </c>
      <c r="M23" s="428"/>
      <c r="N23" s="428"/>
      <c r="O23" s="428"/>
      <c r="P23" s="428"/>
      <c r="Q23" s="428"/>
      <c r="R23" s="428"/>
      <c r="S23" s="428"/>
      <c r="T23" s="428"/>
      <c r="U23" s="771">
        <f t="shared" si="5"/>
        <v>8000</v>
      </c>
      <c r="V23" s="429"/>
    </row>
    <row r="24" spans="1:22" ht="54" customHeight="1">
      <c r="A24" s="595"/>
      <c r="B24" s="598"/>
      <c r="C24" s="599"/>
      <c r="D24" s="1693" t="s">
        <v>1951</v>
      </c>
      <c r="E24" s="1700" t="s">
        <v>1952</v>
      </c>
      <c r="F24" s="1701" t="s">
        <v>1920</v>
      </c>
      <c r="G24" s="1701" t="s">
        <v>1920</v>
      </c>
      <c r="H24" s="1696" t="s">
        <v>1920</v>
      </c>
      <c r="I24" s="1696"/>
      <c r="J24" s="1705" t="s">
        <v>1921</v>
      </c>
      <c r="K24" s="356"/>
      <c r="L24" s="425"/>
      <c r="M24" s="425"/>
      <c r="N24" s="425"/>
      <c r="O24" s="425"/>
      <c r="P24" s="425"/>
      <c r="Q24" s="425"/>
      <c r="R24" s="425"/>
      <c r="S24" s="425"/>
      <c r="T24" s="425"/>
      <c r="U24" s="768"/>
      <c r="V24" s="429"/>
    </row>
    <row r="25" spans="1:22" ht="20.25" customHeight="1">
      <c r="A25" s="595"/>
      <c r="B25" s="598"/>
      <c r="C25" s="599"/>
      <c r="D25" s="422"/>
      <c r="E25" s="423"/>
      <c r="K25" s="356"/>
      <c r="L25" s="767">
        <f t="shared" ref="L25:T25" si="6">SUM(L11:L24)</f>
        <v>149351.16</v>
      </c>
      <c r="M25" s="767">
        <f t="shared" si="6"/>
        <v>244351.16</v>
      </c>
      <c r="N25" s="767">
        <f t="shared" si="6"/>
        <v>106351.16</v>
      </c>
      <c r="O25" s="767">
        <f t="shared" si="6"/>
        <v>244351.16</v>
      </c>
      <c r="P25" s="767">
        <f t="shared" si="6"/>
        <v>106351.16</v>
      </c>
      <c r="Q25" s="767">
        <f t="shared" si="6"/>
        <v>244351.16</v>
      </c>
      <c r="R25" s="767">
        <f t="shared" si="6"/>
        <v>16100</v>
      </c>
      <c r="S25" s="767">
        <f t="shared" si="6"/>
        <v>16100</v>
      </c>
      <c r="T25" s="767">
        <f t="shared" si="6"/>
        <v>0</v>
      </c>
      <c r="U25" s="769">
        <f>SUM(U11:U24)</f>
        <v>1127306.96</v>
      </c>
      <c r="V25" s="578">
        <f>V11*20</f>
        <v>0</v>
      </c>
    </row>
    <row r="26" spans="1:22">
      <c r="A26" s="595"/>
      <c r="B26" s="598"/>
      <c r="C26" s="599"/>
    </row>
    <row r="27" spans="1:22">
      <c r="A27" s="595"/>
      <c r="B27" s="598"/>
      <c r="C27" s="599"/>
      <c r="L27" s="571"/>
      <c r="U27" s="571"/>
    </row>
    <row r="28" spans="1:22">
      <c r="A28" s="595"/>
      <c r="B28" s="598"/>
      <c r="C28" s="599"/>
    </row>
    <row r="29" spans="1:22">
      <c r="A29" s="595"/>
      <c r="B29" s="598"/>
      <c r="C29" s="599"/>
    </row>
    <row r="30" spans="1:22">
      <c r="A30" s="595"/>
      <c r="B30" s="598"/>
      <c r="C30" s="599"/>
    </row>
    <row r="31" spans="1:22">
      <c r="A31" s="595"/>
      <c r="B31" s="598"/>
      <c r="C31" s="599"/>
    </row>
    <row r="32" spans="1:22">
      <c r="A32" s="595"/>
      <c r="B32" s="598"/>
      <c r="C32" s="599"/>
    </row>
    <row r="33" spans="1:3">
      <c r="A33" s="595"/>
      <c r="B33" s="598"/>
      <c r="C33" s="599"/>
    </row>
    <row r="34" spans="1:3">
      <c r="A34" s="595"/>
      <c r="B34" s="598"/>
      <c r="C34" s="599"/>
    </row>
    <row r="35" spans="1:3">
      <c r="A35" s="595"/>
      <c r="B35" s="598"/>
      <c r="C35" s="599"/>
    </row>
    <row r="36" spans="1:3">
      <c r="A36" s="595"/>
      <c r="B36" s="598"/>
      <c r="C36" s="599"/>
    </row>
    <row r="37" spans="1:3">
      <c r="A37" s="595"/>
      <c r="B37" s="598"/>
      <c r="C37" s="599"/>
    </row>
    <row r="38" spans="1:3">
      <c r="A38" s="595"/>
      <c r="B38" s="598"/>
      <c r="C38" s="599"/>
    </row>
    <row r="39" spans="1:3">
      <c r="A39" s="595"/>
      <c r="B39" s="598"/>
      <c r="C39" s="599"/>
    </row>
    <row r="40" spans="1:3">
      <c r="A40" s="595"/>
      <c r="B40" s="598"/>
      <c r="C40" s="599"/>
    </row>
    <row r="41" spans="1:3">
      <c r="A41" s="595"/>
      <c r="B41" s="598"/>
      <c r="C41" s="599"/>
    </row>
    <row r="42" spans="1:3">
      <c r="A42" s="595"/>
      <c r="B42" s="598"/>
      <c r="C42" s="599"/>
    </row>
    <row r="43" spans="1:3">
      <c r="A43" s="595"/>
      <c r="B43" s="598"/>
      <c r="C43" s="599"/>
    </row>
    <row r="44" spans="1:3">
      <c r="A44" s="595"/>
      <c r="B44" s="598"/>
      <c r="C44" s="599"/>
    </row>
    <row r="45" spans="1:3">
      <c r="A45" s="595"/>
      <c r="B45" s="598"/>
      <c r="C45" s="599"/>
    </row>
    <row r="46" spans="1:3">
      <c r="A46" s="595"/>
      <c r="B46" s="598"/>
      <c r="C46" s="599"/>
    </row>
    <row r="47" spans="1:3">
      <c r="A47" s="595"/>
      <c r="B47" s="598"/>
      <c r="C47" s="599"/>
    </row>
    <row r="48" spans="1:3">
      <c r="A48" s="595"/>
      <c r="B48" s="598"/>
      <c r="C48" s="599"/>
    </row>
    <row r="49" spans="1:3">
      <c r="A49" s="595"/>
      <c r="B49" s="598"/>
      <c r="C49" s="599"/>
    </row>
    <row r="50" spans="1:3">
      <c r="A50" s="595"/>
      <c r="B50" s="598"/>
      <c r="C50" s="599"/>
    </row>
    <row r="51" spans="1:3">
      <c r="A51" s="595"/>
      <c r="B51" s="598"/>
      <c r="C51" s="599"/>
    </row>
    <row r="52" spans="1:3">
      <c r="A52" s="595"/>
      <c r="B52" s="598"/>
      <c r="C52" s="599"/>
    </row>
    <row r="53" spans="1:3">
      <c r="A53" s="595"/>
      <c r="B53" s="598"/>
      <c r="C53" s="599"/>
    </row>
    <row r="54" spans="1:3">
      <c r="A54" s="595"/>
      <c r="B54" s="598"/>
      <c r="C54" s="599"/>
    </row>
    <row r="55" spans="1:3">
      <c r="A55" s="595"/>
      <c r="B55" s="242"/>
      <c r="C55" s="599"/>
    </row>
    <row r="56" spans="1:3">
      <c r="A56" s="595"/>
      <c r="B56" s="242"/>
      <c r="C56" s="599"/>
    </row>
    <row r="57" spans="1:3">
      <c r="A57" s="595"/>
      <c r="B57" s="242"/>
      <c r="C57" s="599"/>
    </row>
    <row r="58" spans="1:3">
      <c r="A58" s="595"/>
      <c r="B58" s="242"/>
      <c r="C58" s="599"/>
    </row>
    <row r="59" spans="1:3">
      <c r="A59" s="595"/>
      <c r="B59" s="242"/>
      <c r="C59" s="599"/>
    </row>
    <row r="60" spans="1:3">
      <c r="A60" s="595"/>
      <c r="B60" s="242"/>
      <c r="C60" s="599"/>
    </row>
    <row r="61" spans="1:3">
      <c r="A61" s="595"/>
      <c r="B61" s="242"/>
      <c r="C61" s="599"/>
    </row>
    <row r="62" spans="1:3">
      <c r="A62" s="595"/>
      <c r="B62" s="242"/>
      <c r="C62" s="599"/>
    </row>
    <row r="63" spans="1:3">
      <c r="A63" s="595"/>
      <c r="B63" s="242"/>
      <c r="C63" s="599"/>
    </row>
    <row r="64" spans="1:3">
      <c r="A64" s="595"/>
      <c r="B64" s="242"/>
      <c r="C64" s="599"/>
    </row>
    <row r="65" spans="1:3">
      <c r="A65" s="595"/>
      <c r="B65" s="242"/>
      <c r="C65" s="599"/>
    </row>
    <row r="66" spans="1:3">
      <c r="A66" s="595"/>
      <c r="B66" s="242"/>
      <c r="C66" s="599"/>
    </row>
    <row r="67" spans="1:3">
      <c r="A67" s="595"/>
      <c r="B67" s="242"/>
      <c r="C67" s="599"/>
    </row>
    <row r="68" spans="1:3">
      <c r="A68" s="595"/>
      <c r="B68" s="242"/>
      <c r="C68" s="599"/>
    </row>
    <row r="69" spans="1:3">
      <c r="A69" s="595"/>
      <c r="B69" s="242"/>
      <c r="C69" s="599"/>
    </row>
    <row r="70" spans="1:3">
      <c r="A70" s="595"/>
      <c r="B70" s="242"/>
      <c r="C70" s="599"/>
    </row>
    <row r="71" spans="1:3">
      <c r="A71" s="595"/>
      <c r="B71" s="242"/>
      <c r="C71" s="599"/>
    </row>
    <row r="72" spans="1:3">
      <c r="A72" s="595"/>
      <c r="B72" s="242"/>
      <c r="C72" s="599"/>
    </row>
    <row r="73" spans="1:3">
      <c r="A73" s="595"/>
      <c r="B73" s="242"/>
      <c r="C73" s="599"/>
    </row>
    <row r="74" spans="1:3">
      <c r="A74" s="595"/>
      <c r="B74" s="242"/>
      <c r="C74" s="599"/>
    </row>
    <row r="75" spans="1:3">
      <c r="A75" s="595"/>
      <c r="B75" s="242"/>
      <c r="C75" s="599"/>
    </row>
    <row r="76" spans="1:3">
      <c r="A76" s="595"/>
      <c r="B76" s="242"/>
      <c r="C76" s="599"/>
    </row>
    <row r="77" spans="1:3">
      <c r="A77" s="595"/>
      <c r="B77" s="242"/>
      <c r="C77" s="599"/>
    </row>
    <row r="78" spans="1:3">
      <c r="A78" s="595"/>
      <c r="B78" s="242"/>
      <c r="C78" s="599"/>
    </row>
    <row r="79" spans="1:3">
      <c r="A79" s="595"/>
      <c r="B79" s="242"/>
      <c r="C79" s="599"/>
    </row>
    <row r="80" spans="1:3">
      <c r="A80" s="595"/>
      <c r="B80" s="242"/>
      <c r="C80" s="599"/>
    </row>
    <row r="81" spans="1:3">
      <c r="A81" s="595"/>
      <c r="B81" s="242"/>
      <c r="C81" s="599"/>
    </row>
    <row r="82" spans="1:3">
      <c r="A82" s="595"/>
      <c r="B82" s="242"/>
      <c r="C82" s="599"/>
    </row>
    <row r="83" spans="1:3">
      <c r="A83" s="595"/>
      <c r="B83" s="242"/>
      <c r="C83" s="599"/>
    </row>
    <row r="84" spans="1:3">
      <c r="A84" s="595"/>
      <c r="B84" s="242"/>
      <c r="C84" s="599"/>
    </row>
    <row r="85" spans="1:3">
      <c r="A85" s="595"/>
      <c r="B85" s="242"/>
      <c r="C85" s="599"/>
    </row>
    <row r="86" spans="1:3">
      <c r="A86" s="595"/>
      <c r="B86" s="242"/>
      <c r="C86" s="599"/>
    </row>
    <row r="87" spans="1:3">
      <c r="A87" s="595"/>
      <c r="B87" s="242"/>
      <c r="C87" s="599"/>
    </row>
    <row r="88" spans="1:3">
      <c r="A88" s="595"/>
      <c r="B88" s="242"/>
      <c r="C88" s="599"/>
    </row>
    <row r="89" spans="1:3">
      <c r="A89" s="595"/>
      <c r="B89" s="242"/>
      <c r="C89" s="599"/>
    </row>
    <row r="90" spans="1:3">
      <c r="A90" s="595"/>
      <c r="B90" s="242"/>
      <c r="C90" s="599"/>
    </row>
    <row r="91" spans="1:3">
      <c r="A91" s="595"/>
      <c r="B91" s="242"/>
      <c r="C91" s="599"/>
    </row>
    <row r="92" spans="1:3">
      <c r="A92" s="595"/>
      <c r="B92" s="242"/>
      <c r="C92" s="599"/>
    </row>
    <row r="93" spans="1:3">
      <c r="A93" s="595"/>
      <c r="B93" s="242"/>
      <c r="C93" s="599"/>
    </row>
    <row r="94" spans="1:3">
      <c r="A94" s="595"/>
      <c r="B94" s="242"/>
      <c r="C94" s="599"/>
    </row>
    <row r="95" spans="1:3">
      <c r="A95" s="595"/>
      <c r="B95" s="242"/>
      <c r="C95" s="599"/>
    </row>
    <row r="96" spans="1:3">
      <c r="A96" s="595"/>
      <c r="B96" s="242"/>
      <c r="C96" s="599"/>
    </row>
    <row r="97" spans="1:3">
      <c r="A97" s="595"/>
      <c r="B97" s="242"/>
      <c r="C97" s="599"/>
    </row>
    <row r="98" spans="1:3">
      <c r="A98" s="595"/>
      <c r="B98" s="242"/>
      <c r="C98" s="599"/>
    </row>
    <row r="99" spans="1:3">
      <c r="A99" s="595"/>
      <c r="B99" s="242"/>
      <c r="C99" s="599"/>
    </row>
    <row r="100" spans="1:3">
      <c r="A100" s="595"/>
      <c r="B100" s="242"/>
      <c r="C100" s="599"/>
    </row>
    <row r="101" spans="1:3">
      <c r="A101" s="595"/>
      <c r="B101" s="242"/>
      <c r="C101" s="599"/>
    </row>
    <row r="102" spans="1:3">
      <c r="A102" s="595"/>
      <c r="B102" s="242"/>
      <c r="C102" s="599"/>
    </row>
    <row r="103" spans="1:3">
      <c r="A103" s="595"/>
      <c r="B103" s="242"/>
      <c r="C103" s="599"/>
    </row>
    <row r="104" spans="1:3">
      <c r="A104" s="595"/>
      <c r="B104" s="242"/>
      <c r="C104" s="599"/>
    </row>
    <row r="105" spans="1:3">
      <c r="A105" s="595"/>
      <c r="B105" s="242"/>
      <c r="C105" s="599"/>
    </row>
    <row r="106" spans="1:3">
      <c r="A106" s="595"/>
      <c r="B106" s="242"/>
      <c r="C106" s="599"/>
    </row>
    <row r="107" spans="1:3">
      <c r="A107" s="595"/>
      <c r="B107" s="242"/>
      <c r="C107" s="599"/>
    </row>
    <row r="108" spans="1:3">
      <c r="A108" s="595"/>
      <c r="B108" s="242"/>
      <c r="C108" s="599"/>
    </row>
    <row r="109" spans="1:3">
      <c r="A109" s="595"/>
      <c r="B109" s="242"/>
      <c r="C109" s="599"/>
    </row>
    <row r="110" spans="1:3">
      <c r="A110" s="595"/>
      <c r="B110" s="242"/>
      <c r="C110" s="599"/>
    </row>
    <row r="111" spans="1:3">
      <c r="A111" s="595"/>
      <c r="B111" s="242"/>
      <c r="C111" s="599"/>
    </row>
    <row r="112" spans="1:3">
      <c r="A112" s="595"/>
      <c r="B112" s="242"/>
      <c r="C112" s="599"/>
    </row>
    <row r="113" spans="1:3">
      <c r="A113" s="595"/>
      <c r="B113" s="242"/>
      <c r="C113" s="599"/>
    </row>
    <row r="114" spans="1:3">
      <c r="A114" s="595"/>
      <c r="B114" s="242"/>
      <c r="C114" s="599"/>
    </row>
    <row r="115" spans="1:3">
      <c r="A115" s="595"/>
      <c r="B115" s="242"/>
      <c r="C115" s="599"/>
    </row>
    <row r="116" spans="1:3">
      <c r="A116" s="595"/>
      <c r="B116" s="242"/>
      <c r="C116" s="599"/>
    </row>
    <row r="117" spans="1:3">
      <c r="A117" s="595"/>
      <c r="B117" s="242"/>
      <c r="C117" s="599"/>
    </row>
    <row r="118" spans="1:3">
      <c r="A118" s="595"/>
      <c r="B118" s="242"/>
      <c r="C118" s="599"/>
    </row>
    <row r="119" spans="1:3">
      <c r="A119" s="595"/>
      <c r="B119" s="242"/>
      <c r="C119" s="599"/>
    </row>
    <row r="120" spans="1:3">
      <c r="A120" s="595"/>
      <c r="B120" s="242"/>
      <c r="C120" s="599"/>
    </row>
    <row r="121" spans="1:3">
      <c r="A121" s="595"/>
      <c r="B121" s="242"/>
      <c r="C121" s="599"/>
    </row>
    <row r="122" spans="1:3">
      <c r="A122" s="595"/>
      <c r="B122" s="242"/>
      <c r="C122" s="599"/>
    </row>
    <row r="123" spans="1:3">
      <c r="A123" s="595"/>
      <c r="B123" s="242"/>
      <c r="C123" s="599"/>
    </row>
    <row r="124" spans="1:3">
      <c r="A124" s="595"/>
      <c r="B124" s="242"/>
      <c r="C124" s="599"/>
    </row>
    <row r="125" spans="1:3">
      <c r="A125" s="595"/>
      <c r="B125" s="242"/>
      <c r="C125" s="599"/>
    </row>
    <row r="126" spans="1:3">
      <c r="A126" s="595"/>
      <c r="B126" s="242"/>
      <c r="C126" s="599"/>
    </row>
    <row r="127" spans="1:3">
      <c r="A127" s="595"/>
      <c r="B127" s="242"/>
      <c r="C127" s="599"/>
    </row>
    <row r="128" spans="1:3">
      <c r="A128" s="595"/>
      <c r="B128" s="242"/>
      <c r="C128" s="599"/>
    </row>
    <row r="129" spans="1:3">
      <c r="A129" s="595"/>
      <c r="B129" s="242"/>
      <c r="C129" s="599"/>
    </row>
    <row r="130" spans="1:3">
      <c r="A130" s="595"/>
      <c r="B130" s="242"/>
      <c r="C130" s="599"/>
    </row>
    <row r="131" spans="1:3">
      <c r="A131" s="595"/>
      <c r="B131" s="242"/>
      <c r="C131" s="599"/>
    </row>
    <row r="132" spans="1:3">
      <c r="A132" s="595"/>
      <c r="B132" s="242"/>
      <c r="C132" s="599"/>
    </row>
    <row r="133" spans="1:3">
      <c r="A133" s="595"/>
      <c r="B133" s="242"/>
      <c r="C133" s="599"/>
    </row>
    <row r="134" spans="1:3">
      <c r="A134" s="595"/>
      <c r="B134" s="242"/>
      <c r="C134" s="599"/>
    </row>
    <row r="135" spans="1:3">
      <c r="A135" s="595"/>
      <c r="B135" s="242"/>
      <c r="C135" s="599"/>
    </row>
    <row r="136" spans="1:3">
      <c r="A136" s="595"/>
      <c r="B136" s="242"/>
      <c r="C136" s="599"/>
    </row>
    <row r="137" spans="1:3">
      <c r="A137" s="595"/>
      <c r="B137" s="242"/>
      <c r="C137" s="599"/>
    </row>
    <row r="138" spans="1:3">
      <c r="A138" s="595"/>
      <c r="B138" s="242"/>
      <c r="C138" s="599"/>
    </row>
    <row r="139" spans="1:3">
      <c r="A139" s="595"/>
      <c r="B139" s="242"/>
      <c r="C139" s="599"/>
    </row>
    <row r="140" spans="1:3">
      <c r="A140" s="595"/>
      <c r="B140" s="242"/>
      <c r="C140" s="599"/>
    </row>
    <row r="141" spans="1:3">
      <c r="A141" s="595"/>
      <c r="B141" s="242"/>
      <c r="C141" s="599"/>
    </row>
    <row r="142" spans="1:3">
      <c r="A142" s="595"/>
      <c r="B142" s="242"/>
      <c r="C142" s="599"/>
    </row>
    <row r="143" spans="1:3">
      <c r="A143" s="595"/>
      <c r="B143" s="242"/>
      <c r="C143" s="599"/>
    </row>
    <row r="144" spans="1:3">
      <c r="A144" s="595"/>
      <c r="B144" s="242"/>
      <c r="C144" s="599"/>
    </row>
    <row r="145" spans="1:3">
      <c r="A145" s="595"/>
      <c r="B145" s="242"/>
      <c r="C145" s="599"/>
    </row>
    <row r="146" spans="1:3">
      <c r="A146" s="595"/>
      <c r="B146" s="242"/>
      <c r="C146" s="599"/>
    </row>
    <row r="147" spans="1:3">
      <c r="A147" s="595"/>
      <c r="B147" s="242"/>
      <c r="C147" s="599"/>
    </row>
    <row r="148" spans="1:3">
      <c r="A148" s="595"/>
      <c r="B148" s="242"/>
      <c r="C148" s="599"/>
    </row>
    <row r="149" spans="1:3">
      <c r="A149" s="595"/>
      <c r="B149" s="242"/>
      <c r="C149" s="599"/>
    </row>
    <row r="150" spans="1:3">
      <c r="A150" s="595"/>
      <c r="B150" s="242"/>
      <c r="C150" s="243"/>
    </row>
    <row r="151" spans="1:3">
      <c r="A151" s="595"/>
      <c r="B151" s="242"/>
      <c r="C151" s="243"/>
    </row>
    <row r="152" spans="1:3">
      <c r="A152" s="595"/>
      <c r="B152" s="242"/>
      <c r="C152" s="243"/>
    </row>
    <row r="153" spans="1:3">
      <c r="A153" s="595"/>
      <c r="B153" s="242"/>
      <c r="C153" s="243"/>
    </row>
    <row r="154" spans="1:3">
      <c r="A154" s="595"/>
      <c r="B154" s="242"/>
      <c r="C154" s="243"/>
    </row>
    <row r="155" spans="1:3">
      <c r="A155" s="595"/>
      <c r="B155" s="242"/>
      <c r="C155" s="243"/>
    </row>
    <row r="156" spans="1:3">
      <c r="A156" s="595"/>
      <c r="B156" s="242"/>
      <c r="C156" s="243"/>
    </row>
    <row r="157" spans="1:3">
      <c r="A157" s="595"/>
      <c r="B157" s="242"/>
      <c r="C157" s="243"/>
    </row>
    <row r="158" spans="1:3">
      <c r="A158" s="595"/>
      <c r="B158" s="242"/>
      <c r="C158" s="243"/>
    </row>
    <row r="159" spans="1:3">
      <c r="A159" s="595"/>
      <c r="B159" s="242"/>
      <c r="C159" s="243"/>
    </row>
    <row r="160" spans="1:3">
      <c r="A160" s="595"/>
      <c r="B160" s="242"/>
      <c r="C160" s="243"/>
    </row>
    <row r="161" spans="1:3">
      <c r="A161" s="595"/>
      <c r="B161" s="242"/>
      <c r="C161" s="243"/>
    </row>
    <row r="162" spans="1:3">
      <c r="A162" s="595"/>
      <c r="B162" s="242"/>
      <c r="C162" s="243"/>
    </row>
    <row r="163" spans="1:3">
      <c r="A163" s="595"/>
      <c r="B163" s="242"/>
      <c r="C163" s="243"/>
    </row>
    <row r="164" spans="1:3">
      <c r="A164" s="595"/>
      <c r="B164" s="242"/>
      <c r="C164" s="243"/>
    </row>
    <row r="165" spans="1:3">
      <c r="A165" s="595"/>
      <c r="B165" s="242"/>
      <c r="C165" s="243"/>
    </row>
    <row r="166" spans="1:3">
      <c r="A166" s="595"/>
      <c r="B166" s="242"/>
      <c r="C166" s="243"/>
    </row>
    <row r="167" spans="1:3">
      <c r="A167" s="595"/>
      <c r="B167" s="242"/>
      <c r="C167" s="243"/>
    </row>
    <row r="168" spans="1:3">
      <c r="A168" s="595"/>
      <c r="B168" s="242"/>
      <c r="C168" s="243"/>
    </row>
    <row r="169" spans="1:3">
      <c r="A169" s="595"/>
      <c r="B169" s="242"/>
      <c r="C169" s="243"/>
    </row>
    <row r="170" spans="1:3">
      <c r="A170" s="595"/>
      <c r="B170" s="242"/>
      <c r="C170" s="243"/>
    </row>
    <row r="171" spans="1:3">
      <c r="A171" s="595"/>
      <c r="B171" s="242"/>
      <c r="C171" s="243"/>
    </row>
    <row r="172" spans="1:3">
      <c r="A172" s="595"/>
      <c r="B172" s="242"/>
      <c r="C172" s="243"/>
    </row>
    <row r="173" spans="1:3">
      <c r="A173" s="595"/>
      <c r="B173" s="242"/>
      <c r="C173" s="243"/>
    </row>
    <row r="174" spans="1:3">
      <c r="A174" s="595"/>
      <c r="B174" s="242"/>
      <c r="C174" s="243"/>
    </row>
    <row r="175" spans="1:3">
      <c r="A175" s="595"/>
      <c r="B175" s="242"/>
      <c r="C175" s="243"/>
    </row>
    <row r="176" spans="1:3">
      <c r="A176" s="595"/>
      <c r="B176" s="242"/>
      <c r="C176" s="243"/>
    </row>
    <row r="177" spans="1:3">
      <c r="A177" s="595"/>
      <c r="B177" s="242"/>
      <c r="C177" s="243"/>
    </row>
    <row r="178" spans="1:3">
      <c r="A178" s="595"/>
      <c r="B178" s="242"/>
      <c r="C178" s="243"/>
    </row>
    <row r="179" spans="1:3">
      <c r="A179" s="595"/>
      <c r="B179" s="242"/>
      <c r="C179" s="243"/>
    </row>
    <row r="180" spans="1:3">
      <c r="A180" s="595"/>
      <c r="B180" s="242"/>
      <c r="C180" s="243"/>
    </row>
    <row r="181" spans="1:3">
      <c r="A181" s="595"/>
      <c r="B181" s="242"/>
      <c r="C181" s="243"/>
    </row>
    <row r="182" spans="1:3">
      <c r="A182" s="595"/>
      <c r="B182" s="242"/>
      <c r="C182" s="243"/>
    </row>
    <row r="183" spans="1:3">
      <c r="A183" s="595"/>
      <c r="B183" s="242"/>
      <c r="C183" s="243"/>
    </row>
    <row r="184" spans="1:3">
      <c r="A184" s="595"/>
      <c r="B184" s="242"/>
      <c r="C184" s="243"/>
    </row>
    <row r="185" spans="1:3">
      <c r="A185" s="595"/>
      <c r="B185" s="242"/>
      <c r="C185" s="243"/>
    </row>
    <row r="186" spans="1:3">
      <c r="A186" s="595"/>
      <c r="B186" s="242"/>
      <c r="C186" s="243"/>
    </row>
    <row r="187" spans="1:3">
      <c r="A187" s="595"/>
      <c r="B187" s="242"/>
      <c r="C187" s="243"/>
    </row>
    <row r="188" spans="1:3">
      <c r="A188" s="595"/>
      <c r="B188" s="242"/>
      <c r="C188" s="243"/>
    </row>
    <row r="189" spans="1:3">
      <c r="A189" s="595"/>
      <c r="B189" s="242"/>
      <c r="C189" s="243"/>
    </row>
    <row r="190" spans="1:3">
      <c r="A190" s="595"/>
      <c r="B190" s="242"/>
      <c r="C190" s="243"/>
    </row>
    <row r="191" spans="1:3">
      <c r="A191" s="595"/>
      <c r="B191" s="242"/>
      <c r="C191" s="243"/>
    </row>
    <row r="192" spans="1:3">
      <c r="A192" s="595"/>
      <c r="B192" s="242"/>
      <c r="C192" s="243"/>
    </row>
    <row r="193" spans="1:3">
      <c r="A193" s="595"/>
      <c r="B193" s="242"/>
      <c r="C193" s="243"/>
    </row>
    <row r="194" spans="1:3">
      <c r="A194" s="595"/>
      <c r="B194" s="242"/>
      <c r="C194" s="243"/>
    </row>
    <row r="195" spans="1:3">
      <c r="A195" s="595"/>
      <c r="B195" s="242"/>
      <c r="C195" s="243"/>
    </row>
    <row r="196" spans="1:3">
      <c r="A196" s="595"/>
      <c r="B196" s="242"/>
      <c r="C196" s="243"/>
    </row>
    <row r="197" spans="1:3">
      <c r="A197" s="595"/>
      <c r="B197" s="242"/>
      <c r="C197" s="243"/>
    </row>
    <row r="198" spans="1:3">
      <c r="A198" s="595"/>
      <c r="B198" s="242"/>
      <c r="C198" s="243"/>
    </row>
    <row r="199" spans="1:3">
      <c r="A199" s="595"/>
      <c r="B199" s="242"/>
      <c r="C199" s="243"/>
    </row>
    <row r="200" spans="1:3">
      <c r="A200" s="595"/>
      <c r="B200" s="242"/>
      <c r="C200" s="243"/>
    </row>
    <row r="201" spans="1:3">
      <c r="A201" s="595"/>
      <c r="B201" s="242"/>
      <c r="C201" s="243"/>
    </row>
    <row r="202" spans="1:3">
      <c r="A202" s="595"/>
      <c r="B202" s="242"/>
      <c r="C202" s="243"/>
    </row>
    <row r="203" spans="1:3">
      <c r="A203" s="595"/>
      <c r="B203" s="242"/>
      <c r="C203" s="243"/>
    </row>
    <row r="204" spans="1:3">
      <c r="A204" s="595"/>
      <c r="B204" s="242"/>
      <c r="C204" s="243"/>
    </row>
    <row r="205" spans="1:3">
      <c r="A205" s="595"/>
      <c r="B205" s="242"/>
      <c r="C205" s="243"/>
    </row>
    <row r="206" spans="1:3">
      <c r="A206" s="595"/>
      <c r="B206" s="242"/>
      <c r="C206" s="243"/>
    </row>
    <row r="207" spans="1:3">
      <c r="A207" s="595"/>
      <c r="B207" s="242"/>
      <c r="C207" s="243"/>
    </row>
    <row r="208" spans="1:3">
      <c r="A208" s="595"/>
      <c r="B208" s="242"/>
      <c r="C208" s="243"/>
    </row>
    <row r="209" spans="1:3">
      <c r="A209" s="595"/>
      <c r="B209" s="242"/>
      <c r="C209" s="243"/>
    </row>
    <row r="210" spans="1:3">
      <c r="A210" s="595"/>
      <c r="B210" s="242"/>
      <c r="C210" s="243"/>
    </row>
    <row r="211" spans="1:3">
      <c r="A211" s="595"/>
      <c r="B211" s="242"/>
      <c r="C211" s="243"/>
    </row>
    <row r="212" spans="1:3">
      <c r="A212" s="595"/>
      <c r="B212" s="242"/>
      <c r="C212" s="243"/>
    </row>
    <row r="213" spans="1:3">
      <c r="A213" s="595"/>
      <c r="B213" s="242"/>
      <c r="C213" s="243"/>
    </row>
    <row r="214" spans="1:3">
      <c r="A214" s="595"/>
      <c r="B214" s="242"/>
      <c r="C214" s="243"/>
    </row>
    <row r="215" spans="1:3">
      <c r="A215" s="595"/>
      <c r="B215" s="242"/>
      <c r="C215" s="243"/>
    </row>
    <row r="216" spans="1:3">
      <c r="A216" s="595"/>
      <c r="B216" s="242"/>
      <c r="C216" s="243"/>
    </row>
    <row r="217" spans="1:3">
      <c r="A217" s="595"/>
      <c r="B217" s="242"/>
      <c r="C217" s="243"/>
    </row>
    <row r="218" spans="1:3">
      <c r="A218" s="595"/>
      <c r="B218" s="242"/>
      <c r="C218" s="243"/>
    </row>
    <row r="219" spans="1:3">
      <c r="A219" s="595"/>
      <c r="B219" s="242"/>
      <c r="C219" s="243"/>
    </row>
    <row r="220" spans="1:3">
      <c r="A220" s="595"/>
      <c r="B220" s="242"/>
      <c r="C220" s="243"/>
    </row>
    <row r="221" spans="1:3">
      <c r="A221" s="595"/>
      <c r="B221" s="242"/>
      <c r="C221" s="243"/>
    </row>
    <row r="222" spans="1:3">
      <c r="A222" s="595"/>
      <c r="B222" s="242"/>
      <c r="C222" s="243"/>
    </row>
    <row r="223" spans="1:3">
      <c r="A223" s="595"/>
      <c r="B223" s="242"/>
      <c r="C223" s="243"/>
    </row>
    <row r="224" spans="1:3">
      <c r="A224" s="595"/>
      <c r="B224" s="242"/>
      <c r="C224" s="243"/>
    </row>
    <row r="225" spans="1:3">
      <c r="A225" s="595"/>
      <c r="B225" s="242"/>
      <c r="C225" s="243"/>
    </row>
    <row r="226" spans="1:3">
      <c r="A226" s="595"/>
      <c r="B226" s="242"/>
      <c r="C226" s="243"/>
    </row>
    <row r="227" spans="1:3">
      <c r="A227" s="595"/>
      <c r="B227" s="242"/>
      <c r="C227" s="243"/>
    </row>
    <row r="228" spans="1:3">
      <c r="A228" s="595"/>
      <c r="B228" s="242"/>
      <c r="C228" s="243"/>
    </row>
    <row r="229" spans="1:3">
      <c r="A229" s="595"/>
      <c r="B229" s="242"/>
      <c r="C229" s="243"/>
    </row>
    <row r="230" spans="1:3">
      <c r="A230" s="595"/>
      <c r="B230" s="242"/>
      <c r="C230" s="243"/>
    </row>
    <row r="231" spans="1:3">
      <c r="A231" s="595"/>
      <c r="B231" s="242"/>
      <c r="C231" s="243"/>
    </row>
    <row r="232" spans="1:3">
      <c r="A232" s="595"/>
      <c r="B232" s="242"/>
      <c r="C232" s="243"/>
    </row>
    <row r="233" spans="1:3">
      <c r="A233" s="595"/>
      <c r="B233" s="242"/>
      <c r="C233" s="243"/>
    </row>
    <row r="234" spans="1:3">
      <c r="A234" s="595"/>
      <c r="B234" s="242"/>
      <c r="C234" s="243"/>
    </row>
    <row r="235" spans="1:3">
      <c r="A235" s="595"/>
      <c r="B235" s="242"/>
      <c r="C235" s="243"/>
    </row>
    <row r="236" spans="1:3">
      <c r="A236" s="595"/>
      <c r="B236" s="242"/>
      <c r="C236" s="243"/>
    </row>
    <row r="237" spans="1:3">
      <c r="A237" s="595"/>
      <c r="B237" s="242"/>
      <c r="C237" s="243"/>
    </row>
    <row r="238" spans="1:3">
      <c r="A238" s="595"/>
      <c r="B238" s="242"/>
      <c r="C238" s="243"/>
    </row>
    <row r="239" spans="1:3">
      <c r="A239" s="595"/>
      <c r="B239" s="242"/>
      <c r="C239" s="243"/>
    </row>
    <row r="240" spans="1:3">
      <c r="A240" s="595"/>
      <c r="B240" s="242"/>
      <c r="C240" s="243"/>
    </row>
    <row r="241" spans="1:3">
      <c r="A241" s="595"/>
      <c r="B241" s="242"/>
      <c r="C241" s="243"/>
    </row>
    <row r="242" spans="1:3">
      <c r="A242" s="595"/>
      <c r="B242" s="242"/>
      <c r="C242" s="243"/>
    </row>
    <row r="243" spans="1:3">
      <c r="A243" s="595"/>
      <c r="B243" s="242"/>
      <c r="C243" s="243"/>
    </row>
    <row r="244" spans="1:3">
      <c r="A244" s="595"/>
      <c r="B244" s="242"/>
      <c r="C244" s="243"/>
    </row>
    <row r="245" spans="1:3">
      <c r="A245" s="595"/>
      <c r="B245" s="242"/>
      <c r="C245" s="243"/>
    </row>
    <row r="246" spans="1:3">
      <c r="A246" s="595"/>
      <c r="B246" s="242"/>
      <c r="C246" s="243"/>
    </row>
    <row r="247" spans="1:3">
      <c r="A247" s="595"/>
      <c r="B247" s="242"/>
      <c r="C247" s="243"/>
    </row>
    <row r="248" spans="1:3">
      <c r="A248" s="595"/>
      <c r="B248" s="242"/>
      <c r="C248" s="243"/>
    </row>
    <row r="249" spans="1:3">
      <c r="A249" s="595"/>
      <c r="B249" s="242"/>
      <c r="C249" s="243"/>
    </row>
    <row r="250" spans="1:3">
      <c r="A250" s="595"/>
      <c r="B250" s="242"/>
      <c r="C250" s="243"/>
    </row>
    <row r="251" spans="1:3">
      <c r="A251" s="595"/>
      <c r="B251" s="242"/>
      <c r="C251" s="243"/>
    </row>
    <row r="252" spans="1:3">
      <c r="A252" s="595"/>
      <c r="B252" s="242"/>
      <c r="C252" s="243"/>
    </row>
  </sheetData>
  <mergeCells count="6">
    <mergeCell ref="L4:U4"/>
    <mergeCell ref="E6:E11"/>
    <mergeCell ref="H6:H11"/>
    <mergeCell ref="I6:I11"/>
    <mergeCell ref="J6:J11"/>
    <mergeCell ref="D4:J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Plan28">
    <tabColor theme="7" tint="0.59999389629810485"/>
  </sheetPr>
  <dimension ref="A1:BV148"/>
  <sheetViews>
    <sheetView topLeftCell="A16" workbookViewId="0">
      <selection activeCell="D4" sqref="D4:J36"/>
    </sheetView>
  </sheetViews>
  <sheetFormatPr defaultColWidth="9.140625" defaultRowHeight="12.75"/>
  <cols>
    <col min="1" max="1" width="2.28515625" style="765" customWidth="1"/>
    <col min="2" max="3" width="2.28515625" style="419" customWidth="1"/>
    <col min="4" max="4" width="45.5703125" style="414" customWidth="1"/>
    <col min="5" max="5" width="43.28515625" style="415" customWidth="1"/>
    <col min="6" max="6" width="20.85546875" style="416" customWidth="1"/>
    <col min="7" max="7" width="9.140625" style="416" customWidth="1"/>
    <col min="8" max="9" width="14.140625" style="417" customWidth="1"/>
    <col min="10" max="10" width="34.7109375" style="418" customWidth="1"/>
    <col min="11" max="16384" width="9.140625" style="419"/>
  </cols>
  <sheetData>
    <row r="1" spans="1:74" s="765" customFormat="1" ht="12.75" customHeight="1">
      <c r="A1" s="595"/>
      <c r="B1" s="596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  <c r="P1" s="595"/>
      <c r="Q1" s="595"/>
      <c r="R1" s="595"/>
      <c r="S1" s="595"/>
      <c r="T1" s="595"/>
      <c r="U1" s="595"/>
      <c r="V1" s="595"/>
      <c r="W1" s="595"/>
      <c r="X1" s="595"/>
      <c r="Y1" s="595"/>
      <c r="Z1" s="595"/>
      <c r="AA1" s="595"/>
      <c r="AB1" s="595"/>
      <c r="AC1" s="595"/>
      <c r="AD1" s="595"/>
      <c r="AE1" s="595"/>
      <c r="AF1" s="595"/>
      <c r="AG1" s="595"/>
      <c r="AH1" s="595"/>
      <c r="AI1" s="595"/>
      <c r="AJ1" s="595"/>
      <c r="AK1" s="595"/>
      <c r="AL1" s="595"/>
      <c r="AM1" s="595"/>
      <c r="AN1" s="595"/>
      <c r="AO1" s="595"/>
      <c r="AP1" s="595"/>
      <c r="AQ1" s="595"/>
      <c r="AR1" s="595"/>
      <c r="AS1" s="595"/>
      <c r="AT1" s="595"/>
      <c r="AU1" s="595"/>
      <c r="AV1" s="595"/>
      <c r="AW1" s="595"/>
      <c r="AX1" s="595"/>
      <c r="AY1" s="595"/>
      <c r="AZ1" s="595"/>
      <c r="BA1" s="595"/>
      <c r="BB1" s="595"/>
      <c r="BC1" s="595"/>
      <c r="BD1" s="595"/>
      <c r="BE1" s="595"/>
      <c r="BF1" s="595"/>
      <c r="BG1" s="595"/>
      <c r="BH1" s="595"/>
      <c r="BI1" s="595"/>
      <c r="BJ1" s="595"/>
      <c r="BK1" s="595"/>
      <c r="BL1" s="595"/>
      <c r="BM1" s="595"/>
      <c r="BN1" s="595"/>
      <c r="BO1" s="595"/>
      <c r="BP1" s="595"/>
      <c r="BQ1" s="595"/>
      <c r="BR1" s="595"/>
      <c r="BS1" s="595"/>
      <c r="BT1" s="595"/>
      <c r="BU1" s="595"/>
      <c r="BV1" s="595"/>
    </row>
    <row r="2" spans="1:74" ht="12.75" customHeight="1">
      <c r="A2" s="595"/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8"/>
      <c r="Z2" s="598"/>
      <c r="AA2" s="598"/>
      <c r="AB2" s="598"/>
      <c r="AC2" s="598"/>
      <c r="AD2" s="598"/>
      <c r="AE2" s="598"/>
      <c r="AF2" s="598"/>
      <c r="AG2" s="598"/>
      <c r="AH2" s="598"/>
      <c r="AI2" s="598"/>
      <c r="AJ2" s="598"/>
      <c r="AK2" s="598"/>
      <c r="AL2" s="598"/>
      <c r="AM2" s="598"/>
      <c r="AN2" s="598"/>
      <c r="AO2" s="242"/>
      <c r="AP2" s="242"/>
      <c r="AQ2" s="242"/>
      <c r="AR2" s="242"/>
      <c r="AS2" s="242"/>
      <c r="AT2" s="242"/>
      <c r="AU2" s="242"/>
      <c r="AV2" s="242"/>
      <c r="AW2" s="242"/>
      <c r="AX2" s="242"/>
      <c r="AY2" s="242"/>
      <c r="AZ2" s="242"/>
      <c r="BA2" s="242"/>
      <c r="BB2" s="242"/>
      <c r="BC2" s="242"/>
      <c r="BD2" s="242"/>
      <c r="BE2" s="242"/>
      <c r="BF2" s="242"/>
      <c r="BG2" s="242"/>
      <c r="BH2" s="242"/>
      <c r="BI2" s="242"/>
      <c r="BJ2" s="242"/>
      <c r="BK2" s="242"/>
      <c r="BL2" s="242"/>
      <c r="BM2" s="242"/>
      <c r="BN2" s="242"/>
      <c r="BO2" s="242"/>
      <c r="BP2" s="242"/>
      <c r="BQ2" s="242"/>
      <c r="BR2" s="242"/>
      <c r="BS2" s="242"/>
      <c r="BT2" s="242"/>
      <c r="BU2" s="242"/>
      <c r="BV2" s="242"/>
    </row>
    <row r="3" spans="1:74" ht="12.75" customHeight="1">
      <c r="A3" s="595"/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599"/>
      <c r="AD3" s="599"/>
      <c r="AE3" s="599"/>
      <c r="AF3" s="599"/>
      <c r="AG3" s="599"/>
      <c r="AH3" s="599"/>
      <c r="AI3" s="599"/>
      <c r="AJ3" s="599"/>
      <c r="AK3" s="599"/>
      <c r="AL3" s="599"/>
      <c r="AM3" s="599"/>
      <c r="AN3" s="599"/>
      <c r="AO3" s="599"/>
      <c r="AP3" s="599"/>
      <c r="AQ3" s="599"/>
      <c r="AR3" s="599"/>
      <c r="AS3" s="599"/>
      <c r="AT3" s="599"/>
      <c r="AU3" s="599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</row>
    <row r="4" spans="1:74" ht="24" customHeight="1">
      <c r="A4" s="595"/>
      <c r="B4" s="598"/>
      <c r="C4" s="599"/>
      <c r="D4" s="1978" t="s">
        <v>1953</v>
      </c>
      <c r="E4" s="1979"/>
      <c r="F4" s="1979"/>
      <c r="G4" s="1979"/>
      <c r="H4" s="1979"/>
      <c r="I4" s="1979"/>
      <c r="J4" s="1980"/>
    </row>
    <row r="5" spans="1:74" s="421" customFormat="1">
      <c r="A5" s="595"/>
      <c r="B5" s="598"/>
      <c r="C5" s="599"/>
      <c r="D5" s="1690" t="s">
        <v>1891</v>
      </c>
      <c r="E5" s="1706"/>
      <c r="F5" s="1707" t="s">
        <v>1893</v>
      </c>
      <c r="G5" s="1707" t="s">
        <v>1894</v>
      </c>
      <c r="H5" s="1707" t="s">
        <v>1895</v>
      </c>
      <c r="I5" s="1707" t="s">
        <v>1896</v>
      </c>
      <c r="J5" s="1707" t="s">
        <v>718</v>
      </c>
    </row>
    <row r="6" spans="1:74" ht="70.5" customHeight="1">
      <c r="A6" s="595"/>
      <c r="B6" s="598"/>
      <c r="C6" s="599"/>
      <c r="D6" s="1693" t="s">
        <v>1954</v>
      </c>
      <c r="E6" s="1708" t="s">
        <v>1955</v>
      </c>
      <c r="F6" s="1709" t="s">
        <v>1956</v>
      </c>
      <c r="G6" s="1709" t="s">
        <v>1920</v>
      </c>
      <c r="H6" s="1710" t="s">
        <v>1909</v>
      </c>
      <c r="I6" s="1705" t="s">
        <v>1957</v>
      </c>
      <c r="J6" s="1711" t="s">
        <v>1958</v>
      </c>
    </row>
    <row r="7" spans="1:74">
      <c r="A7" s="595"/>
      <c r="B7" s="598"/>
      <c r="C7" s="599"/>
      <c r="D7" s="1690" t="s">
        <v>1959</v>
      </c>
      <c r="E7" s="1706"/>
      <c r="F7" s="1707" t="s">
        <v>1893</v>
      </c>
      <c r="G7" s="1707" t="s">
        <v>1894</v>
      </c>
      <c r="H7" s="1707" t="s">
        <v>1895</v>
      </c>
      <c r="I7" s="1707" t="s">
        <v>1896</v>
      </c>
      <c r="J7" s="1707" t="s">
        <v>718</v>
      </c>
    </row>
    <row r="8" spans="1:74" ht="33.75">
      <c r="A8" s="595"/>
      <c r="B8" s="598"/>
      <c r="C8" s="599"/>
      <c r="D8" s="1693" t="s">
        <v>1960</v>
      </c>
      <c r="E8" s="1700" t="s">
        <v>1961</v>
      </c>
      <c r="F8" s="1701" t="s">
        <v>1956</v>
      </c>
      <c r="G8" s="1709" t="s">
        <v>1920</v>
      </c>
      <c r="H8" s="1710" t="s">
        <v>1909</v>
      </c>
      <c r="I8" s="1710" t="s">
        <v>1957</v>
      </c>
      <c r="J8" s="1712" t="s">
        <v>1954</v>
      </c>
    </row>
    <row r="9" spans="1:74" ht="22.5">
      <c r="A9" s="595"/>
      <c r="B9" s="598"/>
      <c r="C9" s="599"/>
      <c r="D9" s="1693" t="s">
        <v>1962</v>
      </c>
      <c r="E9" s="1700" t="s">
        <v>1963</v>
      </c>
      <c r="F9" s="1701" t="s">
        <v>1956</v>
      </c>
      <c r="G9" s="1709" t="s">
        <v>1920</v>
      </c>
      <c r="H9" s="1710" t="s">
        <v>1964</v>
      </c>
      <c r="I9" s="1710" t="s">
        <v>1957</v>
      </c>
      <c r="J9" s="1712" t="s">
        <v>1965</v>
      </c>
    </row>
    <row r="10" spans="1:74" ht="19.5" customHeight="1">
      <c r="A10" s="595"/>
      <c r="B10" s="598"/>
      <c r="C10" s="599"/>
      <c r="D10" s="1693" t="s">
        <v>1966</v>
      </c>
      <c r="E10" s="1713" t="s">
        <v>1967</v>
      </c>
      <c r="F10" s="1701" t="s">
        <v>1956</v>
      </c>
      <c r="G10" s="1709" t="s">
        <v>1920</v>
      </c>
      <c r="H10" s="1710" t="s">
        <v>1924</v>
      </c>
      <c r="I10" s="1710" t="s">
        <v>1957</v>
      </c>
      <c r="J10" s="1714"/>
    </row>
    <row r="11" spans="1:74" ht="22.5">
      <c r="A11" s="595"/>
      <c r="B11" s="598"/>
      <c r="C11" s="599"/>
      <c r="D11" s="1693" t="s">
        <v>1968</v>
      </c>
      <c r="E11" s="1700" t="s">
        <v>1969</v>
      </c>
      <c r="F11" s="1701" t="s">
        <v>1956</v>
      </c>
      <c r="G11" s="1709" t="s">
        <v>1920</v>
      </c>
      <c r="H11" s="1710" t="s">
        <v>1964</v>
      </c>
      <c r="I11" s="1710" t="s">
        <v>1957</v>
      </c>
      <c r="J11" s="1712" t="s">
        <v>1965</v>
      </c>
    </row>
    <row r="12" spans="1:74" ht="25.5">
      <c r="A12" s="595"/>
      <c r="B12" s="598"/>
      <c r="C12" s="599"/>
      <c r="D12" s="1693" t="s">
        <v>1926</v>
      </c>
      <c r="E12" s="1700" t="s">
        <v>1970</v>
      </c>
      <c r="F12" s="1701" t="s">
        <v>1956</v>
      </c>
      <c r="G12" s="1709" t="s">
        <v>1920</v>
      </c>
      <c r="H12" s="1696" t="s">
        <v>1971</v>
      </c>
      <c r="I12" s="1710" t="s">
        <v>1957</v>
      </c>
      <c r="J12" s="1712" t="s">
        <v>1954</v>
      </c>
    </row>
    <row r="13" spans="1:74" ht="22.5">
      <c r="A13" s="595"/>
      <c r="B13" s="598"/>
      <c r="C13" s="599"/>
      <c r="D13" s="1693" t="s">
        <v>1972</v>
      </c>
      <c r="E13" s="1700" t="s">
        <v>1973</v>
      </c>
      <c r="F13" s="1701" t="s">
        <v>1956</v>
      </c>
      <c r="G13" s="1709" t="s">
        <v>1920</v>
      </c>
      <c r="H13" s="1710" t="s">
        <v>1974</v>
      </c>
      <c r="I13" s="1710" t="s">
        <v>1957</v>
      </c>
      <c r="J13" s="1715" t="s">
        <v>1975</v>
      </c>
    </row>
    <row r="14" spans="1:74" ht="25.5">
      <c r="A14" s="595"/>
      <c r="B14" s="598"/>
      <c r="C14" s="599"/>
      <c r="D14" s="1693" t="s">
        <v>1976</v>
      </c>
      <c r="E14" s="1700" t="s">
        <v>1977</v>
      </c>
      <c r="F14" s="1701" t="s">
        <v>1956</v>
      </c>
      <c r="G14" s="1709" t="s">
        <v>1920</v>
      </c>
      <c r="H14" s="1710" t="s">
        <v>1909</v>
      </c>
      <c r="I14" s="1710" t="s">
        <v>1957</v>
      </c>
      <c r="J14" s="1712" t="s">
        <v>1978</v>
      </c>
    </row>
    <row r="15" spans="1:74" ht="33.75">
      <c r="A15" s="595"/>
      <c r="B15" s="598"/>
      <c r="C15" s="599"/>
      <c r="D15" s="1693" t="s">
        <v>1979</v>
      </c>
      <c r="E15" s="1700" t="s">
        <v>1980</v>
      </c>
      <c r="F15" s="1701" t="s">
        <v>1956</v>
      </c>
      <c r="G15" s="1709" t="s">
        <v>1920</v>
      </c>
      <c r="H15" s="1709"/>
      <c r="I15" s="1710" t="s">
        <v>1981</v>
      </c>
      <c r="J15" s="1715" t="s">
        <v>1982</v>
      </c>
    </row>
    <row r="16" spans="1:74" ht="22.5">
      <c r="A16" s="595"/>
      <c r="B16" s="598"/>
      <c r="C16" s="599"/>
      <c r="D16" s="1693" t="s">
        <v>1983</v>
      </c>
      <c r="E16" s="1700" t="s">
        <v>1984</v>
      </c>
      <c r="F16" s="1701" t="s">
        <v>1956</v>
      </c>
      <c r="G16" s="1709" t="s">
        <v>1920</v>
      </c>
      <c r="H16" s="1716" t="s">
        <v>1909</v>
      </c>
      <c r="I16" s="1710" t="s">
        <v>1957</v>
      </c>
      <c r="J16" s="1712" t="s">
        <v>1965</v>
      </c>
    </row>
    <row r="17" spans="1:10" ht="32.25" customHeight="1">
      <c r="A17" s="595"/>
      <c r="B17" s="598"/>
      <c r="C17" s="599"/>
      <c r="D17" s="1693" t="s">
        <v>1985</v>
      </c>
      <c r="E17" s="1700" t="s">
        <v>1986</v>
      </c>
      <c r="F17" s="1701" t="s">
        <v>1956</v>
      </c>
      <c r="G17" s="1709" t="s">
        <v>1920</v>
      </c>
      <c r="H17" s="1696" t="s">
        <v>1987</v>
      </c>
      <c r="I17" s="1710" t="s">
        <v>1957</v>
      </c>
      <c r="J17" s="1712" t="s">
        <v>1988</v>
      </c>
    </row>
    <row r="18" spans="1:10">
      <c r="A18" s="595"/>
      <c r="B18" s="598"/>
      <c r="C18" s="599"/>
      <c r="D18" s="1690" t="s">
        <v>1989</v>
      </c>
      <c r="E18" s="1706"/>
      <c r="F18" s="1707" t="s">
        <v>1893</v>
      </c>
      <c r="G18" s="1707" t="s">
        <v>1894</v>
      </c>
      <c r="H18" s="1707" t="s">
        <v>1895</v>
      </c>
      <c r="I18" s="1707" t="s">
        <v>1896</v>
      </c>
      <c r="J18" s="1707" t="s">
        <v>718</v>
      </c>
    </row>
    <row r="19" spans="1:10" ht="22.5">
      <c r="A19" s="595"/>
      <c r="B19" s="598"/>
      <c r="C19" s="599"/>
      <c r="D19" s="1693" t="s">
        <v>1939</v>
      </c>
      <c r="E19" s="1700" t="s">
        <v>1990</v>
      </c>
      <c r="F19" s="1701" t="s">
        <v>1956</v>
      </c>
      <c r="G19" s="1709" t="s">
        <v>1920</v>
      </c>
      <c r="H19" s="1710" t="s">
        <v>1909</v>
      </c>
      <c r="I19" s="1710" t="s">
        <v>1957</v>
      </c>
      <c r="J19" s="1717" t="s">
        <v>1954</v>
      </c>
    </row>
    <row r="20" spans="1:10" ht="46.5" customHeight="1">
      <c r="A20" s="595"/>
      <c r="B20" s="598"/>
      <c r="C20" s="599"/>
      <c r="D20" s="1693" t="s">
        <v>1991</v>
      </c>
      <c r="E20" s="1700" t="s">
        <v>1992</v>
      </c>
      <c r="F20" s="1701" t="s">
        <v>1956</v>
      </c>
      <c r="G20" s="1709" t="s">
        <v>1920</v>
      </c>
      <c r="H20" s="1710" t="s">
        <v>1941</v>
      </c>
      <c r="I20" s="1710" t="s">
        <v>1957</v>
      </c>
      <c r="J20" s="1717" t="s">
        <v>1954</v>
      </c>
    </row>
    <row r="21" spans="1:10" ht="22.5">
      <c r="A21" s="595"/>
      <c r="B21" s="598"/>
      <c r="C21" s="599"/>
      <c r="D21" s="1693" t="s">
        <v>1993</v>
      </c>
      <c r="E21" s="1700" t="s">
        <v>1994</v>
      </c>
      <c r="F21" s="1701" t="s">
        <v>1956</v>
      </c>
      <c r="G21" s="1709" t="s">
        <v>1920</v>
      </c>
      <c r="H21" s="1710" t="s">
        <v>1909</v>
      </c>
      <c r="I21" s="1710" t="s">
        <v>1957</v>
      </c>
      <c r="J21" s="1717" t="s">
        <v>1954</v>
      </c>
    </row>
    <row r="22" spans="1:10" ht="33.75">
      <c r="A22" s="595"/>
      <c r="B22" s="598"/>
      <c r="C22" s="599"/>
      <c r="D22" s="1693" t="s">
        <v>1995</v>
      </c>
      <c r="E22" s="1700" t="s">
        <v>1996</v>
      </c>
      <c r="F22" s="1701" t="s">
        <v>1956</v>
      </c>
      <c r="G22" s="1709" t="s">
        <v>1920</v>
      </c>
      <c r="H22" s="1710" t="s">
        <v>1974</v>
      </c>
      <c r="I22" s="1710" t="s">
        <v>1957</v>
      </c>
      <c r="J22" s="1717" t="s">
        <v>1997</v>
      </c>
    </row>
    <row r="23" spans="1:10" ht="33" customHeight="1">
      <c r="A23" s="595"/>
      <c r="B23" s="598"/>
      <c r="C23" s="599"/>
      <c r="D23" s="1693" t="s">
        <v>1998</v>
      </c>
      <c r="E23" s="1700" t="s">
        <v>1999</v>
      </c>
      <c r="F23" s="1701" t="s">
        <v>2000</v>
      </c>
      <c r="G23" s="1709" t="s">
        <v>1920</v>
      </c>
      <c r="H23" s="1709" t="s">
        <v>1920</v>
      </c>
      <c r="I23" s="1710" t="s">
        <v>1920</v>
      </c>
      <c r="J23" s="1715" t="s">
        <v>2001</v>
      </c>
    </row>
    <row r="24" spans="1:10">
      <c r="A24" s="595"/>
      <c r="B24" s="598"/>
      <c r="C24" s="599"/>
    </row>
    <row r="25" spans="1:10">
      <c r="A25" s="595"/>
      <c r="B25" s="598"/>
      <c r="C25" s="599"/>
    </row>
    <row r="26" spans="1:10">
      <c r="A26" s="595"/>
      <c r="B26" s="598"/>
      <c r="C26" s="599"/>
    </row>
    <row r="27" spans="1:10">
      <c r="A27" s="595"/>
      <c r="B27" s="598"/>
      <c r="C27" s="599"/>
    </row>
    <row r="28" spans="1:10">
      <c r="A28" s="595"/>
      <c r="B28" s="598"/>
      <c r="C28" s="599"/>
    </row>
    <row r="29" spans="1:10">
      <c r="A29" s="595"/>
      <c r="B29" s="598"/>
      <c r="C29" s="599"/>
    </row>
    <row r="30" spans="1:10">
      <c r="A30" s="595"/>
      <c r="B30" s="598"/>
      <c r="C30" s="599"/>
    </row>
    <row r="31" spans="1:10">
      <c r="A31" s="595"/>
      <c r="B31" s="598"/>
      <c r="C31" s="599"/>
    </row>
    <row r="32" spans="1:10">
      <c r="A32" s="595"/>
      <c r="B32" s="598"/>
      <c r="C32" s="599"/>
    </row>
    <row r="33" spans="1:3">
      <c r="A33" s="595"/>
      <c r="B33" s="598"/>
      <c r="C33" s="599"/>
    </row>
    <row r="34" spans="1:3">
      <c r="A34" s="595"/>
      <c r="B34" s="598"/>
      <c r="C34" s="599"/>
    </row>
    <row r="35" spans="1:3">
      <c r="A35" s="595"/>
      <c r="B35" s="598"/>
      <c r="C35" s="599"/>
    </row>
    <row r="36" spans="1:3">
      <c r="A36" s="595"/>
      <c r="B36" s="598"/>
      <c r="C36" s="599"/>
    </row>
    <row r="37" spans="1:3">
      <c r="A37" s="595"/>
      <c r="B37" s="598"/>
      <c r="C37" s="599"/>
    </row>
    <row r="38" spans="1:3">
      <c r="A38" s="595"/>
      <c r="B38" s="598"/>
      <c r="C38" s="599"/>
    </row>
    <row r="39" spans="1:3">
      <c r="A39" s="595"/>
      <c r="B39" s="598"/>
      <c r="C39" s="599"/>
    </row>
    <row r="40" spans="1:3">
      <c r="A40" s="595"/>
      <c r="B40" s="598"/>
      <c r="C40" s="599"/>
    </row>
    <row r="41" spans="1:3">
      <c r="A41" s="595"/>
      <c r="B41" s="598"/>
      <c r="C41" s="599"/>
    </row>
    <row r="42" spans="1:3">
      <c r="A42" s="595"/>
      <c r="B42" s="598"/>
      <c r="C42" s="599"/>
    </row>
    <row r="43" spans="1:3">
      <c r="A43" s="595"/>
      <c r="B43" s="598"/>
      <c r="C43" s="599"/>
    </row>
    <row r="44" spans="1:3">
      <c r="A44" s="595"/>
      <c r="B44" s="598"/>
      <c r="C44" s="599"/>
    </row>
    <row r="45" spans="1:3">
      <c r="A45" s="595"/>
      <c r="B45" s="598"/>
      <c r="C45" s="599"/>
    </row>
    <row r="46" spans="1:3">
      <c r="A46" s="595"/>
      <c r="B46" s="598"/>
      <c r="C46" s="599"/>
    </row>
    <row r="47" spans="1:3">
      <c r="A47" s="595"/>
      <c r="B47" s="598"/>
      <c r="C47" s="599"/>
    </row>
    <row r="48" spans="1:3">
      <c r="A48" s="595"/>
      <c r="B48" s="598"/>
      <c r="C48" s="599"/>
    </row>
    <row r="49" spans="1:3">
      <c r="A49" s="595"/>
      <c r="B49" s="598"/>
      <c r="C49" s="599"/>
    </row>
    <row r="50" spans="1:3">
      <c r="A50" s="595"/>
      <c r="B50" s="598"/>
      <c r="C50" s="599"/>
    </row>
    <row r="51" spans="1:3">
      <c r="A51" s="595"/>
      <c r="B51" s="598"/>
      <c r="C51" s="599"/>
    </row>
    <row r="52" spans="1:3">
      <c r="A52" s="595"/>
      <c r="B52" s="598"/>
      <c r="C52" s="599"/>
    </row>
    <row r="53" spans="1:3">
      <c r="A53" s="595"/>
      <c r="B53" s="598"/>
      <c r="C53" s="599"/>
    </row>
    <row r="54" spans="1:3">
      <c r="A54" s="595"/>
      <c r="B54" s="598"/>
      <c r="C54" s="599"/>
    </row>
    <row r="55" spans="1:3">
      <c r="A55" s="595"/>
      <c r="B55" s="598"/>
      <c r="C55" s="599"/>
    </row>
    <row r="56" spans="1:3">
      <c r="A56" s="595"/>
      <c r="B56" s="598"/>
      <c r="C56" s="599"/>
    </row>
    <row r="57" spans="1:3">
      <c r="A57" s="595"/>
      <c r="B57" s="598"/>
      <c r="C57" s="243"/>
    </row>
    <row r="58" spans="1:3">
      <c r="A58" s="595"/>
      <c r="B58" s="598"/>
      <c r="C58" s="243"/>
    </row>
    <row r="59" spans="1:3">
      <c r="A59" s="595"/>
      <c r="B59" s="598"/>
      <c r="C59" s="243"/>
    </row>
    <row r="60" spans="1:3">
      <c r="A60" s="595"/>
      <c r="B60" s="598"/>
      <c r="C60" s="243"/>
    </row>
    <row r="61" spans="1:3">
      <c r="A61" s="595"/>
      <c r="B61" s="598"/>
      <c r="C61" s="243"/>
    </row>
    <row r="62" spans="1:3">
      <c r="A62" s="595"/>
      <c r="B62" s="598"/>
      <c r="C62" s="243"/>
    </row>
    <row r="63" spans="1:3">
      <c r="A63" s="595"/>
      <c r="B63" s="598"/>
      <c r="C63" s="243"/>
    </row>
    <row r="64" spans="1:3">
      <c r="A64" s="595"/>
      <c r="B64" s="598"/>
      <c r="C64" s="243"/>
    </row>
    <row r="65" spans="1:3">
      <c r="A65" s="595"/>
      <c r="B65" s="598"/>
      <c r="C65" s="243"/>
    </row>
    <row r="66" spans="1:3">
      <c r="A66" s="595"/>
      <c r="B66" s="598"/>
      <c r="C66" s="243"/>
    </row>
    <row r="67" spans="1:3">
      <c r="A67" s="595"/>
      <c r="B67" s="598"/>
      <c r="C67" s="243"/>
    </row>
    <row r="68" spans="1:3">
      <c r="A68" s="595"/>
      <c r="B68" s="598"/>
      <c r="C68" s="243"/>
    </row>
    <row r="69" spans="1:3">
      <c r="A69" s="595"/>
      <c r="B69" s="598"/>
      <c r="C69" s="243"/>
    </row>
    <row r="70" spans="1:3">
      <c r="A70" s="595"/>
      <c r="B70" s="598"/>
      <c r="C70" s="243"/>
    </row>
    <row r="71" spans="1:3">
      <c r="A71" s="595"/>
      <c r="B71" s="598"/>
      <c r="C71" s="243"/>
    </row>
    <row r="72" spans="1:3">
      <c r="A72" s="595"/>
      <c r="B72" s="598"/>
      <c r="C72" s="243"/>
    </row>
    <row r="73" spans="1:3">
      <c r="A73" s="595"/>
      <c r="B73" s="598"/>
      <c r="C73" s="243"/>
    </row>
    <row r="74" spans="1:3">
      <c r="A74" s="595"/>
      <c r="B74" s="598"/>
      <c r="C74" s="243"/>
    </row>
    <row r="75" spans="1:3">
      <c r="A75" s="595"/>
      <c r="B75" s="598"/>
      <c r="C75" s="243"/>
    </row>
    <row r="76" spans="1:3">
      <c r="A76" s="595"/>
      <c r="B76" s="598"/>
      <c r="C76" s="243"/>
    </row>
    <row r="77" spans="1:3">
      <c r="A77" s="595"/>
      <c r="B77" s="598"/>
      <c r="C77" s="243"/>
    </row>
    <row r="78" spans="1:3">
      <c r="A78" s="595"/>
      <c r="B78" s="598"/>
      <c r="C78" s="243"/>
    </row>
    <row r="79" spans="1:3">
      <c r="A79" s="595"/>
      <c r="B79" s="598"/>
      <c r="C79" s="243"/>
    </row>
    <row r="80" spans="1:3">
      <c r="A80" s="595"/>
      <c r="B80" s="598"/>
      <c r="C80" s="243"/>
    </row>
    <row r="81" spans="1:3">
      <c r="A81" s="595"/>
      <c r="B81" s="598"/>
      <c r="C81" s="243"/>
    </row>
    <row r="82" spans="1:3">
      <c r="A82" s="595"/>
      <c r="B82" s="598"/>
      <c r="C82" s="243"/>
    </row>
    <row r="83" spans="1:3">
      <c r="A83" s="595"/>
      <c r="B83" s="598"/>
      <c r="C83" s="243"/>
    </row>
    <row r="84" spans="1:3">
      <c r="A84" s="595"/>
      <c r="B84" s="598"/>
      <c r="C84" s="243"/>
    </row>
    <row r="85" spans="1:3">
      <c r="A85" s="595"/>
      <c r="B85" s="598"/>
      <c r="C85" s="243"/>
    </row>
    <row r="86" spans="1:3">
      <c r="A86" s="595"/>
      <c r="B86" s="598"/>
      <c r="C86" s="243"/>
    </row>
    <row r="87" spans="1:3">
      <c r="A87" s="595"/>
      <c r="B87" s="598"/>
      <c r="C87" s="243"/>
    </row>
    <row r="88" spans="1:3">
      <c r="A88" s="595"/>
      <c r="B88" s="598"/>
      <c r="C88" s="243"/>
    </row>
    <row r="89" spans="1:3">
      <c r="A89" s="595"/>
      <c r="B89" s="598"/>
      <c r="C89" s="243"/>
    </row>
    <row r="90" spans="1:3">
      <c r="A90" s="595"/>
      <c r="B90" s="598"/>
      <c r="C90" s="243"/>
    </row>
    <row r="91" spans="1:3">
      <c r="A91" s="595"/>
      <c r="B91" s="598"/>
      <c r="C91" s="243"/>
    </row>
    <row r="92" spans="1:3">
      <c r="A92" s="595"/>
      <c r="B92" s="598"/>
      <c r="C92" s="243"/>
    </row>
    <row r="93" spans="1:3">
      <c r="A93" s="595"/>
      <c r="B93" s="598"/>
      <c r="C93" s="243"/>
    </row>
    <row r="94" spans="1:3">
      <c r="A94" s="595"/>
      <c r="B94" s="598"/>
      <c r="C94" s="243"/>
    </row>
    <row r="95" spans="1:3">
      <c r="A95" s="595"/>
      <c r="B95" s="598"/>
      <c r="C95" s="243"/>
    </row>
    <row r="96" spans="1:3">
      <c r="A96" s="595"/>
      <c r="B96" s="598"/>
      <c r="C96" s="243"/>
    </row>
    <row r="97" spans="1:3">
      <c r="A97" s="595"/>
      <c r="B97" s="598"/>
      <c r="C97" s="243"/>
    </row>
    <row r="98" spans="1:3">
      <c r="A98" s="595"/>
      <c r="B98" s="598"/>
      <c r="C98" s="243"/>
    </row>
    <row r="99" spans="1:3">
      <c r="A99" s="595"/>
      <c r="B99" s="598"/>
      <c r="C99" s="243"/>
    </row>
    <row r="100" spans="1:3">
      <c r="A100" s="595"/>
      <c r="B100" s="598"/>
      <c r="C100" s="243"/>
    </row>
    <row r="101" spans="1:3">
      <c r="A101" s="595"/>
      <c r="B101" s="598"/>
      <c r="C101" s="243"/>
    </row>
    <row r="102" spans="1:3">
      <c r="A102" s="595"/>
      <c r="B102" s="598"/>
      <c r="C102" s="243"/>
    </row>
    <row r="103" spans="1:3">
      <c r="A103" s="595"/>
      <c r="B103" s="598"/>
      <c r="C103" s="243"/>
    </row>
    <row r="104" spans="1:3">
      <c r="A104" s="595"/>
      <c r="B104" s="598"/>
      <c r="C104" s="243"/>
    </row>
    <row r="105" spans="1:3">
      <c r="A105" s="595"/>
      <c r="B105" s="598"/>
      <c r="C105" s="243"/>
    </row>
    <row r="106" spans="1:3">
      <c r="A106" s="595"/>
      <c r="B106" s="598"/>
      <c r="C106" s="243"/>
    </row>
    <row r="107" spans="1:3">
      <c r="A107" s="595"/>
      <c r="B107" s="598"/>
      <c r="C107" s="243"/>
    </row>
    <row r="108" spans="1:3">
      <c r="A108" s="595"/>
      <c r="B108" s="598"/>
      <c r="C108" s="243"/>
    </row>
    <row r="109" spans="1:3">
      <c r="A109" s="595"/>
      <c r="B109" s="598"/>
      <c r="C109" s="243"/>
    </row>
    <row r="110" spans="1:3">
      <c r="A110" s="595"/>
      <c r="B110" s="598"/>
      <c r="C110" s="243"/>
    </row>
    <row r="111" spans="1:3">
      <c r="A111" s="595"/>
      <c r="B111" s="598"/>
      <c r="C111" s="243"/>
    </row>
    <row r="112" spans="1:3">
      <c r="A112" s="595"/>
      <c r="B112" s="598"/>
      <c r="C112" s="243"/>
    </row>
    <row r="113" spans="1:3">
      <c r="A113" s="595"/>
      <c r="B113" s="598"/>
      <c r="C113" s="243"/>
    </row>
    <row r="114" spans="1:3">
      <c r="A114" s="595"/>
      <c r="B114" s="598"/>
      <c r="C114" s="243"/>
    </row>
    <row r="115" spans="1:3">
      <c r="A115" s="595"/>
      <c r="B115" s="598"/>
      <c r="C115" s="243"/>
    </row>
    <row r="116" spans="1:3">
      <c r="A116" s="595"/>
      <c r="B116" s="598"/>
      <c r="C116" s="243"/>
    </row>
    <row r="117" spans="1:3">
      <c r="A117" s="595"/>
      <c r="B117" s="598"/>
      <c r="C117" s="243"/>
    </row>
    <row r="118" spans="1:3">
      <c r="A118" s="595"/>
      <c r="B118" s="598"/>
      <c r="C118" s="243"/>
    </row>
    <row r="119" spans="1:3">
      <c r="A119" s="595"/>
      <c r="B119" s="598"/>
      <c r="C119" s="243"/>
    </row>
    <row r="120" spans="1:3">
      <c r="A120" s="595"/>
      <c r="B120" s="598"/>
      <c r="C120" s="243"/>
    </row>
    <row r="121" spans="1:3">
      <c r="A121" s="595"/>
      <c r="B121" s="598"/>
      <c r="C121" s="243"/>
    </row>
    <row r="122" spans="1:3">
      <c r="A122" s="595"/>
      <c r="B122" s="598"/>
      <c r="C122" s="243"/>
    </row>
    <row r="123" spans="1:3">
      <c r="A123" s="595"/>
      <c r="B123" s="598"/>
      <c r="C123" s="243"/>
    </row>
    <row r="124" spans="1:3">
      <c r="A124" s="595"/>
      <c r="B124" s="598"/>
      <c r="C124" s="243"/>
    </row>
    <row r="125" spans="1:3">
      <c r="A125" s="595"/>
      <c r="B125" s="598"/>
      <c r="C125" s="243"/>
    </row>
    <row r="126" spans="1:3">
      <c r="A126" s="595"/>
      <c r="B126" s="598"/>
      <c r="C126" s="243"/>
    </row>
    <row r="127" spans="1:3">
      <c r="A127" s="595"/>
      <c r="B127" s="598"/>
      <c r="C127" s="243"/>
    </row>
    <row r="128" spans="1:3">
      <c r="A128" s="595"/>
      <c r="B128" s="598"/>
      <c r="C128" s="243"/>
    </row>
    <row r="129" spans="1:3">
      <c r="A129" s="595"/>
      <c r="B129" s="598"/>
      <c r="C129" s="243"/>
    </row>
    <row r="130" spans="1:3">
      <c r="A130" s="595"/>
      <c r="B130" s="598"/>
      <c r="C130" s="243"/>
    </row>
    <row r="131" spans="1:3">
      <c r="A131" s="595"/>
      <c r="B131" s="598"/>
      <c r="C131" s="243"/>
    </row>
    <row r="132" spans="1:3">
      <c r="A132" s="595"/>
      <c r="B132" s="598"/>
      <c r="C132" s="243"/>
    </row>
    <row r="133" spans="1:3">
      <c r="A133" s="595"/>
      <c r="B133" s="598"/>
      <c r="C133" s="243"/>
    </row>
    <row r="134" spans="1:3">
      <c r="A134" s="595"/>
      <c r="B134" s="598"/>
      <c r="C134" s="243"/>
    </row>
    <row r="135" spans="1:3">
      <c r="A135" s="595"/>
      <c r="B135" s="598"/>
      <c r="C135" s="243"/>
    </row>
    <row r="136" spans="1:3">
      <c r="A136" s="595"/>
      <c r="B136" s="598"/>
      <c r="C136" s="243"/>
    </row>
    <row r="137" spans="1:3">
      <c r="A137" s="595"/>
      <c r="B137" s="598"/>
      <c r="C137" s="243"/>
    </row>
    <row r="138" spans="1:3">
      <c r="A138" s="595"/>
      <c r="B138" s="598"/>
      <c r="C138" s="243"/>
    </row>
    <row r="139" spans="1:3">
      <c r="A139" s="595"/>
      <c r="B139" s="598"/>
      <c r="C139" s="243"/>
    </row>
    <row r="140" spans="1:3">
      <c r="A140" s="595"/>
      <c r="B140" s="598"/>
      <c r="C140" s="243"/>
    </row>
    <row r="141" spans="1:3">
      <c r="A141" s="595"/>
      <c r="B141" s="598"/>
      <c r="C141" s="243"/>
    </row>
    <row r="142" spans="1:3">
      <c r="A142" s="595"/>
      <c r="B142" s="598"/>
      <c r="C142" s="243"/>
    </row>
    <row r="143" spans="1:3">
      <c r="A143" s="595"/>
      <c r="B143" s="598"/>
      <c r="C143" s="243"/>
    </row>
    <row r="144" spans="1:3">
      <c r="A144" s="595"/>
      <c r="B144" s="598"/>
      <c r="C144" s="243"/>
    </row>
    <row r="145" spans="1:3">
      <c r="A145" s="595"/>
      <c r="B145" s="598"/>
      <c r="C145" s="243"/>
    </row>
    <row r="146" spans="1:3">
      <c r="A146" s="595"/>
      <c r="B146" s="598"/>
      <c r="C146" s="243"/>
    </row>
    <row r="147" spans="1:3">
      <c r="A147" s="595"/>
      <c r="B147" s="598"/>
      <c r="C147" s="243"/>
    </row>
    <row r="148" spans="1:3">
      <c r="A148" s="595"/>
      <c r="B148" s="598"/>
      <c r="C148" s="243"/>
    </row>
  </sheetData>
  <mergeCells count="1">
    <mergeCell ref="D4:J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Plan34">
    <tabColor theme="7" tint="0.39997558519241921"/>
  </sheetPr>
  <dimension ref="A1:L34"/>
  <sheetViews>
    <sheetView topLeftCell="A20" workbookViewId="0">
      <selection activeCell="B16" sqref="B16:D16"/>
    </sheetView>
  </sheetViews>
  <sheetFormatPr defaultRowHeight="12.75"/>
  <cols>
    <col min="1" max="1" width="2.7109375" customWidth="1"/>
    <col min="2" max="2" width="56.42578125" customWidth="1"/>
    <col min="3" max="3" width="14.85546875" customWidth="1"/>
    <col min="4" max="4" width="17.140625" customWidth="1"/>
    <col min="5" max="5" width="14.28515625" customWidth="1"/>
    <col min="6" max="6" width="14.140625" customWidth="1"/>
    <col min="7" max="7" width="11.28515625" bestFit="1" customWidth="1"/>
  </cols>
  <sheetData>
    <row r="1" spans="1:9" ht="27" customHeight="1">
      <c r="A1" s="283"/>
      <c r="B1" s="1985" t="s">
        <v>2002</v>
      </c>
      <c r="C1" s="1986"/>
      <c r="D1" s="1986"/>
      <c r="E1" s="1986"/>
      <c r="F1" s="1987"/>
      <c r="G1" s="283"/>
      <c r="H1" s="283"/>
      <c r="I1" s="283"/>
    </row>
    <row r="2" spans="1:9" ht="38.25" customHeight="1">
      <c r="A2" s="283"/>
      <c r="B2" s="772" t="s">
        <v>2003</v>
      </c>
      <c r="C2" s="773" t="s">
        <v>2004</v>
      </c>
      <c r="D2" s="774" t="s">
        <v>2005</v>
      </c>
      <c r="E2" s="774" t="s">
        <v>2006</v>
      </c>
      <c r="F2" s="772" t="s">
        <v>2007</v>
      </c>
      <c r="G2" s="551"/>
      <c r="H2" s="283"/>
      <c r="I2" s="283"/>
    </row>
    <row r="3" spans="1:9" ht="30.75" customHeight="1">
      <c r="A3" s="283"/>
      <c r="B3" s="542" t="s">
        <v>2008</v>
      </c>
      <c r="C3" s="550">
        <f>697.56</f>
        <v>697.56</v>
      </c>
      <c r="D3" s="543">
        <v>10</v>
      </c>
      <c r="E3" s="543" t="s">
        <v>1920</v>
      </c>
      <c r="F3" s="550">
        <f>C3*D3</f>
        <v>6975.5999999999995</v>
      </c>
      <c r="G3" s="283"/>
      <c r="H3" s="283"/>
      <c r="I3" s="283"/>
    </row>
    <row r="4" spans="1:9" s="419" customFormat="1" ht="36">
      <c r="A4" s="356"/>
      <c r="B4" s="772" t="s">
        <v>2009</v>
      </c>
      <c r="C4" s="773" t="s">
        <v>2010</v>
      </c>
      <c r="D4" s="774" t="s">
        <v>2005</v>
      </c>
      <c r="E4" s="774" t="s">
        <v>2006</v>
      </c>
      <c r="F4" s="772" t="s">
        <v>2007</v>
      </c>
      <c r="G4" s="356"/>
      <c r="H4" s="356"/>
      <c r="I4" s="356"/>
    </row>
    <row r="5" spans="1:9" ht="27" customHeight="1">
      <c r="A5" s="283"/>
      <c r="B5" s="542" t="s">
        <v>2011</v>
      </c>
      <c r="C5" s="545">
        <v>1359.09</v>
      </c>
      <c r="D5" s="543">
        <v>40</v>
      </c>
      <c r="E5" s="543" t="s">
        <v>1920</v>
      </c>
      <c r="F5" s="550">
        <f>C5*D5</f>
        <v>54363.6</v>
      </c>
      <c r="G5" s="283"/>
      <c r="H5" s="283"/>
      <c r="I5" s="283"/>
    </row>
    <row r="6" spans="1:9" s="419" customFormat="1" ht="36">
      <c r="A6" s="356"/>
      <c r="B6" s="772" t="s">
        <v>2012</v>
      </c>
      <c r="C6" s="773" t="s">
        <v>2010</v>
      </c>
      <c r="D6" s="774" t="s">
        <v>2005</v>
      </c>
      <c r="E6" s="774" t="s">
        <v>2006</v>
      </c>
      <c r="F6" s="772" t="s">
        <v>2007</v>
      </c>
      <c r="G6" s="356"/>
      <c r="H6" s="356"/>
      <c r="I6" s="356"/>
    </row>
    <row r="7" spans="1:9" ht="26.25" customHeight="1">
      <c r="A7" s="283"/>
      <c r="B7" s="542" t="s">
        <v>2011</v>
      </c>
      <c r="C7" s="545">
        <f>C5</f>
        <v>1359.09</v>
      </c>
      <c r="D7" s="543">
        <v>40</v>
      </c>
      <c r="E7" s="550">
        <f>15356.0149706717*1.1</f>
        <v>16891.616467738873</v>
      </c>
      <c r="F7" s="550">
        <f>C7*D7+E7</f>
        <v>71255.216467738879</v>
      </c>
      <c r="G7" s="283"/>
      <c r="H7" s="283"/>
      <c r="I7" s="283"/>
    </row>
    <row r="8" spans="1:9" ht="18.75" customHeight="1">
      <c r="A8" s="283"/>
      <c r="B8" s="358"/>
      <c r="C8" s="358"/>
      <c r="D8" s="358"/>
      <c r="E8" s="358"/>
      <c r="F8" s="358"/>
      <c r="G8" s="283"/>
      <c r="H8" s="283"/>
      <c r="I8" s="283"/>
    </row>
    <row r="9" spans="1:9" ht="17.25" customHeight="1">
      <c r="A9" s="283"/>
      <c r="B9" s="1981" t="s">
        <v>2013</v>
      </c>
      <c r="C9" s="1982"/>
      <c r="D9" s="775"/>
      <c r="E9" s="142"/>
      <c r="F9" s="142"/>
      <c r="G9" s="283"/>
      <c r="H9" s="283"/>
      <c r="I9" s="283"/>
    </row>
    <row r="10" spans="1:9" ht="17.25" customHeight="1">
      <c r="A10" s="283"/>
      <c r="B10" s="776" t="s">
        <v>2014</v>
      </c>
      <c r="C10" s="776" t="s">
        <v>667</v>
      </c>
      <c r="D10" s="777" t="s">
        <v>2015</v>
      </c>
      <c r="E10" s="142"/>
      <c r="F10" s="142"/>
      <c r="G10" s="283"/>
      <c r="H10" s="283"/>
      <c r="I10" s="283"/>
    </row>
    <row r="11" spans="1:9" ht="17.25" customHeight="1">
      <c r="A11" s="283"/>
      <c r="B11" s="542" t="s">
        <v>2016</v>
      </c>
      <c r="C11" s="544">
        <v>8</v>
      </c>
      <c r="D11" s="546">
        <f>C11*F7</f>
        <v>570041.73174191103</v>
      </c>
      <c r="E11" s="547"/>
      <c r="F11" s="548"/>
      <c r="G11" s="552"/>
      <c r="H11" s="283"/>
      <c r="I11" s="283"/>
    </row>
    <row r="12" spans="1:9" ht="17.25" customHeight="1">
      <c r="A12" s="283"/>
      <c r="B12" s="542" t="s">
        <v>2017</v>
      </c>
      <c r="C12" s="544">
        <v>4</v>
      </c>
      <c r="D12" s="546">
        <f>C12*F5</f>
        <v>217454.4</v>
      </c>
      <c r="E12" s="547"/>
      <c r="F12" s="548"/>
      <c r="G12" s="552"/>
      <c r="H12" s="283"/>
      <c r="I12" s="283"/>
    </row>
    <row r="13" spans="1:9" ht="17.25" customHeight="1">
      <c r="A13" s="283"/>
      <c r="B13" s="542" t="s">
        <v>2018</v>
      </c>
      <c r="C13" s="544">
        <v>3</v>
      </c>
      <c r="D13" s="546">
        <f>C13*F7</f>
        <v>213765.64940321664</v>
      </c>
      <c r="E13" s="547"/>
      <c r="F13" s="548"/>
      <c r="G13" s="552"/>
      <c r="H13" s="283"/>
      <c r="I13" s="283"/>
    </row>
    <row r="14" spans="1:9" ht="17.25" customHeight="1">
      <c r="A14" s="283"/>
      <c r="B14" s="542" t="s">
        <v>2019</v>
      </c>
      <c r="C14" s="544">
        <v>10</v>
      </c>
      <c r="D14" s="546">
        <f>C14*F3</f>
        <v>69756</v>
      </c>
      <c r="E14" s="547"/>
      <c r="F14" s="548"/>
      <c r="G14" s="552"/>
      <c r="H14" s="283"/>
      <c r="I14" s="283"/>
    </row>
    <row r="15" spans="1:9" ht="17.25" customHeight="1">
      <c r="A15" s="283"/>
      <c r="B15" s="1983"/>
      <c r="C15" s="1984"/>
      <c r="D15" s="549"/>
      <c r="E15" s="142"/>
      <c r="F15" s="142"/>
      <c r="G15" s="283"/>
      <c r="H15" s="283"/>
      <c r="I15" s="283"/>
    </row>
    <row r="16" spans="1:9" ht="17.25" customHeight="1">
      <c r="A16" s="283"/>
      <c r="B16" s="778" t="s">
        <v>2020</v>
      </c>
      <c r="C16" s="779"/>
      <c r="D16" s="780">
        <f>SUM(D11:D14)</f>
        <v>1071017.7811451277</v>
      </c>
      <c r="E16" s="142"/>
      <c r="F16" s="548"/>
      <c r="G16" s="552"/>
      <c r="H16" s="283"/>
      <c r="I16" s="283"/>
    </row>
    <row r="17" spans="1:12">
      <c r="A17" s="283"/>
      <c r="B17" s="553" t="s">
        <v>2021</v>
      </c>
      <c r="C17" s="358"/>
      <c r="D17" s="362"/>
      <c r="E17" s="358"/>
      <c r="F17" s="358"/>
      <c r="G17" s="283"/>
      <c r="H17" s="283"/>
      <c r="I17" s="283"/>
      <c r="J17" s="283"/>
      <c r="K17" s="283"/>
      <c r="L17" s="283"/>
    </row>
    <row r="18" spans="1:12">
      <c r="A18" s="283"/>
      <c r="B18" s="553"/>
      <c r="C18" s="358"/>
      <c r="D18" s="362"/>
      <c r="E18" s="358"/>
      <c r="F18" s="358"/>
      <c r="G18" s="283"/>
      <c r="H18" s="283"/>
      <c r="I18" s="283"/>
      <c r="J18" s="283"/>
      <c r="K18" s="283"/>
      <c r="L18" s="283"/>
    </row>
    <row r="19" spans="1:12" ht="15" hidden="1">
      <c r="A19" s="283"/>
      <c r="B19" s="554" t="s">
        <v>2022</v>
      </c>
      <c r="C19" s="555"/>
      <c r="D19" s="556">
        <v>0</v>
      </c>
      <c r="E19" s="283"/>
      <c r="F19" s="283"/>
      <c r="G19" s="283"/>
      <c r="H19" s="283"/>
      <c r="I19" s="283"/>
      <c r="J19" s="283"/>
      <c r="K19" s="283"/>
      <c r="L19" s="283"/>
    </row>
    <row r="20" spans="1:12">
      <c r="A20" s="283"/>
      <c r="B20" s="283"/>
      <c r="C20" s="283"/>
      <c r="D20" s="283"/>
      <c r="E20" s="283"/>
      <c r="F20" s="283"/>
      <c r="G20" s="283"/>
      <c r="H20" s="283"/>
      <c r="I20" s="283"/>
      <c r="J20" s="283"/>
      <c r="K20" s="283"/>
      <c r="L20" s="283"/>
    </row>
    <row r="21" spans="1:12">
      <c r="A21" s="283"/>
      <c r="B21" s="283"/>
      <c r="C21" s="283"/>
      <c r="D21" s="283"/>
      <c r="E21" s="283"/>
      <c r="F21" s="283"/>
      <c r="G21" s="283"/>
      <c r="H21" s="283"/>
      <c r="I21" s="283"/>
      <c r="J21" s="283"/>
      <c r="K21" s="283"/>
      <c r="L21" s="283"/>
    </row>
    <row r="22" spans="1:12">
      <c r="A22" s="283"/>
      <c r="B22" s="283"/>
      <c r="C22" s="283"/>
      <c r="D22" s="283"/>
      <c r="E22" s="283"/>
      <c r="F22" s="283"/>
      <c r="G22" s="283"/>
      <c r="H22" s="283"/>
      <c r="I22" s="283"/>
      <c r="J22" s="283"/>
      <c r="K22" s="283"/>
      <c r="L22" s="283"/>
    </row>
    <row r="23" spans="1:12">
      <c r="A23" s="283"/>
      <c r="B23" s="283"/>
      <c r="C23" s="283"/>
      <c r="D23" s="283"/>
      <c r="E23" s="283"/>
      <c r="F23" s="283"/>
      <c r="G23" s="283"/>
      <c r="H23" s="283"/>
      <c r="I23" s="283"/>
      <c r="J23" s="283"/>
      <c r="K23" s="283"/>
      <c r="L23" s="283"/>
    </row>
    <row r="24" spans="1:12">
      <c r="A24" s="283"/>
      <c r="B24" s="283"/>
      <c r="C24" s="283"/>
      <c r="D24" s="283"/>
      <c r="E24" s="283"/>
      <c r="F24" s="283"/>
      <c r="G24" s="283"/>
      <c r="H24" s="283"/>
      <c r="I24" s="283"/>
      <c r="J24" s="283"/>
      <c r="K24" s="283"/>
      <c r="L24" s="283"/>
    </row>
    <row r="25" spans="1:12">
      <c r="A25" s="283"/>
      <c r="B25" s="283"/>
      <c r="C25" s="283"/>
      <c r="D25" s="283"/>
      <c r="E25" s="283"/>
      <c r="F25" s="283"/>
      <c r="G25" s="283"/>
      <c r="H25" s="283"/>
      <c r="I25" s="283"/>
      <c r="J25" s="283"/>
      <c r="K25" s="283"/>
      <c r="L25" s="283"/>
    </row>
    <row r="26" spans="1:12">
      <c r="A26" s="283"/>
      <c r="B26" s="283"/>
      <c r="C26" s="283"/>
      <c r="D26" s="283"/>
      <c r="E26" s="283"/>
      <c r="F26" s="283"/>
      <c r="G26" s="283"/>
      <c r="H26" s="283"/>
      <c r="I26" s="283"/>
      <c r="J26" s="283"/>
      <c r="K26" s="283"/>
      <c r="L26" s="283"/>
    </row>
    <row r="27" spans="1:12">
      <c r="A27" s="283"/>
      <c r="B27" s="283"/>
      <c r="C27" s="283"/>
      <c r="D27" s="283"/>
      <c r="E27" s="283"/>
      <c r="F27" s="283"/>
      <c r="G27" s="283"/>
      <c r="H27" s="283"/>
      <c r="I27" s="283"/>
      <c r="J27" s="283"/>
      <c r="K27" s="283"/>
      <c r="L27" s="283"/>
    </row>
    <row r="28" spans="1:12">
      <c r="A28" s="283"/>
      <c r="B28" s="283"/>
      <c r="C28" s="283"/>
      <c r="D28" s="283"/>
      <c r="E28" s="283"/>
      <c r="F28" s="283"/>
      <c r="G28" s="283"/>
      <c r="H28" s="283"/>
      <c r="I28" s="283"/>
      <c r="J28" s="283"/>
      <c r="K28" s="283"/>
      <c r="L28" s="283"/>
    </row>
    <row r="29" spans="1:12">
      <c r="A29" s="283"/>
      <c r="B29" s="283"/>
      <c r="C29" s="283"/>
      <c r="D29" s="283"/>
      <c r="E29" s="283"/>
      <c r="F29" s="283"/>
      <c r="G29" s="283"/>
      <c r="H29" s="283"/>
      <c r="I29" s="283"/>
      <c r="J29" s="283"/>
      <c r="K29" s="283"/>
      <c r="L29" s="283"/>
    </row>
    <row r="30" spans="1:12">
      <c r="A30" s="283"/>
      <c r="B30" s="283"/>
      <c r="C30" s="283"/>
      <c r="D30" s="283"/>
      <c r="E30" s="283"/>
      <c r="F30" s="283"/>
      <c r="G30" s="283"/>
      <c r="H30" s="283"/>
      <c r="I30" s="283"/>
      <c r="J30" s="283"/>
      <c r="K30" s="283"/>
      <c r="L30" s="283"/>
    </row>
    <row r="31" spans="1:12">
      <c r="A31" s="283"/>
      <c r="B31" s="283"/>
      <c r="C31" s="283"/>
      <c r="D31" s="283"/>
      <c r="E31" s="283"/>
      <c r="F31" s="283"/>
      <c r="G31" s="283"/>
      <c r="H31" s="283"/>
      <c r="I31" s="283"/>
      <c r="J31" s="283"/>
      <c r="K31" s="283"/>
      <c r="L31" s="283"/>
    </row>
    <row r="32" spans="1:12">
      <c r="A32" s="283"/>
      <c r="B32" s="283"/>
      <c r="C32" s="283"/>
      <c r="D32" s="283"/>
      <c r="E32" s="283"/>
      <c r="F32" s="283"/>
      <c r="G32" s="283"/>
      <c r="H32" s="283"/>
      <c r="I32" s="283"/>
      <c r="J32" s="283"/>
      <c r="K32" s="283"/>
      <c r="L32" s="283"/>
    </row>
    <row r="33" spans="1:9">
      <c r="A33" s="283"/>
      <c r="G33" s="283"/>
      <c r="H33" s="283"/>
      <c r="I33" s="283"/>
    </row>
    <row r="34" spans="1:9">
      <c r="A34" s="283"/>
    </row>
  </sheetData>
  <mergeCells count="3">
    <mergeCell ref="B9:C9"/>
    <mergeCell ref="B15:C15"/>
    <mergeCell ref="B1:F1"/>
  </mergeCells>
  <pageMargins left="0.511811024" right="0.511811024" top="0.78740157499999996" bottom="0.78740157499999996" header="0.31496062000000002" footer="0.3149606200000000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rgb="FF7030A0"/>
  </sheetPr>
  <dimension ref="A1:N28"/>
  <sheetViews>
    <sheetView workbookViewId="0">
      <selection activeCell="B16" sqref="B16:D16"/>
    </sheetView>
  </sheetViews>
  <sheetFormatPr defaultRowHeight="12.75"/>
  <cols>
    <col min="2" max="2" width="89.85546875" customWidth="1"/>
    <col min="3" max="3" width="10" customWidth="1"/>
    <col min="5" max="5" width="11.42578125" customWidth="1"/>
    <col min="6" max="6" width="14.85546875" customWidth="1"/>
    <col min="7" max="7" width="28.28515625" customWidth="1"/>
  </cols>
  <sheetData>
    <row r="1" spans="1:14" ht="13.5" thickBot="1">
      <c r="A1" s="1988" t="s">
        <v>2023</v>
      </c>
      <c r="B1" s="1989"/>
      <c r="C1" s="1989"/>
      <c r="D1" s="1989"/>
      <c r="E1" s="1989"/>
      <c r="F1" s="1989"/>
      <c r="G1" s="1990"/>
      <c r="I1">
        <v>92</v>
      </c>
      <c r="J1">
        <v>105.4</v>
      </c>
    </row>
    <row r="2" spans="1:14">
      <c r="A2" s="1991"/>
      <c r="B2" s="1992"/>
      <c r="C2" s="1992"/>
      <c r="D2" s="1992"/>
      <c r="E2" s="1992"/>
      <c r="F2" s="1992"/>
      <c r="G2" s="1993"/>
      <c r="J2">
        <f>J1/I1</f>
        <v>1.1456521739130436</v>
      </c>
    </row>
    <row r="3" spans="1:14">
      <c r="A3" s="1994" t="s">
        <v>2024</v>
      </c>
      <c r="B3" s="1995"/>
      <c r="C3" s="1995"/>
      <c r="D3" s="1995"/>
      <c r="E3" s="1995"/>
      <c r="F3" s="1995"/>
      <c r="G3" s="1996"/>
      <c r="L3">
        <f>N3*0.8</f>
        <v>289840</v>
      </c>
      <c r="N3">
        <v>362300</v>
      </c>
    </row>
    <row r="4" spans="1:14">
      <c r="A4" s="1997"/>
      <c r="B4" s="1998"/>
      <c r="C4" s="1998"/>
      <c r="D4" s="1998"/>
      <c r="E4" s="1998"/>
      <c r="F4" s="1998"/>
      <c r="G4" s="1999"/>
      <c r="L4">
        <f t="shared" ref="L4:L15" si="0">N4*0.8</f>
        <v>289840</v>
      </c>
      <c r="N4">
        <v>362300</v>
      </c>
    </row>
    <row r="5" spans="1:14">
      <c r="A5" s="1180" t="s">
        <v>2025</v>
      </c>
      <c r="B5" s="1180" t="s">
        <v>1766</v>
      </c>
      <c r="C5" s="1180" t="s">
        <v>2026</v>
      </c>
      <c r="D5" s="1181" t="s">
        <v>1430</v>
      </c>
      <c r="E5" s="1181" t="s">
        <v>667</v>
      </c>
      <c r="F5" s="1180" t="s">
        <v>2027</v>
      </c>
      <c r="G5" s="1180" t="s">
        <v>2028</v>
      </c>
      <c r="L5">
        <f t="shared" si="0"/>
        <v>327536</v>
      </c>
      <c r="N5">
        <v>409420</v>
      </c>
    </row>
    <row r="6" spans="1:14">
      <c r="A6" s="1718" t="s">
        <v>2029</v>
      </c>
      <c r="B6" s="1719" t="s">
        <v>2030</v>
      </c>
      <c r="C6" s="1719">
        <v>41400</v>
      </c>
      <c r="D6" s="1720" t="s">
        <v>411</v>
      </c>
      <c r="E6" s="1721">
        <f>L3*$J$2</f>
        <v>332055.82608695654</v>
      </c>
      <c r="F6" s="1722">
        <v>0.14000000000000001</v>
      </c>
      <c r="G6" s="1723">
        <f>F6*E6</f>
        <v>46487.815652173922</v>
      </c>
      <c r="L6">
        <f t="shared" si="0"/>
        <v>6400</v>
      </c>
      <c r="N6">
        <v>8000</v>
      </c>
    </row>
    <row r="7" spans="1:14">
      <c r="A7" s="1718" t="s">
        <v>2031</v>
      </c>
      <c r="B7" s="1719" t="s">
        <v>2032</v>
      </c>
      <c r="C7" s="1719">
        <v>41401</v>
      </c>
      <c r="D7" s="1720" t="s">
        <v>411</v>
      </c>
      <c r="E7" s="1721">
        <f t="shared" ref="E7:E18" si="1">L4*$J$2</f>
        <v>332055.82608695654</v>
      </c>
      <c r="F7" s="1724">
        <v>0.62</v>
      </c>
      <c r="G7" s="1725">
        <f t="shared" ref="G7:G18" si="2">F7*E7</f>
        <v>205874.61217391305</v>
      </c>
      <c r="L7">
        <f t="shared" si="0"/>
        <v>620800</v>
      </c>
      <c r="N7">
        <v>776000</v>
      </c>
    </row>
    <row r="8" spans="1:14">
      <c r="A8" s="1718" t="s">
        <v>2033</v>
      </c>
      <c r="B8" s="1719" t="s">
        <v>2034</v>
      </c>
      <c r="C8" s="1719">
        <v>41369</v>
      </c>
      <c r="D8" s="1720" t="s">
        <v>411</v>
      </c>
      <c r="E8" s="1721">
        <f t="shared" si="1"/>
        <v>375242.33043478266</v>
      </c>
      <c r="F8" s="1722">
        <v>0.2</v>
      </c>
      <c r="G8" s="1723">
        <f t="shared" si="2"/>
        <v>75048.466086956541</v>
      </c>
      <c r="L8">
        <f t="shared" si="0"/>
        <v>37248</v>
      </c>
      <c r="N8">
        <v>46560</v>
      </c>
    </row>
    <row r="9" spans="1:14">
      <c r="A9" s="1718" t="s">
        <v>2035</v>
      </c>
      <c r="B9" s="1719" t="s">
        <v>2036</v>
      </c>
      <c r="C9" s="1719">
        <v>41399</v>
      </c>
      <c r="D9" s="1720" t="s">
        <v>411</v>
      </c>
      <c r="E9" s="1721">
        <f t="shared" si="1"/>
        <v>7332.1739130434789</v>
      </c>
      <c r="F9" s="1724">
        <v>0.2</v>
      </c>
      <c r="G9" s="1725">
        <f t="shared" si="2"/>
        <v>1466.434782608696</v>
      </c>
      <c r="L9">
        <f t="shared" si="0"/>
        <v>452256</v>
      </c>
      <c r="N9">
        <v>565320</v>
      </c>
    </row>
    <row r="10" spans="1:14">
      <c r="A10" s="1718" t="s">
        <v>2031</v>
      </c>
      <c r="B10" s="1719" t="s">
        <v>2037</v>
      </c>
      <c r="C10" s="1719">
        <v>41401</v>
      </c>
      <c r="D10" s="1720" t="s">
        <v>411</v>
      </c>
      <c r="E10" s="1721">
        <f t="shared" si="1"/>
        <v>711220.86956521752</v>
      </c>
      <c r="F10" s="1724">
        <v>0.62</v>
      </c>
      <c r="G10" s="1725">
        <f t="shared" si="2"/>
        <v>440956.93913043488</v>
      </c>
      <c r="L10">
        <f t="shared" si="0"/>
        <v>1488</v>
      </c>
      <c r="N10">
        <v>1860</v>
      </c>
    </row>
    <row r="11" spans="1:14">
      <c r="A11" s="1726"/>
      <c r="B11" s="1719" t="s">
        <v>2038</v>
      </c>
      <c r="C11" s="1719"/>
      <c r="D11" s="1720" t="s">
        <v>2039</v>
      </c>
      <c r="E11" s="1721">
        <f t="shared" si="1"/>
        <v>42673.252173913046</v>
      </c>
      <c r="F11" s="1724">
        <v>0.04</v>
      </c>
      <c r="G11" s="1725">
        <f t="shared" si="2"/>
        <v>1706.9300869565218</v>
      </c>
      <c r="L11">
        <f t="shared" si="0"/>
        <v>6000</v>
      </c>
      <c r="N11">
        <v>7500</v>
      </c>
    </row>
    <row r="12" spans="1:14" ht="22.5">
      <c r="A12" s="1718" t="s">
        <v>2040</v>
      </c>
      <c r="B12" s="1719" t="s">
        <v>2041</v>
      </c>
      <c r="C12" s="1719"/>
      <c r="D12" s="1720" t="s">
        <v>411</v>
      </c>
      <c r="E12" s="1721">
        <f t="shared" si="1"/>
        <v>518128.06956521748</v>
      </c>
      <c r="F12" s="1722">
        <v>1.71</v>
      </c>
      <c r="G12" s="1723">
        <f t="shared" si="2"/>
        <v>885998.99895652186</v>
      </c>
      <c r="L12">
        <f t="shared" si="0"/>
        <v>5612</v>
      </c>
      <c r="N12">
        <v>7015</v>
      </c>
    </row>
    <row r="13" spans="1:14">
      <c r="A13" s="1726"/>
      <c r="B13" s="1719" t="s">
        <v>2042</v>
      </c>
      <c r="C13" s="1719"/>
      <c r="D13" s="1720" t="s">
        <v>411</v>
      </c>
      <c r="E13" s="1721">
        <f t="shared" si="1"/>
        <v>1704.7304347826089</v>
      </c>
      <c r="F13" s="1724">
        <v>1.71</v>
      </c>
      <c r="G13" s="1725">
        <f t="shared" si="2"/>
        <v>2915.0890434782609</v>
      </c>
      <c r="L13">
        <f t="shared" si="0"/>
        <v>6423.2000000000007</v>
      </c>
      <c r="N13">
        <v>8029</v>
      </c>
    </row>
    <row r="14" spans="1:14">
      <c r="A14" s="1718" t="s">
        <v>2043</v>
      </c>
      <c r="B14" s="1719" t="s">
        <v>2044</v>
      </c>
      <c r="C14" s="1719"/>
      <c r="D14" s="1720" t="s">
        <v>411</v>
      </c>
      <c r="E14" s="1721">
        <f t="shared" si="1"/>
        <v>6873.9130434782619</v>
      </c>
      <c r="F14" s="1724">
        <v>1.71</v>
      </c>
      <c r="G14" s="1725">
        <f t="shared" si="2"/>
        <v>11754.391304347828</v>
      </c>
      <c r="L14">
        <f t="shared" si="0"/>
        <v>7335.2000000000007</v>
      </c>
      <c r="N14">
        <v>9169</v>
      </c>
    </row>
    <row r="15" spans="1:14">
      <c r="A15" s="1718" t="s">
        <v>2045</v>
      </c>
      <c r="B15" s="1719" t="s">
        <v>2046</v>
      </c>
      <c r="C15" s="1719"/>
      <c r="D15" s="1720" t="s">
        <v>416</v>
      </c>
      <c r="E15" s="1721">
        <f t="shared" si="1"/>
        <v>6429.4000000000005</v>
      </c>
      <c r="F15" s="1722">
        <v>46.16</v>
      </c>
      <c r="G15" s="1723">
        <f t="shared" si="2"/>
        <v>296781.10399999999</v>
      </c>
      <c r="L15">
        <f t="shared" si="0"/>
        <v>80</v>
      </c>
      <c r="N15">
        <v>100</v>
      </c>
    </row>
    <row r="16" spans="1:14">
      <c r="A16" s="1726"/>
      <c r="B16" s="1719" t="s">
        <v>2047</v>
      </c>
      <c r="C16" s="1719"/>
      <c r="D16" s="1720" t="s">
        <v>1840</v>
      </c>
      <c r="E16" s="1721">
        <f t="shared" si="1"/>
        <v>7358.753043478263</v>
      </c>
      <c r="F16" s="1722">
        <v>1.32</v>
      </c>
      <c r="G16" s="1723">
        <f t="shared" si="2"/>
        <v>9713.5540173913068</v>
      </c>
    </row>
    <row r="17" spans="1:8">
      <c r="A17" s="1726"/>
      <c r="B17" s="1719" t="s">
        <v>2048</v>
      </c>
      <c r="C17" s="1719"/>
      <c r="D17" s="1720" t="s">
        <v>1840</v>
      </c>
      <c r="E17" s="1721">
        <f t="shared" si="1"/>
        <v>8403.5878260869576</v>
      </c>
      <c r="F17" s="1724">
        <v>1.28</v>
      </c>
      <c r="G17" s="1725">
        <f t="shared" si="2"/>
        <v>10756.592417391306</v>
      </c>
    </row>
    <row r="18" spans="1:8">
      <c r="A18" s="1726"/>
      <c r="B18" s="1719" t="s">
        <v>2049</v>
      </c>
      <c r="C18" s="1719"/>
      <c r="D18" s="1720" t="s">
        <v>413</v>
      </c>
      <c r="E18" s="1721">
        <f t="shared" si="1"/>
        <v>91.652173913043498</v>
      </c>
      <c r="F18" s="1724">
        <v>134.55000000000001</v>
      </c>
      <c r="G18" s="1725">
        <f t="shared" si="2"/>
        <v>12331.800000000003</v>
      </c>
    </row>
    <row r="19" spans="1:8">
      <c r="G19" s="159">
        <f>SUM(G6:G18)</f>
        <v>2001792.7276521742</v>
      </c>
      <c r="H19" t="s">
        <v>2050</v>
      </c>
    </row>
    <row r="20" spans="1:8">
      <c r="G20" s="159">
        <f>G19/100</f>
        <v>20017.927276521743</v>
      </c>
    </row>
    <row r="21" spans="1:8">
      <c r="G21">
        <v>324</v>
      </c>
    </row>
    <row r="22" spans="1:8">
      <c r="G22" s="159">
        <f>G20*G21</f>
        <v>6485808.4375930447</v>
      </c>
      <c r="H22" t="s">
        <v>2051</v>
      </c>
    </row>
    <row r="23" spans="1:8">
      <c r="G23" s="159">
        <f>G22/30</f>
        <v>216193.61458643482</v>
      </c>
      <c r="H23" t="s">
        <v>2052</v>
      </c>
    </row>
    <row r="28" spans="1:8" ht="12" customHeight="1"/>
  </sheetData>
  <mergeCells count="4">
    <mergeCell ref="A1:G1"/>
    <mergeCell ref="A2:G2"/>
    <mergeCell ref="A3:G3"/>
    <mergeCell ref="A4:G4"/>
  </mergeCells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3A60635CDC1E94693D101699C80DE8A" ma:contentTypeVersion="16" ma:contentTypeDescription="Crie um novo documento." ma:contentTypeScope="" ma:versionID="0d1a9f0cf509a5b0fbf3641c39f52988">
  <xsd:schema xmlns:xsd="http://www.w3.org/2001/XMLSchema" xmlns:xs="http://www.w3.org/2001/XMLSchema" xmlns:p="http://schemas.microsoft.com/office/2006/metadata/properties" xmlns:ns2="b3fd0ceb-f02a-4f25-86b7-aab1317ac962" xmlns:ns3="525e23b6-0c50-47f2-9d69-251c5385d573" targetNamespace="http://schemas.microsoft.com/office/2006/metadata/properties" ma:root="true" ma:fieldsID="32150ab5a1f2575424b1d97502835e0e" ns2:_="" ns3:_="">
    <xsd:import namespace="b3fd0ceb-f02a-4f25-86b7-aab1317ac962"/>
    <xsd:import namespace="525e23b6-0c50-47f2-9d69-251c5385d57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fd0ceb-f02a-4f25-86b7-aab1317ac96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fa4189ec-f10b-4af7-a2f4-24da7d4f8ee5}" ma:internalName="TaxCatchAll" ma:showField="CatchAllData" ma:web="b3fd0ceb-f02a-4f25-86b7-aab1317ac9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5e23b6-0c50-47f2-9d69-251c5385d5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25e23b6-0c50-47f2-9d69-251c5385d573">
      <Terms xmlns="http://schemas.microsoft.com/office/infopath/2007/PartnerControls"/>
    </lcf76f155ced4ddcb4097134ff3c332f>
    <TaxCatchAll xmlns="b3fd0ceb-f02a-4f25-86b7-aab1317ac962" xsi:nil="true"/>
  </documentManagement>
</p:properties>
</file>

<file path=customXml/itemProps1.xml><?xml version="1.0" encoding="utf-8"?>
<ds:datastoreItem xmlns:ds="http://schemas.openxmlformats.org/officeDocument/2006/customXml" ds:itemID="{21C821BF-C2D7-4EF0-839E-351BBFAA5F35}"/>
</file>

<file path=customXml/itemProps2.xml><?xml version="1.0" encoding="utf-8"?>
<ds:datastoreItem xmlns:ds="http://schemas.openxmlformats.org/officeDocument/2006/customXml" ds:itemID="{BA38D212-50B1-4514-9F8E-9ECF235F5AC1}"/>
</file>

<file path=customXml/itemProps3.xml><?xml version="1.0" encoding="utf-8"?>
<ds:datastoreItem xmlns:ds="http://schemas.openxmlformats.org/officeDocument/2006/customXml" ds:itemID="{2B7B1BD8-2015-417A-AFA8-857EFADCD8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35</vt:i4>
      </vt:variant>
      <vt:variant>
        <vt:lpstr>Intervalos Nomeados</vt:lpstr>
      </vt:variant>
      <vt:variant>
        <vt:i4>25</vt:i4>
      </vt:variant>
    </vt:vector>
  </HeadingPairs>
  <TitlesOfParts>
    <vt:vector size="60" baseType="lpstr">
      <vt:lpstr>Quadro 5 Cronograma PER</vt:lpstr>
      <vt:lpstr>Quadro 6 - Investimentos</vt:lpstr>
      <vt:lpstr>Quadro 8. - Custos Operacionais</vt:lpstr>
      <vt:lpstr>Monitoração</vt:lpstr>
      <vt:lpstr>Conserva - Resumo</vt:lpstr>
      <vt:lpstr>Conservação</vt:lpstr>
      <vt:lpstr>Quantidades Padrão</vt:lpstr>
      <vt:lpstr>Sinalização Vertica Padrão</vt:lpstr>
      <vt:lpstr>Disp. Prot. Seg. Padrão</vt:lpstr>
      <vt:lpstr>OAEs e Passarelas Padrão</vt:lpstr>
      <vt:lpstr>Drenagem e OAC Padrão</vt:lpstr>
      <vt:lpstr>Terrapl. Estrut. Contenção</vt:lpstr>
      <vt:lpstr>Iluminação Padrão</vt:lpstr>
      <vt:lpstr>Faixa de Domínio Padrão</vt:lpstr>
      <vt:lpstr>PAV. CONCRETO</vt:lpstr>
      <vt:lpstr>Despesas com Pessoal</vt:lpstr>
      <vt:lpstr>Funções</vt:lpstr>
      <vt:lpstr>Despesas Diversas</vt:lpstr>
      <vt:lpstr>Transporte Valores</vt:lpstr>
      <vt:lpstr>Transporte de Pessoal</vt:lpstr>
      <vt:lpstr>SALARIOSS</vt:lpstr>
      <vt:lpstr>MEM. Encargos Sociais</vt:lpstr>
      <vt:lpstr>Crono Pessoal</vt:lpstr>
      <vt:lpstr>Crono FF</vt:lpstr>
      <vt:lpstr>Obras - Operação</vt:lpstr>
      <vt:lpstr>Sistemas-Manutenção</vt:lpstr>
      <vt:lpstr>Sistemas</vt:lpstr>
      <vt:lpstr>Sistemas - Cotações</vt:lpstr>
      <vt:lpstr>LOCAÇÕES E TERCEIRIZAÇÕES</vt:lpstr>
      <vt:lpstr>DER MG</vt:lpstr>
      <vt:lpstr>BDI</vt:lpstr>
      <vt:lpstr>Custos Ambientais - Obras</vt:lpstr>
      <vt:lpstr>Custos Ambientais - Operação</vt:lpstr>
      <vt:lpstr>Reassentamentos</vt:lpstr>
      <vt:lpstr>Reconstituição Meio Ambiente</vt:lpstr>
      <vt:lpstr>A</vt:lpstr>
      <vt:lpstr>'Despesas com Pessoal'!Area_de_extracao</vt:lpstr>
      <vt:lpstr>'Sistemas-Manutenção'!Area_de_extracao</vt:lpstr>
      <vt:lpstr>Conservação!Area_de_impressao</vt:lpstr>
      <vt:lpstr>'Crono Pessoal'!Area_de_impressao</vt:lpstr>
      <vt:lpstr>'Faixa de Domínio Padrão'!Area_de_impressao</vt:lpstr>
      <vt:lpstr>Funções!Area_de_impressao</vt:lpstr>
      <vt:lpstr>'Iluminação Padrão'!Area_de_impressao</vt:lpstr>
      <vt:lpstr>'OAEs e Passarelas Padrão'!Area_de_impressao</vt:lpstr>
      <vt:lpstr>'Quadro 8. - Custos Operacionais'!Area_de_impressao</vt:lpstr>
      <vt:lpstr>'Quantidades Padrão'!Area_de_impressao</vt:lpstr>
      <vt:lpstr>'Sinalização Vertica Padrão'!Area_de_impressao</vt:lpstr>
      <vt:lpstr>Sistemas!Area_de_impressao</vt:lpstr>
      <vt:lpstr>'Terrapl. Estrut. Contenção'!Area_de_impressao</vt:lpstr>
      <vt:lpstr>BDI_M</vt:lpstr>
      <vt:lpstr>BDI_S</vt:lpstr>
      <vt:lpstr>D</vt:lpstr>
      <vt:lpstr>Func</vt:lpstr>
      <vt:lpstr>G</vt:lpstr>
      <vt:lpstr>IND</vt:lpstr>
      <vt:lpstr>INDIRETO</vt:lpstr>
      <vt:lpstr>Par</vt:lpstr>
      <vt:lpstr>SICRO</vt:lpstr>
      <vt:lpstr>SIST</vt:lpstr>
      <vt:lpstr>'Quantidades Padrão'!Titulos_de_impressao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Dynatest</dc:title>
  <dc:subject/>
  <dc:creator>Leonardo</dc:creator>
  <cp:keywords/>
  <dc:description/>
  <cp:lastModifiedBy>LADIR HQ</cp:lastModifiedBy>
  <cp:revision/>
  <dcterms:created xsi:type="dcterms:W3CDTF">2004-10-05T13:40:43Z</dcterms:created>
  <dcterms:modified xsi:type="dcterms:W3CDTF">2024-08-14T08:36:42Z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0x01010083A60635CDC1E94693D101699C80DE8A</vt:lpwstr>
  </property>
</Properties>
</file>